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UARIO\Desktop\DATOS\Desktop\Nacho-toto-todo\Nacho\Gaceta\"/>
    </mc:Choice>
  </mc:AlternateContent>
  <xr:revisionPtr revIDLastSave="0" documentId="8_{450976AD-702A-4CF6-A95F-EA63789055C0}" xr6:coauthVersionLast="47" xr6:coauthVersionMax="47" xr10:uidLastSave="{00000000-0000-0000-0000-000000000000}"/>
  <bookViews>
    <workbookView xWindow="-120" yWindow="-120" windowWidth="20730" windowHeight="11040" xr2:uid="{00000000-000D-0000-FFFF-FFFF00000000}"/>
  </bookViews>
  <sheets>
    <sheet name="Índice anual" sheetId="1" r:id="rId1"/>
    <sheet name="Fuentes y criterio" sheetId="2" r:id="rId2"/>
  </sheets>
  <calcPr calcId="0"/>
  <fileRecoveryPr repairLoad="1"/>
</workbook>
</file>

<file path=xl/calcChain.xml><?xml version="1.0" encoding="utf-8"?>
<calcChain xmlns="http://schemas.openxmlformats.org/spreadsheetml/2006/main">
  <c r="F433" i="2" l="1"/>
  <c r="F432" i="2"/>
  <c r="F431" i="2"/>
  <c r="F430" i="2"/>
  <c r="F429" i="2"/>
  <c r="F428" i="2"/>
  <c r="F427" i="2"/>
  <c r="F426" i="2"/>
  <c r="F425" i="2"/>
  <c r="F424" i="2"/>
  <c r="F423" i="2"/>
  <c r="F422" i="2"/>
  <c r="F421" i="2"/>
  <c r="F420" i="2"/>
  <c r="F419" i="2"/>
  <c r="F418" i="2"/>
  <c r="F417" i="2"/>
  <c r="F416" i="2"/>
  <c r="F415" i="2"/>
  <c r="F414" i="2"/>
  <c r="F413" i="2"/>
  <c r="F412" i="2"/>
  <c r="F411" i="2"/>
  <c r="F410" i="2"/>
  <c r="F409" i="2"/>
  <c r="F408" i="2"/>
  <c r="F407" i="2"/>
  <c r="F406" i="2"/>
  <c r="F405" i="2"/>
  <c r="F404" i="2"/>
  <c r="F403" i="2"/>
  <c r="F402" i="2"/>
  <c r="F401" i="2"/>
  <c r="F400" i="2"/>
  <c r="F399" i="2"/>
  <c r="F398" i="2"/>
  <c r="F397" i="2"/>
  <c r="F396" i="2"/>
  <c r="F395" i="2"/>
  <c r="F394" i="2"/>
  <c r="F393" i="2"/>
  <c r="F392" i="2"/>
  <c r="F391" i="2"/>
  <c r="F390" i="2"/>
  <c r="F389" i="2"/>
  <c r="F388" i="2"/>
  <c r="F387" i="2"/>
  <c r="F386" i="2"/>
  <c r="F385" i="2"/>
  <c r="F384" i="2"/>
  <c r="F383" i="2"/>
  <c r="F382" i="2"/>
  <c r="F381" i="2"/>
  <c r="F380" i="2"/>
  <c r="F379" i="2"/>
  <c r="F378" i="2"/>
  <c r="F377" i="2"/>
  <c r="F376" i="2"/>
  <c r="F375" i="2"/>
  <c r="F374" i="2"/>
  <c r="F373" i="2"/>
  <c r="F372" i="2"/>
  <c r="F371" i="2"/>
  <c r="F370" i="2"/>
  <c r="F369" i="2"/>
  <c r="F368" i="2"/>
  <c r="F367" i="2"/>
  <c r="F366" i="2"/>
  <c r="F365" i="2"/>
  <c r="F364" i="2"/>
  <c r="F363" i="2"/>
  <c r="F362" i="2"/>
  <c r="F361" i="2"/>
  <c r="F360" i="2"/>
  <c r="F359" i="2"/>
  <c r="F358" i="2"/>
  <c r="F357" i="2"/>
  <c r="F356" i="2"/>
  <c r="F355" i="2"/>
  <c r="F354" i="2"/>
  <c r="F353" i="2"/>
  <c r="F352" i="2"/>
  <c r="F351" i="2"/>
  <c r="F350" i="2"/>
  <c r="F349" i="2"/>
  <c r="F348" i="2"/>
  <c r="F347" i="2"/>
  <c r="F346" i="2"/>
  <c r="F345" i="2"/>
  <c r="F344" i="2"/>
  <c r="F343" i="2"/>
  <c r="F342" i="2"/>
  <c r="F341" i="2"/>
  <c r="F340" i="2"/>
  <c r="F339" i="2"/>
  <c r="F338" i="2"/>
  <c r="F337" i="2"/>
  <c r="F336" i="2"/>
  <c r="F335" i="2"/>
  <c r="F334" i="2"/>
  <c r="F333" i="2"/>
  <c r="F332" i="2"/>
  <c r="F331" i="2"/>
  <c r="F330" i="2"/>
  <c r="F329" i="2"/>
  <c r="F328" i="2"/>
  <c r="F327" i="2"/>
  <c r="F326" i="2"/>
  <c r="F325" i="2"/>
  <c r="F324" i="2"/>
  <c r="F323" i="2"/>
  <c r="F322" i="2"/>
  <c r="F321" i="2"/>
  <c r="F320" i="2"/>
  <c r="F319" i="2"/>
  <c r="F318" i="2"/>
  <c r="F317" i="2"/>
  <c r="F316" i="2"/>
  <c r="F315" i="2"/>
  <c r="F314" i="2"/>
  <c r="F313" i="2"/>
  <c r="F312" i="2"/>
  <c r="F311" i="2"/>
  <c r="F310" i="2"/>
  <c r="F309" i="2"/>
  <c r="F308" i="2"/>
  <c r="F307" i="2"/>
  <c r="F306" i="2"/>
  <c r="F305" i="2"/>
  <c r="F304" i="2"/>
  <c r="F303" i="2"/>
  <c r="F302" i="2"/>
  <c r="F301" i="2"/>
  <c r="F300" i="2"/>
  <c r="F299" i="2"/>
  <c r="F298" i="2"/>
  <c r="F297" i="2"/>
  <c r="F296" i="2"/>
  <c r="F295" i="2"/>
  <c r="F294" i="2"/>
  <c r="F293" i="2"/>
  <c r="F292" i="2"/>
  <c r="F291" i="2"/>
  <c r="F290" i="2"/>
  <c r="F289" i="2"/>
  <c r="F288" i="2"/>
  <c r="F287" i="2"/>
  <c r="F286" i="2"/>
  <c r="F285" i="2"/>
  <c r="F284" i="2"/>
  <c r="F283" i="2"/>
  <c r="F282" i="2"/>
  <c r="F281" i="2"/>
  <c r="F280" i="2"/>
  <c r="F279" i="2"/>
  <c r="F278" i="2"/>
  <c r="F277" i="2"/>
  <c r="F276" i="2"/>
  <c r="F275" i="2"/>
  <c r="F274" i="2"/>
  <c r="F273" i="2"/>
  <c r="F272" i="2"/>
  <c r="F271" i="2"/>
  <c r="F270" i="2"/>
  <c r="F269" i="2"/>
  <c r="F268" i="2"/>
  <c r="F267" i="2"/>
  <c r="F266" i="2"/>
  <c r="F265" i="2"/>
  <c r="F264" i="2"/>
  <c r="F263" i="2"/>
  <c r="F262" i="2"/>
  <c r="F261" i="2"/>
  <c r="F260" i="2"/>
  <c r="F259" i="2"/>
  <c r="F258" i="2"/>
  <c r="F257" i="2"/>
  <c r="F256" i="2"/>
  <c r="F255" i="2"/>
  <c r="F254" i="2"/>
  <c r="F253" i="2"/>
  <c r="F252" i="2"/>
  <c r="F251" i="2"/>
  <c r="F250" i="2"/>
  <c r="F249" i="2"/>
  <c r="F248" i="2"/>
  <c r="F247" i="2"/>
  <c r="F246" i="2"/>
  <c r="F245" i="2"/>
  <c r="F244" i="2"/>
  <c r="F243" i="2"/>
  <c r="F242" i="2"/>
  <c r="F241" i="2"/>
  <c r="F240" i="2"/>
  <c r="F239" i="2"/>
  <c r="F238" i="2"/>
  <c r="F237" i="2"/>
  <c r="F236" i="2"/>
  <c r="F235" i="2"/>
  <c r="F234" i="2"/>
  <c r="F233" i="2"/>
  <c r="F232" i="2"/>
  <c r="F231" i="2"/>
  <c r="F230" i="2"/>
  <c r="F229" i="2"/>
  <c r="F228" i="2"/>
  <c r="F227" i="2"/>
  <c r="F226" i="2"/>
  <c r="F225" i="2"/>
  <c r="F224" i="2"/>
  <c r="F223" i="2"/>
  <c r="F222" i="2"/>
  <c r="F221" i="2"/>
  <c r="F220" i="2"/>
  <c r="F219" i="2"/>
  <c r="F218" i="2"/>
  <c r="F217" i="2"/>
  <c r="F216" i="2"/>
  <c r="F215" i="2"/>
  <c r="F214" i="2"/>
  <c r="F213" i="2"/>
  <c r="F212" i="2"/>
  <c r="F211" i="2"/>
  <c r="F210" i="2"/>
  <c r="F209" i="2"/>
  <c r="F208" i="2"/>
  <c r="F207" i="2"/>
  <c r="F206" i="2"/>
  <c r="F205" i="2"/>
  <c r="F204" i="2"/>
  <c r="F203" i="2"/>
  <c r="F202" i="2"/>
  <c r="F201" i="2"/>
  <c r="F200" i="2"/>
  <c r="F199" i="2"/>
  <c r="F198" i="2"/>
  <c r="F197" i="2"/>
  <c r="F196" i="2"/>
  <c r="F195" i="2"/>
  <c r="F194" i="2"/>
  <c r="F193" i="2"/>
  <c r="F192" i="2"/>
  <c r="F191" i="2"/>
  <c r="F190" i="2"/>
  <c r="F189" i="2"/>
  <c r="F188" i="2"/>
  <c r="F187" i="2"/>
  <c r="F186" i="2"/>
  <c r="F185" i="2"/>
  <c r="F184" i="2"/>
  <c r="F183" i="2"/>
  <c r="F182" i="2"/>
  <c r="F181" i="2"/>
  <c r="F180" i="2"/>
  <c r="F179" i="2"/>
  <c r="F178" i="2"/>
  <c r="F177" i="2"/>
  <c r="F176" i="2"/>
  <c r="F175" i="2"/>
  <c r="F174" i="2"/>
  <c r="F173" i="2"/>
  <c r="F172" i="2"/>
  <c r="F171" i="2"/>
  <c r="F170" i="2"/>
  <c r="F169" i="2"/>
  <c r="F168" i="2"/>
  <c r="F167" i="2"/>
  <c r="F166" i="2"/>
  <c r="F165" i="2"/>
  <c r="F164" i="2"/>
  <c r="F163" i="2"/>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11277" i="1"/>
  <c r="J11276" i="1"/>
  <c r="J11275" i="1"/>
  <c r="J11274" i="1"/>
  <c r="J11273" i="1"/>
  <c r="J11272" i="1"/>
  <c r="J11271" i="1"/>
  <c r="J11270" i="1"/>
  <c r="J11269" i="1"/>
  <c r="J11268" i="1"/>
  <c r="J11267" i="1"/>
  <c r="J11266" i="1"/>
  <c r="J11265" i="1"/>
  <c r="J11264" i="1"/>
  <c r="J11263" i="1"/>
  <c r="J11262" i="1"/>
  <c r="J11261" i="1"/>
  <c r="J11260" i="1"/>
  <c r="J11259" i="1"/>
  <c r="J11258" i="1"/>
  <c r="J11257" i="1"/>
  <c r="J11256" i="1"/>
  <c r="J11255" i="1"/>
  <c r="J11254" i="1"/>
  <c r="J11253" i="1"/>
  <c r="J11252" i="1"/>
  <c r="J11251" i="1"/>
  <c r="J11250" i="1"/>
  <c r="J11249" i="1"/>
  <c r="J11248" i="1"/>
  <c r="J11247" i="1"/>
  <c r="J11246" i="1"/>
  <c r="J11245" i="1"/>
  <c r="J11244" i="1"/>
  <c r="J11243" i="1"/>
  <c r="J11242" i="1"/>
  <c r="J11241" i="1"/>
  <c r="J11240" i="1"/>
  <c r="J11239" i="1"/>
  <c r="J11238" i="1"/>
  <c r="J11237" i="1"/>
  <c r="J11236" i="1"/>
  <c r="J11235" i="1"/>
  <c r="J11234" i="1"/>
  <c r="J11233" i="1"/>
  <c r="J11232" i="1"/>
  <c r="J11231" i="1"/>
  <c r="J11230" i="1"/>
  <c r="J11229" i="1"/>
  <c r="J11228" i="1"/>
  <c r="J11227" i="1"/>
  <c r="J11226" i="1"/>
  <c r="J11225" i="1"/>
  <c r="J11224" i="1"/>
  <c r="J11223" i="1"/>
  <c r="J11222" i="1"/>
  <c r="J11221" i="1"/>
  <c r="J11220" i="1"/>
  <c r="J11219" i="1"/>
  <c r="J11218" i="1"/>
  <c r="J11217" i="1"/>
  <c r="J11216" i="1"/>
  <c r="J11215" i="1"/>
  <c r="J11214" i="1"/>
  <c r="J11213" i="1"/>
  <c r="J11212" i="1"/>
  <c r="J11211" i="1"/>
  <c r="J11210" i="1"/>
  <c r="J11209" i="1"/>
  <c r="J11208" i="1"/>
  <c r="J11207" i="1"/>
  <c r="J11206" i="1"/>
  <c r="J11205" i="1"/>
  <c r="J11204" i="1"/>
  <c r="J11203" i="1"/>
  <c r="J11202" i="1"/>
  <c r="J11201" i="1"/>
  <c r="J11200" i="1"/>
  <c r="J11199" i="1"/>
  <c r="J11198" i="1"/>
  <c r="J11197" i="1"/>
  <c r="J11196" i="1"/>
  <c r="J11195" i="1"/>
  <c r="J11194" i="1"/>
  <c r="J11193" i="1"/>
  <c r="J11192" i="1"/>
  <c r="J11191" i="1"/>
  <c r="J11190" i="1"/>
  <c r="J11189" i="1"/>
  <c r="J11188" i="1"/>
  <c r="J11187" i="1"/>
  <c r="J11186" i="1"/>
  <c r="J11185" i="1"/>
  <c r="J11184" i="1"/>
  <c r="J11183" i="1"/>
  <c r="J11182" i="1"/>
  <c r="J11181" i="1"/>
  <c r="J11180" i="1"/>
  <c r="J11179" i="1"/>
  <c r="J11178" i="1"/>
  <c r="J11177" i="1"/>
  <c r="J11176" i="1"/>
  <c r="J11175" i="1"/>
  <c r="J11174" i="1"/>
  <c r="J11173" i="1"/>
  <c r="J11172" i="1"/>
  <c r="J11171" i="1"/>
  <c r="J11170" i="1"/>
  <c r="J11169" i="1"/>
  <c r="J11168" i="1"/>
  <c r="J11167" i="1"/>
  <c r="J11166" i="1"/>
  <c r="J11165" i="1"/>
  <c r="J11164" i="1"/>
  <c r="J11163" i="1"/>
  <c r="J11162" i="1"/>
  <c r="J11161" i="1"/>
  <c r="J11160" i="1"/>
  <c r="J11159" i="1"/>
  <c r="J11158" i="1"/>
  <c r="J11157" i="1"/>
  <c r="J11156" i="1"/>
  <c r="J11155" i="1"/>
  <c r="J11154" i="1"/>
  <c r="J11153" i="1"/>
  <c r="J11152" i="1"/>
  <c r="J11151" i="1"/>
  <c r="J11150" i="1"/>
  <c r="J11149" i="1"/>
  <c r="J11148" i="1"/>
  <c r="J11147" i="1"/>
  <c r="J11146" i="1"/>
  <c r="J11145" i="1"/>
  <c r="J11144" i="1"/>
  <c r="J11143" i="1"/>
  <c r="J11142" i="1"/>
  <c r="J11141" i="1"/>
  <c r="J11140" i="1"/>
  <c r="J11139" i="1"/>
  <c r="J11138" i="1"/>
  <c r="J11137" i="1"/>
  <c r="J11136" i="1"/>
  <c r="J11135" i="1"/>
  <c r="J11134" i="1"/>
  <c r="J11133" i="1"/>
  <c r="J11132" i="1"/>
  <c r="J11131" i="1"/>
  <c r="J11130" i="1"/>
  <c r="J11129" i="1"/>
  <c r="J11128" i="1"/>
  <c r="J11127" i="1"/>
  <c r="J11126" i="1"/>
  <c r="J11125" i="1"/>
  <c r="J11124" i="1"/>
  <c r="J11123" i="1"/>
  <c r="J11122" i="1"/>
  <c r="J11121" i="1"/>
  <c r="J11120" i="1"/>
  <c r="J11119" i="1"/>
  <c r="J11118" i="1"/>
  <c r="J11117" i="1"/>
  <c r="J11116" i="1"/>
  <c r="J11115" i="1"/>
  <c r="J11114" i="1"/>
  <c r="J11113" i="1"/>
  <c r="J11112" i="1"/>
  <c r="J11111" i="1"/>
  <c r="J11110" i="1"/>
  <c r="J11109" i="1"/>
  <c r="J11108" i="1"/>
  <c r="J11107" i="1"/>
  <c r="J11106" i="1"/>
  <c r="J11105" i="1"/>
  <c r="J11104" i="1"/>
  <c r="J11103" i="1"/>
  <c r="J11102" i="1"/>
  <c r="J11101" i="1"/>
  <c r="J11100" i="1"/>
  <c r="J11099" i="1"/>
  <c r="J11098" i="1"/>
  <c r="J11097" i="1"/>
  <c r="J11096" i="1"/>
  <c r="J11095" i="1"/>
  <c r="J11094" i="1"/>
  <c r="J11093" i="1"/>
  <c r="J11092" i="1"/>
  <c r="J11091" i="1"/>
  <c r="J11090" i="1"/>
  <c r="J11089" i="1"/>
  <c r="J11088" i="1"/>
  <c r="J11087" i="1"/>
  <c r="J11086" i="1"/>
  <c r="J11085" i="1"/>
  <c r="J11084" i="1"/>
  <c r="J11083" i="1"/>
  <c r="J11082" i="1"/>
  <c r="J11081" i="1"/>
  <c r="J11080" i="1"/>
  <c r="J11079" i="1"/>
  <c r="J11078" i="1"/>
  <c r="J11077" i="1"/>
  <c r="J11076" i="1"/>
  <c r="J11075" i="1"/>
  <c r="J11074" i="1"/>
  <c r="J11073" i="1"/>
  <c r="J11072" i="1"/>
  <c r="J11071" i="1"/>
  <c r="J11070" i="1"/>
  <c r="J11069" i="1"/>
  <c r="J11068" i="1"/>
  <c r="J11067" i="1"/>
  <c r="J11066" i="1"/>
  <c r="J11065" i="1"/>
  <c r="J11064" i="1"/>
  <c r="J11063" i="1"/>
  <c r="J11062" i="1"/>
  <c r="J11061" i="1"/>
  <c r="J11060" i="1"/>
  <c r="J11059" i="1"/>
  <c r="J11058" i="1"/>
  <c r="J11057" i="1"/>
  <c r="J11056" i="1"/>
  <c r="J11055" i="1"/>
  <c r="J11054" i="1"/>
  <c r="J11053" i="1"/>
  <c r="J11052" i="1"/>
  <c r="J11051" i="1"/>
  <c r="J11050" i="1"/>
  <c r="J11049" i="1"/>
  <c r="J11048" i="1"/>
  <c r="J11047" i="1"/>
  <c r="J11046" i="1"/>
  <c r="J11045" i="1"/>
  <c r="J11044" i="1"/>
  <c r="J11043" i="1"/>
  <c r="J11042" i="1"/>
  <c r="J11041" i="1"/>
  <c r="J11040" i="1"/>
  <c r="J11039" i="1"/>
  <c r="J11038" i="1"/>
  <c r="J11037" i="1"/>
  <c r="J11036" i="1"/>
  <c r="J11035" i="1"/>
  <c r="J11034" i="1"/>
  <c r="J11033" i="1"/>
  <c r="J11032" i="1"/>
  <c r="J11031" i="1"/>
  <c r="J11030" i="1"/>
  <c r="J11029" i="1"/>
  <c r="J11028" i="1"/>
  <c r="J11027" i="1"/>
  <c r="J11026" i="1"/>
  <c r="J11025" i="1"/>
  <c r="J11024" i="1"/>
  <c r="J11023" i="1"/>
  <c r="J11022" i="1"/>
  <c r="J11021" i="1"/>
  <c r="J11020" i="1"/>
  <c r="J11019" i="1"/>
  <c r="J11018" i="1"/>
  <c r="J11017" i="1"/>
  <c r="J11016" i="1"/>
  <c r="J11015" i="1"/>
  <c r="J11014" i="1"/>
  <c r="J11013" i="1"/>
  <c r="J11012" i="1"/>
  <c r="J11011" i="1"/>
  <c r="J11010" i="1"/>
  <c r="J11009" i="1"/>
  <c r="J11008" i="1"/>
  <c r="J11007" i="1"/>
  <c r="J11006" i="1"/>
  <c r="J11005" i="1"/>
  <c r="J11004" i="1"/>
  <c r="J11003" i="1"/>
  <c r="J11002" i="1"/>
  <c r="J11001" i="1"/>
  <c r="J11000" i="1"/>
  <c r="J10999" i="1"/>
  <c r="J10998" i="1"/>
  <c r="J10997" i="1"/>
  <c r="J10996" i="1"/>
  <c r="J10995" i="1"/>
  <c r="J10994" i="1"/>
  <c r="J10993" i="1"/>
  <c r="J10992" i="1"/>
  <c r="J10991" i="1"/>
  <c r="J10990" i="1"/>
  <c r="J10989" i="1"/>
  <c r="J10988" i="1"/>
  <c r="J10987" i="1"/>
  <c r="J10986" i="1"/>
  <c r="J10985" i="1"/>
  <c r="J10984" i="1"/>
  <c r="J10983" i="1"/>
  <c r="J10982" i="1"/>
  <c r="J10981" i="1"/>
  <c r="J10980" i="1"/>
  <c r="J10979" i="1"/>
  <c r="J10978" i="1"/>
  <c r="J10977" i="1"/>
  <c r="J10976" i="1"/>
  <c r="J10975" i="1"/>
  <c r="J10974" i="1"/>
  <c r="J10973" i="1"/>
  <c r="J10972" i="1"/>
  <c r="J10971" i="1"/>
  <c r="J10970" i="1"/>
  <c r="J10969" i="1"/>
  <c r="J10968" i="1"/>
  <c r="J10967" i="1"/>
  <c r="J10966" i="1"/>
  <c r="J10965" i="1"/>
  <c r="J10964" i="1"/>
  <c r="J10963" i="1"/>
  <c r="J10962" i="1"/>
  <c r="J10961" i="1"/>
  <c r="J10960" i="1"/>
  <c r="J10959" i="1"/>
  <c r="J10958" i="1"/>
  <c r="J10957" i="1"/>
  <c r="J10956" i="1"/>
  <c r="J10955" i="1"/>
  <c r="J10954" i="1"/>
  <c r="J10953" i="1"/>
  <c r="J10952" i="1"/>
  <c r="J10951" i="1"/>
  <c r="J10950" i="1"/>
  <c r="J10949" i="1"/>
  <c r="J10948" i="1"/>
  <c r="J10947" i="1"/>
  <c r="J10946" i="1"/>
  <c r="J10945" i="1"/>
  <c r="J10944" i="1"/>
  <c r="J10943" i="1"/>
  <c r="J10942" i="1"/>
  <c r="J10941" i="1"/>
  <c r="J10940" i="1"/>
  <c r="J10939" i="1"/>
  <c r="J10938" i="1"/>
  <c r="J10937" i="1"/>
  <c r="J10936" i="1"/>
  <c r="J10935" i="1"/>
  <c r="J10934" i="1"/>
  <c r="J10933" i="1"/>
  <c r="J10932" i="1"/>
  <c r="J10931" i="1"/>
  <c r="J10930" i="1"/>
  <c r="J10929" i="1"/>
  <c r="J10928" i="1"/>
  <c r="J10927" i="1"/>
  <c r="J10926" i="1"/>
  <c r="J10925" i="1"/>
  <c r="J10924" i="1"/>
  <c r="J10923" i="1"/>
  <c r="J10922" i="1"/>
  <c r="J10921" i="1"/>
  <c r="J10920" i="1"/>
  <c r="J10919" i="1"/>
  <c r="J10918" i="1"/>
  <c r="J10917" i="1"/>
  <c r="J10916" i="1"/>
  <c r="J10915" i="1"/>
  <c r="J10914" i="1"/>
  <c r="J10913" i="1"/>
  <c r="J10912" i="1"/>
  <c r="J10911" i="1"/>
  <c r="J10910" i="1"/>
  <c r="J10909" i="1"/>
  <c r="J10908" i="1"/>
  <c r="J10907" i="1"/>
  <c r="J10906" i="1"/>
  <c r="J10905" i="1"/>
  <c r="J10904" i="1"/>
  <c r="J10903" i="1"/>
  <c r="J10902" i="1"/>
  <c r="J10901" i="1"/>
  <c r="J10900" i="1"/>
  <c r="J10899" i="1"/>
  <c r="J10898" i="1"/>
  <c r="J10897" i="1"/>
  <c r="J10896" i="1"/>
  <c r="J10895" i="1"/>
  <c r="J10894" i="1"/>
  <c r="J10893" i="1"/>
  <c r="J10892" i="1"/>
  <c r="J10891" i="1"/>
  <c r="J10890" i="1"/>
  <c r="J10889" i="1"/>
  <c r="J10888" i="1"/>
  <c r="J10887" i="1"/>
  <c r="J10886" i="1"/>
  <c r="J10885" i="1"/>
  <c r="J10884" i="1"/>
  <c r="J10883" i="1"/>
  <c r="J10882" i="1"/>
  <c r="J10881" i="1"/>
  <c r="J10880" i="1"/>
  <c r="J10879" i="1"/>
  <c r="J10878" i="1"/>
  <c r="J10877" i="1"/>
  <c r="J10876" i="1"/>
  <c r="J10875" i="1"/>
  <c r="J10874" i="1"/>
  <c r="J10873" i="1"/>
  <c r="J10872" i="1"/>
  <c r="J10871" i="1"/>
  <c r="J10870" i="1"/>
  <c r="J10869" i="1"/>
  <c r="J10868" i="1"/>
  <c r="J10867" i="1"/>
  <c r="J10866" i="1"/>
  <c r="J10865" i="1"/>
  <c r="J10864" i="1"/>
  <c r="J10863" i="1"/>
  <c r="J10862" i="1"/>
  <c r="J10861" i="1"/>
  <c r="J10860" i="1"/>
  <c r="J10859" i="1"/>
  <c r="J10858" i="1"/>
  <c r="J10857" i="1"/>
  <c r="J10856" i="1"/>
  <c r="J10855" i="1"/>
  <c r="J10854" i="1"/>
  <c r="J10853" i="1"/>
  <c r="J10852" i="1"/>
  <c r="J10851" i="1"/>
  <c r="J10850" i="1"/>
  <c r="J10849" i="1"/>
  <c r="J10848" i="1"/>
  <c r="J10847" i="1"/>
  <c r="J10846" i="1"/>
  <c r="J10845" i="1"/>
  <c r="J10844" i="1"/>
  <c r="J10843" i="1"/>
  <c r="J10842" i="1"/>
  <c r="J10841" i="1"/>
  <c r="J10840" i="1"/>
  <c r="J10839" i="1"/>
  <c r="J10838" i="1"/>
  <c r="J10837" i="1"/>
  <c r="J10836" i="1"/>
  <c r="J10835" i="1"/>
  <c r="J10834" i="1"/>
  <c r="J10833" i="1"/>
  <c r="J10832" i="1"/>
  <c r="J10831" i="1"/>
  <c r="J10830" i="1"/>
  <c r="J10829" i="1"/>
  <c r="J10828" i="1"/>
  <c r="J10827" i="1"/>
  <c r="J10826" i="1"/>
  <c r="J10825" i="1"/>
  <c r="J10824" i="1"/>
  <c r="J10823" i="1"/>
  <c r="J10822" i="1"/>
  <c r="J10821" i="1"/>
  <c r="J10820" i="1"/>
  <c r="J10819" i="1"/>
  <c r="J10818" i="1"/>
  <c r="J10817" i="1"/>
  <c r="J10816" i="1"/>
  <c r="J10815" i="1"/>
  <c r="J10814" i="1"/>
  <c r="J10813" i="1"/>
  <c r="J10812" i="1"/>
  <c r="J10811" i="1"/>
  <c r="J10810" i="1"/>
  <c r="J10809" i="1"/>
  <c r="J10808" i="1"/>
  <c r="J10807" i="1"/>
  <c r="J10806" i="1"/>
  <c r="J10805" i="1"/>
  <c r="J10804" i="1"/>
  <c r="J10803" i="1"/>
  <c r="J10802" i="1"/>
  <c r="J10801" i="1"/>
  <c r="J10800" i="1"/>
  <c r="J10799" i="1"/>
  <c r="J10798" i="1"/>
  <c r="J10797" i="1"/>
  <c r="J10796" i="1"/>
  <c r="J10795" i="1"/>
  <c r="J10794" i="1"/>
  <c r="J10793" i="1"/>
  <c r="J10792" i="1"/>
  <c r="J10791" i="1"/>
  <c r="J10790" i="1"/>
  <c r="J10789" i="1"/>
  <c r="J10788" i="1"/>
  <c r="J10787" i="1"/>
  <c r="J10786" i="1"/>
  <c r="J10785" i="1"/>
  <c r="J10784" i="1"/>
  <c r="J10783" i="1"/>
  <c r="J10782" i="1"/>
  <c r="J10781" i="1"/>
  <c r="J10780" i="1"/>
  <c r="J10779" i="1"/>
  <c r="J10778" i="1"/>
  <c r="J10777" i="1"/>
  <c r="J10776" i="1"/>
  <c r="J10775" i="1"/>
  <c r="J10774" i="1"/>
  <c r="J10773" i="1"/>
  <c r="J10772" i="1"/>
  <c r="J10771" i="1"/>
  <c r="J10770" i="1"/>
  <c r="J10769" i="1"/>
  <c r="J10768" i="1"/>
  <c r="J10767" i="1"/>
  <c r="J10766" i="1"/>
  <c r="J10765" i="1"/>
  <c r="J10764" i="1"/>
  <c r="J10763" i="1"/>
  <c r="J10762" i="1"/>
  <c r="J10761" i="1"/>
  <c r="J10760" i="1"/>
  <c r="J10759" i="1"/>
  <c r="J10758" i="1"/>
  <c r="J10757" i="1"/>
  <c r="J10756" i="1"/>
  <c r="J10755" i="1"/>
  <c r="J10754" i="1"/>
  <c r="J10753" i="1"/>
  <c r="J10752" i="1"/>
  <c r="J10751" i="1"/>
  <c r="J10750" i="1"/>
  <c r="J10749" i="1"/>
  <c r="J10748" i="1"/>
  <c r="J10747" i="1"/>
  <c r="J10746" i="1"/>
  <c r="J10745" i="1"/>
  <c r="J10744" i="1"/>
  <c r="J10743" i="1"/>
  <c r="J10742" i="1"/>
  <c r="J10741" i="1"/>
  <c r="J10740" i="1"/>
  <c r="J10739" i="1"/>
  <c r="J10738" i="1"/>
  <c r="J10737" i="1"/>
  <c r="J10736" i="1"/>
  <c r="J10735" i="1"/>
  <c r="J10734" i="1"/>
  <c r="J10733" i="1"/>
  <c r="J10732" i="1"/>
  <c r="J10731" i="1"/>
  <c r="J10730" i="1"/>
  <c r="J10729" i="1"/>
  <c r="J10728" i="1"/>
  <c r="J10727" i="1"/>
  <c r="J10726" i="1"/>
  <c r="J10725" i="1"/>
  <c r="J10724" i="1"/>
  <c r="J10723" i="1"/>
  <c r="J10722" i="1"/>
  <c r="J10721" i="1"/>
  <c r="J10720" i="1"/>
  <c r="J10719" i="1"/>
  <c r="J10718" i="1"/>
  <c r="J10717" i="1"/>
  <c r="J10716" i="1"/>
  <c r="J10715" i="1"/>
  <c r="J10714" i="1"/>
  <c r="J10713" i="1"/>
  <c r="J10712" i="1"/>
  <c r="J10711" i="1"/>
  <c r="J10710" i="1"/>
  <c r="J10709" i="1"/>
  <c r="J10708" i="1"/>
  <c r="J10707" i="1"/>
  <c r="J10706" i="1"/>
  <c r="J10705" i="1"/>
  <c r="J10704" i="1"/>
  <c r="J10703" i="1"/>
  <c r="J10702" i="1"/>
  <c r="J10701" i="1"/>
  <c r="J10700" i="1"/>
  <c r="J10699" i="1"/>
  <c r="J10698" i="1"/>
  <c r="J10697" i="1"/>
  <c r="J10696" i="1"/>
  <c r="J10695" i="1"/>
  <c r="J10694" i="1"/>
  <c r="J10693" i="1"/>
  <c r="J10692" i="1"/>
  <c r="J10691" i="1"/>
  <c r="J10690" i="1"/>
  <c r="J10689" i="1"/>
  <c r="J10688" i="1"/>
  <c r="J10687" i="1"/>
  <c r="J10686" i="1"/>
  <c r="J10685" i="1"/>
  <c r="J10684" i="1"/>
  <c r="J10683" i="1"/>
  <c r="J10682" i="1"/>
  <c r="J10681" i="1"/>
  <c r="J10680" i="1"/>
  <c r="J10679" i="1"/>
  <c r="J10678" i="1"/>
  <c r="J10677" i="1"/>
  <c r="J10676" i="1"/>
  <c r="J10675" i="1"/>
  <c r="J10674" i="1"/>
  <c r="J10673" i="1"/>
  <c r="J10672" i="1"/>
  <c r="J10671" i="1"/>
  <c r="J10670" i="1"/>
  <c r="J10669" i="1"/>
  <c r="J10668" i="1"/>
  <c r="J10667" i="1"/>
  <c r="J10666" i="1"/>
  <c r="J10665" i="1"/>
  <c r="J10664" i="1"/>
  <c r="J10663" i="1"/>
  <c r="J10662" i="1"/>
  <c r="J10661" i="1"/>
  <c r="J10660" i="1"/>
  <c r="J10659" i="1"/>
  <c r="J10658" i="1"/>
  <c r="J10657" i="1"/>
  <c r="J10656" i="1"/>
  <c r="J10655" i="1"/>
  <c r="J10654" i="1"/>
  <c r="J10653" i="1"/>
  <c r="J10652" i="1"/>
  <c r="J10651" i="1"/>
  <c r="J10650" i="1"/>
  <c r="J10649" i="1"/>
  <c r="J10648" i="1"/>
  <c r="J10647" i="1"/>
  <c r="J10646" i="1"/>
  <c r="J10645" i="1"/>
  <c r="J10644" i="1"/>
  <c r="J10643" i="1"/>
  <c r="J10642" i="1"/>
  <c r="J10641" i="1"/>
  <c r="J10640" i="1"/>
  <c r="J10639" i="1"/>
  <c r="J10638" i="1"/>
  <c r="J10637" i="1"/>
  <c r="J10636" i="1"/>
  <c r="J10635" i="1"/>
  <c r="J10634" i="1"/>
  <c r="J10633" i="1"/>
  <c r="J10632" i="1"/>
  <c r="J10631" i="1"/>
  <c r="J10630" i="1"/>
  <c r="J10629" i="1"/>
  <c r="J10628" i="1"/>
  <c r="J10627" i="1"/>
  <c r="J10626" i="1"/>
  <c r="J10625" i="1"/>
  <c r="J10624" i="1"/>
  <c r="J10623" i="1"/>
  <c r="J10622" i="1"/>
  <c r="J10621" i="1"/>
  <c r="J10620" i="1"/>
  <c r="J10619" i="1"/>
  <c r="J10618" i="1"/>
  <c r="J10617" i="1"/>
  <c r="J10616" i="1"/>
  <c r="J10615" i="1"/>
  <c r="J10614" i="1"/>
  <c r="J10613" i="1"/>
  <c r="J10612" i="1"/>
  <c r="J10611" i="1"/>
  <c r="J10610" i="1"/>
  <c r="J10609" i="1"/>
  <c r="J10608" i="1"/>
  <c r="J10607" i="1"/>
  <c r="J10606" i="1"/>
  <c r="J10605" i="1"/>
  <c r="J10604" i="1"/>
  <c r="J10603" i="1"/>
  <c r="J10602" i="1"/>
  <c r="J10601" i="1"/>
  <c r="J10600" i="1"/>
  <c r="J10599" i="1"/>
  <c r="J10598" i="1"/>
  <c r="J10597" i="1"/>
  <c r="J10596" i="1"/>
  <c r="J10595" i="1"/>
  <c r="J10594" i="1"/>
  <c r="J10593" i="1"/>
  <c r="J10592" i="1"/>
  <c r="J10591" i="1"/>
  <c r="J10590" i="1"/>
  <c r="J10589" i="1"/>
  <c r="J10588" i="1"/>
  <c r="J10587" i="1"/>
  <c r="J10586" i="1"/>
  <c r="J10585" i="1"/>
  <c r="J10584" i="1"/>
  <c r="J10583" i="1"/>
  <c r="J10582" i="1"/>
  <c r="J10581" i="1"/>
  <c r="J10580" i="1"/>
  <c r="J10579" i="1"/>
  <c r="J10578" i="1"/>
  <c r="J10577" i="1"/>
  <c r="J10576" i="1"/>
  <c r="J10575" i="1"/>
  <c r="J10574" i="1"/>
  <c r="J10573" i="1"/>
  <c r="J10572" i="1"/>
  <c r="J10571" i="1"/>
  <c r="J10570" i="1"/>
  <c r="J10569" i="1"/>
  <c r="J10568" i="1"/>
  <c r="J10567" i="1"/>
  <c r="J10566" i="1"/>
  <c r="J10565" i="1"/>
  <c r="J10564" i="1"/>
  <c r="J10563" i="1"/>
  <c r="J10562" i="1"/>
  <c r="J10561" i="1"/>
  <c r="J10560" i="1"/>
  <c r="J10559" i="1"/>
  <c r="J10558" i="1"/>
  <c r="J10557" i="1"/>
  <c r="J10556" i="1"/>
  <c r="J10555" i="1"/>
  <c r="J10554" i="1"/>
  <c r="J10553" i="1"/>
  <c r="J10552" i="1"/>
  <c r="J10551" i="1"/>
  <c r="J10550" i="1"/>
  <c r="J10549" i="1"/>
  <c r="J10548" i="1"/>
  <c r="J10547" i="1"/>
  <c r="J10546" i="1"/>
  <c r="J10545" i="1"/>
  <c r="J10544" i="1"/>
  <c r="J10543" i="1"/>
  <c r="J10542" i="1"/>
  <c r="J10541" i="1"/>
  <c r="J10540" i="1"/>
  <c r="J10539" i="1"/>
  <c r="J10538" i="1"/>
  <c r="J10537" i="1"/>
  <c r="J10536" i="1"/>
  <c r="J10535" i="1"/>
  <c r="J10534" i="1"/>
  <c r="J10533" i="1"/>
  <c r="J10532" i="1"/>
  <c r="J10531" i="1"/>
  <c r="J10530" i="1"/>
  <c r="J10529" i="1"/>
  <c r="J10528" i="1"/>
  <c r="J10527" i="1"/>
  <c r="J10526" i="1"/>
  <c r="J10525" i="1"/>
  <c r="J10524" i="1"/>
  <c r="J10523" i="1"/>
  <c r="J10522" i="1"/>
  <c r="J10521" i="1"/>
  <c r="J10520" i="1"/>
  <c r="J10519" i="1"/>
  <c r="J10518" i="1"/>
  <c r="J10517" i="1"/>
  <c r="J10516" i="1"/>
  <c r="J10515" i="1"/>
  <c r="J10514" i="1"/>
  <c r="J10513" i="1"/>
  <c r="J10512" i="1"/>
  <c r="J10511" i="1"/>
  <c r="J10510" i="1"/>
  <c r="J10509" i="1"/>
  <c r="J10508" i="1"/>
  <c r="J10507" i="1"/>
  <c r="J10506" i="1"/>
  <c r="J10505" i="1"/>
  <c r="J10504" i="1"/>
  <c r="J10503" i="1"/>
  <c r="J10502" i="1"/>
  <c r="J10501" i="1"/>
  <c r="J10500" i="1"/>
  <c r="J10499" i="1"/>
  <c r="J10498" i="1"/>
  <c r="J10497" i="1"/>
  <c r="J10496" i="1"/>
  <c r="J10495" i="1"/>
  <c r="J10494" i="1"/>
  <c r="J10493" i="1"/>
  <c r="J10492" i="1"/>
  <c r="J10491" i="1"/>
  <c r="J10490" i="1"/>
  <c r="J10489" i="1"/>
  <c r="J10488" i="1"/>
  <c r="J10487" i="1"/>
  <c r="J10486" i="1"/>
  <c r="J10485" i="1"/>
  <c r="J10484" i="1"/>
  <c r="J10483" i="1"/>
  <c r="J10482" i="1"/>
  <c r="J10481" i="1"/>
  <c r="J10480" i="1"/>
  <c r="J10479" i="1"/>
  <c r="J10478" i="1"/>
  <c r="J10477" i="1"/>
  <c r="J10476" i="1"/>
  <c r="J10475" i="1"/>
  <c r="J10474" i="1"/>
  <c r="J10473" i="1"/>
  <c r="J10472" i="1"/>
  <c r="J10471" i="1"/>
  <c r="J10470" i="1"/>
  <c r="J10469" i="1"/>
  <c r="J10468" i="1"/>
  <c r="J10467" i="1"/>
  <c r="J10466" i="1"/>
  <c r="J10465" i="1"/>
  <c r="J10464" i="1"/>
  <c r="J10463" i="1"/>
  <c r="J10462" i="1"/>
  <c r="J10461" i="1"/>
  <c r="J10460" i="1"/>
  <c r="J10459" i="1"/>
  <c r="J10458" i="1"/>
  <c r="J10457" i="1"/>
  <c r="J10456" i="1"/>
  <c r="J10455" i="1"/>
  <c r="J10454" i="1"/>
  <c r="J10453" i="1"/>
  <c r="J10452" i="1"/>
  <c r="J10451" i="1"/>
  <c r="J10450" i="1"/>
  <c r="J10449" i="1"/>
  <c r="J10448" i="1"/>
  <c r="J10447" i="1"/>
  <c r="J10446" i="1"/>
  <c r="J10445" i="1"/>
  <c r="J10444" i="1"/>
  <c r="J10443" i="1"/>
  <c r="J10442" i="1"/>
  <c r="J10441" i="1"/>
  <c r="J10440" i="1"/>
  <c r="J10439" i="1"/>
  <c r="J10438" i="1"/>
  <c r="J10437" i="1"/>
  <c r="J10436" i="1"/>
  <c r="J10435" i="1"/>
  <c r="J10434" i="1"/>
  <c r="J10433" i="1"/>
  <c r="J10432" i="1"/>
  <c r="J10431" i="1"/>
  <c r="J10430" i="1"/>
  <c r="J10429" i="1"/>
  <c r="J10428" i="1"/>
  <c r="J10427" i="1"/>
  <c r="J10426" i="1"/>
  <c r="J10425" i="1"/>
  <c r="J10424" i="1"/>
  <c r="J10423" i="1"/>
  <c r="J10422" i="1"/>
  <c r="J10421" i="1"/>
  <c r="J10420" i="1"/>
  <c r="J10419" i="1"/>
  <c r="J10418" i="1"/>
  <c r="J10417" i="1"/>
  <c r="J10416" i="1"/>
  <c r="J10415" i="1"/>
  <c r="J10414" i="1"/>
  <c r="J10413" i="1"/>
  <c r="J10412" i="1"/>
  <c r="J10411" i="1"/>
  <c r="J10410" i="1"/>
  <c r="J10409" i="1"/>
  <c r="J10408" i="1"/>
  <c r="J10407" i="1"/>
  <c r="J10406" i="1"/>
  <c r="J10405" i="1"/>
  <c r="J10404" i="1"/>
  <c r="J10403" i="1"/>
  <c r="J10402" i="1"/>
  <c r="J10401" i="1"/>
  <c r="J10400" i="1"/>
  <c r="J10399" i="1"/>
  <c r="J10398" i="1"/>
  <c r="J10397" i="1"/>
  <c r="J10396" i="1"/>
  <c r="J10395" i="1"/>
  <c r="J10394" i="1"/>
  <c r="J10393" i="1"/>
  <c r="J10392" i="1"/>
  <c r="J10391" i="1"/>
  <c r="J10390" i="1"/>
  <c r="J10389" i="1"/>
  <c r="J10388" i="1"/>
  <c r="J10387" i="1"/>
  <c r="J10386" i="1"/>
  <c r="J10385" i="1"/>
  <c r="J10384" i="1"/>
  <c r="J10383" i="1"/>
  <c r="J10382" i="1"/>
  <c r="J10381" i="1"/>
  <c r="J10380" i="1"/>
  <c r="J10379" i="1"/>
  <c r="J10378" i="1"/>
  <c r="J10377" i="1"/>
  <c r="J10376" i="1"/>
  <c r="J10375" i="1"/>
  <c r="J10374" i="1"/>
  <c r="J10373" i="1"/>
  <c r="J10372" i="1"/>
  <c r="J10371" i="1"/>
  <c r="J10370" i="1"/>
  <c r="J10369" i="1"/>
  <c r="J10368" i="1"/>
  <c r="J10367" i="1"/>
  <c r="J10366" i="1"/>
  <c r="J10365" i="1"/>
  <c r="J10364" i="1"/>
  <c r="J10363" i="1"/>
  <c r="J10362" i="1"/>
  <c r="J10361" i="1"/>
  <c r="J10360" i="1"/>
  <c r="J10359" i="1"/>
  <c r="J10358" i="1"/>
  <c r="J10357" i="1"/>
  <c r="J10356" i="1"/>
  <c r="J10355" i="1"/>
  <c r="J10354" i="1"/>
  <c r="J10353" i="1"/>
  <c r="J10352" i="1"/>
  <c r="J10351" i="1"/>
  <c r="J10350" i="1"/>
  <c r="J10349" i="1"/>
  <c r="J10348" i="1"/>
  <c r="J10347" i="1"/>
  <c r="J10346" i="1"/>
  <c r="J10345" i="1"/>
  <c r="J10344" i="1"/>
  <c r="J10343" i="1"/>
  <c r="J10342" i="1"/>
  <c r="J10341" i="1"/>
  <c r="J10340" i="1"/>
  <c r="J10339" i="1"/>
  <c r="J10338" i="1"/>
  <c r="J10337" i="1"/>
  <c r="J10336" i="1"/>
  <c r="J10335" i="1"/>
  <c r="J10334" i="1"/>
  <c r="J10333" i="1"/>
  <c r="J10332" i="1"/>
  <c r="J10331" i="1"/>
  <c r="J10330" i="1"/>
  <c r="J10329" i="1"/>
  <c r="J10328" i="1"/>
  <c r="J10327" i="1"/>
  <c r="J10326" i="1"/>
  <c r="J10325" i="1"/>
  <c r="J10324" i="1"/>
  <c r="J10323" i="1"/>
  <c r="J10322" i="1"/>
  <c r="J10321" i="1"/>
  <c r="J10320" i="1"/>
  <c r="J10319" i="1"/>
  <c r="J10318" i="1"/>
  <c r="J10317" i="1"/>
  <c r="J10316" i="1"/>
  <c r="J10315" i="1"/>
  <c r="J10314" i="1"/>
  <c r="J10313" i="1"/>
  <c r="J10312" i="1"/>
  <c r="J10311" i="1"/>
  <c r="J10310" i="1"/>
  <c r="J10309" i="1"/>
  <c r="J10308" i="1"/>
  <c r="J10307" i="1"/>
  <c r="J10306" i="1"/>
  <c r="J10305" i="1"/>
  <c r="J10304" i="1"/>
  <c r="J10303" i="1"/>
  <c r="J10302" i="1"/>
  <c r="J10301" i="1"/>
  <c r="J10300" i="1"/>
  <c r="J10299" i="1"/>
  <c r="J10298" i="1"/>
  <c r="J10297" i="1"/>
  <c r="J10296" i="1"/>
  <c r="J10295" i="1"/>
  <c r="J10294" i="1"/>
  <c r="J10293" i="1"/>
  <c r="J10292" i="1"/>
  <c r="J10291" i="1"/>
  <c r="J10290" i="1"/>
  <c r="J10289" i="1"/>
  <c r="J10288" i="1"/>
  <c r="J10287" i="1"/>
  <c r="J10286" i="1"/>
  <c r="J10285" i="1"/>
  <c r="J10284" i="1"/>
  <c r="J10283" i="1"/>
  <c r="J10282" i="1"/>
  <c r="J10281" i="1"/>
  <c r="J10280" i="1"/>
  <c r="J10279" i="1"/>
  <c r="J10278" i="1"/>
  <c r="J10277" i="1"/>
  <c r="J10276" i="1"/>
  <c r="J10275" i="1"/>
  <c r="J10274" i="1"/>
  <c r="J10273" i="1"/>
  <c r="J10272" i="1"/>
  <c r="J10271" i="1"/>
  <c r="J10270" i="1"/>
  <c r="J10269" i="1"/>
  <c r="J10268" i="1"/>
  <c r="J10267" i="1"/>
  <c r="J10266" i="1"/>
  <c r="J10265" i="1"/>
  <c r="J10264" i="1"/>
  <c r="J10263" i="1"/>
  <c r="J10262" i="1"/>
  <c r="J10261" i="1"/>
  <c r="J10260" i="1"/>
  <c r="J10259" i="1"/>
  <c r="J10258" i="1"/>
  <c r="J10257" i="1"/>
  <c r="J10256" i="1"/>
  <c r="J10255" i="1"/>
  <c r="J10254" i="1"/>
  <c r="J10253" i="1"/>
  <c r="J10252" i="1"/>
  <c r="J10251" i="1"/>
  <c r="J10250" i="1"/>
  <c r="J10249" i="1"/>
  <c r="J10248" i="1"/>
  <c r="J10247" i="1"/>
  <c r="J10246" i="1"/>
  <c r="J10245" i="1"/>
  <c r="J10244" i="1"/>
  <c r="J10243" i="1"/>
  <c r="J10242" i="1"/>
  <c r="J10241" i="1"/>
  <c r="J10240" i="1"/>
  <c r="J10239" i="1"/>
  <c r="J10238" i="1"/>
  <c r="J10237" i="1"/>
  <c r="J10236" i="1"/>
  <c r="J10235" i="1"/>
  <c r="J10234" i="1"/>
  <c r="J10233" i="1"/>
  <c r="J10232" i="1"/>
  <c r="J10231" i="1"/>
  <c r="J10230" i="1"/>
  <c r="J10229" i="1"/>
  <c r="J10228" i="1"/>
  <c r="J10227" i="1"/>
  <c r="J10226" i="1"/>
  <c r="J10225" i="1"/>
  <c r="J10224" i="1"/>
  <c r="J10223" i="1"/>
  <c r="J10222" i="1"/>
  <c r="J10221" i="1"/>
  <c r="J10220" i="1"/>
  <c r="J10219" i="1"/>
  <c r="J10218" i="1"/>
  <c r="J10217" i="1"/>
  <c r="J10216" i="1"/>
  <c r="J10215" i="1"/>
  <c r="J10214" i="1"/>
  <c r="J10213" i="1"/>
  <c r="J10212" i="1"/>
  <c r="J10211" i="1"/>
  <c r="J10210" i="1"/>
  <c r="J10209" i="1"/>
  <c r="J10208" i="1"/>
  <c r="J10207" i="1"/>
  <c r="J10206" i="1"/>
  <c r="J10205" i="1"/>
  <c r="J10204" i="1"/>
  <c r="J10203" i="1"/>
  <c r="J10202" i="1"/>
  <c r="J10201" i="1"/>
  <c r="J10200" i="1"/>
  <c r="J10199" i="1"/>
  <c r="J10198" i="1"/>
  <c r="J10197" i="1"/>
  <c r="J10196" i="1"/>
  <c r="J10195" i="1"/>
  <c r="J10194" i="1"/>
  <c r="J10193" i="1"/>
  <c r="J10192" i="1"/>
  <c r="J10191" i="1"/>
  <c r="J10190" i="1"/>
  <c r="J10189" i="1"/>
  <c r="J10188" i="1"/>
  <c r="J10187" i="1"/>
  <c r="J10186" i="1"/>
  <c r="J10185" i="1"/>
  <c r="J10184" i="1"/>
  <c r="J10183" i="1"/>
  <c r="J10182" i="1"/>
  <c r="J10181" i="1"/>
  <c r="J10180" i="1"/>
  <c r="J10179" i="1"/>
  <c r="J10178" i="1"/>
  <c r="J10177" i="1"/>
  <c r="J10176" i="1"/>
  <c r="J10175" i="1"/>
  <c r="J10174" i="1"/>
  <c r="J10173" i="1"/>
  <c r="J10172" i="1"/>
  <c r="J10171" i="1"/>
  <c r="J10170" i="1"/>
  <c r="J10169" i="1"/>
  <c r="J10168" i="1"/>
  <c r="J10167" i="1"/>
  <c r="J10166" i="1"/>
  <c r="J10165" i="1"/>
  <c r="J10164" i="1"/>
  <c r="J10163" i="1"/>
  <c r="J10162" i="1"/>
  <c r="J10161" i="1"/>
  <c r="J10160" i="1"/>
  <c r="J10159" i="1"/>
  <c r="J10158" i="1"/>
  <c r="J10157" i="1"/>
  <c r="J10156" i="1"/>
  <c r="J10155" i="1"/>
  <c r="J10154" i="1"/>
  <c r="J10153" i="1"/>
  <c r="J10152" i="1"/>
  <c r="J10151" i="1"/>
  <c r="J10150" i="1"/>
  <c r="J10149" i="1"/>
  <c r="J10148" i="1"/>
  <c r="J10147" i="1"/>
  <c r="J10146" i="1"/>
  <c r="J10145" i="1"/>
  <c r="J10144" i="1"/>
  <c r="J10143" i="1"/>
  <c r="J10142" i="1"/>
  <c r="J10141" i="1"/>
  <c r="J10140" i="1"/>
  <c r="J10139" i="1"/>
  <c r="J10138" i="1"/>
  <c r="J10137" i="1"/>
  <c r="J10136" i="1"/>
  <c r="J10135" i="1"/>
  <c r="J10134" i="1"/>
  <c r="J10133" i="1"/>
  <c r="J10132" i="1"/>
  <c r="J10131" i="1"/>
  <c r="J10130" i="1"/>
  <c r="J10129" i="1"/>
  <c r="J10128" i="1"/>
  <c r="J10127" i="1"/>
  <c r="J10126" i="1"/>
  <c r="J10125" i="1"/>
  <c r="J10124" i="1"/>
  <c r="J10123" i="1"/>
  <c r="J10122" i="1"/>
  <c r="J10121" i="1"/>
  <c r="J10120" i="1"/>
  <c r="J10119" i="1"/>
  <c r="J10118" i="1"/>
  <c r="J10117" i="1"/>
  <c r="J10116" i="1"/>
  <c r="J10115" i="1"/>
  <c r="J10114" i="1"/>
  <c r="J10113" i="1"/>
  <c r="J10112" i="1"/>
  <c r="J10111" i="1"/>
  <c r="J10110" i="1"/>
  <c r="J10109" i="1"/>
  <c r="J10108" i="1"/>
  <c r="J10107" i="1"/>
  <c r="J10106" i="1"/>
  <c r="J10105" i="1"/>
  <c r="J10104" i="1"/>
  <c r="J10103" i="1"/>
  <c r="J10102" i="1"/>
  <c r="J10101" i="1"/>
  <c r="J10100" i="1"/>
  <c r="J10099" i="1"/>
  <c r="J10098" i="1"/>
  <c r="J10097" i="1"/>
  <c r="J10096" i="1"/>
  <c r="J10095" i="1"/>
  <c r="J10094" i="1"/>
  <c r="J10093" i="1"/>
  <c r="J10092" i="1"/>
  <c r="J10091" i="1"/>
  <c r="J10090" i="1"/>
  <c r="J10089" i="1"/>
  <c r="J10088" i="1"/>
  <c r="J10087" i="1"/>
  <c r="J10086" i="1"/>
  <c r="J10085" i="1"/>
  <c r="J10084" i="1"/>
  <c r="J10083" i="1"/>
  <c r="J10082" i="1"/>
  <c r="J10081" i="1"/>
  <c r="J10080" i="1"/>
  <c r="J10079" i="1"/>
  <c r="J10078" i="1"/>
  <c r="J10077" i="1"/>
  <c r="J10076" i="1"/>
  <c r="J10075" i="1"/>
  <c r="J10074" i="1"/>
  <c r="J10073" i="1"/>
  <c r="J10072" i="1"/>
  <c r="J10071" i="1"/>
  <c r="J10070" i="1"/>
  <c r="J10069" i="1"/>
  <c r="J10068" i="1"/>
  <c r="J10067" i="1"/>
  <c r="J10066" i="1"/>
  <c r="J10065" i="1"/>
  <c r="J10064" i="1"/>
  <c r="J10063" i="1"/>
  <c r="J10062" i="1"/>
  <c r="J10061" i="1"/>
  <c r="J10060" i="1"/>
  <c r="J10059" i="1"/>
  <c r="J10058" i="1"/>
  <c r="J10057" i="1"/>
  <c r="J10056" i="1"/>
  <c r="J10055" i="1"/>
  <c r="J10054" i="1"/>
  <c r="J10053" i="1"/>
  <c r="J10052" i="1"/>
  <c r="J10051" i="1"/>
  <c r="J10050" i="1"/>
  <c r="J10049" i="1"/>
  <c r="J10048" i="1"/>
  <c r="J10047" i="1"/>
  <c r="J10046" i="1"/>
  <c r="J10045" i="1"/>
  <c r="J10044" i="1"/>
  <c r="J10043" i="1"/>
  <c r="J10042" i="1"/>
  <c r="J10041" i="1"/>
  <c r="J10040" i="1"/>
  <c r="J10039" i="1"/>
  <c r="J10038" i="1"/>
  <c r="J10037" i="1"/>
  <c r="J10036" i="1"/>
  <c r="J10035" i="1"/>
  <c r="J10034" i="1"/>
  <c r="J10033" i="1"/>
  <c r="J10032" i="1"/>
  <c r="J10031" i="1"/>
  <c r="J10030" i="1"/>
  <c r="J10029" i="1"/>
  <c r="J10028" i="1"/>
  <c r="J10027" i="1"/>
  <c r="J10026" i="1"/>
  <c r="J10025" i="1"/>
  <c r="J10024" i="1"/>
  <c r="J10023" i="1"/>
  <c r="J10022" i="1"/>
  <c r="J10021" i="1"/>
  <c r="J10020" i="1"/>
  <c r="J10019" i="1"/>
  <c r="J10018" i="1"/>
  <c r="J10017" i="1"/>
  <c r="J10016" i="1"/>
  <c r="J10015" i="1"/>
  <c r="J10014" i="1"/>
  <c r="J10013" i="1"/>
  <c r="J10012" i="1"/>
  <c r="J10011" i="1"/>
  <c r="J10010" i="1"/>
  <c r="J10009" i="1"/>
  <c r="J10008" i="1"/>
  <c r="J10007" i="1"/>
  <c r="J10006" i="1"/>
  <c r="J10005" i="1"/>
  <c r="J10004" i="1"/>
  <c r="J10003" i="1"/>
  <c r="J10002" i="1"/>
  <c r="J10001" i="1"/>
  <c r="J10000" i="1"/>
  <c r="J9999" i="1"/>
  <c r="J9998" i="1"/>
  <c r="J9997" i="1"/>
  <c r="J9996" i="1"/>
  <c r="J9995" i="1"/>
  <c r="J9994" i="1"/>
  <c r="J9993" i="1"/>
  <c r="J9992" i="1"/>
  <c r="J9991" i="1"/>
  <c r="J9990" i="1"/>
  <c r="J9989" i="1"/>
  <c r="J9988" i="1"/>
  <c r="J9987" i="1"/>
  <c r="J9986" i="1"/>
  <c r="J9985" i="1"/>
  <c r="J9984" i="1"/>
  <c r="J9983" i="1"/>
  <c r="J9982" i="1"/>
  <c r="J9981" i="1"/>
  <c r="J9980" i="1"/>
  <c r="J9979" i="1"/>
  <c r="J9978" i="1"/>
  <c r="J9977" i="1"/>
  <c r="J9976" i="1"/>
  <c r="J9975" i="1"/>
  <c r="J9974" i="1"/>
  <c r="J9973" i="1"/>
  <c r="J9972" i="1"/>
  <c r="J9971" i="1"/>
  <c r="J9970" i="1"/>
  <c r="J9969" i="1"/>
  <c r="J9968" i="1"/>
  <c r="J9967" i="1"/>
  <c r="J9966" i="1"/>
  <c r="J9965" i="1"/>
  <c r="J9964" i="1"/>
  <c r="J9963" i="1"/>
  <c r="J9962" i="1"/>
  <c r="J9961" i="1"/>
  <c r="J9960" i="1"/>
  <c r="J9959" i="1"/>
  <c r="J9958" i="1"/>
  <c r="J9957" i="1"/>
  <c r="J9956" i="1"/>
  <c r="J9955" i="1"/>
  <c r="J9954" i="1"/>
  <c r="J9953" i="1"/>
  <c r="J9952" i="1"/>
  <c r="J9951" i="1"/>
  <c r="J9950" i="1"/>
  <c r="J9949" i="1"/>
  <c r="J9948" i="1"/>
  <c r="J9947" i="1"/>
  <c r="J9946" i="1"/>
  <c r="J9945" i="1"/>
  <c r="J9944" i="1"/>
  <c r="J9943" i="1"/>
  <c r="J9942" i="1"/>
  <c r="J9941" i="1"/>
  <c r="J9940" i="1"/>
  <c r="J9939" i="1"/>
  <c r="J9938" i="1"/>
  <c r="J9937" i="1"/>
  <c r="J9936" i="1"/>
  <c r="J9935" i="1"/>
  <c r="J9934" i="1"/>
  <c r="J9933" i="1"/>
  <c r="J9932" i="1"/>
  <c r="J9931" i="1"/>
  <c r="J9930" i="1"/>
  <c r="J9929" i="1"/>
  <c r="J9928" i="1"/>
  <c r="J9927" i="1"/>
  <c r="J9926" i="1"/>
  <c r="J9925" i="1"/>
  <c r="J9924" i="1"/>
  <c r="J9923" i="1"/>
  <c r="J9922" i="1"/>
  <c r="J9921" i="1"/>
  <c r="J9920" i="1"/>
  <c r="J9919" i="1"/>
  <c r="J9918" i="1"/>
  <c r="J9917" i="1"/>
  <c r="J9916" i="1"/>
  <c r="J9915" i="1"/>
  <c r="J9914" i="1"/>
  <c r="J9913" i="1"/>
  <c r="J9912" i="1"/>
  <c r="J9911" i="1"/>
  <c r="J9910" i="1"/>
  <c r="J9909" i="1"/>
  <c r="J9908" i="1"/>
  <c r="J9907" i="1"/>
  <c r="J9906" i="1"/>
  <c r="J9905" i="1"/>
  <c r="J9904" i="1"/>
  <c r="J9903" i="1"/>
  <c r="J9902" i="1"/>
  <c r="J9901" i="1"/>
  <c r="J9900" i="1"/>
  <c r="J9899" i="1"/>
  <c r="J9898" i="1"/>
  <c r="J9897" i="1"/>
  <c r="J9896" i="1"/>
  <c r="J9895" i="1"/>
  <c r="J9894" i="1"/>
  <c r="J9893" i="1"/>
  <c r="J9892" i="1"/>
  <c r="J9891" i="1"/>
  <c r="J9890" i="1"/>
  <c r="J9889" i="1"/>
  <c r="J9888" i="1"/>
  <c r="J9887" i="1"/>
  <c r="J9886" i="1"/>
  <c r="J9885" i="1"/>
  <c r="J9884" i="1"/>
  <c r="J9883" i="1"/>
  <c r="J9882" i="1"/>
  <c r="J9881" i="1"/>
  <c r="J9880" i="1"/>
  <c r="J9879" i="1"/>
  <c r="J9878" i="1"/>
  <c r="J9877" i="1"/>
  <c r="J9876" i="1"/>
  <c r="J9875" i="1"/>
  <c r="J9874" i="1"/>
  <c r="J9873" i="1"/>
  <c r="J9872" i="1"/>
  <c r="J9871" i="1"/>
  <c r="J9870" i="1"/>
  <c r="J9869" i="1"/>
  <c r="J9868" i="1"/>
  <c r="J9867" i="1"/>
  <c r="J9866" i="1"/>
  <c r="J9865" i="1"/>
  <c r="J9864" i="1"/>
  <c r="J9863" i="1"/>
  <c r="J9862" i="1"/>
  <c r="J9861" i="1"/>
  <c r="J9860" i="1"/>
  <c r="J9859" i="1"/>
  <c r="J9858" i="1"/>
  <c r="J9857" i="1"/>
  <c r="J9856" i="1"/>
  <c r="J9855" i="1"/>
  <c r="J9854" i="1"/>
  <c r="J9853" i="1"/>
  <c r="J9852" i="1"/>
  <c r="J9851" i="1"/>
  <c r="J9850" i="1"/>
  <c r="J9849" i="1"/>
  <c r="J9848" i="1"/>
  <c r="J9847" i="1"/>
  <c r="J9846" i="1"/>
  <c r="J9845" i="1"/>
  <c r="J9844" i="1"/>
  <c r="J9843" i="1"/>
  <c r="J9842" i="1"/>
  <c r="J9841" i="1"/>
  <c r="J9840" i="1"/>
  <c r="J9839" i="1"/>
  <c r="J9838" i="1"/>
  <c r="J9837" i="1"/>
  <c r="J9836" i="1"/>
  <c r="J9835" i="1"/>
  <c r="J9834" i="1"/>
  <c r="J9833" i="1"/>
  <c r="J9832" i="1"/>
  <c r="J9831" i="1"/>
  <c r="J9830" i="1"/>
  <c r="J9829" i="1"/>
  <c r="J9828" i="1"/>
  <c r="J9827" i="1"/>
  <c r="J9826" i="1"/>
  <c r="J9825" i="1"/>
  <c r="J9824" i="1"/>
  <c r="J9823" i="1"/>
  <c r="J9822" i="1"/>
  <c r="J9821" i="1"/>
  <c r="J9820" i="1"/>
  <c r="J9819" i="1"/>
  <c r="J9818" i="1"/>
  <c r="J9817" i="1"/>
  <c r="J9816" i="1"/>
  <c r="J9815" i="1"/>
  <c r="J9814" i="1"/>
  <c r="J9813" i="1"/>
  <c r="J9812" i="1"/>
  <c r="J9811" i="1"/>
  <c r="J9810" i="1"/>
  <c r="J9809" i="1"/>
  <c r="J9808" i="1"/>
  <c r="J9807" i="1"/>
  <c r="J9806" i="1"/>
  <c r="J9805" i="1"/>
  <c r="J9804" i="1"/>
  <c r="J9803" i="1"/>
  <c r="J9802" i="1"/>
  <c r="J9801" i="1"/>
  <c r="J9800" i="1"/>
  <c r="J9799" i="1"/>
  <c r="J9798" i="1"/>
  <c r="J9797" i="1"/>
  <c r="J9796" i="1"/>
  <c r="J9795" i="1"/>
  <c r="J9794" i="1"/>
  <c r="J9793" i="1"/>
  <c r="J9792" i="1"/>
  <c r="J9791" i="1"/>
  <c r="J9790" i="1"/>
  <c r="J9789" i="1"/>
  <c r="J9788" i="1"/>
  <c r="J9787" i="1"/>
  <c r="J9786" i="1"/>
  <c r="J9785" i="1"/>
  <c r="J9784" i="1"/>
  <c r="J9783" i="1"/>
  <c r="J9782" i="1"/>
  <c r="J9781" i="1"/>
  <c r="J9780" i="1"/>
  <c r="J9779" i="1"/>
  <c r="J9778" i="1"/>
  <c r="J9777" i="1"/>
  <c r="J9776" i="1"/>
  <c r="J9775" i="1"/>
  <c r="J9774" i="1"/>
  <c r="J9773" i="1"/>
  <c r="J9772" i="1"/>
  <c r="J9771" i="1"/>
  <c r="J9770" i="1"/>
  <c r="J9769" i="1"/>
  <c r="J9768" i="1"/>
  <c r="J9767" i="1"/>
  <c r="J9766" i="1"/>
  <c r="J9765" i="1"/>
  <c r="J9764" i="1"/>
  <c r="J9763" i="1"/>
  <c r="J9762" i="1"/>
  <c r="J9761" i="1"/>
  <c r="J9760" i="1"/>
  <c r="J9759" i="1"/>
  <c r="J9758" i="1"/>
  <c r="J9757" i="1"/>
  <c r="J9756" i="1"/>
  <c r="J9755" i="1"/>
  <c r="J9754" i="1"/>
  <c r="J9753" i="1"/>
  <c r="J9752" i="1"/>
  <c r="J9751" i="1"/>
  <c r="J9750" i="1"/>
  <c r="J9749" i="1"/>
  <c r="J9748" i="1"/>
  <c r="J9747" i="1"/>
  <c r="J9746" i="1"/>
  <c r="J9745" i="1"/>
  <c r="J9744" i="1"/>
  <c r="J9743" i="1"/>
  <c r="J9742" i="1"/>
  <c r="J9741" i="1"/>
  <c r="J9740" i="1"/>
  <c r="J9739" i="1"/>
  <c r="J9738" i="1"/>
  <c r="J9737" i="1"/>
  <c r="J9736" i="1"/>
  <c r="J9735" i="1"/>
  <c r="J9734" i="1"/>
  <c r="J9733" i="1"/>
  <c r="J9732" i="1"/>
  <c r="J9731" i="1"/>
  <c r="J9730" i="1"/>
  <c r="J9729" i="1"/>
  <c r="J9728" i="1"/>
  <c r="J9727" i="1"/>
  <c r="J9726" i="1"/>
  <c r="J9725" i="1"/>
  <c r="J9724" i="1"/>
  <c r="J9723" i="1"/>
  <c r="J9722" i="1"/>
  <c r="J9721" i="1"/>
  <c r="J9720" i="1"/>
  <c r="J9719" i="1"/>
  <c r="J9718" i="1"/>
  <c r="J9717" i="1"/>
  <c r="J9716" i="1"/>
  <c r="J9715" i="1"/>
  <c r="J9714" i="1"/>
  <c r="J9713" i="1"/>
  <c r="J9712" i="1"/>
  <c r="J9711" i="1"/>
  <c r="J9710" i="1"/>
  <c r="J9709" i="1"/>
  <c r="J9708" i="1"/>
  <c r="J9707" i="1"/>
  <c r="J9706" i="1"/>
  <c r="J9705" i="1"/>
  <c r="J9704" i="1"/>
  <c r="J9703" i="1"/>
  <c r="J9702" i="1"/>
  <c r="J9701" i="1"/>
  <c r="J9700" i="1"/>
  <c r="J9699" i="1"/>
  <c r="J9698" i="1"/>
  <c r="J9697" i="1"/>
  <c r="J9696" i="1"/>
  <c r="J9695" i="1"/>
  <c r="J9694" i="1"/>
  <c r="J9693" i="1"/>
  <c r="J9692" i="1"/>
  <c r="J9691" i="1"/>
  <c r="J9690" i="1"/>
  <c r="J9689" i="1"/>
  <c r="J9688" i="1"/>
  <c r="J9687" i="1"/>
  <c r="J9686" i="1"/>
  <c r="J9685" i="1"/>
  <c r="J9684" i="1"/>
  <c r="J9683" i="1"/>
  <c r="J9682" i="1"/>
  <c r="J9681" i="1"/>
  <c r="J9680" i="1"/>
  <c r="J9679" i="1"/>
  <c r="J9678" i="1"/>
  <c r="J9677" i="1"/>
  <c r="J9676" i="1"/>
  <c r="J9675" i="1"/>
  <c r="J9674" i="1"/>
  <c r="J9673" i="1"/>
  <c r="J9672" i="1"/>
  <c r="J9671" i="1"/>
  <c r="J9670" i="1"/>
  <c r="J9669" i="1"/>
  <c r="J9668" i="1"/>
  <c r="J9667" i="1"/>
  <c r="J9666" i="1"/>
  <c r="J9665" i="1"/>
  <c r="J9664" i="1"/>
  <c r="J9663" i="1"/>
  <c r="J9662" i="1"/>
  <c r="J9661" i="1"/>
  <c r="J9660" i="1"/>
  <c r="J9659" i="1"/>
  <c r="J9658" i="1"/>
  <c r="J9657" i="1"/>
  <c r="J9656" i="1"/>
  <c r="J9655" i="1"/>
  <c r="J9654" i="1"/>
  <c r="J9653" i="1"/>
  <c r="J9652" i="1"/>
  <c r="J9651" i="1"/>
  <c r="J9650" i="1"/>
  <c r="J9649" i="1"/>
  <c r="J9648" i="1"/>
  <c r="J9647" i="1"/>
  <c r="J9646" i="1"/>
  <c r="J9645" i="1"/>
  <c r="J9644" i="1"/>
  <c r="J9643" i="1"/>
  <c r="J9642" i="1"/>
  <c r="J9641" i="1"/>
  <c r="J9640" i="1"/>
  <c r="J9639" i="1"/>
  <c r="J9638" i="1"/>
  <c r="J9637" i="1"/>
  <c r="J9636" i="1"/>
  <c r="J9635" i="1"/>
  <c r="J9634" i="1"/>
  <c r="J9633" i="1"/>
  <c r="J9632" i="1"/>
  <c r="J9631" i="1"/>
  <c r="J9630" i="1"/>
  <c r="J9629" i="1"/>
  <c r="J9628" i="1"/>
  <c r="J9627" i="1"/>
  <c r="J9626" i="1"/>
  <c r="J9625" i="1"/>
  <c r="J9624" i="1"/>
  <c r="J9623" i="1"/>
  <c r="J9622" i="1"/>
  <c r="J9621" i="1"/>
  <c r="J9620" i="1"/>
  <c r="J9619" i="1"/>
  <c r="J9618" i="1"/>
  <c r="J9617" i="1"/>
  <c r="J9616" i="1"/>
  <c r="J9615" i="1"/>
  <c r="J9614" i="1"/>
  <c r="J9613" i="1"/>
  <c r="J9612" i="1"/>
  <c r="J9611" i="1"/>
  <c r="J9610" i="1"/>
  <c r="J9609" i="1"/>
  <c r="J9608" i="1"/>
  <c r="J9607" i="1"/>
  <c r="J9606" i="1"/>
  <c r="J9605" i="1"/>
  <c r="J9604" i="1"/>
  <c r="J9603" i="1"/>
  <c r="J9602" i="1"/>
  <c r="J9601" i="1"/>
  <c r="J9600" i="1"/>
  <c r="J9599" i="1"/>
  <c r="J9598" i="1"/>
  <c r="J9597" i="1"/>
  <c r="J9596" i="1"/>
  <c r="J9595" i="1"/>
  <c r="J9594" i="1"/>
  <c r="J9593" i="1"/>
  <c r="J9592" i="1"/>
  <c r="J9591" i="1"/>
  <c r="J9590" i="1"/>
  <c r="J9589" i="1"/>
  <c r="J9588" i="1"/>
  <c r="J9587" i="1"/>
  <c r="J9586" i="1"/>
  <c r="J9585" i="1"/>
  <c r="J9584" i="1"/>
  <c r="J9583" i="1"/>
  <c r="J9582" i="1"/>
  <c r="J9581" i="1"/>
  <c r="J9580" i="1"/>
  <c r="J9579" i="1"/>
  <c r="J9578" i="1"/>
  <c r="J9577" i="1"/>
  <c r="J9576" i="1"/>
  <c r="J9575" i="1"/>
  <c r="J9574" i="1"/>
  <c r="J9573" i="1"/>
  <c r="J9572" i="1"/>
  <c r="J9571" i="1"/>
  <c r="J9570" i="1"/>
  <c r="J9569" i="1"/>
  <c r="J9568" i="1"/>
  <c r="J9567" i="1"/>
  <c r="J9566" i="1"/>
  <c r="J9565" i="1"/>
  <c r="J9564" i="1"/>
  <c r="J9563" i="1"/>
  <c r="J9562" i="1"/>
  <c r="J9561" i="1"/>
  <c r="J9560" i="1"/>
  <c r="J9559" i="1"/>
  <c r="J9558" i="1"/>
  <c r="J9557" i="1"/>
  <c r="J9556" i="1"/>
  <c r="J9555" i="1"/>
  <c r="J9554" i="1"/>
  <c r="J9553" i="1"/>
  <c r="J9552" i="1"/>
  <c r="J9551" i="1"/>
  <c r="J9550" i="1"/>
  <c r="J9549" i="1"/>
  <c r="J9548" i="1"/>
  <c r="J9547" i="1"/>
  <c r="J9546" i="1"/>
  <c r="J9545" i="1"/>
  <c r="J9544" i="1"/>
  <c r="J9543" i="1"/>
  <c r="J9542" i="1"/>
  <c r="J9541" i="1"/>
  <c r="J9540" i="1"/>
  <c r="J9539" i="1"/>
  <c r="J9538" i="1"/>
  <c r="J9537" i="1"/>
  <c r="J9536" i="1"/>
  <c r="J9535" i="1"/>
  <c r="J9534" i="1"/>
  <c r="J9533" i="1"/>
  <c r="J9532" i="1"/>
  <c r="J9531" i="1"/>
  <c r="J9530" i="1"/>
  <c r="J9529" i="1"/>
  <c r="J9528" i="1"/>
  <c r="J9527" i="1"/>
  <c r="J9526" i="1"/>
  <c r="J9525" i="1"/>
  <c r="J9524" i="1"/>
  <c r="J9523" i="1"/>
  <c r="J9522" i="1"/>
  <c r="J9521" i="1"/>
  <c r="J9520" i="1"/>
  <c r="J9519" i="1"/>
  <c r="J9518" i="1"/>
  <c r="J9517" i="1"/>
  <c r="J9516" i="1"/>
  <c r="J9515" i="1"/>
  <c r="J9514" i="1"/>
  <c r="J9513" i="1"/>
  <c r="J9512" i="1"/>
  <c r="J9511" i="1"/>
  <c r="J9510" i="1"/>
  <c r="J9509" i="1"/>
  <c r="J9508" i="1"/>
  <c r="J9507" i="1"/>
  <c r="J9506" i="1"/>
  <c r="J9505" i="1"/>
  <c r="J9504" i="1"/>
  <c r="J9503" i="1"/>
  <c r="J9502" i="1"/>
  <c r="J9501" i="1"/>
  <c r="J9500" i="1"/>
  <c r="J9499" i="1"/>
  <c r="J9498" i="1"/>
  <c r="J9497" i="1"/>
  <c r="J9496" i="1"/>
  <c r="J9495" i="1"/>
  <c r="J9494" i="1"/>
  <c r="J9493" i="1"/>
  <c r="J9492" i="1"/>
  <c r="J9491" i="1"/>
  <c r="J9490" i="1"/>
  <c r="J9489" i="1"/>
  <c r="J9488" i="1"/>
  <c r="J9487" i="1"/>
  <c r="J9486" i="1"/>
  <c r="J9485" i="1"/>
  <c r="J9484" i="1"/>
  <c r="J9483" i="1"/>
  <c r="J9482" i="1"/>
  <c r="J9481" i="1"/>
  <c r="J9480" i="1"/>
  <c r="J9479" i="1"/>
  <c r="J9478" i="1"/>
  <c r="J9477" i="1"/>
  <c r="J9476" i="1"/>
  <c r="J9475" i="1"/>
  <c r="J9474" i="1"/>
  <c r="J9473" i="1"/>
  <c r="J9472" i="1"/>
  <c r="J9471" i="1"/>
  <c r="J9470" i="1"/>
  <c r="J9469" i="1"/>
  <c r="J9468" i="1"/>
  <c r="J9467" i="1"/>
  <c r="J9466" i="1"/>
  <c r="J9465" i="1"/>
  <c r="J9464" i="1"/>
  <c r="J9463" i="1"/>
  <c r="J9462" i="1"/>
  <c r="J9461" i="1"/>
  <c r="J9460" i="1"/>
  <c r="J9459" i="1"/>
  <c r="J9458" i="1"/>
  <c r="J9457" i="1"/>
  <c r="J9456" i="1"/>
  <c r="J9455" i="1"/>
  <c r="J9454" i="1"/>
  <c r="J9453" i="1"/>
  <c r="J9452" i="1"/>
  <c r="J9451" i="1"/>
  <c r="J9450" i="1"/>
  <c r="J9449" i="1"/>
  <c r="J9448" i="1"/>
  <c r="J9447" i="1"/>
  <c r="J9446" i="1"/>
  <c r="J9445" i="1"/>
  <c r="J9444" i="1"/>
  <c r="J9443" i="1"/>
  <c r="J9442" i="1"/>
  <c r="J9441" i="1"/>
  <c r="J9440" i="1"/>
  <c r="J9439" i="1"/>
  <c r="J9438" i="1"/>
  <c r="J9437" i="1"/>
  <c r="J9436" i="1"/>
  <c r="J9435" i="1"/>
  <c r="J9434" i="1"/>
  <c r="J9433" i="1"/>
  <c r="J9432" i="1"/>
  <c r="J9431" i="1"/>
  <c r="J9430" i="1"/>
  <c r="J9429" i="1"/>
  <c r="J9428" i="1"/>
  <c r="J9427" i="1"/>
  <c r="J9426" i="1"/>
  <c r="J9425" i="1"/>
  <c r="J9424" i="1"/>
  <c r="J9423" i="1"/>
  <c r="J9422" i="1"/>
  <c r="J9421" i="1"/>
  <c r="J9420" i="1"/>
  <c r="J9419" i="1"/>
  <c r="J9418" i="1"/>
  <c r="J9417" i="1"/>
  <c r="J9416" i="1"/>
  <c r="J9415" i="1"/>
  <c r="J9414" i="1"/>
  <c r="J9413" i="1"/>
  <c r="J9412" i="1"/>
  <c r="J9411" i="1"/>
  <c r="J9410" i="1"/>
  <c r="J9409" i="1"/>
  <c r="J9408" i="1"/>
  <c r="J9407" i="1"/>
  <c r="J9406" i="1"/>
  <c r="J9405" i="1"/>
  <c r="J9404" i="1"/>
  <c r="J9403" i="1"/>
  <c r="J9402" i="1"/>
  <c r="J9401" i="1"/>
  <c r="J9400" i="1"/>
  <c r="J9399" i="1"/>
  <c r="J9398" i="1"/>
  <c r="J9397" i="1"/>
  <c r="J9396" i="1"/>
  <c r="J9395" i="1"/>
  <c r="J9394" i="1"/>
  <c r="J9393" i="1"/>
  <c r="J9392" i="1"/>
  <c r="J9391" i="1"/>
  <c r="J9390" i="1"/>
  <c r="J9389" i="1"/>
  <c r="J9388" i="1"/>
  <c r="J9387" i="1"/>
  <c r="J9386" i="1"/>
  <c r="J9385" i="1"/>
  <c r="J9384" i="1"/>
  <c r="J9383" i="1"/>
  <c r="J9382" i="1"/>
  <c r="J9381" i="1"/>
  <c r="J9380" i="1"/>
  <c r="J9379" i="1"/>
  <c r="J9378" i="1"/>
  <c r="J9377" i="1"/>
  <c r="J9376" i="1"/>
  <c r="J9375" i="1"/>
  <c r="J9374" i="1"/>
  <c r="J9373" i="1"/>
  <c r="J9372" i="1"/>
  <c r="J9371" i="1"/>
  <c r="J9370" i="1"/>
  <c r="J9369" i="1"/>
  <c r="J9368" i="1"/>
  <c r="J9367" i="1"/>
  <c r="J9366" i="1"/>
  <c r="J9365" i="1"/>
  <c r="J9364" i="1"/>
  <c r="J9363" i="1"/>
  <c r="J9362" i="1"/>
  <c r="J9361" i="1"/>
  <c r="J9360" i="1"/>
  <c r="J9359" i="1"/>
  <c r="J9358" i="1"/>
  <c r="J9357" i="1"/>
  <c r="J9356" i="1"/>
  <c r="J9355" i="1"/>
  <c r="J9354" i="1"/>
  <c r="J9353" i="1"/>
  <c r="J9352" i="1"/>
  <c r="J9351" i="1"/>
  <c r="J9350" i="1"/>
  <c r="J9349" i="1"/>
  <c r="J9348" i="1"/>
  <c r="J9347" i="1"/>
  <c r="J9346" i="1"/>
  <c r="J9345" i="1"/>
  <c r="J9344" i="1"/>
  <c r="J9343" i="1"/>
  <c r="J9342" i="1"/>
  <c r="J9341" i="1"/>
  <c r="J9340" i="1"/>
  <c r="J9339" i="1"/>
  <c r="J9338" i="1"/>
  <c r="J9337" i="1"/>
  <c r="J9336" i="1"/>
  <c r="J9335" i="1"/>
  <c r="J9334" i="1"/>
  <c r="J9333" i="1"/>
  <c r="J9332" i="1"/>
  <c r="J9331" i="1"/>
  <c r="J9330" i="1"/>
  <c r="J9329" i="1"/>
  <c r="J9328" i="1"/>
  <c r="J9327" i="1"/>
  <c r="J9326" i="1"/>
  <c r="J9325" i="1"/>
  <c r="J9324" i="1"/>
  <c r="J9323" i="1"/>
  <c r="J9322" i="1"/>
  <c r="J9321" i="1"/>
  <c r="J9320" i="1"/>
  <c r="J9319" i="1"/>
  <c r="J9318" i="1"/>
  <c r="J9317" i="1"/>
  <c r="J9316" i="1"/>
  <c r="J9315" i="1"/>
  <c r="J9314" i="1"/>
  <c r="J9313" i="1"/>
  <c r="J9312" i="1"/>
  <c r="J9311" i="1"/>
  <c r="J9310" i="1"/>
  <c r="J9309" i="1"/>
  <c r="J9308" i="1"/>
  <c r="J9307" i="1"/>
  <c r="J9306" i="1"/>
  <c r="J9305" i="1"/>
  <c r="J9304" i="1"/>
  <c r="J9303" i="1"/>
  <c r="J9302" i="1"/>
  <c r="J9301" i="1"/>
  <c r="J9300" i="1"/>
  <c r="J9299" i="1"/>
  <c r="J9298" i="1"/>
  <c r="J9297" i="1"/>
  <c r="J9296" i="1"/>
  <c r="J9295" i="1"/>
  <c r="J9294" i="1"/>
  <c r="J9293" i="1"/>
  <c r="J9292" i="1"/>
  <c r="J9291" i="1"/>
  <c r="J9290" i="1"/>
  <c r="J9289" i="1"/>
  <c r="J9288" i="1"/>
  <c r="J9287" i="1"/>
  <c r="J9286" i="1"/>
  <c r="J9285" i="1"/>
  <c r="J9284" i="1"/>
  <c r="J9283" i="1"/>
  <c r="J9282" i="1"/>
  <c r="J9281" i="1"/>
  <c r="J9280" i="1"/>
  <c r="J9279" i="1"/>
  <c r="J9278" i="1"/>
  <c r="J9277" i="1"/>
  <c r="J9276" i="1"/>
  <c r="J9275" i="1"/>
  <c r="J9274" i="1"/>
  <c r="J9273" i="1"/>
  <c r="J9272" i="1"/>
  <c r="J9271" i="1"/>
  <c r="J9270" i="1"/>
  <c r="J9269" i="1"/>
  <c r="J9268" i="1"/>
  <c r="J9267" i="1"/>
  <c r="J9266" i="1"/>
  <c r="J9265" i="1"/>
  <c r="J9264" i="1"/>
  <c r="J9263" i="1"/>
  <c r="J9262" i="1"/>
  <c r="J9261" i="1"/>
  <c r="J9260" i="1"/>
  <c r="J9259" i="1"/>
  <c r="J9258" i="1"/>
  <c r="J9257" i="1"/>
  <c r="J9256" i="1"/>
  <c r="J9255" i="1"/>
  <c r="J9254" i="1"/>
  <c r="J9253" i="1"/>
  <c r="J9252" i="1"/>
  <c r="J9251" i="1"/>
  <c r="J9250" i="1"/>
  <c r="J9249" i="1"/>
  <c r="J9248" i="1"/>
  <c r="J9247" i="1"/>
  <c r="J9246" i="1"/>
  <c r="J9245" i="1"/>
  <c r="J9244" i="1"/>
  <c r="J9243" i="1"/>
  <c r="J9242" i="1"/>
  <c r="J9241" i="1"/>
  <c r="J9240" i="1"/>
  <c r="J9239" i="1"/>
  <c r="J9238" i="1"/>
  <c r="J9237" i="1"/>
  <c r="J9236" i="1"/>
  <c r="J9235" i="1"/>
  <c r="J9234" i="1"/>
  <c r="J9233" i="1"/>
  <c r="J9232" i="1"/>
  <c r="J9231" i="1"/>
  <c r="J9230" i="1"/>
  <c r="J9229" i="1"/>
  <c r="J9228" i="1"/>
  <c r="J9227" i="1"/>
  <c r="J9226" i="1"/>
  <c r="J9225" i="1"/>
  <c r="J9224" i="1"/>
  <c r="J9223" i="1"/>
  <c r="J9222" i="1"/>
  <c r="J9221" i="1"/>
  <c r="J9220" i="1"/>
  <c r="J9219" i="1"/>
  <c r="J9218" i="1"/>
  <c r="J9217" i="1"/>
  <c r="J9216" i="1"/>
  <c r="J9215" i="1"/>
  <c r="J9214" i="1"/>
  <c r="J9213" i="1"/>
  <c r="J9212" i="1"/>
  <c r="J9211" i="1"/>
  <c r="J9210" i="1"/>
  <c r="J9209" i="1"/>
  <c r="J9208" i="1"/>
  <c r="J9207" i="1"/>
  <c r="J9206" i="1"/>
  <c r="J9205" i="1"/>
  <c r="J9204" i="1"/>
  <c r="J9203" i="1"/>
  <c r="J9202" i="1"/>
  <c r="J9201" i="1"/>
  <c r="J9200" i="1"/>
  <c r="J9199" i="1"/>
  <c r="J9198" i="1"/>
  <c r="J9197" i="1"/>
  <c r="J9196" i="1"/>
  <c r="J9195" i="1"/>
  <c r="J9194" i="1"/>
  <c r="J9193" i="1"/>
  <c r="J9192" i="1"/>
  <c r="J9191" i="1"/>
  <c r="J9190" i="1"/>
  <c r="J9189" i="1"/>
  <c r="J9188" i="1"/>
  <c r="J9187" i="1"/>
  <c r="J9186" i="1"/>
  <c r="J9185" i="1"/>
  <c r="J9184" i="1"/>
  <c r="J9183" i="1"/>
  <c r="J9182" i="1"/>
  <c r="J9181" i="1"/>
  <c r="J9180" i="1"/>
  <c r="J9179" i="1"/>
  <c r="J9178" i="1"/>
  <c r="J9177" i="1"/>
  <c r="J9176" i="1"/>
  <c r="J9175" i="1"/>
  <c r="J9174" i="1"/>
  <c r="J9173" i="1"/>
  <c r="J9172" i="1"/>
  <c r="J9171" i="1"/>
  <c r="J9170" i="1"/>
  <c r="J9169" i="1"/>
  <c r="J9168" i="1"/>
  <c r="J9167" i="1"/>
  <c r="J9166" i="1"/>
  <c r="J9165" i="1"/>
  <c r="J9164" i="1"/>
  <c r="J9163" i="1"/>
  <c r="J9162" i="1"/>
  <c r="J9161" i="1"/>
  <c r="J9160" i="1"/>
  <c r="J9159" i="1"/>
  <c r="J9158" i="1"/>
  <c r="J9157" i="1"/>
  <c r="J9156" i="1"/>
  <c r="J9155" i="1"/>
  <c r="J9154" i="1"/>
  <c r="J9153" i="1"/>
  <c r="J9152" i="1"/>
  <c r="J9151" i="1"/>
  <c r="J9150" i="1"/>
  <c r="J9149" i="1"/>
  <c r="J9148" i="1"/>
  <c r="J9147" i="1"/>
  <c r="J9146" i="1"/>
  <c r="J9145" i="1"/>
  <c r="J9144" i="1"/>
  <c r="J9143" i="1"/>
  <c r="J9142" i="1"/>
  <c r="J9141" i="1"/>
  <c r="J9140" i="1"/>
  <c r="J9139" i="1"/>
  <c r="J9138" i="1"/>
  <c r="J9137" i="1"/>
  <c r="J9136" i="1"/>
  <c r="J9135" i="1"/>
  <c r="J9134" i="1"/>
  <c r="J9133" i="1"/>
  <c r="J9132" i="1"/>
  <c r="J9131" i="1"/>
  <c r="J9130" i="1"/>
  <c r="J9129" i="1"/>
  <c r="J9128" i="1"/>
  <c r="J9127" i="1"/>
  <c r="J9126" i="1"/>
  <c r="J9125" i="1"/>
  <c r="J9124" i="1"/>
  <c r="J9123" i="1"/>
  <c r="J9122" i="1"/>
  <c r="J9121" i="1"/>
  <c r="J9120" i="1"/>
  <c r="J9119" i="1"/>
  <c r="J9118" i="1"/>
  <c r="J9117" i="1"/>
  <c r="J9116" i="1"/>
  <c r="J9115" i="1"/>
  <c r="J9114" i="1"/>
  <c r="J9113" i="1"/>
  <c r="J9112" i="1"/>
  <c r="J9111" i="1"/>
  <c r="J9110" i="1"/>
  <c r="J9109" i="1"/>
  <c r="J9108" i="1"/>
  <c r="J9107" i="1"/>
  <c r="J9106" i="1"/>
  <c r="J9105" i="1"/>
  <c r="J9104" i="1"/>
  <c r="J9103" i="1"/>
  <c r="J9102" i="1"/>
  <c r="J9101" i="1"/>
  <c r="J9100" i="1"/>
  <c r="J9099" i="1"/>
  <c r="J9098" i="1"/>
  <c r="J9097" i="1"/>
  <c r="J9096" i="1"/>
  <c r="J9095" i="1"/>
  <c r="J9094" i="1"/>
  <c r="J9093" i="1"/>
  <c r="J9092" i="1"/>
  <c r="J9091" i="1"/>
  <c r="J9090" i="1"/>
  <c r="J9089" i="1"/>
  <c r="J9088" i="1"/>
  <c r="J9087" i="1"/>
  <c r="J9086" i="1"/>
  <c r="J9085" i="1"/>
  <c r="J9084" i="1"/>
  <c r="J9083" i="1"/>
  <c r="J9082" i="1"/>
  <c r="J9081" i="1"/>
  <c r="J9080" i="1"/>
  <c r="J9079" i="1"/>
  <c r="J9078" i="1"/>
  <c r="J9077" i="1"/>
  <c r="J9076" i="1"/>
  <c r="J9075" i="1"/>
  <c r="J9074" i="1"/>
  <c r="J9073" i="1"/>
  <c r="J9072" i="1"/>
  <c r="J9071" i="1"/>
  <c r="J9070" i="1"/>
  <c r="J9069" i="1"/>
  <c r="J9068" i="1"/>
  <c r="J9067" i="1"/>
  <c r="J9066" i="1"/>
  <c r="J9065" i="1"/>
  <c r="J9064" i="1"/>
  <c r="J9063" i="1"/>
  <c r="J9062" i="1"/>
  <c r="J9061" i="1"/>
  <c r="J9060" i="1"/>
  <c r="J9059" i="1"/>
  <c r="J9058" i="1"/>
  <c r="J9057" i="1"/>
  <c r="J9056" i="1"/>
  <c r="J9055" i="1"/>
  <c r="J9054" i="1"/>
  <c r="J9053" i="1"/>
  <c r="J9052" i="1"/>
  <c r="J9051" i="1"/>
  <c r="J9050" i="1"/>
  <c r="J9049" i="1"/>
  <c r="J9048" i="1"/>
  <c r="J9047" i="1"/>
  <c r="J9046" i="1"/>
  <c r="J9045" i="1"/>
  <c r="J9044" i="1"/>
  <c r="J9043" i="1"/>
  <c r="J9042" i="1"/>
  <c r="J9041" i="1"/>
  <c r="J9040" i="1"/>
  <c r="J9039" i="1"/>
  <c r="J9038" i="1"/>
  <c r="J9037" i="1"/>
  <c r="J9036" i="1"/>
  <c r="J9035" i="1"/>
  <c r="J9034" i="1"/>
  <c r="J9033" i="1"/>
  <c r="J9032" i="1"/>
  <c r="J9031" i="1"/>
  <c r="J9030" i="1"/>
  <c r="J9029" i="1"/>
  <c r="J9028" i="1"/>
  <c r="J9027" i="1"/>
  <c r="J9026" i="1"/>
  <c r="J9025" i="1"/>
  <c r="J9024" i="1"/>
  <c r="J9023" i="1"/>
  <c r="J9022" i="1"/>
  <c r="J9021" i="1"/>
  <c r="J9020" i="1"/>
  <c r="J9019" i="1"/>
  <c r="J9018" i="1"/>
  <c r="J9017" i="1"/>
  <c r="J9016" i="1"/>
  <c r="J9015" i="1"/>
  <c r="J9014" i="1"/>
  <c r="J9013" i="1"/>
  <c r="J9012" i="1"/>
  <c r="J9011" i="1"/>
  <c r="J9010" i="1"/>
  <c r="J9009" i="1"/>
  <c r="J9008" i="1"/>
  <c r="J9007" i="1"/>
  <c r="J9006" i="1"/>
  <c r="J9005" i="1"/>
  <c r="J9004" i="1"/>
  <c r="J9003" i="1"/>
  <c r="J9002" i="1"/>
  <c r="J9001" i="1"/>
  <c r="J9000" i="1"/>
  <c r="J8999" i="1"/>
  <c r="J8998" i="1"/>
  <c r="J8997" i="1"/>
  <c r="J8996" i="1"/>
  <c r="J8995" i="1"/>
  <c r="J8994" i="1"/>
  <c r="J8993" i="1"/>
  <c r="J8992" i="1"/>
  <c r="J8991" i="1"/>
  <c r="J8990" i="1"/>
  <c r="J8989" i="1"/>
  <c r="J8988" i="1"/>
  <c r="J8987" i="1"/>
  <c r="J8986" i="1"/>
  <c r="J8985" i="1"/>
  <c r="J8984" i="1"/>
  <c r="J8983" i="1"/>
  <c r="J8982" i="1"/>
  <c r="J8981" i="1"/>
  <c r="J8980" i="1"/>
  <c r="J8979" i="1"/>
  <c r="J8978" i="1"/>
  <c r="J8977" i="1"/>
  <c r="J8976" i="1"/>
  <c r="J8975" i="1"/>
  <c r="J8974" i="1"/>
  <c r="J8973" i="1"/>
  <c r="J8972" i="1"/>
  <c r="J8971" i="1"/>
  <c r="J8970" i="1"/>
  <c r="J8969" i="1"/>
  <c r="J8968" i="1"/>
  <c r="J8967" i="1"/>
  <c r="J8966" i="1"/>
  <c r="J8965" i="1"/>
  <c r="J8964" i="1"/>
  <c r="J8963" i="1"/>
  <c r="J8962" i="1"/>
  <c r="J8961" i="1"/>
  <c r="J8960" i="1"/>
  <c r="J8959" i="1"/>
  <c r="J8958" i="1"/>
  <c r="J8957" i="1"/>
  <c r="J8956" i="1"/>
  <c r="J8955" i="1"/>
  <c r="J8954" i="1"/>
  <c r="J8953" i="1"/>
  <c r="J8952" i="1"/>
  <c r="J8951" i="1"/>
  <c r="J8950" i="1"/>
  <c r="J8949" i="1"/>
  <c r="J8948" i="1"/>
  <c r="J8947" i="1"/>
  <c r="J8946" i="1"/>
  <c r="J8945" i="1"/>
  <c r="J8944" i="1"/>
  <c r="J8943" i="1"/>
  <c r="J8942" i="1"/>
  <c r="J8941" i="1"/>
  <c r="J8940" i="1"/>
  <c r="J8939" i="1"/>
  <c r="J8938" i="1"/>
  <c r="J8937" i="1"/>
  <c r="J8936" i="1"/>
  <c r="J8935" i="1"/>
  <c r="J8934" i="1"/>
  <c r="J8933" i="1"/>
  <c r="J8932" i="1"/>
  <c r="J8931" i="1"/>
  <c r="J8930" i="1"/>
  <c r="J8929" i="1"/>
  <c r="J8928" i="1"/>
  <c r="J8927" i="1"/>
  <c r="J8926" i="1"/>
  <c r="J8925" i="1"/>
  <c r="J8924" i="1"/>
  <c r="J8923" i="1"/>
  <c r="J8922" i="1"/>
  <c r="J8921" i="1"/>
  <c r="J8920" i="1"/>
  <c r="J8919" i="1"/>
  <c r="J8918" i="1"/>
  <c r="J8917" i="1"/>
  <c r="J8916" i="1"/>
  <c r="J8915" i="1"/>
  <c r="J8914" i="1"/>
  <c r="J8913" i="1"/>
  <c r="J8912" i="1"/>
  <c r="J8911" i="1"/>
  <c r="J8910" i="1"/>
  <c r="J8909" i="1"/>
  <c r="J8908" i="1"/>
  <c r="J8907" i="1"/>
  <c r="J8906" i="1"/>
  <c r="J8905" i="1"/>
  <c r="J8904" i="1"/>
  <c r="J8903" i="1"/>
  <c r="J8902" i="1"/>
  <c r="J8901" i="1"/>
  <c r="J8900" i="1"/>
  <c r="J8899" i="1"/>
  <c r="J8898" i="1"/>
  <c r="J8897" i="1"/>
  <c r="J8896" i="1"/>
  <c r="J8895" i="1"/>
  <c r="J8894" i="1"/>
  <c r="J8893" i="1"/>
  <c r="J8892" i="1"/>
  <c r="J8891" i="1"/>
  <c r="J8890" i="1"/>
  <c r="J8889" i="1"/>
  <c r="J8888" i="1"/>
  <c r="J8887" i="1"/>
  <c r="J8886" i="1"/>
  <c r="J8885" i="1"/>
  <c r="J8884" i="1"/>
  <c r="J8883" i="1"/>
  <c r="J8882" i="1"/>
  <c r="J8881" i="1"/>
  <c r="J8880" i="1"/>
  <c r="J8879" i="1"/>
  <c r="J8878" i="1"/>
  <c r="J8877" i="1"/>
  <c r="J8876" i="1"/>
  <c r="J8875" i="1"/>
  <c r="J8874" i="1"/>
  <c r="J8873" i="1"/>
  <c r="J8872" i="1"/>
  <c r="J8871" i="1"/>
  <c r="J8870" i="1"/>
  <c r="J8869" i="1"/>
  <c r="J8868" i="1"/>
  <c r="J8867" i="1"/>
  <c r="J8866" i="1"/>
  <c r="J8865" i="1"/>
  <c r="J8864" i="1"/>
  <c r="J8863" i="1"/>
  <c r="J8862" i="1"/>
  <c r="J8861" i="1"/>
  <c r="J8860" i="1"/>
  <c r="J8859" i="1"/>
  <c r="J8858" i="1"/>
  <c r="J8857" i="1"/>
  <c r="J8856" i="1"/>
  <c r="J8855" i="1"/>
  <c r="J8854" i="1"/>
  <c r="J8853" i="1"/>
  <c r="J8852" i="1"/>
  <c r="J8851" i="1"/>
  <c r="J8850" i="1"/>
  <c r="J8849" i="1"/>
  <c r="J8848" i="1"/>
  <c r="J8847" i="1"/>
  <c r="J8846" i="1"/>
  <c r="J8845" i="1"/>
  <c r="J8844" i="1"/>
  <c r="J8843" i="1"/>
  <c r="J8842" i="1"/>
  <c r="J8841" i="1"/>
  <c r="J8840" i="1"/>
  <c r="J8839" i="1"/>
  <c r="J8838" i="1"/>
  <c r="J8837" i="1"/>
  <c r="J8836" i="1"/>
  <c r="J8835" i="1"/>
  <c r="J8834" i="1"/>
  <c r="J8833" i="1"/>
  <c r="J8832" i="1"/>
  <c r="J8831" i="1"/>
  <c r="J8830" i="1"/>
  <c r="J8829" i="1"/>
  <c r="J8828" i="1"/>
  <c r="J8827" i="1"/>
  <c r="J8826" i="1"/>
  <c r="J8825" i="1"/>
  <c r="J8824" i="1"/>
  <c r="J8823" i="1"/>
  <c r="J8822" i="1"/>
  <c r="J8821" i="1"/>
  <c r="J8820" i="1"/>
  <c r="J8819" i="1"/>
  <c r="J8818" i="1"/>
  <c r="J8817" i="1"/>
  <c r="J8816" i="1"/>
  <c r="J8815" i="1"/>
  <c r="J8814" i="1"/>
  <c r="J8813" i="1"/>
  <c r="J8812" i="1"/>
  <c r="J8811" i="1"/>
  <c r="J8810" i="1"/>
  <c r="J8809" i="1"/>
  <c r="J8808" i="1"/>
  <c r="J8807" i="1"/>
  <c r="J8806" i="1"/>
  <c r="J8805" i="1"/>
  <c r="J8804" i="1"/>
  <c r="J8803" i="1"/>
  <c r="J8802" i="1"/>
  <c r="J8801" i="1"/>
  <c r="J8800" i="1"/>
  <c r="J8799" i="1"/>
  <c r="J8798" i="1"/>
  <c r="J8797" i="1"/>
  <c r="J8796" i="1"/>
  <c r="J8795" i="1"/>
  <c r="J8794" i="1"/>
  <c r="J8793" i="1"/>
  <c r="J8792" i="1"/>
  <c r="J8791" i="1"/>
  <c r="J8790" i="1"/>
  <c r="J8789" i="1"/>
  <c r="J8788" i="1"/>
  <c r="J8787" i="1"/>
  <c r="J8786" i="1"/>
  <c r="J8785" i="1"/>
  <c r="J8784" i="1"/>
  <c r="J8783" i="1"/>
  <c r="J8782" i="1"/>
  <c r="J8781" i="1"/>
  <c r="J8780" i="1"/>
  <c r="J8779" i="1"/>
  <c r="J8778" i="1"/>
  <c r="J8777" i="1"/>
  <c r="J8776" i="1"/>
  <c r="J8775" i="1"/>
  <c r="J8774" i="1"/>
  <c r="J8773" i="1"/>
  <c r="J8772" i="1"/>
  <c r="J8771" i="1"/>
  <c r="J8770" i="1"/>
  <c r="J8769" i="1"/>
  <c r="J8768" i="1"/>
  <c r="J8767" i="1"/>
  <c r="J8766" i="1"/>
  <c r="J8765" i="1"/>
  <c r="J8764" i="1"/>
  <c r="J8763" i="1"/>
  <c r="J8762" i="1"/>
  <c r="J8761" i="1"/>
  <c r="J8760" i="1"/>
  <c r="J8759" i="1"/>
  <c r="J8758" i="1"/>
  <c r="J8757" i="1"/>
  <c r="J8756" i="1"/>
  <c r="J8755" i="1"/>
  <c r="J8754" i="1"/>
  <c r="J8753" i="1"/>
  <c r="J8752" i="1"/>
  <c r="J8751" i="1"/>
  <c r="J8750" i="1"/>
  <c r="J8749" i="1"/>
  <c r="J8748" i="1"/>
  <c r="J8747" i="1"/>
  <c r="J8746" i="1"/>
  <c r="J8745" i="1"/>
  <c r="J8744" i="1"/>
  <c r="J8743" i="1"/>
  <c r="J8742" i="1"/>
  <c r="J8741" i="1"/>
  <c r="J8740" i="1"/>
  <c r="J8739" i="1"/>
  <c r="J8738" i="1"/>
  <c r="J8737" i="1"/>
  <c r="J8736" i="1"/>
  <c r="J8735" i="1"/>
  <c r="J8734" i="1"/>
  <c r="J8733" i="1"/>
  <c r="J8732" i="1"/>
  <c r="J8731" i="1"/>
  <c r="J8730" i="1"/>
  <c r="J8729" i="1"/>
  <c r="J8728" i="1"/>
  <c r="J8727" i="1"/>
  <c r="J8726" i="1"/>
  <c r="J8725" i="1"/>
  <c r="J8724" i="1"/>
  <c r="J8723" i="1"/>
  <c r="J8722" i="1"/>
  <c r="J8721" i="1"/>
  <c r="J8720" i="1"/>
  <c r="J8719" i="1"/>
  <c r="J8718" i="1"/>
  <c r="J8717" i="1"/>
  <c r="J8716" i="1"/>
  <c r="J8715" i="1"/>
  <c r="J8714" i="1"/>
  <c r="J8713" i="1"/>
  <c r="J8712" i="1"/>
  <c r="J8711" i="1"/>
  <c r="J8710" i="1"/>
  <c r="J8709" i="1"/>
  <c r="J8708" i="1"/>
  <c r="J8707" i="1"/>
  <c r="J8706" i="1"/>
  <c r="J8705" i="1"/>
  <c r="J8704" i="1"/>
  <c r="J8703" i="1"/>
  <c r="J8702" i="1"/>
  <c r="J8701" i="1"/>
  <c r="J8700" i="1"/>
  <c r="J8699" i="1"/>
  <c r="J8698" i="1"/>
  <c r="J8697" i="1"/>
  <c r="J8696" i="1"/>
  <c r="J8695" i="1"/>
  <c r="J8694" i="1"/>
  <c r="J8693" i="1"/>
  <c r="J8692" i="1"/>
  <c r="J8691" i="1"/>
  <c r="J8690" i="1"/>
  <c r="J8689" i="1"/>
  <c r="J8688" i="1"/>
  <c r="J8687" i="1"/>
  <c r="J8686" i="1"/>
  <c r="J8685" i="1"/>
  <c r="J8684" i="1"/>
  <c r="J8683" i="1"/>
  <c r="J8682" i="1"/>
  <c r="J8681" i="1"/>
  <c r="J8680" i="1"/>
  <c r="J8679" i="1"/>
  <c r="J8678" i="1"/>
  <c r="J8677" i="1"/>
  <c r="J8676" i="1"/>
  <c r="J8675" i="1"/>
  <c r="J8674" i="1"/>
  <c r="J8673" i="1"/>
  <c r="J8672" i="1"/>
  <c r="J8671" i="1"/>
  <c r="J8670" i="1"/>
  <c r="J8669" i="1"/>
  <c r="J8668" i="1"/>
  <c r="J8667" i="1"/>
  <c r="J8666" i="1"/>
  <c r="J8665" i="1"/>
  <c r="J8664" i="1"/>
  <c r="J8663" i="1"/>
  <c r="J8662" i="1"/>
  <c r="J8661" i="1"/>
  <c r="J8660" i="1"/>
  <c r="J8659" i="1"/>
  <c r="J8658" i="1"/>
  <c r="J8657" i="1"/>
  <c r="J8656" i="1"/>
  <c r="J8655" i="1"/>
  <c r="J8654" i="1"/>
  <c r="J8653" i="1"/>
  <c r="J8652" i="1"/>
  <c r="J8651" i="1"/>
  <c r="J8650" i="1"/>
  <c r="J8649" i="1"/>
  <c r="J8648" i="1"/>
  <c r="J8647" i="1"/>
  <c r="J8646" i="1"/>
  <c r="J8645" i="1"/>
  <c r="J8644" i="1"/>
  <c r="J8643" i="1"/>
  <c r="J8642" i="1"/>
  <c r="J8641" i="1"/>
  <c r="J8640" i="1"/>
  <c r="J8639" i="1"/>
  <c r="J8638" i="1"/>
  <c r="J8637" i="1"/>
  <c r="J8636" i="1"/>
  <c r="J8635" i="1"/>
  <c r="J8634" i="1"/>
  <c r="J8633" i="1"/>
  <c r="J8632" i="1"/>
  <c r="J8631" i="1"/>
  <c r="J8630" i="1"/>
  <c r="J8629" i="1"/>
  <c r="J8628" i="1"/>
  <c r="J8627" i="1"/>
  <c r="J8626" i="1"/>
  <c r="J8625" i="1"/>
  <c r="J8624" i="1"/>
  <c r="J8623" i="1"/>
  <c r="J8622" i="1"/>
  <c r="J8621" i="1"/>
  <c r="J8620" i="1"/>
  <c r="J8619" i="1"/>
  <c r="J8618" i="1"/>
  <c r="J8617" i="1"/>
  <c r="J8616" i="1"/>
  <c r="J8615" i="1"/>
  <c r="J8614" i="1"/>
  <c r="J8613" i="1"/>
  <c r="J8612" i="1"/>
  <c r="J8611" i="1"/>
  <c r="J8610" i="1"/>
  <c r="J8609" i="1"/>
  <c r="J8608" i="1"/>
  <c r="J8607" i="1"/>
  <c r="J8606" i="1"/>
  <c r="J8605" i="1"/>
  <c r="J8604" i="1"/>
  <c r="J8603" i="1"/>
  <c r="J8602" i="1"/>
  <c r="J8601" i="1"/>
  <c r="J8600" i="1"/>
  <c r="J8599" i="1"/>
  <c r="J8598" i="1"/>
  <c r="J8597" i="1"/>
  <c r="J8596" i="1"/>
  <c r="J8595" i="1"/>
  <c r="J8594" i="1"/>
  <c r="J8593" i="1"/>
  <c r="J8592" i="1"/>
  <c r="J8591" i="1"/>
  <c r="J8590" i="1"/>
  <c r="J8589" i="1"/>
  <c r="J8588" i="1"/>
  <c r="J8587" i="1"/>
  <c r="J8586" i="1"/>
  <c r="J8585" i="1"/>
  <c r="J8584" i="1"/>
  <c r="J8583" i="1"/>
  <c r="J8582" i="1"/>
  <c r="J8581" i="1"/>
  <c r="J8580" i="1"/>
  <c r="J8579" i="1"/>
  <c r="J8578" i="1"/>
  <c r="J8577" i="1"/>
  <c r="J8576" i="1"/>
  <c r="J8575" i="1"/>
  <c r="J8574" i="1"/>
  <c r="J8573" i="1"/>
  <c r="J8572" i="1"/>
  <c r="J8571" i="1"/>
  <c r="J8570" i="1"/>
  <c r="J8569" i="1"/>
  <c r="J8568" i="1"/>
  <c r="J8567" i="1"/>
  <c r="J8566" i="1"/>
  <c r="J8565" i="1"/>
  <c r="J8564" i="1"/>
  <c r="J8563" i="1"/>
  <c r="J8562" i="1"/>
  <c r="J8561" i="1"/>
  <c r="J8560" i="1"/>
  <c r="J8559" i="1"/>
  <c r="J8558" i="1"/>
  <c r="J8557" i="1"/>
  <c r="J8556" i="1"/>
  <c r="J8555" i="1"/>
  <c r="J8554" i="1"/>
  <c r="J8553" i="1"/>
  <c r="J8552" i="1"/>
  <c r="J8551" i="1"/>
  <c r="J8550" i="1"/>
  <c r="J8549" i="1"/>
  <c r="J8548" i="1"/>
  <c r="J8547" i="1"/>
  <c r="J8546" i="1"/>
  <c r="J8545" i="1"/>
  <c r="J8544" i="1"/>
  <c r="J8543" i="1"/>
  <c r="J8542" i="1"/>
  <c r="J8541" i="1"/>
  <c r="J8540" i="1"/>
  <c r="J8539" i="1"/>
  <c r="J8538" i="1"/>
  <c r="J8537" i="1"/>
  <c r="J8536" i="1"/>
  <c r="J8535" i="1"/>
  <c r="J8534" i="1"/>
  <c r="J8533" i="1"/>
  <c r="J8532" i="1"/>
  <c r="J8531" i="1"/>
  <c r="J8530" i="1"/>
  <c r="J8529" i="1"/>
  <c r="J8528" i="1"/>
  <c r="J8527" i="1"/>
  <c r="J8526" i="1"/>
  <c r="J8525" i="1"/>
  <c r="J8524" i="1"/>
  <c r="J8523" i="1"/>
  <c r="J8522" i="1"/>
  <c r="J8521" i="1"/>
  <c r="J8520" i="1"/>
  <c r="J8519" i="1"/>
  <c r="J8518" i="1"/>
  <c r="J8517" i="1"/>
  <c r="J8516" i="1"/>
  <c r="J8515" i="1"/>
  <c r="J8514" i="1"/>
  <c r="J8513" i="1"/>
  <c r="J8512" i="1"/>
  <c r="J8511" i="1"/>
  <c r="J8510" i="1"/>
  <c r="J8509" i="1"/>
  <c r="J8508" i="1"/>
  <c r="J8507" i="1"/>
  <c r="J8506" i="1"/>
  <c r="J8505" i="1"/>
  <c r="J8504" i="1"/>
  <c r="J8503" i="1"/>
  <c r="J8502" i="1"/>
  <c r="J8501" i="1"/>
  <c r="J8500" i="1"/>
  <c r="J8499" i="1"/>
  <c r="J8498" i="1"/>
  <c r="J8497" i="1"/>
  <c r="J8496" i="1"/>
  <c r="J8495" i="1"/>
  <c r="J8494" i="1"/>
  <c r="J8493" i="1"/>
  <c r="J8492" i="1"/>
  <c r="J8491" i="1"/>
  <c r="J8490" i="1"/>
  <c r="J8489" i="1"/>
  <c r="J8488" i="1"/>
  <c r="J8487" i="1"/>
  <c r="J8486" i="1"/>
  <c r="J8485" i="1"/>
  <c r="J8484" i="1"/>
  <c r="J8483" i="1"/>
  <c r="J8482" i="1"/>
  <c r="J8481" i="1"/>
  <c r="J8480" i="1"/>
  <c r="J8479" i="1"/>
  <c r="J8478" i="1"/>
  <c r="J8477" i="1"/>
  <c r="J8476" i="1"/>
  <c r="J8475" i="1"/>
  <c r="J8474" i="1"/>
  <c r="J8473" i="1"/>
  <c r="J8472" i="1"/>
  <c r="J8471" i="1"/>
  <c r="J8470" i="1"/>
  <c r="J8469" i="1"/>
  <c r="J8468" i="1"/>
  <c r="J8467" i="1"/>
  <c r="J8466" i="1"/>
  <c r="J8465" i="1"/>
  <c r="J8464" i="1"/>
  <c r="J8463" i="1"/>
  <c r="J8462" i="1"/>
  <c r="J8461" i="1"/>
  <c r="J8460" i="1"/>
  <c r="J8459" i="1"/>
  <c r="J8458" i="1"/>
  <c r="J8457" i="1"/>
  <c r="J8456" i="1"/>
  <c r="J8455" i="1"/>
  <c r="J8454" i="1"/>
  <c r="J8453" i="1"/>
  <c r="J8452" i="1"/>
  <c r="J8451" i="1"/>
  <c r="J8450" i="1"/>
  <c r="J8449" i="1"/>
  <c r="J8448" i="1"/>
  <c r="J8447" i="1"/>
  <c r="J8446" i="1"/>
  <c r="J8445" i="1"/>
  <c r="J8444" i="1"/>
  <c r="J8443" i="1"/>
  <c r="J8442" i="1"/>
  <c r="J8441" i="1"/>
  <c r="J8440" i="1"/>
  <c r="J8439" i="1"/>
  <c r="J8438" i="1"/>
  <c r="J8437" i="1"/>
  <c r="J8436" i="1"/>
  <c r="J8435" i="1"/>
  <c r="J8434" i="1"/>
  <c r="J8433" i="1"/>
  <c r="J8432" i="1"/>
  <c r="J8431" i="1"/>
  <c r="J8430" i="1"/>
  <c r="J8429" i="1"/>
  <c r="J8428" i="1"/>
  <c r="J8427" i="1"/>
  <c r="J8426" i="1"/>
  <c r="J8425" i="1"/>
  <c r="J8424" i="1"/>
  <c r="J8423" i="1"/>
  <c r="J8422" i="1"/>
  <c r="J8421" i="1"/>
  <c r="J8420" i="1"/>
  <c r="J8419" i="1"/>
  <c r="J8418" i="1"/>
  <c r="J8417" i="1"/>
  <c r="J8416" i="1"/>
  <c r="J8415" i="1"/>
  <c r="J8414" i="1"/>
  <c r="J8413" i="1"/>
  <c r="J8412" i="1"/>
  <c r="J8411" i="1"/>
  <c r="J8410" i="1"/>
  <c r="J8409" i="1"/>
  <c r="J8408" i="1"/>
  <c r="J8407" i="1"/>
  <c r="J8406" i="1"/>
  <c r="J8405" i="1"/>
  <c r="J8404" i="1"/>
  <c r="J8403" i="1"/>
  <c r="J8402" i="1"/>
  <c r="J8401" i="1"/>
  <c r="J8400" i="1"/>
  <c r="J8399" i="1"/>
  <c r="J8398" i="1"/>
  <c r="J8397" i="1"/>
  <c r="J8396" i="1"/>
  <c r="J8395" i="1"/>
  <c r="J8394" i="1"/>
  <c r="J8393" i="1"/>
  <c r="J8392" i="1"/>
  <c r="J8391" i="1"/>
  <c r="J8390" i="1"/>
  <c r="J8389" i="1"/>
  <c r="J8388" i="1"/>
  <c r="J8387" i="1"/>
  <c r="J8386" i="1"/>
  <c r="J8385" i="1"/>
  <c r="J8384" i="1"/>
  <c r="J8383" i="1"/>
  <c r="J8382" i="1"/>
  <c r="J8381" i="1"/>
  <c r="J8380" i="1"/>
  <c r="J8379" i="1"/>
  <c r="J8378" i="1"/>
  <c r="J8377" i="1"/>
  <c r="J8376" i="1"/>
  <c r="J8375" i="1"/>
  <c r="J8374" i="1"/>
  <c r="J8373" i="1"/>
  <c r="J8372" i="1"/>
  <c r="J8371" i="1"/>
  <c r="J8370" i="1"/>
  <c r="J8369" i="1"/>
  <c r="J8368" i="1"/>
  <c r="J8367" i="1"/>
  <c r="J8366" i="1"/>
  <c r="J8365" i="1"/>
  <c r="J8364" i="1"/>
  <c r="J8363" i="1"/>
  <c r="J8362" i="1"/>
  <c r="J8361" i="1"/>
  <c r="J8360" i="1"/>
  <c r="J8359" i="1"/>
  <c r="J8358" i="1"/>
  <c r="J8357" i="1"/>
  <c r="J8356" i="1"/>
  <c r="J8355" i="1"/>
  <c r="J8354" i="1"/>
  <c r="J8353" i="1"/>
  <c r="J8352" i="1"/>
  <c r="J8351" i="1"/>
  <c r="J8350" i="1"/>
  <c r="J8349" i="1"/>
  <c r="J8348" i="1"/>
  <c r="J8347" i="1"/>
  <c r="J8346" i="1"/>
  <c r="J8345" i="1"/>
  <c r="J8344" i="1"/>
  <c r="J8343" i="1"/>
  <c r="J8342" i="1"/>
  <c r="J8341" i="1"/>
  <c r="J8340" i="1"/>
  <c r="J8339" i="1"/>
  <c r="J8338" i="1"/>
  <c r="J8337" i="1"/>
  <c r="J8336" i="1"/>
  <c r="J8335" i="1"/>
  <c r="J8334" i="1"/>
  <c r="J8333" i="1"/>
  <c r="J8332" i="1"/>
  <c r="J8331" i="1"/>
  <c r="J8330" i="1"/>
  <c r="J8329" i="1"/>
  <c r="J8328" i="1"/>
  <c r="J8327" i="1"/>
  <c r="J8326" i="1"/>
  <c r="J8325" i="1"/>
  <c r="J8324" i="1"/>
  <c r="J8323" i="1"/>
  <c r="J8322" i="1"/>
  <c r="J8321" i="1"/>
  <c r="J8320" i="1"/>
  <c r="J8319" i="1"/>
  <c r="J8318" i="1"/>
  <c r="J8317" i="1"/>
  <c r="J8316" i="1"/>
  <c r="J8315" i="1"/>
  <c r="J8314" i="1"/>
  <c r="J8313" i="1"/>
  <c r="J8312" i="1"/>
  <c r="J8311" i="1"/>
  <c r="J8310" i="1"/>
  <c r="J8309" i="1"/>
  <c r="J8308" i="1"/>
  <c r="J8307" i="1"/>
  <c r="J8306" i="1"/>
  <c r="J8305" i="1"/>
  <c r="J8304" i="1"/>
  <c r="J8303" i="1"/>
  <c r="J8302" i="1"/>
  <c r="J8301" i="1"/>
  <c r="J8300" i="1"/>
  <c r="J8299" i="1"/>
  <c r="J8298" i="1"/>
  <c r="J8297" i="1"/>
  <c r="J8296" i="1"/>
  <c r="J8295" i="1"/>
  <c r="J8294" i="1"/>
  <c r="J8293" i="1"/>
  <c r="J8292" i="1"/>
  <c r="J8291" i="1"/>
  <c r="J8290" i="1"/>
  <c r="J8289" i="1"/>
  <c r="J8288" i="1"/>
  <c r="J8287" i="1"/>
  <c r="J8286" i="1"/>
  <c r="J8285" i="1"/>
  <c r="J8284" i="1"/>
  <c r="J8283" i="1"/>
  <c r="J8282" i="1"/>
  <c r="J8281" i="1"/>
  <c r="J8280" i="1"/>
  <c r="J8279" i="1"/>
  <c r="J8278" i="1"/>
  <c r="J8277" i="1"/>
  <c r="J8276" i="1"/>
  <c r="J8275" i="1"/>
  <c r="J8274" i="1"/>
  <c r="J8273" i="1"/>
  <c r="J8272" i="1"/>
  <c r="J8271" i="1"/>
  <c r="J8270" i="1"/>
  <c r="J8269" i="1"/>
  <c r="J8268" i="1"/>
  <c r="J8267" i="1"/>
  <c r="J8266" i="1"/>
  <c r="J8265" i="1"/>
  <c r="J8264" i="1"/>
  <c r="J8263" i="1"/>
  <c r="J8262" i="1"/>
  <c r="J8261" i="1"/>
  <c r="J8260" i="1"/>
  <c r="J8259" i="1"/>
  <c r="J8258" i="1"/>
  <c r="J8257" i="1"/>
  <c r="J8256" i="1"/>
  <c r="J8255" i="1"/>
  <c r="J8254" i="1"/>
  <c r="J8253" i="1"/>
  <c r="J8252" i="1"/>
  <c r="J8251" i="1"/>
  <c r="J8250" i="1"/>
  <c r="J8249" i="1"/>
  <c r="J8248" i="1"/>
  <c r="J8247" i="1"/>
  <c r="J8246" i="1"/>
  <c r="J8245" i="1"/>
  <c r="J8244" i="1"/>
  <c r="J8243" i="1"/>
  <c r="J8242" i="1"/>
  <c r="J8241" i="1"/>
  <c r="J8240" i="1"/>
  <c r="J8239" i="1"/>
  <c r="J8238" i="1"/>
  <c r="J8237" i="1"/>
  <c r="J8236" i="1"/>
  <c r="J8235" i="1"/>
  <c r="J8234" i="1"/>
  <c r="J8233" i="1"/>
  <c r="J8232" i="1"/>
  <c r="J8231" i="1"/>
  <c r="J8230" i="1"/>
  <c r="J8229" i="1"/>
  <c r="J8228" i="1"/>
  <c r="J8227" i="1"/>
  <c r="J8226" i="1"/>
  <c r="J8225" i="1"/>
  <c r="J8224" i="1"/>
  <c r="J8223" i="1"/>
  <c r="J8222" i="1"/>
  <c r="J8221" i="1"/>
  <c r="J8220" i="1"/>
  <c r="J8219" i="1"/>
  <c r="J8218" i="1"/>
  <c r="J8217" i="1"/>
  <c r="J8216" i="1"/>
  <c r="J8215" i="1"/>
  <c r="J8214" i="1"/>
  <c r="J8213" i="1"/>
  <c r="J8212" i="1"/>
  <c r="J8211" i="1"/>
  <c r="J8210" i="1"/>
  <c r="J8209" i="1"/>
  <c r="J8208" i="1"/>
  <c r="J8207" i="1"/>
  <c r="J8206" i="1"/>
  <c r="J8205" i="1"/>
  <c r="J8204" i="1"/>
  <c r="J8203" i="1"/>
  <c r="J8202" i="1"/>
  <c r="J8201" i="1"/>
  <c r="J8200" i="1"/>
  <c r="J8199" i="1"/>
  <c r="J8198" i="1"/>
  <c r="J8197" i="1"/>
  <c r="J8196" i="1"/>
  <c r="J8195" i="1"/>
  <c r="J8194" i="1"/>
  <c r="J8193" i="1"/>
  <c r="J8192" i="1"/>
  <c r="J8191" i="1"/>
  <c r="J8190" i="1"/>
  <c r="J8189" i="1"/>
  <c r="J8188" i="1"/>
  <c r="J8187" i="1"/>
  <c r="J8186" i="1"/>
  <c r="J8185" i="1"/>
  <c r="J8184" i="1"/>
  <c r="J8183" i="1"/>
  <c r="J8182" i="1"/>
  <c r="J8181" i="1"/>
  <c r="J8180" i="1"/>
  <c r="J8179" i="1"/>
  <c r="J8178" i="1"/>
  <c r="J8177" i="1"/>
  <c r="J8176" i="1"/>
  <c r="J8175" i="1"/>
  <c r="J8174" i="1"/>
  <c r="J8173" i="1"/>
  <c r="J8172" i="1"/>
  <c r="J8171" i="1"/>
  <c r="J8170" i="1"/>
  <c r="J8169" i="1"/>
  <c r="J8168" i="1"/>
  <c r="J8167" i="1"/>
  <c r="J8166" i="1"/>
  <c r="J8165" i="1"/>
  <c r="J8164" i="1"/>
  <c r="J8163" i="1"/>
  <c r="J8162" i="1"/>
  <c r="J8161" i="1"/>
  <c r="J8160" i="1"/>
  <c r="J8159" i="1"/>
  <c r="J8158" i="1"/>
  <c r="J8157" i="1"/>
  <c r="J8156" i="1"/>
  <c r="J8155" i="1"/>
  <c r="J8154" i="1"/>
  <c r="J8153" i="1"/>
  <c r="J8152" i="1"/>
  <c r="J8151" i="1"/>
  <c r="J8150" i="1"/>
  <c r="J8149" i="1"/>
  <c r="J8148" i="1"/>
  <c r="J8147" i="1"/>
  <c r="J8146" i="1"/>
  <c r="J8145" i="1"/>
  <c r="J8144" i="1"/>
  <c r="J8143" i="1"/>
  <c r="J8142" i="1"/>
  <c r="J8141" i="1"/>
  <c r="J8140" i="1"/>
  <c r="J8139" i="1"/>
  <c r="J8138" i="1"/>
  <c r="J8137" i="1"/>
  <c r="J8136" i="1"/>
  <c r="J8135" i="1"/>
  <c r="J8134" i="1"/>
  <c r="J8133" i="1"/>
  <c r="J8132" i="1"/>
  <c r="J8131" i="1"/>
  <c r="J8130" i="1"/>
  <c r="J8129" i="1"/>
  <c r="J8128" i="1"/>
  <c r="J8127" i="1"/>
  <c r="J8126" i="1"/>
  <c r="J8125" i="1"/>
  <c r="J8124" i="1"/>
  <c r="J8123" i="1"/>
  <c r="J8122" i="1"/>
  <c r="J8121" i="1"/>
  <c r="J8120" i="1"/>
  <c r="J8119" i="1"/>
  <c r="J8118" i="1"/>
  <c r="J8117" i="1"/>
  <c r="J8116" i="1"/>
  <c r="J8115" i="1"/>
  <c r="J8114" i="1"/>
  <c r="J8113" i="1"/>
  <c r="J8112" i="1"/>
  <c r="J8111" i="1"/>
  <c r="J8110" i="1"/>
  <c r="J8109" i="1"/>
  <c r="J8108" i="1"/>
  <c r="J8107" i="1"/>
  <c r="J8106" i="1"/>
  <c r="J8105" i="1"/>
  <c r="J8104" i="1"/>
  <c r="J8103" i="1"/>
  <c r="J8102" i="1"/>
  <c r="J8101" i="1"/>
  <c r="J8100" i="1"/>
  <c r="J8099" i="1"/>
  <c r="J8098" i="1"/>
  <c r="J8097" i="1"/>
  <c r="J8096" i="1"/>
  <c r="J8095" i="1"/>
  <c r="J8094" i="1"/>
  <c r="J8093" i="1"/>
  <c r="J8092" i="1"/>
  <c r="J8091" i="1"/>
  <c r="J8090" i="1"/>
  <c r="J8089" i="1"/>
  <c r="J8088" i="1"/>
  <c r="J8087" i="1"/>
  <c r="J8086" i="1"/>
  <c r="J8085" i="1"/>
  <c r="J8084" i="1"/>
  <c r="J8083" i="1"/>
  <c r="J8082" i="1"/>
  <c r="J8081" i="1"/>
  <c r="J8080" i="1"/>
  <c r="J8079" i="1"/>
  <c r="J8078" i="1"/>
  <c r="J8077" i="1"/>
  <c r="J8076" i="1"/>
  <c r="J8075" i="1"/>
  <c r="J8074" i="1"/>
  <c r="J8073" i="1"/>
  <c r="J8072" i="1"/>
  <c r="J8071" i="1"/>
  <c r="J8070" i="1"/>
  <c r="J8069" i="1"/>
  <c r="J8068" i="1"/>
  <c r="J8067" i="1"/>
  <c r="J8066" i="1"/>
  <c r="J8065" i="1"/>
  <c r="J8064" i="1"/>
  <c r="J8063" i="1"/>
  <c r="J8062" i="1"/>
  <c r="J8061" i="1"/>
  <c r="J8060" i="1"/>
  <c r="J8059" i="1"/>
  <c r="J8058" i="1"/>
  <c r="J8057" i="1"/>
  <c r="J8056" i="1"/>
  <c r="J8055" i="1"/>
  <c r="J8054" i="1"/>
  <c r="J8053" i="1"/>
  <c r="J8052" i="1"/>
  <c r="J8051" i="1"/>
  <c r="J8050" i="1"/>
  <c r="J8049" i="1"/>
  <c r="J8048" i="1"/>
  <c r="J8047" i="1"/>
  <c r="J8046" i="1"/>
  <c r="J8045" i="1"/>
  <c r="J8044" i="1"/>
  <c r="J8043" i="1"/>
  <c r="J8042" i="1"/>
  <c r="J8041" i="1"/>
  <c r="J8040" i="1"/>
  <c r="J8039" i="1"/>
  <c r="J8038" i="1"/>
  <c r="J8037" i="1"/>
  <c r="J8036" i="1"/>
  <c r="J8035" i="1"/>
  <c r="J8034" i="1"/>
  <c r="J8033" i="1"/>
  <c r="J8032" i="1"/>
  <c r="J8031" i="1"/>
  <c r="J8030" i="1"/>
  <c r="J8029" i="1"/>
  <c r="J8028" i="1"/>
  <c r="J8027" i="1"/>
  <c r="J8026" i="1"/>
  <c r="J8025" i="1"/>
  <c r="J8024" i="1"/>
  <c r="J8023" i="1"/>
  <c r="J8022" i="1"/>
  <c r="J8021" i="1"/>
  <c r="J8020" i="1"/>
  <c r="J8019" i="1"/>
  <c r="J8018" i="1"/>
  <c r="J8017" i="1"/>
  <c r="J8016" i="1"/>
  <c r="J8015" i="1"/>
  <c r="J8014" i="1"/>
  <c r="J8013" i="1"/>
  <c r="J8012" i="1"/>
  <c r="J8011" i="1"/>
  <c r="J8010" i="1"/>
  <c r="J8009" i="1"/>
  <c r="J8008" i="1"/>
  <c r="J8007" i="1"/>
  <c r="J8006" i="1"/>
  <c r="J8005" i="1"/>
  <c r="J8004" i="1"/>
  <c r="J8003" i="1"/>
  <c r="J8002" i="1"/>
  <c r="J8001" i="1"/>
  <c r="J8000" i="1"/>
  <c r="J7999" i="1"/>
  <c r="J7998" i="1"/>
  <c r="J7997" i="1"/>
  <c r="J7996" i="1"/>
  <c r="J7995" i="1"/>
  <c r="J7994" i="1"/>
  <c r="J7993" i="1"/>
  <c r="J7992" i="1"/>
  <c r="J7991" i="1"/>
  <c r="J7990" i="1"/>
  <c r="J7989" i="1"/>
  <c r="J7988" i="1"/>
  <c r="J7987" i="1"/>
  <c r="J7986" i="1"/>
  <c r="J7985" i="1"/>
  <c r="J7984" i="1"/>
  <c r="J7983" i="1"/>
  <c r="J7982" i="1"/>
  <c r="J7981" i="1"/>
  <c r="J7980" i="1"/>
  <c r="J7979" i="1"/>
  <c r="J7978" i="1"/>
  <c r="J7977" i="1"/>
  <c r="J7976" i="1"/>
  <c r="J7975" i="1"/>
  <c r="J7974" i="1"/>
  <c r="J7973" i="1"/>
  <c r="J7972" i="1"/>
  <c r="J7971" i="1"/>
  <c r="J7970" i="1"/>
  <c r="J7969" i="1"/>
  <c r="J7968" i="1"/>
  <c r="J7967" i="1"/>
  <c r="J7966" i="1"/>
  <c r="J7965" i="1"/>
  <c r="J7964" i="1"/>
  <c r="J7963" i="1"/>
  <c r="J7962" i="1"/>
  <c r="J7961" i="1"/>
  <c r="J7960" i="1"/>
  <c r="J7959" i="1"/>
  <c r="J7958" i="1"/>
  <c r="J7957" i="1"/>
  <c r="J7956" i="1"/>
  <c r="J7955" i="1"/>
  <c r="J7954" i="1"/>
  <c r="J7953" i="1"/>
  <c r="J7952" i="1"/>
  <c r="J7951" i="1"/>
  <c r="J7950" i="1"/>
  <c r="J7949" i="1"/>
  <c r="J7948" i="1"/>
  <c r="J7947" i="1"/>
  <c r="J7946" i="1"/>
  <c r="J7945" i="1"/>
  <c r="J7944" i="1"/>
  <c r="J7943" i="1"/>
  <c r="J7942" i="1"/>
  <c r="J7941" i="1"/>
  <c r="J7940" i="1"/>
  <c r="J7939" i="1"/>
  <c r="J7938" i="1"/>
  <c r="J7937" i="1"/>
  <c r="J7936" i="1"/>
  <c r="J7935" i="1"/>
  <c r="J7934" i="1"/>
  <c r="J7933" i="1"/>
  <c r="J7932" i="1"/>
  <c r="J7931" i="1"/>
  <c r="J7930" i="1"/>
  <c r="J7929" i="1"/>
  <c r="J7928" i="1"/>
  <c r="J7927" i="1"/>
  <c r="J7926" i="1"/>
  <c r="J7925" i="1"/>
  <c r="J7924" i="1"/>
  <c r="J7923" i="1"/>
  <c r="J7922" i="1"/>
  <c r="J7921" i="1"/>
  <c r="J7920" i="1"/>
  <c r="J7919" i="1"/>
  <c r="J7918" i="1"/>
  <c r="J7917" i="1"/>
  <c r="J7916" i="1"/>
  <c r="J7915" i="1"/>
  <c r="J7914" i="1"/>
  <c r="J7913" i="1"/>
  <c r="J7912" i="1"/>
  <c r="J7911" i="1"/>
  <c r="J7910" i="1"/>
  <c r="J7909" i="1"/>
  <c r="J7908" i="1"/>
  <c r="J7907" i="1"/>
  <c r="J7906" i="1"/>
  <c r="J7905" i="1"/>
  <c r="J7904" i="1"/>
  <c r="J7903" i="1"/>
  <c r="J7902" i="1"/>
  <c r="J7901" i="1"/>
  <c r="J7900" i="1"/>
  <c r="J7899" i="1"/>
  <c r="J7898" i="1"/>
  <c r="J7897" i="1"/>
  <c r="J7896" i="1"/>
  <c r="J7895" i="1"/>
  <c r="J7894" i="1"/>
  <c r="J7893" i="1"/>
  <c r="J7892" i="1"/>
  <c r="J7891" i="1"/>
  <c r="J7890" i="1"/>
  <c r="J7889" i="1"/>
  <c r="J7888" i="1"/>
  <c r="J7887" i="1"/>
  <c r="J7886" i="1"/>
  <c r="J7885" i="1"/>
  <c r="J7884" i="1"/>
  <c r="J7883" i="1"/>
  <c r="J7882" i="1"/>
  <c r="J7881" i="1"/>
  <c r="J7880" i="1"/>
  <c r="J7879" i="1"/>
  <c r="J7878" i="1"/>
  <c r="J7877" i="1"/>
  <c r="J7876" i="1"/>
  <c r="J7875" i="1"/>
  <c r="J7874" i="1"/>
  <c r="J7873" i="1"/>
  <c r="J7872" i="1"/>
  <c r="J7871" i="1"/>
  <c r="J7870" i="1"/>
  <c r="J7869" i="1"/>
  <c r="J7868" i="1"/>
  <c r="J7867" i="1"/>
  <c r="J7866" i="1"/>
  <c r="J7865" i="1"/>
  <c r="J7864" i="1"/>
  <c r="J7863" i="1"/>
  <c r="J7862" i="1"/>
  <c r="J7861" i="1"/>
  <c r="J7860" i="1"/>
  <c r="J7859" i="1"/>
  <c r="J7858" i="1"/>
  <c r="J7857" i="1"/>
  <c r="J7856" i="1"/>
  <c r="J7855" i="1"/>
  <c r="J7854" i="1"/>
  <c r="J7853" i="1"/>
  <c r="J7852" i="1"/>
  <c r="J7851" i="1"/>
  <c r="J7850" i="1"/>
  <c r="J7849" i="1"/>
  <c r="J7848" i="1"/>
  <c r="J7847" i="1"/>
  <c r="J7846" i="1"/>
  <c r="J7845" i="1"/>
  <c r="J7844" i="1"/>
  <c r="J7843" i="1"/>
  <c r="J7842" i="1"/>
  <c r="J7841" i="1"/>
  <c r="J7840" i="1"/>
  <c r="J7839" i="1"/>
  <c r="J7838" i="1"/>
  <c r="J7837" i="1"/>
  <c r="J7836" i="1"/>
  <c r="J7835" i="1"/>
  <c r="J7834" i="1"/>
  <c r="J7833" i="1"/>
  <c r="J7832" i="1"/>
  <c r="J7831" i="1"/>
  <c r="J7830" i="1"/>
  <c r="J7829" i="1"/>
  <c r="J7828" i="1"/>
  <c r="J7827" i="1"/>
  <c r="J7826" i="1"/>
  <c r="J7825" i="1"/>
  <c r="J7824" i="1"/>
  <c r="J7823" i="1"/>
  <c r="J7822" i="1"/>
  <c r="J7821" i="1"/>
  <c r="J7820" i="1"/>
  <c r="J7819" i="1"/>
  <c r="J7818" i="1"/>
  <c r="J7817" i="1"/>
  <c r="J7816" i="1"/>
  <c r="J7815" i="1"/>
  <c r="J7814" i="1"/>
  <c r="J7813" i="1"/>
  <c r="J7812" i="1"/>
  <c r="J7811" i="1"/>
  <c r="J7810" i="1"/>
  <c r="J7809" i="1"/>
  <c r="J7808" i="1"/>
  <c r="J7807" i="1"/>
  <c r="J7806" i="1"/>
  <c r="J7805" i="1"/>
  <c r="J7804" i="1"/>
  <c r="J7803" i="1"/>
  <c r="J7802" i="1"/>
  <c r="J7801" i="1"/>
  <c r="J7800" i="1"/>
  <c r="J7799" i="1"/>
  <c r="J7798" i="1"/>
  <c r="J7797" i="1"/>
  <c r="J7796" i="1"/>
  <c r="J7795" i="1"/>
  <c r="J7794" i="1"/>
  <c r="J7793" i="1"/>
  <c r="J7792" i="1"/>
  <c r="J7791" i="1"/>
  <c r="J7790" i="1"/>
  <c r="J7789" i="1"/>
  <c r="J7788" i="1"/>
  <c r="J7787" i="1"/>
  <c r="J7786" i="1"/>
  <c r="J7785" i="1"/>
  <c r="J7784" i="1"/>
  <c r="J7783" i="1"/>
  <c r="J7782" i="1"/>
  <c r="J7781" i="1"/>
  <c r="J7780" i="1"/>
  <c r="J7779" i="1"/>
  <c r="J7778" i="1"/>
  <c r="J7777" i="1"/>
  <c r="J7776" i="1"/>
  <c r="J7775" i="1"/>
  <c r="J7774" i="1"/>
  <c r="J7773" i="1"/>
  <c r="J7772" i="1"/>
  <c r="J7771" i="1"/>
  <c r="J7770" i="1"/>
  <c r="J7769" i="1"/>
  <c r="J7768" i="1"/>
  <c r="J7767" i="1"/>
  <c r="J7766" i="1"/>
  <c r="J7765" i="1"/>
  <c r="J7764" i="1"/>
  <c r="J7763" i="1"/>
  <c r="J7762" i="1"/>
  <c r="J7761" i="1"/>
  <c r="J7760" i="1"/>
  <c r="J7759" i="1"/>
  <c r="J7758" i="1"/>
  <c r="J7757" i="1"/>
  <c r="J7756" i="1"/>
  <c r="J7755" i="1"/>
  <c r="J7754" i="1"/>
  <c r="J7753" i="1"/>
  <c r="J7752" i="1"/>
  <c r="J7751" i="1"/>
  <c r="J7750" i="1"/>
  <c r="J7749" i="1"/>
  <c r="J7748" i="1"/>
  <c r="J7747" i="1"/>
  <c r="J7746" i="1"/>
  <c r="J7745" i="1"/>
  <c r="J7744" i="1"/>
  <c r="J7743" i="1"/>
  <c r="J7742" i="1"/>
  <c r="J7741" i="1"/>
  <c r="J7740" i="1"/>
  <c r="J7739" i="1"/>
  <c r="J7738" i="1"/>
  <c r="J7737" i="1"/>
  <c r="J7736" i="1"/>
  <c r="J7735" i="1"/>
  <c r="J7734" i="1"/>
  <c r="J7733" i="1"/>
  <c r="J7732" i="1"/>
  <c r="J7731" i="1"/>
  <c r="J7730" i="1"/>
  <c r="J7729" i="1"/>
  <c r="J7728" i="1"/>
  <c r="J7727" i="1"/>
  <c r="J7726" i="1"/>
  <c r="J7725" i="1"/>
  <c r="J7724" i="1"/>
  <c r="J7723" i="1"/>
  <c r="J7722" i="1"/>
  <c r="J7721" i="1"/>
  <c r="J7720" i="1"/>
  <c r="J7719" i="1"/>
  <c r="J7718" i="1"/>
  <c r="J7717" i="1"/>
  <c r="J7716" i="1"/>
  <c r="J7715" i="1"/>
  <c r="J7714" i="1"/>
  <c r="J7713" i="1"/>
  <c r="J7712" i="1"/>
  <c r="J7711" i="1"/>
  <c r="J7710" i="1"/>
  <c r="J7709" i="1"/>
  <c r="J7708" i="1"/>
  <c r="J7707" i="1"/>
  <c r="J7706" i="1"/>
  <c r="J7705" i="1"/>
  <c r="J7704" i="1"/>
  <c r="J7703" i="1"/>
  <c r="J7702" i="1"/>
  <c r="J7701" i="1"/>
  <c r="J7700" i="1"/>
  <c r="J7699" i="1"/>
  <c r="J7698" i="1"/>
  <c r="J7697" i="1"/>
  <c r="J7696" i="1"/>
  <c r="J7695" i="1"/>
  <c r="J7694" i="1"/>
  <c r="J7693" i="1"/>
  <c r="J7692" i="1"/>
  <c r="J7691" i="1"/>
  <c r="J7690" i="1"/>
  <c r="J7689" i="1"/>
  <c r="J7688" i="1"/>
  <c r="J7687" i="1"/>
  <c r="J7686" i="1"/>
  <c r="J7685" i="1"/>
  <c r="J7684" i="1"/>
  <c r="J7683" i="1"/>
  <c r="J7682" i="1"/>
  <c r="J7681" i="1"/>
  <c r="J7680" i="1"/>
  <c r="J7679" i="1"/>
  <c r="J7678" i="1"/>
  <c r="J7677" i="1"/>
  <c r="J7676" i="1"/>
  <c r="J7675" i="1"/>
  <c r="J7674" i="1"/>
  <c r="J7673" i="1"/>
  <c r="J7672" i="1"/>
  <c r="J7671" i="1"/>
  <c r="J7670" i="1"/>
  <c r="J7669" i="1"/>
  <c r="J7668" i="1"/>
  <c r="J7667" i="1"/>
  <c r="J7666" i="1"/>
  <c r="J7665" i="1"/>
  <c r="J7664" i="1"/>
  <c r="J7663" i="1"/>
  <c r="J7662" i="1"/>
  <c r="J7661" i="1"/>
  <c r="J7660" i="1"/>
  <c r="J7659" i="1"/>
  <c r="J7658" i="1"/>
  <c r="J7657" i="1"/>
  <c r="J7656" i="1"/>
  <c r="J7655" i="1"/>
  <c r="J7654" i="1"/>
  <c r="J7653" i="1"/>
  <c r="J7652" i="1"/>
  <c r="J7651" i="1"/>
  <c r="J7650" i="1"/>
  <c r="J7649" i="1"/>
  <c r="J7648" i="1"/>
  <c r="J7647" i="1"/>
  <c r="J7646" i="1"/>
  <c r="J7645" i="1"/>
  <c r="J7644" i="1"/>
  <c r="J7643" i="1"/>
  <c r="J7642" i="1"/>
  <c r="J7641" i="1"/>
  <c r="J7640" i="1"/>
  <c r="J7639" i="1"/>
  <c r="J7638" i="1"/>
  <c r="J7637" i="1"/>
  <c r="J7636" i="1"/>
  <c r="J7635" i="1"/>
  <c r="J7634" i="1"/>
  <c r="J7633" i="1"/>
  <c r="J7632" i="1"/>
  <c r="J7631" i="1"/>
  <c r="J7630" i="1"/>
  <c r="J7629" i="1"/>
  <c r="J7628" i="1"/>
  <c r="J7627" i="1"/>
  <c r="J7626" i="1"/>
  <c r="J7625" i="1"/>
  <c r="J7624" i="1"/>
  <c r="J7623" i="1"/>
  <c r="J7622" i="1"/>
  <c r="J7621" i="1"/>
  <c r="J7620" i="1"/>
  <c r="J7619" i="1"/>
  <c r="J7618" i="1"/>
  <c r="J7617" i="1"/>
  <c r="J7616" i="1"/>
  <c r="J7615" i="1"/>
  <c r="J7614" i="1"/>
  <c r="J7613" i="1"/>
  <c r="J7612" i="1"/>
  <c r="J7611" i="1"/>
  <c r="J7610" i="1"/>
  <c r="J7609" i="1"/>
  <c r="J7608" i="1"/>
  <c r="J7607" i="1"/>
  <c r="J7606" i="1"/>
  <c r="J7605" i="1"/>
  <c r="J7604" i="1"/>
  <c r="J7603" i="1"/>
  <c r="J7602" i="1"/>
  <c r="J7601" i="1"/>
  <c r="J7600" i="1"/>
  <c r="J7599" i="1"/>
  <c r="J7598" i="1"/>
  <c r="J7597" i="1"/>
  <c r="J7596" i="1"/>
  <c r="J7595" i="1"/>
  <c r="J7594" i="1"/>
  <c r="J7593" i="1"/>
  <c r="J7592" i="1"/>
  <c r="J7591" i="1"/>
  <c r="J7590" i="1"/>
  <c r="J7589" i="1"/>
  <c r="J7588" i="1"/>
  <c r="J7587" i="1"/>
  <c r="J7586" i="1"/>
  <c r="J7585" i="1"/>
  <c r="J7584" i="1"/>
  <c r="J7583" i="1"/>
  <c r="J7582" i="1"/>
  <c r="J7581" i="1"/>
  <c r="J7580" i="1"/>
  <c r="J7579" i="1"/>
  <c r="J7578" i="1"/>
  <c r="J7577" i="1"/>
  <c r="J7576" i="1"/>
  <c r="J7575" i="1"/>
  <c r="J7574" i="1"/>
  <c r="J7573" i="1"/>
  <c r="J7572" i="1"/>
  <c r="J7571" i="1"/>
  <c r="J7570" i="1"/>
  <c r="J7569" i="1"/>
  <c r="J7568" i="1"/>
  <c r="J7567" i="1"/>
  <c r="J7566" i="1"/>
  <c r="J7565" i="1"/>
  <c r="J7564" i="1"/>
  <c r="J7563" i="1"/>
  <c r="J7562" i="1"/>
  <c r="J7561" i="1"/>
  <c r="J7560" i="1"/>
  <c r="J7559" i="1"/>
  <c r="J7558" i="1"/>
  <c r="J7557" i="1"/>
  <c r="J7556" i="1"/>
  <c r="J7555" i="1"/>
  <c r="J7554" i="1"/>
  <c r="J7553" i="1"/>
  <c r="J7552" i="1"/>
  <c r="J7551" i="1"/>
  <c r="J7550" i="1"/>
  <c r="J7549" i="1"/>
  <c r="J7548" i="1"/>
  <c r="J7547" i="1"/>
  <c r="J7546" i="1"/>
  <c r="J7545" i="1"/>
  <c r="J7544" i="1"/>
  <c r="J7543" i="1"/>
  <c r="J7542" i="1"/>
  <c r="J7541" i="1"/>
  <c r="J7540" i="1"/>
  <c r="J7539" i="1"/>
  <c r="J7538" i="1"/>
  <c r="J7537" i="1"/>
  <c r="J7536" i="1"/>
  <c r="J7535" i="1"/>
  <c r="J7534" i="1"/>
  <c r="J7533" i="1"/>
  <c r="J7532" i="1"/>
  <c r="J7531" i="1"/>
  <c r="J7530" i="1"/>
  <c r="J7529" i="1"/>
  <c r="J7528" i="1"/>
  <c r="J7527" i="1"/>
  <c r="J7526" i="1"/>
  <c r="J7525" i="1"/>
  <c r="J7524" i="1"/>
  <c r="J7523" i="1"/>
  <c r="J7522" i="1"/>
  <c r="J7521" i="1"/>
  <c r="J7520" i="1"/>
  <c r="J7519" i="1"/>
  <c r="J7518" i="1"/>
  <c r="J7517" i="1"/>
  <c r="J7516" i="1"/>
  <c r="J7515" i="1"/>
  <c r="J7514" i="1"/>
  <c r="J7513" i="1"/>
  <c r="J7512" i="1"/>
  <c r="J7511" i="1"/>
  <c r="J7510" i="1"/>
  <c r="J7509" i="1"/>
  <c r="J7508" i="1"/>
  <c r="J7507" i="1"/>
  <c r="J7506" i="1"/>
  <c r="J7505" i="1"/>
  <c r="J7504" i="1"/>
  <c r="J7503" i="1"/>
  <c r="J7502" i="1"/>
  <c r="J7501" i="1"/>
  <c r="J7500" i="1"/>
  <c r="J7499" i="1"/>
  <c r="J7498" i="1"/>
  <c r="J7497" i="1"/>
  <c r="J7496" i="1"/>
  <c r="J7495" i="1"/>
  <c r="J7494" i="1"/>
  <c r="J7493" i="1"/>
  <c r="J7492" i="1"/>
  <c r="J7491" i="1"/>
  <c r="J7490" i="1"/>
  <c r="J7489" i="1"/>
  <c r="J7488" i="1"/>
  <c r="J7487" i="1"/>
  <c r="J7486" i="1"/>
  <c r="J7485" i="1"/>
  <c r="J7484" i="1"/>
  <c r="J7483" i="1"/>
  <c r="J7482" i="1"/>
  <c r="J7481" i="1"/>
  <c r="J7480" i="1"/>
  <c r="J7479" i="1"/>
  <c r="J7478" i="1"/>
  <c r="J7477" i="1"/>
  <c r="J7476" i="1"/>
  <c r="J7475" i="1"/>
  <c r="J7474" i="1"/>
  <c r="J7473" i="1"/>
  <c r="J7472" i="1"/>
  <c r="J7471" i="1"/>
  <c r="J7470" i="1"/>
  <c r="J7469" i="1"/>
  <c r="J7468" i="1"/>
  <c r="J7467" i="1"/>
  <c r="J7466" i="1"/>
  <c r="J7465" i="1"/>
  <c r="J7464" i="1"/>
  <c r="J7463" i="1"/>
  <c r="J7462" i="1"/>
  <c r="J7461" i="1"/>
  <c r="J7460" i="1"/>
  <c r="J7459" i="1"/>
  <c r="J7458" i="1"/>
  <c r="J7457" i="1"/>
  <c r="J7456" i="1"/>
  <c r="J7455" i="1"/>
  <c r="J7454" i="1"/>
  <c r="J7453" i="1"/>
  <c r="J7452" i="1"/>
  <c r="J7451" i="1"/>
  <c r="J7450" i="1"/>
  <c r="J7449" i="1"/>
  <c r="J7448" i="1"/>
  <c r="J7447" i="1"/>
  <c r="J7446" i="1"/>
  <c r="J7445" i="1"/>
  <c r="J7444" i="1"/>
  <c r="J7443" i="1"/>
  <c r="J7442" i="1"/>
  <c r="J7441" i="1"/>
  <c r="J7440" i="1"/>
  <c r="J7439" i="1"/>
  <c r="J7438" i="1"/>
  <c r="J7437" i="1"/>
  <c r="J7436" i="1"/>
  <c r="J7435" i="1"/>
  <c r="J7434" i="1"/>
  <c r="J7433" i="1"/>
  <c r="J7432" i="1"/>
  <c r="J7431" i="1"/>
  <c r="J7430" i="1"/>
  <c r="J7429" i="1"/>
  <c r="J7428" i="1"/>
  <c r="J7427" i="1"/>
  <c r="J7426" i="1"/>
  <c r="J7425" i="1"/>
  <c r="J7424" i="1"/>
  <c r="J7423" i="1"/>
  <c r="J7422" i="1"/>
  <c r="J7421" i="1"/>
  <c r="J7420" i="1"/>
  <c r="J7419" i="1"/>
  <c r="J7418" i="1"/>
  <c r="J7417" i="1"/>
  <c r="J7416" i="1"/>
  <c r="J7415" i="1"/>
  <c r="J7414" i="1"/>
  <c r="J7413" i="1"/>
  <c r="J7412" i="1"/>
  <c r="J7411" i="1"/>
  <c r="J7410" i="1"/>
  <c r="J7409" i="1"/>
  <c r="J7408" i="1"/>
  <c r="J7407" i="1"/>
  <c r="J7406" i="1"/>
  <c r="J7405" i="1"/>
  <c r="J7404" i="1"/>
  <c r="J7403" i="1"/>
  <c r="J7402" i="1"/>
  <c r="J7401" i="1"/>
  <c r="J7400" i="1"/>
  <c r="J7399" i="1"/>
  <c r="J7398" i="1"/>
  <c r="J7397" i="1"/>
  <c r="J7396" i="1"/>
  <c r="J7395" i="1"/>
  <c r="J7394" i="1"/>
  <c r="J7393" i="1"/>
  <c r="J7392" i="1"/>
  <c r="J7391" i="1"/>
  <c r="J7390" i="1"/>
  <c r="J7389" i="1"/>
  <c r="J7388" i="1"/>
  <c r="J7387" i="1"/>
  <c r="J7386" i="1"/>
  <c r="J7385" i="1"/>
  <c r="J7384" i="1"/>
  <c r="J7383" i="1"/>
  <c r="J7382" i="1"/>
  <c r="J7381" i="1"/>
  <c r="J7380" i="1"/>
  <c r="J7379" i="1"/>
  <c r="J7378" i="1"/>
  <c r="J7377" i="1"/>
  <c r="J7376" i="1"/>
  <c r="J7375" i="1"/>
  <c r="J7374" i="1"/>
  <c r="J7373" i="1"/>
  <c r="J7372" i="1"/>
  <c r="J7371" i="1"/>
  <c r="J7370" i="1"/>
  <c r="J7369" i="1"/>
  <c r="J7368" i="1"/>
  <c r="J7367" i="1"/>
  <c r="J7366" i="1"/>
  <c r="J7365" i="1"/>
  <c r="J7364" i="1"/>
  <c r="J7363" i="1"/>
  <c r="J7362" i="1"/>
  <c r="J7361" i="1"/>
  <c r="J7360" i="1"/>
  <c r="J7359" i="1"/>
  <c r="J7358" i="1"/>
  <c r="J7357" i="1"/>
  <c r="J7356" i="1"/>
  <c r="J7355" i="1"/>
  <c r="J7354" i="1"/>
  <c r="J7353" i="1"/>
  <c r="J7352" i="1"/>
  <c r="J7351" i="1"/>
  <c r="J7350" i="1"/>
  <c r="J7349" i="1"/>
  <c r="J7348" i="1"/>
  <c r="J7347" i="1"/>
  <c r="J7346" i="1"/>
  <c r="J7345" i="1"/>
  <c r="J7344" i="1"/>
  <c r="J7343" i="1"/>
  <c r="J7342" i="1"/>
  <c r="J7341" i="1"/>
  <c r="J7340" i="1"/>
  <c r="J7339" i="1"/>
  <c r="J7338" i="1"/>
  <c r="J7337" i="1"/>
  <c r="J7336" i="1"/>
  <c r="J7335" i="1"/>
  <c r="J7334" i="1"/>
  <c r="J7333" i="1"/>
  <c r="J7332" i="1"/>
  <c r="J7331" i="1"/>
  <c r="J7330" i="1"/>
  <c r="J7329" i="1"/>
  <c r="J7328" i="1"/>
  <c r="J7327" i="1"/>
  <c r="J7326" i="1"/>
  <c r="J7325" i="1"/>
  <c r="J7324" i="1"/>
  <c r="J7323" i="1"/>
  <c r="J7322" i="1"/>
  <c r="J7321" i="1"/>
  <c r="J7320" i="1"/>
  <c r="J7319" i="1"/>
  <c r="J7318" i="1"/>
  <c r="J7317" i="1"/>
  <c r="J7316" i="1"/>
  <c r="J7315" i="1"/>
  <c r="J7314" i="1"/>
  <c r="J7313" i="1"/>
  <c r="J7312" i="1"/>
  <c r="J7311" i="1"/>
  <c r="J7310" i="1"/>
  <c r="J7309" i="1"/>
  <c r="J7308" i="1"/>
  <c r="J7307" i="1"/>
  <c r="J7306" i="1"/>
  <c r="J7305" i="1"/>
  <c r="J7304" i="1"/>
  <c r="J7303" i="1"/>
  <c r="J7302" i="1"/>
  <c r="J7301" i="1"/>
  <c r="J7300" i="1"/>
  <c r="J7299" i="1"/>
  <c r="J7298" i="1"/>
  <c r="J7297" i="1"/>
  <c r="J7296" i="1"/>
  <c r="J7295" i="1"/>
  <c r="J7294" i="1"/>
  <c r="J7293" i="1"/>
  <c r="J7292" i="1"/>
  <c r="J7291" i="1"/>
  <c r="J7290" i="1"/>
  <c r="J7289" i="1"/>
  <c r="J7288" i="1"/>
  <c r="J7287" i="1"/>
  <c r="J7286" i="1"/>
  <c r="J7285" i="1"/>
  <c r="J7284" i="1"/>
  <c r="J7283" i="1"/>
  <c r="J7282" i="1"/>
  <c r="J7281" i="1"/>
  <c r="J7280" i="1"/>
  <c r="J7279" i="1"/>
  <c r="J7278" i="1"/>
  <c r="J7277" i="1"/>
  <c r="J7276" i="1"/>
  <c r="J7275" i="1"/>
  <c r="J7274" i="1"/>
  <c r="J7273" i="1"/>
  <c r="J7272" i="1"/>
  <c r="J7271" i="1"/>
  <c r="J7270" i="1"/>
  <c r="J7269" i="1"/>
  <c r="J7268" i="1"/>
  <c r="J7267" i="1"/>
  <c r="J7266" i="1"/>
  <c r="J7265" i="1"/>
  <c r="J7264" i="1"/>
  <c r="J7263" i="1"/>
  <c r="J7262" i="1"/>
  <c r="J7261" i="1"/>
  <c r="J7260" i="1"/>
  <c r="J7259" i="1"/>
  <c r="J7258" i="1"/>
  <c r="J7257" i="1"/>
  <c r="J7256" i="1"/>
  <c r="J7255" i="1"/>
  <c r="J7254" i="1"/>
  <c r="J7253" i="1"/>
  <c r="J7252" i="1"/>
  <c r="J7251" i="1"/>
  <c r="J7250" i="1"/>
  <c r="J7249" i="1"/>
  <c r="J7248" i="1"/>
  <c r="J7247" i="1"/>
  <c r="J7246" i="1"/>
  <c r="J7245" i="1"/>
  <c r="J7244" i="1"/>
  <c r="J7243" i="1"/>
  <c r="J7242" i="1"/>
  <c r="J7241" i="1"/>
  <c r="J7240" i="1"/>
  <c r="J7239" i="1"/>
  <c r="J7238" i="1"/>
  <c r="J7237" i="1"/>
  <c r="J7236" i="1"/>
  <c r="J7235" i="1"/>
  <c r="J7234" i="1"/>
  <c r="J7233" i="1"/>
  <c r="J7232" i="1"/>
  <c r="J7231" i="1"/>
  <c r="J7230" i="1"/>
  <c r="J7229" i="1"/>
  <c r="J7228" i="1"/>
  <c r="J7227" i="1"/>
  <c r="J7226" i="1"/>
  <c r="J7225" i="1"/>
  <c r="J7224" i="1"/>
  <c r="J7223" i="1"/>
  <c r="J7222" i="1"/>
  <c r="J7221" i="1"/>
  <c r="J7220" i="1"/>
  <c r="J7219" i="1"/>
  <c r="J7218" i="1"/>
  <c r="J7217" i="1"/>
  <c r="J7216" i="1"/>
  <c r="J7215" i="1"/>
  <c r="J7214" i="1"/>
  <c r="J7213" i="1"/>
  <c r="J7212" i="1"/>
  <c r="J7211" i="1"/>
  <c r="J7210" i="1"/>
  <c r="J7209" i="1"/>
  <c r="J7208" i="1"/>
  <c r="J7207" i="1"/>
  <c r="J7206" i="1"/>
  <c r="J7205" i="1"/>
  <c r="J7204" i="1"/>
  <c r="J7203" i="1"/>
  <c r="J7202" i="1"/>
  <c r="J7201" i="1"/>
  <c r="J7200" i="1"/>
  <c r="J7199" i="1"/>
  <c r="J7198" i="1"/>
  <c r="J7197" i="1"/>
  <c r="J7196" i="1"/>
  <c r="J7195" i="1"/>
  <c r="J7194" i="1"/>
  <c r="J7193" i="1"/>
  <c r="J7192" i="1"/>
  <c r="J7191" i="1"/>
  <c r="J7190" i="1"/>
  <c r="J7189" i="1"/>
  <c r="J7188" i="1"/>
  <c r="J7187" i="1"/>
  <c r="J7186" i="1"/>
  <c r="J7185" i="1"/>
  <c r="J7184" i="1"/>
  <c r="J7183" i="1"/>
  <c r="J7182" i="1"/>
  <c r="J7181" i="1"/>
  <c r="J7180" i="1"/>
  <c r="J7179" i="1"/>
  <c r="J7178" i="1"/>
  <c r="J7177" i="1"/>
  <c r="J7176" i="1"/>
  <c r="J7175" i="1"/>
  <c r="J7174" i="1"/>
  <c r="J7173" i="1"/>
  <c r="J7172" i="1"/>
  <c r="J7171" i="1"/>
  <c r="J7170" i="1"/>
  <c r="J7169" i="1"/>
  <c r="J7168" i="1"/>
  <c r="J7167" i="1"/>
  <c r="J7166" i="1"/>
  <c r="J7165" i="1"/>
  <c r="J7164" i="1"/>
  <c r="J7163" i="1"/>
  <c r="J7162" i="1"/>
  <c r="J7161" i="1"/>
  <c r="J7160" i="1"/>
  <c r="J7159" i="1"/>
  <c r="J7158" i="1"/>
  <c r="J7157" i="1"/>
  <c r="J7156" i="1"/>
  <c r="J7155" i="1"/>
  <c r="J7154" i="1"/>
  <c r="J7153" i="1"/>
  <c r="J7152" i="1"/>
  <c r="J7151" i="1"/>
  <c r="J7150" i="1"/>
  <c r="J7149" i="1"/>
  <c r="J7148" i="1"/>
  <c r="J7147" i="1"/>
  <c r="J7146" i="1"/>
  <c r="J7145" i="1"/>
  <c r="J7144" i="1"/>
  <c r="J7143" i="1"/>
  <c r="J7142" i="1"/>
  <c r="J7141" i="1"/>
  <c r="J7140" i="1"/>
  <c r="J7139" i="1"/>
  <c r="J7138" i="1"/>
  <c r="J7137" i="1"/>
  <c r="J7136" i="1"/>
  <c r="J7135" i="1"/>
  <c r="J7134" i="1"/>
  <c r="J7133" i="1"/>
  <c r="J7132" i="1"/>
  <c r="J7131" i="1"/>
  <c r="J7130" i="1"/>
  <c r="J7129" i="1"/>
  <c r="J7128" i="1"/>
  <c r="J7127" i="1"/>
  <c r="J7126" i="1"/>
  <c r="J7125" i="1"/>
  <c r="J7124" i="1"/>
  <c r="J7123" i="1"/>
  <c r="J7122" i="1"/>
  <c r="J7121" i="1"/>
  <c r="J7120" i="1"/>
  <c r="J7119" i="1"/>
  <c r="J7118" i="1"/>
  <c r="J7117" i="1"/>
  <c r="J7116" i="1"/>
  <c r="J7115" i="1"/>
  <c r="J7114" i="1"/>
  <c r="J7113" i="1"/>
  <c r="J7112" i="1"/>
  <c r="J7111" i="1"/>
  <c r="J7110" i="1"/>
  <c r="J7109" i="1"/>
  <c r="J7108" i="1"/>
  <c r="J7107" i="1"/>
  <c r="J7106" i="1"/>
  <c r="J7105" i="1"/>
  <c r="J7104" i="1"/>
  <c r="J7103" i="1"/>
  <c r="J7102" i="1"/>
  <c r="J7101" i="1"/>
  <c r="J7100" i="1"/>
  <c r="J7099" i="1"/>
  <c r="J7098" i="1"/>
  <c r="J7097" i="1"/>
  <c r="J7096" i="1"/>
  <c r="J7095" i="1"/>
  <c r="J7094" i="1"/>
  <c r="J7093" i="1"/>
  <c r="J7092" i="1"/>
  <c r="J7091" i="1"/>
  <c r="J7090" i="1"/>
  <c r="J7089" i="1"/>
  <c r="J7088" i="1"/>
  <c r="J7087" i="1"/>
  <c r="J7086" i="1"/>
  <c r="J7085" i="1"/>
  <c r="J7084" i="1"/>
  <c r="J7083" i="1"/>
  <c r="J7082" i="1"/>
  <c r="J7081" i="1"/>
  <c r="J7080" i="1"/>
  <c r="J7079" i="1"/>
  <c r="J7078" i="1"/>
  <c r="J7077" i="1"/>
  <c r="J7076" i="1"/>
  <c r="J7075" i="1"/>
  <c r="J7074" i="1"/>
  <c r="J7073" i="1"/>
  <c r="J7072" i="1"/>
  <c r="J7071" i="1"/>
  <c r="J7070" i="1"/>
  <c r="J7069" i="1"/>
  <c r="J7068" i="1"/>
  <c r="J7067" i="1"/>
  <c r="J7066" i="1"/>
  <c r="J7065" i="1"/>
  <c r="J7064" i="1"/>
  <c r="J7063" i="1"/>
  <c r="J7062" i="1"/>
  <c r="J7061" i="1"/>
  <c r="J7060" i="1"/>
  <c r="J7059" i="1"/>
  <c r="J7058" i="1"/>
  <c r="J7057" i="1"/>
  <c r="J7056" i="1"/>
  <c r="J7055" i="1"/>
  <c r="J7054" i="1"/>
  <c r="J7053" i="1"/>
  <c r="J7052" i="1"/>
  <c r="J7051" i="1"/>
  <c r="J7050" i="1"/>
  <c r="J7049" i="1"/>
  <c r="J7048" i="1"/>
  <c r="J7047" i="1"/>
  <c r="J7046" i="1"/>
  <c r="J7045" i="1"/>
  <c r="J7044" i="1"/>
  <c r="J7043" i="1"/>
  <c r="J7042" i="1"/>
  <c r="J7041" i="1"/>
  <c r="J7040" i="1"/>
  <c r="J7039" i="1"/>
  <c r="J7038" i="1"/>
  <c r="J7037" i="1"/>
  <c r="J7036" i="1"/>
  <c r="J7035" i="1"/>
  <c r="J7034" i="1"/>
  <c r="J7033" i="1"/>
  <c r="J7032" i="1"/>
  <c r="J7031" i="1"/>
  <c r="J7030" i="1"/>
  <c r="J7029" i="1"/>
  <c r="J7028" i="1"/>
  <c r="J7027" i="1"/>
  <c r="J7026" i="1"/>
  <c r="J7025" i="1"/>
  <c r="J7024" i="1"/>
  <c r="J7023" i="1"/>
  <c r="J7022" i="1"/>
  <c r="J7021" i="1"/>
  <c r="J7020" i="1"/>
  <c r="J7019" i="1"/>
  <c r="J7018" i="1"/>
  <c r="J7017" i="1"/>
  <c r="J7016" i="1"/>
  <c r="J7015" i="1"/>
  <c r="J7014" i="1"/>
  <c r="J7013" i="1"/>
  <c r="J7012" i="1"/>
  <c r="J7011" i="1"/>
  <c r="J7010" i="1"/>
  <c r="J7009" i="1"/>
  <c r="J7008" i="1"/>
  <c r="J7007" i="1"/>
  <c r="J7006" i="1"/>
  <c r="J7005" i="1"/>
  <c r="J7004" i="1"/>
  <c r="J7003" i="1"/>
  <c r="J7002" i="1"/>
  <c r="J7001" i="1"/>
  <c r="J7000" i="1"/>
  <c r="J6999" i="1"/>
  <c r="J6998" i="1"/>
  <c r="J6997" i="1"/>
  <c r="J6996" i="1"/>
  <c r="J6995" i="1"/>
  <c r="J6994" i="1"/>
  <c r="J6993" i="1"/>
  <c r="J6992" i="1"/>
  <c r="J6991" i="1"/>
  <c r="J6990" i="1"/>
  <c r="J6989" i="1"/>
  <c r="J6988" i="1"/>
  <c r="J6987" i="1"/>
  <c r="J6986" i="1"/>
  <c r="J6985" i="1"/>
  <c r="J6984" i="1"/>
  <c r="J6983" i="1"/>
  <c r="J6982" i="1"/>
  <c r="J6981" i="1"/>
  <c r="J6980" i="1"/>
  <c r="J6979" i="1"/>
  <c r="J6978" i="1"/>
  <c r="J6977" i="1"/>
  <c r="J6976" i="1"/>
  <c r="J6975" i="1"/>
  <c r="J6974" i="1"/>
  <c r="J6973" i="1"/>
  <c r="J6972" i="1"/>
  <c r="J6971" i="1"/>
  <c r="J6970" i="1"/>
  <c r="J6969" i="1"/>
  <c r="J6968" i="1"/>
  <c r="J6967" i="1"/>
  <c r="J6966" i="1"/>
  <c r="J6965" i="1"/>
  <c r="J6964" i="1"/>
  <c r="J6963" i="1"/>
  <c r="J6962" i="1"/>
  <c r="J6961" i="1"/>
  <c r="J6960" i="1"/>
  <c r="J6959" i="1"/>
  <c r="J6958" i="1"/>
  <c r="J6957" i="1"/>
  <c r="J6956" i="1"/>
  <c r="J6955" i="1"/>
  <c r="J6954" i="1"/>
  <c r="J6953" i="1"/>
  <c r="J6952" i="1"/>
  <c r="J6951" i="1"/>
  <c r="J6950" i="1"/>
  <c r="J6949" i="1"/>
  <c r="J6948" i="1"/>
  <c r="J6947" i="1"/>
  <c r="J6946" i="1"/>
  <c r="J6945" i="1"/>
  <c r="J6944" i="1"/>
  <c r="J6943" i="1"/>
  <c r="J6942" i="1"/>
  <c r="J6941" i="1"/>
  <c r="J6940" i="1"/>
  <c r="J6939" i="1"/>
  <c r="J6938" i="1"/>
  <c r="J6937" i="1"/>
  <c r="J6936" i="1"/>
  <c r="J6935" i="1"/>
  <c r="J6934" i="1"/>
  <c r="J6933" i="1"/>
  <c r="J6932" i="1"/>
  <c r="J6931" i="1"/>
  <c r="J6930" i="1"/>
  <c r="J6929" i="1"/>
  <c r="J6928" i="1"/>
  <c r="J6927" i="1"/>
  <c r="J6926" i="1"/>
  <c r="J6925" i="1"/>
  <c r="J6924" i="1"/>
  <c r="J6923" i="1"/>
  <c r="J6922" i="1"/>
  <c r="J6921" i="1"/>
  <c r="J6920" i="1"/>
  <c r="J6919" i="1"/>
  <c r="J6918" i="1"/>
  <c r="J6917" i="1"/>
  <c r="J6916" i="1"/>
  <c r="J6915" i="1"/>
  <c r="J6914" i="1"/>
  <c r="J6913" i="1"/>
  <c r="J6912" i="1"/>
  <c r="J6911" i="1"/>
  <c r="J6910" i="1"/>
  <c r="J6909" i="1"/>
  <c r="J6908" i="1"/>
  <c r="J6907" i="1"/>
  <c r="J6906" i="1"/>
  <c r="J6905" i="1"/>
  <c r="J6904" i="1"/>
  <c r="J6903" i="1"/>
  <c r="J6902" i="1"/>
  <c r="J6901" i="1"/>
  <c r="J6900" i="1"/>
  <c r="J6899" i="1"/>
  <c r="J6898" i="1"/>
  <c r="J6897" i="1"/>
  <c r="J6896" i="1"/>
  <c r="J6895" i="1"/>
  <c r="J6894" i="1"/>
  <c r="J6893" i="1"/>
  <c r="J6892" i="1"/>
  <c r="J6891" i="1"/>
  <c r="J6890" i="1"/>
  <c r="J6889" i="1"/>
  <c r="J6888" i="1"/>
  <c r="J6887" i="1"/>
  <c r="J6886" i="1"/>
  <c r="J6885" i="1"/>
  <c r="J6884" i="1"/>
  <c r="J6883" i="1"/>
  <c r="J6882" i="1"/>
  <c r="J6881" i="1"/>
  <c r="J6880" i="1"/>
  <c r="J6879" i="1"/>
  <c r="J6878" i="1"/>
  <c r="J6877" i="1"/>
  <c r="J6876" i="1"/>
  <c r="J6875" i="1"/>
  <c r="J6874" i="1"/>
  <c r="J6873" i="1"/>
  <c r="J6872" i="1"/>
  <c r="J6871" i="1"/>
  <c r="J6870" i="1"/>
  <c r="J6869" i="1"/>
  <c r="J6868" i="1"/>
  <c r="J6867" i="1"/>
  <c r="J6866" i="1"/>
  <c r="J6865" i="1"/>
  <c r="J6864" i="1"/>
  <c r="J6863" i="1"/>
  <c r="J6862" i="1"/>
  <c r="J6861" i="1"/>
  <c r="J6860" i="1"/>
  <c r="J6859" i="1"/>
  <c r="J6858" i="1"/>
  <c r="J6857" i="1"/>
  <c r="J6856" i="1"/>
  <c r="J6855" i="1"/>
  <c r="J6854" i="1"/>
  <c r="J6853" i="1"/>
  <c r="J6852" i="1"/>
  <c r="J6851" i="1"/>
  <c r="J6850" i="1"/>
  <c r="J6849" i="1"/>
  <c r="J6848" i="1"/>
  <c r="J6847" i="1"/>
  <c r="J6846" i="1"/>
  <c r="J6845" i="1"/>
  <c r="J6844" i="1"/>
  <c r="J6843" i="1"/>
  <c r="J6842" i="1"/>
  <c r="J6841" i="1"/>
  <c r="J6840" i="1"/>
  <c r="J6839" i="1"/>
  <c r="J6838" i="1"/>
  <c r="J6837" i="1"/>
  <c r="J6836" i="1"/>
  <c r="J6835" i="1"/>
  <c r="J6834" i="1"/>
  <c r="J6833" i="1"/>
  <c r="J6832" i="1"/>
  <c r="J6831" i="1"/>
  <c r="J6830" i="1"/>
  <c r="J6829" i="1"/>
  <c r="J6828" i="1"/>
  <c r="J6827" i="1"/>
  <c r="J6826" i="1"/>
  <c r="J6825" i="1"/>
  <c r="J6824" i="1"/>
  <c r="J6823" i="1"/>
  <c r="J6822" i="1"/>
  <c r="J6821" i="1"/>
  <c r="J6820" i="1"/>
  <c r="J6819" i="1"/>
  <c r="J6818" i="1"/>
  <c r="J6817" i="1"/>
  <c r="J6816" i="1"/>
  <c r="J6815" i="1"/>
  <c r="J6814" i="1"/>
  <c r="J6813" i="1"/>
  <c r="J6812" i="1"/>
  <c r="J6811" i="1"/>
  <c r="J6810" i="1"/>
  <c r="J6809" i="1"/>
  <c r="J6808" i="1"/>
  <c r="J6807" i="1"/>
  <c r="J6806" i="1"/>
  <c r="J6805" i="1"/>
  <c r="J6804" i="1"/>
  <c r="J6803" i="1"/>
  <c r="J6802" i="1"/>
  <c r="J6801" i="1"/>
  <c r="J6800" i="1"/>
  <c r="J6799" i="1"/>
  <c r="J6798" i="1"/>
  <c r="J6797" i="1"/>
  <c r="J6796" i="1"/>
  <c r="J6795" i="1"/>
  <c r="J6794" i="1"/>
  <c r="J6793" i="1"/>
  <c r="J6792" i="1"/>
  <c r="J6791" i="1"/>
  <c r="J6790" i="1"/>
  <c r="J6789" i="1"/>
  <c r="J6788" i="1"/>
  <c r="J6787" i="1"/>
  <c r="J6786" i="1"/>
  <c r="J6785" i="1"/>
  <c r="J6784" i="1"/>
  <c r="J6783" i="1"/>
  <c r="J6782" i="1"/>
  <c r="J6781" i="1"/>
  <c r="J6780" i="1"/>
  <c r="J6779" i="1"/>
  <c r="J6778" i="1"/>
  <c r="J6777" i="1"/>
  <c r="J6776" i="1"/>
  <c r="J6775" i="1"/>
  <c r="J6774" i="1"/>
  <c r="J6773" i="1"/>
  <c r="J6772" i="1"/>
  <c r="J6771" i="1"/>
  <c r="J6770" i="1"/>
  <c r="J6769" i="1"/>
  <c r="J6768" i="1"/>
  <c r="J6767" i="1"/>
  <c r="J6766" i="1"/>
  <c r="J6765" i="1"/>
  <c r="J6764" i="1"/>
  <c r="J6763" i="1"/>
  <c r="J6762" i="1"/>
  <c r="J6761" i="1"/>
  <c r="J6760" i="1"/>
  <c r="J6759" i="1"/>
  <c r="J6758" i="1"/>
  <c r="J6757" i="1"/>
  <c r="J6756" i="1"/>
  <c r="J6755" i="1"/>
  <c r="J6754" i="1"/>
  <c r="J6753" i="1"/>
  <c r="J6752" i="1"/>
  <c r="J6751" i="1"/>
  <c r="J6750" i="1"/>
  <c r="J6749" i="1"/>
  <c r="J6748" i="1"/>
  <c r="J6747" i="1"/>
  <c r="J6746" i="1"/>
  <c r="J6745" i="1"/>
  <c r="J6744" i="1"/>
  <c r="J6743" i="1"/>
  <c r="J6742" i="1"/>
  <c r="J6741" i="1"/>
  <c r="J6740" i="1"/>
  <c r="J6739" i="1"/>
  <c r="J6738" i="1"/>
  <c r="J6737" i="1"/>
  <c r="J6736" i="1"/>
  <c r="J6735" i="1"/>
  <c r="J6734" i="1"/>
  <c r="J6733" i="1"/>
  <c r="J6732" i="1"/>
  <c r="J6731" i="1"/>
  <c r="J6730" i="1"/>
  <c r="J6729" i="1"/>
  <c r="J6728" i="1"/>
  <c r="J6727" i="1"/>
  <c r="J6726" i="1"/>
  <c r="J6725" i="1"/>
  <c r="J6724" i="1"/>
  <c r="J6723" i="1"/>
  <c r="J6722" i="1"/>
  <c r="J6721" i="1"/>
  <c r="J6720" i="1"/>
  <c r="J6719" i="1"/>
  <c r="J6718" i="1"/>
  <c r="J6717" i="1"/>
  <c r="J6716" i="1"/>
  <c r="J6715" i="1"/>
  <c r="J6714" i="1"/>
  <c r="J6713" i="1"/>
  <c r="J6712" i="1"/>
  <c r="J6711" i="1"/>
  <c r="J6710" i="1"/>
  <c r="J6709" i="1"/>
  <c r="J6708" i="1"/>
  <c r="J6707" i="1"/>
  <c r="J6706" i="1"/>
  <c r="J6705" i="1"/>
  <c r="J6704" i="1"/>
  <c r="J6703" i="1"/>
  <c r="J6702" i="1"/>
  <c r="J6701" i="1"/>
  <c r="J6700" i="1"/>
  <c r="J6699" i="1"/>
  <c r="J6698" i="1"/>
  <c r="J6697" i="1"/>
  <c r="J6696" i="1"/>
  <c r="J6695" i="1"/>
  <c r="J6694" i="1"/>
  <c r="J6693" i="1"/>
  <c r="J6692" i="1"/>
  <c r="J6691" i="1"/>
  <c r="J6690" i="1"/>
  <c r="J6689" i="1"/>
  <c r="J6688" i="1"/>
  <c r="J6687" i="1"/>
  <c r="J6686" i="1"/>
  <c r="J6685" i="1"/>
  <c r="J6684" i="1"/>
  <c r="J6683" i="1"/>
  <c r="J6682" i="1"/>
  <c r="J6681" i="1"/>
  <c r="J6680" i="1"/>
  <c r="J6679" i="1"/>
  <c r="J6678" i="1"/>
  <c r="J6677" i="1"/>
  <c r="J6676" i="1"/>
  <c r="J6675" i="1"/>
  <c r="J6674" i="1"/>
  <c r="J6673" i="1"/>
  <c r="J6672" i="1"/>
  <c r="J6671" i="1"/>
  <c r="J6670" i="1"/>
  <c r="J6669" i="1"/>
  <c r="J6668" i="1"/>
  <c r="J6667" i="1"/>
  <c r="J6666" i="1"/>
  <c r="J6665" i="1"/>
  <c r="J6664" i="1"/>
  <c r="J6663" i="1"/>
  <c r="J6662" i="1"/>
  <c r="J6661" i="1"/>
  <c r="J6660" i="1"/>
  <c r="J6659" i="1"/>
  <c r="J6658" i="1"/>
  <c r="J6657" i="1"/>
  <c r="J6656" i="1"/>
  <c r="J6655" i="1"/>
  <c r="J6654" i="1"/>
  <c r="J6653" i="1"/>
  <c r="J6652" i="1"/>
  <c r="J6651" i="1"/>
  <c r="J6650" i="1"/>
  <c r="J6649" i="1"/>
  <c r="J6648" i="1"/>
  <c r="J6647" i="1"/>
  <c r="J6646" i="1"/>
  <c r="J6645" i="1"/>
  <c r="J6644" i="1"/>
  <c r="J6643" i="1"/>
  <c r="J6642" i="1"/>
  <c r="J6641" i="1"/>
  <c r="J6640" i="1"/>
  <c r="J6639" i="1"/>
  <c r="J6638" i="1"/>
  <c r="J6637" i="1"/>
  <c r="J6636" i="1"/>
  <c r="J6635" i="1"/>
  <c r="J6634" i="1"/>
  <c r="J6633" i="1"/>
  <c r="J6632" i="1"/>
  <c r="J6631" i="1"/>
  <c r="J6630" i="1"/>
  <c r="J6629" i="1"/>
  <c r="J6628" i="1"/>
  <c r="J6627" i="1"/>
  <c r="J6626" i="1"/>
  <c r="J6625" i="1"/>
  <c r="J6624" i="1"/>
  <c r="J6623" i="1"/>
  <c r="J6622" i="1"/>
  <c r="J6621" i="1"/>
  <c r="J6620" i="1"/>
  <c r="J6619" i="1"/>
  <c r="J6618" i="1"/>
  <c r="J6617" i="1"/>
  <c r="J6616" i="1"/>
  <c r="J6615" i="1"/>
  <c r="J6614" i="1"/>
  <c r="J6613" i="1"/>
  <c r="J6612" i="1"/>
  <c r="J6611" i="1"/>
  <c r="J6610" i="1"/>
  <c r="J6609" i="1"/>
  <c r="J6608" i="1"/>
  <c r="J6607" i="1"/>
  <c r="J6606" i="1"/>
  <c r="J6605" i="1"/>
  <c r="J6604" i="1"/>
  <c r="J6603" i="1"/>
  <c r="J6602" i="1"/>
  <c r="J6601" i="1"/>
  <c r="J6600" i="1"/>
  <c r="J6599" i="1"/>
  <c r="J6598" i="1"/>
  <c r="J6597" i="1"/>
  <c r="J6596" i="1"/>
  <c r="J6595" i="1"/>
  <c r="J6594" i="1"/>
  <c r="J6593" i="1"/>
  <c r="J6592" i="1"/>
  <c r="J6591" i="1"/>
  <c r="J6590" i="1"/>
  <c r="J6589" i="1"/>
  <c r="J6588" i="1"/>
  <c r="J6587" i="1"/>
  <c r="J6586" i="1"/>
  <c r="J6585" i="1"/>
  <c r="J6584" i="1"/>
  <c r="J6583" i="1"/>
  <c r="J6582" i="1"/>
  <c r="J6581" i="1"/>
  <c r="J6580" i="1"/>
  <c r="J6579" i="1"/>
  <c r="J6578" i="1"/>
  <c r="J6577" i="1"/>
  <c r="J6576" i="1"/>
  <c r="J6575" i="1"/>
  <c r="J6574" i="1"/>
  <c r="J6573" i="1"/>
  <c r="J6572" i="1"/>
  <c r="J6571" i="1"/>
  <c r="J6570" i="1"/>
  <c r="J6569" i="1"/>
  <c r="J6568" i="1"/>
  <c r="J6567" i="1"/>
  <c r="J6566" i="1"/>
  <c r="J6565" i="1"/>
  <c r="J6564" i="1"/>
  <c r="J6563" i="1"/>
  <c r="J6562" i="1"/>
  <c r="J6561" i="1"/>
  <c r="J6560" i="1"/>
  <c r="J6559" i="1"/>
  <c r="J6558" i="1"/>
  <c r="J6557" i="1"/>
  <c r="J6556" i="1"/>
  <c r="J6555" i="1"/>
  <c r="J6554" i="1"/>
  <c r="J6553" i="1"/>
  <c r="J6552" i="1"/>
  <c r="J6551" i="1"/>
  <c r="J6550" i="1"/>
  <c r="J6549" i="1"/>
  <c r="J6548" i="1"/>
  <c r="J6547" i="1"/>
  <c r="J6546" i="1"/>
  <c r="J6545" i="1"/>
  <c r="J6544" i="1"/>
  <c r="J6543" i="1"/>
  <c r="J6542" i="1"/>
  <c r="J6541" i="1"/>
  <c r="J6540" i="1"/>
  <c r="J6539" i="1"/>
  <c r="J6538" i="1"/>
  <c r="J6537" i="1"/>
  <c r="J6536" i="1"/>
  <c r="J6535" i="1"/>
  <c r="J6534" i="1"/>
  <c r="J6533" i="1"/>
  <c r="J6532" i="1"/>
  <c r="J6531" i="1"/>
  <c r="J6530" i="1"/>
  <c r="J6529" i="1"/>
  <c r="J6528" i="1"/>
  <c r="J6527" i="1"/>
  <c r="J6526" i="1"/>
  <c r="J6525" i="1"/>
  <c r="J6524" i="1"/>
  <c r="J6523" i="1"/>
  <c r="J6522" i="1"/>
  <c r="J6521" i="1"/>
  <c r="J6520" i="1"/>
  <c r="J6519" i="1"/>
  <c r="J6518" i="1"/>
  <c r="J6517" i="1"/>
  <c r="J6516" i="1"/>
  <c r="J6515" i="1"/>
  <c r="J6514" i="1"/>
  <c r="J6513" i="1"/>
  <c r="J6512" i="1"/>
  <c r="J6511" i="1"/>
  <c r="J6510" i="1"/>
  <c r="J6509" i="1"/>
  <c r="J6508" i="1"/>
  <c r="J6507" i="1"/>
  <c r="J6506" i="1"/>
  <c r="J6505" i="1"/>
  <c r="J6504" i="1"/>
  <c r="J6503" i="1"/>
  <c r="J6502" i="1"/>
  <c r="J6501" i="1"/>
  <c r="J6500" i="1"/>
  <c r="J6499" i="1"/>
  <c r="J6498" i="1"/>
  <c r="J6497" i="1"/>
  <c r="J6496" i="1"/>
  <c r="J6495" i="1"/>
  <c r="J6494" i="1"/>
  <c r="J6493" i="1"/>
  <c r="J6492" i="1"/>
  <c r="J6491" i="1"/>
  <c r="J6490" i="1"/>
  <c r="J6489" i="1"/>
  <c r="J6488" i="1"/>
  <c r="J6487" i="1"/>
  <c r="J6486" i="1"/>
  <c r="J6485" i="1"/>
  <c r="J6484" i="1"/>
  <c r="J6483" i="1"/>
  <c r="J6482" i="1"/>
  <c r="J6481" i="1"/>
  <c r="J6480" i="1"/>
  <c r="J6479" i="1"/>
  <c r="J6478" i="1"/>
  <c r="J6477" i="1"/>
  <c r="J6476" i="1"/>
  <c r="J6475" i="1"/>
  <c r="J6474" i="1"/>
  <c r="J6473" i="1"/>
  <c r="J6472" i="1"/>
  <c r="J6471" i="1"/>
  <c r="J6470" i="1"/>
  <c r="J6469" i="1"/>
  <c r="J6468" i="1"/>
  <c r="J6467" i="1"/>
  <c r="J6466" i="1"/>
  <c r="J6465" i="1"/>
  <c r="J6464" i="1"/>
  <c r="J6463" i="1"/>
  <c r="J6462" i="1"/>
  <c r="J6461" i="1"/>
  <c r="J6460" i="1"/>
  <c r="J6459" i="1"/>
  <c r="J6458" i="1"/>
  <c r="J6457" i="1"/>
  <c r="J6456" i="1"/>
  <c r="J6455" i="1"/>
  <c r="J6454" i="1"/>
  <c r="J6453" i="1"/>
  <c r="J6452" i="1"/>
  <c r="J6451" i="1"/>
  <c r="J6450" i="1"/>
  <c r="J6449" i="1"/>
  <c r="J6448" i="1"/>
  <c r="J6447" i="1"/>
  <c r="J6446" i="1"/>
  <c r="J6445" i="1"/>
  <c r="J6444" i="1"/>
  <c r="J6443" i="1"/>
  <c r="J6442" i="1"/>
  <c r="J6441" i="1"/>
  <c r="J6440" i="1"/>
  <c r="J6439" i="1"/>
  <c r="J6438" i="1"/>
  <c r="J6437" i="1"/>
  <c r="J6436" i="1"/>
  <c r="J6435" i="1"/>
  <c r="J6434" i="1"/>
  <c r="J6433" i="1"/>
  <c r="J6432" i="1"/>
  <c r="J6431" i="1"/>
  <c r="J6430" i="1"/>
  <c r="J6429" i="1"/>
  <c r="J6428" i="1"/>
  <c r="J6427" i="1"/>
  <c r="J6426" i="1"/>
  <c r="J6425" i="1"/>
  <c r="J6424" i="1"/>
  <c r="J6423" i="1"/>
  <c r="J6422" i="1"/>
  <c r="J6421" i="1"/>
  <c r="J6420" i="1"/>
  <c r="J6419" i="1"/>
  <c r="J6418" i="1"/>
  <c r="J6417" i="1"/>
  <c r="J6416" i="1"/>
  <c r="J6415" i="1"/>
  <c r="J6414" i="1"/>
  <c r="J6413" i="1"/>
  <c r="J6412" i="1"/>
  <c r="J6411" i="1"/>
  <c r="J6410" i="1"/>
  <c r="J6409" i="1"/>
  <c r="J6408" i="1"/>
  <c r="J6407" i="1"/>
  <c r="J6406" i="1"/>
  <c r="J6405" i="1"/>
  <c r="J6404" i="1"/>
  <c r="J6403" i="1"/>
  <c r="J6402" i="1"/>
  <c r="J6401" i="1"/>
  <c r="J6400" i="1"/>
  <c r="J6399" i="1"/>
  <c r="J6398" i="1"/>
  <c r="J6397" i="1"/>
  <c r="J6396" i="1"/>
  <c r="J6395" i="1"/>
  <c r="J6394" i="1"/>
  <c r="J6393" i="1"/>
  <c r="J6392" i="1"/>
  <c r="J6391" i="1"/>
  <c r="J6390" i="1"/>
  <c r="J6389" i="1"/>
  <c r="J6388" i="1"/>
  <c r="J6387" i="1"/>
  <c r="J6386" i="1"/>
  <c r="J6385" i="1"/>
  <c r="J6384" i="1"/>
  <c r="J6383" i="1"/>
  <c r="J6382" i="1"/>
  <c r="J6381" i="1"/>
  <c r="J6380" i="1"/>
  <c r="J6379" i="1"/>
  <c r="J6378" i="1"/>
  <c r="J6377" i="1"/>
  <c r="J6376" i="1"/>
  <c r="J6375" i="1"/>
  <c r="J6374" i="1"/>
  <c r="J6373" i="1"/>
  <c r="J6372" i="1"/>
  <c r="J6371" i="1"/>
  <c r="J6370" i="1"/>
  <c r="J6369" i="1"/>
  <c r="J6368" i="1"/>
  <c r="J6367" i="1"/>
  <c r="J6366" i="1"/>
  <c r="J6365" i="1"/>
  <c r="J6364" i="1"/>
  <c r="J6363" i="1"/>
  <c r="J6362" i="1"/>
  <c r="J6361" i="1"/>
  <c r="J6360" i="1"/>
  <c r="J6359" i="1"/>
  <c r="J6358" i="1"/>
  <c r="J6357" i="1"/>
  <c r="J6356" i="1"/>
  <c r="J6355" i="1"/>
  <c r="J6354" i="1"/>
  <c r="J6353" i="1"/>
  <c r="J6352" i="1"/>
  <c r="J6351" i="1"/>
  <c r="J6350" i="1"/>
  <c r="J6349" i="1"/>
  <c r="J6348" i="1"/>
  <c r="J6347" i="1"/>
  <c r="J6346" i="1"/>
  <c r="J6345" i="1"/>
  <c r="J6344" i="1"/>
  <c r="J6343" i="1"/>
  <c r="J6342" i="1"/>
  <c r="J6341" i="1"/>
  <c r="J6340" i="1"/>
  <c r="J6339" i="1"/>
  <c r="J6338" i="1"/>
  <c r="J6337" i="1"/>
  <c r="J6336" i="1"/>
  <c r="J6335" i="1"/>
  <c r="J6334" i="1"/>
  <c r="J6333" i="1"/>
  <c r="J6332" i="1"/>
  <c r="J6331" i="1"/>
  <c r="J6330" i="1"/>
  <c r="J6329" i="1"/>
  <c r="J6328" i="1"/>
  <c r="J6327" i="1"/>
  <c r="J6326" i="1"/>
  <c r="J6325" i="1"/>
  <c r="J6324" i="1"/>
  <c r="J6323" i="1"/>
  <c r="J6322" i="1"/>
  <c r="J6321" i="1"/>
  <c r="J6320" i="1"/>
  <c r="J6319" i="1"/>
  <c r="J6318" i="1"/>
  <c r="J6317" i="1"/>
  <c r="J6316" i="1"/>
  <c r="J6315" i="1"/>
  <c r="J6314" i="1"/>
  <c r="J6313" i="1"/>
  <c r="J6312" i="1"/>
  <c r="J6311" i="1"/>
  <c r="J6310" i="1"/>
  <c r="J6309" i="1"/>
  <c r="J6308" i="1"/>
  <c r="J6307" i="1"/>
  <c r="J6306" i="1"/>
  <c r="J6305" i="1"/>
  <c r="J6304" i="1"/>
  <c r="J6303" i="1"/>
  <c r="J6302" i="1"/>
  <c r="J6301" i="1"/>
  <c r="J6300" i="1"/>
  <c r="J6299" i="1"/>
  <c r="J6298" i="1"/>
  <c r="J6297" i="1"/>
  <c r="J6296" i="1"/>
  <c r="J6295" i="1"/>
  <c r="J6294" i="1"/>
  <c r="J6293" i="1"/>
  <c r="J6292" i="1"/>
  <c r="J6291" i="1"/>
  <c r="J6290" i="1"/>
  <c r="J6289" i="1"/>
  <c r="J6288" i="1"/>
  <c r="J6287" i="1"/>
  <c r="J6286" i="1"/>
  <c r="J6285" i="1"/>
  <c r="J6284" i="1"/>
  <c r="J6283" i="1"/>
  <c r="J6282" i="1"/>
  <c r="J6281" i="1"/>
  <c r="J6280" i="1"/>
  <c r="J6279" i="1"/>
  <c r="J6278" i="1"/>
  <c r="J6277" i="1"/>
  <c r="J6276" i="1"/>
  <c r="J6275" i="1"/>
  <c r="J6274" i="1"/>
  <c r="J6273" i="1"/>
  <c r="J6272" i="1"/>
  <c r="J6271" i="1"/>
  <c r="J6270" i="1"/>
  <c r="J6269" i="1"/>
  <c r="J6268" i="1"/>
  <c r="J6267" i="1"/>
  <c r="J6266" i="1"/>
  <c r="J6265" i="1"/>
  <c r="J6264" i="1"/>
  <c r="J6263" i="1"/>
  <c r="J6262" i="1"/>
  <c r="J6261" i="1"/>
  <c r="J6260" i="1"/>
  <c r="J6259" i="1"/>
  <c r="J6258" i="1"/>
  <c r="J6257" i="1"/>
  <c r="J6256" i="1"/>
  <c r="J6255" i="1"/>
  <c r="J6254" i="1"/>
  <c r="J6253" i="1"/>
  <c r="J6252" i="1"/>
  <c r="J6251" i="1"/>
  <c r="J6250" i="1"/>
  <c r="J6249" i="1"/>
  <c r="J6248" i="1"/>
  <c r="J6247" i="1"/>
  <c r="J6246" i="1"/>
  <c r="J6245" i="1"/>
  <c r="J6244" i="1"/>
  <c r="J6243" i="1"/>
  <c r="J6242" i="1"/>
  <c r="J6241" i="1"/>
  <c r="J6240" i="1"/>
  <c r="J6239" i="1"/>
  <c r="J6238" i="1"/>
  <c r="J6237" i="1"/>
  <c r="J6236" i="1"/>
  <c r="J6235" i="1"/>
  <c r="J6234" i="1"/>
  <c r="J6233" i="1"/>
  <c r="J6232" i="1"/>
  <c r="J6231" i="1"/>
  <c r="J6230" i="1"/>
  <c r="J6229" i="1"/>
  <c r="J6228" i="1"/>
  <c r="J6227" i="1"/>
  <c r="J6226" i="1"/>
  <c r="J6225" i="1"/>
  <c r="J6224" i="1"/>
  <c r="J6223" i="1"/>
  <c r="J6222" i="1"/>
  <c r="J6221" i="1"/>
  <c r="J6220" i="1"/>
  <c r="J6219" i="1"/>
  <c r="J6218" i="1"/>
  <c r="J6217" i="1"/>
  <c r="J6216" i="1"/>
  <c r="J6215" i="1"/>
  <c r="J6214" i="1"/>
  <c r="J6213" i="1"/>
  <c r="J6212" i="1"/>
  <c r="J6211" i="1"/>
  <c r="J6210" i="1"/>
  <c r="J6209" i="1"/>
  <c r="J6208" i="1"/>
  <c r="J6207" i="1"/>
  <c r="J6206" i="1"/>
  <c r="J6205" i="1"/>
  <c r="J6204" i="1"/>
  <c r="J6203" i="1"/>
  <c r="J6202" i="1"/>
  <c r="J6201" i="1"/>
  <c r="J6200" i="1"/>
  <c r="J6199" i="1"/>
  <c r="J6198" i="1"/>
  <c r="J6197" i="1"/>
  <c r="J6196" i="1"/>
  <c r="J6195" i="1"/>
  <c r="J6194" i="1"/>
  <c r="J6193" i="1"/>
  <c r="J6192" i="1"/>
  <c r="J6191" i="1"/>
  <c r="J6190" i="1"/>
  <c r="J6189" i="1"/>
  <c r="J6188" i="1"/>
  <c r="J6187" i="1"/>
  <c r="J6186" i="1"/>
  <c r="J6185" i="1"/>
  <c r="J6184" i="1"/>
  <c r="J6183" i="1"/>
  <c r="J6182" i="1"/>
  <c r="J6181" i="1"/>
  <c r="J6180" i="1"/>
  <c r="J6179" i="1"/>
  <c r="J6178" i="1"/>
  <c r="J6177" i="1"/>
  <c r="J6176" i="1"/>
  <c r="J6175" i="1"/>
  <c r="J6174" i="1"/>
  <c r="J6173" i="1"/>
  <c r="J6172" i="1"/>
  <c r="J6171" i="1"/>
  <c r="J6170" i="1"/>
  <c r="J6169" i="1"/>
  <c r="J6168" i="1"/>
  <c r="J6167" i="1"/>
  <c r="J6166" i="1"/>
  <c r="J6165" i="1"/>
  <c r="J6164" i="1"/>
  <c r="J6163" i="1"/>
  <c r="J6162" i="1"/>
  <c r="J6161" i="1"/>
  <c r="J6160" i="1"/>
  <c r="J6159" i="1"/>
  <c r="J6158" i="1"/>
  <c r="J6157" i="1"/>
  <c r="J6156" i="1"/>
  <c r="J6155" i="1"/>
  <c r="J6154" i="1"/>
  <c r="J6153" i="1"/>
  <c r="J6152" i="1"/>
  <c r="J6151" i="1"/>
  <c r="J6150" i="1"/>
  <c r="J6149" i="1"/>
  <c r="J6148" i="1"/>
  <c r="J6147" i="1"/>
  <c r="J6146" i="1"/>
  <c r="J6145" i="1"/>
  <c r="J6144" i="1"/>
  <c r="J6143" i="1"/>
  <c r="J6142" i="1"/>
  <c r="J6141" i="1"/>
  <c r="J6140" i="1"/>
  <c r="J6139" i="1"/>
  <c r="J6138" i="1"/>
  <c r="J6137" i="1"/>
  <c r="J6136" i="1"/>
  <c r="J6135" i="1"/>
  <c r="J6134" i="1"/>
  <c r="J6133" i="1"/>
  <c r="J6132" i="1"/>
  <c r="J6131" i="1"/>
  <c r="J6130" i="1"/>
  <c r="J6129" i="1"/>
  <c r="J6128" i="1"/>
  <c r="J6127" i="1"/>
  <c r="J6126" i="1"/>
  <c r="J6125" i="1"/>
  <c r="J6124" i="1"/>
  <c r="J6123" i="1"/>
  <c r="J6122" i="1"/>
  <c r="J6121" i="1"/>
  <c r="J6120" i="1"/>
  <c r="J6119" i="1"/>
  <c r="J6118" i="1"/>
  <c r="J6117" i="1"/>
  <c r="J6116" i="1"/>
  <c r="J6115" i="1"/>
  <c r="J6114" i="1"/>
  <c r="J6113" i="1"/>
  <c r="J6112" i="1"/>
  <c r="J6111" i="1"/>
  <c r="J6110" i="1"/>
  <c r="J6109" i="1"/>
  <c r="J6108" i="1"/>
  <c r="J6107" i="1"/>
  <c r="J6106" i="1"/>
  <c r="J6105" i="1"/>
  <c r="J6104" i="1"/>
  <c r="J6103" i="1"/>
  <c r="J6102" i="1"/>
  <c r="J6101" i="1"/>
  <c r="J6100" i="1"/>
  <c r="J6099" i="1"/>
  <c r="J6098" i="1"/>
  <c r="J6097" i="1"/>
  <c r="J6096" i="1"/>
  <c r="J6095" i="1"/>
  <c r="J6094" i="1"/>
  <c r="J6093" i="1"/>
  <c r="J6092" i="1"/>
  <c r="J6091" i="1"/>
  <c r="J6090" i="1"/>
  <c r="J6089" i="1"/>
  <c r="J6088" i="1"/>
  <c r="J6087" i="1"/>
  <c r="J6086" i="1"/>
  <c r="J6085" i="1"/>
  <c r="J6084" i="1"/>
  <c r="J6083" i="1"/>
  <c r="J6082" i="1"/>
  <c r="J6081" i="1"/>
  <c r="J6080" i="1"/>
  <c r="J6079" i="1"/>
  <c r="J6078" i="1"/>
  <c r="J6077" i="1"/>
  <c r="J6076" i="1"/>
  <c r="J6075" i="1"/>
  <c r="J6074" i="1"/>
  <c r="J6073" i="1"/>
  <c r="J6072" i="1"/>
  <c r="J6071" i="1"/>
  <c r="J6070" i="1"/>
  <c r="J6069" i="1"/>
  <c r="J6068" i="1"/>
  <c r="J6067" i="1"/>
  <c r="J6066" i="1"/>
  <c r="J6065" i="1"/>
  <c r="J6064" i="1"/>
  <c r="J6063" i="1"/>
  <c r="J6062" i="1"/>
  <c r="J6061" i="1"/>
  <c r="J6060" i="1"/>
  <c r="J6059" i="1"/>
  <c r="J6058" i="1"/>
  <c r="J6057" i="1"/>
  <c r="J6056" i="1"/>
  <c r="J6055" i="1"/>
  <c r="J6054" i="1"/>
  <c r="J6053" i="1"/>
  <c r="J6052" i="1"/>
  <c r="J6051" i="1"/>
  <c r="J6050" i="1"/>
  <c r="J6049" i="1"/>
  <c r="J6048" i="1"/>
  <c r="J6047" i="1"/>
  <c r="J6046" i="1"/>
  <c r="J6045" i="1"/>
  <c r="J6044" i="1"/>
  <c r="J6043" i="1"/>
  <c r="J6042" i="1"/>
  <c r="J6041" i="1"/>
  <c r="J6040" i="1"/>
  <c r="J6039" i="1"/>
  <c r="J6038" i="1"/>
  <c r="J6037" i="1"/>
  <c r="J6036" i="1"/>
  <c r="J6035" i="1"/>
  <c r="J6034" i="1"/>
  <c r="J6033" i="1"/>
  <c r="J6032" i="1"/>
  <c r="J6031" i="1"/>
  <c r="J6030" i="1"/>
  <c r="J6029" i="1"/>
  <c r="J6028" i="1"/>
  <c r="J6027" i="1"/>
  <c r="J6026" i="1"/>
  <c r="J6025" i="1"/>
  <c r="J6024" i="1"/>
  <c r="J6023" i="1"/>
  <c r="J6022" i="1"/>
  <c r="J6021" i="1"/>
  <c r="J6020" i="1"/>
  <c r="J6019" i="1"/>
  <c r="J6018" i="1"/>
  <c r="J6017" i="1"/>
  <c r="J6016" i="1"/>
  <c r="J6015" i="1"/>
  <c r="J6014" i="1"/>
  <c r="J6013" i="1"/>
  <c r="J6012" i="1"/>
  <c r="J6011" i="1"/>
  <c r="J6010" i="1"/>
  <c r="J6009" i="1"/>
  <c r="J6008" i="1"/>
  <c r="J6007" i="1"/>
  <c r="J6006" i="1"/>
  <c r="J6005" i="1"/>
  <c r="J6004" i="1"/>
  <c r="J6003" i="1"/>
  <c r="J6002" i="1"/>
  <c r="J6001" i="1"/>
  <c r="J6000" i="1"/>
  <c r="J5999" i="1"/>
  <c r="J5998" i="1"/>
  <c r="J5997" i="1"/>
  <c r="J5996" i="1"/>
  <c r="J5995" i="1"/>
  <c r="J5994" i="1"/>
  <c r="J5993" i="1"/>
  <c r="J5992" i="1"/>
  <c r="J5991" i="1"/>
  <c r="J5990" i="1"/>
  <c r="J5989" i="1"/>
  <c r="J5988" i="1"/>
  <c r="J5987" i="1"/>
  <c r="J5986" i="1"/>
  <c r="J5985" i="1"/>
  <c r="J5984" i="1"/>
  <c r="J5983" i="1"/>
  <c r="J5982" i="1"/>
  <c r="J5981" i="1"/>
  <c r="J5980" i="1"/>
  <c r="J5979" i="1"/>
  <c r="J5978" i="1"/>
  <c r="J5977" i="1"/>
  <c r="J5976" i="1"/>
  <c r="J5975" i="1"/>
  <c r="J5974" i="1"/>
  <c r="J5973" i="1"/>
  <c r="J5972" i="1"/>
  <c r="J5971" i="1"/>
  <c r="J5970" i="1"/>
  <c r="J5969" i="1"/>
  <c r="J5968" i="1"/>
  <c r="J5967" i="1"/>
  <c r="J5966" i="1"/>
  <c r="J5965" i="1"/>
  <c r="J5964" i="1"/>
  <c r="J5963" i="1"/>
  <c r="J5962" i="1"/>
  <c r="J5961" i="1"/>
  <c r="J5960" i="1"/>
  <c r="J5959" i="1"/>
  <c r="J5958" i="1"/>
  <c r="J5957" i="1"/>
  <c r="J5956" i="1"/>
  <c r="J5955" i="1"/>
  <c r="J5954" i="1"/>
  <c r="J5953" i="1"/>
  <c r="J5952" i="1"/>
  <c r="J5951" i="1"/>
  <c r="J5950" i="1"/>
  <c r="J5949" i="1"/>
  <c r="J5948" i="1"/>
  <c r="J5947" i="1"/>
  <c r="J5946" i="1"/>
  <c r="J5945" i="1"/>
  <c r="J5944" i="1"/>
  <c r="J5943" i="1"/>
  <c r="J5942" i="1"/>
  <c r="J5941" i="1"/>
  <c r="J5940" i="1"/>
  <c r="J5939" i="1"/>
  <c r="J5938" i="1"/>
  <c r="J5937" i="1"/>
  <c r="J5936" i="1"/>
  <c r="J5935" i="1"/>
  <c r="J5934" i="1"/>
  <c r="J5933" i="1"/>
  <c r="J5932" i="1"/>
  <c r="J5931" i="1"/>
  <c r="J5930" i="1"/>
  <c r="J5929" i="1"/>
  <c r="J5928" i="1"/>
  <c r="J5927" i="1"/>
  <c r="J5926" i="1"/>
  <c r="J5925" i="1"/>
  <c r="J5924" i="1"/>
  <c r="J5923" i="1"/>
  <c r="J5922" i="1"/>
  <c r="J5921" i="1"/>
  <c r="J5920" i="1"/>
  <c r="J5919" i="1"/>
  <c r="J5918" i="1"/>
  <c r="J5917" i="1"/>
  <c r="J5916" i="1"/>
  <c r="J5915" i="1"/>
  <c r="J5914" i="1"/>
  <c r="J5913" i="1"/>
  <c r="J5912" i="1"/>
  <c r="J5911" i="1"/>
  <c r="J5910" i="1"/>
  <c r="J5909" i="1"/>
  <c r="J5908" i="1"/>
  <c r="J5907" i="1"/>
  <c r="J5906" i="1"/>
  <c r="J5905" i="1"/>
  <c r="J5904" i="1"/>
  <c r="J5903" i="1"/>
  <c r="J5902" i="1"/>
  <c r="J5901" i="1"/>
  <c r="J5900" i="1"/>
  <c r="J5899" i="1"/>
  <c r="J5898" i="1"/>
  <c r="J5897" i="1"/>
  <c r="J5896" i="1"/>
  <c r="J5895" i="1"/>
  <c r="J5894" i="1"/>
  <c r="J5893" i="1"/>
  <c r="J5892" i="1"/>
  <c r="J5891" i="1"/>
  <c r="J5890" i="1"/>
  <c r="J5889" i="1"/>
  <c r="J5888" i="1"/>
  <c r="J5887" i="1"/>
  <c r="J5886" i="1"/>
  <c r="J5885" i="1"/>
  <c r="J5884" i="1"/>
  <c r="J5883" i="1"/>
  <c r="J5882" i="1"/>
  <c r="J5881" i="1"/>
  <c r="J5880" i="1"/>
  <c r="J5879" i="1"/>
  <c r="J5878" i="1"/>
  <c r="J5877" i="1"/>
  <c r="J5876" i="1"/>
  <c r="J5875" i="1"/>
  <c r="J5874" i="1"/>
  <c r="J5873" i="1"/>
  <c r="J5872" i="1"/>
  <c r="J5871" i="1"/>
  <c r="J5870" i="1"/>
  <c r="J5869" i="1"/>
  <c r="J5868" i="1"/>
  <c r="J5867" i="1"/>
  <c r="J5866" i="1"/>
  <c r="J5865" i="1"/>
  <c r="J5864" i="1"/>
  <c r="J5863" i="1"/>
  <c r="J5862" i="1"/>
  <c r="J5861" i="1"/>
  <c r="J5860" i="1"/>
  <c r="J5859" i="1"/>
  <c r="J5858" i="1"/>
  <c r="J5857" i="1"/>
  <c r="J5856" i="1"/>
  <c r="J5855" i="1"/>
  <c r="J5854" i="1"/>
  <c r="J5853" i="1"/>
  <c r="J5852" i="1"/>
  <c r="J5851" i="1"/>
  <c r="J5850" i="1"/>
  <c r="J5849" i="1"/>
  <c r="J5848" i="1"/>
  <c r="J5847" i="1"/>
  <c r="J5846" i="1"/>
  <c r="J5845" i="1"/>
  <c r="J5844" i="1"/>
  <c r="J5843" i="1"/>
  <c r="J5842" i="1"/>
  <c r="J5841" i="1"/>
  <c r="J5840" i="1"/>
  <c r="J5839" i="1"/>
  <c r="J5838" i="1"/>
  <c r="J5837" i="1"/>
  <c r="J5836" i="1"/>
  <c r="J5835" i="1"/>
  <c r="J5834" i="1"/>
  <c r="J5833" i="1"/>
  <c r="J5832" i="1"/>
  <c r="J5831" i="1"/>
  <c r="J5830" i="1"/>
  <c r="J5829" i="1"/>
  <c r="J5828" i="1"/>
  <c r="J5827" i="1"/>
  <c r="J5826" i="1"/>
  <c r="J5825" i="1"/>
  <c r="J5824" i="1"/>
  <c r="J5823" i="1"/>
  <c r="J5822" i="1"/>
  <c r="J5821" i="1"/>
  <c r="J5820" i="1"/>
  <c r="J5819" i="1"/>
  <c r="J5818" i="1"/>
  <c r="J5817" i="1"/>
  <c r="J5816" i="1"/>
  <c r="J5815" i="1"/>
  <c r="J5814" i="1"/>
  <c r="J5813" i="1"/>
  <c r="J5812" i="1"/>
  <c r="J5811" i="1"/>
  <c r="J5810" i="1"/>
  <c r="J5809" i="1"/>
  <c r="J5808" i="1"/>
  <c r="J5807" i="1"/>
  <c r="J5806" i="1"/>
  <c r="J5805" i="1"/>
  <c r="J5804" i="1"/>
  <c r="J5803" i="1"/>
  <c r="J5802" i="1"/>
  <c r="J5801" i="1"/>
  <c r="J5800" i="1"/>
  <c r="J5799" i="1"/>
  <c r="J5798" i="1"/>
  <c r="J5797" i="1"/>
  <c r="J5796" i="1"/>
  <c r="J5795" i="1"/>
  <c r="J5794" i="1"/>
  <c r="J5793" i="1"/>
  <c r="J5792" i="1"/>
  <c r="J5791" i="1"/>
  <c r="J5790" i="1"/>
  <c r="J5789" i="1"/>
  <c r="J5788" i="1"/>
  <c r="J5787" i="1"/>
  <c r="J5786" i="1"/>
  <c r="J5785" i="1"/>
  <c r="J5784" i="1"/>
  <c r="J5783" i="1"/>
  <c r="J5782" i="1"/>
  <c r="J5781" i="1"/>
  <c r="J5780" i="1"/>
  <c r="J5779" i="1"/>
  <c r="J5778" i="1"/>
  <c r="J5777" i="1"/>
  <c r="J5776" i="1"/>
  <c r="J5775" i="1"/>
  <c r="J5774" i="1"/>
  <c r="J5773" i="1"/>
  <c r="J5772" i="1"/>
  <c r="J5771" i="1"/>
  <c r="J5770" i="1"/>
  <c r="J5769" i="1"/>
  <c r="J5768" i="1"/>
  <c r="J5767" i="1"/>
  <c r="J5766" i="1"/>
  <c r="J5765" i="1"/>
  <c r="J5764" i="1"/>
  <c r="J5763" i="1"/>
  <c r="J5762" i="1"/>
  <c r="J5761" i="1"/>
  <c r="J5760" i="1"/>
  <c r="J5759" i="1"/>
  <c r="J5758" i="1"/>
  <c r="J5757" i="1"/>
  <c r="J5756" i="1"/>
  <c r="J5755" i="1"/>
  <c r="J5754" i="1"/>
  <c r="J5753" i="1"/>
  <c r="J5752" i="1"/>
  <c r="J5751" i="1"/>
  <c r="J5750" i="1"/>
  <c r="J5749" i="1"/>
  <c r="J5748" i="1"/>
  <c r="J5747" i="1"/>
  <c r="J5746" i="1"/>
  <c r="J5745" i="1"/>
  <c r="J5744" i="1"/>
  <c r="J5743" i="1"/>
  <c r="J5742" i="1"/>
  <c r="J5741" i="1"/>
  <c r="J5740" i="1"/>
  <c r="J5739" i="1"/>
  <c r="J5738" i="1"/>
  <c r="J5737" i="1"/>
  <c r="J5736" i="1"/>
  <c r="J5735" i="1"/>
  <c r="J5734" i="1"/>
  <c r="J5733" i="1"/>
  <c r="J5732" i="1"/>
  <c r="J5731" i="1"/>
  <c r="J5730" i="1"/>
  <c r="J5729" i="1"/>
  <c r="J5728" i="1"/>
  <c r="J5727" i="1"/>
  <c r="J5726" i="1"/>
  <c r="J5725" i="1"/>
  <c r="J5724" i="1"/>
  <c r="J5723" i="1"/>
  <c r="J5722" i="1"/>
  <c r="J5721" i="1"/>
  <c r="J5720" i="1"/>
  <c r="J5719" i="1"/>
  <c r="J5718" i="1"/>
  <c r="J5717" i="1"/>
  <c r="J5716" i="1"/>
  <c r="J5715" i="1"/>
  <c r="J5714" i="1"/>
  <c r="J5713" i="1"/>
  <c r="J5712" i="1"/>
  <c r="J5711" i="1"/>
  <c r="J5710" i="1"/>
  <c r="J5709" i="1"/>
  <c r="J5708" i="1"/>
  <c r="J5707" i="1"/>
  <c r="J5706" i="1"/>
  <c r="J5705" i="1"/>
  <c r="J5704" i="1"/>
  <c r="J5703" i="1"/>
  <c r="J5702" i="1"/>
  <c r="J5701" i="1"/>
  <c r="J5700" i="1"/>
  <c r="J5699" i="1"/>
  <c r="J5698" i="1"/>
  <c r="J5697" i="1"/>
  <c r="J5696" i="1"/>
  <c r="J5695" i="1"/>
  <c r="J5694" i="1"/>
  <c r="J5693" i="1"/>
  <c r="J5692" i="1"/>
  <c r="J5691" i="1"/>
  <c r="J5690" i="1"/>
  <c r="J5689" i="1"/>
  <c r="J5688" i="1"/>
  <c r="J5687" i="1"/>
  <c r="J5686" i="1"/>
  <c r="J5685" i="1"/>
  <c r="J5684" i="1"/>
  <c r="J5683" i="1"/>
  <c r="J5682" i="1"/>
  <c r="J5681" i="1"/>
  <c r="J5680" i="1"/>
  <c r="J5679" i="1"/>
  <c r="J5678" i="1"/>
  <c r="J5677" i="1"/>
  <c r="J5676" i="1"/>
  <c r="J5675" i="1"/>
  <c r="J5674" i="1"/>
  <c r="J5673" i="1"/>
  <c r="J5672" i="1"/>
  <c r="J5671" i="1"/>
  <c r="J5670" i="1"/>
  <c r="J5669" i="1"/>
  <c r="J5668" i="1"/>
  <c r="J5667" i="1"/>
  <c r="J5666" i="1"/>
  <c r="J5665" i="1"/>
  <c r="J5664" i="1"/>
  <c r="J5663" i="1"/>
  <c r="J5662" i="1"/>
  <c r="J5661" i="1"/>
  <c r="J5660" i="1"/>
  <c r="J5659" i="1"/>
  <c r="J5658" i="1"/>
  <c r="J5657" i="1"/>
  <c r="J5656" i="1"/>
  <c r="J5655" i="1"/>
  <c r="J5654" i="1"/>
  <c r="J5653" i="1"/>
  <c r="J5652" i="1"/>
  <c r="J5651" i="1"/>
  <c r="J5650" i="1"/>
  <c r="J5649" i="1"/>
  <c r="J5648" i="1"/>
  <c r="J5647" i="1"/>
  <c r="J5646" i="1"/>
  <c r="J5645" i="1"/>
  <c r="J5644" i="1"/>
  <c r="J5643" i="1"/>
  <c r="J5642" i="1"/>
  <c r="J5641" i="1"/>
  <c r="J5640" i="1"/>
  <c r="J5639" i="1"/>
  <c r="J5638" i="1"/>
  <c r="J5637" i="1"/>
  <c r="J5636" i="1"/>
  <c r="J5635" i="1"/>
  <c r="J5634" i="1"/>
  <c r="J5633" i="1"/>
  <c r="J5632" i="1"/>
  <c r="J5631" i="1"/>
  <c r="J5630" i="1"/>
  <c r="J5629" i="1"/>
  <c r="J5628" i="1"/>
  <c r="J5627" i="1"/>
  <c r="J5626" i="1"/>
  <c r="J5625" i="1"/>
  <c r="J5624" i="1"/>
  <c r="J5623" i="1"/>
  <c r="J5622" i="1"/>
  <c r="J5621" i="1"/>
  <c r="J5620" i="1"/>
  <c r="J5619" i="1"/>
  <c r="J5618" i="1"/>
  <c r="J5617" i="1"/>
  <c r="J5616" i="1"/>
  <c r="J5615" i="1"/>
  <c r="J5614" i="1"/>
  <c r="J5613" i="1"/>
  <c r="J5612" i="1"/>
  <c r="J5611" i="1"/>
  <c r="J5610" i="1"/>
  <c r="J5609" i="1"/>
  <c r="J5608" i="1"/>
  <c r="J5607" i="1"/>
  <c r="J5606" i="1"/>
  <c r="J5605" i="1"/>
  <c r="J5604" i="1"/>
  <c r="J5603" i="1"/>
  <c r="J5602" i="1"/>
  <c r="J5601" i="1"/>
  <c r="J5600" i="1"/>
  <c r="J5599" i="1"/>
  <c r="J5598" i="1"/>
  <c r="J5597" i="1"/>
  <c r="J5596" i="1"/>
  <c r="J5595" i="1"/>
  <c r="J5594" i="1"/>
  <c r="J5593" i="1"/>
  <c r="J5592" i="1"/>
  <c r="J5591" i="1"/>
  <c r="J5590" i="1"/>
  <c r="J5589" i="1"/>
  <c r="J5588" i="1"/>
  <c r="J5587" i="1"/>
  <c r="J5586" i="1"/>
  <c r="J5585" i="1"/>
  <c r="J5584" i="1"/>
  <c r="J5583" i="1"/>
  <c r="J5582" i="1"/>
  <c r="J5581" i="1"/>
  <c r="J5580" i="1"/>
  <c r="J5579" i="1"/>
  <c r="J5578" i="1"/>
  <c r="J5577" i="1"/>
  <c r="J5576" i="1"/>
  <c r="J5575" i="1"/>
  <c r="J5574" i="1"/>
  <c r="J5573" i="1"/>
  <c r="J5572" i="1"/>
  <c r="J5571" i="1"/>
  <c r="J5570" i="1"/>
  <c r="J5569" i="1"/>
  <c r="J5568" i="1"/>
  <c r="J5567" i="1"/>
  <c r="J5566" i="1"/>
  <c r="J5565" i="1"/>
  <c r="J5564" i="1"/>
  <c r="J5563" i="1"/>
  <c r="J5562" i="1"/>
  <c r="J5561" i="1"/>
  <c r="J5560" i="1"/>
  <c r="J5559" i="1"/>
  <c r="J5558" i="1"/>
  <c r="J5557" i="1"/>
  <c r="J5556" i="1"/>
  <c r="J5555" i="1"/>
  <c r="J5554" i="1"/>
  <c r="J5553" i="1"/>
  <c r="J5552" i="1"/>
  <c r="J5551" i="1"/>
  <c r="J5550" i="1"/>
  <c r="J5549" i="1"/>
  <c r="J5548" i="1"/>
  <c r="J5547" i="1"/>
  <c r="J5546" i="1"/>
  <c r="J5545" i="1"/>
  <c r="J5544" i="1"/>
  <c r="J5543" i="1"/>
  <c r="J5542" i="1"/>
  <c r="J5541" i="1"/>
  <c r="J5540" i="1"/>
  <c r="J5539" i="1"/>
  <c r="J5538" i="1"/>
  <c r="J5537" i="1"/>
  <c r="J5536" i="1"/>
  <c r="J5535" i="1"/>
  <c r="J5534" i="1"/>
  <c r="J5533" i="1"/>
  <c r="J5532" i="1"/>
  <c r="J5531" i="1"/>
  <c r="J5530" i="1"/>
  <c r="J5529" i="1"/>
  <c r="J5528" i="1"/>
  <c r="J5527" i="1"/>
  <c r="J5526" i="1"/>
  <c r="J5525" i="1"/>
  <c r="J5524" i="1"/>
  <c r="J5523" i="1"/>
  <c r="J5522" i="1"/>
  <c r="J5521" i="1"/>
  <c r="J5520" i="1"/>
  <c r="J5519" i="1"/>
  <c r="J5518" i="1"/>
  <c r="J5517" i="1"/>
  <c r="J5516" i="1"/>
  <c r="J5515" i="1"/>
  <c r="J5514" i="1"/>
  <c r="J5513" i="1"/>
  <c r="J5512" i="1"/>
  <c r="J5511" i="1"/>
  <c r="J5510" i="1"/>
  <c r="J5509" i="1"/>
  <c r="J5508" i="1"/>
  <c r="J5507" i="1"/>
  <c r="J5506" i="1"/>
  <c r="J5505" i="1"/>
  <c r="J5504" i="1"/>
  <c r="J5503" i="1"/>
  <c r="J5502" i="1"/>
  <c r="J5501" i="1"/>
  <c r="J5500" i="1"/>
  <c r="J5499" i="1"/>
  <c r="J5498" i="1"/>
  <c r="J5497" i="1"/>
  <c r="J5496" i="1"/>
  <c r="J5495" i="1"/>
  <c r="J5494" i="1"/>
  <c r="J5493" i="1"/>
  <c r="J5492" i="1"/>
  <c r="J5491" i="1"/>
  <c r="J5490" i="1"/>
  <c r="J5489" i="1"/>
  <c r="J5488" i="1"/>
  <c r="J5487" i="1"/>
  <c r="J5486" i="1"/>
  <c r="J5485" i="1"/>
  <c r="J5484" i="1"/>
  <c r="J5483" i="1"/>
  <c r="J5482" i="1"/>
  <c r="J5481" i="1"/>
  <c r="J5480" i="1"/>
  <c r="J5479" i="1"/>
  <c r="J5478" i="1"/>
  <c r="J5477" i="1"/>
  <c r="J5476" i="1"/>
  <c r="J5475" i="1"/>
  <c r="J5474" i="1"/>
  <c r="J5473" i="1"/>
  <c r="J5472" i="1"/>
  <c r="J5471" i="1"/>
  <c r="J5470" i="1"/>
  <c r="J5469" i="1"/>
  <c r="J5468" i="1"/>
  <c r="J5467" i="1"/>
  <c r="J5466" i="1"/>
  <c r="J5465" i="1"/>
  <c r="J5464" i="1"/>
  <c r="J5463" i="1"/>
  <c r="J5462" i="1"/>
  <c r="J5461" i="1"/>
  <c r="J5460" i="1"/>
  <c r="J5459" i="1"/>
  <c r="J5458" i="1"/>
  <c r="J5457" i="1"/>
  <c r="J5456" i="1"/>
  <c r="J5455" i="1"/>
  <c r="J5454" i="1"/>
  <c r="J5453" i="1"/>
  <c r="J5452" i="1"/>
  <c r="J5451" i="1"/>
  <c r="J5450" i="1"/>
  <c r="J5449" i="1"/>
  <c r="J5448" i="1"/>
  <c r="J5447" i="1"/>
  <c r="J5446" i="1"/>
  <c r="J5445" i="1"/>
  <c r="J5444" i="1"/>
  <c r="J5443" i="1"/>
  <c r="J5442" i="1"/>
  <c r="J5441" i="1"/>
  <c r="J5440" i="1"/>
  <c r="J5439" i="1"/>
  <c r="J5438" i="1"/>
  <c r="J5437" i="1"/>
  <c r="J5436" i="1"/>
  <c r="J5435" i="1"/>
  <c r="J5434" i="1"/>
  <c r="J5433" i="1"/>
  <c r="J5432" i="1"/>
  <c r="J5431" i="1"/>
  <c r="J5430" i="1"/>
  <c r="J5429" i="1"/>
  <c r="J5428" i="1"/>
  <c r="J5427" i="1"/>
  <c r="J5426" i="1"/>
  <c r="J5425" i="1"/>
  <c r="J5424" i="1"/>
  <c r="J5423" i="1"/>
  <c r="J5422" i="1"/>
  <c r="J5421" i="1"/>
  <c r="J5420" i="1"/>
  <c r="J5419" i="1"/>
  <c r="J5418" i="1"/>
  <c r="J5417" i="1"/>
  <c r="J5416" i="1"/>
  <c r="J5415" i="1"/>
  <c r="J5414" i="1"/>
  <c r="J5413" i="1"/>
  <c r="J5412" i="1"/>
  <c r="J5411" i="1"/>
  <c r="J5410" i="1"/>
  <c r="J5409" i="1"/>
  <c r="J5408" i="1"/>
  <c r="J5407" i="1"/>
  <c r="J5406" i="1"/>
  <c r="J5405" i="1"/>
  <c r="J5404" i="1"/>
  <c r="J5403" i="1"/>
  <c r="J5402" i="1"/>
  <c r="J5401" i="1"/>
  <c r="J5400" i="1"/>
  <c r="J5399" i="1"/>
  <c r="J5398" i="1"/>
  <c r="J5397" i="1"/>
  <c r="J5396" i="1"/>
  <c r="J5395" i="1"/>
  <c r="J5394" i="1"/>
  <c r="J5393" i="1"/>
  <c r="J5392" i="1"/>
  <c r="J5391" i="1"/>
  <c r="J5390" i="1"/>
  <c r="J5389" i="1"/>
  <c r="J5388" i="1"/>
  <c r="J5387" i="1"/>
  <c r="J5386" i="1"/>
  <c r="J5385" i="1"/>
  <c r="J5384" i="1"/>
  <c r="J5383" i="1"/>
  <c r="J5382" i="1"/>
  <c r="J5381" i="1"/>
  <c r="J5380" i="1"/>
  <c r="J5379" i="1"/>
  <c r="J5378" i="1"/>
  <c r="J5377" i="1"/>
  <c r="J5376" i="1"/>
  <c r="J5375" i="1"/>
  <c r="J5374" i="1"/>
  <c r="J5373" i="1"/>
  <c r="J5372" i="1"/>
  <c r="J5371" i="1"/>
  <c r="J5370" i="1"/>
  <c r="J5369" i="1"/>
  <c r="J5368" i="1"/>
  <c r="J5367" i="1"/>
  <c r="J5366" i="1"/>
  <c r="J5365" i="1"/>
  <c r="J5364" i="1"/>
  <c r="J5363" i="1"/>
  <c r="J5362" i="1"/>
  <c r="J5361" i="1"/>
  <c r="J5360" i="1"/>
  <c r="J5359" i="1"/>
  <c r="J5358" i="1"/>
  <c r="J5357" i="1"/>
  <c r="J5356" i="1"/>
  <c r="J5355" i="1"/>
  <c r="J5354" i="1"/>
  <c r="J5353" i="1"/>
  <c r="J5352" i="1"/>
  <c r="J5351" i="1"/>
  <c r="J5350" i="1"/>
  <c r="J5349" i="1"/>
  <c r="J5348" i="1"/>
  <c r="J5347" i="1"/>
  <c r="J5346" i="1"/>
  <c r="J5345" i="1"/>
  <c r="J5344" i="1"/>
  <c r="J5343" i="1"/>
  <c r="J5342" i="1"/>
  <c r="J5341" i="1"/>
  <c r="J5340" i="1"/>
  <c r="J5339" i="1"/>
  <c r="J5338" i="1"/>
  <c r="J5337" i="1"/>
  <c r="J5336" i="1"/>
  <c r="J5335" i="1"/>
  <c r="J5334" i="1"/>
  <c r="J5333" i="1"/>
  <c r="J5332" i="1"/>
  <c r="J5331" i="1"/>
  <c r="J5330" i="1"/>
  <c r="J5329" i="1"/>
  <c r="J5328" i="1"/>
  <c r="J5327" i="1"/>
  <c r="J5326" i="1"/>
  <c r="J5325" i="1"/>
  <c r="J5324" i="1"/>
  <c r="J5323" i="1"/>
  <c r="J5322" i="1"/>
  <c r="J5321" i="1"/>
  <c r="J5320" i="1"/>
  <c r="J5319" i="1"/>
  <c r="J5318" i="1"/>
  <c r="J5317" i="1"/>
  <c r="J5316" i="1"/>
  <c r="J5315" i="1"/>
  <c r="J5314" i="1"/>
  <c r="J5313" i="1"/>
  <c r="J5312" i="1"/>
  <c r="J5311" i="1"/>
  <c r="J5310" i="1"/>
  <c r="J5309" i="1"/>
  <c r="J5308" i="1"/>
  <c r="J5307" i="1"/>
  <c r="J5306" i="1"/>
  <c r="J5305" i="1"/>
  <c r="J5304" i="1"/>
  <c r="J5303" i="1"/>
  <c r="J5302" i="1"/>
  <c r="J5301" i="1"/>
  <c r="J5300" i="1"/>
  <c r="J5299" i="1"/>
  <c r="J5298" i="1"/>
  <c r="J5297" i="1"/>
  <c r="J5296" i="1"/>
  <c r="J5295" i="1"/>
  <c r="J5294" i="1"/>
  <c r="J5293" i="1"/>
  <c r="J5292" i="1"/>
  <c r="J5291" i="1"/>
  <c r="J5290" i="1"/>
  <c r="J5289" i="1"/>
  <c r="J5288" i="1"/>
  <c r="J5287" i="1"/>
  <c r="J5286" i="1"/>
  <c r="J5285" i="1"/>
  <c r="J5284" i="1"/>
  <c r="J5283" i="1"/>
  <c r="J5282" i="1"/>
  <c r="J5281" i="1"/>
  <c r="J5280" i="1"/>
  <c r="J5279" i="1"/>
  <c r="J5278" i="1"/>
  <c r="J5277" i="1"/>
  <c r="J5276" i="1"/>
  <c r="J5275" i="1"/>
  <c r="J5274" i="1"/>
  <c r="J5273" i="1"/>
  <c r="J5272" i="1"/>
  <c r="J5271" i="1"/>
  <c r="J5270" i="1"/>
  <c r="J5269" i="1"/>
  <c r="J5268" i="1"/>
  <c r="J5267" i="1"/>
  <c r="J5266" i="1"/>
  <c r="J5265" i="1"/>
  <c r="J5264" i="1"/>
  <c r="J5263" i="1"/>
  <c r="J5262" i="1"/>
  <c r="J5261" i="1"/>
  <c r="J5260" i="1"/>
  <c r="J5259" i="1"/>
  <c r="J5258" i="1"/>
  <c r="J5257" i="1"/>
  <c r="J5256" i="1"/>
  <c r="J5255" i="1"/>
  <c r="J5254" i="1"/>
  <c r="J5253" i="1"/>
  <c r="J5252" i="1"/>
  <c r="J5251" i="1"/>
  <c r="J5250" i="1"/>
  <c r="J5249" i="1"/>
  <c r="J5248" i="1"/>
  <c r="J5247" i="1"/>
  <c r="J5246" i="1"/>
  <c r="J5245" i="1"/>
  <c r="J5244" i="1"/>
  <c r="J5243" i="1"/>
  <c r="J5242" i="1"/>
  <c r="J5241" i="1"/>
  <c r="J5240" i="1"/>
  <c r="J5239" i="1"/>
  <c r="J5238" i="1"/>
  <c r="J5237" i="1"/>
  <c r="J5236" i="1"/>
  <c r="J5235" i="1"/>
  <c r="J5234" i="1"/>
  <c r="J5233" i="1"/>
  <c r="J5232" i="1"/>
  <c r="J5231" i="1"/>
  <c r="J5230" i="1"/>
  <c r="J5229" i="1"/>
  <c r="J5228" i="1"/>
  <c r="J5227" i="1"/>
  <c r="J5226" i="1"/>
  <c r="J5225" i="1"/>
  <c r="J5224" i="1"/>
  <c r="J5223" i="1"/>
  <c r="J5222" i="1"/>
  <c r="J5221" i="1"/>
  <c r="J5220" i="1"/>
  <c r="J5219" i="1"/>
  <c r="J5218" i="1"/>
  <c r="J5217" i="1"/>
  <c r="J5216" i="1"/>
  <c r="J5215" i="1"/>
  <c r="J5214" i="1"/>
  <c r="J5213" i="1"/>
  <c r="J5212" i="1"/>
  <c r="J5211" i="1"/>
  <c r="J5210" i="1"/>
  <c r="J5209" i="1"/>
  <c r="J5208" i="1"/>
  <c r="J5207" i="1"/>
  <c r="J5206" i="1"/>
  <c r="J5205" i="1"/>
  <c r="J5204" i="1"/>
  <c r="J5203" i="1"/>
  <c r="J5202" i="1"/>
  <c r="J5201" i="1"/>
  <c r="J5200" i="1"/>
  <c r="J5199" i="1"/>
  <c r="J5198" i="1"/>
  <c r="J5197" i="1"/>
  <c r="J5196" i="1"/>
  <c r="J5195" i="1"/>
  <c r="J5194" i="1"/>
  <c r="J5193" i="1"/>
  <c r="J5192" i="1"/>
  <c r="J5191" i="1"/>
  <c r="J5190" i="1"/>
  <c r="J5189" i="1"/>
  <c r="J5188" i="1"/>
  <c r="J5187" i="1"/>
  <c r="J5186" i="1"/>
  <c r="J5185" i="1"/>
  <c r="J5184" i="1"/>
  <c r="J5183" i="1"/>
  <c r="J5182" i="1"/>
  <c r="J5181" i="1"/>
  <c r="J5180" i="1"/>
  <c r="J5179" i="1"/>
  <c r="J5178" i="1"/>
  <c r="J5177" i="1"/>
  <c r="J5176" i="1"/>
  <c r="J5175" i="1"/>
  <c r="J5174" i="1"/>
  <c r="J5173" i="1"/>
  <c r="J5172" i="1"/>
  <c r="J5171" i="1"/>
  <c r="J5170" i="1"/>
  <c r="J5169" i="1"/>
  <c r="J5168" i="1"/>
  <c r="J5167" i="1"/>
  <c r="J5166" i="1"/>
  <c r="J5165" i="1"/>
  <c r="J5164" i="1"/>
  <c r="J5163" i="1"/>
  <c r="J5162" i="1"/>
  <c r="J5161" i="1"/>
  <c r="J5160" i="1"/>
  <c r="J5159" i="1"/>
  <c r="J5158" i="1"/>
  <c r="J5157" i="1"/>
  <c r="J5156" i="1"/>
  <c r="J5155" i="1"/>
  <c r="J5154" i="1"/>
  <c r="J5153" i="1"/>
  <c r="J5152" i="1"/>
  <c r="J5151" i="1"/>
  <c r="J5150" i="1"/>
  <c r="J5149" i="1"/>
  <c r="J5148" i="1"/>
  <c r="J5147" i="1"/>
  <c r="J5146" i="1"/>
  <c r="J5145" i="1"/>
  <c r="J5144" i="1"/>
  <c r="J5143" i="1"/>
  <c r="J5142" i="1"/>
  <c r="J5141" i="1"/>
  <c r="J5140" i="1"/>
  <c r="J5139" i="1"/>
  <c r="J5138" i="1"/>
  <c r="J5137" i="1"/>
  <c r="J5136" i="1"/>
  <c r="J5135" i="1"/>
  <c r="J5134" i="1"/>
  <c r="J5133" i="1"/>
  <c r="J5132" i="1"/>
  <c r="J5131" i="1"/>
  <c r="J5130" i="1"/>
  <c r="J5129" i="1"/>
  <c r="J5128" i="1"/>
  <c r="J5127" i="1"/>
  <c r="J5126" i="1"/>
  <c r="J5125" i="1"/>
  <c r="J5124" i="1"/>
  <c r="J5123" i="1"/>
  <c r="J5122" i="1"/>
  <c r="J5121" i="1"/>
  <c r="J5120" i="1"/>
  <c r="J5119" i="1"/>
  <c r="J5118" i="1"/>
  <c r="J5117" i="1"/>
  <c r="J5116" i="1"/>
  <c r="J5115" i="1"/>
  <c r="J5114" i="1"/>
  <c r="J5113" i="1"/>
  <c r="J5112" i="1"/>
  <c r="J5111" i="1"/>
  <c r="J5110" i="1"/>
  <c r="J5109" i="1"/>
  <c r="J5108" i="1"/>
  <c r="J5107" i="1"/>
  <c r="J5106" i="1"/>
  <c r="J5105" i="1"/>
  <c r="J5104" i="1"/>
  <c r="J5103" i="1"/>
  <c r="J5102" i="1"/>
  <c r="J5101" i="1"/>
  <c r="J5100" i="1"/>
  <c r="J5099" i="1"/>
  <c r="J5098" i="1"/>
  <c r="J5097" i="1"/>
  <c r="J5096" i="1"/>
  <c r="J5095" i="1"/>
  <c r="J5094" i="1"/>
  <c r="J5093" i="1"/>
  <c r="J5092" i="1"/>
  <c r="J5091" i="1"/>
  <c r="J5090" i="1"/>
  <c r="J5089" i="1"/>
  <c r="J5088" i="1"/>
  <c r="J5087" i="1"/>
  <c r="J5086" i="1"/>
  <c r="J5085" i="1"/>
  <c r="J5084" i="1"/>
  <c r="J5083" i="1"/>
  <c r="J5082" i="1"/>
  <c r="J5081" i="1"/>
  <c r="J5080" i="1"/>
  <c r="J5079" i="1"/>
  <c r="J5078" i="1"/>
  <c r="J5077" i="1"/>
  <c r="J5076" i="1"/>
  <c r="J5075" i="1"/>
  <c r="J5074" i="1"/>
  <c r="J5073" i="1"/>
  <c r="J5072" i="1"/>
  <c r="J5071" i="1"/>
  <c r="J5070" i="1"/>
  <c r="J5069" i="1"/>
  <c r="J5068" i="1"/>
  <c r="J5067" i="1"/>
  <c r="J5066" i="1"/>
  <c r="J5065" i="1"/>
  <c r="J5064" i="1"/>
  <c r="J5063" i="1"/>
  <c r="J5062" i="1"/>
  <c r="J5061" i="1"/>
  <c r="J5060" i="1"/>
  <c r="J5059" i="1"/>
  <c r="J5058" i="1"/>
  <c r="J5057" i="1"/>
  <c r="J5056" i="1"/>
  <c r="J5055" i="1"/>
  <c r="J5054" i="1"/>
  <c r="J5053" i="1"/>
  <c r="J5052" i="1"/>
  <c r="J5051" i="1"/>
  <c r="J5050" i="1"/>
  <c r="J5049" i="1"/>
  <c r="J5048" i="1"/>
  <c r="J5047" i="1"/>
  <c r="J5046" i="1"/>
  <c r="J5045" i="1"/>
  <c r="J5044" i="1"/>
  <c r="J5043" i="1"/>
  <c r="J5042" i="1"/>
  <c r="J5041" i="1"/>
  <c r="J5040" i="1"/>
  <c r="J5039" i="1"/>
  <c r="J5038" i="1"/>
  <c r="J5037" i="1"/>
  <c r="J5036" i="1"/>
  <c r="J5035" i="1"/>
  <c r="J5034" i="1"/>
  <c r="J5033" i="1"/>
  <c r="J5032" i="1"/>
  <c r="J5031" i="1"/>
  <c r="J5030" i="1"/>
  <c r="J5029" i="1"/>
  <c r="J5028" i="1"/>
  <c r="J5027" i="1"/>
  <c r="J5026" i="1"/>
  <c r="J5025" i="1"/>
  <c r="J5024" i="1"/>
  <c r="J5023" i="1"/>
  <c r="J5022" i="1"/>
  <c r="J5021" i="1"/>
  <c r="J5020" i="1"/>
  <c r="J5019" i="1"/>
  <c r="J5018" i="1"/>
  <c r="J5017" i="1"/>
  <c r="J5016" i="1"/>
  <c r="J5015" i="1"/>
  <c r="J5014" i="1"/>
  <c r="J5013" i="1"/>
  <c r="J5012" i="1"/>
  <c r="J5011" i="1"/>
  <c r="J5010" i="1"/>
  <c r="J5009" i="1"/>
  <c r="J5008" i="1"/>
  <c r="J5007" i="1"/>
  <c r="J5006" i="1"/>
  <c r="J5005" i="1"/>
  <c r="J5004" i="1"/>
  <c r="J5003" i="1"/>
  <c r="J5002" i="1"/>
  <c r="J5001" i="1"/>
  <c r="J5000" i="1"/>
  <c r="J4999" i="1"/>
  <c r="J4998" i="1"/>
  <c r="J4997" i="1"/>
  <c r="J4996" i="1"/>
  <c r="J4995" i="1"/>
  <c r="J4994" i="1"/>
  <c r="J4993" i="1"/>
  <c r="J4992" i="1"/>
  <c r="J4991" i="1"/>
  <c r="J4990" i="1"/>
  <c r="J4989" i="1"/>
  <c r="J4988" i="1"/>
  <c r="J4987" i="1"/>
  <c r="J4986" i="1"/>
  <c r="J4985" i="1"/>
  <c r="J4984" i="1"/>
  <c r="J4983" i="1"/>
  <c r="J4982" i="1"/>
  <c r="J4981" i="1"/>
  <c r="J4980" i="1"/>
  <c r="J4979" i="1"/>
  <c r="J4978" i="1"/>
  <c r="J4977" i="1"/>
  <c r="J4976" i="1"/>
  <c r="J4975" i="1"/>
  <c r="J4974" i="1"/>
  <c r="J4973" i="1"/>
  <c r="J4972" i="1"/>
  <c r="J4971" i="1"/>
  <c r="J4970" i="1"/>
  <c r="J4969" i="1"/>
  <c r="J4968" i="1"/>
  <c r="J4967" i="1"/>
  <c r="J4966" i="1"/>
  <c r="J4965" i="1"/>
  <c r="J4964" i="1"/>
  <c r="J4963" i="1"/>
  <c r="J4962" i="1"/>
  <c r="J4961" i="1"/>
  <c r="J4960" i="1"/>
  <c r="J4959" i="1"/>
  <c r="J4958" i="1"/>
  <c r="J4957" i="1"/>
  <c r="J4956" i="1"/>
  <c r="J4955" i="1"/>
  <c r="J4954" i="1"/>
  <c r="J4953" i="1"/>
  <c r="J4952" i="1"/>
  <c r="J4951" i="1"/>
  <c r="J4950" i="1"/>
  <c r="J4949" i="1"/>
  <c r="J4948" i="1"/>
  <c r="J4947" i="1"/>
  <c r="J4946" i="1"/>
  <c r="J4945" i="1"/>
  <c r="J4944" i="1"/>
  <c r="J4943" i="1"/>
  <c r="J4942" i="1"/>
  <c r="J4941" i="1"/>
  <c r="J4940" i="1"/>
  <c r="J4939" i="1"/>
  <c r="J4938" i="1"/>
  <c r="J4937" i="1"/>
  <c r="J4936" i="1"/>
  <c r="J4935" i="1"/>
  <c r="J4934" i="1"/>
  <c r="J4933" i="1"/>
  <c r="J4932" i="1"/>
  <c r="J4931" i="1"/>
  <c r="J4930" i="1"/>
  <c r="J4929" i="1"/>
  <c r="J4928" i="1"/>
  <c r="J4927" i="1"/>
  <c r="J4926" i="1"/>
  <c r="J4925" i="1"/>
  <c r="J4924" i="1"/>
  <c r="J4923" i="1"/>
  <c r="J4922" i="1"/>
  <c r="J4921" i="1"/>
  <c r="J4920" i="1"/>
  <c r="J4919" i="1"/>
  <c r="J4918" i="1"/>
  <c r="J4917" i="1"/>
  <c r="J4916" i="1"/>
  <c r="J4915" i="1"/>
  <c r="J4914" i="1"/>
  <c r="J4913" i="1"/>
  <c r="J4912" i="1"/>
  <c r="J4911" i="1"/>
  <c r="J4910" i="1"/>
  <c r="J4909" i="1"/>
  <c r="J4908" i="1"/>
  <c r="J4907" i="1"/>
  <c r="J4906" i="1"/>
  <c r="J4905" i="1"/>
  <c r="J4904" i="1"/>
  <c r="J4903" i="1"/>
  <c r="J4902" i="1"/>
  <c r="J4901" i="1"/>
  <c r="J4900" i="1"/>
  <c r="J4899" i="1"/>
  <c r="J4898" i="1"/>
  <c r="J4897" i="1"/>
  <c r="J4896" i="1"/>
  <c r="J4895" i="1"/>
  <c r="J4894" i="1"/>
  <c r="J4893" i="1"/>
  <c r="J4892" i="1"/>
  <c r="J4891" i="1"/>
  <c r="J4890" i="1"/>
  <c r="J4889" i="1"/>
  <c r="J4888" i="1"/>
  <c r="J4887" i="1"/>
  <c r="J4886" i="1"/>
  <c r="J4885" i="1"/>
  <c r="J4884" i="1"/>
  <c r="J4883" i="1"/>
  <c r="J4882" i="1"/>
  <c r="J4881" i="1"/>
  <c r="J4880" i="1"/>
  <c r="J4879" i="1"/>
  <c r="J4878" i="1"/>
  <c r="J4877" i="1"/>
  <c r="J4876" i="1"/>
  <c r="J4875" i="1"/>
  <c r="J4874" i="1"/>
  <c r="J4873" i="1"/>
  <c r="J4872" i="1"/>
  <c r="J4871" i="1"/>
  <c r="J4870" i="1"/>
  <c r="J4869" i="1"/>
  <c r="J4868" i="1"/>
  <c r="J4867" i="1"/>
  <c r="J4866" i="1"/>
  <c r="J4865" i="1"/>
  <c r="J4864" i="1"/>
  <c r="J4863" i="1"/>
  <c r="J4862" i="1"/>
  <c r="J4861" i="1"/>
  <c r="J4860" i="1"/>
  <c r="J4859" i="1"/>
  <c r="J4858" i="1"/>
  <c r="J4857" i="1"/>
  <c r="J4856" i="1"/>
  <c r="J4855" i="1"/>
  <c r="J4854" i="1"/>
  <c r="J4853" i="1"/>
  <c r="J4852" i="1"/>
  <c r="J4851" i="1"/>
  <c r="J4850" i="1"/>
  <c r="J4849" i="1"/>
  <c r="J4848" i="1"/>
  <c r="J4847" i="1"/>
  <c r="J4846" i="1"/>
  <c r="J4845" i="1"/>
  <c r="J4844" i="1"/>
  <c r="J4843" i="1"/>
  <c r="J4842" i="1"/>
  <c r="J4841" i="1"/>
  <c r="J4840" i="1"/>
  <c r="J4839" i="1"/>
  <c r="J4838" i="1"/>
  <c r="J4837" i="1"/>
  <c r="J4836" i="1"/>
  <c r="J4835" i="1"/>
  <c r="J4834" i="1"/>
  <c r="J4833" i="1"/>
  <c r="J4832" i="1"/>
  <c r="J4831" i="1"/>
  <c r="J4830" i="1"/>
  <c r="J4829" i="1"/>
  <c r="J4828" i="1"/>
  <c r="J4827" i="1"/>
  <c r="J4826" i="1"/>
  <c r="J4825" i="1"/>
  <c r="J4824" i="1"/>
  <c r="J4823" i="1"/>
  <c r="J4822" i="1"/>
  <c r="J4821" i="1"/>
  <c r="J4820" i="1"/>
  <c r="J4819" i="1"/>
  <c r="J4818" i="1"/>
  <c r="J4817" i="1"/>
  <c r="J4816" i="1"/>
  <c r="J4815" i="1"/>
  <c r="J4814" i="1"/>
  <c r="J4813" i="1"/>
  <c r="J4812" i="1"/>
  <c r="J4811" i="1"/>
  <c r="J4810" i="1"/>
  <c r="J4809" i="1"/>
  <c r="J4808" i="1"/>
  <c r="J4807" i="1"/>
  <c r="J4806" i="1"/>
  <c r="J4805" i="1"/>
  <c r="J4804" i="1"/>
  <c r="J4803" i="1"/>
  <c r="J4802" i="1"/>
  <c r="J4801" i="1"/>
  <c r="J4800" i="1"/>
  <c r="J4799" i="1"/>
  <c r="J4798" i="1"/>
  <c r="J4797" i="1"/>
  <c r="J4796" i="1"/>
  <c r="J4795" i="1"/>
  <c r="J4794" i="1"/>
  <c r="J4793" i="1"/>
  <c r="J4792" i="1"/>
  <c r="J4791" i="1"/>
  <c r="J4790" i="1"/>
  <c r="J4789" i="1"/>
  <c r="J4788" i="1"/>
  <c r="J4787" i="1"/>
  <c r="J4786" i="1"/>
  <c r="J4785" i="1"/>
  <c r="J4784" i="1"/>
  <c r="J4783" i="1"/>
  <c r="J4782" i="1"/>
  <c r="J4781" i="1"/>
  <c r="J4780" i="1"/>
  <c r="J4779" i="1"/>
  <c r="J4778" i="1"/>
  <c r="J4777" i="1"/>
  <c r="J4776" i="1"/>
  <c r="J4775" i="1"/>
  <c r="J4774" i="1"/>
  <c r="J4773" i="1"/>
  <c r="J4772" i="1"/>
  <c r="J4771" i="1"/>
  <c r="J4770" i="1"/>
  <c r="J4769" i="1"/>
  <c r="J4768" i="1"/>
  <c r="J4767" i="1"/>
  <c r="J4766" i="1"/>
  <c r="J4765" i="1"/>
  <c r="J4764" i="1"/>
  <c r="J4763" i="1"/>
  <c r="J4762" i="1"/>
  <c r="J4761" i="1"/>
  <c r="J4760" i="1"/>
  <c r="J4759" i="1"/>
  <c r="J4758" i="1"/>
  <c r="J4757" i="1"/>
  <c r="J4756" i="1"/>
  <c r="J4755" i="1"/>
  <c r="J4754" i="1"/>
  <c r="J4753" i="1"/>
  <c r="J4752" i="1"/>
  <c r="J4751" i="1"/>
  <c r="J4750" i="1"/>
  <c r="J4749" i="1"/>
  <c r="J4748" i="1"/>
  <c r="J4747" i="1"/>
  <c r="J4746" i="1"/>
  <c r="J4745" i="1"/>
  <c r="J4744" i="1"/>
  <c r="J4743" i="1"/>
  <c r="J4742" i="1"/>
  <c r="J4741" i="1"/>
  <c r="J4740" i="1"/>
  <c r="J4739" i="1"/>
  <c r="J4738" i="1"/>
  <c r="J4737" i="1"/>
  <c r="J4736" i="1"/>
  <c r="J4735" i="1"/>
  <c r="J4734" i="1"/>
  <c r="J4733" i="1"/>
  <c r="J4732" i="1"/>
  <c r="J4731" i="1"/>
  <c r="J4730" i="1"/>
  <c r="J4729" i="1"/>
  <c r="J4728" i="1"/>
  <c r="J4727" i="1"/>
  <c r="J4726" i="1"/>
  <c r="J4725" i="1"/>
  <c r="J4724" i="1"/>
  <c r="J4723" i="1"/>
  <c r="J4722" i="1"/>
  <c r="J4721" i="1"/>
  <c r="J4720" i="1"/>
  <c r="J4719" i="1"/>
  <c r="J4718" i="1"/>
  <c r="J4717" i="1"/>
  <c r="J4716" i="1"/>
  <c r="J4715" i="1"/>
  <c r="J4714" i="1"/>
  <c r="J4713" i="1"/>
  <c r="J4712" i="1"/>
  <c r="J4711" i="1"/>
  <c r="J4710" i="1"/>
  <c r="J4709" i="1"/>
  <c r="J4708" i="1"/>
  <c r="J4707" i="1"/>
  <c r="J4706" i="1"/>
  <c r="J4705" i="1"/>
  <c r="J4704" i="1"/>
  <c r="J4703" i="1"/>
  <c r="J4702" i="1"/>
  <c r="J4701" i="1"/>
  <c r="J4700" i="1"/>
  <c r="J4699" i="1"/>
  <c r="J4698" i="1"/>
  <c r="J4697" i="1"/>
  <c r="J4696" i="1"/>
  <c r="J4695" i="1"/>
  <c r="J4694" i="1"/>
  <c r="J4693" i="1"/>
  <c r="J4692" i="1"/>
  <c r="J4691" i="1"/>
  <c r="J4690" i="1"/>
  <c r="J4689" i="1"/>
  <c r="J4688" i="1"/>
  <c r="J4687" i="1"/>
  <c r="J4686" i="1"/>
  <c r="J4685" i="1"/>
  <c r="J4684" i="1"/>
  <c r="J4683" i="1"/>
  <c r="J4682" i="1"/>
  <c r="J4681" i="1"/>
  <c r="J4680" i="1"/>
  <c r="J4679" i="1"/>
  <c r="J4678" i="1"/>
  <c r="J4677" i="1"/>
  <c r="J4676" i="1"/>
  <c r="J4675" i="1"/>
  <c r="J4674" i="1"/>
  <c r="J4673" i="1"/>
  <c r="J4672" i="1"/>
  <c r="J4671" i="1"/>
  <c r="J4670" i="1"/>
  <c r="J4669" i="1"/>
  <c r="J4668" i="1"/>
  <c r="J4667" i="1"/>
  <c r="J4666" i="1"/>
  <c r="J4665" i="1"/>
  <c r="J4664" i="1"/>
  <c r="J4663" i="1"/>
  <c r="J4662" i="1"/>
  <c r="J4661" i="1"/>
  <c r="J4660" i="1"/>
  <c r="J4659" i="1"/>
  <c r="J4658" i="1"/>
  <c r="J4657" i="1"/>
  <c r="J4656" i="1"/>
  <c r="J4655" i="1"/>
  <c r="J4654" i="1"/>
  <c r="J4653" i="1"/>
  <c r="J4652" i="1"/>
  <c r="J4651" i="1"/>
  <c r="J4650" i="1"/>
  <c r="J4649" i="1"/>
  <c r="J4648" i="1"/>
  <c r="J4647" i="1"/>
  <c r="J4646" i="1"/>
  <c r="J4645" i="1"/>
  <c r="J4644" i="1"/>
  <c r="J4643" i="1"/>
  <c r="J4642" i="1"/>
  <c r="J4641" i="1"/>
  <c r="J4640" i="1"/>
  <c r="J4639" i="1"/>
  <c r="J4638" i="1"/>
  <c r="J4637" i="1"/>
  <c r="J4636" i="1"/>
  <c r="J4635" i="1"/>
  <c r="J4634" i="1"/>
  <c r="J4633" i="1"/>
  <c r="J4632" i="1"/>
  <c r="J4631" i="1"/>
  <c r="J4630" i="1"/>
  <c r="J4629" i="1"/>
  <c r="J4628" i="1"/>
  <c r="J4627" i="1"/>
  <c r="J4626" i="1"/>
  <c r="J4625" i="1"/>
  <c r="J4624" i="1"/>
  <c r="J4623" i="1"/>
  <c r="J4622" i="1"/>
  <c r="J4621" i="1"/>
  <c r="J4620" i="1"/>
  <c r="J4619" i="1"/>
  <c r="J4618" i="1"/>
  <c r="J4617" i="1"/>
  <c r="J4616" i="1"/>
  <c r="J4615" i="1"/>
  <c r="J4614" i="1"/>
  <c r="J4613" i="1"/>
  <c r="J4612" i="1"/>
  <c r="J4611" i="1"/>
  <c r="J4610" i="1"/>
  <c r="J4609" i="1"/>
  <c r="J4608" i="1"/>
  <c r="J4607" i="1"/>
  <c r="J4606" i="1"/>
  <c r="J4605" i="1"/>
  <c r="J4604" i="1"/>
  <c r="J4603" i="1"/>
  <c r="J4602" i="1"/>
  <c r="J4601" i="1"/>
  <c r="J4600" i="1"/>
  <c r="J4599" i="1"/>
  <c r="J4598" i="1"/>
  <c r="J4597" i="1"/>
  <c r="J4596" i="1"/>
  <c r="J4595" i="1"/>
  <c r="J4594" i="1"/>
  <c r="J4593" i="1"/>
  <c r="J4592" i="1"/>
  <c r="J4591" i="1"/>
  <c r="J4590" i="1"/>
  <c r="J4589" i="1"/>
  <c r="J4588" i="1"/>
  <c r="J4587" i="1"/>
  <c r="J4586" i="1"/>
  <c r="J4585" i="1"/>
  <c r="J4584" i="1"/>
  <c r="J4583" i="1"/>
  <c r="J4582" i="1"/>
  <c r="J4581" i="1"/>
  <c r="J4580" i="1"/>
  <c r="J4579" i="1"/>
  <c r="J4578" i="1"/>
  <c r="J4577" i="1"/>
  <c r="J4576" i="1"/>
  <c r="J4575" i="1"/>
  <c r="J4574" i="1"/>
  <c r="J4573" i="1"/>
  <c r="J4572" i="1"/>
  <c r="J4571" i="1"/>
  <c r="J4570" i="1"/>
  <c r="J4569" i="1"/>
  <c r="J4568" i="1"/>
  <c r="J4567" i="1"/>
  <c r="J4566" i="1"/>
  <c r="J4565" i="1"/>
  <c r="J4564" i="1"/>
  <c r="J4563" i="1"/>
  <c r="J4562" i="1"/>
  <c r="J4561" i="1"/>
  <c r="J4560" i="1"/>
  <c r="J4559" i="1"/>
  <c r="J4558" i="1"/>
  <c r="J4557" i="1"/>
  <c r="J4556" i="1"/>
  <c r="J4555" i="1"/>
  <c r="J4554" i="1"/>
  <c r="J4553" i="1"/>
  <c r="J4552" i="1"/>
  <c r="J4551" i="1"/>
  <c r="J4550" i="1"/>
  <c r="J4549" i="1"/>
  <c r="J4548" i="1"/>
  <c r="J4547" i="1"/>
  <c r="J4546" i="1"/>
  <c r="J4545" i="1"/>
  <c r="J4544" i="1"/>
  <c r="J4543" i="1"/>
  <c r="J4542" i="1"/>
  <c r="J4541" i="1"/>
  <c r="J4540" i="1"/>
  <c r="J4539" i="1"/>
  <c r="J4538" i="1"/>
  <c r="J4537" i="1"/>
  <c r="J4536" i="1"/>
  <c r="J4535" i="1"/>
  <c r="J4534" i="1"/>
  <c r="J4533" i="1"/>
  <c r="J4532" i="1"/>
  <c r="J4531" i="1"/>
  <c r="J4530" i="1"/>
  <c r="J4529" i="1"/>
  <c r="J4528" i="1"/>
  <c r="J4527" i="1"/>
  <c r="J4526" i="1"/>
  <c r="J4525" i="1"/>
  <c r="J4524" i="1"/>
  <c r="J4523" i="1"/>
  <c r="J4522" i="1"/>
  <c r="J4521" i="1"/>
  <c r="J4520" i="1"/>
  <c r="J4519" i="1"/>
  <c r="J4518" i="1"/>
  <c r="J4517" i="1"/>
  <c r="J4516" i="1"/>
  <c r="J4515" i="1"/>
  <c r="J4514" i="1"/>
  <c r="J4513" i="1"/>
  <c r="J4512" i="1"/>
  <c r="J4511" i="1"/>
  <c r="J4510" i="1"/>
  <c r="J4509" i="1"/>
  <c r="J4508" i="1"/>
  <c r="J4507" i="1"/>
  <c r="J4506" i="1"/>
  <c r="J4505" i="1"/>
  <c r="J4504" i="1"/>
  <c r="J4503" i="1"/>
  <c r="J4502" i="1"/>
  <c r="J4501" i="1"/>
  <c r="J4500" i="1"/>
  <c r="J4499" i="1"/>
  <c r="J4498" i="1"/>
  <c r="J4497" i="1"/>
  <c r="J4496" i="1"/>
  <c r="J4495" i="1"/>
  <c r="J4494" i="1"/>
  <c r="J4493" i="1"/>
  <c r="J4492" i="1"/>
  <c r="J4491" i="1"/>
  <c r="J4490" i="1"/>
  <c r="J4489" i="1"/>
  <c r="J4488" i="1"/>
  <c r="J4487" i="1"/>
  <c r="J4486" i="1"/>
  <c r="J4485" i="1"/>
  <c r="J4484" i="1"/>
  <c r="J4483" i="1"/>
  <c r="J4482" i="1"/>
  <c r="J4481" i="1"/>
  <c r="J4480" i="1"/>
  <c r="J4479" i="1"/>
  <c r="J4478" i="1"/>
  <c r="J4477" i="1"/>
  <c r="J4476" i="1"/>
  <c r="J4475" i="1"/>
  <c r="J4474" i="1"/>
  <c r="J4473" i="1"/>
  <c r="J4472" i="1"/>
  <c r="J4471" i="1"/>
  <c r="J4470" i="1"/>
  <c r="J4469" i="1"/>
  <c r="J4468" i="1"/>
  <c r="J4467" i="1"/>
  <c r="J4466" i="1"/>
  <c r="J4465" i="1"/>
  <c r="J4464" i="1"/>
  <c r="J4463" i="1"/>
  <c r="J4462" i="1"/>
  <c r="J4461" i="1"/>
  <c r="J4460" i="1"/>
  <c r="J4459" i="1"/>
  <c r="J4458" i="1"/>
  <c r="J4457" i="1"/>
  <c r="J4456" i="1"/>
  <c r="J4455" i="1"/>
  <c r="J4454" i="1"/>
  <c r="J4453" i="1"/>
  <c r="J4452" i="1"/>
  <c r="J4451" i="1"/>
  <c r="J4450" i="1"/>
  <c r="J4449" i="1"/>
  <c r="J4448" i="1"/>
  <c r="J4447" i="1"/>
  <c r="J4446" i="1"/>
  <c r="J4445" i="1"/>
  <c r="J4444" i="1"/>
  <c r="J4443" i="1"/>
  <c r="J4442" i="1"/>
  <c r="J4441" i="1"/>
  <c r="J4440" i="1"/>
  <c r="J4439" i="1"/>
  <c r="J4438" i="1"/>
  <c r="J4437" i="1"/>
  <c r="J4436" i="1"/>
  <c r="J4435" i="1"/>
  <c r="J4434" i="1"/>
  <c r="J4433" i="1"/>
  <c r="J4432" i="1"/>
  <c r="J4431" i="1"/>
  <c r="J4430" i="1"/>
  <c r="J4429" i="1"/>
  <c r="J4428" i="1"/>
  <c r="J4427" i="1"/>
  <c r="J4426" i="1"/>
  <c r="J4425" i="1"/>
  <c r="J4424" i="1"/>
  <c r="J4423" i="1"/>
  <c r="J4422" i="1"/>
  <c r="J4421" i="1"/>
  <c r="J4420" i="1"/>
  <c r="J4419" i="1"/>
  <c r="J4418" i="1"/>
  <c r="J4417" i="1"/>
  <c r="J4416" i="1"/>
  <c r="J4415" i="1"/>
  <c r="J4414" i="1"/>
  <c r="J4413" i="1"/>
  <c r="J4412" i="1"/>
  <c r="J4411" i="1"/>
  <c r="J4410" i="1"/>
  <c r="J4409" i="1"/>
  <c r="J4408" i="1"/>
  <c r="J4407" i="1"/>
  <c r="J4406" i="1"/>
  <c r="J4405" i="1"/>
  <c r="J4404" i="1"/>
  <c r="J4403" i="1"/>
  <c r="J4402" i="1"/>
  <c r="J4401" i="1"/>
  <c r="J4400" i="1"/>
  <c r="J4399" i="1"/>
  <c r="J4398" i="1"/>
  <c r="J4397" i="1"/>
  <c r="J4396" i="1"/>
  <c r="J4395" i="1"/>
  <c r="J4394" i="1"/>
  <c r="J4393" i="1"/>
  <c r="J4392" i="1"/>
  <c r="J4391" i="1"/>
  <c r="J4390" i="1"/>
  <c r="J4389" i="1"/>
  <c r="J4388" i="1"/>
  <c r="J4387" i="1"/>
  <c r="J4386" i="1"/>
  <c r="J4385" i="1"/>
  <c r="J4384" i="1"/>
  <c r="J4383" i="1"/>
  <c r="J4382" i="1"/>
  <c r="J4381" i="1"/>
  <c r="J4380" i="1"/>
  <c r="J4379" i="1"/>
  <c r="J4378" i="1"/>
  <c r="J4377" i="1"/>
  <c r="J4376" i="1"/>
  <c r="J4375" i="1"/>
  <c r="J4374" i="1"/>
  <c r="J4373" i="1"/>
  <c r="J4372" i="1"/>
  <c r="J4371" i="1"/>
  <c r="J4370" i="1"/>
  <c r="J4369" i="1"/>
  <c r="J4368" i="1"/>
  <c r="J4367" i="1"/>
  <c r="J4366" i="1"/>
  <c r="J4365" i="1"/>
  <c r="J4364" i="1"/>
  <c r="J4363" i="1"/>
  <c r="J4362" i="1"/>
  <c r="J4361" i="1"/>
  <c r="J4360" i="1"/>
  <c r="J4359" i="1"/>
  <c r="J4358" i="1"/>
  <c r="J4357" i="1"/>
  <c r="J4356" i="1"/>
  <c r="J4355" i="1"/>
  <c r="J4354" i="1"/>
  <c r="J4353" i="1"/>
  <c r="J4352" i="1"/>
  <c r="J4351" i="1"/>
  <c r="J4350" i="1"/>
  <c r="J4349" i="1"/>
  <c r="J4348" i="1"/>
  <c r="J4347" i="1"/>
  <c r="J4346" i="1"/>
  <c r="J4345" i="1"/>
  <c r="J4344" i="1"/>
  <c r="J4343" i="1"/>
  <c r="J4342" i="1"/>
  <c r="J4341" i="1"/>
  <c r="J4340" i="1"/>
  <c r="J4339" i="1"/>
  <c r="J4338" i="1"/>
  <c r="J4337" i="1"/>
  <c r="J4336" i="1"/>
  <c r="J4335" i="1"/>
  <c r="J4334" i="1"/>
  <c r="J4333" i="1"/>
  <c r="J4332" i="1"/>
  <c r="J4331" i="1"/>
  <c r="J4330" i="1"/>
  <c r="J4329" i="1"/>
  <c r="J4328" i="1"/>
  <c r="J4327" i="1"/>
  <c r="J4326" i="1"/>
  <c r="J4325" i="1"/>
  <c r="J4324" i="1"/>
  <c r="J4323" i="1"/>
  <c r="J4322" i="1"/>
  <c r="J4321" i="1"/>
  <c r="J4320" i="1"/>
  <c r="J4319" i="1"/>
  <c r="J4318" i="1"/>
  <c r="J4317" i="1"/>
  <c r="J4316" i="1"/>
  <c r="J4315" i="1"/>
  <c r="J4314" i="1"/>
  <c r="J4313" i="1"/>
  <c r="J4312" i="1"/>
  <c r="J4311" i="1"/>
  <c r="J4310" i="1"/>
  <c r="J4309" i="1"/>
  <c r="J4308" i="1"/>
  <c r="J4307" i="1"/>
  <c r="J4306" i="1"/>
  <c r="J4305" i="1"/>
  <c r="J4304" i="1"/>
  <c r="J4303" i="1"/>
  <c r="J4302" i="1"/>
  <c r="J4301" i="1"/>
  <c r="J4300" i="1"/>
  <c r="J4299" i="1"/>
  <c r="J4298" i="1"/>
  <c r="J4297" i="1"/>
  <c r="J4296" i="1"/>
  <c r="J4295" i="1"/>
  <c r="J4294" i="1"/>
  <c r="J4293" i="1"/>
  <c r="J4292" i="1"/>
  <c r="J4291" i="1"/>
  <c r="J4290" i="1"/>
  <c r="J4289" i="1"/>
  <c r="J4288" i="1"/>
  <c r="J4287" i="1"/>
  <c r="J4286" i="1"/>
  <c r="J4285" i="1"/>
  <c r="J4284" i="1"/>
  <c r="J4283" i="1"/>
  <c r="J4282" i="1"/>
  <c r="J4281" i="1"/>
  <c r="J4280" i="1"/>
  <c r="J4279" i="1"/>
  <c r="J4278" i="1"/>
  <c r="J4277" i="1"/>
  <c r="J4276" i="1"/>
  <c r="J4275" i="1"/>
  <c r="J4274" i="1"/>
  <c r="J4273" i="1"/>
  <c r="J4272" i="1"/>
  <c r="J4271" i="1"/>
  <c r="J4270" i="1"/>
  <c r="J4269" i="1"/>
  <c r="J4268" i="1"/>
  <c r="J4267" i="1"/>
  <c r="J4266" i="1"/>
  <c r="J4265" i="1"/>
  <c r="J4264" i="1"/>
  <c r="J4263" i="1"/>
  <c r="J4262" i="1"/>
  <c r="J4261" i="1"/>
  <c r="J4260" i="1"/>
  <c r="J4259" i="1"/>
  <c r="J4258" i="1"/>
  <c r="J4257" i="1"/>
  <c r="J4256" i="1"/>
  <c r="J4255" i="1"/>
  <c r="J4254" i="1"/>
  <c r="J4253" i="1"/>
  <c r="J4252" i="1"/>
  <c r="J4251" i="1"/>
  <c r="J4250" i="1"/>
  <c r="J4249" i="1"/>
  <c r="J4248" i="1"/>
  <c r="J4247" i="1"/>
  <c r="J4246" i="1"/>
  <c r="J4245" i="1"/>
  <c r="J4244" i="1"/>
  <c r="J4243" i="1"/>
  <c r="J4242" i="1"/>
  <c r="J4241" i="1"/>
  <c r="J4240" i="1"/>
  <c r="J4239" i="1"/>
  <c r="J4238" i="1"/>
  <c r="J4237" i="1"/>
  <c r="J4236" i="1"/>
  <c r="J4235" i="1"/>
  <c r="J4234" i="1"/>
  <c r="J4233" i="1"/>
  <c r="J4232" i="1"/>
  <c r="J4231" i="1"/>
  <c r="J4230" i="1"/>
  <c r="J4229" i="1"/>
  <c r="J4228" i="1"/>
  <c r="J4227" i="1"/>
  <c r="J4226" i="1"/>
  <c r="J4225" i="1"/>
  <c r="J4224" i="1"/>
  <c r="J4223" i="1"/>
  <c r="J4222" i="1"/>
  <c r="J4221" i="1"/>
  <c r="J4220" i="1"/>
  <c r="J4219" i="1"/>
  <c r="J4218" i="1"/>
  <c r="J4217" i="1"/>
  <c r="J4216" i="1"/>
  <c r="J4215" i="1"/>
  <c r="J4214" i="1"/>
  <c r="J4213" i="1"/>
  <c r="J4212" i="1"/>
  <c r="J4211" i="1"/>
  <c r="J4210" i="1"/>
  <c r="J4209" i="1"/>
  <c r="J4208" i="1"/>
  <c r="J4207" i="1"/>
  <c r="J4206" i="1"/>
  <c r="J4205" i="1"/>
  <c r="J4204" i="1"/>
  <c r="J4203" i="1"/>
  <c r="J4202" i="1"/>
  <c r="J4201" i="1"/>
  <c r="J4200" i="1"/>
  <c r="J4199" i="1"/>
  <c r="J4198" i="1"/>
  <c r="J4197" i="1"/>
  <c r="J4196" i="1"/>
  <c r="J4195" i="1"/>
  <c r="J4194" i="1"/>
  <c r="J4193" i="1"/>
  <c r="J4192" i="1"/>
  <c r="J4191" i="1"/>
  <c r="J4190" i="1"/>
  <c r="J4189" i="1"/>
  <c r="J4188" i="1"/>
  <c r="J4187" i="1"/>
  <c r="J4186" i="1"/>
  <c r="J4185" i="1"/>
  <c r="J4184" i="1"/>
  <c r="J4183" i="1"/>
  <c r="J4182" i="1"/>
  <c r="J4181" i="1"/>
  <c r="J4180" i="1"/>
  <c r="J4179" i="1"/>
  <c r="J4178" i="1"/>
  <c r="J4177" i="1"/>
  <c r="J4176" i="1"/>
  <c r="J4175" i="1"/>
  <c r="J4174" i="1"/>
  <c r="J4173" i="1"/>
  <c r="J4172" i="1"/>
  <c r="J4171" i="1"/>
  <c r="J4170" i="1"/>
  <c r="J4169" i="1"/>
  <c r="J4168" i="1"/>
  <c r="J4167" i="1"/>
  <c r="J4166" i="1"/>
  <c r="J4165" i="1"/>
  <c r="J4164" i="1"/>
  <c r="J4163" i="1"/>
  <c r="J4162" i="1"/>
  <c r="J4161" i="1"/>
  <c r="J4160" i="1"/>
  <c r="J4159" i="1"/>
  <c r="J4158" i="1"/>
  <c r="J4157" i="1"/>
  <c r="J4156" i="1"/>
  <c r="J4155" i="1"/>
  <c r="J4154" i="1"/>
  <c r="J4153" i="1"/>
  <c r="J4152" i="1"/>
  <c r="J4151" i="1"/>
  <c r="J4150" i="1"/>
  <c r="J4149" i="1"/>
  <c r="J4148" i="1"/>
  <c r="J4147" i="1"/>
  <c r="J4146" i="1"/>
  <c r="J4145" i="1"/>
  <c r="J4144" i="1"/>
  <c r="J4143" i="1"/>
  <c r="J4142" i="1"/>
  <c r="J4141" i="1"/>
  <c r="J4140" i="1"/>
  <c r="J4139" i="1"/>
  <c r="J4138" i="1"/>
  <c r="J4137" i="1"/>
  <c r="J4136" i="1"/>
  <c r="J4135" i="1"/>
  <c r="J4134" i="1"/>
  <c r="J4133" i="1"/>
  <c r="J4132" i="1"/>
  <c r="J4131" i="1"/>
  <c r="J4130" i="1"/>
  <c r="J4129" i="1"/>
  <c r="J4128" i="1"/>
  <c r="J4127" i="1"/>
  <c r="J4126" i="1"/>
  <c r="J4125" i="1"/>
  <c r="J4124" i="1"/>
  <c r="J4123" i="1"/>
  <c r="J4122" i="1"/>
  <c r="J4121" i="1"/>
  <c r="J4120" i="1"/>
  <c r="J4119" i="1"/>
  <c r="J4118" i="1"/>
  <c r="J4117" i="1"/>
  <c r="J4116" i="1"/>
  <c r="J4115" i="1"/>
  <c r="J4114" i="1"/>
  <c r="J4113" i="1"/>
  <c r="J4112" i="1"/>
  <c r="J4111" i="1"/>
  <c r="J4110" i="1"/>
  <c r="J4109" i="1"/>
  <c r="J4108" i="1"/>
  <c r="J4107" i="1"/>
  <c r="J4106" i="1"/>
  <c r="J4105" i="1"/>
  <c r="J4104" i="1"/>
  <c r="J4103" i="1"/>
  <c r="J4102" i="1"/>
  <c r="J4101" i="1"/>
  <c r="J4100" i="1"/>
  <c r="J4099" i="1"/>
  <c r="J4098" i="1"/>
  <c r="J4097" i="1"/>
  <c r="J4096" i="1"/>
  <c r="J4095" i="1"/>
  <c r="J4094" i="1"/>
  <c r="J4093" i="1"/>
  <c r="J4092" i="1"/>
  <c r="J4091" i="1"/>
  <c r="J4090" i="1"/>
  <c r="J4089" i="1"/>
  <c r="J4088" i="1"/>
  <c r="J4087" i="1"/>
  <c r="J4086" i="1"/>
  <c r="J4085" i="1"/>
  <c r="J4084" i="1"/>
  <c r="J4083" i="1"/>
  <c r="J4082" i="1"/>
  <c r="J4081" i="1"/>
  <c r="J4080" i="1"/>
  <c r="J4079" i="1"/>
  <c r="J4078" i="1"/>
  <c r="J4077" i="1"/>
  <c r="J4076" i="1"/>
  <c r="J4075" i="1"/>
  <c r="J4074" i="1"/>
  <c r="J4073" i="1"/>
  <c r="J4072" i="1"/>
  <c r="J4071" i="1"/>
  <c r="J4070" i="1"/>
  <c r="J4069" i="1"/>
  <c r="J4068" i="1"/>
  <c r="J4067" i="1"/>
  <c r="J4066" i="1"/>
  <c r="J4065" i="1"/>
  <c r="J4064" i="1"/>
  <c r="J4063" i="1"/>
  <c r="J4062" i="1"/>
  <c r="J4061" i="1"/>
  <c r="J4060" i="1"/>
  <c r="J4059" i="1"/>
  <c r="J4058" i="1"/>
  <c r="J4057" i="1"/>
  <c r="J4056" i="1"/>
  <c r="J4055" i="1"/>
  <c r="J4054" i="1"/>
  <c r="J4053" i="1"/>
  <c r="J4052" i="1"/>
  <c r="J4051" i="1"/>
  <c r="J4050" i="1"/>
  <c r="J4049" i="1"/>
  <c r="J4048" i="1"/>
  <c r="J4047" i="1"/>
  <c r="J4046" i="1"/>
  <c r="J4045" i="1"/>
  <c r="J4044" i="1"/>
  <c r="J4043" i="1"/>
  <c r="J4042" i="1"/>
  <c r="J4041" i="1"/>
  <c r="J4040" i="1"/>
  <c r="J4039" i="1"/>
  <c r="J4038" i="1"/>
  <c r="J4037" i="1"/>
  <c r="J4036" i="1"/>
  <c r="J4035" i="1"/>
  <c r="J4034" i="1"/>
  <c r="J4033" i="1"/>
  <c r="J4032" i="1"/>
  <c r="J4031" i="1"/>
  <c r="J4030" i="1"/>
  <c r="J4029" i="1"/>
  <c r="J4028" i="1"/>
  <c r="J4027" i="1"/>
  <c r="J4026" i="1"/>
  <c r="J4025" i="1"/>
  <c r="J4024" i="1"/>
  <c r="J4023" i="1"/>
  <c r="J4022" i="1"/>
  <c r="J4021" i="1"/>
  <c r="J4020" i="1"/>
  <c r="J4019" i="1"/>
  <c r="J4018" i="1"/>
  <c r="J4017" i="1"/>
  <c r="J4016" i="1"/>
  <c r="J4015" i="1"/>
  <c r="J4014" i="1"/>
  <c r="J4013" i="1"/>
  <c r="J4012" i="1"/>
  <c r="J4011" i="1"/>
  <c r="J4010" i="1"/>
  <c r="J4009" i="1"/>
  <c r="J4008" i="1"/>
  <c r="J4007" i="1"/>
  <c r="J4006" i="1"/>
  <c r="J4005" i="1"/>
  <c r="J4004" i="1"/>
  <c r="J4003" i="1"/>
  <c r="J4002" i="1"/>
  <c r="J4001" i="1"/>
  <c r="J4000" i="1"/>
  <c r="J3999" i="1"/>
  <c r="J3998" i="1"/>
  <c r="J3997" i="1"/>
  <c r="J3996" i="1"/>
  <c r="J3995" i="1"/>
  <c r="J3994" i="1"/>
  <c r="J3993" i="1"/>
  <c r="J3992" i="1"/>
  <c r="J3991" i="1"/>
  <c r="J3990" i="1"/>
  <c r="J3989" i="1"/>
  <c r="J3988" i="1"/>
  <c r="J3987" i="1"/>
  <c r="J3986" i="1"/>
  <c r="J3985" i="1"/>
  <c r="J3984" i="1"/>
  <c r="J3983" i="1"/>
  <c r="J3982" i="1"/>
  <c r="J3981" i="1"/>
  <c r="J3980" i="1"/>
  <c r="J3979" i="1"/>
  <c r="J3978" i="1"/>
  <c r="J3977" i="1"/>
  <c r="J3976" i="1"/>
  <c r="J3975" i="1"/>
  <c r="J3974" i="1"/>
  <c r="J3973" i="1"/>
  <c r="J3972" i="1"/>
  <c r="J3971" i="1"/>
  <c r="J3970" i="1"/>
  <c r="J3969" i="1"/>
  <c r="J3968" i="1"/>
  <c r="J3967" i="1"/>
  <c r="J3966" i="1"/>
  <c r="J3965" i="1"/>
  <c r="J3964" i="1"/>
  <c r="J3963" i="1"/>
  <c r="J3962" i="1"/>
  <c r="J3961" i="1"/>
  <c r="J3960" i="1"/>
  <c r="J3959" i="1"/>
  <c r="J3958" i="1"/>
  <c r="J3957" i="1"/>
  <c r="J3956" i="1"/>
  <c r="J3955" i="1"/>
  <c r="J3954" i="1"/>
  <c r="J3953" i="1"/>
  <c r="J3952" i="1"/>
  <c r="J3951" i="1"/>
  <c r="J3950" i="1"/>
  <c r="J3949" i="1"/>
  <c r="J3948" i="1"/>
  <c r="J3947" i="1"/>
  <c r="J3946" i="1"/>
  <c r="J3945" i="1"/>
  <c r="J3944" i="1"/>
  <c r="J3943" i="1"/>
  <c r="J3942" i="1"/>
  <c r="J3941" i="1"/>
  <c r="J3940" i="1"/>
  <c r="J3939" i="1"/>
  <c r="J3938" i="1"/>
  <c r="J3937" i="1"/>
  <c r="J3936" i="1"/>
  <c r="J3935" i="1"/>
  <c r="J3934" i="1"/>
  <c r="J3933" i="1"/>
  <c r="J3932" i="1"/>
  <c r="J3931" i="1"/>
  <c r="J3930" i="1"/>
  <c r="J3929" i="1"/>
  <c r="J3928" i="1"/>
  <c r="J3927" i="1"/>
  <c r="J3926" i="1"/>
  <c r="J3925" i="1"/>
  <c r="J3924" i="1"/>
  <c r="J3923" i="1"/>
  <c r="J3922" i="1"/>
  <c r="J3921" i="1"/>
  <c r="J3920" i="1"/>
  <c r="J3919" i="1"/>
  <c r="J3918" i="1"/>
  <c r="J3917" i="1"/>
  <c r="J3916" i="1"/>
  <c r="J3915" i="1"/>
  <c r="J3914" i="1"/>
  <c r="J3913" i="1"/>
  <c r="J3912" i="1"/>
  <c r="J3911" i="1"/>
  <c r="J3910" i="1"/>
  <c r="J3909" i="1"/>
  <c r="J3908" i="1"/>
  <c r="J3907" i="1"/>
  <c r="J3906" i="1"/>
  <c r="J3905" i="1"/>
  <c r="J3904" i="1"/>
  <c r="J3903" i="1"/>
  <c r="J3902" i="1"/>
  <c r="J3901" i="1"/>
  <c r="J3900" i="1"/>
  <c r="J3899" i="1"/>
  <c r="J3898" i="1"/>
  <c r="J3897" i="1"/>
  <c r="J3896" i="1"/>
  <c r="J3895" i="1"/>
  <c r="J3894" i="1"/>
  <c r="J3893" i="1"/>
  <c r="J3892" i="1"/>
  <c r="J3891" i="1"/>
  <c r="J3890" i="1"/>
  <c r="J3889" i="1"/>
  <c r="J3888" i="1"/>
  <c r="J3887" i="1"/>
  <c r="J3886" i="1"/>
  <c r="J3885" i="1"/>
  <c r="J3884" i="1"/>
  <c r="J3883" i="1"/>
  <c r="J3882" i="1"/>
  <c r="J3881" i="1"/>
  <c r="J3880" i="1"/>
  <c r="J3879" i="1"/>
  <c r="J3878" i="1"/>
  <c r="J3877" i="1"/>
  <c r="J3876" i="1"/>
  <c r="J3875" i="1"/>
  <c r="J3874" i="1"/>
  <c r="J3873" i="1"/>
  <c r="J3872" i="1"/>
  <c r="J3871" i="1"/>
  <c r="J3870" i="1"/>
  <c r="J3869" i="1"/>
  <c r="J3868" i="1"/>
  <c r="J3867" i="1"/>
  <c r="J3866" i="1"/>
  <c r="J3865" i="1"/>
  <c r="J3864" i="1"/>
  <c r="J3863" i="1"/>
  <c r="J3862" i="1"/>
  <c r="J3861" i="1"/>
  <c r="J3860" i="1"/>
  <c r="J3859" i="1"/>
  <c r="J3858" i="1"/>
  <c r="J3857" i="1"/>
  <c r="J3856" i="1"/>
  <c r="J3855" i="1"/>
  <c r="J3854" i="1"/>
  <c r="J3853" i="1"/>
  <c r="J3852" i="1"/>
  <c r="J3851" i="1"/>
  <c r="J3850" i="1"/>
  <c r="J3849" i="1"/>
  <c r="J3848" i="1"/>
  <c r="J3847" i="1"/>
  <c r="J3846" i="1"/>
  <c r="J3845" i="1"/>
  <c r="J3844" i="1"/>
  <c r="J3843" i="1"/>
  <c r="J3842" i="1"/>
  <c r="J3841" i="1"/>
  <c r="J3840" i="1"/>
  <c r="J3839" i="1"/>
  <c r="J3838" i="1"/>
  <c r="J3837" i="1"/>
  <c r="J3836" i="1"/>
  <c r="J3835" i="1"/>
  <c r="J3834" i="1"/>
  <c r="J3833" i="1"/>
  <c r="J3832" i="1"/>
  <c r="J3831" i="1"/>
  <c r="J3830" i="1"/>
  <c r="J3829" i="1"/>
  <c r="J3828" i="1"/>
  <c r="J3827" i="1"/>
  <c r="J3826" i="1"/>
  <c r="J3825" i="1"/>
  <c r="J3824" i="1"/>
  <c r="J3823" i="1"/>
  <c r="J3822" i="1"/>
  <c r="J3821" i="1"/>
  <c r="J3820" i="1"/>
  <c r="J3819" i="1"/>
  <c r="J3818" i="1"/>
  <c r="J3817" i="1"/>
  <c r="J3816" i="1"/>
  <c r="J3815" i="1"/>
  <c r="J3814" i="1"/>
  <c r="J3813" i="1"/>
  <c r="J3812" i="1"/>
  <c r="J3811" i="1"/>
  <c r="J3810" i="1"/>
  <c r="J3809" i="1"/>
  <c r="J3808" i="1"/>
  <c r="J3807" i="1"/>
  <c r="J3806" i="1"/>
  <c r="J3805" i="1"/>
  <c r="J3804" i="1"/>
  <c r="J3803" i="1"/>
  <c r="J3802" i="1"/>
  <c r="J3801" i="1"/>
  <c r="J3800" i="1"/>
  <c r="J3799" i="1"/>
  <c r="J3798" i="1"/>
  <c r="J3797" i="1"/>
  <c r="J3796" i="1"/>
  <c r="J3795" i="1"/>
  <c r="J3794" i="1"/>
  <c r="J3793" i="1"/>
  <c r="J3792" i="1"/>
  <c r="J3791" i="1"/>
  <c r="J3790" i="1"/>
  <c r="J3789" i="1"/>
  <c r="J3788" i="1"/>
  <c r="J3787" i="1"/>
  <c r="J3786" i="1"/>
  <c r="J3785" i="1"/>
  <c r="J3784" i="1"/>
  <c r="J3783" i="1"/>
  <c r="J3782" i="1"/>
  <c r="J3781" i="1"/>
  <c r="J3780" i="1"/>
  <c r="J3779" i="1"/>
  <c r="J3778" i="1"/>
  <c r="J3777" i="1"/>
  <c r="J3776" i="1"/>
  <c r="J3775" i="1"/>
  <c r="J3774" i="1"/>
  <c r="J3773" i="1"/>
  <c r="J3772" i="1"/>
  <c r="J3771" i="1"/>
  <c r="J3770" i="1"/>
  <c r="J3769" i="1"/>
  <c r="J3768" i="1"/>
  <c r="J3767" i="1"/>
  <c r="J3766" i="1"/>
  <c r="J3765" i="1"/>
  <c r="J3764" i="1"/>
  <c r="J3763" i="1"/>
  <c r="J3762" i="1"/>
  <c r="J3761" i="1"/>
  <c r="J3760" i="1"/>
  <c r="J3759" i="1"/>
  <c r="J3758" i="1"/>
  <c r="J3757" i="1"/>
  <c r="J3756" i="1"/>
  <c r="J3755" i="1"/>
  <c r="J3754" i="1"/>
  <c r="J3753" i="1"/>
  <c r="J3752" i="1"/>
  <c r="J3751" i="1"/>
  <c r="J3750" i="1"/>
  <c r="J3749" i="1"/>
  <c r="J3748" i="1"/>
  <c r="J3747" i="1"/>
  <c r="J3746" i="1"/>
  <c r="J3745" i="1"/>
  <c r="J3744" i="1"/>
  <c r="J3743" i="1"/>
  <c r="J3742" i="1"/>
  <c r="J3741" i="1"/>
  <c r="J3740" i="1"/>
  <c r="J3739" i="1"/>
  <c r="J3738" i="1"/>
  <c r="J3737" i="1"/>
  <c r="J3736" i="1"/>
  <c r="J3735" i="1"/>
  <c r="J3734" i="1"/>
  <c r="J3733" i="1"/>
  <c r="J3732" i="1"/>
  <c r="J3731" i="1"/>
  <c r="J3730" i="1"/>
  <c r="J3729" i="1"/>
  <c r="J3728" i="1"/>
  <c r="J3727" i="1"/>
  <c r="J3726" i="1"/>
  <c r="J3725" i="1"/>
  <c r="J3724" i="1"/>
  <c r="J3723" i="1"/>
  <c r="J3722" i="1"/>
  <c r="J3721" i="1"/>
  <c r="J3720" i="1"/>
  <c r="J3719" i="1"/>
  <c r="J3718" i="1"/>
  <c r="J3717" i="1"/>
  <c r="J3716" i="1"/>
  <c r="J3715" i="1"/>
  <c r="J3714" i="1"/>
  <c r="J3713" i="1"/>
  <c r="J3712" i="1"/>
  <c r="J3711" i="1"/>
  <c r="J3710" i="1"/>
  <c r="J3709" i="1"/>
  <c r="J3708" i="1"/>
  <c r="J3707" i="1"/>
  <c r="J3706" i="1"/>
  <c r="J3705" i="1"/>
  <c r="J3704" i="1"/>
  <c r="J3703" i="1"/>
  <c r="J3702" i="1"/>
  <c r="J3701" i="1"/>
  <c r="J3700" i="1"/>
  <c r="J3699" i="1"/>
  <c r="J3698" i="1"/>
  <c r="J3697" i="1"/>
  <c r="J3696" i="1"/>
  <c r="J3695" i="1"/>
  <c r="J3694" i="1"/>
  <c r="J3693" i="1"/>
  <c r="J3692" i="1"/>
  <c r="J3691" i="1"/>
  <c r="J3690" i="1"/>
  <c r="J3689" i="1"/>
  <c r="J3688" i="1"/>
  <c r="J3687" i="1"/>
  <c r="J3686" i="1"/>
  <c r="J3685" i="1"/>
  <c r="J3684" i="1"/>
  <c r="J3683" i="1"/>
  <c r="J3682" i="1"/>
  <c r="J3681" i="1"/>
  <c r="J3680" i="1"/>
  <c r="J3679" i="1"/>
  <c r="J3678" i="1"/>
  <c r="J3677" i="1"/>
  <c r="J3676" i="1"/>
  <c r="J3675" i="1"/>
  <c r="J3674" i="1"/>
  <c r="J3673" i="1"/>
  <c r="J3672" i="1"/>
  <c r="J3671" i="1"/>
  <c r="J3670" i="1"/>
  <c r="J3669" i="1"/>
  <c r="J3668" i="1"/>
  <c r="J3667" i="1"/>
  <c r="J3666" i="1"/>
  <c r="J3665" i="1"/>
  <c r="J3664" i="1"/>
  <c r="J3663" i="1"/>
  <c r="J3662" i="1"/>
  <c r="J3661" i="1"/>
  <c r="J3660" i="1"/>
  <c r="J3659" i="1"/>
  <c r="J3658" i="1"/>
  <c r="J3657" i="1"/>
  <c r="J3656" i="1"/>
  <c r="J3655" i="1"/>
  <c r="J3654" i="1"/>
  <c r="J3653" i="1"/>
  <c r="J3652" i="1"/>
  <c r="J3651" i="1"/>
  <c r="J3650" i="1"/>
  <c r="J3649" i="1"/>
  <c r="J3648" i="1"/>
  <c r="J3647" i="1"/>
  <c r="J3646" i="1"/>
  <c r="J3645" i="1"/>
  <c r="J3644" i="1"/>
  <c r="J3643" i="1"/>
  <c r="J3642" i="1"/>
  <c r="J3641" i="1"/>
  <c r="J3640" i="1"/>
  <c r="J3639" i="1"/>
  <c r="J3638" i="1"/>
  <c r="J3637" i="1"/>
  <c r="J3636" i="1"/>
  <c r="J3635" i="1"/>
  <c r="J3634" i="1"/>
  <c r="J3633" i="1"/>
  <c r="J3632" i="1"/>
  <c r="J3631" i="1"/>
  <c r="J3630" i="1"/>
  <c r="J3629" i="1"/>
  <c r="J3628" i="1"/>
  <c r="J3627" i="1"/>
  <c r="J3626" i="1"/>
  <c r="J3625" i="1"/>
  <c r="J3624" i="1"/>
  <c r="J3623" i="1"/>
  <c r="J3622" i="1"/>
  <c r="J3621" i="1"/>
  <c r="J3620" i="1"/>
  <c r="J3619" i="1"/>
  <c r="J3618" i="1"/>
  <c r="J3617" i="1"/>
  <c r="J3616" i="1"/>
  <c r="J3615" i="1"/>
  <c r="J3614" i="1"/>
  <c r="J3613" i="1"/>
  <c r="J3612" i="1"/>
  <c r="J3611" i="1"/>
  <c r="J3610" i="1"/>
  <c r="J3609" i="1"/>
  <c r="J3608" i="1"/>
  <c r="J3607" i="1"/>
  <c r="J3606" i="1"/>
  <c r="J3605" i="1"/>
  <c r="J3604" i="1"/>
  <c r="J3603" i="1"/>
  <c r="J3602" i="1"/>
  <c r="J3601" i="1"/>
  <c r="J3600" i="1"/>
  <c r="J3599" i="1"/>
  <c r="J3598" i="1"/>
  <c r="J3597" i="1"/>
  <c r="J3596" i="1"/>
  <c r="J3595" i="1"/>
  <c r="J3594" i="1"/>
  <c r="J3593" i="1"/>
  <c r="J3592" i="1"/>
  <c r="J3591" i="1"/>
  <c r="J3590" i="1"/>
  <c r="J3589" i="1"/>
  <c r="J3588" i="1"/>
  <c r="J3587" i="1"/>
  <c r="J3586" i="1"/>
  <c r="J3585" i="1"/>
  <c r="J3584" i="1"/>
  <c r="J3583" i="1"/>
  <c r="J3582" i="1"/>
  <c r="J3581" i="1"/>
  <c r="J3580" i="1"/>
  <c r="J3579" i="1"/>
  <c r="J3578" i="1"/>
  <c r="J3577" i="1"/>
  <c r="J3576" i="1"/>
  <c r="J3575" i="1"/>
  <c r="J3574" i="1"/>
  <c r="J3573" i="1"/>
  <c r="J3572" i="1"/>
  <c r="J3571" i="1"/>
  <c r="J3570" i="1"/>
  <c r="J3569" i="1"/>
  <c r="J3568" i="1"/>
  <c r="J3567" i="1"/>
  <c r="J3566" i="1"/>
  <c r="J3565" i="1"/>
  <c r="J3564" i="1"/>
  <c r="J3563" i="1"/>
  <c r="J3562" i="1"/>
  <c r="J3561" i="1"/>
  <c r="J3560" i="1"/>
  <c r="J3559" i="1"/>
  <c r="J3558" i="1"/>
  <c r="J3557" i="1"/>
  <c r="J3556" i="1"/>
  <c r="J3555" i="1"/>
  <c r="J3554" i="1"/>
  <c r="J3553" i="1"/>
  <c r="J3552" i="1"/>
  <c r="J3551" i="1"/>
  <c r="J3550" i="1"/>
  <c r="J3549" i="1"/>
  <c r="J3548" i="1"/>
  <c r="J3547" i="1"/>
  <c r="J3546" i="1"/>
  <c r="J3545" i="1"/>
  <c r="J3544" i="1"/>
  <c r="J3543" i="1"/>
  <c r="J3542" i="1"/>
  <c r="J3541" i="1"/>
  <c r="J3540" i="1"/>
  <c r="J3539" i="1"/>
  <c r="J3538" i="1"/>
  <c r="J3537" i="1"/>
  <c r="J3536" i="1"/>
  <c r="J3535" i="1"/>
  <c r="J3534" i="1"/>
  <c r="J3533" i="1"/>
  <c r="J3532" i="1"/>
  <c r="J3531" i="1"/>
  <c r="J3530" i="1"/>
  <c r="J3529" i="1"/>
  <c r="J3528" i="1"/>
  <c r="J3527" i="1"/>
  <c r="J3526" i="1"/>
  <c r="J3525" i="1"/>
  <c r="J3524" i="1"/>
  <c r="J3523" i="1"/>
  <c r="J3522" i="1"/>
  <c r="J3521" i="1"/>
  <c r="J3520" i="1"/>
  <c r="J3519" i="1"/>
  <c r="J3518" i="1"/>
  <c r="J3517" i="1"/>
  <c r="J3516" i="1"/>
  <c r="J3515" i="1"/>
  <c r="J3514" i="1"/>
  <c r="J3513" i="1"/>
  <c r="J3512" i="1"/>
  <c r="J3511" i="1"/>
  <c r="J3510" i="1"/>
  <c r="J3509" i="1"/>
  <c r="J3508" i="1"/>
  <c r="J3507" i="1"/>
  <c r="J3506" i="1"/>
  <c r="J3505" i="1"/>
  <c r="J3504" i="1"/>
  <c r="J3503" i="1"/>
  <c r="J3502" i="1"/>
  <c r="J3501" i="1"/>
  <c r="J3500" i="1"/>
  <c r="J3499" i="1"/>
  <c r="J3498" i="1"/>
  <c r="J3497" i="1"/>
  <c r="J3496" i="1"/>
  <c r="J3495" i="1"/>
  <c r="J3494" i="1"/>
  <c r="J3493" i="1"/>
  <c r="J3492" i="1"/>
  <c r="J3491" i="1"/>
  <c r="J3490" i="1"/>
  <c r="J3489" i="1"/>
  <c r="J3488" i="1"/>
  <c r="J3487" i="1"/>
  <c r="J3486" i="1"/>
  <c r="J3485" i="1"/>
  <c r="J3484" i="1"/>
  <c r="J3483" i="1"/>
  <c r="J3482" i="1"/>
  <c r="J3481" i="1"/>
  <c r="J3480" i="1"/>
  <c r="J3479" i="1"/>
  <c r="J3478" i="1"/>
  <c r="J3477" i="1"/>
  <c r="J3476" i="1"/>
  <c r="J3475" i="1"/>
  <c r="J3474" i="1"/>
  <c r="J3473" i="1"/>
  <c r="J3472" i="1"/>
  <c r="J3471" i="1"/>
  <c r="J3470" i="1"/>
  <c r="J3469" i="1"/>
  <c r="J3468" i="1"/>
  <c r="J3467" i="1"/>
  <c r="J3466" i="1"/>
  <c r="J3465" i="1"/>
  <c r="J3464" i="1"/>
  <c r="J3463" i="1"/>
  <c r="J3462" i="1"/>
  <c r="J3461" i="1"/>
  <c r="J3460" i="1"/>
  <c r="J3459" i="1"/>
  <c r="J3458" i="1"/>
  <c r="J3457" i="1"/>
  <c r="J3456" i="1"/>
  <c r="J3455" i="1"/>
  <c r="J3454" i="1"/>
  <c r="J3453" i="1"/>
  <c r="J3452" i="1"/>
  <c r="J3451" i="1"/>
  <c r="J3450" i="1"/>
  <c r="J3449" i="1"/>
  <c r="J3448" i="1"/>
  <c r="J3447" i="1"/>
  <c r="J3446" i="1"/>
  <c r="J3445" i="1"/>
  <c r="J3444" i="1"/>
  <c r="J3443" i="1"/>
  <c r="J3442" i="1"/>
  <c r="J3441" i="1"/>
  <c r="J3440" i="1"/>
  <c r="J3439" i="1"/>
  <c r="J3438" i="1"/>
  <c r="J3437" i="1"/>
  <c r="J3436" i="1"/>
  <c r="J3435" i="1"/>
  <c r="J3434" i="1"/>
  <c r="J3433" i="1"/>
  <c r="J3432" i="1"/>
  <c r="J3431" i="1"/>
  <c r="J3430" i="1"/>
  <c r="J3429" i="1"/>
  <c r="J3428" i="1"/>
  <c r="J3427" i="1"/>
  <c r="J3426" i="1"/>
  <c r="J3425" i="1"/>
  <c r="J3424" i="1"/>
  <c r="J3423" i="1"/>
  <c r="J3422" i="1"/>
  <c r="J3421" i="1"/>
  <c r="J3420" i="1"/>
  <c r="J3419" i="1"/>
  <c r="J3418" i="1"/>
  <c r="J3417" i="1"/>
  <c r="J3416" i="1"/>
  <c r="J3415" i="1"/>
  <c r="J3414" i="1"/>
  <c r="J3413" i="1"/>
  <c r="J3412" i="1"/>
  <c r="J3411" i="1"/>
  <c r="J3410" i="1"/>
  <c r="J3409" i="1"/>
  <c r="J3408" i="1"/>
  <c r="J3407" i="1"/>
  <c r="J3406" i="1"/>
  <c r="J3405" i="1"/>
  <c r="J3404" i="1"/>
  <c r="J3403" i="1"/>
  <c r="J3402" i="1"/>
  <c r="J3401" i="1"/>
  <c r="J3400" i="1"/>
  <c r="J3399" i="1"/>
  <c r="J3398" i="1"/>
  <c r="J3397" i="1"/>
  <c r="J3396" i="1"/>
  <c r="J3395" i="1"/>
  <c r="J3394" i="1"/>
  <c r="J3393" i="1"/>
  <c r="J3392" i="1"/>
  <c r="J3391" i="1"/>
  <c r="J3390" i="1"/>
  <c r="J3389" i="1"/>
  <c r="J3388" i="1"/>
  <c r="J3387" i="1"/>
  <c r="J3386" i="1"/>
  <c r="J3385" i="1"/>
  <c r="J3384" i="1"/>
  <c r="J3383" i="1"/>
  <c r="J3382" i="1"/>
  <c r="J3381" i="1"/>
  <c r="J3380" i="1"/>
  <c r="J3379" i="1"/>
  <c r="J3378" i="1"/>
  <c r="J3377" i="1"/>
  <c r="J3376" i="1"/>
  <c r="J3375" i="1"/>
  <c r="J3374" i="1"/>
  <c r="J3373" i="1"/>
  <c r="J3372" i="1"/>
  <c r="J3371" i="1"/>
  <c r="J3370" i="1"/>
  <c r="J3369" i="1"/>
  <c r="J3368" i="1"/>
  <c r="J3367" i="1"/>
  <c r="J3366" i="1"/>
  <c r="J3365" i="1"/>
  <c r="J3364" i="1"/>
  <c r="J3363" i="1"/>
  <c r="J3362" i="1"/>
  <c r="J3361" i="1"/>
  <c r="J3360" i="1"/>
  <c r="J3359" i="1"/>
  <c r="J3358" i="1"/>
  <c r="J3357" i="1"/>
  <c r="J3356" i="1"/>
  <c r="J3355" i="1"/>
  <c r="J3354" i="1"/>
  <c r="J3353" i="1"/>
  <c r="J3352" i="1"/>
  <c r="J3351" i="1"/>
  <c r="J3350" i="1"/>
  <c r="J3349" i="1"/>
  <c r="J3348" i="1"/>
  <c r="J3347" i="1"/>
  <c r="J3346" i="1"/>
  <c r="J3345" i="1"/>
  <c r="J3344" i="1"/>
  <c r="J3343" i="1"/>
  <c r="J3342" i="1"/>
  <c r="J3341" i="1"/>
  <c r="J3340" i="1"/>
  <c r="J3339" i="1"/>
  <c r="J3338" i="1"/>
  <c r="J3337" i="1"/>
  <c r="J3336" i="1"/>
  <c r="J3335" i="1"/>
  <c r="J3334" i="1"/>
  <c r="J3333" i="1"/>
  <c r="J3332" i="1"/>
  <c r="J3331" i="1"/>
  <c r="J3330" i="1"/>
  <c r="J3329" i="1"/>
  <c r="J3328" i="1"/>
  <c r="J3327" i="1"/>
  <c r="J3326" i="1"/>
  <c r="J3325" i="1"/>
  <c r="J3324" i="1"/>
  <c r="J3323" i="1"/>
  <c r="J3322" i="1"/>
  <c r="J3321" i="1"/>
  <c r="J3320" i="1"/>
  <c r="J3319" i="1"/>
  <c r="J3318" i="1"/>
  <c r="J3317" i="1"/>
  <c r="J3316" i="1"/>
  <c r="J3315" i="1"/>
  <c r="J3314" i="1"/>
  <c r="J3313" i="1"/>
  <c r="J3312" i="1"/>
  <c r="J3311" i="1"/>
  <c r="J3310" i="1"/>
  <c r="J3309" i="1"/>
  <c r="J3308" i="1"/>
  <c r="J3307" i="1"/>
  <c r="J3306" i="1"/>
  <c r="J3305" i="1"/>
  <c r="J3304" i="1"/>
  <c r="J3303" i="1"/>
  <c r="J3302" i="1"/>
  <c r="J3301" i="1"/>
  <c r="J3300" i="1"/>
  <c r="J3299" i="1"/>
  <c r="J3298" i="1"/>
  <c r="J3297" i="1"/>
  <c r="J3296" i="1"/>
  <c r="J3295" i="1"/>
  <c r="J3294" i="1"/>
  <c r="J3293" i="1"/>
  <c r="J3292" i="1"/>
  <c r="J3291" i="1"/>
  <c r="J3290" i="1"/>
  <c r="J3289" i="1"/>
  <c r="J3288" i="1"/>
  <c r="J3287" i="1"/>
  <c r="J3286" i="1"/>
  <c r="J3285" i="1"/>
  <c r="J3284" i="1"/>
  <c r="J3283" i="1"/>
  <c r="J3282" i="1"/>
  <c r="J3281" i="1"/>
  <c r="J3280" i="1"/>
  <c r="J3279" i="1"/>
  <c r="J3278" i="1"/>
  <c r="J3277" i="1"/>
  <c r="J3276" i="1"/>
  <c r="J3275" i="1"/>
  <c r="J3274" i="1"/>
  <c r="J3273" i="1"/>
  <c r="J3272" i="1"/>
  <c r="J3271" i="1"/>
  <c r="J3270" i="1"/>
  <c r="J3269" i="1"/>
  <c r="J3268" i="1"/>
  <c r="J3267" i="1"/>
  <c r="J3266" i="1"/>
  <c r="J3265" i="1"/>
  <c r="J3264" i="1"/>
  <c r="J3263" i="1"/>
  <c r="J3262" i="1"/>
  <c r="J3261" i="1"/>
  <c r="J3260" i="1"/>
  <c r="J3259" i="1"/>
  <c r="J3258" i="1"/>
  <c r="J3257" i="1"/>
  <c r="J3256" i="1"/>
  <c r="J3255" i="1"/>
  <c r="J3254" i="1"/>
  <c r="J3253" i="1"/>
  <c r="J3252" i="1"/>
  <c r="J3251" i="1"/>
  <c r="J3250" i="1"/>
  <c r="J3249" i="1"/>
  <c r="J3248" i="1"/>
  <c r="J3247" i="1"/>
  <c r="J3246" i="1"/>
  <c r="J3245" i="1"/>
  <c r="J3244" i="1"/>
  <c r="J3243" i="1"/>
  <c r="J3242" i="1"/>
  <c r="J3241" i="1"/>
  <c r="J3240" i="1"/>
  <c r="J3239" i="1"/>
  <c r="J3238" i="1"/>
  <c r="J3237" i="1"/>
  <c r="J3236" i="1"/>
  <c r="J3235" i="1"/>
  <c r="J3234" i="1"/>
  <c r="J3233" i="1"/>
  <c r="J3232" i="1"/>
  <c r="J3231" i="1"/>
  <c r="J3230" i="1"/>
  <c r="J3229" i="1"/>
  <c r="J3228" i="1"/>
  <c r="J3227" i="1"/>
  <c r="J3226" i="1"/>
  <c r="J3225" i="1"/>
  <c r="J3224" i="1"/>
  <c r="J3223" i="1"/>
  <c r="J3222" i="1"/>
  <c r="J3221" i="1"/>
  <c r="J3220" i="1"/>
  <c r="J3219" i="1"/>
  <c r="J3218" i="1"/>
  <c r="J3217" i="1"/>
  <c r="J3216" i="1"/>
  <c r="J3215" i="1"/>
  <c r="J3214" i="1"/>
  <c r="J3213" i="1"/>
  <c r="J3212" i="1"/>
  <c r="J3211" i="1"/>
  <c r="J3210" i="1"/>
  <c r="J3209" i="1"/>
  <c r="J3208" i="1"/>
  <c r="J3207" i="1"/>
  <c r="J3206" i="1"/>
  <c r="J3205" i="1"/>
  <c r="J3204" i="1"/>
  <c r="J3203" i="1"/>
  <c r="J3202" i="1"/>
  <c r="J3201" i="1"/>
  <c r="J3200" i="1"/>
  <c r="J3199" i="1"/>
  <c r="J3198" i="1"/>
  <c r="J3197" i="1"/>
  <c r="J3196" i="1"/>
  <c r="J3195" i="1"/>
  <c r="J3194" i="1"/>
  <c r="J3193" i="1"/>
  <c r="J3192" i="1"/>
  <c r="J3191" i="1"/>
  <c r="J3190" i="1"/>
  <c r="J3189" i="1"/>
  <c r="J3188" i="1"/>
  <c r="J3187" i="1"/>
  <c r="J3186" i="1"/>
  <c r="J3185" i="1"/>
  <c r="J3184" i="1"/>
  <c r="J3183" i="1"/>
  <c r="J3182" i="1"/>
  <c r="J3181" i="1"/>
  <c r="J3180" i="1"/>
  <c r="J3179" i="1"/>
  <c r="J3178" i="1"/>
  <c r="J3177" i="1"/>
  <c r="J3176" i="1"/>
  <c r="J3175" i="1"/>
  <c r="J3174" i="1"/>
  <c r="J3173" i="1"/>
  <c r="J3172" i="1"/>
  <c r="J3171" i="1"/>
  <c r="J3170" i="1"/>
  <c r="J3169" i="1"/>
  <c r="J3168" i="1"/>
  <c r="J3167" i="1"/>
  <c r="J3166" i="1"/>
  <c r="J3165" i="1"/>
  <c r="J3164" i="1"/>
  <c r="J3163" i="1"/>
  <c r="J3162" i="1"/>
  <c r="J3161" i="1"/>
  <c r="J3160" i="1"/>
  <c r="J3159" i="1"/>
  <c r="J3158" i="1"/>
  <c r="J3157" i="1"/>
  <c r="J3156" i="1"/>
  <c r="J3155" i="1"/>
  <c r="J3154" i="1"/>
  <c r="J3153" i="1"/>
  <c r="J3152" i="1"/>
  <c r="J3151" i="1"/>
  <c r="J3150" i="1"/>
  <c r="J3149" i="1"/>
  <c r="J3148" i="1"/>
  <c r="J3147" i="1"/>
  <c r="J3146" i="1"/>
  <c r="J3145" i="1"/>
  <c r="J3144" i="1"/>
  <c r="J3143" i="1"/>
  <c r="J3142" i="1"/>
  <c r="J3141" i="1"/>
  <c r="J3140" i="1"/>
  <c r="J3139" i="1"/>
  <c r="J3138" i="1"/>
  <c r="J3137" i="1"/>
  <c r="J3136" i="1"/>
  <c r="J3135" i="1"/>
  <c r="J3134" i="1"/>
  <c r="J3133" i="1"/>
  <c r="J3132" i="1"/>
  <c r="J3131" i="1"/>
  <c r="J3130" i="1"/>
  <c r="J3129" i="1"/>
  <c r="J3128" i="1"/>
  <c r="J3127" i="1"/>
  <c r="J3126" i="1"/>
  <c r="J3125" i="1"/>
  <c r="J3124" i="1"/>
  <c r="J3123" i="1"/>
  <c r="J3122" i="1"/>
  <c r="J3121" i="1"/>
  <c r="J3120" i="1"/>
  <c r="J3119" i="1"/>
  <c r="J3118" i="1"/>
  <c r="J3117" i="1"/>
  <c r="J3116" i="1"/>
  <c r="J3115" i="1"/>
  <c r="J3114" i="1"/>
  <c r="J3113" i="1"/>
  <c r="J3112" i="1"/>
  <c r="J3111" i="1"/>
  <c r="J3110" i="1"/>
  <c r="J3109" i="1"/>
  <c r="J3108" i="1"/>
  <c r="J3107" i="1"/>
  <c r="J3106" i="1"/>
  <c r="J3105" i="1"/>
  <c r="J3104" i="1"/>
  <c r="J3103" i="1"/>
  <c r="J3102" i="1"/>
  <c r="J3101" i="1"/>
  <c r="J3100" i="1"/>
  <c r="J3099" i="1"/>
  <c r="J3098" i="1"/>
  <c r="J3097" i="1"/>
  <c r="J3096" i="1"/>
  <c r="J3095" i="1"/>
  <c r="J3094" i="1"/>
  <c r="J3093" i="1"/>
  <c r="J3092" i="1"/>
  <c r="J3091" i="1"/>
  <c r="J3090" i="1"/>
  <c r="J3089" i="1"/>
  <c r="J3088" i="1"/>
  <c r="J3087" i="1"/>
  <c r="J3086" i="1"/>
  <c r="J3085" i="1"/>
  <c r="J3084" i="1"/>
  <c r="J3083" i="1"/>
  <c r="J3082" i="1"/>
  <c r="J3081" i="1"/>
  <c r="J3080" i="1"/>
  <c r="J3079" i="1"/>
  <c r="J3078" i="1"/>
  <c r="J3077" i="1"/>
  <c r="J3076" i="1"/>
  <c r="J3075" i="1"/>
  <c r="J3074" i="1"/>
  <c r="J3073" i="1"/>
  <c r="J3072" i="1"/>
  <c r="J3071" i="1"/>
  <c r="J3070" i="1"/>
  <c r="J3069" i="1"/>
  <c r="J3068" i="1"/>
  <c r="J3067" i="1"/>
  <c r="J3066" i="1"/>
  <c r="J3065" i="1"/>
  <c r="J3064" i="1"/>
  <c r="J3063" i="1"/>
  <c r="J3062" i="1"/>
  <c r="J3061" i="1"/>
  <c r="J3060" i="1"/>
  <c r="J3059" i="1"/>
  <c r="J3058" i="1"/>
  <c r="J3057" i="1"/>
  <c r="J3056" i="1"/>
  <c r="J3055" i="1"/>
  <c r="J3054" i="1"/>
  <c r="J3053" i="1"/>
  <c r="J3052" i="1"/>
  <c r="J3051" i="1"/>
  <c r="J3050" i="1"/>
  <c r="J3049" i="1"/>
  <c r="J3048" i="1"/>
  <c r="J3047" i="1"/>
  <c r="J3046" i="1"/>
  <c r="J3045" i="1"/>
  <c r="J3044" i="1"/>
  <c r="J3043" i="1"/>
  <c r="J3042" i="1"/>
  <c r="J3041" i="1"/>
  <c r="J3040" i="1"/>
  <c r="J3039" i="1"/>
  <c r="J3038" i="1"/>
  <c r="J3037" i="1"/>
  <c r="J3036" i="1"/>
  <c r="J3035" i="1"/>
  <c r="J3034" i="1"/>
  <c r="J3033" i="1"/>
  <c r="J3032" i="1"/>
  <c r="J3031" i="1"/>
  <c r="J3030" i="1"/>
  <c r="J3029" i="1"/>
  <c r="J3028" i="1"/>
  <c r="J3027" i="1"/>
  <c r="J3026" i="1"/>
  <c r="J3025" i="1"/>
  <c r="J3024" i="1"/>
  <c r="J3023" i="1"/>
  <c r="J3022" i="1"/>
  <c r="J3021" i="1"/>
  <c r="J3020" i="1"/>
  <c r="J3019" i="1"/>
  <c r="J3018" i="1"/>
  <c r="J3017" i="1"/>
  <c r="J3016" i="1"/>
  <c r="J3015" i="1"/>
  <c r="J3014" i="1"/>
  <c r="J3013" i="1"/>
  <c r="J3012" i="1"/>
  <c r="J3011" i="1"/>
  <c r="J3010" i="1"/>
  <c r="J3009" i="1"/>
  <c r="J3008" i="1"/>
  <c r="J3007" i="1"/>
  <c r="J3006" i="1"/>
  <c r="J3005" i="1"/>
  <c r="J3004" i="1"/>
  <c r="J3003" i="1"/>
  <c r="J3002" i="1"/>
  <c r="J3001" i="1"/>
  <c r="J3000" i="1"/>
  <c r="J2999" i="1"/>
  <c r="J2998" i="1"/>
  <c r="J2997" i="1"/>
  <c r="J2996" i="1"/>
  <c r="J2995" i="1"/>
  <c r="J2994" i="1"/>
  <c r="J2993" i="1"/>
  <c r="J2992" i="1"/>
  <c r="J2991" i="1"/>
  <c r="J2990" i="1"/>
  <c r="J2989" i="1"/>
  <c r="J2988" i="1"/>
  <c r="J2987" i="1"/>
  <c r="J2986" i="1"/>
  <c r="J2985" i="1"/>
  <c r="J2984" i="1"/>
  <c r="J2983" i="1"/>
  <c r="J2982" i="1"/>
  <c r="J2981" i="1"/>
  <c r="J2980" i="1"/>
  <c r="J2979" i="1"/>
  <c r="J2978" i="1"/>
  <c r="J2977" i="1"/>
  <c r="J2976" i="1"/>
  <c r="J2975" i="1"/>
  <c r="J2974" i="1"/>
  <c r="J2973" i="1"/>
  <c r="J2972" i="1"/>
  <c r="J2971" i="1"/>
  <c r="J2970" i="1"/>
  <c r="J2969" i="1"/>
  <c r="J2968" i="1"/>
  <c r="J2967" i="1"/>
  <c r="J2966" i="1"/>
  <c r="J2965" i="1"/>
  <c r="J2964" i="1"/>
  <c r="J2963" i="1"/>
  <c r="J2962" i="1"/>
  <c r="J2961" i="1"/>
  <c r="J2960" i="1"/>
  <c r="J2959" i="1"/>
  <c r="J2958" i="1"/>
  <c r="J2957" i="1"/>
  <c r="J2956" i="1"/>
  <c r="J2955" i="1"/>
  <c r="J2954" i="1"/>
  <c r="J2953" i="1"/>
  <c r="J2952" i="1"/>
  <c r="J2951" i="1"/>
  <c r="J2950" i="1"/>
  <c r="J2949" i="1"/>
  <c r="J2948" i="1"/>
  <c r="J2947" i="1"/>
  <c r="J2946" i="1"/>
  <c r="J2945" i="1"/>
  <c r="J2944" i="1"/>
  <c r="J2943" i="1"/>
  <c r="J2942" i="1"/>
  <c r="J2941" i="1"/>
  <c r="J2940" i="1"/>
  <c r="J2939" i="1"/>
  <c r="J2938" i="1"/>
  <c r="J2937" i="1"/>
  <c r="J2936" i="1"/>
  <c r="J2935" i="1"/>
  <c r="J2934" i="1"/>
  <c r="J2933" i="1"/>
  <c r="J2932" i="1"/>
  <c r="J2931" i="1"/>
  <c r="J2930" i="1"/>
  <c r="J2929" i="1"/>
  <c r="J2928" i="1"/>
  <c r="J2927" i="1"/>
  <c r="J2926" i="1"/>
  <c r="J2925" i="1"/>
  <c r="J2924" i="1"/>
  <c r="J2923" i="1"/>
  <c r="J2922" i="1"/>
  <c r="J2921" i="1"/>
  <c r="J2920" i="1"/>
  <c r="J2919" i="1"/>
  <c r="J2918" i="1"/>
  <c r="J2917" i="1"/>
  <c r="J2916" i="1"/>
  <c r="J2915" i="1"/>
  <c r="J2914" i="1"/>
  <c r="J2913" i="1"/>
  <c r="J2912" i="1"/>
  <c r="J2911" i="1"/>
  <c r="J2910" i="1"/>
  <c r="J2909" i="1"/>
  <c r="J2908" i="1"/>
  <c r="J2907" i="1"/>
  <c r="J2906" i="1"/>
  <c r="J2905" i="1"/>
  <c r="J2904" i="1"/>
  <c r="J2903" i="1"/>
  <c r="J2902" i="1"/>
  <c r="J2901" i="1"/>
  <c r="J2900" i="1"/>
  <c r="J2899" i="1"/>
  <c r="J2898" i="1"/>
  <c r="J2897" i="1"/>
  <c r="J2896" i="1"/>
  <c r="J2895" i="1"/>
  <c r="J2894" i="1"/>
  <c r="J2893" i="1"/>
  <c r="J2892" i="1"/>
  <c r="J2891" i="1"/>
  <c r="J2890" i="1"/>
  <c r="J2889" i="1"/>
  <c r="J2888" i="1"/>
  <c r="J2887" i="1"/>
  <c r="J2886" i="1"/>
  <c r="J2885" i="1"/>
  <c r="J2884" i="1"/>
  <c r="J2883" i="1"/>
  <c r="J2882" i="1"/>
  <c r="J2881" i="1"/>
  <c r="J2880" i="1"/>
  <c r="J2879" i="1"/>
  <c r="J2878" i="1"/>
  <c r="J2877" i="1"/>
  <c r="J2876" i="1"/>
  <c r="J2875" i="1"/>
  <c r="J2874" i="1"/>
  <c r="J2873" i="1"/>
  <c r="J2872" i="1"/>
  <c r="J2871" i="1"/>
  <c r="J2870" i="1"/>
  <c r="J2869" i="1"/>
  <c r="J2868" i="1"/>
  <c r="J2867" i="1"/>
  <c r="J2866" i="1"/>
  <c r="J2865" i="1"/>
  <c r="J2864" i="1"/>
  <c r="J2863" i="1"/>
  <c r="J2862" i="1"/>
  <c r="J2861" i="1"/>
  <c r="J2860" i="1"/>
  <c r="J2859" i="1"/>
  <c r="J2858" i="1"/>
  <c r="J2857" i="1"/>
  <c r="J2856" i="1"/>
  <c r="J2855" i="1"/>
  <c r="J2854" i="1"/>
  <c r="J2853" i="1"/>
  <c r="J2852" i="1"/>
  <c r="J2851" i="1"/>
  <c r="J2850" i="1"/>
  <c r="J2849" i="1"/>
  <c r="J2848" i="1"/>
  <c r="J2847" i="1"/>
  <c r="J2846" i="1"/>
  <c r="J2845" i="1"/>
  <c r="J2844" i="1"/>
  <c r="J2843" i="1"/>
  <c r="J2842" i="1"/>
  <c r="J2841" i="1"/>
  <c r="J2840" i="1"/>
  <c r="J2839" i="1"/>
  <c r="J2838" i="1"/>
  <c r="J2837" i="1"/>
  <c r="J2836" i="1"/>
  <c r="J2835" i="1"/>
  <c r="J2834" i="1"/>
  <c r="J2833" i="1"/>
  <c r="J2832" i="1"/>
  <c r="J2831" i="1"/>
  <c r="J2830" i="1"/>
  <c r="J2829" i="1"/>
  <c r="J2828" i="1"/>
  <c r="J2827" i="1"/>
  <c r="J2826" i="1"/>
  <c r="J2825" i="1"/>
  <c r="J2824" i="1"/>
  <c r="J2823" i="1"/>
  <c r="J2822" i="1"/>
  <c r="J2821" i="1"/>
  <c r="J2820" i="1"/>
  <c r="J2819" i="1"/>
  <c r="J2818" i="1"/>
  <c r="J2817" i="1"/>
  <c r="J2816" i="1"/>
  <c r="J2815" i="1"/>
  <c r="J2814" i="1"/>
  <c r="J2813" i="1"/>
  <c r="J2812" i="1"/>
  <c r="J2811" i="1"/>
  <c r="J2810" i="1"/>
  <c r="J2809" i="1"/>
  <c r="J2808" i="1"/>
  <c r="J2807" i="1"/>
  <c r="J2806" i="1"/>
  <c r="J2805" i="1"/>
  <c r="J2804" i="1"/>
  <c r="J2803" i="1"/>
  <c r="J2802" i="1"/>
  <c r="J2801" i="1"/>
  <c r="J2800" i="1"/>
  <c r="J2799" i="1"/>
  <c r="J2798" i="1"/>
  <c r="J2797" i="1"/>
  <c r="J2796" i="1"/>
  <c r="J2795" i="1"/>
  <c r="J2794" i="1"/>
  <c r="J2793" i="1"/>
  <c r="J2792" i="1"/>
  <c r="J2791" i="1"/>
  <c r="J2790" i="1"/>
  <c r="J2789" i="1"/>
  <c r="J2788" i="1"/>
  <c r="J2787" i="1"/>
  <c r="J2786" i="1"/>
  <c r="J2785" i="1"/>
  <c r="J2784" i="1"/>
  <c r="J2783" i="1"/>
  <c r="J2782" i="1"/>
  <c r="J2781" i="1"/>
  <c r="J2780" i="1"/>
  <c r="J2779" i="1"/>
  <c r="J2778" i="1"/>
  <c r="J2777" i="1"/>
  <c r="J2776" i="1"/>
  <c r="J2775" i="1"/>
  <c r="J2774" i="1"/>
  <c r="J2773" i="1"/>
  <c r="J2772" i="1"/>
  <c r="J2771" i="1"/>
  <c r="J2770" i="1"/>
  <c r="J2769" i="1"/>
  <c r="J2768" i="1"/>
  <c r="J2767" i="1"/>
  <c r="J2766" i="1"/>
  <c r="J2765" i="1"/>
  <c r="J2764" i="1"/>
  <c r="J2763" i="1"/>
  <c r="J2762" i="1"/>
  <c r="J2761" i="1"/>
  <c r="J2760" i="1"/>
  <c r="J2759" i="1"/>
  <c r="J2758" i="1"/>
  <c r="J2757" i="1"/>
  <c r="J2756" i="1"/>
  <c r="J2755" i="1"/>
  <c r="J2754" i="1"/>
  <c r="J2753" i="1"/>
  <c r="J2752" i="1"/>
  <c r="J2751" i="1"/>
  <c r="J2750" i="1"/>
  <c r="J2749" i="1"/>
  <c r="J2748" i="1"/>
  <c r="J2747" i="1"/>
  <c r="J2746" i="1"/>
  <c r="J2745" i="1"/>
  <c r="J2744" i="1"/>
  <c r="J2743" i="1"/>
  <c r="J2742" i="1"/>
  <c r="J2741" i="1"/>
  <c r="J2740" i="1"/>
  <c r="J2739" i="1"/>
  <c r="J2738" i="1"/>
  <c r="J2737" i="1"/>
  <c r="J2736" i="1"/>
  <c r="J2735" i="1"/>
  <c r="J2734" i="1"/>
  <c r="J2733" i="1"/>
  <c r="J2732" i="1"/>
  <c r="J2731" i="1"/>
  <c r="J2730" i="1"/>
  <c r="J2729" i="1"/>
  <c r="J2728" i="1"/>
  <c r="J2727" i="1"/>
  <c r="J2726" i="1"/>
  <c r="J2725" i="1"/>
  <c r="J2724" i="1"/>
  <c r="J2723" i="1"/>
  <c r="J2722" i="1"/>
  <c r="J2721" i="1"/>
  <c r="J2720" i="1"/>
  <c r="J2719" i="1"/>
  <c r="J2718" i="1"/>
  <c r="J2717" i="1"/>
  <c r="J2716" i="1"/>
  <c r="J2715" i="1"/>
  <c r="J2714" i="1"/>
  <c r="J2713" i="1"/>
  <c r="J2712" i="1"/>
  <c r="J2711" i="1"/>
  <c r="J2710" i="1"/>
  <c r="J2709" i="1"/>
  <c r="J2708" i="1"/>
  <c r="J2707" i="1"/>
  <c r="J2706" i="1"/>
  <c r="J2705" i="1"/>
  <c r="J2704" i="1"/>
  <c r="J2703" i="1"/>
  <c r="J2702" i="1"/>
  <c r="J2701" i="1"/>
  <c r="J2700" i="1"/>
  <c r="J2699" i="1"/>
  <c r="J2698" i="1"/>
  <c r="J2697" i="1"/>
  <c r="J2696" i="1"/>
  <c r="J2695" i="1"/>
  <c r="J2694" i="1"/>
  <c r="J2693" i="1"/>
  <c r="J2692" i="1"/>
  <c r="J2691" i="1"/>
  <c r="J2690" i="1"/>
  <c r="J2689" i="1"/>
  <c r="J2688" i="1"/>
  <c r="J2687" i="1"/>
  <c r="J2686" i="1"/>
  <c r="J2685" i="1"/>
  <c r="J2684" i="1"/>
  <c r="J2683" i="1"/>
  <c r="J2682" i="1"/>
  <c r="J2681" i="1"/>
  <c r="J2680" i="1"/>
  <c r="J2679" i="1"/>
  <c r="J2678" i="1"/>
  <c r="J2677" i="1"/>
  <c r="J2676" i="1"/>
  <c r="J2675" i="1"/>
  <c r="J2674" i="1"/>
  <c r="J2673" i="1"/>
  <c r="J2672" i="1"/>
  <c r="J2671" i="1"/>
  <c r="J2670" i="1"/>
  <c r="J2669" i="1"/>
  <c r="J2668" i="1"/>
  <c r="J2667" i="1"/>
  <c r="J2666" i="1"/>
  <c r="J2665" i="1"/>
  <c r="J2664" i="1"/>
  <c r="J2663" i="1"/>
  <c r="J2662" i="1"/>
  <c r="J2661" i="1"/>
  <c r="J2660" i="1"/>
  <c r="J2659" i="1"/>
  <c r="J2658" i="1"/>
  <c r="J2657" i="1"/>
  <c r="J2656" i="1"/>
  <c r="J2655" i="1"/>
  <c r="J2654" i="1"/>
  <c r="J2653" i="1"/>
  <c r="J2652" i="1"/>
  <c r="J2651" i="1"/>
  <c r="J2650" i="1"/>
  <c r="J2649" i="1"/>
  <c r="J2648" i="1"/>
  <c r="J2647" i="1"/>
  <c r="J2646" i="1"/>
  <c r="J2645" i="1"/>
  <c r="J2644" i="1"/>
  <c r="J2643" i="1"/>
  <c r="J2642" i="1"/>
  <c r="J2641" i="1"/>
  <c r="J2640" i="1"/>
  <c r="J2639" i="1"/>
  <c r="J2638" i="1"/>
  <c r="J2637" i="1"/>
  <c r="J2636" i="1"/>
  <c r="J2635" i="1"/>
  <c r="J2634" i="1"/>
  <c r="J2633" i="1"/>
  <c r="J2632" i="1"/>
  <c r="J2631" i="1"/>
  <c r="J2630" i="1"/>
  <c r="J2629" i="1"/>
  <c r="J2628" i="1"/>
  <c r="J2627" i="1"/>
  <c r="J2626" i="1"/>
  <c r="J2625" i="1"/>
  <c r="J2624" i="1"/>
  <c r="J2623" i="1"/>
  <c r="J2622" i="1"/>
  <c r="J2621" i="1"/>
  <c r="J2620" i="1"/>
  <c r="J2619" i="1"/>
  <c r="J2618" i="1"/>
  <c r="J2617" i="1"/>
  <c r="J2616" i="1"/>
  <c r="J2615" i="1"/>
  <c r="J2614" i="1"/>
  <c r="J2613" i="1"/>
  <c r="J2612" i="1"/>
  <c r="J2611" i="1"/>
  <c r="J2610" i="1"/>
  <c r="J2609" i="1"/>
  <c r="J2608" i="1"/>
  <c r="J2607" i="1"/>
  <c r="J2606" i="1"/>
  <c r="J2605" i="1"/>
  <c r="J2604" i="1"/>
  <c r="J2603" i="1"/>
  <c r="J2602" i="1"/>
  <c r="J2601" i="1"/>
  <c r="J2600" i="1"/>
  <c r="J2599" i="1"/>
  <c r="J2598" i="1"/>
  <c r="J2597" i="1"/>
  <c r="J2596" i="1"/>
  <c r="J2595" i="1"/>
  <c r="J2594" i="1"/>
  <c r="J2593" i="1"/>
  <c r="J2592" i="1"/>
  <c r="J2591" i="1"/>
  <c r="J2590" i="1"/>
  <c r="J2589" i="1"/>
  <c r="J2588" i="1"/>
  <c r="J2587" i="1"/>
  <c r="J2586" i="1"/>
  <c r="J2585" i="1"/>
  <c r="J2584" i="1"/>
  <c r="J2583" i="1"/>
  <c r="J2582" i="1"/>
  <c r="J2581" i="1"/>
  <c r="J2580" i="1"/>
  <c r="J2579" i="1"/>
  <c r="J2578" i="1"/>
  <c r="J2577" i="1"/>
  <c r="J2576" i="1"/>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<sst xmlns="http://schemas.openxmlformats.org/spreadsheetml/2006/main" count="102339" uniqueCount="22848">
  <si>
    <t>Índice onomástico anual · Gacetas oficiales de 1823</t>
  </si>
  <si>
    <t>Del 1 de enero al 31 de diciembre de 1823 · Gaceta de Madrid · Gaceta Española</t>
  </si>
  <si>
    <t>Aviso: índice generado a partir del OCR de facsímiles históricos. Las grafías y lecturas dudosas deben cotejarse con la página enlazada.</t>
  </si>
  <si>
    <t>11271 menciones · 429 archivos oficiales · 1765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</si>
  <si>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</si>
  <si>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</si>
  <si>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</si>
  <si>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</si>
  <si>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</si>
  <si>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</si>
  <si>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</si>
  <si>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</si>
  <si>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</si>
  <si>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</si>
  <si>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</si>
  <si>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A'aidé, Rodiigo</t>
  </si>
  <si>
    <t>Rodiigo A'aidé</t>
  </si>
  <si>
    <t>Operaciones o servicios militares</t>
  </si>
  <si>
    <t>Noticias militares</t>
  </si>
  <si>
    <t>Gaceta de Madrid n.º 60</t>
  </si>
  <si>
    <t>PDF p. 4</t>
  </si>
  <si>
    <t>Nombre detectado automáticamente; cotejar si se va a citar</t>
  </si>
  <si>
    <t>…c. hr. D. Mar.uel Flores Calderón , diputado por la piovin-ta de Bur ros, oficial cesante ds la secretaría d- Guerra----.Ayudantes dd tenicc:* go»; para sU-VÍce- presidente al br. D. Rodiigo A'aidé» Lustos , que lo general D. Martin González ds A4er.cF.aca , d espitan de ¡a M. N. ¿¡¡ es por la de Astürias , y para.secretarios á ios que firman , que son Don de Segoyia D. Joaquín Biak y Tobar—El subteniente de artillería Leonardo bantos buarez por ¡a ds C…</t>
  </si>
  <si>
    <t>Lectura OCR</t>
  </si>
  <si>
    <t>A, Andrés</t>
  </si>
  <si>
    <t>Andrés A</t>
  </si>
  <si>
    <t>Gaceta Española n.º 20</t>
  </si>
  <si>
    <t>PDF p. 2</t>
  </si>
  <si>
    <t>Lectura automática dudosa; cotejar el facsímil</t>
  </si>
  <si>
    <t>…M. N. A. de Madrid, Se abrió á las diez y medía , y se leyó el acta ele,la anterior, y al capitán D. Vicente Valcareel; y empleados á sus inmedia quedando aprobada. tas órdenes al coronel D. Andrés A rango, al subteniente D. Jo El Sr. Becerra manifestó , que según el acta un oficio del vi sef de Zayas á D. Antonio Masoni, teniente de la M. N. A. sitador ele la audiencia de Sevilla, D. Manuel Trinidad Moreno, de Toledo, y á D. Francisco Fringas, teniente d…</t>
  </si>
  <si>
    <t>Revisar OCR</t>
  </si>
  <si>
    <t>A, Anto</t>
  </si>
  <si>
    <t>Anto A</t>
  </si>
  <si>
    <t>Gaceta Española n.º 19</t>
  </si>
  <si>
    <t>PDF p. 5</t>
  </si>
  <si>
    <t>…para cuando se na y milicia nocional local á las óudenes del comandante del se trate del arreglo de dichos establecimientos. gundo batallón de la milicia nacional local de Sevilla D. Anto A la de Diputaciones provinciales se pasó una exposición de nio Perez Duran__ Parada la Reina , Infante D. Carlos y mili la de Sevilla sobre el estado de repartimiento de baldíos, y las cia nacional local; el demas servicio y patrullas lo detallado.™ causas que…</t>
  </si>
  <si>
    <t>A, Francisco de</t>
  </si>
  <si>
    <t>Francisco de A</t>
  </si>
  <si>
    <t>Gaceta Española n.º 113</t>
  </si>
  <si>
    <t>PDF p. 1</t>
  </si>
  <si>
    <t>…otra inedia compañía al frente de ¡a derecha Los voluntarios del 6-° batallón de milicias de esta cap ral , el de la posic.on mandada por el teniente coronel graduado D. Ker- cabo D. Francisco de A»'s Noguts, y los voluntarios D. Ramón mrdo Uncete. Principió en el camino real el fuego de guerrillas, Sans y D. Francisco Duran se agregaron a ¡a compañía de cara el que se sostuvo como media hora sin mayor empeño. dores de Soria y estuvieron en toda la acci…</t>
  </si>
  <si>
    <t>A, Gaspar Días y</t>
  </si>
  <si>
    <t>Gaspar Días y A</t>
  </si>
  <si>
    <t>Gaceta de Madrid n.º 11</t>
  </si>
  <si>
    <t>…ente Surmani , tres sargentos y s.-is voluntarios del bata dia, de donde salí con dirección a esta después del descanso piec so. llón d: emigrados italianos heridos. Lus tenientes D. Gaspar Días y A poco rato de mi salida tuve noticias positivas de que ¡os f.scc.osi.s D. Sa.vsdor Sa as , un cibo y dos sro úntanos del batallón de la Igual de Misas y Targarona en número de 1500 infantes y i¿o caballos se dad lamb en h-ridos, y un sarg-nro , dos erbos y un…</t>
  </si>
  <si>
    <t>A, IX Mi</t>
  </si>
  <si>
    <t>IX Mi A</t>
  </si>
  <si>
    <t>Gaceta Española n.º 50</t>
  </si>
  <si>
    <t>PDF p. 3</t>
  </si>
  <si>
    <t>…cargas entre Jos den general del tercer ejército del dia 16 se reduce á dar á co batallones, ni que vaya mu ger alguna en aquellos. nocer por sargento mayor interino de Madrid al coronel IX Mi A recaguard a de los equ papes marchara la compañía de ca guel Tenorio, gobernador del cuartel general. Siguen otras dispo zadores de M A. lie Cuenca que ie servirá de escolta. siciones de poco ínteres. El aposentador pasará .1 Musióles , donde hará el alojamie…</t>
  </si>
  <si>
    <t>A, Josef María</t>
  </si>
  <si>
    <t>Josef María A</t>
  </si>
  <si>
    <t>Gaceta Española n.º 65</t>
  </si>
  <si>
    <t>…án acampados en ¡as huertas desgastan— blique ,y circule.z=E5táurubricado de la;,Real mano.'=En;el. i do los sembrados. 1 . ; . , , ; Ajea zar de Sevilla á 25 de Mayo dc i82 3¡=;A D. Josef María A las once deí día ha llegado á Granoílers un convoy de. zoo .,Calatrnva. . -j; acémilas que venia de Ja. parte de Cardedeu cargado de, ¡víveres. Circtilcit'.idei minuítrlo '.dr: A las siete de la tarde no se habían atrevido los enemigos, toda , LósSrcs. Diputa…</t>
  </si>
  <si>
    <t>A, Juan</t>
  </si>
  <si>
    <t>Juan A</t>
  </si>
  <si>
    <t>Nombramiento o servicio público</t>
  </si>
  <si>
    <t>España</t>
  </si>
  <si>
    <t>Gaceta Española n.º 62</t>
  </si>
  <si>
    <t>PDF p. 6</t>
  </si>
  <si>
    <t>…ación ó modificación que D. Antonio Midoiell__La da Buanache de Aiarcon en la pro se haga en la Constitución del año de 1822. Lisboa en el palacio vincia de Cuenca, por ñauarte de D. Juan A:itomo Giba don de las" Corte 2 de Jumo de *823* — Siguen~ las firmas ue' 01' y tendero—La de Yecla, por haber sido promovido á gefe po diputados. lítico de Alicante D. Canos de la Cruz Pujalte. Se admiten memoriales para cada una de ellas por término ARTICULO…</t>
  </si>
  <si>
    <t>Gaceta Española n.º 140</t>
  </si>
  <si>
    <t>…e cazadores del r.u del imperial, mandada por y tres piezas de artillería. La inLuitería íuc al cargo del brigadier su b.zarro capitán D. Juan James ataca con denuedo cu flanco al D. Juan A n ton i o Monet, y la caballería mandada por el co enemigo; el comandante general de caballería en el instante se mandante general de esta arma brigadier D, Juan Loriga. El ge- presenta con la guardia en batalla, y húsares en columna'para sos fe de E. M. G. d…</t>
  </si>
  <si>
    <t>A, Juan Rafael de</t>
  </si>
  <si>
    <t>Juan Rafael de A</t>
  </si>
  <si>
    <t>Gaceta de Madrid n.º 653</t>
  </si>
  <si>
    <t>…los unánimes votos de este heróico vecindario. La Antonio de Aróstegui.=:Juan Luis de Abaroa.rePor el ayunta proclama que V. A. S. se ha dignado circular renovó en los miento , su secretario Juan Rafael de A)goreta.=A la Regencia fieles habitantes de esta villa la amargara que oprimía sus cora del Reino.” zones con la vil acción y monstruoso crimen, ejecutado por los impíos satélites de la mas abominable, mas sacrilega y mas »»Sermo. Sr.: Los vecinos de esta fiel…</t>
  </si>
  <si>
    <t>A, Manuel</t>
  </si>
  <si>
    <t>Manuel A</t>
  </si>
  <si>
    <t>Gaceta de Madrid n.º 84</t>
  </si>
  <si>
    <t>…aría Vn.deastilhs, sargento &lt;M cuerpo de inválidos hab .es de esta Aprobado poniéndose en lugar de las pa abras de elecci'.n popular cuite; y para capitán de la segunda compañía a D. Manuel A.var z, las siguientes : elegídvs cor, arreglo á lo mandado. capitán i «.rado con grado de tennnt; caionei ; p¿¡a tan.-enti a Don Art. 8t. ” En seguida «e r.ou¡bi«rin tres suplentes en el mismo or Cirüo López , espitan graduado de teniente coronel d i regimient…</t>
  </si>
  <si>
    <t>A, Manuel López de</t>
  </si>
  <si>
    <t>Manuel López de A</t>
  </si>
  <si>
    <t>Actuación administrativa o judicial</t>
  </si>
  <si>
    <t>Noticias y disposiciones</t>
  </si>
  <si>
    <t>Gaceta Española n.º 37</t>
  </si>
  <si>
    <t>…Santoña , y una consulta relativa á la erec Se aprobó el dictamen de la comisión segunda de Hacienda, ción de puertos francos. • -••• acerca de que no se acceda á la solicitud de D. Manuel López de A la de Visita de tribunales se pasó un oficio del visitador la Rosa para que se le continúe pagando la pensión de 4 rs. dia de la audiencia de Sevilla, á que acompañaba el resultado del rios que disfrutó su madre sobre espolies y vacantes. examen de ti causas…</t>
  </si>
  <si>
    <t>A, Miguel</t>
  </si>
  <si>
    <t>Miguel A</t>
  </si>
  <si>
    <t>Mención en noticia o disposición</t>
  </si>
  <si>
    <t>Gaceta Española n.º 115</t>
  </si>
  <si>
    <t>…obt-ugan U aprobación Je Lis Cuite», be mando quedar modo de liacerse la renovación de Jas juntas de beneficencia. ruine ¡a mesa. A [a segunda de Hac enda paso una cxpos.x.on .do D. Miguel A la uuiiitiii de Gurvia con t.r_em a *e mandaron pasar T’.scuuríaza , sobre que se le admita en pago ¿c detcJw* .una li .clip v\;p' n.Liours que tentón.L,d»», mu 0- ou» a.,s &gt; v'v¡a d&gt;</t>
  </si>
  <si>
    <t>A, Miguel Pino y</t>
  </si>
  <si>
    <t>Miguel Pino y A</t>
  </si>
  <si>
    <t>Publicación o actividad intelectual</t>
  </si>
  <si>
    <t>Gaceta de Madrid n.º 81</t>
  </si>
  <si>
    <t>…a guardia nacional y ua comandante de ba • su autoridad , te reunió el jurado , compuesto de los Sres. D. Joaouia tallón de invslidos. Goñi, D. Josef Carreño, D. Felipe Echevarrí, D. Miguel Pino y A vista de la guardia nacional, que marchaba delante, todo el lado López, D. Bernardo ds la Peña Díaz, D. Juan Francisco Vídot, Don izquierdo se levanta por un movimi uto indeliberado, y exclama: Segismundo Moret, D. Jcs;f María ds Ansa y D. Josef María Villa••…</t>
  </si>
  <si>
    <t>A, Mlcuel Inca</t>
  </si>
  <si>
    <t>Mlcuel Inca A</t>
  </si>
  <si>
    <t>Gaceta Española n.º 97</t>
  </si>
  <si>
    <t>…das; pero S. AI. se contenta con rcp. tina» cuan.¡o es ne La comisión seaunda de Hacienda en vista de la solicitud de cesario, prolongando los plazos á proporción que estos se van D. Mlcuel Inca A upangui para que las Corres se sirviesen auaproximando. Entre tanto tiene á sus subd.los coleados de su pa metarie la pensión que disfrutaba . y decretasen que por su falta labra Real , la cual sigue at tiempo , y se alarga succs.vaiiu.nte co te cávese en su…</t>
  </si>
  <si>
    <t>A, NOTICIAS DB ÉS.fr A Sí</t>
  </si>
  <si>
    <t>NOTICIAS DB ÉS.fr A Sí A</t>
  </si>
  <si>
    <t>Gaceta de Madrid n.º 30</t>
  </si>
  <si>
    <t>…bien de no i, ¿..finalmente' í zagi, quien se eípera llegue de un día á otro á su destino con el secre Verona (1).” ... tario Kukmann. La curiosidad se interesa en saber el nuevo cónsul NOTICIAS DB ÉS.fr A Sí A. se presentará en Bucharest. Este nombramiento ha hecho grande im presión en los boyafdoi'fugitivos. Se asegura que todos tos griegos, sea Cádiz. 20 de Enero. cual fuere la conducta qúe hayan observado durante !s insurrección, El s de Noviembre seguía la fiebr…</t>
  </si>
  <si>
    <t>A, Pe</t>
  </si>
  <si>
    <t>Pe A</t>
  </si>
  <si>
    <t>Gaceta Española n.º 24</t>
  </si>
  <si>
    <t>…los destinos y no á las personas, quedando estas sin derecho á bre la misa. él desde que dejen de servirlos por cualquier causa.” La m'sma comisión opinaba que debía concederse á D. Pe A ia de Visita de Crédito público y primera de Hacienda « dro López, vecino de Málaga, el permiso que solicitaba para ri ' pasaron las siguientes de los Sres. González Alonso y Diez. far una casa que posee en aquella ciudad, aplicando la cuaita 1.a Que inmediat…</t>
  </si>
  <si>
    <t>A, Rudesmdo</t>
  </si>
  <si>
    <t>Rudesmdo A</t>
  </si>
  <si>
    <t>Gaceta Española n.º 84</t>
  </si>
  <si>
    <t>…endo rectificado los En la gaceta del Gobierno de Lima de 5 de Febrero de este datos sobre el presupuesto del ministerio de la Gobernación de año se publica el siguiente parte del general D. Rudesmdo A ¡va la Península, opinaba que las Cortes debían aprobar para todos rado al ministro de la Guerra de aquella república, cuyo docu los ga-.tos de este ministerio la suma de 24.223,308 rs. y 4 mento demuestra suficientemente el triste resultado que ha tenido mar…</t>
  </si>
  <si>
    <t>A-onso, Nicolás</t>
  </si>
  <si>
    <t>Nicolás A-onso</t>
  </si>
  <si>
    <t>Gaceta de Madrid n.º 32</t>
  </si>
  <si>
    <t>…ner á su alrededor de menos calificación los Sres. jueces de hecho D. Josef Alvarez y Cres de media legua á una otros limítrofes que carecen de facultativo, po, D. Cayetano Rubio, D. Nicolás A-onso, D, Aquilino y deparan al de Domingo Perez frecuentes apelaciones. Los pro Palomino, D. Lorenzo Lambea, D. Josef Ptrez Morales, Don fesores que teniendo la cualidad enunciada quisieren pretender el Marcelino Torio, D. Arias González de Mendoza, D. Fran partid…</t>
  </si>
  <si>
    <t>A-Smith, Dannies</t>
  </si>
  <si>
    <t>Dannies A-Smith</t>
  </si>
  <si>
    <t>Noticia política o diplomática</t>
  </si>
  <si>
    <t>Gaceta Española n.º 121</t>
  </si>
  <si>
    <t>…re el velo de las ceremonias ridi terior dada al Sr. Itúrbide, y las que dio en consecuencia á Don culas que se practican continuamente, y que el pueblo prefiere á Dic.-o J3arry y D. Dannies A-Smith, ó pueda haber dado a al los actos de verdadera piedad, porque son para él ana especie gunos otros. de espectáculo á que se inclina siempre con ansia por un instinto 8.° Se aprueban las medidas tomadas por el Gobierno para de curiosidad. recoger las letras gi…</t>
  </si>
  <si>
    <t>A-u, Cosme</t>
  </si>
  <si>
    <t>Cosme A-u</t>
  </si>
  <si>
    <t>Gaceta de Madrid n.º 19</t>
  </si>
  <si>
    <t>…se, por aquel costado. Lo» cazadores de seis contusos y da heridos. h Corona y le wcimpañía de Caniarasa dieron la principal carga sobre Nota. Ei ofic.a! mu.-uo de estado mayor es D. Cosme A-u;ro, . el flanco derecho enemigo; el pelotón de llostaiticli, al cargo del sub subteniente del r e miento nacional de Zapadores.mEs copia.emZorrateniente D- Josef Oriol , al marchar á reforzar las compañías di grana qu n.ceE» copie.—Josef Bcrmudez, ayudante de…</t>
  </si>
  <si>
    <t>Aalor</t>
  </si>
  <si>
    <t>Edición extraordinaria</t>
  </si>
  <si>
    <t>Gaceta de Madrid n.º 843 (extraordinaria)</t>
  </si>
  <si>
    <t>…D. Josef Azlor, capitán español, encargado del oficio que V. E. me ha hecho el honor de dirigirme de fecha del 19 de este mes para reclamará Riego, anuncián dome que encargaba al Sr. Aalor de la custodia de este preso. « Ruego á V. E. se digne rec'bir el homenage de la alta consideración, con la cual tengo el honor de ser su mas humilde y obediente servidor = El Teniente General, Comandante superior de las provincias dc Cótdoba y Jaen.=J. Foisa…</t>
  </si>
  <si>
    <t>Abad, Francisco</t>
  </si>
  <si>
    <t>Francisco Abad</t>
  </si>
  <si>
    <t>Gaceta de Madrid n.º 713</t>
  </si>
  <si>
    <t>…los desfiladero* sión posible de sangre, Sierra - Morena, alcanzó d id d* este mes en ia Puebla del &gt;3 Los hechos, Señor, que nadie puede negar, son el mas Príncipe la partida de D. Francisco Abad (alias Chaleco')-, y elocuente lenguagí y la demostración mas perentoria de la mal ¿hspuís de haberle causado una pérdida considerable, le pie- dad de los pretendidos sabias de nuestra desgraciada época, y el cisó i una capitulación, por la que tanto ¿i como…</t>
  </si>
  <si>
    <t>Abad, Manuel</t>
  </si>
  <si>
    <t>Manuel Abad</t>
  </si>
  <si>
    <t>Gaceta de Madrid n.º 88</t>
  </si>
  <si>
    <t>…sa haberse de sente ante dicho supremo tribunal y por la escribanía de Cámara mas clarado que á los oficiales retirados ingleses no les servirá como hasta antigua de él á cargo de D. Manuel Abad , secretario de S. M., á ex aqui de obstáculo para cobrar sus pensiones el que la fe de vida ten poner lo que convenga á su derecho para que tenga el debido curso la gan la fecha de España. Añade que las diferencias que existian entre referida causa, egecután…</t>
  </si>
  <si>
    <t>Aballe, D Cayetano</t>
  </si>
  <si>
    <t>D Cayetano Aballe</t>
  </si>
  <si>
    <t>Gaceta Española n.º 146</t>
  </si>
  <si>
    <t>…a civil.zacion en la Rus;j asumes, v fantería y Jas dos compañías de la misma arma que al mando del hacen muy diñcil la introducción del cristianismo. capitán eraduado de teniente coronel D Cayetano Aballe me ha Cuando la Rusia europea llegue al mismo grado de c-'vil i ra bían acompañado enviando a Ic3 60 caballos de cazadores monta ción en que se encuentran, las demas naciones de la Europa , ..ru dos , y 80 de granaderos de San Carlos al mando del Sr. coman ca…</t>
  </si>
  <si>
    <t>Abalos, Francisco Javier</t>
  </si>
  <si>
    <t>Francisco Javier Abalos</t>
  </si>
  <si>
    <t>Gaceta de Madrid n.º 7</t>
  </si>
  <si>
    <t>….'d'os, y adquirido el correspon- Logroño, al ayudante del mismo D. Antonio Pérez , ai capitán de gradi': ate título conforme á las leyes, serán admitidos á hacer la oposi nadires D. Francisco Javier Abalos, al de cazadores D. Josef María ción de que habla el art 6.°-, entendiéndose que los cirujanos han de Manglano, y á los tenientes D. Ramón Artegui, D. Luis Castejon y irner el tía licenciados en cirugía medica. Madrid 23 de Diciembre de D. Esteban Cereceda, á…</t>
  </si>
  <si>
    <t>Abasca, Juan</t>
  </si>
  <si>
    <t>Juan Abasca</t>
  </si>
  <si>
    <t>Gaceta de Madrid n.º 92</t>
  </si>
  <si>
    <t>…valor pro disimular. pio de españoles sus libertades, intereses y honor contra los enemigos 8.° En su paso por Arando, se avistó con D. Josef Calsina, yerno de nuestra felicidad. D. Juan Abasca! , administrador de correos de fa de Baso. misma ciudad, y nombrado por S. M. gefe político interino de aque 9.0 En vez de irse íTolosa se marchó áPortugalete, continuará.') lla provincia, ha publicado erra proclama, en que hace ver á los va TRIBUNALES. lenci…</t>
  </si>
  <si>
    <t>Abascal</t>
  </si>
  <si>
    <t>Gaceta de Madrid n.º 98</t>
  </si>
  <si>
    <t>…á la milicia. A todo ha dado el primer impulso la actlvi-, consumar la obra de su felicidad despucs de tantos sacrificios; Y al dad y zelo infatigable de nuestro gefe político el Sr. Abascal , á quien contrario si corréis veloces á tomar las armas , marchad segures del me lleno de placer en asegurar se debe la libertad de esta cap.te! , y triunfo, y que vuestros nombres se conservarán de generación en ge cuanto bueno se ha hecho en eíJs. neración…</t>
  </si>
  <si>
    <t>Abeledo, Pedro</t>
  </si>
  <si>
    <t>Pedro Abeledo</t>
  </si>
  <si>
    <t>Gaceta de Madrid n.º 97</t>
  </si>
  <si>
    <t>…erymoo nombrado de puntilla--- Tambi-n hago mención y son dignos cito de !a fe; pero no se dice quién ha tenido la empresa de este ves d: recom-iníacion ios ciudadanos d: Chantada D. Pedro Abeledo y tuario. D. Jostf Medula, qu: voluntariamente han seguido hasta ahora las fs- Han salido de París para el egérclto de España una porción de bar tivas de estas j jrn.das, y dado conocimiento det terreno. Dios guarde á cas que van en ochenta canus deí Franco C…</t>
  </si>
  <si>
    <t>Abellá, Pedio Félix</t>
  </si>
  <si>
    <t>Pedio Félix Abellá</t>
  </si>
  <si>
    <t>Gaceta de Madrid n.º 68</t>
  </si>
  <si>
    <t>…ar. .1 fin de que se tormén de D. Josef María Caldas y Mauri contra el vicario eclesiástico de Barcelo ellos hombres capaces de defender la patria, y cttulcr. a ias acciones ríena D. Pedio Félix Abellá, por haber inlvingido la pragmática de 1803 riosas de la truena de la indenendencia. sobre matrimonios, inserta en la Novísima recopilación, autorizando el Se declaro esta propos clon comprend. da en cl art. ico del reglamen matrimonio entre María Caldas, ali…</t>
  </si>
  <si>
    <t>Abellafuertes, Manuel</t>
  </si>
  <si>
    <t>Manuel Abellafuertes</t>
  </si>
  <si>
    <t>Gaceta de Madrid n.º 9</t>
  </si>
  <si>
    <t>…aminado Ja propuesta he Se procedió á la discusión del dictamen de la comisión de Hacien cha á las mismas por S. M. con motivo de varias reclamaciones del da sobre la solicitud de D. Manuel Abellafuertes para que se le pague Gobierno ingles, han decretado: por t■■¡osería lo que acredita por suministros de maderas hechos á la Art. i.° » El decreto de las Cottes de 27 de Enero de 1822 sobre marina de gu-irra en el Ferrol hasta el año de 1807. La comisión , en e…</t>
  </si>
  <si>
    <t>Abisbai</t>
  </si>
  <si>
    <t>Gaceta de Madrid n.º 33 (extraordinaria)</t>
  </si>
  <si>
    <t>…Estado y del Despacho de la en donde tenia la caballería por la naturaleza del terreno, creí conve Guerra.” nirme abandonar las dos posiciones que con tanto valor se habían de El general Abisbai acompaña al anterior parte relaciones detalladas fendido : no tardó el enemigo en ocupar Ja mas inexpugnable con 400 de los efectos tomados al enemigo. EN LA IMPRENTA NACIONAL.</t>
  </si>
  <si>
    <t>Abisinios, Los</t>
  </si>
  <si>
    <t>Los Abisinios</t>
  </si>
  <si>
    <t>Gaceta Española n.º 151</t>
  </si>
  <si>
    <t>…cusión. El Sr. A ilion propuso que se p e untase si pasaría al Go Negus o Hatzeb , reside en Gondar en ¡a provincia de Dembea. bierno, v tomando la palabra ei Sr. \d m , dijo: El gobernador Los Abisinios son un pueblo de pastores que hacen un co militar de tata p'aza, descoso de cumplir con la po&gt;.b!e energía y mercio de permuta con sus vecinos porque no tienen moneda. EL exactitud los penosos V delicados er argos que están puestos á su jesuíta Guerrero que v…</t>
  </si>
  <si>
    <t>Abisval</t>
  </si>
  <si>
    <t>Gaceta de Madrid n.º 163 (extraordinaria)</t>
  </si>
  <si>
    <t>…n en tan mal sentido, no hubo un alma ha hecho en la provincia: que es necesario al mismo tiempo que le avisase. desarmar á los milicianos nacionales, que son la fuerza sobre o El Sr. Abisval se ha lucido, y lo mismo el tuno de Monque se sostiene este ruinoso sistema ¿ y con sus armas principiar tijo ¡vayan dos condes! Esta ocurrencia nos ha atrasado mu á levantar nuevas tropas Realistas, y de este modo inspirar cho ; pues creo ha producido una de…</t>
  </si>
  <si>
    <t>Abren</t>
  </si>
  <si>
    <t>…efecto el art. 65 del se por regla general este dictamen , y quedó asi aprobado. • reglamento para la milicia nacional local, y 2 x de la ley de 2 7 Se aprobó una proposición del Sr. Abren pava que las Cor de Abril de 182 t , y en su consecuencia ser juzgados en consejo tes recordasen al Gobierno el despacho deL informe que se le ha de guerra ordinario por los oficiales de la misma milicia Jos reos bia pedido sobre el decreto de 26 de Abril últ…</t>
  </si>
  <si>
    <t>…das y facul particular mientras el dictamen estuviese pendiente , como ha tades de esta naturaleza , también una rigorosa justicia exige que bía sucedido en otra ocasión en que el Sr. Abren presentaba se restrinja su duración , mucho mas cuando no sabemos de posi voto particular sobre un dictamen de la comisión de diputaciones tivo si se reunirán las Cortes en extraordinarias, ó si no habrá se provinciales mandándose volver dictamen y voto á la…</t>
  </si>
  <si>
    <t>Abren, Jaime Ruiz</t>
  </si>
  <si>
    <t>Jaime Ruiz Abren</t>
  </si>
  <si>
    <t>Gaceta de Madrid n.º 45</t>
  </si>
  <si>
    <t>…el de D. Eus sef Pío de Molina el jurado , compuesto de los Sres. D. Manuel Ga taquio Babilonia, pues somos acreedores y dignos de toda merced por llego , D. Simón González Yuste, D. Jaime Ruiz Abren , D. Joa lo muy fieles que somos a la corona de nuestro amado Monarca. quín Manrique y Manrique, D. Juan Fernandez Casariego , D. Benito n Los vecinos de esta ciudad ofrecen todos unánimes perder la últi Ortega Romanillos, D. Manuel M-rino, D. Domingo Fernand…</t>
  </si>
  <si>
    <t>Abren, Márcos Nuñez</t>
  </si>
  <si>
    <t>Márcos Nuñez Abren</t>
  </si>
  <si>
    <t>Gaceta de Madrid n.º 35</t>
  </si>
  <si>
    <t>…iles y enseres necesarios para obras de fortificación, teniendo mucho de Castilla la nueva, por el presente edicto citan, llaman y empla que agradecer á su zelo y desempeño. zan á D. Márcos Nuñez Abren, gobernador político y militar qu* » Debo también manifestar á V. E. he visto con el mayor gusto á ha sido en la villa de Villanueva de loi Infantes, procesado en la causa todos los habitantes de esta capital conservar el mayor orden y tran pendiente en dicha…</t>
  </si>
  <si>
    <t>Abreu</t>
  </si>
  <si>
    <t>…al sobres! sentido de algunas de sus disposiciones, s- ccu-bA en 20 de objeto de la instrucción. Aprobado. Noviembre de 1815 un convenio, adjunto al tratado de París de la mis Del Sr. Abreu a! art. ÍL°: » Pido á las Cortes que después de las ma fecha, y en él se fijaron con mas individualidad las ol&gt;!izacion-s de palabras de comestibles de buena calidad se añada y su buen pesa y la Francia, se crearon comisiones mixtas, que debían ocuparse en el…</t>
  </si>
  <si>
    <t>Gaceta de Madrid n.º 47</t>
  </si>
  <si>
    <t>…to constitucional , M. N. V., sociedad pitriótict¿ ■ probado en el senado un bilí relativo al exterminio de los piratas, y y varios ciudadanos de Tarifa, presentada y leída por el Sr. Abreu. que solo faltaba la firma del presidente para darle fuerza de ley. Del batallón de milicia nacional activa de Valiadolid. En un periódico de Caracas de 14 de Octubre se publica un nuevo Del ayuntamiento de Simancas , provincia di Valiadolid. decreto, coa fec…</t>
  </si>
  <si>
    <t>Gaceta de Madrid n.º 67</t>
  </si>
  <si>
    <t>3</t>
  </si>
  <si>
    <t>…, vecino de Alcaudete, por el Sr. Gó cerlo se declarará vacante y procederá á Jo demás que haya lugar. mez (D. Manuel). ANUNCIOS. Del gefe político subalterno de Algeciras, por el Sr. Abreu. De la diputación provincial de Huesca y dependientes de su secretaría, Guia de forasteros y estado militar para el año de 1823. Se vende en por el Sr. Santufe. «1 Despacho de la imprenta Nacional, á 16 rs. en rústica, 20 en pasta y El Sr Infante: Sin embargo…</t>
  </si>
  <si>
    <t>Gaceta Española n.º 17</t>
  </si>
  <si>
    <t>- Se leyó y quedó aprobada una proposición, del Sr. Abreu, , qué responde-á esto la comisión': Una cosa, que exi mí concepto reducida á que se pida inmediatamente al Gobierno una noticia no es decir nada; dice la comis on : » Señor , es preciso distin de las disposiciones tomadas con arreglo ¿ la orden de 29 de guir…</t>
  </si>
  <si>
    <t>…término de un año para que pudan pasar ios individuos de que obtienen mi confianza y la de la Nación; y de aquí han la milicia legal á la voluntaria. Se aprobó una proposición del Sr. Abreu reducida á que se partido para decidirse i turbar la paz del continente, invadir el territorio español, y volver á llevar á sangre y fuego este des pida inmediatamente al Gobierno noticia de las disposiciones tomadas con arreglo á la orden de 29 de Junio últi…</t>
  </si>
  <si>
    <t>Abreü, Alárcos Nuñez</t>
  </si>
  <si>
    <t>Alárcos Nuñez Abreü</t>
  </si>
  <si>
    <t>Gaceta de Madrid n.º 983</t>
  </si>
  <si>
    <t>…ticos que habiendo si poniendo la plaza á mi disposición. Ahora que son las siete de do agentes de la facción impía, puedan con su ejemplo ó doc la mañana pasa á ella el Brigadier D. Alárcos Nuñez Abreü, trina sorprender y corromper á los incautos ó débiles á favor Gefe de mi Estado mayor, á disponer la salida de los naciona de las funciones de su estado. Tendráse entendido en el consejo, les voluntarios, que deberán dejar sus armas y caballos. La de y dispo…</t>
  </si>
  <si>
    <t>Abreu, Jaime Ruiz</t>
  </si>
  <si>
    <t>Jaime Ruiz Abreu</t>
  </si>
  <si>
    <t>Gaceta de Madrid n.º 90</t>
  </si>
  <si>
    <t>…grado. En su vista se reunió el jurado, compuesto de los Sres. siguientes: nes á fin de que contenga lo mismo que si se publicase en papel de D. Antonio Gamonal, D. Antonio Regas, D. Jaime Ruiz Abreu, mayor marca; y se darán ademas todos los suplementos que se crean D. Juan Isidoro Perez, D. Joaquín Manrique y Manrique, D. Josef necesarios para no privar al público de cuanto se considere interesante. Castel, D- Juan de Luque Solano , D. Carlos Martin del…</t>
  </si>
  <si>
    <t>Abríhi</t>
  </si>
  <si>
    <t>…os interesante echar El Sr. Alonso á-jo : Seguramente no es muy lisonjero el tomar la de una ojeada sobre los muchos reos que se hallan sien-nulos p»: causas ele fensa del vicario general Abríhi en este asunto, pe- cuanto sus oficios en conspiración en esta capital y en otros puntos. v que puestos en libertad JttVorMel sistema constitucional son demasiado notorios -. pero en el con par nuestros enemigos podrían aumentar ¡as mas fie estos: por lo que…</t>
  </si>
  <si>
    <t>Abril, Gonza</t>
  </si>
  <si>
    <t>Gonza Abril</t>
  </si>
  <si>
    <t>Gaceta de Madrid n.º 78</t>
  </si>
  <si>
    <t>…mrs., situado sobre las dezmerías y t-rcias del obispado en 2(s idem. Un destacamento del 4° escuadrón del tren , en 5 de de León y Astorga , y ambos corresponden al mayorazgo de D. Gonza Abril. Otro del 4.0 regimiento de artillería á caballo, en ¡den). Otro lo de Villafañe: otro en cabeza de D. Francisco herrano de Tap a , de ídem del 3.0 , Ídem, en ídem. Cinco compañías del regimiento de in 97,037 mrs., situado en millones de Tuledo : otro en cab-…</t>
  </si>
  <si>
    <t>Acaba, Tadeo</t>
  </si>
  <si>
    <t>Tadeo Acaba</t>
  </si>
  <si>
    <t>…ESPAÑA. había incorporado desde Caldes en la noche anterior, por haber mi movimiento sobre esta. Barcelona 28 de Diciembre. » En este ursino tiempo el comandante de la vanguardia D. Tadeo Acaba de llegar de Lérida el ciudadano Girloi , oficial de artille- Aldea me d.ó aviso de que los en.-migos en número de 2 í hombres lía , y comisionado por el comandante general del sexto distrito mili cargaban fuertemente sobre el Hunco derecho, donde había desta…</t>
  </si>
  <si>
    <t>Acabada</t>
  </si>
  <si>
    <t>Gaceta de Madrid n.º 53</t>
  </si>
  <si>
    <t>…ones, y un correo á la vista.Continúa el boletín de la Junta provisional de Gobierno de Es paña é Indias &amp;c. Zaragoza 24 de Mayo. El Excmo. Sr. D.- Felipe de Fleires, gobernador y capitán Acabada esta contestación, volviendo el mismo Señor la general del egército y reino de Aragón , presidente de su Real vista hacia el cabildo de curas párrocos, continuó asi 1» Yá vos, audiencia, y los Sres. regente, oidores y alcaldes del crimen de Señores, tengo el…</t>
  </si>
  <si>
    <t>Acebedo, Marciano de</t>
  </si>
  <si>
    <t>Marciano de Acebedo</t>
  </si>
  <si>
    <t>Gaceta Española n.º 61</t>
  </si>
  <si>
    <t>3°2 .1 _ desamados por S. M. para ocupar los ministerios. ramento que había prestado «en el niemoiable e a :. de f .* de esto, t Kl Sr. Marciano de Acebedo dijo , que había determinado bre,” y esperaba « que las Cortes estarían p: rsuadid" desde su mas tierna edad no admitir empleo alguno, porque co le prestarían todos los auxilios que neces.taba.” nocía la insuficiencia de sus conocimientos, y que as¡ se había…</t>
  </si>
  <si>
    <t>Acedo, Josef</t>
  </si>
  <si>
    <t>Josef Acedo</t>
  </si>
  <si>
    <t>Gaceta de Madrid n.º 52</t>
  </si>
  <si>
    <t>…. que siempre que hay buenos oficiales el egército lo ei este también .por De varios ciudadanos ds Huelva. que cuando es necesario los soldados se forman en poco tiempo. Que el De D. Josef Acedo, oficial de marina, residente en Cádiz. Gobierno había creído que haciendo constar cada regintentc de infan De la milicia nacional de caballería de ............. .. presentada por el tería de 800 plazas, cada batallón de cazadores ycads regimiento de ca balle…</t>
  </si>
  <si>
    <t>Achacd</t>
  </si>
  <si>
    <t>Gaceta de Madrid n.º 583</t>
  </si>
  <si>
    <t>…isboa fecha del .12), viniendo de Sanlúcar en g6 horas, mi columna de la izquierda el regimiento 18.“ á las órdenes trae 57 pasageroá de los cuales muchos pasan á Inglaterra. del .general Achacd , y trasladarlo el a&lt;j de Pierra á San Sadurni, coa el fin da que, si Milán» habiéndonos ganado dos mar(Times. ) .1 ... ._Según los periódicos de los Estados-Unidos, que helios reci chas se dirigiese contra las tropas del bloqueo de concierto con bido y alcan…</t>
  </si>
  <si>
    <t>Achard</t>
  </si>
  <si>
    <t>Gaceta de Madrid n.º 463</t>
  </si>
  <si>
    <t>….0 infantería de línea y el 5.° de cazadores de caballería,en venta; pero no se han presentado compradores. Han llegado también aquí tres marineros de dicho buque; mandados por el general Achard, se dirigieron sobre Martoreil. pero de un modo muy singular. He aquí lo que se ha contado El 3.0 infantería de línea, al aproximarse á Molins de Rey, sobre esto. Los tres marineros se apoderaron una noche de_un fue recibido por un vivo fuego de fusilería. Si…</t>
  </si>
  <si>
    <t>Achillé</t>
  </si>
  <si>
    <t>Gaceta Española n.º 122</t>
  </si>
  <si>
    <t>…ente lo sera por S. Luis, enviado extraordinario de S. M. Cristianísima cerea del muchos años) parece que ya no reconoce mas valor que la intri Gobierno de Méjico, y el segundo su secretario Achillé de La ga, y pone toda su confianza en la sedación y en la impostura. Motte, caballero de la orden de Malta, expensados con 20$) pe En sus parlamentos y en todas las comunicaciones pacíficas que sos anuales. Que las instrucciones dadas por el ministro de rela el der…</t>
  </si>
  <si>
    <t>Achúteaui, N.</t>
  </si>
  <si>
    <t>N. Achúteaui</t>
  </si>
  <si>
    <t>…de algunos maes— especialmente á la que con la debida autorización está levantando trantes , y otros qtie componen la ¡unta, en donde se recibían el comandante de la misma milicia D. N. Achúteaui. proclamas del duque de Angulema &amp;c. Los facciosos prisioneros que han sido vestidos y armados en »&gt; Entre los presos en Santiago se cuentan D. Sancho Barba esta presentan bastante buen aspecto, y hay buenos mozos entre Figueroa , Verea, el arcediano de la,Re…</t>
  </si>
  <si>
    <t>AcoSta, Joaquín de</t>
  </si>
  <si>
    <t>Joaquín de AcoSta</t>
  </si>
  <si>
    <t>Gaceta de Madrid n.º 1003</t>
  </si>
  <si>
    <t>…tas de sanidad que haga á los buques en aquel de la Torrecilla; y para el de igual clase en la corte de Sajonia puerto y demas adehalas anejas. Los pretendientes se dirigirán al á D. Joaquín de AcoSta, Gentilhombre de Cámara de S. M. ayuntamiento hasta 15 de Diciembre próximo. con entrada, Intendente de ejército, y Director interino del Cré Plano de la bahía y ciudad de Cádiz con todos sus puntos y dito público. Al Teniente general Barón de Eróles Capitán…</t>
  </si>
  <si>
    <t>Acosta, Vicenta Pinos de</t>
  </si>
  <si>
    <t>Vicenta Pinos de Acosta</t>
  </si>
  <si>
    <t>Gaceta de Madrid n.º 633</t>
  </si>
  <si>
    <t>…l pundonor de los infanteños, proponiéndose bién presentar tres realistas armados y uniformados ii su costa. sitiarlos con la amenaza de la quema de sus mieses; pero se en La Sra, Doña Vicenta Pinos de Acosta costear la bandera gaña, porque los surtimientos de sus corazones ni se anonadan del primer batallón. Las hijas del Sr. conde de Ibangrantíe cos de su arrojada barbaridad, ni son tan débiles que antepusiesen tear y bordar las banderolas de dicho batallón. D.…</t>
  </si>
  <si>
    <t>Acuabera, Sixto</t>
  </si>
  <si>
    <t>Sixto Acuabera</t>
  </si>
  <si>
    <t>Gaceta Española n.º 119</t>
  </si>
  <si>
    <t>436</t>
  </si>
  <si>
    <t>…ado deícreto. ........................................................................ P- Antonio Merlo............. D Francisco Martínez. Capitanes supernumerarios, recomendados} D. Sixto Acuabera. Segundos ayudantes., .Jpara ser propuestos de segundos comandantes,&gt; 12000 ix Juan Ncppmuceno Mancebo. I (•según el articulo 8.° del citado decreto.............. J 1&gt;. Antonio Torres..................... D. Bruno Antonio Gayoso. . . D. -Marcos Antonio Menczo…</t>
  </si>
  <si>
    <t>Acuña, Bartolomé Gutiérrez</t>
  </si>
  <si>
    <t>Bartolomé Gutiérrez Acuña</t>
  </si>
  <si>
    <t>Gaceta Española n.º 117</t>
  </si>
  <si>
    <t>…orden admirable, pasó la caballería francesa , lanzándose con arro,o sobre nuestro» y con el mismo repasó la barca. bravos granaderos, que los recibieron con serenidad y unión, El coronel D. Bartolomé Gutiérrez Acuña , comandante de haciéndoles un mortífero fuego que los contuvo ; y aunque no la pequeña coiumna que salió por Santi-Petri, manifiesta que á abandonaron su intento de desordenar estas compañías, repitien las cuatro y media de la mañana atravesó el rio con ella…</t>
  </si>
  <si>
    <t>Acuña, Gutiérrez</t>
  </si>
  <si>
    <t>Gutiérrez Acuña</t>
  </si>
  <si>
    <t>Gaceta de Madrid n.º 82</t>
  </si>
  <si>
    <t>…contra él Urdaneta y Montilla con La convsion de Casos de responsabilidad, informando sobre fuerzas considerables. Buerto-Cabillo seguía estrechamente blo la queja dada contra el Sr. Gutiérrez Acuña, gefe político de queado- Cádiz, era de opinión de que dicha Sr. gele pohtÁa se había Santiago de Chile 9 de Diciembre. El 19 del pasado i las comportado dignamente, y que no había lugar i la reclamación</t>
  </si>
  <si>
    <t>…rupas de sus caballos , ya i... del corriente la siguiente Real orden á la audiencia territo en fin ofreciéndose gustosos á cuanto juzgaban podían ser útiles. rial &amp;c. Concluye el coronel Gutiérrez Acuña manifestando el buen Al mismo tiempo que se sirvió el Rey mandar en 1 - de comportamiento del teniente de la milicia activa de Cádiz Don ■Julio próximo pasado se instalase desde luego en esta ciudad la Dieco Baeza , su ayudante, que como único en este servici…</t>
  </si>
  <si>
    <t>Acur-</t>
  </si>
  <si>
    <t>Gaceta de Madrid n.º 13</t>
  </si>
  <si>
    <t>…tulo de Reinas, como sucedía en Suecia y Ñipo.es. d sponlrndo se llamase al sapiente que correspondiese, a cuyo fin podía F.o s-guida pasó 41 orador á hablar de la proposición del Sr. Acur- comunicarse al Gobierno esta resoiucion. sio das Neves, y dijo que dicha proposicioa era un efecto de su igno Se leyó el voto particular del Sr. Romero, en qus dlssntia del dic rancia politicer y manifestó qce su autor no solamente no se habió da tamen de la…</t>
  </si>
  <si>
    <t>Acursio</t>
  </si>
  <si>
    <t>Gaceta de Madrid n.º 5</t>
  </si>
  <si>
    <t>20</t>
  </si>
  <si>
    <t>…yó diciendo que se abstenía de manifestar su opinión conveniente sobre este particular, opinaba » se suspenda por ahora la aobre la proposición subversiva y anticonstitucional dei Sr. Acursio observancia del código penal hasta que se publique el de procedimien da3 Neves, porque esperaba aun que su autor tratase de retirarla, lavan tos, y el Gobierno avise estar preparados los establecimientos de casti do de este modo (si fuese aun posible) la asqu…</t>
  </si>
  <si>
    <t>…andante de armas d: Vlanresa hs dirigido á los habi su augusto esposo; y concluyó diciendo que el principio da la proposi tantes de aquella ciudad la siguiente proclama : ción del Sr. Acursio das Neves era el mas servil que se podía dar, y Manresanos.- » El amor de Ja patr.ame ha hecho abandonar 1* tran que el .esto babia sido dictado por el mas exaltado republicanismo, quilidad doméstica que disfrutaba, y admitir cv mando de las armas de pues que…</t>
  </si>
  <si>
    <t>…: la» Cortes qu-daban esta corte D. Juan Gómez Díaz sobre lo mismo , v recavó «n ellasentéralas, y esperaban la mis pronta egecucion de las lvyr»: que en cumio á la indicación del Sr. Acursio das Neves se declarase en el ac i/.uai resolución que »ob.¡3 de ios indjviduos dar regirn-ento de Al cántara y de artillería residentes en esta corte.ta qu* era ind ens d* las Corc-s y &lt;ls la inc.on , y altamente desprecia lil Sr. presidente anunció que se pr…</t>
  </si>
  <si>
    <t>Adamé, Manuel</t>
  </si>
  <si>
    <t>Manuel Adamé</t>
  </si>
  <si>
    <t>Gaceta de Madrid n.º 563</t>
  </si>
  <si>
    <t>…o.ssCándido Antonio Romero.zrjosef Joaquín de volante de caballería de defensores del Rey, pertenecientes i la la Torre.rxGabriel Alonso de Lara, secretario.” referida división de D. Manuel Adamé, que copiado á la letra n Sermo. Sr.: El ayuntamiento Real de la villa de S. Mar dice asi: ... tin de Valdeiglesias, su cura párroco y beneficiado, t.enea el justicia de » En la noche del 15 me hallé con parte de la Peal, en e! que me manifestaba que so cabal…</t>
  </si>
  <si>
    <t>Adame, Manuel</t>
  </si>
  <si>
    <t>Manuel Adame</t>
  </si>
  <si>
    <t>Gaceta de Madrid n.º 963</t>
  </si>
  <si>
    <t>…ra recordar, no hallaba mas del ex—general Rafael del Riego. Hallándome de observación consuelo que recurrir ai Dios de las misericordias pari implorar en la sierra de orden de mi general D. Manuel Adame, supe su clemencia en favor de mi digna Familia y de mi pueblo, dul que 300 hombres de ambas armas de los rebeldes de Riego in ces objetos de. mis paternales desvelos. Necesitaba para esto de tensaban pasar la sierra para penetrar hasta-Girtagena , y toman lo…</t>
  </si>
  <si>
    <t>Adame, Pedro Josef de</t>
  </si>
  <si>
    <t>Pedro Josef de Adame</t>
  </si>
  <si>
    <t>…o de 'as posturas El remate se verificará en la A instancia de ciertos interesados en los bienes del concurso de sala de sesiones de la diputación «l día 15 dei mes de Marzo próxi D. Pedro Josef de Adame, y en virtud de providencia det Sr. Don mo ; y el que quisiere hacer postura remitirá con anticipación sus pro Juan Gcm-t y Díaz , iu:z de primera instancia en esta corte , su fe posiciones í la secretaría de la diputación , donde se le comunicarán cha 23 de!…</t>
  </si>
  <si>
    <t>Adan</t>
  </si>
  <si>
    <t>Gaceta de Madrid n.º 1</t>
  </si>
  <si>
    <t>…dictamen vuelva á la comisión para que en ¿1 haga las economías sus Art. a.° « Unos y otros optarán entre sí respectivamente por esca ceptibles. la hasta la plaza de primero.” El Sr. Adan: Hace tiempo qua se dessaha que la secretaría de las Después de una corta discusión no $; aprobó este artículo por 46 Cortes tuviese un reglamento particular pira ¿1 desempeño de las obli votos contra 37. gaciones respectivas de cada empleado. Muchos perjuici…</t>
  </si>
  <si>
    <t>Gaceta de Madrid n.º 6</t>
  </si>
  <si>
    <t>…siendo sito a»i , ¡como h-v .1 mer.ur coda si.- que que las Gules resuelvan lo que crean mas oportuno. á las Cortes extraord.nanas le» toque el tratar de este asunto i &gt;- ha di Kl Sr. Adan: Cuando se presentó á la deliberación de las Cortes cho que no pertenece 3 ellas; pero en pturbu de lo contrario recordare d-¡ año zi este códi. o se hicieron varias impugnaciones sobre la base ai Congreso que en las Curtes exttaouiuiai us ar.teri.ir. s e ata…</t>
  </si>
  <si>
    <t>Adán</t>
  </si>
  <si>
    <t>…r ; entendiéndose que en cum dose leidoel artículo 13 del decreto de 3 de Setiembre de ¡Seo, á pe pliendo 25 años de servicio podrá reurarsesin U requisito de justa cau tición del Sr. Adán, 5; aprobó el artículo en todas sus partís. sa determinada.” Se suspendió esta discusión. Ei Sr. Santafe: Cuando la comisión presentó á la deliberación de las Se mandó tener presente en la discusión una exposición de la ex Corles por primera vez este aitículo…</t>
  </si>
  <si>
    <t>Gaceta de Madrid n.º 12</t>
  </si>
  <si>
    <t>PDF p. 7</t>
  </si>
  <si>
    <t>…mucha arrogancia Quedó aprobada por unanimidad esta proposición, habiendo acor que las reprueba la razón pública de la Europa ¡lustrada I Esta.misma dado las Cortes á petición d:l Sr. Adan que se expresase que todo» lo* Europa ilustrada no podra m:noc de considerar con asombro "qtíe sois Sres. diputados habían pedido la palabra para apoyarla. los rusos los que nos envían este extraño mensage, y aun se admirará mas El Sr. presidente nombró pata…</t>
  </si>
  <si>
    <t>Gaceta de Madrid n.º 16</t>
  </si>
  <si>
    <t>…on mandativa», y por lo mismo es bien seguro que no sé con echado antes, y por lo mismo no debe aprobarse. siderarán estas compañías con la calidad de por ahora ó interinas, ni El Sr. Adan : Ha calificado el Sr. Valdés este proyecto como peor tampoco te dice que se creen según las necesidades de cada provincia. del que anteriormente^presentó la comisión , porque en aquel se fijaba El Sr. Melendez: Las palabras por ahora no hay duda que indican…</t>
  </si>
  <si>
    <t>Gaceta de Madrid n.º 17</t>
  </si>
  <si>
    <t>85</t>
  </si>
  <si>
    <t>…álo* Juan de Muguiro é Iribarren , espitan de la guardia.” artículos de la misma instrucción. Quedaron aprobados. El Sr. Ferrer (D. Joaquín): Señor, si alguna prueba le quedaba El Sr. Adan ocupó la tribuna, y leyó una exposición de los seño que dar-á la noble y á la valiente milicia nacional de Madrid de su res oficiales de las secretarías de F.stado y del Despacho de Hacienda y patriotismo, esta puede mirarse como adicional. Las Cortes no pued…</t>
  </si>
  <si>
    <t>…el dia El Sultán se ha visto precisado a firmar un hattisherif (decreto imperial), rio de su» ses-ones. en «I que este Sobara- - absoluto declara »ser su voluntad firme é irre- El Sr. Adan leyó otra de Io« individuos de la primera comnanii . » vocablo que en lo sucesivo se traten todos los asuntos del estado en del cuarto batallón de la milicia nacional loca! voiurmna de esta cor » presencia de un diputado de Jos genízarcr." En su consecuencia,…</t>
  </si>
  <si>
    <t>…sesiones del 9 y El Sr. Pedralvez : Para evitar toda equivocación en estos actos, qui 11 del corriente. siera que los números se inscribiesen en letra en las papeletas , y des El Sr. Adan leyó otra de igual mlurtleza, dirigida por los indivi pués se sacasen al margen en guarismo , y también que para que no 19 duos de la pagaduría é intervención de Hacienda. confundiesen los números entre si, como sucede con el 66 y 99 , se El Sr. Infante leyó…</t>
  </si>
  <si>
    <t>Gaceta de Madrid n.º 20</t>
  </si>
  <si>
    <t>…egecucion; por lo cual debía aprobarse el dictamen que se »• han decidido , y que s.bran sostener. discutía. •&gt; Por ia anterior exposición os convencereis de que los princip o* El Sr. Adan apoyóla ¡dea del Sr. preopinante, manifestando que que han servido de constante guia á los Monarcas en las grandes Cues hallándose ya designado quién era el tenedor de las hipotecas de la jun tiones de orden y da estabilidad , qu: han hecho Un importan!:» ios…</t>
  </si>
  <si>
    <t>Gaceta de Madrid n.º 22</t>
  </si>
  <si>
    <t>…. ñalan para pedir la responsabilidad al juez que hubiese fallado contra Art. 41. •» Las diputaciones provinciales cuidarán de que Jos ayurlas leyes. Apoyó lo expuesta ayer por el Sr. Adan, y concluyó di éam&gt;entos les remitan puntual y oportunamente e! extracto de la pobla ciendo que supuesto que los tribunales habían fallado en favor de la ción conforme á lo prevenido en los arts. 6." y 7.", y reunidos todos casa de Belguerie, debía pagársele…</t>
  </si>
  <si>
    <t>Gaceta de Madrid n.º 39</t>
  </si>
  <si>
    <t>…................... 16 30 óo b Vega, Del ayuntamiento de Criv-ra del Rio Aihama , provincúade Logro- Después de a’gunas ligeras obs-rvac'oncs hechas por el Sr. B n’to, l’ni por el Sr. Adan. á las que contestó el Sr. Infante, qu.dó aprobado el articulo , y lo* D I ayuntamiento constitucional y milicia nacional local de la vi- siguientes. D d; Laral , por el Sr. Va.dés D. Cayetano). Art. 6.° n Se procederá desde luego i la formación de este estad…</t>
  </si>
  <si>
    <t>Gaceta de Madrid n.º 43</t>
  </si>
  <si>
    <t>…Jto nacional , y ya hasta puesto, y prepondrá otros arblr:cs en su lugar. Pasemos ahora á las cierto pumo son inestables los males que liar» producido estas pro observac.or.cs d&lt;¡ Sr. Adan sobre los grandes atrasos de las contribucio puesta!. La comisión hasta cierto punto no ha tenido incunvei ote en nes en ei prim:r tercio de este aíío, acerca de lo cual debo oianifertar autorizar al Gob.erno para que pueda Cobrar en (rulos y efectos los qu:…</t>
  </si>
  <si>
    <t>Actividad económica o mercantil</t>
  </si>
  <si>
    <t>…ar cantidad"s á préstamo , hipotecando las han h:cno á los pueblos. contribuciones siguientes , no es lo mas fácil ni el medio mas expedi Acerca de la recaudación ha presentado el Sr. Adan algunos datos to, porque nos vamos á hallar en lo sucesivo con una gran d-tiuiltad; para probar el mal estado de ella, y seguramente que uo están con á saber, que tendremos que decretar contribuciones, no solo p.ra cu formes con los que ha presentado el Sr. s…</t>
  </si>
  <si>
    <t>…os abusos de Lbertad de im sa , ambiciosa y usurpadora del poder, y por perjuros á los que ia obe prenta. dezcan ; la segunda en otro manifiesto del 26, sin decir donde está da El Sr. Adan manifestó que las opiniones vertidas por el Sr. More do , pero suscrito por Eguí.i, Fleires, Milavila , Zavala , Grimarest, no Guerra contra el intendente Elizalde no podían mirarse como Var.-ro, Alsina y Peris , declara que la primera no fue ni puco ser la o…</t>
  </si>
  <si>
    <t>2</t>
  </si>
  <si>
    <t>…que le parezca fianza , cuanto que es sumamente dificil el acertar en la medida de q“J conveniente.” ■ ,, . se trata con el objeto que nos proponemos. En esta cuestión se mez . Ei Sr. Adan; ^Montar I* palabra en contra de este dictamen no clan la conveniencia pública y la justicia. La conveniencia pública, es mi án.mo impugnarlo en el foudo del objeto á que se dirige , pues primer móvil del legislador, le impele á que mire con benignidad 1 ao d…</t>
  </si>
  <si>
    <t>…dez , cura párroco de l’ate i la causa pública, disueltas las Cortes podria abusarse de ella por lenciana. ottos individuos que fuesen puestos en las sillas que ocupa el actual El Sr. Adan, como individuo de la comisión especial nombndi ministerio. Yo deseo pues que la Nación entera vea la precaución con para fijar la dotación dei clero , leyó el dictamen de la misma; y el que prccedeT.c-, y por lo mismo debe aprobarse la proposición. Sr. Oiive…</t>
  </si>
  <si>
    <t>…mento, y se admit o á forme á los principios de una monarquía moderada, y expusieron á S. M. discusión. por medio de los secretarios del Despacho sus sentamientos y sus deseos. El Sr. Adan: Desearía que el Sr. Surra suprimiese en su proposioon Estos son medios eficaces, y el Sr. prcopnantc convendrá conmigo que si la palabra st.tero;, y dijese todos aquellos milicianos nacionales voluntarios todavía su* temores llegasen á tener aigun fundamento…</t>
  </si>
  <si>
    <t>….......... En Sevilla. En quinta votac on salió electo el Sr. Flores Calderón , por 72 votos de 75 de total, habiendo tenido 3 el Sr. Marchámalo. Én sexta votación salió electo el Sr. Adan por 80 votos del total 84, El comandante general del octavo distrito (Valencia) da parte al Go habiendo tenido 4 el Sr. Marchámalo. bierno con fecha de a.° del corriente de haber sido batidos en Vcnicarló Se suspendió esta elecc'on para continuarla maraña, an…</t>
  </si>
  <si>
    <t>Gaceta de Madrid n.º 70</t>
  </si>
  <si>
    <t>…ada uno una pens.on, seguramente A petición del Sr. Romero se leyó la orden de 23 de Junio de til 2 2. que lo harían; pero esto no puede ser. Por las razones que ha expuesto eí El Sr. Adan: Es tan sagrada la obligación que van á contraer las Cor Sr. VaLdes, y por las que yo he dado , creo que el dictamen pu;de apro te» con los milicianos voluntarios que sigan al Gobierno, que deben cuidar barse, admitiéndose sin embargo las ad.c.ones á que pued…</t>
  </si>
  <si>
    <t>Gaceta de Madrid n.º 74</t>
  </si>
  <si>
    <t>…diga si este tanto ha de ser subre la utii.u, producto apruebe en su totalidad el proyecto que se discute. de la contribución de patentes, ó si se ha de cargar con esta contr.huEl Sr. Adan : A todas las clases del estado han procurado atender cion. Ademas si hay justicia para sobrecargar á la contribución de pa y han tratado de ellas las Cortes; y en efecto se han hecho en ellas tentes; ;por qué se han de libertar ds esta base los feudos , los…</t>
  </si>
  <si>
    <t>Gaceta de Madrid n.º 76</t>
  </si>
  <si>
    <t>…ue á las pri d-‘ Despacho de Gracia y Justicia es un papel s.mple, sin saberse a so maras naciones de Europa. licitud de qué persona se ha dado, qué leído á la letra dice asi: El .Sr. Adan manifestó que el ciudadano D. Vicente Bertrán d Lis Lr leyó en ef cío , y cuyo extracto es el síguteute: no había consentido últimamente en dar las aclaraciones que el Go Ei profrsor Aréjuia decia que contemplaba á S. M. todavía cen un bierno necesitaba sobre…</t>
  </si>
  <si>
    <t>Gaceta Española n.º 14</t>
  </si>
  <si>
    <t>…han negociado, ni tampoco »c ha llegado a verificar ia das con la marcha general de toda la Nación. venta de rentas. En ellas se hallan enlazados todos los recursos con que la El Sr. Adan contestó que las Cortes no hablan sabido de un Nación cuenta, y las cargas ó contribuciones que esta puede su modo oficial io que acababa de dec rsc, y que por lo misino in frir. Es pues ineficaz; y el Sr. Sánchez, como inteligente en el sista en ia lectura d…</t>
  </si>
  <si>
    <t>Gaceta Española n.º 15</t>
  </si>
  <si>
    <t>…erno lia procedido como debía , y que tiene qu- enviar los uno á que atenerse. documentos cuando dé cuenta á las Corles, según ie prtviene la StvtlLi 3^ de Abril. Constitución. El Sr. Adan : La cuestión de que se trata es bien clara : se CORTES. dice que el aviso que ha dado hoy el Gobierno sobre la declara ción de la guerra á la Francia es un acto oficioso; pero yo creo PRESIDENCIA DEL SEÑOR FLORES CALDERON. que ningún señor diputado desconoce…</t>
  </si>
  <si>
    <t>Gaceta Española n.º 16</t>
  </si>
  <si>
    <t>…ulo que los comandantes mili Leído este proyecto se declaró haber lugar á votar en su to tares serán inspectores de las guerrillas que obren en su territorio. talidad. Ha dicho el Sr. Adan que por este artículo se pone á los co Arfculo i.° Aprobado. (Véate lagareta de ayer.') mandantes de guerrilla en dependencia del inspeetor lo mismo Artcu'o 2.° que á los cuerpos militares: cuerpos militares no pueden dejar de El Sr. Murfi: Aunque estoy confo…</t>
  </si>
  <si>
    <t>Gaceta de Madrid n.º 72</t>
  </si>
  <si>
    <t>…y privado de los bienes , rentas y empleos, á iodo’ bierno los medios de hacer la guerra , se determinase asi. ¿¡litar qué residiendo en Francia permaneciese en dicha, nación. El'Sr. Adan dijo que la Constitución determinaba la época etl 15 dias después de la invasión, exceptuando el caso de impo-. que debían leerse las memorias , y que aunque circunstancias exsibilidad física; y que sé facultase al Gobierno para que admi tíaoidiuarías no hubi…</t>
  </si>
  <si>
    <t>Gaceta Española n.º 21</t>
  </si>
  <si>
    <t>…felicitándolas por su lle cretario interinamente hasta el nombramiento de la persona que gada á ella, presentada y leída por el Sr. Romero. lo ha de desempeñar en propiedad. ’ El Sr. Adán pidió y obtuvo la palabra para hacer presente á El Sr. Fcrrcr (D. Joaquín) hizo presente que haciendo pocos las Cortes que haciéndose mérito en la memoria que habia leido dias que se habia leido un oficio del Gobierno, en que se inserta el' Sr. secretario de…</t>
  </si>
  <si>
    <t>Gaceta Española n.º 26</t>
  </si>
  <si>
    <t>123</t>
  </si>
  <si>
    <t>…, á menos que se trate de queja contra este ú otros gefes de table perjuicio á las demas provincias del reino. igual clase, ó que por motivos graves ó circunstancias particula El Sr. Adan expuso la situación crítica en que se vio el res tengan á bien hacerlo directamente á las Cortes ó al Gobier ■ayuntamiento de Barcelona cuando concedió el perm'so para esta no , en cuyo caso lo manifestarán así. Apsobado. introducción, pues sobre estar amenaz…</t>
  </si>
  <si>
    <t>Gaceta Española n.º 28</t>
  </si>
  <si>
    <t>151</t>
  </si>
  <si>
    <t>…for cia de Aragón. ‘ me á la bula de S. S. Habiéndose hecho la pregunta de si se pasaría aviso al suplen q.a Por med'da ó tipo de la posibilidad de cada contribuyen te se opuso el Sr. Adan , manifestando que no debia procederse á te se señala ia cantidad que pagaba el día i.° de rite presante mes este llamamiento sin que el Gobierno avísase la muerte del ex por el arriendo de la casa de su domicilio, en el pucho de su ve cindad. A los que habit…</t>
  </si>
  <si>
    <t>…sidente do adoptar medidas que sin suspender aquella ley evitasen las fu anuncio que continuaba la discusión del proyecto sobre el arreglo nestas consecuencias que se suponían. El Sr. Adan dijo que mirada la cuestión bajo los principioseconómico—poí tico de las provincias de Ultramar. La com.sion presentó reformados varios artículos que se man de rigurosa justicia el artículo era inadmisible: pero que mirada daron volver á ella con arreglo á la…</t>
  </si>
  <si>
    <t>…sta ia a.tuucion en veo por otra parte que los españoles no pueden pagar los alquile que se halla la patria. res de las casas donde viven , y con todo se les obliga á pasar una El Sr. Adan: El Sr. diputado que me ha precedido en ¡a pa contribución , de la que ni aun. su quinta parte podrán hacer efec labra ha creído hallarse en una pos cion d..»Vci-.taiov:; p:ra apocar tiva. Por todas estas razones me opongo al proyecto , el cual no que se decr…</t>
  </si>
  <si>
    <t>Fallecimiento, herencia o memoria</t>
  </si>
  <si>
    <t>Gaceta de Madrid n.º 112</t>
  </si>
  <si>
    <t>…s que se hallen en actual Exiracto.de la sesión del $0 de Abril. servicio, y que lo esten en lo sucesivo, se les lea dentro de 24 Leída y aprobada el acta de ¡a anterior, 'dijo el Sr. Adan que horas la ley de deserciones á presencia de algún individuo de la haciéndose mérito en la memoria que había leído el Sr. Secre diputación provincial; y que la del Sr. González Alonso , que tario de Hacienda de Ja lista del repartimiento de contribucio trat…</t>
  </si>
  <si>
    <t>Gaceta Española n.º 32</t>
  </si>
  <si>
    <t>…articulo por considerarlo enteramen personas capaces de adquirirlo y la propiedad de manos muertas te inútil. se observarán las reglas siguientes: i.a Si los poseedores fuesen El Sr. Adan dijo que no podia menos de aprobar este pro parientes del testador ó&gt; doninte dentro del cuarto grado , ó per yecto , para que nunca se dijere que las Cortes habian dejado de sonas nombradas o conocidas por el mismo s:n otra sustitución, aprovechar un arbitri…</t>
  </si>
  <si>
    <t>Gaceta de Madrid n.º 132</t>
  </si>
  <si>
    <t>…dinero, frutos, efectos y medi los atrasos no son de este año; vienen de una época mucho mas das extraordinarias. atrasada, y no es posible recaudarlos fácilmente, porque la im El Sr. Adan: Voy á impugnar este proyecto, no porque</t>
  </si>
  <si>
    <t>Gaceta Española n.º 36</t>
  </si>
  <si>
    <t>172</t>
  </si>
  <si>
    <t>…i el se riosamente reclaman. ñor Falcó hubiese examinado el expediente tendría una opinión Se puso á discusión el art. i.° spbre este asunto diferente de la que ha manifestado. El Sr. Adan: La comisión dice que no habiendo cumplido El Sr. Canga; El Sr. Falco ha manifestado que se trata de la casa de Bernales el contrato que tenia hecho se autoriza al favorecer á unos acreedpres con perjuicio de otros; pero aunque Gobierno para anular las inscri…</t>
  </si>
  <si>
    <t>Gaceta Española n.º 39</t>
  </si>
  <si>
    <t>…mandó agregar al acta el voto del Sr. Buey, contrario á sidades urgen, y es preciso hacer la guerra al enemigo. la «probación de los artículos 4,y 5 del, dictamen que acaba de El Sr. Adan: El tiempo corre, las necesidades urgen &amp;c. ha discutirse. dicho el Sr. Canga, y por lo mismo que el tiempo corre y las Se procedió á la discusión .del dictamen de la comisión de necesidades urgen no debe aprobarse el proyecto , porque pidien Hacienda sobre l…</t>
  </si>
  <si>
    <t>Gaceta Española n.º 40</t>
  </si>
  <si>
    <t>…rrillas, opinaba que el primer artículo de los Se mandó pasar á la comisión primera de Hacienda una pro propuestos debe aprobarse: el segundo no lo cree necesario por posición del Sr. Adan para que dicha comisión proponga med’os tener el general en gefe facultades para hacer lo que en él se pro que faciliten la recaudación del servicio extraordinario de 160 pone ; y que deben aprobarse las asignaciones señaladas en el artí millones. culo 3.0 pa…</t>
  </si>
  <si>
    <t>…des mayores suprimidos por el sistema consti la resolución oportuna. (Véose e' ext ¡cío Je la lesión &lt;¡e .¿1 sr.) tucional, están comprendidos respectivamente en los ai t culos El Sr. Adan expuso que la importancia de este negocio exi 188, 253 y z~6 del código penal, y sujeta a las penas que ea gía que su resolución fifeid con todos aquellos ditos necesarios ellos se establecen. para juzgar con acierto, porque el asunto llevaba en pos de Se ley…</t>
  </si>
  <si>
    <t>Gaceta Española n.º 42</t>
  </si>
  <si>
    <t>…nhabilitados para obtener destinos se impone en este articulo es proporcionado ai delito-de leo ;;.c públicos. viduo, d- que se trata. El art. f&gt;." que s: bu ap.o;.aeto '-,a ha El Sr. Adan : Estoy conforme en que ¡os individuos de di bía mas que de Jos ir.d.viduos da Ja- clpai-ic ■ ,ne-, pioy.i’C.ai.s a-je putaciones provinciales que cobardemente abandonen su puesto abandonen sus puestos, y no comprende a ¡o&gt; ircC.v.ci.os ele ayun incurran en l…</t>
  </si>
  <si>
    <t>Gaceta Española n.º 46</t>
  </si>
  <si>
    <t>…sueldo de 403 rea entienda sin perjuicio de las providencias adoptadas 6 que adopta les hasta tanto que se coloque en el servicio nacional. re el Gobierno. Habiendo manifestado d. Sr. Adan. que era práctica en el El Sr. Galiano : Las Cortes no han olvidado el unánime mo Congreso cuando quedaba algún dictamen de comisión sin discu vimiento con que en la sesión de antes dé ayer se levantaron io tirse de una legislatura á otra volverlo á pasar á l…</t>
  </si>
  <si>
    <t>Gaceta Española n.º 63</t>
  </si>
  <si>
    <t>…a nueva autorización que se pide: Ciertamente porque creo que no me es permitido expresarlas en las circuns que sí. tancias actuales, me opongo al dictamen de la comisión. Dice el Sr. Adan qué la comisión no tiene opinión propia; El Sr. secretario del Despacho de la Guerra: Es necesario ha pero Ja comisión dice que en atención á lo que expresa el Gobier cerse cargo cíe la posición delicada en que-está el Gobierno y la no, que es el que está ent…</t>
  </si>
  <si>
    <t>Gaceta Española n.º 79</t>
  </si>
  <si>
    <t>…s manifestó que no bahía hablado to á la secunda que vuelva á la comisión para dar di? la inopoi ttmidad con la estencion «pie había «mdespués tu dictamen.—.A probado. teridido el Sr. Adan; que habia abnlido á la arlmiLa cnniiíinn de Guerra en vista de la esposrexm nutracion, y que si se crearse autorizado para sus «le 1). Ensebio López Polo, oficial «le Ja secrcíai ía de tituir una preposición preferiría se dijese desde aho tundes ■[»ara que l…</t>
  </si>
  <si>
    <t>Gaceta Española n.º 82</t>
  </si>
  <si>
    <t>…spaña es una buena prueba de la popularidad que va ga chas , pues que ahora solo p«Bia que se abriese ia puerta. nando la justa causa de la España, y la conducta de las señoras El Sr. Adán preguntó si la propiedad era una de las garan de Londres producirá los mejores efectos en ¡as provincias-----L« tías de que habla este provécto. facción ultra, que preve los efectos que esto puede producir, no El Sr. Arguelles contestó que en su opinión la co…</t>
  </si>
  <si>
    <t>Gaceta Española n.º 87</t>
  </si>
  <si>
    <t>…arla parU-el ejercicio de ciertas fun ■propuestos en los artículos de este mismo decreto qvte las Cíales ciones en el intermedio de una á otra legislatura. acaban de aprobar. . E! Sr. Adan dijo que este articulo fijaba la suspensión de los La Constitución previene que no pueda ser allanada ia casi artículos de la Constitución que luego se expresaban , á solo los dis de ningún español, sino por el modo y trámites que las leyes seña tritos declar…</t>
  </si>
  <si>
    <t>…ina mercante en ei comercio con los extran Se declaro el punto suficientemente d'scutido . y para votar jero» por la baratura con que I1.1,-en sus viagcs por el líete y por dqo el Sr. Adan: Quisiera saber de! Sr. secretar o de Hacienda otras muchas causas. Que ai nvsino tiempo podrían arrumarse de si es cierto y le consta al Gobierno la orden del ministerio de ma resultas de estas disposiciones ios capitales de los comerciantes es rina de Franc…</t>
  </si>
  <si>
    <t>…absolutos nada se teme tanto como la que fue el proyecto en su totalidad, se suspendió su discusión á verdad, porque si pudiera decirse abiertamente se vendría al ¡ro petición del Sr. Adan. tante abajo el edificio fundado sobre los frágiles cimientos de una Se procedió á la discusión del reglamento para la dirección fuerza facticia, y asi no solo se proscribe allí la libertad de ¡a de estudios. imprenta, sinp la de la palabra, aunque no se le d…</t>
  </si>
  <si>
    <t>Gaceta Española n.º 100</t>
  </si>
  <si>
    <t>…0 Esta disposición durará mientras lo estimen el Gobierno de instrucción pública sobre enseñanza privada. y las Cortes. Se mandaron quedar sobré la mesa varios dictámenes de co El Sr. Adan manifestó que no desconocia la jusíícia que misión. asistía á los secularizados para que se les satisficiesen sus pensio Se aprobaron dos dictámenes de la comisión segunda de Ha nes , pero que se oponía al dictamen porque hacia una regla d» cienda , reducidos…</t>
  </si>
  <si>
    <t>Gaceta Española n.º 102</t>
  </si>
  <si>
    <t>…o. Declarado el punto suficientemente discutido, quedó apro El Sr. Becerra. Yo deseaba se suspendiese de la discusión de bado el dictamen. este negocio , como habia manifestado el Sr. Adan; pero al va A la comisión de Guara se mandó pasar lina exposición que la comisión estaba poco dispuesta á hacerlo asi pedí la pala del comandante de una pait.du de guerrilla, pdluido que las bra en contra aunque con disgusto, pues siento mucho entrar en Corte…</t>
  </si>
  <si>
    <t>Gaceta Española n.º 103</t>
  </si>
  <si>
    <t>…UETA. tancias en que nos hallábamos no podía sobrecargarse á la Teso Extracto de la sesión del dia 2/ de Julio. rería nacional. Se leyó y quedó aprobada el acta de la anterior. El Sr. Adan dijo que aunque veía en la comisión los senti A la comisión primera de Hacienda se mando pasar con ur mientos mas puros y filantrópicos en favor de los religiosos se gencia un oficio del Sr. secretario de Hacienda , acompañando co cularizados, yreconocia pura…</t>
  </si>
  <si>
    <t>…ciones; por todo nombramiento de la Diputación permanente de Córtes, pido que lo cual debia aprobarse el proyecto. 3a comisión de Legislación proponga el modo de dar cumplimien El Sr. Adan dijo que lejos de haber probado e! Sr. preopi to á los artículos 157 y 158 de la Constitución , teniendo presente nante la conformidad de este proyecto con ¡o dispuesto en la ley la resolución tomada en la sesión de 21 de Junio de la anterior de 25 de Enero d…</t>
  </si>
  <si>
    <t>Gaceta Española n.º 104</t>
  </si>
  <si>
    <t>…tercero día el total importe á precio de tari En la discusión que se suscitó acerca del referido artículo fa de Jo que dejen de entregar, apremiándoles á ello con areclo í dijo el Sr. Adan, que ►&gt; por mucho que se esforzasen Jos seño las leyes res de la comisión en manifestar lo justo del dictamen &amp;c.,” y De orden de S. A. S. Jo comunico á V. para su mas exacto en dicho extracto se puso equivocadamente lo injusto. cumplimiento en la parte que l…</t>
  </si>
  <si>
    <t>Gaceta Española n.º 106</t>
  </si>
  <si>
    <t>…de este general; y asi gunos españoles la ¡dea funesta de que las Córtes obraron anti opino que debe aprobarse. constitucionalmente en aquel, paso, y esta falsa idea pm.de oca El Sr. Adan: Por la misma ¡razón que ha expuesto el Sr. preopi sionar actos de desobediencia a! Gobierno lefc timo , como el que nante de haber ofendido al Congreso aquel general en la procla acabamos de saber del general Morillo. Que las expresiones son ma , por la mism…</t>
  </si>
  <si>
    <t>Gaceta Española n.º 111</t>
  </si>
  <si>
    <t>404</t>
  </si>
  <si>
    <t>…robar el que se ¡taya in han impedido la circulación de la propiedad? troducido en estas circunstancias. ' Se ha dicho igualmente que se trataba de una ley constitu A petición del Sr. Adan seleyó el'decreto de i.° de Enero . cional-, pero yo creo que solo lo es la base, pues el determinar de 1812. , . quién ha de calificar la propiedad, en qué ha de consistir es El Sr. Salva propuso una modificación á la proposición. ta &amp;c. para poder ser elegi…</t>
  </si>
  <si>
    <t>Gaceta Española n.º 112</t>
  </si>
  <si>
    <t>…n de la minoría de la comisión que el de por un medio mas sencillo. La comisión propone que si un pue la mayoría. blo de un partido corresponde á otra diferente provincia de lá El Sr. Adan, después de haber dado mayor exten»ion á las que corresponde la capital, formen sus electores parte en la junta observaciones hechas por el Sr. secretario de la Guerra , dijo que de la provincia donde esté situada la capital, por ejemplo , Aran- la cuestión d…</t>
  </si>
  <si>
    <t>Gaceta Española n.º 116</t>
  </si>
  <si>
    <t>…ecomendarle al Gobierno á hn de que este 1c confiriese una pecto de los que obtuviesen la cruz de S. Fernando. plaza de las vacantes en la secretaría del Consejo de Estaño, sin El Sr. Adan manifestó que desearía se propusiese para esta» perjuicio de no dejar las armas de la mano Ínterin duren las ac recompensas una hipoteca aun mas segura, pues parte de ella es tuales circunstancias, manifestaba que habiendo tomado varios in taba reducida á que…</t>
  </si>
  <si>
    <t>433</t>
  </si>
  <si>
    <t>…por lo cual creía debía aprobarse nentes de la Nación , las diferentes causas de agitación y desaso el dictamen. siego, la importancia de las medidas que el Congreso debe medi El Sr. Adán dijo que por mas precauciones que se tomasen tar y resolver , y los peligros personales de sus individuos, ex con respe», t o á esta materia podría propinarse la peste, sendo puestos á la proscripción y total ruina que les ocasionaría el tras muy palpihhs los…</t>
  </si>
  <si>
    <t>Gaceta Española n.º 152</t>
  </si>
  <si>
    <t>…rsos, y confiesa con toda franqueza que no los halla; por sitiada. eso ocurre á las Cortes , para que estas con sus luces superiores, y El Sr. Galiano, conviniendo con la idea del Sr. Adan , ma quizá con mas felicidad, adopten las medidas que estimen eficaces nifestó que la comisión no desconociendo el princip o me había, y convenientes. Bien conoce el Gobierno que por sus atribucio sentado, antes teniéndolo muy presente al extender su dictamen…</t>
  </si>
  <si>
    <t>Gaceta Española n.º 154</t>
  </si>
  <si>
    <t>…cadería, á disposición del comisario de artillería y mayor de la que la tengo por muy útil en clase de auxiliar. brigada de ingenieros. Pasada dicha hora los que no se hubieren El Sr. Adan ; El Sr. Benito ignora la historia de esta ¡unta, ocupado podrán emplearse en su trabajo , en inteligencia de que y por eso ha usado del argumento de que no meces ta estar am en el momento que se necesiten algunos en lo restante del día pliamente autorizada p…</t>
  </si>
  <si>
    <t>Gaceta de Madrid n.º 833</t>
  </si>
  <si>
    <t>…Manuela Fernandez discusión. El Sr. Aillon propuso que se preguntase si pasaría al MemhrÜ'ar , natural y vecina que fue de dicho lugar, para qu: Gobierno, y tomando la palabra el Sr. Adan dijo: Et Gober en el término de 30 dias, contados desde la publicación de este nador militar de esta plaza descoso de cumplir con la posible anuncio, comparezcan en dicho juzgado y escribanía de Josef energía y exactitud los penosos y delicados encargos que e…</t>
  </si>
  <si>
    <t>Gaceta de Madrid n.º 853</t>
  </si>
  <si>
    <t>…la auxilien con un préstamo de responsable de cualquiera plaza sitiada* 14 á ij9 duros, á fin de que la humanidad doliente no llegue 4 El Sr* Galiahó, conviniendo con (a idea del Sr. Adan , ma sufrir los males que soe consiguientes si carece del preciso diario nifestó que la comisión no desconociendo el principio que había en su alimento y medicamentos. Se admitirán proposiciones en sentado, antes teniéndolo muy presente al extender su dicta p…</t>
  </si>
  <si>
    <t>Adan, Juan</t>
  </si>
  <si>
    <t>Juan Adan</t>
  </si>
  <si>
    <t>Gaceta de Madrid n.º 105</t>
  </si>
  <si>
    <t>…la Constitución, Todo de bajo relieve, y construido por el profesor que la religión católica seria la única en la Monarquía; porque nues D.Jum Prats, discípulo del famoso ecsiltor D. Juan Adan. tros representantes han hecho posteriormente leyes sabias y justas para Desde ia plaza de la Constitución se dirigió la milicia al paseo, protegerla y estir.par los abusos que habían introducido los malos ecle- donde se le sírvtó una comida militar; «n U que…</t>
  </si>
  <si>
    <t>Adar</t>
  </si>
  <si>
    <t>…la proposi secretario del Despacho de la Guerra un índice numerado de los oficios, ción de que ce trata. exposiciones y demas expedientes que en el mes anterior le hayan dirigi El Sr. Adar,: Aplaudo el zelo de los señores autores de la proposi do , con un pequeño extracto del contenido de cada uno , y al propio ción , pero creo que es un negocio que debe quedar fiado al Gobierno. tiempo y con igual fecha otro de las reales órdenes que hubieren…</t>
  </si>
  <si>
    <t>Adarr</t>
  </si>
  <si>
    <t>…stá acreditan A la comisión segunda Je Hacienda se mandó pasar una do con .consecuencias que saca de Ja memoria. exposición de Doña Josefa 1 Enojosa, viuda , para que se le con El Sr. Adarr dijo positivamente que las Cortes no tienen da tinúe el pagci de la pensión de g¿) rs. que le fue concedida. tos ni antecedentes para poder resolver con seguridad sobre la ma La couvsiou de d.putJcioncs piovmciales, en vista de Ja so teria ; y yo añadiré ahor…</t>
  </si>
  <si>
    <t>Aden</t>
  </si>
  <si>
    <t>…¡os «latos oficiales presentados por el Sr. secretario de Ha-tas resn'tar: , como suele decirse , que todo quedará entre jugadores y ci-nrfa , ni ias part culares que ha citado .1 Sr. Aden ; pero :: ha obpeloteros: por estas razones , y porque encuentro que el Gobierno tie servado que sucesivamente se ha ido mejorando el sistema de r-cauda-ne que cobre- inmersos atrasos, me opongo al dicum n que se pr &gt;enta; y pues que si Gobierno no le faltan…</t>
  </si>
  <si>
    <t>Adinero</t>
  </si>
  <si>
    <t>…mi atención , este es mi deber , y él me ha hecho Se declaró ei punto suficientemente discutido, y á propuesta elegir vuestra provincia, contando con la lealtad y patriotismo del Sr. Adinero convino la comisión en añadir ai final del artí de sus habitantes. Corred , corred presurosos al grito de la patria, culo las siguientes palabras «desde que reciban el reparto.” venid á mi lado á tomar las armas , y veréis bien pronto desapa Quedo aprobado de…</t>
  </si>
  <si>
    <t>Aehard</t>
  </si>
  <si>
    <t>Gaceta de Madrid n.º 783</t>
  </si>
  <si>
    <t>…dq ipeho que que todas las columnas pudiesen.hallarse á un mismo tiempo so- habia ya. EL resto 4* 5ste regimiento, quedó, de reserva. bte los puntos que sé les habien señalado. El general Aehard dispuso que el x.° batallón del regimien¡ La brigada Tromelin se dirigió sobre el Mont-Oiivo. Dos ¡o t.° de línea ocupase el-iugar.de Riera, y cubrió, con el 18.0 compañías del 8.? de ;h'oea con la división realista española al de línea el espacio que hay .eq…</t>
  </si>
  <si>
    <t>Afgünírs, Agustín</t>
  </si>
  <si>
    <t>Agustín Afgünírs</t>
  </si>
  <si>
    <t>Gaceta de Madrid n.º 79</t>
  </si>
  <si>
    <t>…i.uios muy larqcj , y sin nueva , por la da Va encía ; D. '.ntonics R-m ¡r¿ ór-i-ano , por mencionar otra» explicaciones que los act.iupat.aban. En sus r ipurstas la d: Córdoba,)- D. Agustín Afgünírs, por la d- A-;úiias. 3.- El i Mr. Brougham no la disimulado el ministro ingles que las esp.tan hr. D. Alvaro Gom z h cerra , d.putado por ia orovme.a ee ¡ xtremazas de conservar la paz se habían disminuido materialmente; peto qua dura , egtre-rr la, fuuc.on.-…</t>
  </si>
  <si>
    <t>Afon</t>
  </si>
  <si>
    <t>…diputados. ja aprobar' cite «lieíámcn : si ia comisión en Jugar de La comisión de Legislación habiendo examinado haberse determinado di1 un modo muy plausible , en la adición del Sr. Afon/.o al dictamen sobre amor jiiociirav esta instrucción que rio tiene otro objeto tización de bienes de capellanías de sangre, opinaba «pie el modo de administrarhubiese propuesto un que lío debia ser admitida. Aprobado. medio pnrrr aplicar los bienes á los par…</t>
  </si>
  <si>
    <t>Afonro</t>
  </si>
  <si>
    <t>…Oi nvmifostindo haber tlisfrijfido- la pehssjn de cerradas.-- -.-! i rsftliariós fofiieVopolfeil que retmnció rii; favor, de! Eirado ; :*i:Mt:imp«gnacion al poso que contestará al Sr. Afonro, oreo - |i-r no nicísltailo; pcio que habkndómuefioun hrrunuo ¡que i dheurso. labra' podido iiacvr alguna impresión en las Cortes t«or la mintértrt se halla en él. calo dé volver i relimarla, la cotui- suponerle enterado dd modo con que se manejan ios rnteres…</t>
  </si>
  <si>
    <t>Afonzo</t>
  </si>
  <si>
    <t>Gaceta de Madrid n.º 15</t>
  </si>
  <si>
    <t>…Las cortes las oyeron con agrado, y papel de crédito contra esta empresa todas las existencias que haya mandaron se insertasen íntegras en el diario de sus sesiones. de ella. ■ El Sr. Afonzo continuó y concluyó la lectura dei plan sobre arre Art. 9.” » La comisión llamará á sí todos los fondos y pertenencias glo del clero. existentes, de cualquiera especie que haya realizados , ó sé‘realicen en El Sr. Alvarez Gutiérrez ocupó la tribuna, y leyó su…</t>
  </si>
  <si>
    <t>…sub muchas veces suele pedirse por cualquier motivo mas de lo nece sistan estos para el socorro de los labradores. sario; y el labrador al cabo de poco tiempo se halla agoviado Ei Sr. Afonzo: La comisión nada tiene ya que añadir á lo con una deuda exorbitante que contrajo casi sin necesidad. que se ha expuesto, y bastaria leer las exposiciones de las dota Otro de los grandes males 'que ocasionan los pósitos es que ciones provinciales de Cuenca, B…</t>
  </si>
  <si>
    <t>…sin subsistencia, serviciosIdé¡este interesado de.la-manera que juzgue conveniente. se falta á lo prevenido en clart. ía de la Coratituc on. -Aproíwdo;-'; ^-. . : '-i.: .- ' . El Sr. Afonzo .niamfestó que aunque pertenecía al estaco b:L&amp; misma comisión,;-en vista.de la exposición de D. Mariano eclesiástico no.por eso dejaría de-contribuir con su voto a que se' , Nájaray.hermanos, del comcrcio, para que selle devuelvan (S35 1 aprobase-iestñí decr…</t>
  </si>
  <si>
    <t>…ce-presidente y un secretario. tado. En primer escrutinio para la elección de presidente obtuvo Voto particular del Sr. Castejon. 17 \ otos el Sr. Qaliano, 37 el Sr. Zulueta, 7 el Sr. Afonzo,_ 7 Con mucho sentimiento mió no puedo conformarme con el el Sr. Alonso, 4 el Sr. Escobedo, 2 el Sr. Munarriz, otros 1 dictamen de la comisión en la suspensión que propone del articu el Sr. Somoza, y uno cada uno de los Sres. lsturiz , Cuadra, To lo 306 déla…</t>
  </si>
  <si>
    <t>Aforra</t>
  </si>
  <si>
    <t>Gaceta Española n.º 59</t>
  </si>
  <si>
    <t>…ia forma propuesta por ía eo— n.stros , medida que pasa á Amostrar no s-.r ar.t constitucional. aj.s.on. El orador p.-or.unc o a este fin un largo discurso , comh -t.-.iuio la El Sr. Aforra se opuso en esta parte al aitícuio en cuestión, idea del Sr. Moura de- que el mensaee era anarqn.co adema» ce sosteniendo enérgicamente que ia comisión no piopone medidas antipoi.tico , pue-s en e! no se iba a c&gt;bii¿ar j1 Rey a qu- ío ba tac ices: defendió qu…</t>
  </si>
  <si>
    <t>Africa</t>
  </si>
  <si>
    <t>Gaceta de Madrid n.º 1313</t>
  </si>
  <si>
    <t>…eral de Milicias al Teniente general Conde de S. Ro balleros de Malta contuvo por espacio de 10 a,.os a ios piratas del mán : Inspector general de caballería al .Mariscal de Campo Don Africa, con menos gastos que se emplearon en ja expedición gi Diego Ballesteros; y Gobernador de Sanlúcar de Barrameda al gantesca y casi inútil del lord Lxmouth contra .-argel. No hay Brigadier D. Pedro de Sotomayor. marino, cuya carrera haya comenzado antes de la…</t>
  </si>
  <si>
    <t>Agmlar, Juan Martin</t>
  </si>
  <si>
    <t>Juan Martin Agmlar</t>
  </si>
  <si>
    <t>…mo pasado. Nombres, Empleos en Guardas. Idem attualeSi Sueldo anual rs. va. Capitán, coronel. . . Coronel, primer comandante. 24000 D. Manuel Alaria Lergeant. . D. Manuel Loustau. D. Juan Martin Agmlar. D. Josef xMaria Mena. D. Pedro Magarola. Tenientes coroneles, primeros comandantesD. Josef Ramón Solís. ^ Primeros tenientes. . supernumerarios. ...................................................IX Pedro Morell. 16000D. Josef Maria Rcat. D. Josef Bueréns. .…</t>
  </si>
  <si>
    <t>Agosto, Antonio Lópezde</t>
  </si>
  <si>
    <t>Antonio Lópezde Agosto</t>
  </si>
  <si>
    <t>…uado en alcabalas de Zamora , en cabeza de id.: otro de 1328,difer-ncia,” y concluye.- ; Conforme á justicia que pido. Coruña 19 situados en alcabalas de Valladolid , en cabeza de D. Antonio Lópezde Agosto de 1822 se : eunieroi* los nueve jueces de hecho que salie de Isasi. Si alguno supiere la existencia de todos ó alguno de ellos,ron senterdos O. Sebastian de la Cuesta , D. Ramón Ibafiez , D. Bese servirá avisarlo en la casa y calle del Sacramento, rúna. 3 ,…</t>
  </si>
  <si>
    <t>Aguado, Antonio</t>
  </si>
  <si>
    <t>Antonio Aguado</t>
  </si>
  <si>
    <t>Gaceta Española n.º 163</t>
  </si>
  <si>
    <t>…ones de Excmo. Sr.=rjcseí Canterac.~Excmo. Sr. D, Josef de Ja Serna, la Union , y las primeras mitades de uno y otro , mandados por v¡rey y capitán general dei Perú. los capitanes D. Antonio Aguado y D. Justo Vázquez, tomaron NOTICIAS de: LA PENINSULA. la artillería enemiga , añadiendo nuevos triunfos á los que siem pre siguen nuestra caballería: los escuadrones i.° y 2.° de la San Fernando i j de Setiembre. Union, g.a de la Guardia, Cazadores y Arequipa, al mando Aquí es…</t>
  </si>
  <si>
    <t>Aguado, Pedro</t>
  </si>
  <si>
    <t>Pedro Aguado</t>
  </si>
  <si>
    <t>Gaceta Española n.º 54</t>
  </si>
  <si>
    <t>…obernador , Santos San Miguel. Real orden lo digo á V. E. y VV. SS. para su conocimien ARTICULO DE OFICIO. efectos correspondientes. Real alcazar de Sevilla 26 de Muyo El ¿bronfcl D. Pedro Aguado, primer ayudante general de de 1823. == Yandiola.e=Sre». directores generales de ja Hacien E- M. del 8.° distrito, comandante de Ja columna que opera en da pública. EN LA IMPRENTA NACIONAL.</t>
  </si>
  <si>
    <t>Agudez, Antonio</t>
  </si>
  <si>
    <t>Antonio Agudez</t>
  </si>
  <si>
    <t>…ciones de los subdito* deS. M. pro 547, importante 142,676 rs. y 16 mrs. vn. líquidos, endosado á fa cedentes de las lanas secuestradas en Burgos, y trasladadas á Bayona en vor de D. Antonio Agudez , quien suplica á la persona que tuviere no virtud de los decreto» de Napoleón de 13 y 19 de Noviembre de 1808, ticia de su existencia se sirva avisárselo en su habitación calle de Fu-ny las demas que hubiesen sufrido igual suerte en otras partes por con carr…</t>
  </si>
  <si>
    <t>Ague-, Juan</t>
  </si>
  <si>
    <t>Juan Ague-</t>
  </si>
  <si>
    <t>…se batieron con las de la retaguar la autoridad política para entregar en esta. dia de los facciosos portugueses, haciettdoies un muerto y va Coroneles: D. Antonio Fernandez Rana, D. Juan Ague- rios prisioneros. La dirección de aquellos malvados parece ser ria D. Pedro Peón. Capitanes: D. Juan Moa Arguelles, Don hacia Patencia ó Búrgos; pero dudo que logren pasar sin encon Francisco Heredia. Teniente D. Marcos Gutiérrez. Subtenien trarse con las tro…</t>
  </si>
  <si>
    <t>Aguel, Manuel Mena de</t>
  </si>
  <si>
    <t>Manuel Mena de Aguel</t>
  </si>
  <si>
    <t>Gaceta de Madrid n.º 106</t>
  </si>
  <si>
    <t>…. » Inmediatamente dispuse que ico infantes del batallón de Cuenca, con el número suficiente de oficiales, y 35 caballos de Alcántara y Ca500 1.611,000. latr.sva , mandados por el teniente D. Manuel Mena de Aguel y el 2 Aproximaciones de 3000 n. para lo* subteniente del segundo D. Luis Fons, estuviesen prontos para mar char á las órdenes del segundo comsndante D. Santiago Otero, 5 ex dos números anterior y posterior al pre mio de 500,000 rs............................…</t>
  </si>
  <si>
    <t>Aguí, Joaquín Josef de</t>
  </si>
  <si>
    <t>Joaquín Josef de Aguí</t>
  </si>
  <si>
    <t>…alas gar á la formación de causa. de Granada en cabeza de D. Francisco y Doña Mariana MontoTRIBUKAXES. ya—Otro en cabeza de D. Pedro López de Arieta de i9 duca Por providencia del Sr. D. Joaquín Josef de Aguí lar, juez dos de principal sobre los unos por 100 de Salamanca , que por primero de primera instancia en la ciudad de Cádiz, en ios autos no tener cabimiento se mudó al mismo derecho de Plasencia._que se siguen en su juzgado, y por la escribanía pública del c…</t>
  </si>
  <si>
    <t>Aguiar, Pinenta</t>
  </si>
  <si>
    <t>Pinenta Aguiar</t>
  </si>
  <si>
    <t>…. 80 facciosos que hasta aquel punto conducirán ias tropas de Lugo, en Concluye la sesión de Cortes del 19. donde quedan para ser juzgados Abuin, cura de Magadan, cuatro capita El Sr. Pinenta Aguiar, hablando en generji de la doctrina dd preám nes , un subteniente y 47 soldados. Es excusado decir el gusto con que 03 bulo, hizo una descripción geográfica de España para demostrar cuál era el el momento se reunieron oficiales y milicianos, y emprendieron mi…</t>
  </si>
  <si>
    <t>Aguilar</t>
  </si>
  <si>
    <t>Gaceta Española n.º 3</t>
  </si>
  <si>
    <t>…te* Los sugetos autorizados por -S. A. á entrar en España para voces.” fomentar (espionar ) el espíritu público en favor del Rey cauti NOTICIAS DE ESPAÑA. vo y de la religión son: Sr. Aguilar (antiguo empleado en rentas en la Havana). Coruña 30 de Marzo. Mr.Tatour, por el prefecto de policía de Paris. Las facciones de Buson y de otros se disolvieron , y los cabe Sr. Martínez ( antiguo oficial de Guadatajara, procedente del cillas que no se acogier…</t>
  </si>
  <si>
    <t>Aguilar, Francisco Josef de Toro Torre y</t>
  </si>
  <si>
    <t>Francisco Josef de Toro Torre y Aguilar</t>
  </si>
  <si>
    <t>…excitación alguna se han temas ordinarias de ¡muera Chaleco Icón que acostumbran á sa hecho los donativos siguientes: ludar su degi adante mote. Ye creía que la categórica y única D. Francisco Josef de Toro Torre y Aguilar, abogado de respuesta que ofrecía su primer oficio inserto en la gaceta de los Reales consejos, ademas ele haberse alistado y costearse el Gobierno de 2.1 de Junio, lo habría desengañado para no in uniforme y armamento, ha entregado 1500 rs,, ofreciendo tam t…</t>
  </si>
  <si>
    <t>Aguilar, Joaquín Josef de</t>
  </si>
  <si>
    <t>Joaquín Josef de Aguilar</t>
  </si>
  <si>
    <t>…acarrearía indudablemente ma de carnabal el gefe político &amp;c.; declararon por unanimidad d¡les irreparables. ch® artículo como sedicioso en segundo grado; y en su conse cuencia el Sr. D. Joaquín Josef de Aguilar, juez primero de ARTICULO DE OFICIO. primera instancia de esta ciudad , pronunció la sentencia siguiente: Habiéndose observado en este juicio todos los trámites prescritos El Rey ha expedido los decretos siguientes: por la ley, y calificado los jueces de hech…</t>
  </si>
  <si>
    <t>Aguilar, Josef Márquez</t>
  </si>
  <si>
    <t>Josef Márquez Aguilar</t>
  </si>
  <si>
    <t>Gaceta de Madrid n.º 40</t>
  </si>
  <si>
    <t>…. »Se le autoriza igualmente para que pueda disponer se alcalde primero constitucional no sustituya al juez de primera instan gún convenga de los cuerpos de la milicia activa. cia D. Josef Márquez Aguilar en su ausencia del juzgado de aquella Art. 12. » Queda también autorizado el Gobierno para la intro ciudad, opinaba qua no debia hacerse variación alguna en lo acordado ducción de armas y municiones, pertrecbos y cualesquiera efectos de por regla general , po…</t>
  </si>
  <si>
    <t>Aguilar, Rafael</t>
  </si>
  <si>
    <t>Rafael Aguilar</t>
  </si>
  <si>
    <t>…............... 7200 I). Tomas Vclda.............................. D- Eduardo Sentmanat. D. Juan Chinchilla. D. Antonio González Estéfani. Alféreces tenigntes. . . Tenientes. 6840 D. Rafael Aguilar. D- Joaquín de la Torre.................... D. Josef Justiniani............................ D- Antonio Anguiano Ramos. D. Félix Valdés. D. L uis Zaforteza. D. Francisco de Paula Borei. D. Francisco Brú de Salas. D. Federico Roncali. Cadetes...................…</t>
  </si>
  <si>
    <t>Aguilera, Antonio</t>
  </si>
  <si>
    <t>Antonio Aguilera</t>
  </si>
  <si>
    <t>…isco Piferrer y en la de pacho de la Gobernación de la Península. la viuda é hijos de Brusi; en Valencia en la de D. Ildefonso MomMinisterio de la Guerra. pié; en Granada en la de D. Antonio Aguilera; en Sevilla en ¡a de Excmo. Sr.nsPor el oficio de V. E. de 5 del actual, y copias que se D. Agustín Berard ; en Cádiz en la de D. Diego Zaragoza; en Bidaacompañan, ha visto S. M. con la mayor satisfacción el generoso rasgo joz en la de D. Juan Patrón, y en Pa…</t>
  </si>
  <si>
    <t>Aguilera, Gaspar</t>
  </si>
  <si>
    <t>Gaspar Aguilera</t>
  </si>
  <si>
    <t>Gaceta de Madrid n.º 44</t>
  </si>
  <si>
    <t>…citarle si Marcos Antonio de Mcnero, D. Gonzalo de Cárdenas, D. Juan Ma emplazarle se continuará y substanciará por su ausencia y rebeldía con nuel Aréjula, D. Juan Antonio López, D. Gaspar Aguilera, D. Luis los estrados. de Mata y Araujo, D. Joaquín ds Vega y Quintana y D. Juan Isidro Por el presente se cita á los que se crean acreedores á la testamen Perez. taría de D. Tomas Sánchez de Madrid, marques que fue de Casa-MaÁ-id , el que falleció en Cádiz e…</t>
  </si>
  <si>
    <t>…tención á las circunstancias Queraltó, D. Matías Piniila, D. Zoilo Gómez Casero, D. Juan Anto en que se halla la provincia de S. Sebastian, la cual confina con Francia, nio López, D. Gaspar Aguilera, D. Bernardo Aser,jo, D. Nicolás He se observe lo que en otras guerras se ha observado , relativo á la forma redero Mayoral: habida la conferencia, se declaró por unanimidad haber lu ción de batallones de miñones, para lo cual se autorice á su diputación gar…</t>
  </si>
  <si>
    <t>Aguilera, Sinforiatio</t>
  </si>
  <si>
    <t>Sinforiatio Aguilera</t>
  </si>
  <si>
    <t>Gaceta de Madrid n.º 77</t>
  </si>
  <si>
    <t>…duda ia declaración de una A la comisión de Legislación se mandaron pasar dos representa guerra que no está hecha todavía, lista diferencia es tanto mas extraordi ciones , una de D. Sinforiatio Aguilera, y otra de D. Mariano Castaños, naria , cuanto entre los individuos de la Cámara electiva se distingue un pidiendo se les habilite para poder obtener destinos. considerable número de ilustres diputados que pertenecen al comerc;o y á A la de Guerre se mandó pa…</t>
  </si>
  <si>
    <t>Aguiren, Pedro Antonio de</t>
  </si>
  <si>
    <t>Pedro Antonio de Aguiren</t>
  </si>
  <si>
    <t>Gaceta de Madrid n.º 103</t>
  </si>
  <si>
    <t>…ertos, Antonio de Fuentes, D. Pedro Antonio Carrera, D. Antonio Cana8; cabaih-s, todas las lanzas, fusiles, tercerolas y sables que quedaron dril, D. Rafael María de Gataicochea , D. Pedro Antonio de Aguiren mi pedir; podiendo asegurar á Ü. que ;sia facción quedo entera» re , D. Juan Josef del Cubillo y D. Francisco de Puga , por unanimi mente destruid* , pues apenas futirán poded» salvarse en dispersión de dad declaró haber lugür á la joem.uiúti d; causa. 1 ¡ ú…</t>
  </si>
  <si>
    <t>Aguirre, González</t>
  </si>
  <si>
    <t>González Aguirre</t>
  </si>
  <si>
    <t>…votos, habiendo tenido En su vista se reunió el jurado , compuesto de los Sres. siguientes: dos el Sr. Cano. D. Juan Antonio López, D. Vicente Segurado, D. Zoilo Gómez En 17.0 el Sr. González Aguirre por 79 votos, habiendo tenido uno Casero , D. Juan Paz , D. Antonio Diaz del Moral, D. Francisco Cocada uno de los Sres. Valdés, Bustos y Cano. Jombo, D. Juan Manuel de Aréjula, D. Casimiro Martin, D. Joaquín En la r8d votación quedó electo el Sr. Romero por…</t>
  </si>
  <si>
    <t>…que debe presen iidente y secutarlos, resultando nombrado para el primer cargo tar la contestación al discurso de S. M á los Sres. Saavcdra, Sr. Gómez Becerra, pira el segundo'el Sr. González Aguirre, Jener , Ruiz de la Vega , Cuadra y Tomas.</t>
  </si>
  <si>
    <t>Aguirre, Jelix de</t>
  </si>
  <si>
    <t>Jelix de Aguirre</t>
  </si>
  <si>
    <t>Gaceta Española n.º 143</t>
  </si>
  <si>
    <t>…o rs. de vn. civiles y en ¡as criminales de injurias. Sres. que han compuesto el jurado: D. Leonardo Miguel Art. i(5. Todas las condenas de las especies antedichas se in Camerino, D. Jelix de Aguirre, Dr. D. Francisco Fernandez sertarán en la gaceta de la corte, y también se anunciará en la del Castillo, D. Juan González, D. Juan Laserna Salcedo, misma cuando una obra ha de recogerse , con arreglo á las leyes D. Segismundo Moret, D. Pedro Antonio de Aguir…</t>
  </si>
  <si>
    <t>Aguirre, Joaquin de</t>
  </si>
  <si>
    <t>Joaquin de Aguirre</t>
  </si>
  <si>
    <t>…la secunda división de 18?. 3. de este ejército D. Demetrio O-Daly, al coronel D. Ramón Mar Se leyó dicho decreto, y en su vista se resolvió que dicho ofi tínez y Gutiérrez, y al comandante D. Joaquin de Aguirre. Se cio pasase á una comisión ele Visita que se nombraría al efecto. reconocerá por auxiliar del estado mayor de este ejército al sub Se mandé» agregar al acta el voto del Sr. Quiñones, contrario teniente D. Julián Pastor , y el de esta clase D. Manuel Perez…</t>
  </si>
  <si>
    <t>Aguirre, Pedro Antonio de</t>
  </si>
  <si>
    <t>Pedro Antonio de Aguirre</t>
  </si>
  <si>
    <t>…a corte, y también se anunciará en la del Castillo, D. Juan González, D. Juan Laserna Salcedo, misma cuando una obra ha de recogerse , con arreglo á las leyes D. Segismundo Moret, D. Pedro Antonio de Aguirre, Don sobre libertad de imprenta. En este caso el Gobierno podrá ocu Juan francisco Bidot, D. Agustín de Goicoechea, D. Luis de par y archivar ó quemar todos los ejemplares que pertenezcan al Gargollo, D. Lázaro ElejaJde y D. Juan Bautista A Iva reda. dueño de…</t>
  </si>
  <si>
    <t>Aguirre, Pedro'Antonio de</t>
  </si>
  <si>
    <t>Pedro'Antonio de Aguirre</t>
  </si>
  <si>
    <t>…ales no son tan imperfectas como creiamos. Gracias á los Sres. que compusieron el jurado: 1&gt;. Miguel García Ortiz, esfuerzos de algunos hombres piadosos que recorren el Africa con D. Pedro'Antonio de Aguirre, D. Josef María Miranda, Don la biblia en la rnano : los cafres empiezan por su parte á formar Félix de Aguirre , D. J osef de Resusta , D. Francisco Antonio mejor concepto de los europeos, y van conociendo que no todos de tarraza, D. Tomas López Calderón , D…</t>
  </si>
  <si>
    <t>Aguitar</t>
  </si>
  <si>
    <t>…es siendo la misma voz, sonas respetables, procurando sorprenderlas y extraer dinero, fingien con las mudanzas ó alteraciones de letras que sufren las palabras al in do carias del Sr. Aguitar, encargado de Negocios de España en la cor troducirse en un idioma hasta que las fija el uso de ios sabios, ó cor te de Lisboa; se hace público este fraude , á fin de que los encubierto* rupciones de la viciosa pronunciación y ortografía que ¡lega á hacerse l…</t>
  </si>
  <si>
    <t>Agulrre, Antonio Gonzfcz</t>
  </si>
  <si>
    <t>Antonio Gonzfcz Agulrre</t>
  </si>
  <si>
    <t>…rona, manifestó que los troz's c.la- I&gt;. Francisco de Paula Soria , diputado por ! ■. ,'::r.r,;i| v.- G-medi; dos se íian presentado por el ministro ¡.anees b jo un asp ero que no D. Antonio Gonzfcz Agulrre , por la d&lt;* Sevió ; IX Lor.nzo Vi latienen, porque Jos ha extractado d; varios arti.uios muy larqcj , y sin nueva , por la da Va encía ; D. '.ntonics R-m ¡r¿ ór-i-ano , por mencionar otra» explicaciones que los act.iupat.aban. En sus r ipurstas la d: Córdoba…</t>
  </si>
  <si>
    <t>Agustín</t>
  </si>
  <si>
    <t>Gaceta de Madrid n.º 18</t>
  </si>
  <si>
    <t>…y gracioso. El tener ya cinco hijos sirviendo i la patria. Constitucional al insertar la circular arriba mencionada' no duda en A la comisión de Hecienda se pasó una solicitud de D. Agustín afirmar que » la España, fiel a sí misma, hará respetar sus derechos res María Fajardo y Fajardo con el informe del Gobierno, relativo á que petando Jos de los demas, desplegando aquel valor heroico , aquella .te le conceda introducir en buques extrangeros po…</t>
  </si>
  <si>
    <t>…omisión, quedando elegido ei Sr. Latorre por 60 votos de 9r. la universidad central han formado un batallón , cuyo mando han da La comisión de Hacienda &gt; en vista una solicitud de D. Agustín do al Sr. diputado de Cortes D. Facundo Infante. Los señores oficiales Guajardo y Fajardo para que se le permita introducir en bandera es- de las secretarías del Despacho han formado también una partida , asi trangera en el puerto de Santander una partida de…</t>
  </si>
  <si>
    <t>…de Maye. sancionado por S. M. con arreglo á la Constitución. Se leyó di cha ley ; y en seguida dijo el Sr. presidente: w Publicado como Gefe de día el coronel de la milicia activa D. Agustín de ley en Cortes, archívese, y dése aviso al Gobierno para que se Ov :edo----Servicio á palacio la Reina y AI. N. L. de Madrid, proceda inmediatamente á su promulgación solemne.” á ¡as órdenes del comandante interino de ia Reina D. Francisco Se dió cuenta de…</t>
  </si>
  <si>
    <t>Agustín, Juan</t>
  </si>
  <si>
    <t>Juan Agustín</t>
  </si>
  <si>
    <t>Gaceta de Madrid n.º 48</t>
  </si>
  <si>
    <t>…e Menczo, D. Cayetano Romero , Don Rcmon Zarco del Valle , á quien S. M. ha tenido á bien nombrar in- cárd-ws Trai'eSed° * D' LorCnzo Galv0 de Kozas V D' Gonzalo da __Ll ciudadano D. Juan Agustín de figuren , miliciano local volttn- _ “a.bldl Ia conferencia, resulto haber lugar a lafonnaam ae causa ta:.o de caballería de esta cotte , guiado de su patriotismo, y deseoso de p ... 0 v° oa &gt; hab.endo d.sentido el Sr. D. Antonio Puigb.anch. empuñar las arm…</t>
  </si>
  <si>
    <t>Agustín, Pedro</t>
  </si>
  <si>
    <t>Pedro Agustín</t>
  </si>
  <si>
    <t>…eza como si hubiese bebido algún licor espirituoso; nada me dolía, y solo experimentaba una grande presión ai rededor ds la cabeza , como tados D. Baltasar Casqueiro y el teniente general D. Pedro Agustín si tuviera un círculo de hierro fuertemente apretado á ella. Me costaba Echavarri : cotéjeos* las penas que han sufrido con los cargos que res aigun trabajo comprender ¡o que me decian los trabajadores, y ¡L-gó á pectivamente les resultan, y se deducirá clara…</t>
  </si>
  <si>
    <t>Gaceta de Madrid n.º 1253</t>
  </si>
  <si>
    <t>…Valencia , y en la de Cirios m al muy reverendo Arzobis con la denominación de. Marques de Ja Fidelidad, al Teniente po de Tarragona, y i los reverendos Obispos de Tarazona ,.Qri- general D. Pedro Agustín dej Échavarri; y. promover á Tenientes huela, de Pamplona , de Urgel, de Ceuta, de Málaga Y de Soóona. generales á los Mariscales de Campo D. Pedro Grimarest, Don Tendreislo entendido, y dispondréis lo necesario á xu cumpii- Gregorio Laguna y D-Vicente de Que…</t>
  </si>
  <si>
    <t>Agustino, Pedro</t>
  </si>
  <si>
    <t>Pedro Agustino</t>
  </si>
  <si>
    <t>…peraciones del 7° distóte—Plana mayor. le compañía de Caniarasa por la izquierda , y el comandante de-1* Estado que manifiesta lo» muerto» , herid.» y contusos que tuvo la .Corona D. Pedro Agustino con las cuatro compañías de su cuerpo por quinta división en la acción del dia 27 de Diciembre de 1822. la derecha, mientras que Tarragona ocupando á Vallista, aseguraba Estado mayor: un oficial mueito. nuestfa retaguardia , y destacaba, dc-s compañías con el…</t>
  </si>
  <si>
    <t>AhguRedentor, Duque de</t>
  </si>
  <si>
    <t>Duque de AhguRedentor</t>
  </si>
  <si>
    <t>Gaceta de Madrid n.º 753</t>
  </si>
  <si>
    <t>…su* vidas y. __Se cuenta la anécdota siguiente con respecto al Príncipe .de sus días por consolar á los hombre*, y las dieron por nuestro Carignan, que ejerce cerca de S. A. R. *1 Sr. Duque de AhguRedentor , y desde,.el cielo no hacen mas que pedir para apla Itma las funciones de edecán, y que ha sido citado con tanto car la ira d- Dios? ¡O ceguedad de los mortales! En fin dedí- honor en el boletín 31.® del ejército ds los Pirineos. En el mo cite á su- mejor cr…</t>
  </si>
  <si>
    <t>Ai</t>
  </si>
  <si>
    <t>…e para la suerte de ias cluiremos con ia siguiente proclama del Rev L&gt;. Juan rr. tierras baldías conforme á los decretos de* las Cortes sobre esta »Portugueses: Mi hijo el Infante D. Ai niel huv.&gt; de mi materia; y que igualmente teman derecho las familias de lo» que Real palacio, y se unió al regimiento 11.0 ;•». Ya lo he abando mueien en campana á las peTS.oms y demas auxilio» que les cor nado como padre , y sabré casticario como Rev. respo…</t>
  </si>
  <si>
    <t>Gaceta Española n.º 108</t>
  </si>
  <si>
    <t>…das, fundadas sobre hechos demasiado notorios y conocidos, pués de su muerte gozará su familia de 8¿) pesos, bajo las reglas no solo creemos que no puede ser admitida laopiniondel Sr. Ai establecidas para las pensiones del monte pió militar. rear , sino también que, para resolverlo asi , no es necesario ni 6 o t&gt;. Agustin de Itúrbide tendrá el tratamiento de exce Conveniente oir eljul'ornv» del Gobierno, que no-puede-añadir lencia .</t>
  </si>
  <si>
    <t>Ai-</t>
  </si>
  <si>
    <t>Gaceta Española n.º 81</t>
  </si>
  <si>
    <t>…ontenia los motivos de cido un asilo v salvaguardia generosa á todos los extranjeros, y á Ja adopción de la ley. pesar de haberse puesto á cubierto con otras med das el honor y El Sr. Ai-¡5&lt;.\h1!cs mitiifvcrri que no tenia inconveniente por su seguridad de las potencias extranjeras, á pesar de todo esto re parte en que se suprimiese aquel preámbulo del artículo. pito se ve rodeado de «lentigos , y el pago que se nos lia dado Se votó por partes…</t>
  </si>
  <si>
    <t>Aíazarraza, Josef de</t>
  </si>
  <si>
    <t>Josef de Aíazarraza</t>
  </si>
  <si>
    <t>Gaceta de Madrid n.º 1013</t>
  </si>
  <si>
    <t>…iquen esta convención , y recíprocamente. de la provincia de Extremadura y Gobernador de la plaza de Art. ti. Luego que el Gobierno de biie'nos-Aires sea auto Badajoz al Brigadier D. Josef de Aíazarraza y de los Cobos. rizado por la sala de Representantes de su Estado para rarificar Lista de los Grandes Cruces de la Real orden militar de S. Fer esta convención, negociará con los gob.ernos de Chile., c¿] Pe nando que S. M. ha concedido á los Generales frances…</t>
  </si>
  <si>
    <t>Aibear</t>
  </si>
  <si>
    <t>Gaceta de Madrid n.º 28</t>
  </si>
  <si>
    <t>…á las cuatro y cuarto. ordenanzas de la armada de J792 en la parte suprimida después de las palabras mercantes nacionales.” Primer distrito militar. Madrid. Se leyó á petición de! Sr. Aibear el informe dado sobre este asunto — Madrid sigue presentando un espictáen'o admirable Es imposible, í por la junta del almirantazgo, y el oficio del comandante general de Ja no verlo, formarse una ídéá exacta déla profunda tranquilidad que Havana, en el que s…</t>
  </si>
  <si>
    <t>Gaceta de Madrid n.º 49</t>
  </si>
  <si>
    <t>…seguro de que la resolución sobre él Del ge fe político de bautander y empleados de su secretaria, por el puede influir mucho en las actuales circunstancias , y asi repito que pa Sr. Aibear. ra proceder 1 ella necesitamos otros datos y noticias, de que actuz'menDe la diputación provincial de S. Sebastian y empleados en la adua te carecemos. D ce el an. l.° del dictamen que si después de cerrarsí na de Pasages, por el Sr. Ferrer (D. Joaquín). las…</t>
  </si>
  <si>
    <t>…enen concederse al hijo de que se trataba la viudedad de su madre cuan en el código penal. Aprobado. do esta falleciere. A propuesta de los Sres, Gómez ( D. Manuel) y Cortés re El Sr. Aibear en nombre de la comisión admitió esta idea. dactó la comisión el art. 5.0 en estos términos: «En la misma El Sr. Surra expuso que todo era poco para premiar servicios pena y prevención incurrirán los eclesiásticos seculares y regula y personas corno las de qu…</t>
  </si>
  <si>
    <t>Gaceta de Madrid n.º 863</t>
  </si>
  <si>
    <t>…ontar 480 de Vitoria y S- Sebastian, diputados en las provincias para la legislatura del año 1824, se .déles el nombre que guste, y se reducirá i solo esto la cuestión; atrevió el diputado Aibear á pedir que se, decíalas: fciber llega peto.tampoco puede negar que de las tres provincias vasconga do el caso del art. 92 de la constitución; que se fijase la renta das, á cuyos habitantes se les da comunmente el nombre de que debían tener los diputados en i…</t>
  </si>
  <si>
    <t>Aibíir</t>
  </si>
  <si>
    <t>Gaceta de Madrid n.º 37</t>
  </si>
  <si>
    <t>…cto. . partido de Santander, presentada y leída por el Sr. Velíseo. Con respecto á ia novedad qus comprende el voto acerca de que De la diputación provincial de Santander , por el Sr. Aibíir. ti rom-no pontífice se valga de un obispo español para los uego]&amp;e varias ciudadanas de S. Sebastian. eios contenciosos, dijo ayer bastante el Sr. Falcó. Pero yo añado otra XV.l regimiento de caballería de Barbón. reflexión, ¡ qué importe que se valga e! pon…</t>
  </si>
  <si>
    <t>Aibon</t>
  </si>
  <si>
    <t>Gaceta de Madrid n.º 4</t>
  </si>
  <si>
    <t>…ález Alonso deshizo una equivocación s¡ua dijo habí» parte i los húsares, y el resto a ios diferentes regimientos de inunte- padecido el Sr. preop nante. ría ligera y de línea. El Sr. Aibon pidió que se leyese el dictamen. Por otra orden del 4 de D ciem’ore s; manda la reorgcniracion di El Sr. Calderón: trata de qué autoridad ba de decidir sobre las ocho escuadronas de; tren de artillería d; lin a, dando por motivo competencias que se susciten e…</t>
  </si>
  <si>
    <t>Aibrar</t>
  </si>
  <si>
    <t>Gaceta Española n.º 69</t>
  </si>
  <si>
    <t>…el' Sumpcr contra ciertos individuos &lt;ie la Audien que solo un Señor diputado iuj hu nprobadu esta cia de Valencia. proposición. Se leyó y bailó con Forme con lo aprobado la mi El Sr. Aibrar : Yo fie aprobado la proposición; nuta de decreto sobre desestanco del tabaco, que pre pero si se lia de espresar que lo lia sido por una sentalla revisada la comisión de Corrección de estilo. nimidad no la aprobaré. Se leyó la siguiente preposición del Sr. (…</t>
  </si>
  <si>
    <t>Aicaraz, Diego</t>
  </si>
  <si>
    <t>Diego Aicaraz</t>
  </si>
  <si>
    <t>…á sí, ofreciéndote todo cuanto es capaz de lisonjear á un hombre, no tan bien estribado como él en los tronila de Kivadeneira , de 14,615 mis.: otro en la misma rema, en cabeza de D. Diego Aicaraz de 10,790 mrs. : otro en I* misma rentaprincipios de un buen español; pero que 1 opete lo ha despreciado todo, y cabeza del mismo interesado, ds 3388 mrs.: otro en la propia renta,mereciendo atención entre sus contestaciones la de que mejor quiere ser cabo de…</t>
  </si>
  <si>
    <t>Aid, Tadeo</t>
  </si>
  <si>
    <t>Tadeo Aid</t>
  </si>
  <si>
    <t>…ra paita dei no. El re migos. sultado fue tan feliz como podía desearse. ” No pu do rn-ro» ¿s recomendar 2 V. S. todos lor cuerpos ñor el k La vanguardia á las órdenes del bizarro coronel D. Tadeo Aid. a va’or y d se pió a qae lian manifestado en ertn d.-s arc enes , d semfue la que primero entró en la villa, arrojando á los enemigos de todos pc fiando cao a uno ,as d’ber.sdei molo mas sap*ra.loí o , pudi-ntío los puntos que ocupaban. Las columnas del cent…</t>
  </si>
  <si>
    <t>Aiéjulay, Juan Manuel de</t>
  </si>
  <si>
    <t>Juan Manuel de Aiéjulay</t>
  </si>
  <si>
    <t>…ata. F.n escaso de que los ramos de Zoií , G m z Casero, D. Gonza'o Cárdenas, D. Juan Fernandez Cjvivires, utensilios y otros se administren por la Hacienda pública , que jariego, D. Juan Manuel de Aiéjulay D. Valentín Recio, declaman será solo cuando tío se hayan presentado l.Citado/es - contrata con p.o- por uniíi,mid.id haber lu¿ar á la Jorinadjn Je cauta. puestas razonables, l.ubr 1 también un administrador principal c¡ r. 'os ANUNCIOS. factores , ayudantes y mozos indispensa…</t>
  </si>
  <si>
    <t>Aifoi, Timoteo</t>
  </si>
  <si>
    <t>Timoteo Aifoi</t>
  </si>
  <si>
    <t>…ire. En seguida se dan lar noticias siguientes.} te Casero.rcD. Gregorio Angei Palotniuo.rzD. Juan Antonio García. El 16 de Abril último el segundo ayudante general de E. M. Don = D. Timoteo Aifoi so Casero.— Serrto Quintín Rodríguez. = Zoo Josef Ramón Rodil con 40 cazadores y 15 dragones de Lima alean* Juan Manuel Gor.zalez.=VitoriaiK&gt; Gómez de la Fuente.erMaximmo zó en Para» la retaguardia del rebelde Quirós, la que fue batida inme del Rio.— Juan Jul…</t>
  </si>
  <si>
    <t>AÍIgu-</t>
  </si>
  <si>
    <t>…irioJft Gcbirraa del día 4 publica lo que sigue: Se cantó el ft Dntm en la catedral con asistencia del Rey, Se nos pide que insertemos la siguiente carta, y no tenemos del Infante D. AÍIgu-1 y Je las augustas Princesas, como también tlilicuiLsd cu hacerlo, porque sabemos que ya. lia llegado á manos de todas las autor;Jadas. En la noche hubo iluminación*.ar.:erde i». AL » ánJuse, dice el Diario, ia mavor tranquilldád. &gt;i Señor: Habiendo recibido…</t>
  </si>
  <si>
    <t>Aiiion</t>
  </si>
  <si>
    <t>Gaceta Española n.º 31</t>
  </si>
  <si>
    <t>…tros varios Sres. , y que ad apruebo el dictamen de la comisión. mitidas á discusión se habían mandado pasar á dicha comisión Es Se dió el asunto por suficientemente discutido. El Sr. Aiiion pecial. pidió la lectura del articulo 6 o de la ley de r.° de Octubre de Se continuó la lectura de la memoria del Sr. secretario de 1820 , y el Sr. Becerra c! título á que correspondía ; y habién Gracia v Justicia , la cual se suspendió, y el Sr. presidente s…</t>
  </si>
  <si>
    <t>Ailion</t>
  </si>
  <si>
    <t>…papel intitulado: » Deuda pública de la hspana, Se leyó y mandó pasar á la comisión de Guerra una propo contraída por hipotecas ó préstamos deducidos uc la fusión de la sición del Sr. Ailion, en la que después de hacer una relación deuda general del Estado,” que dirigía alas Cortes D. Joaquín del buen comportamiento y bizarría del ejército de reserva de la Irazabal, individuo de la junta directiva del Crédito público. isla, y de la conducta que o…</t>
  </si>
  <si>
    <t>Gaceta Española n.º 157</t>
  </si>
  <si>
    <t>…sSr. secretario de la Guerra , en el que después de las palabras » á los seis meses” se pidió d.jcsc »&gt; á mas tardar” para satisfacer á la parir s del mundo. objeción hecha por el Sr. Ailion de que seria una injusticia mas Luego que llegó á la costa occidental de la Groelandia , Egc" bien que una gracia e¡ decretar que habian de estar .aun seis me de mandó construir algu cabaña* para tus compañeros, y un-</t>
  </si>
  <si>
    <t>Aillo</t>
  </si>
  <si>
    <t>Gaceta de Madrid n.º 71</t>
  </si>
  <si>
    <t>…rece que ¡a comisión ha estada excesivamente franca. las milicianos liav algunos que ;:o ..srun sujetos á la quinta , y á los cuales Después de algunas observaciones hechas por el Sr. Aillo:], a las que no les resulta ese beneficio de que habla el artículo. Ultimamente creo qu; contest - el Sr. Vaidés (D. Cayetano), se declaró ei asunto sadexnteno debe aprobarse el artículo, tanto porque es menester tener en esta oca tneirt; discutido, y quedo a…</t>
  </si>
  <si>
    <t>Aillon</t>
  </si>
  <si>
    <t>Gaceta de Madrid n.º 2</t>
  </si>
  <si>
    <t>6</t>
  </si>
  <si>
    <t>…Julio que toda la pompa del trono de los tiranos. que se ha de verificar , del cual avisaría i las Cortes. » La patria misma es la que en este santuario de las leyes os tiende El Sr. Aillon leyó el dictamen de la comisión del Código de sus brazo; y o* vsí:cc!:i contra su seno como á sus hijos mes predilec procedimientos , acerca de la con-utta hech", por el tribunal supremo tos. Todo contribuye a colmarla del júbilo mas puro y encantador , y de…</t>
  </si>
  <si>
    <t>…llones do la milicia provincial no se considerarán como tales bajas ordinarias si dictamen , y sí lo que he piopucsiu. to las que ocurran desde r.° de Junio próximo.” Aprobado. El Sr. Aillon: Con motivo de la competencia que ha habido sobre un negocio, entre los funcionarios públicos que han oido las Cortes, se Si mandaron pasar á la comisión varias adiciones á este proyec originó el expediente que Ha producido el dictamen de la comisión. El to d…</t>
  </si>
  <si>
    <t>Gaceta de Madrid n.º 8</t>
  </si>
  <si>
    <t>…es de América y de Africa , por egcmp’o) Después de haber hecho varias observaciones contra el dictamen el arreglar como quiera sus asunto* interiores. Su regreso á la grande asam Sr. Aillon, á las que contestó el Sr. Becerra, quedó aprobado. blea de las naciones civilizadas mas bien se dilataría que se aceleraría Respecto de la adición del Sr. Salva al art. 46, que decía, que con la destrucción de sus campos, la ruina de sus pueblos y la carni c…</t>
  </si>
  <si>
    <t>…extinguidas cornaduras de propio», se observará el decreto de la* tinuamente á Ja patria, soy de parecer que debe aprobarse el articula. Cortes de 4 de Enero de 812.” Aprobado. El Sr. Aillon impugnó el articulo, manifestando entre otras cosas Ultima parte d:l articulo 173 rclormada. w En caso de no con que los militares por el reglannnto dado por la junta central podían formarse los alcaides entre sí, prevalecerá ia opinión raque sr re■pedir su r…</t>
  </si>
  <si>
    <t>…ahora paitídas ó compañías de Ademas por este proyecto se permite á las diputaciones provincia cazadores. les admitir en Ies compañías que se formen á aquellos que se ofrezca» El Sr. Aillon: Me parece que no debe haber sobre este punte, nin á hacer este servicio, aunque no tengan las circunstancias que exige el gún inconveniente en aprobar «I articula, puesto que en él se dice exreglamento de la milicia nacional local, en lo qiie no pu'do yo con…</t>
  </si>
  <si>
    <t>…resentan quieren la Constitución y la libertad, y no quieren 1» niente para ¡a manutención de esta fuerza. anarquía que los enemigo» tie la misma libertad y de la España procla El Sr. Aillon como de la comisión manifestó que esta no pod a man que se desea. ¡Qué testimonio mas público y autentice se pueda encargarse de este asunto , á causa de no tener los datos suficientes dar de esta verdad dichosa! A vosotros hijos distinguidos de la patria, pa…</t>
  </si>
  <si>
    <t>…audiencia de Madrid examinen este expediente por editores no habérsenos enviado porque se agotó ia edición y se estaba los abusos que .n ¿1 se han notado. haciendo otra nueva. El Sr. Aillon presentó y leyó una exposición de la milicia nacio Los de Zsragoza, que llegan hasta el 14 , nada encierran impórtente. nal local voluntaria de Sevilla, en que felicitaba i las Cortes por las El Liberal Guipuzcoano dd 13 d-.l corriente confirma las noticias m…</t>
  </si>
  <si>
    <t>…de opmion debía sus mismos hijos sacudir el yugo de ios iusurgentes, y restablecer la aprobarse el dictamen. dominación española , despue» de haber escarmentado completamente á El Sr. Aillon manifestó que el intendente Elizalde no incurrió en ¡os gefes principales del desorden. Este importante dato y muchos otros ninguna anticonstitueionalidad por haber citado á juicio de concilia que se repiten en América , con particularidad los últimamente .le…</t>
  </si>
  <si>
    <t>…via. Sé -düiitíó 4 discusión, y se mandó pasar á la comisión de Guer De la milicia nacional de un pueblo de la provincia de Chinchilla. ra , una proposición de segunda lectura del Sr. Aillon sobre el sorteo De los ge fes y oficiales denlos cuerpos de artillería , ingenieros jr para el reemplazo de la milicia nacionaVáctiva. zapadores residentes en el sexto distrito rpjliitar. También se admitió 4 discusión por 36 votos contra 34, y se man Del int…</t>
  </si>
  <si>
    <t>Gaceta de Madrid n.º 55</t>
  </si>
  <si>
    <t>…tallón de San Marcial, que fue el primero que se pronunció por la Total ia. Constitución, y que tantos dias de gloria ha dado á la patria5 «Este En segundo lugar quedó elegido el Sr. Aillon por 79 vetos, tenien digno y apreciable cuerpo, cuyo comandante es el mismo que al lado do 10 el Sr. Marchámalo, 7 el Sr. Veiasco, 6 el Sr. Ladrón de del invicto Riego fue siempre su inseparable compañero en sus glorias y Guevara, 2 el Sr. Soria, 2 el Sr. Eul…</t>
  </si>
  <si>
    <t>…procediese al En la t 5.a votación salió elegido e! Sr. Garmendia por 78 votos, ha secuestro de los indicados tres solares, como se ha egecutado , y á la fija biendo tenido dos el Sr. Aillon. ción de los tres edictos que previene la instrucción vigente del ramo de En la -5.a votación quedó elegido por 79 votos el Sr. Aillon, tenien mostrencos, y término que señala; en su consecuencia se previene á todas do upo el Sr. Varela. las personas que se c…</t>
  </si>
  <si>
    <t>207</t>
  </si>
  <si>
    <t>…a idea de la comisión; por consiguiente na pital y provisiones ia milicia activa. __ Teatro esta noche á las queda ya objeccion alguna que desvanecer. siete y media ¡a B.ein.i. El Sr. Aillon : Estoy conforme con la sustancia de este ar-. Se reconocerá por ayudante interina de esta plaza al capitán ticulo pero no con la forma en que está redactado, pues me D- Josef Navarro Berdugo. ofrece dos dificultades. La primera es que parece que en la última…</t>
  </si>
  <si>
    <t>291</t>
  </si>
  <si>
    <t>…de la Constitución. (Véa mera instancia y los demás individuos del ayuntamiento actual, se en la sesión de ayer.) entendiesen en dichos asuntos los individuos de los ayuntamien El Sr. Aillon: Atendiendo al art. 73 de la Constitución .que tos d ios años anteriores. dice que el nombramiento se haga por escrutinio secreto , ha ]).-spucs de alguna difeuron quedó aprobado. ocurrido la duda de si el presidente y los escrutadores podran vlx Ia expresada…</t>
  </si>
  <si>
    <t>Gaceta Española n.º 64</t>
  </si>
  <si>
    <t>…sma com sion, en vista de la solicitud de D- Josef Va La comisión de Legislación , informando sobre la adición del liente y D. N. Collado, en que p den se exija la responsabilidad Sr. Aillon al dictamen de la misma sobre que el Crédito publico al gefe político de Santiago de Cuba , op naba que no había lugar debe pagar los derechos causados en la causa que seguia sobre á exigírsela con respecto a los proce i nventos que tuvo con el falsificación…</t>
  </si>
  <si>
    <t>Gaceta Española n.º 80</t>
  </si>
  <si>
    <t>…i neies v plazas, nuevos jetes de Sus cuerpos militaSíes, diputados para votar, conformándose la comi res, nuevos individuos de los tribunales esc. íxe. ¿&lt;e. sión, á petición del Sr. Aillon, en poner en lugar de itt.Miera que lodo ha quedado r. iloi &lt;uio. j\ iioin— del arríenlo que se cita de la leí de 12 de octubre bi e del Rey salen una multitud de decirlos contra do Sao el artículo jg(5 del Código penal. los que S. M. había espedido anteriorm…</t>
  </si>
  <si>
    <t>Gaceta Española n.º 93</t>
  </si>
  <si>
    <t>…ía ta obras de autor español peninsular en los casos ya designados; á disposición del gobernador de una plaza. t en la misma incurrirán los que en Ja Península cometieren igua- El Sr. Aillon dijo que no debia haber inconveniente en con !es fraudes con obras é impresos de españoles americanos. ceder .el permiso de que se trataba , cuando habia el ejemplar ckl Art- 13. Siendo en todos los casos expresados la usurpación Sr. Surrá que sin ninguna aut…</t>
  </si>
  <si>
    <t>…ión segunda de Hacienda se mandó pasar un ofi ma de la tata de las obras, sistema contrario á las luces del siglo. cio del Sr. secretario ae Marina, acompañando una relación de E! Sr. Aillon dijo que aunque convenia en parte con el dic Jas pensiones concedidas por S- M. por el ministerio de su careo, tamen de la comisión , desearía, para que estuviese mas conforme á los interesados que se expresaba, por los méritos que han con con ioque la Consti…</t>
  </si>
  <si>
    <t>…á la Comisión. raba como constitucional la citada ley , y como anticonstitucional La comisión de Guerra presentó su dictamen sobre la propo el proyecto que se discutía. sición del Sr. Aillon, relativa al modo de premiar los servicios del En seguida expuso el orador otras razones por las cuales no coronel D. Antonio Casano, siendo de parecer que debia infor pudo aprobar el dictamen. mar el Gobierno. Aprobado. El Sr. Ferrer (D. Joaquín) dijo que no…</t>
  </si>
  <si>
    <t>…inieron en la modificación pro sición de D. Valentm Josef J.menez, captan de la segunda puesta por el Sr. Becerra. compañía de granaderos del 2.0 batailon de la AL N. L. V. de F.i Sr. Aillon dijo, que á pesar de la adición que se hab a Madrid, escribiente de ia secretaria de las Cortes, para que estas hecho al artículo no podía convenir en que se aprobase, por te en virtud de los serviros que tiene prestados á ia Patria , se sir ner presente lo q…</t>
  </si>
  <si>
    <t>…hayan conseguido nuestros ejércitos en aquel Después de haber controvertido este dictamen dicho Sr. Lló país; pero este inconveniente puede salvarse por el Gobierno no rente y el Sr. Aillon , se declaró el punto suficientemente discu entrando en negociaciones con los gobiernes de America que tido, se votó por partes el dictamen , y-quedó aprobado en to crea conveniente; y por tanto me parece no debe haber dificul das ellas. tad ninguna en aproba…</t>
  </si>
  <si>
    <t>…levantó la sesión, quedando ias Cortes en secreta. la guerra de la independencia , y haciendo presente la justa pre sunción de que se verifique ahora ¡o mismo. Sesión piiblica. El Sr. Aillon expuso que su ánimo no había sido el de opo El Sr. presidente abriendo la sesión manifestó que las Cortes nerse á que se aprobase la proposición; y declarado el punto dis en la secreta que acababan de tener acordaron se diese cuenta en cutido , quedó aprobado…</t>
  </si>
  <si>
    <t>…ta El Sr. presidente abriendo la sesión manifestó que las cortes presuncidn’dé que sé verifique ahora lo mismo. en la secreta que acaban de tener;: acordaron ÍC uícac CüCutñ ¿u El Sr. Aillon expuse que su ánimo no habia sido el de opo público del objeto de aquella? y en su virtud se leyó la exposi nerse á que sé aprobase la proposición ? y declarado el punto ción del Gobierno, que ha dado lugar á la convocatoria de cor discutido qiiedó aprobado.…</t>
  </si>
  <si>
    <t>Ailloti</t>
  </si>
  <si>
    <t>Gaceta de Madrid n.º 152</t>
  </si>
  <si>
    <t>…solo se ha gobernado, y de consiguiente ni tamen de la comisión. debía tener los goces ni los derechas que los demás ciudadanos. Se dió el asunto por suficientemente discutido. El Sr. Ailloti La cuestión' está reducida á si por haberse extinguido los monas pidió la lectura del art. ó.° de la ley de i.° de Octubre de 1820, terios pertenecen los monges al estado secular ó al regular. Cir~ - y el Sr. Becerra el título á que correspondía; y habiéndose- L…</t>
  </si>
  <si>
    <t>Aimerich, Josef</t>
  </si>
  <si>
    <t>Josef Aimerich</t>
  </si>
  <si>
    <t>Gaceta de Madrid n.º 1173</t>
  </si>
  <si>
    <t>…tinente, después que calmó el Campo D. Ambrosio de la Cuadra: Inspector- general de Infan furor de los que habían pensado que la independencia consistía tería al Mariscal de Campo D. Josef Aimerich: Capitán general en la exterminación de los -europeos que lo habitaban , me han. de Galicia, por dimisión del Conde de Cartagena, al Teniente hecho conocer el estado deplorable á que se han reducido sus general D. Juan Senen de Contreras: Gobernador de la pla…</t>
  </si>
  <si>
    <t>Aimodovar, Antonio</t>
  </si>
  <si>
    <t>Antonio Aimodovar</t>
  </si>
  <si>
    <t>…mesa vario* dic támenes de comisiones. Extracto de la sesión extraordinaria de la noche La comisión segunda de Hacienda, en vista de la exposición del 2 de Agosto. de la viuda de D. Antonio Aimodovar , protonv.d cq u.i r.o.-piSe leyó y quedó aprobada el acta de la anterior. tal militar de Barcelona, pid.ofido !av lud.Lid corresponderte, La comisión de Visita del Cred.ro público en vista de la pro opinaba que se diese á esta viuda la cuarta parte del sueld…</t>
  </si>
  <si>
    <t>Aimr.di, Luis</t>
  </si>
  <si>
    <t>Luis Aimr.di</t>
  </si>
  <si>
    <t>Gaceta Española n.º 52</t>
  </si>
  <si>
    <t>…lev.» pues que íucs.n ¡as que Gele de día el comandante del tercer batallón de voluntarios de nosotros se exigían siempre eran peligrosas; y ¡que sena siendo nacionales de Aladr.d D. Luis Aimr.di.__Servicio á Palacio ¡a falsas, siendo soiaimr.tc unas miserable» a.iagazjs: i’orque desen Reina y Ja milicia nacional local de Sevilla, a las ordenes del gañémonos, sei ores, no hay un solo documento de oncio que comandante accidental del infante D. Carlos D…</t>
  </si>
  <si>
    <t>Aionso</t>
  </si>
  <si>
    <t>…pues asi se ahorrarla él y todos los eclesiásticos el dis sión Especial nombrada á consecuencia de las proposiciones del gusto de oir quejas contra las autoridades eclesiásticas. Sr. Aionso. Ei Sr. Argiiclles, después de manifestar que en su opimon era Se procedió á la discusión del dictamen de la comisión de inútil este artículo una vez aprobado el anterior, y el que se Legislación sobre quién debe suceder en la propiedad de los bie señalasen e…</t>
  </si>
  <si>
    <t>Aiontema-</t>
  </si>
  <si>
    <t>…familia por la Sr. D. Lestnes Bravo —I'rujllio—Badajoz Junio 7 de 18 ag. azotea: también fueron á otras casas, una de ellss la de un di » Aquí no hay otra cosa que haber puesto al Sr. Aiontema- putado de la diputación provincial: todo esto se hizo impune yor en lugar de Bárcena para. mandar la caballería, lo cual ha mente, asi como el haber muerto á un infeliz, que ha dejado disgustado bastante, y venido Castelldorius ayer á suceder á aquel muger y…</t>
  </si>
  <si>
    <t>Aiousc, González</t>
  </si>
  <si>
    <t>González Aiousc</t>
  </si>
  <si>
    <t>…rito m . tur con lecha Después de una ligera discusión quedó aprobado. 19 de D.ciembeí último da parte desde V r ■: a .¡’ F' .-rc .Sr. sect.-ta- fia suspendió esta discusión, y el Sr. González Aiousc dijo que la uo del Despacho de la Guerra de las operic.-ne. de aquel .reerc.tc; 1</t>
  </si>
  <si>
    <t>Aítlon</t>
  </si>
  <si>
    <t>Gaceta Española n.º 77</t>
  </si>
  <si>
    <t>…nes tos Sres. Tejeiro v iiuSe suspendió esta disensión y se procedió á la rnaga se declaró el punto suficientemente disentido. del proyecto de lei adicional á la libertad de im El Sr. Aítlon esposo que para obviar di fien liados prenta. seria mui conveniente que en vez de principa/mente Proyecto de una. segunda lei adicional d la de se dijese principal y directamente. La comisión con 'oí de octubre de »Kao sobre libertad de imprenta. vino con est…</t>
  </si>
  <si>
    <t>Aivarez</t>
  </si>
  <si>
    <t>…atallón desde ¡a invasión del enemi La comisión de Instrucc.on pública habiendo examinado de go sean reemplazadas por individuos del mismo cuerpo que J an nuevo la proposición del Sr. Aivarez ( D. Elias) para que se entrado en C diz, y que se esté á lo resuelto por las Cortes en derogue el artículo 6.° del reglamento pira la instrucción públi 10 de Junio del año próximo pasado. ca , opinaba que podía derogarse en cuanto á ¡a enseñanza de las La co…</t>
  </si>
  <si>
    <t>Aivarez, Bernardo</t>
  </si>
  <si>
    <t>Bernardo Aivarez</t>
  </si>
  <si>
    <t>Gaceta de Madrid n.º 353</t>
  </si>
  <si>
    <t>…n en persecución de Campillo por el Oviedo: ambas fueron destruidas, habiendo hecho prisionero al camino de ia orilla del mar le hicieron todavía 50 prisioneros, comandante de una D. Bernardo Aivarez. ■ mientras que el jenerai Hubert marchaba directamente por Avi Una parte del ejército de i genera; Hubert se hallaba en Ovie les con un destacamento de infantería y de caballería, que ha do el 26, el cual pasó este día ú J jon con el obj to de perse debido c…</t>
  </si>
  <si>
    <t>Aivarez, Manuel</t>
  </si>
  <si>
    <t>Manuel Aivarez</t>
  </si>
  <si>
    <t>Gaceta Española n.º 145</t>
  </si>
  <si>
    <t>…smo , certifica: Decreto de las Cortes sobre el dia desde el cual han de Por el presente edicto cito y emplazo á ios tires, diputados obligar las leyes. (Gaceta del j.) - ausentes D. Manuel Aivarez por la provincia de Zamora : Don Resolución de las Córtes sobre el modo de constituir por Rafael Casimiro Lodarcs y D. Aliguel Sánchez Casas por la de ahora lasala de tercera instancia de la audiencia territorial con la Mancha: D. Josef Apoita por la de Vizca…</t>
  </si>
  <si>
    <t>Aivarez, Pedro</t>
  </si>
  <si>
    <t>Pedro Aivarez</t>
  </si>
  <si>
    <t>…isposicio gas , marques de la Merced, por la de Jaén ; D. Francisco Ala nes contra los que, validos del ejército invasor , soliciten., admi teo Marchámalo por la de Guadalajara; y D. Pedro Aivarez tan ó sirvan algún destino de magistratura ó judicatura en lo* Gutiérrez por Ia,de Granada, contra quienes se está siguien consejos, tribunales, corregimientos y alcaldías mayores supri do causa por no haberse presentado en esta Isla Gaditana á midos por el s…</t>
  </si>
  <si>
    <t>Al, Josef</t>
  </si>
  <si>
    <t>Josef Al</t>
  </si>
  <si>
    <t>…de marchar, y los ir RI Sr comandante militar de la provincia me traslada en soldados á quien corresponde en cada'compañía llevarán sus ollas este día el parte que ha recibido del comandante D. Josef Al bien colocadas sobre las mochilas.bornoz, y^por ¿1 résoha-que’eí 14 del actual alcanzó en el Ala- 10. Estos batallones se acantonarán en los puntos adonde millo , i dos leguas de Almadén,con la columna de su mando les destine el Sf&gt; comandante general dé la p…</t>
  </si>
  <si>
    <t>Al, Juan Romero</t>
  </si>
  <si>
    <t>Juan Romero Al</t>
  </si>
  <si>
    <t>…tados secretarios de las Cortes con fecha 16 del sación »&gt; haber lugar á formación de causa,” que á su consecuen mes último me dicen lo siguiente! cia se formó contra el ciudadano D. Juan Romero Al puente, » Las Cortes han tomado en consideración la exposición de los responsable de dicho escrito; y observadas todas las formalidades ayuntamientos de Carranque, Palameque y el Viso, y el admi prescritas por la ley, el jurado declaró absuelto el citado impr…</t>
  </si>
  <si>
    <t>Al, Manuel H</t>
  </si>
  <si>
    <t>Manuel H Al</t>
  </si>
  <si>
    <t>Gaceta Española n.º 161</t>
  </si>
  <si>
    <t>…or expecifica el parte de este digno gefe que á la letra frente, y los escuadrones de dragones de Arequipa y 3.0 de dra sigue : gones de la Union á las órdenes de sus comandantes^ D. Manuel H Al amanecer de este día avisaron los puestos avanzados de Horna y D. Francisco Puyol por el camino real , quedando en que los enemigos habían levantado su campo y se dirigían sobre reserva el g.° de granaderos de la Guardia al mando de su gefe nosotros con roda…</t>
  </si>
  <si>
    <t>Al, Rom-roí</t>
  </si>
  <si>
    <t>Rom-roí Al</t>
  </si>
  <si>
    <t>…el inolivo de haber recaído en aquel esta La comisión primera de Hacienda , noticiosa de los abusos blecimiento. que se cometen en algunas provincias en el repartimiento de con El Sr. Rom-roí Al leer el dictamen de la eoml-len no po tribuciones , comprendiendo en él -i los puramente jornaleros con drá menos de convenirse* en que ha otado rígida ^on la d putatra el espíritu de los decretos de’ Cortes, es de parecer que estas e on provincia! de Sevilla…</t>
  </si>
  <si>
    <t>Al-, Josef Amonio de</t>
  </si>
  <si>
    <t>Josef Amonio de Al-</t>
  </si>
  <si>
    <t>Gaceta de Madrid n.º 303</t>
  </si>
  <si>
    <t>…no dudo redoblarán sus por adjunto D. Manuel Joaquín Ayestaran. Para Azpeitia Don esfuerzos para libertar á su amado Fernando , restituyéndole Agustín Iturriaga , y por su adjunto D. Josef Amonio de Al- en la plenitud de su legítima soberanía. Con tamaño servi tube. Para Azcoitia el Excmo. Sr. duque de Granada de Ega, cio logrará esta ilustre provincia ver premiados sus afanes, y su adjunto D. Josef Matia Zavaia. Para el primer partido Don cimentar para siem…</t>
  </si>
  <si>
    <t>Al.sa, Josef Je</t>
  </si>
  <si>
    <t>Josef Je Al.sa</t>
  </si>
  <si>
    <t>…juez interino del segundo juzgado de primera instanmuertos ó indultados los miserables restos de la mayor facción que pudie cia de ella , con presencia del escribano de su número D. Josef Je Al.sa enran reunir los encarnizados enemigos de la libertad de nuestra adorada pa 8 de Enero ar.ter.or en losarnos de inventario á los bienes quedados por tria. Se han recogido en los pueblos de nuestra retaguardia bastantes faccio fallecimiento de D. Juan Roseii E…</t>
  </si>
  <si>
    <t>Ala, Francisco</t>
  </si>
  <si>
    <t>Francisco Ala</t>
  </si>
  <si>
    <t>…G ¡ceta aet 8.) fanzón por la de Asturias: D. Francisco Javier Perez de Var Decreto de las Córtes en que se adoptan algunas disposicio gas , marques de la Merced, por la de Jaén ; D. Francisco Ala nes contra los que, validos del ejército invasor , soliciten., admi teo Marchámalo por la de Guadalajara; y D. Pedro Aivarez tan ó sirvan algún destino de magistratura ó judicatura en lo* Gutiérrez por Ia,de Granada, contra quienes se está siguien consejos, t…</t>
  </si>
  <si>
    <t>Ala, Josef</t>
  </si>
  <si>
    <t>Josef Ala</t>
  </si>
  <si>
    <t>Gaceta de Madrid n.º 95</t>
  </si>
  <si>
    <t>…ierra, aquel yerno, y este hermano de D. Domingo ; D. Ramón lo eg-cutará mi , .3 cho :-r. y citada escribanía dentro del término reHernández Tirso; Pedro Josef Garviso , criado de D. Josef Ala,:u;l fericki , que se le admitirá siendo arreglada. Erroz; Francisco Ramírez, que acompañó á D. Baltasar Casquero , y ANUNCIOS. otros varios de ia misma ó menor entidad: muchos fueron compren didos en el indulto publicado en Agosto de 1820; y seria largo , fa…</t>
  </si>
  <si>
    <t>Ala, Pedro Bernardo</t>
  </si>
  <si>
    <t>Pedro Bernardo Ala</t>
  </si>
  <si>
    <t>…que nunca transigimos con Idem del Pino: D. Francisco Cabriol, D. Juan Sala, D. Joséf la iniquidad ni con nada de cuanto pueda comprometer nuestro: Garriga, D. Francisco Sampere, D. Pedro Bernardo Ala, Don honor ni el decoro de la gran nación que ha 'puesto en nuestras Juan Pablo Ferrer, D. Narciso Viver y D. Josef Pinell. manos sus destinos. Aqui verán una y otra vez disueltas sus in Idem de S. Juan: D. Pedro Bori. 1 trigas las mas finas, sin oponerles, m…</t>
  </si>
  <si>
    <t>Alachado, Serpa</t>
  </si>
  <si>
    <t>Serpa Alachado</t>
  </si>
  <si>
    <t>Gaceta Española n.º 60</t>
  </si>
  <si>
    <t>…Excmo. Sr.: Tengo Ja honra de poner en noticia Extracto de la sesión de las Cortes extraordinarias del dia 28. de V. E., pava que la eleve á cor.ocun e-r.to del sob reño Con ¡reEl Sr. Serpa Alachado dió cuenta del resultado del mensage so, ia Siguiente exposición de las providencias que tus"; por conve remitido por las Cortes á S. M. el dia anterior, del modo si- niente adoptar ayer, á fin de que la tranquil.uad de esta cap.tal íiner.te : no fuese pertur…</t>
  </si>
  <si>
    <t>Alacias, Quich y</t>
  </si>
  <si>
    <t>Quich y Alacias</t>
  </si>
  <si>
    <t>Gaceta Española n.º 169</t>
  </si>
  <si>
    <t>…iente que á la letra dice asi: ocho oficiales, entre ¡os cuales hay algunos coroneles, el secreta Parte que ha recibido el Excmo. Sr. general en ge/e. rio del general Milans, y el Sr. Quich y Alacias. Se asegura que estos dos últimos han sido ya sentenciados á pena capital por el «Capitanía del Puerto. = Al Excmo. Sr general en gefe da consejo ríe guerra , y creemos que los otros no se librarán de'ella. parte el capitán del Puerto, que felizmente ha regre…</t>
  </si>
  <si>
    <t>Aladestruido</t>
  </si>
  <si>
    <t>Gaceta de Madrid n.º 123</t>
  </si>
  <si>
    <t>…adido marchar desde este punto sobre Almagro con un batallón y 3O0 que con 50 hombres de caballería qu* hubiera tenido habría caballos para batir las tropas Realistas mandadas por D. Aladestruido hoU las reliquias del enemigo. : . nuel Adami, dicho el Locho. Este último me confirmó todo lo __Nuestras tropas ocupan la ciudad de Manresa desde el ^1 de enunciado, exponiéndome que se veía atacado por fuerzas muy este mes (Mayo): han sido recibidas por los…</t>
  </si>
  <si>
    <t>Alai, Bruno</t>
  </si>
  <si>
    <t>Bruno Alai</t>
  </si>
  <si>
    <t>Gaceta de Madrid n.º 61</t>
  </si>
  <si>
    <t>…: id. en la de justicia por guerra 239: Sor : El comandante de la columna volante de la tierra baja el tenien id. por marina 43. Total 1124 Quedan p udientes para despachar en te coronel D. Bruno Alai* logró sorprender dos gavillas del Royo, 1823 por ia sala militar 53 • id- por la sala de justicia por guerra 224: cuyo parte trngo el honor de elevar á V. E. para conocimiento de id. por marina 66. Total 343. No se comprenden en esta noticia los S. M. Dios g…</t>
  </si>
  <si>
    <t>Alaire, Le</t>
  </si>
  <si>
    <t>Le Alaire</t>
  </si>
  <si>
    <t>…ubrió una compañía del regimien dragones al subteniente ayudante Chasmet. En el tercer regi to 34.°, á quien animaran los mas vivos deseos de combatir, sus miento de ingenieros al capitán Le Alaire. En la artillería vo pendió el enemigo su movimiento ofensivo; y aunque las tropas lante de la guardia al comandante de escuadrón Foucault y al que ocupaban el reducto Ruffin comenzaron á retirarse luego teniente Beret. Ultimamente en el estado mayor al capit…</t>
  </si>
  <si>
    <t>Alanuci</t>
  </si>
  <si>
    <t>Gaceta Española n.º 35</t>
  </si>
  <si>
    <t>…este ob Se mandaron pasar á la rom son que ha crtendido en &lt;ste jeto les parece oportuno ei evitar escrupulosamente toda reunión asunto las adiciones de los Sres. Romcio , Gómez ( D. Alanuci ) de Jos Soberanos , y abstenerse , á lo menos en el actual estado de y Gómez Becerra. Ja cuestión, de dar á ninguna reunión ostensble el careo de de La comisión primera de Hacienda present í su dictamen so liberar sobre los asuntos de España. Creen que seria…</t>
  </si>
  <si>
    <t>Alanuel</t>
  </si>
  <si>
    <t>Gaceta Española n.º 27</t>
  </si>
  <si>
    <t>…ctamen del Go sa de regulares secularizados. bierno. Aprobado. Después de otras reflexiones que hicieron los Sres. Gómez A la comisión de D'putaciones provinciales se mandó pasar (D. Alanuel), Oliver, Alonso y Falcó, quedó aprobado el dic una exposición de la de Mallorca, dando parte del estado en que tamen. se halla en aqudla provincia el repartimiento de propios. La misma comisión , en vista de la solicitud de Fr. Antonio Se mandaron quedar sob…</t>
  </si>
  <si>
    <t>Alar-, Jacinto</t>
  </si>
  <si>
    <t>Jacinto Alar-</t>
  </si>
  <si>
    <t>…no per id. de A randa de Duero á D. Maniió Pozo: id. de Aifaro á deréis los laureles que habéis cogido en días tan arriesgados y ca 1). Vicente Escudero y Perez: id. de Palcncia á D. Jacinto Alar- lamitosos. fine.' de- Aranzana: id. de Soria á D. Manuel Sedaño: pava la «Cuartel general de la calle del Olivará i.°dc Junio de 1823. alcaidía mayor de Burgo-i á J. Josel Joaquín cíe llurraza: id. de Jorge de Aviiez Juzarte de Sousa Tabares.” ia Guardia á D-…</t>
  </si>
  <si>
    <t>Alaran</t>
  </si>
  <si>
    <t>…ten puedo convenir con las ideas manifestadas por el Sr. Galiano, y ga misión pública ó agregación á ella. solamente diré , contestando á ellas , que la ley no se contenta con El Sr. Alaran: Dura et la situación en que la España se en que haya un solo responsable en cuutquie'r delito; no Sr. : la ley- cuentra: terribles los males que sobre ella pueden sobrevenir si no encuentra auxiliadores, fautores y cómplices, y á todos Jos cas se toma una ac…</t>
  </si>
  <si>
    <t>…Regencia , y esta resoiuc.on no la aprobé yo; pero yo he obede caso semejante; y de consiguiente creo que debe aprobarse. cido ¡o que el Congreso acordó , y he venido á Cádiz. El Sr. Alaran : Yo no me opongo á la primera parte de la pro Se leyeron en seguica las expresiones pronunciadas por este posición , es decir, á que las Córtes hagan una declaración solem señor diputado , y el Sr. Galiano tomó la palabra y dijo: A mi ne de la indignación co…</t>
  </si>
  <si>
    <t>Alarau</t>
  </si>
  <si>
    <t>Gaceta de Madrid n.º 66</t>
  </si>
  <si>
    <t>…de tropas francesa» en las fronteras. Estamos á 2 , y por lo tan var adelante su decreto. to no debemos .ietenerno» en fórmulas, que solo pueden ser admisibles., y. A petición del Sr. Alarau se leyó la exposición hecha 3 S. Ai. por los. yo observaría, en tiempos de calma, y'no en unas circunstancias como las secretarios del Despacho , relativa á la traslación con fecha dei 18 del' pa- ' actuales. EL consejo de Estado '.esde el 24 del mes pasado h…</t>
  </si>
  <si>
    <t>…que puede haber caso en que el impre- El Sr. z\rgíielles: Yo no he podido comprender los funda *or proceda por ignorancia. En contestación á algunas de las ob mentos que tiene el Sr. Alarau para suponer que la cornisón pro servaciones que se han hecho al artículo, debo manifestar que si pone en términos absolutos la derogación de Ja ley de asilos: ha él hubiera existido de mucho tiempo á esta parte no hubiera lle hablado su señoría en términos t…</t>
  </si>
  <si>
    <t>Gaceta Española n.º 90</t>
  </si>
  <si>
    <t>…r no haber venido dirigida eL acta por los escruta tamen que trataba del modo de proveer los empleos vacantes. dores y secretario, y otro por faltar»las firmas de los testigos. El Sr. Alarau, conviniendo con lo expuesto por el Sr. secre Por Jo que respecta al primero creo que la comisión no ha teni tario del Despacho en orden al término prefijado por la comi do presentes varios decretos y artículos de la instrucción para el sión , fue de parecer…</t>
  </si>
  <si>
    <t>Alarcon, Francisco Antonio de</t>
  </si>
  <si>
    <t>Francisco Antonio de Alarcon</t>
  </si>
  <si>
    <t>…. El pueblo holandés salió como por encan balas de Cuenca , y cabeza de Doña Luisa de Guzman , mugar del to de entre sus lagunas para asombrar al mundo, y mostrarle basta qué Lie. D. Francisco Antonio de Alarcon: otro de 108,659 mrs., en sa punto puede llegar el esfuerzo humano cuando lo sostiene el sagrado linas de Andalucía, ¡tierra adentro, que proceden del privilegio del juro fuego del amor á la patria. Los holandeses tuvieron que lidiar con los anterior: otro de…</t>
  </si>
  <si>
    <t>Alarcon, Josef</t>
  </si>
  <si>
    <t>Josef Alarcon</t>
  </si>
  <si>
    <t>Gaceta Española n.º 29</t>
  </si>
  <si>
    <t>PDF p. 8</t>
  </si>
  <si>
    <t>…ad, y se servirá avisar en la calle de la Sierpe , n. 6, se retirarán á su cuartel.urLeglisa. casa de Doña Francisca Ballesteros , líente á la cárcel nacional. ARTICULO DE OFICIO. Don Josef Alarcon, miliciano nacional de Madrid, y profe El Rey ha expedido los decretos siguientes: sor de matemáticas puras , que ha sustituido la cátedra de dichas ■&gt;■&gt; Habiendo concluido D. Joscf Manuel Vadillo la lectura de ciencias por espacio de cuatro años en la academ…</t>
  </si>
  <si>
    <t>Alarcon, Manuela Gabriela de</t>
  </si>
  <si>
    <t>Manuela Gabriela de Alarcon</t>
  </si>
  <si>
    <t>…Agustina, de 15,750 mrs. : otro si sultar despuet de satisfechos por todo su valor los créditos claramente tuado en la renta de salinas de espartinas , de 58,600 mrs., en favor d« Doña Manuela Gabriela de Alarcon: otro de 3500 mrs. , situado (1} Se hallará de venta en la imprenta Nacional , para el conoci en alcabalas de Cuenca , en favor de Catalina Nuñez : otro de 74,800 miento é instrucción de los interesados , un cuadernito , que contendrá mrs. , situado en alcaba…</t>
  </si>
  <si>
    <t>Alaría</t>
  </si>
  <si>
    <t>Gaceta de Madrid n.º 953</t>
  </si>
  <si>
    <t>…acredores de la tes mer Ayudante de Campo del Sermo. Sr. Duque de Angulema, tamentaría de Doña Antonia Ramona de Saldamando, que ha venido á cumplimentar á la Serma. Sra. Infanta Doña Alaría pende por la escribanía de provincia al cargo de D. Francisco Francisca de Asís, y expresar el sentimiento de S. A., porque Montoya, y señalado para ella el domingo 19 del presente mes sus muchas ocupaciones no le han permitido verificarlo perso de Octubre á…</t>
  </si>
  <si>
    <t>Alaría, Luis</t>
  </si>
  <si>
    <t>Luis Alaría</t>
  </si>
  <si>
    <t>Gaceta de Madrid n.º 673</t>
  </si>
  <si>
    <t>…han hecho á la justa causa del ponde para su cnitip irmento.crEst, rubricado.^ En palacio á z3 trono, y deseosa de dar un público testrm^mo que óustre i tan de Agosto de 18/3. = A D. Luis Alaría de balazar. dignos vasallos del Rey nuestro Señor, ha tomarlo todos ios in formes necesarios; y después-"de un madure examen se ha ser Hacia tiempo que D. Manuel González , capitán del regi&gt;~ vido dispensar en nombre de S. M. las gracias s.quient-s: miento pr…</t>
  </si>
  <si>
    <t>AlariaCortes</t>
  </si>
  <si>
    <t>…exacto. brado para el ministerio de ¡a Goberuac.on de la Península á Ahora no hace el Gobierno mas que dar un simple aviso á las D. joscf María Calatrava, y para el de la Guerra á D. AlariaCortes de que ha declarado la guerra; pero esto no se opone á no Zorraquin, debiendo continuar los actuales conforme á lo que cuando d¿ cuenta de esta su resolución, con arreglo á lo que mandado en el decreto de 28 de Febrero último. previene la ley fundamental, rem…</t>
  </si>
  <si>
    <t>Alarlos</t>
  </si>
  <si>
    <t>Gaceta Española n.º 85</t>
  </si>
  <si>
    <t>…. 640,000 de llevar a electo ¡o depuesto en el art. 5.° del decreto de 1 A de Consignación del Sermo. Sr, Infante Noviembre ultimo, sobre a que los del tos de consp.rae.en: ..¡la D. Alarlos............................................. 1.650,000 van cotisiea la responsabilidad pecuniaria. Gastos de cámara de la berma, bra. Se aprobo un d viaut-n de la comisión de Hacienda , relativo Doña Alaria Francisca su esposa. 600,000 . 4 que ¡meen de las gr…</t>
  </si>
  <si>
    <t>Alarsal, Clemente</t>
  </si>
  <si>
    <t>Clemente Alarsal</t>
  </si>
  <si>
    <t>Gaceta Española n.º 129</t>
  </si>
  <si>
    <t>…á lo que pedían, se lación de un corsario constitucional. Los demas, como también han quitado la escarapela encarnada, poniendo en su lugar listas el eapitan graduado de teniente coronel D. Clemente Alarsal, blancas v azules, distintivo del partido constitucional. En el regi eran parte de una guerrilla que hicieron prisionera las tropas fran miento 16." hay dos partidos; pero ¡a mayor paite de los soldados cesas en Caranza de monte Malo. quieren ñor comandante á…</t>
  </si>
  <si>
    <t>Alava</t>
  </si>
  <si>
    <t>Gaceta de Madrid n.º 24</t>
  </si>
  <si>
    <t>…ta marcha; pero me consta que los cirujanos de esta ciu Canga. dad han curado unos veinte de los últimos, y de los primeros se Jiait De la diputación provincial da Vitoria por el Sr. Alava. enterrado ayer ocho; por nuestra parte lloramos la muerte de dos sol De los gefes, oficiales y tropa del batallón de milicia nacional activa dados de Toledo , tres mas heridos del mismo, igual númaro de caza de Játiva por el Sr. Septien. dores de Calatayud y…</t>
  </si>
  <si>
    <t>…á la gracia de que h.i hablado anteriormente, esto es, que el total. cualquiera de lo', milicianos de que lvabla este articulo que ic toque la suer En la cuarta votación lo fue el Sr. Alava por SS votos, del total qus te de soldado puede permanecer seis meses en la milicia, abonándosele era 90 , habiendo teñí. o los otros dos ei Sv. Y :11aboa. cunto si hubiese estado en el egercito. En la cumia votación lo lueelSr. Gómez por 8: votos, que era el…</t>
  </si>
  <si>
    <t>…n acreedores á ser reempla tigüedad de capitanes vivos y efectivos de infantería hasta fia del aro zados.” 14, y ñus particularmente los que siendo ya capitanes efectiros en el El Sr. Alava: Ms ha chocado verdaderamente este artículo, y no egército, tuvieron ingreso en guardias, podrán ser muy atendidos par» te crea que es por interes personal, pues tres sobrinos que tengo en segundos comandantes de la milicia nacional activa. guardias estuviero…</t>
  </si>
  <si>
    <t>Gaceta Española n.º 66</t>
  </si>
  <si>
    <t>…spacho se procede á la lectura de la proposi expediente relativo á la queja dada, por Josef Samper contra cier ción del Sr. Galiano. tos individuos de la audiencia de Valencia. El Sr. Alava: Yo desearía que en atención á que la sesión Se leyó y halló conforme con lo aprobado la minuta de de de hoy es de las mas importantes que puede haber en un cuer creto sobre desestanco de tabaco que presentaba revisada la comi po legislativo se siguiesen exac…</t>
  </si>
  <si>
    <t>…pronta seguridad procede á la lectura de la proposición del Sr. Ga de la persona de S. M. v la de las Córtes. listo es la; no. salvar la patria; pues aunque la monarquía nunca Ei Sr. Alava: Yo desearía que en al unción á qne muere (api..usos repetidos en las galerías). it»p¡t,., la sesión do hoi es de las mas importantes que pue continuó et orador, que aunque la monarquía nunca de haber en un cuerpo Icjidalivo se siguiesen esaemuero , porque es…</t>
  </si>
  <si>
    <t>Gaceta Española n.º 164</t>
  </si>
  <si>
    <t>614</t>
  </si>
  <si>
    <t>…o rumbo, tiadores. lodos estos buques han traído trigo , alpiste , ace,te , aguardante, Ultimamente , es verdad que ha habido incendio en Puntales, pasas, vino y frutas. T. que el general Alava ha estado en el Puerto; pero estos hechos No ha ocurrido novedad particular en la escuadra enemiga. no lian tenido la correlación que tan desatinadamente les da el ga cetero. Los almacenes que se incendiaron se cree fue por efecto En una carta de Alicante de…</t>
  </si>
  <si>
    <t>Gaceta de Madrid n.º 1163</t>
  </si>
  <si>
    <t>…lenarse unos á otros de desvergüenzas, pues no se les caen de los labios las palabras traidor y ladrón coa que recí procedentes de la China. procamente se saludan: también está el general Alava, este an HUNGRIA. tiguo amigo de Weliington, del que se dice ha obtenido permi so para pasar á Francia, y de quien no se esperaba ciertamente Setnlin 28 de Octubre. que se envileciese hasta el extremo de alternar con los Galianos Según las últimas noticias de…</t>
  </si>
  <si>
    <t>Alava, Miguel</t>
  </si>
  <si>
    <t>Miguel Alava</t>
  </si>
  <si>
    <t>…ingue cion que de la misma batalla se publicó en ingles, y los partes dados í í los libres, y hagais cuantos sacrificios esta exige de nosotros, que nuestro Gobierno por el Fxemo. Sr. D. Miguel Alava. Se vende en deberán parecemos muy pequeños, por grandes que sean, si con ello» Madrid en la librería de Perez; en Cádiz en la de Zaragoza, y en Se logramos librarla de la mayor de todas las desgracias. villa en la de Berard. * Constitución ó mu rte sea nuest…</t>
  </si>
  <si>
    <t>Alava, Miguel de</t>
  </si>
  <si>
    <t>Miguel de Alava</t>
  </si>
  <si>
    <t>…ñola, Rey de las Españas, á todos los que Por el ministerio de la Guerra se dijo en 17 del corriente al las presentes vieren y entendieren , sabed : Que las Cortes han de teniente general D. Miguel de Alava lo siguiente: =: He dado cretado lo siguiente: =Las Cortes ,usando de la facultad que se Ies cuenta al Rey de la exposición de V. E. de 12 del actual, en la concede por la Constitución , han decretado : Los cupos corres que manifiesta la resolución que ha tom…</t>
  </si>
  <si>
    <t>…nas de Heliópolis, que dicen ofreció un toria la respucbU dada por S. M. C. ú la comunicación hecha abrigo á la santa familia cuando huvó á Egipto. Los coptos van ayer al teniente general D. Miguel de Alava, y no tratando en peregrinación á la gruta donde S. Josef, la Virgen v d N S. A. R. el duque de Angulema de entrar en contestación al ño se albergaron por algún tiempo, y los cristianos griegos van guna que no fuese bajo aquellas bases, esperaba que pua las o…</t>
  </si>
  <si>
    <t>Alba, Esteban de</t>
  </si>
  <si>
    <t>Esteban de Alba</t>
  </si>
  <si>
    <t>Gaceta Española n.º 53</t>
  </si>
  <si>
    <t>…gunos dias en Consecuente, dice este periódico, á la circular del Excmo. Sr. Sevilla. general en gefe del ejército de reserva salió ayer para Carmona el diputado de esta provincia D. Esteban de Alba. En aquella Extracto de noticias extrangeras sacadas de los periódicos in ciudad se deben reunir los ocho representantes del p.° y io.° dis gleses. trito. Deseamos y lo mismo desean todos los patriotas que se rea La Francia tiene en los mares de América una m…</t>
  </si>
  <si>
    <t>Albcar</t>
  </si>
  <si>
    <t>…capricho, sino por ra Se procedió á la discusión del dictamen de la comisión de Le zones y por derecho, y que per lo tanto tomamos todos los gislación sobre las proposiciones del Sr. Albcar. (Véase el extracto informes necesarios. Asi creo que debemos atenernos á saber de la sesión del 26). oficialmente loque haya sobre el particular. Se. trata ademas de El Sr. Albear: Antes de ahora había yo manifestado á los un hecho constitucional , pues se q…</t>
  </si>
  <si>
    <t>Albcri, Do'or-s</t>
  </si>
  <si>
    <t>Do'or-s Albcri</t>
  </si>
  <si>
    <t>…divisiones y pun la denuncia firmada por D. Mauricio Alberl y T rradss en nombre tos principales del globo con el auxilio de un bu:n atlas. Este es el propio y en el de marido de Doña Do'or-s Albcri , y el artículo co tercer tomo de los elementos de matemáticas puras y mixtas del mis municado que acusa inserto en el n Indicado' cala-an” de seis da los mo autor. Véndese toda la obra en dicha casa de educación sita en la corrientes, que empieza: «Señor edi…</t>
  </si>
  <si>
    <t>Albear</t>
  </si>
  <si>
    <t>…e conceden ocho dias á todo buque para su D:l ayuntamiento constitucional y varios ciudadanos de Laredo, descarga, y no verificándose en este término se le pondrá un guarda por ei Sr. Albear. í bordo ; se decomisará todo género que no se anote en el mmifiesto; Del ayuntamiento constitucional y milicia nacional de Benicarló, y para la salida se presentará otro en la misma forma que el de entra por el Sr. Canga. da , procediéndose á detener el buqu…</t>
  </si>
  <si>
    <t>…sultado al Consejo de Estado ¡ y en una guerra impía , funestísima necesariamente á su patria , á cuál es su dictamen. la cual han vendido por su ambición y por su vil interes. El Sr. Albear: La cuestión del momento está reducida á si Idtm 30. el oficio que el Gobierno ha pasado á las Cortes ha sido en cum plimiento de lo que la Constitución le previene, ó ha sido sola Se asegura ya hoy como positivo que los franceses no han mente un simple aviso…</t>
  </si>
  <si>
    <t>Gaceta Española n.º 22</t>
  </si>
  <si>
    <t>…e Hacienda , después de decla capellán de artillería. rada comprendida en el articulo too del reglamento, una propo Empleados: comandante D. Juan Bautista Ruiio. =D. Jo sición del Sr. Albear, para que se presentasen los datos estadísti sef Eábregas , alcaide de la aduar..!. = D. Marín Vidal. cos que hubiese para el repartimiento de las contnbuc.ones direc Sabemos que son otros los deten‘dos, cuyos nombres no he ta y de consumos. mos aun podido in…</t>
  </si>
  <si>
    <t>…entran en campaña, Se leyó y aprobó el acta de la anrerior después de una lige la facilidad con que han hecho la invasión, la ninguna resistencia ra modificación propuesta por el Sr. Albear. que encuentran, la buena acogida que hallan en los pueblos, las Las Cortes quedaron enteradas de un oficio del Sr. secretario pocas fuerzas de los ejércitos constitucionales; en fin, han hecho de la Gobernaron de la Península , en que participaba que S. Al.…</t>
  </si>
  <si>
    <t>…un Se declaró haber lugar i votar en la totalidad sobre el pro señor diputado no ha aprobado esta proposición. j yecto presentado por la comisión de Guerra acerca de las propo El Sr. Albear: Yo he aprobado ia proposición; pero si se í siciones del Sr. Moure relativas á la organización de los batallo ha de expresar que lo ha sido por unanimidad no la aprobaré. ■ nes de milicia nacional activa. (Véase el Espectador de 9 del cor Interin se presenta…</t>
  </si>
  <si>
    <t>Gaceta Española n.º 107</t>
  </si>
  <si>
    <t>…, y se de aquellas palabras ; porque ; para qué tachó el Sr. Paterna de admitió á discusión por 44 votos contra 39. anticonstitucional el nombramiento de la Regencia, sino para El Sr. Albear: Antes de todo pido se lean las expresiones paliar la defección del conde de Cartagena, y como para hacer del Sr. Rodríguez Paterna. (Se leyeron.) En primer lugar, con ver que no estaba obligado a obedecer al Gobierno legítimo: tinuó el orador, debo hacer pre…</t>
  </si>
  <si>
    <t>…a tribuna, y leyó el dictamen de la aquella provincia. mayoría de la comisión de Legislación sobre la proposición del La comisión de Diputaciones provinciales en vista de la adi—, Sr. Albear, relativa á las rentas que deben disfrutar ios que sean cion del Sr. Oliver al art. i.° del decreto sobre beneficencia , opt- elegidos diputados á Cortes, é igualmente se leyó el voto de la naba que podía añadirse después de la palabra « dirección,” las si mi…</t>
  </si>
  <si>
    <t>…s de religiosas; los cabil latura. No puede echarse- en olvidó que cuando se tratara de ad dos retienen las fincas; S. M. no ha tenido a bien sancionar la mitir la proposición del Sr. Albear, seria necesario descender á ley sobre la pronta desamortización de las capellanías de sangre; otros muchos pormenores, fijar cuales so.n los bienes raíces, á para ios ramos de instrucción pública y de beneficencia se van qué clase pertenecen los censos, las…</t>
  </si>
  <si>
    <t>Gaceta Española n.º 109</t>
  </si>
  <si>
    <t>…permanente, y si quedaba tiempo se discutiria el dictamen sen sobre él antes que se concluyese la actual legislatura, opinan de la comisión de Legislación sobre la proposición del Sr. Albear. do el Gobierno que sin perjuicio del curso de este expediente se Se levantó la sesión pública, y quedaron las Cortes en deben despachar los cargamentos por cuenta de la compañía pa secreta. gando los derechos establecidos. ■ ctgi Se hizo la primera lectura d…</t>
  </si>
  <si>
    <t>…r. Albcar. (Véase el extracto informes necesarios. Asi creo que debemos atenernos á saber de la sesión del 26). oficialmente loque haya sobre el particular. Se. trata ademas de El Sr. Albear: Antes de ahora había yo manifestado á los un hecho constitucional , pues se quiere saber si será llegado Sres. de la comisión mis deseos sobre este asunto , que son los el caso que previene la Constitución de que el que sea nombrado mismos de la gente sensat…</t>
  </si>
  <si>
    <t>…solemnidad, extensión y dimanasen solo del extrangero , nada importaría que dcsachásemos publicidad que merece , debe pasar informe del Gobierno. en el momento la proposición del Sr. Albear; pero por des me El Sr. B.uiz de la Vega: Confieso que el asunto de que se cía también han dimanado de una gran parte de la Nación , y á ocupan las Cortes en la actualidad es de la mayor importancia; esta parte es preciso desengañarla , y hacerle ver que no e…</t>
  </si>
  <si>
    <t>…sesiones. La comisión no rio á la aprobación del dictamen de la comisión de Legislación lia tratado de envolver con este dictamen en un caos ni á las Cor sobre la proposición del Sr. Albear. tes ni al Gobierno, y solo ha propuesto lo que ha creído mas con Se aprobó el siguiente dictamen de la comisión de Crédito veniente, y por todas estas razones debe aprobarse el dictamen de público. la comisión. La comisión presentaba los siguientes artículos…</t>
  </si>
  <si>
    <t>…uen, y en cuya virtud hayan sido hechos por los mas de la comisión lo acordaron asi las Cortes. comisionados o pagadores subalternos Leída la última parte del dictamen pregunto el Sr. Albear si Art. 12. Estos al hn de cada mes formarán una relación ex sin pei juicio de ella quedaba el Gobierno autorizado para conti presiva de todos los pagos hechos en el con indicación de sujetos, nuar las negociaciones con cualquiera potencia, con quien ias tu c…</t>
  </si>
  <si>
    <t>Gaceta Española n.º 153</t>
  </si>
  <si>
    <t>…spenda ia ejecución de ios 25 de Junio al 6 de Julio, pasan la cordillera, y llegan al valle acuerdos de la junta ” de Jauja en un mes próximamente , después de haber dejado en El Sr. Albear dijo que no se opondria al ped’do del expedien la marcha porción de hombres muertos al rigor del clima y mal te si se hubiese de tratar de este asunto en ses.on secreta, porque estado de su salud; en 25 de Agosto vuelven estos mismos á asi le parecia deber ej…</t>
  </si>
  <si>
    <t>Albear, Manuel</t>
  </si>
  <si>
    <t>Manuel Albear</t>
  </si>
  <si>
    <t>Gaceta de Madrid n.º 363</t>
  </si>
  <si>
    <t>…nsagra á su augusto Soberano , se de V. A. S.zshi teniente coronel Gorgonio Yaniz. = E1 capi apresura á felicitar a V. A. 5. la mas fina y plausible enhora tán Melchor Arnaez.ssEl capitán Manuel Albear.” buena, regando sus plantas con lágrimas de alegría, consideran do desvanecida felizmente la negra Opresión y densa esclavitud Sermo. Sr.: » Cuando los corazones oprimidos marchan de en que á todo español amante de su Rey tenia sumergido la la oscuridad en q…</t>
  </si>
  <si>
    <t>Albera, María</t>
  </si>
  <si>
    <t>María Albera</t>
  </si>
  <si>
    <t>Gaceta de Madrid n.º 933</t>
  </si>
  <si>
    <t>…, la desolación de sús pueblos! ¡Qué funes Antonio Pellicode ésta vecindad, contra-D. Prudencio Mo tas y aterradoras imágenes para el corazón sensible de Fernán- • reno y su muger Doña María Albera sobre .pago r&lt;je 1167 rs., ¿o! Para' decidirse solóse le concedía, uñ brevísimo término: procedentes de manutención de unas muías, se ha ipandado con ¿qué debía hacer? lo que hizo: juró i, y este invalido juramento vocar á estos .pqr. mejlip del Diario y Gace…</t>
  </si>
  <si>
    <t>Alberto, Basilio</t>
  </si>
  <si>
    <t>Basilio Alberto</t>
  </si>
  <si>
    <t>…rcunstancias en que se halló) aquella, y pudiendo ser muy nota táculos no daba ahora parte por no serle posible. da su falta de asistenc'a al Congreso, creía de su deber comuni El Sr. Basilio Alberto pasó la lista de los señores diputados, carle que se disponía para presentarse á desempeñar sus fun y dió) cuenta de su resultado. ciones. El Sr. Moura dijo: Señor presidente, hoy es un dia en que El Sr. Galiano dijo: Pido se haga de esta representación el lo…</t>
  </si>
  <si>
    <t>Albistur, Joaquin de</t>
  </si>
  <si>
    <t>Joaquin de Albistur</t>
  </si>
  <si>
    <t>…onforme al egemplo que les ha El dia 24 se entregó del mando interino de gefe político de esta pro dado el mejor de los Reyes, seguido por la Nación entera, han cometido vincia el Sr. D. Joaquin de Albistur__ Ayer entró en esta plaza el infa un atentado horroroso, y se harán execrables á los ojos de todos los hele* tigable coronel Jáuregui con una fuerte columna, compuesta de muy luci y honrados portugueses. da tropa de España, milicia activa de Avila y lklanzo»…</t>
  </si>
  <si>
    <t>Albóniga, Santiago Manuel de</t>
  </si>
  <si>
    <t>Santiago Manuel de Albóniga</t>
  </si>
  <si>
    <t>Gaceta de Madrid n.º 1133</t>
  </si>
  <si>
    <t>…pacho universal............................... 6 Alcalde de Casa y Corte, refrendada del Escribano de provincia Oficiales de Jas mismas Secretaría».............................. g D. Santiago Manuel de Albóniga , se cita á D. Juan Manuel Gefes políticos......................................... 3 Chamorro, para que dentro de ocho dias, contados desde hoy, Consejeros.......................................................... I se presente en dicho juzgado á oír la prov…</t>
  </si>
  <si>
    <t>Albornoz, Jos-f</t>
  </si>
  <si>
    <t>Jos-f Albornoz</t>
  </si>
  <si>
    <t>…18 Idem de 700 rs. para los anteriores y pos Dios guarde 3 V. E. muchos años. Ciudad Real 6 de Abril de 1823.3 teriores á los nueve de 8000................. 12,600. Excmo. Sr.=:El comandante Jos-f Albornoz. = Excmo. Sr. general en 40 Idem de 600 rs. para los anteriores y pos gefe del tercer egército de operaciones.” teriores i los veinte de 4000................. 34,000. Aviso de la imprenta nacional. 60 Id. de 5C0 rs. para los anteriores y pos. teriores á los t…</t>
  </si>
  <si>
    <t>Albornoz, Joscf</t>
  </si>
  <si>
    <t>Joscf Albornoz</t>
  </si>
  <si>
    <t>…, tomada razón en la con V E. muchos años. Madridejcs i.’ de Abrir ¿ ias 8 de su noche da taduría ds intervención con el nímn. 31,104, y en el Oédito público 1823. = Ex.mo. Sr.= M comandante Joscf Albornoz. = Exento, Se con e! núm. 30,577, de valor 20 958 rs. y 6 mis—Un libramiento ñor general en g fe del tercer egército de operaciones.” de intereses d- vaies , registro 2, núm 25, de i.°Ei rodé 1822, á favor de D. Mateo P.-reZ , da [083 rs—Otro id., registro 3…</t>
  </si>
  <si>
    <t>Gaceta Española n.º 13</t>
  </si>
  <si>
    <t>…del valíente Empedrado. „E1 Sr. comandante militar de Ja provincia me traslada en este Españoles : Los franceses han osado invadir traidora y vil dia el parte que ha recibido del comandante D. Joscf Albornoz, mente nuestro santo suelo , y marchan sobre el Ebro. Siempre y por él resulta , que el 14 del actual alcanzó en el Alamillo , á español y libre estoy decidido á hacerles por segunda vez guer dos leguas de Almadén, con la columna de su mando, á la fac ra á sa…</t>
  </si>
  <si>
    <t>Albornoz, Josef</t>
  </si>
  <si>
    <t>Josef Albornoz</t>
  </si>
  <si>
    <t>…*n- papel de mayor marca; y se darán ademas todo» »Excmo. Sr.: El comandante de la columna móvil de este los suplemento* que se er«»n necesarios para no privar al público ejército D. Josef Albornoz con fecha de i.° del actual desde dé cuanto se considere interesante. &lt; Madridejos me dice lo siguiente: Excmo. Sr.: Cumpliendo con A los -suscriptores que esten abonados á la gaceta de Ma lo que prometí á V. E. en mi oficio de ayer sobre la gloriosa drid por…</t>
  </si>
  <si>
    <t>Albornoz, Ramón Carrillo</t>
  </si>
  <si>
    <t>Ramón Carrillo Albornoz</t>
  </si>
  <si>
    <t>38</t>
  </si>
  <si>
    <t>…r de no pod*r tener parte en esta acción. dicha vacante dirigirán sus me,r.uriales al referido ayuntamien » El duque de Diñó recomit nda á la bondad de V. A. R. to por medio de su secretario D. Ramón Carrillo Albornoz; al estimable coronel D’Argout, presentando también á su Real en inteligencia de que se proveerá en la persona que se estime consideración al Sr. Dirieux, oficial pagador, que seguido de mas apta para su desempeño. ' algunos cazadores, fue por la espalda del…</t>
  </si>
  <si>
    <t>Albornoz-, Josef</t>
  </si>
  <si>
    <t>Josef Albornoz-</t>
  </si>
  <si>
    <t>…Abril. eal conocimiento. Lo que traslado á V- E. para que se sirva ponerlo en noticia de S. M. , recomendando yo muy particular 2. g.° de línea. 79- 14IO. mente al expresado gefe D. Josef Albornoz-, y todos los demás 5- El 8 de línea. 54- Iglú. individuos de su columna , por su valor y acierto en las opera 7- El 31 de línea. 55- IIOÓ. ciones-de aquella jornada que tan buen éxito, tuvo. ¿= Dios guar lo. Húsares del alto Rhin. 28. 380. de á V. E. muchos a…</t>
  </si>
  <si>
    <t>ALca</t>
  </si>
  <si>
    <t>Gaceta Española n.º 110</t>
  </si>
  <si>
    <t>…dió a la elección del Sr. suplente . v qu-d ' F g'd." el CORTES. Sr. .Abren por 48 votos , habiéndose rcpaitaío .o» ie»tam.&gt; o; t’KKMUENCIA nía SESoR ZVtfEt.V. oía lorm.i , 14 t.j Sr. ALca, 4 ei Sr, Salva , 3 el Sr. bou cr. , 5 F.vtrnrto de la sesión del día -jS de Julio. vi Sr. I ornas, ; el Sr. Nelra, v uno re»pee; vamcMc i •» &gt; \-. Se- leyó y quedo aprobada el acta de la anterior. Bellran de Lis, Somo/a . Herrera liustanunte, Kr.cr RE J.uSe…</t>
  </si>
  <si>
    <t>Alcaide, Josef</t>
  </si>
  <si>
    <t>Josef Alcaide</t>
  </si>
  <si>
    <t>Gaceta Española n.º 133</t>
  </si>
  <si>
    <t>…a declarado formalmente la Manchal: D. Josef z\poita por la de Vizcaya: D. Dominco que ni él ni el ejército están sujetos á ia junta , y que no reco Cortés, D. Francisco Enriquez, D. Josef Alcaide y D. Ramón noce en ella autoridad alguna sobre la fuerza militar, cuyo Lamas y Melendcz por la de Galicia: D. Josef Cuevas por la mando independientey ejecutivo corresponde á él mismo. En ella de Cuba en Ultramar : D. Ezequiel Diez por la de Toro: observareis Igualmente…</t>
  </si>
  <si>
    <t>Alcalá, Josef María de</t>
  </si>
  <si>
    <t>Josef María de Alcalá</t>
  </si>
  <si>
    <t>Gaceta de Madrid n.º 483</t>
  </si>
  <si>
    <t>…e Real Hacienda del campo volante de Mallorca: en Abril y veneración de, la divina Providencia, dijo el Sr. Dr. y Mtro. de 1801 obtuvo el empleo de intendente de Marina del depar- D. Josef María de Alcalá, canónigo magistral de Ja mitma lamenio de Cádiz: en Julio de 1812 fue nombrado ministro del Sta. iglesia, en 29 de Julio ds8io: un cuaderno á 2 rs. íupr-mo tribunal de Guerra y Marina: en Agosto de 14 con El Jacobinismo: obra útil en todos tiempos, y necesar…</t>
  </si>
  <si>
    <t>Alcalde</t>
  </si>
  <si>
    <t>…lo. pone , mucho menos cuando se he reducido la contribución territorial á una mitad de lo que era aníiguatnense, y lo, mismo el diezmo; de De la M. N. L. V. da Pontevedra, por el Sr. Alcalde. suerte que aunque la Nación no esté abundante:de numerario, no e:;¿ Del ayuntamiento constitucional y oficiales de la milicia ds Elda, tan escasa que no se puedan pagar las contribuciones en especie, y ren por el Sr. Rico. gan que pagarse en frutos. El cobro…</t>
  </si>
  <si>
    <t>…fero paga por separado: es pueblo sano y de buena situación. Los á mediados del siglo 18, y hace 40 años que se esfuerza deses pretendientes dirigirán sus memoriales por medio del Sr. Alcalde peradamente en inficionar á todo el género humano con sus D. Pedro Montero Blazquez, los que se admitirán hasta el dia ideas de exterminio. Fanatizados con ellas hasta un extremo in go del presente mes de Octubre. creíble, ni los arredra la multitud, que se s…</t>
  </si>
  <si>
    <t>Gaceta de Madrid n.º 1083</t>
  </si>
  <si>
    <t>…ores Alcaldes del Departamento. alegría del numeroso concurso de esta población, de otras y de Mans ig de Octubre. Jaén, son una prueba de que en todas partes es S. M. igualmente „Señor Alcalde: Manda el Rey que en todas las iglesias del respetado y amado. El limo. Obispo, cabildo eclesiástico y eL Reino se den gracias al Todopoderoso por el feliz resultado de Ayuntamiento de Jaén ofrecieron al Rey nuestro Señor el traer Ja guerra de España, que ha…</t>
  </si>
  <si>
    <t>Gaceta de Madrid n.º 1123</t>
  </si>
  <si>
    <t>…ia 30 del actual en la posada del Sr. Alcalde de Corte Don. Hay soldados como el Cid. Tomas de Arizmendi, juez de dicho concurso , á las diez de su mañana; y se previene que dicho Sr. Alcalde vive en la calle de SOBRE IAS ESTATUAS COLOCADAS DENTRO S. Jacinto, casa de Robledo. DEL ARCO PRINCIPAL. En el año de ibio Je tocó la suerte de soldado á Josef MuMarte. chales’, natura! de Valencia , y quinto de la parroquia de S. Nico* No siempre con sangre…</t>
  </si>
  <si>
    <t>Alcalde, Josef</t>
  </si>
  <si>
    <t>Josef Alcalde</t>
  </si>
  <si>
    <t>Gaceta Española n.º 123</t>
  </si>
  <si>
    <t>…lmente señala el código penal. la Mancha: D. Josef Apoita por la de Vizcaya: D. Domingo Art. 9." Cualquiera que á la sombra del ejército invasor ó Cortés, D. Francisco Tlenriquez, D. Josef Alcalde y D. Ra de las partidas de facciosos solicite, acepte, sirva ó continúe sir món Lamas y Melendez por la de Galicia: D. Josef Cuevas poc viendo algún destino, sufrirá las penas del articulo anterior, y la de Cuba en Ultramar : D. Ezequiel Diez por la de Toro: quedará…</t>
  </si>
  <si>
    <t>Alcañiz, Tot-</t>
  </si>
  <si>
    <t>Tot- Alcañiz</t>
  </si>
  <si>
    <t>Gaceta Española n.º 147</t>
  </si>
  <si>
    <t>Teníamos escrito esto, entíbelo afortunadamente lia llegado á rio de S. Antón, formando Asturias la guerrilla de la derecha', nuestras manos el parte que da el coronel Valdts al general Tot- Alcañiz la izquierda, y \ o por el centro con Valencey-. iueco rijos, que con mucho gusto publicamos á continuación. que V. S. me dió nuevas órdenes á la llegada de dicho barrio, le ocupé y encontré al enemigo , que estalla en la noria y casas Muertos , heridos y pri…</t>
  </si>
  <si>
    <t>Alcántara</t>
  </si>
  <si>
    <t>…debían las Corles el modo de verificarse el reemplazo del egército, las cuales se hallaron discutir con preferencia á todos los demas. conformes con lo acordado por las Cortes. El Sr. Alcántara: Al impugnar el voto particular de un señor in Se continuó la discusión del voto particular del Sr. Alvarez Gu dividuo d* la comisión eclesiástica, encargada de extender el proyecto tiérrez al dictamen de la comisión Eclesiástica sobre arreglo del clero. sobr…</t>
  </si>
  <si>
    <t>Alcántara, Josef</t>
  </si>
  <si>
    <t>Josef Alcántara</t>
  </si>
  <si>
    <t>…s ocupadas circulen con toda brevedad por ellas la presente ley. Josef Jaime y D. Manuel Lasala por la provincia de Aragón: Cádiz 18 de Junio de 1823.=: Por tanto mandamos á todos D. Josef Alcántara y D. Miguel Busutil por la de Málaga: Don los tribunales, justicias, gefes, gobernadores y demas Au Emeteno Martí por la de Cataluña: D. Diego de la Vega In toridades , asi civiles como militares y eclesiásticas, de cual fanzón por la de Asturias: D. Francisco Javier Perez de Va…</t>
  </si>
  <si>
    <t>…an últimas Cámaras, anunciando que ioo9 franceses mandados Josef Jaime y D. Manuel Lasala por la provincia de Araron: por un príncipe de su familia, venían á reconciliar Ja España D. Josef Alcántara y D. Miguel Busutil por la de Málaga: Ron con la Europa , hace el editor las siguientes breves retiexiones, Emeterlo Martí por la de Cataluña: D. Dieco de la Vega In que insertamos literalmente como un aviso á los fanáticos secta fanzón por Ja de Asturias: D. Francisco Javier Pé…</t>
  </si>
  <si>
    <t>…Roig por las Islas Baleares: D. Josef Sangenís, D. Juan con motivo de un juicio de jurados en Córdoba. (Gaceta Josef Jaime y D. Alanucl Lasala por la provincia de Aragón: del 8 ) D. Josef Alcántara y D. Miguel Busutil por la de Málaga: Don Resolución de las Córtes declarando que no escucharán propo Emetcrio Martí por la de Cataluña: D. Diego de la Vega In sición alguna relativa á variar la Constitución. ( G ¡ceta aet 8.) fanzón por la de Asturias: D. Francisco Javier Perez…</t>
  </si>
  <si>
    <t>Alcaraz, Manuel de</t>
  </si>
  <si>
    <t>Manuel de Alcaraz</t>
  </si>
  <si>
    <t>Gaceta Española n.º 57</t>
  </si>
  <si>
    <t>…ámara reunida en junta extraordinariamente A la comisión de Caso, de responsabilidad se mando pasar 60.tiene e¡ buen nombre que siempre ha merecido: las milicias una exposición de D. Manuel de Alcaraz , cara párroco de Pun 11 ic o'i des se reúnen á porfía , y á las ordenes de sus digno, gctes to Domingo de Alarcon , quejándose del prov.sor de aquct.a d lucen ver lo que puede esperarse de hombres libres cuando se cesis, y pidiendo se le exija la rcspousab.h…</t>
  </si>
  <si>
    <t>Alcázar, Amonio del</t>
  </si>
  <si>
    <t>Amonio del Alcázar</t>
  </si>
  <si>
    <t>…íguez , D. Vicente Segurado, D. Bernardo Asenjo, 30 hombres.” D. Francisco Javier Barra , D. Joaquín Huerta Cevallos, D. Juan Isidoro Ministerio de Guerra. Pérez, D. Andrés Alcon, D. Amonio del Alcázar , D. Joaquín Manri El Rey se ha servido mandar que el regimiento número 37 de infan que y Manrique. tería ríe linea, que tiene el nombre de Imperial Alejandro, tome desde Habida la conferencia se decidió por unanimidad « haber lugar á la csU fecha el de la Un…</t>
  </si>
  <si>
    <t>Alcázar, Antonio de</t>
  </si>
  <si>
    <t>Antonio de Alcázar</t>
  </si>
  <si>
    <t>…ara las urgencias de Señores que declararon dicho impreso sedicioso en tercer grado: la Nación durante la guerra extrangeia. Dígnese V. E. inclinar el Uta! D. Gonzalo de Cárdenas, D. Antonio de Alcázar, D. Ramón Llord, ánimo de S- M. i admitir esta pequeña ofrenda, que hago gustosí.imo D. Francisco López de Olavarrieta, D. Joaquín de Ce"-! os, P. Ju en i» aras de a libertad , ai mismo tiempo que renuevo el juramento lián de Fuentes, D. Nicolás Cano de Luque…</t>
  </si>
  <si>
    <t>Alcocer, Pedro Polo de</t>
  </si>
  <si>
    <t>Pedro Polo de Alcocer</t>
  </si>
  <si>
    <t>Gaceta de Madrid n.º 1193</t>
  </si>
  <si>
    <t>…y Pinto, de la provincia de Madrid, Palencia á D. Josef Magro y Ruiz: la de Jas Nuevas Poblacio y en los de Torrijos y Almorox, en la de Toledo. nes de Sierra Morena y Andalucía a D. Pedro Polo de Alcocer; La Dirección lia oido sobre el particular á la Contaduría ge la de Segovia á D. Pedro Alcántara Diaz Lavandera, y la de neral de Rentas provinciales, y conformándose con ru dictamen, Soria á í&gt;. Jtiah González Bango. Tendí ase entendido en el Con ha acordado…</t>
  </si>
  <si>
    <t>Alcon, Andrés</t>
  </si>
  <si>
    <t>Andrés Alcon</t>
  </si>
  <si>
    <t>…sef Demetrio Rodríguez , D. Vicente Segurado, D. Bernardo Asenjo, 30 hombres.” D. Francisco Javier Barra , D. Joaquín Huerta Cevallos, D. Juan Isidoro Ministerio de Guerra. Pérez, D. Andrés Alcon, D. Amonio del Alcázar , D. Joaquín Manri El Rey se ha servido mandar que el regimiento número 37 de infan que y Manrique. tería ríe linea, que tiene el nombre de Imperial Alejandro, tome desde Habida la conferencia se decidió por unanimidad « haber lugar á l…</t>
  </si>
  <si>
    <t>humilde y adiadamente, sí, porque ist hablan siempre los españoles i D. Andrés Alcon. D. Josef Radon. su Rey, pero con una decisión heroica, * rogarle que se dignase de dar El Dr. D. Josef Sainz de Rozas. D. Nicolás Alonso. ya fin á las amarguras de sus subditos, adoptando el pació que recla D. Vicente Villanova. D. Elias Montero y Porlocarma…</t>
  </si>
  <si>
    <t>Alcon, Chateaubriand</t>
  </si>
  <si>
    <t>Chateaubriand Alcon</t>
  </si>
  <si>
    <t>Gaceta de Madrid n.º 86</t>
  </si>
  <si>
    <t>…guientes: D. Luis de Mata Araujo, D- Juan. Antonio Marco, D- Andrea Moya Luzuriaga, D- Saturnino Lozano, D. Josef Castel, D. Andrés (4) Los español» lo conocen ; y extrañan que el Sr. Chateaubriand Alcon, D. Domingo Vrllítnil’, D. Fiancisco López Olavarrieta y se meta en lo que no le toca, como él mismo confiesa.'Para conservar D- Gonzalo Cárdenas. el honor de su partido-es capaz de ir á buscar tretas d ultra Garamatt- Habida ia conferencia, se declaró por un…</t>
  </si>
  <si>
    <t>Alcrsz, Nicolás</t>
  </si>
  <si>
    <t>Nicolás Alcrsz</t>
  </si>
  <si>
    <t>…o de Cartagena en 23 de Noviembre del D. Valentín Ortigosa , D. Marcos Antonio Mcnczo, D. Cayetano Ro aro ultimo con destino á cruzar en aquellas aguas, fondeó en el lirismo mero, D. Nicolás Alcrsz», D. Juan Luqui:, D. Joaquín Manrique , Don puerto ei 14 dei siguiente mes; y enterado su comandante el capúan de Juan Fernandez Casariego, D. Valentín Recio y D. Juan Castel. fiaeara D. Manuel de Cañas de la tranquilidad que gozaba la isla, y suer Habida la…</t>
  </si>
  <si>
    <t>Alda, Josef Rey</t>
  </si>
  <si>
    <t>Josef Rey Alda</t>
  </si>
  <si>
    <t>…an que sus seño haciendo nombramientos de. empleados: á un tal Borricón se le ríos territoriales v solariegos son de los que se deben considerar ha nombrado tesorero de correos; á D. Josef Rey Alda inten como propiedad particular, presentaran ante los jueces respectivos dente de Madrid, y á D. Francisco Csmpuzano juez de contra de primera instancia los t.lulos de adquisición , pira que se deeda bandos en.Vizcaya.; perojeste último.no ha admitido. Existe…</t>
  </si>
  <si>
    <t>Alda-, Ramón de</t>
  </si>
  <si>
    <t>Ramón de Alda-</t>
  </si>
  <si>
    <t>…ue los men de Cataluña á D. Vicente Frígola: la del de Extremadura á Don cionados dueños percibian sus haberes de las justicias de los pue Josef Rey y Alda, y la del de Valencia á D. Ramón de Alda- blos en que se hallaban situados sus derechos; solicitando en soro: la de la provincia de Avila á D. Felipe Morales: la de consecuencia se declare adonde debe acudir í Cobrar el medio Burgos á D. Diego Escandon: la de Madrid á D. Josef de Echa- año de la rent…</t>
  </si>
  <si>
    <t>Aldama, Ramón</t>
  </si>
  <si>
    <t>Ramón Aldama</t>
  </si>
  <si>
    <t>…do jurar, y veo que es llamada á scr Se mandó pasar con urgencia la comisión da Hacienda una expop.rte de la regencia provisional cuando vacare la corona. Luego la Rei- s:cíon de! intendente D. Ramón Aldama , remitida por el Sr. recreta.:a es un funcionario público, y la Constitución no puede conceder de- rio i.e Hacienda, sebre los gastos que se sigi en de no haberse enagenaríc'-ios á quien no reconoce el deber de juraría.” El orador probó después do las fragat…</t>
  </si>
  <si>
    <t>Aldama, Santiago de</t>
  </si>
  <si>
    <t>Santiago de Aldama</t>
  </si>
  <si>
    <t>Gaceta de Madrid n.º 14</t>
  </si>
  <si>
    <t>…expresando 18 años, 19 años, y asi Se Leyó y aprobó el acta de la anterior, sucesivamente, siempre con la consideración al día go de Abril del ’ Se dió cuenta de una solicitud de D. Santiago de Aldama, tesorero año en que se baga el alistamiento, como que el i.3 de Mayo siguien de Ws Cortes, pidiendo permiso para ausentarse de Madrid por el tiem te ha de ser el en que se entiendan publicados los reemplazos, asi or po que expresaba, dejando el desempeño de…</t>
  </si>
  <si>
    <t>Aldao, Ramón</t>
  </si>
  <si>
    <t>Ramón Aldao</t>
  </si>
  <si>
    <t>Gaceta de Madrid n.º 99</t>
  </si>
  <si>
    <t>…y ex rilla al mando del teniente D. Antonio Marques Donado, y otra por traordinario de Guadaíajara, propio de la comunidad de religiosas da la derecha al del capitán de cazadores D. Ramón Aldao, marchando Ntra. Sra. de la villa de Cifuentes: si alguno supiere su paradero sa at mismo tiempo con dos columnas por el centro y derecha á ia bayo servirá avisarlo á D. Gavino Blasco, calle de las Fuentes, núm. 3, neta, una á su mando y la otra al del tenien…</t>
  </si>
  <si>
    <t>Aldas, Antonio</t>
  </si>
  <si>
    <t>Antonio Aldas</t>
  </si>
  <si>
    <t>Gaceta de Madrid n.º 343</t>
  </si>
  <si>
    <t>…sas, y de organizar cuerpos españoles sobre jamas ni lo uno ni lo otro: el secretario verdadero de aquel hé el mismo pie de los que WeiJinglon acababa de formaren Por roe se llama D. Antonio Aldas. tugal , fue desechada co^ burla por los revolucionarios. En di __Ha llegado esta mañana aquí una columna de prisioneros de cha época se publicaron en España folletos injuriosos contra el los cojidos en las acciones del 15 y id del corriente, y seguí§</t>
  </si>
  <si>
    <t>Aldasolo, Josef Bernardo de</t>
  </si>
  <si>
    <t>Josef Bernardo de Aldasolo</t>
  </si>
  <si>
    <t>…aliblemente un castigo Ix-róa-auer; id. de Sto. Domingo a D. Ambrosio Eguía é Irigo- pronto y riguroso. Solo,os recomiendo la moderación y el orden, rai- ¡ci. de Miranda de Ebro a D. Josef Bernardo de Aldasolo: pues con esto lo conseguiréis todo, salvareis la patria, y no per id. de A randa de Duero á D. Maniió Pozo: id. de Aifaro á deréis los laureles que habéis cogido en días tan arriesgados y ca 1). Vicente Escudero y Perez: id. de Palcncia á D. Jacinto Alar- la…</t>
  </si>
  <si>
    <t>Aldea, Tadeo</t>
  </si>
  <si>
    <t>Tadeo Aldea</t>
  </si>
  <si>
    <t>…s ; qué hay pues que temer: D. Manuel Lujan: el del Invencible y puerta del Mar a! coronel Los enemigos han hecho hoy un reconocimiento en el llano D. Ramón Foxá; el Observador al coronel D. Tadeo Aldea; y de esta ciudad, y han permanecido hasta las 3 de la tarde en San para comandante de la primera reserva al teniente coronel, gefe Adriá y Santa Coloma. Se han dirigido por el Besos arriba ha del batallón núm. 54, D. Pedro Bruguera; de la segunda al te cia M…</t>
  </si>
  <si>
    <t>Aldecoa, Joaquin de</t>
  </si>
  <si>
    <t>Joaquin de Aldecoa</t>
  </si>
  <si>
    <t>…E. M. Bruno Gómez, q.° Se reconocerá por ayudante del comandante general de artillería de este ejército al comandante de infantería y capitán de Sevilla 6 de Mayo. de aquel cuerpo D. Joaquin de Aldecoa. CORTES. 3.0 Se reconocerá al teniente coronel D. Mariano Salinas, capitán del regimiento de la Corona, como empleado á las in tRESlDEXClA. DEL SESOR FKRRER (DOS JOAQCtX). mediatas órdenes del Excmo. Sr. comandante general de la pri mera división de infanterí…</t>
  </si>
  <si>
    <t>Aldrete, Antonio Luengo</t>
  </si>
  <si>
    <t>Antonio Luengo Aldrete</t>
  </si>
  <si>
    <t>Gaceta de Madrid n.º 873</t>
  </si>
  <si>
    <t>…duda este ayuntamiento y numeroso Mayor D. Luis Armeto, y par» que lo protegiese aKJomanáante vecindario , que, bajo, el sabio y suave gpbier,n¡t»- de V. A., que de la caballería D. Antonio Luengo Aldrete con tres compa- darán exterminados y volverá la aurora á disipar can’nuevos bri fías de cazadores y una de lanceros de ia Infanta DoBa Alaría llos de luz las densas nubes ,‘que con tanto .furor han diseminaFrancisca; y al llegar al punto de Martin del Rio apa…</t>
  </si>
  <si>
    <t>Alear, Atanasio</t>
  </si>
  <si>
    <t>Atanasio Alear</t>
  </si>
  <si>
    <t>…pueblos, opinaba que debia llevarse La misma , habiendo examinado la solicitud de Doña Manue á efecto la ejecutoria que recayó sobre este pleito en 19 de Abril la Albert, viuda de D. Atanasio Alear, relativa á que las Cortes de 1816. le faciliten algún socorro en atención á los servicios de su marido El Sr. Romero dijo: El dictamen de la comisión tal como que murió de un golpe estando embarcado en la fragata de guer está mas bien parece una sentencia ju…</t>
  </si>
  <si>
    <t>Aleara</t>
  </si>
  <si>
    <t>…uesa lo han hecho vacilar por algunos momen disudtas', y haciendo una protesta que quede ¿rabada en el acta. tos. H1 bizarro cuerpo del comercio; estos señalados patriotas, que El Sr. Aleara p.Jio la palabra v dijo: Señores, es nn;\ tráte desamparando sus familias y sus negocios corrieron á las armas en y muy deplorable la situación en que nos hallamos. La tyuion Í d momento en que la patria se halló en peligro, ha dado la quiere la libertad cons…</t>
  </si>
  <si>
    <t>Aleca, Perez de</t>
  </si>
  <si>
    <t>Perez de Aleca</t>
  </si>
  <si>
    <t>…de las autoridades civiles puede ser hasta ahora Del Sr. A’.ix , contrario á todos y cada uno de los artículos plausible ; pero podrá no serlo en adelante. de la misma ley ; y del Sr. Perez de Aleca , contrario á los ar A petición del ir. hlake se leyó el artículo ioo de la Cons tículos 6.“ y y.u titución. Se nombro para la comisión de Corrección de estilo en lu El Sr. secretario de Gracia y Justicia manifestó que nunca se gar de los Sres. Alvarcz Gutiér…</t>
  </si>
  <si>
    <t>Alegría, Bernardina Ruiz de</t>
  </si>
  <si>
    <t>Bernardina Ruiz de Alegría</t>
  </si>
  <si>
    <t>…a al insinuado D. Leodcgario Pérez. Primera brigada de caballería. La casa de educación de señoritas, que al cargo de su directora Alcántara 600 caballos. Aimansa 600. Total 1200. Doña Bernardina Ruiz de Alegría estiba esteblecidá en Ja calle de Stgunda brigada. Hortaliza , junto á la plazuela de Sta. Bárbara , se ha mudado á la ds Coraceros 400 caballos. Calatrava tíoo. Tota! 1D. S. Roque , esquina á la de la Luna , núm. 22, cuarto principal, en Tii corone! mas anti…</t>
  </si>
  <si>
    <t>Alejan</t>
  </si>
  <si>
    <t>…término de un mes, contado desde ¡a publicación hubiera sido completa si la caballería huuicia podido icsístir tanta fati de este anuncio , en el juzgado de primera instancia del Sr. D. Alejan ga ; pero le fus imposible seguir adelante, porque en aquella mañana dro González por ia escribanía de D. Pedro Josei" de Ibabe , donde traia andadas 8 leguas, en virtud ds las órdenes que precisamente tema se halla radicada , á decir lo que se les ofrezca en…</t>
  </si>
  <si>
    <t>Alejan, D- Luis</t>
  </si>
  <si>
    <t>D- Luis Alejan</t>
  </si>
  <si>
    <t>…andó quedase sobre la mesa el dictamen de la comisión. deVjsita del Crédito público sobre la proposición de los Sres. Zu- Legislación. , _ - ■ Uno sobre el expediente del teniente general D- Luis Alejan lueta, Abreu, Galiano é Istúriz , para que las Cortes reconozcan dro Bassecourt solicitando carta de ciudadano. La comisión opi como deuda nacional el préstamo de los 20 millones hecho pot naba que debia. concedérsele. Aprobado. varios particulares de Cádiz e…</t>
  </si>
  <si>
    <t>Alejandra</t>
  </si>
  <si>
    <t>Gaceta Española n.º 68</t>
  </si>
  <si>
    <t>…fecha 7 de ma declarándose independiente y proclamándose empera yó, qiig se esperaba nna mudanza en el ministerio, -y dor del brasil. Este paso tan escandaloso , «linio mu «pm el. emperador Alejandra pensaba en formar otro cho lia , puede acarrear en el dia consecuencia» in enteramente nuevo. El conde W'oronzow . «¡ue luí; calculables, á no ser «pie &lt;d nuevo emperador siga comai alan te CU j«;fe del Contingenté ruso del ejerci el ejemplo de su padre no ha…</t>
  </si>
  <si>
    <t>Alejandro</t>
  </si>
  <si>
    <t>…m i vi i ,K&gt; i rrrr! i \ V «5 i r 1 í í t ( ’.s, i • itiLrl - no;- como su lialiia (orín ido sin rizón, tan- o¡|-i p ir Li: ve ii lia i .’C L' m i s uotori a sil iHobi Luí. te el emperador Alejandro lia roa ¡ n leí i ! &gt; f imbn.m á la decisiim »lc la guerra, va sea por e-pnilu de opo sición al sistema representativo , ó ya por poutici pala que ia ¡Tancia no pueda poner ims[ aculo ;í V : &lt; ' • n i li I ,:o i&lt;u:! í1- tu dud rl s n lee el artículo sus proye…</t>
  </si>
  <si>
    <t>Gaceta Española n.º 170</t>
  </si>
  <si>
    <t>…n fe asamblea , los individuos de los tres órdenes se que dan para pensar de este modo es la determinación bien mani sentarán según el orden señalado en el artículo 2.0 fiesta del emperador Alejandro de no acceder á convenio alguno 40. Al instante que las proposiciones se comuniquen, el mientras exista en Ja Península el menor vestigio de un Gobierno mariscal nombrará en plena asamblea, guardando proporción constitucional. Su magnanimidad , según ellos di…</t>
  </si>
  <si>
    <t>Alemany, Guillelmo</t>
  </si>
  <si>
    <t>Guillelmo Alemany</t>
  </si>
  <si>
    <t>Gaceta de Madrid n.º 102</t>
  </si>
  <si>
    <t>…para Gibraltar. la fronteras, y la certeza con que nos la han asegurado personas El jabeque Virgen del Carmen, de 46 toneladas y 9 hom incapaces de mentir. bres de tripulación, su capitán Guillelmo Alemany, matricu Después de estar ya impreso: el antecedente artículo herno s lado en Palma, cargado de trigo para Gibraltar. saLíiio que los partes recibidos solo dicen que el 15 se hallaba El falucho Santa Marta, de 25 toneladas y 6 hombres de en las Guinguetas la…</t>
  </si>
  <si>
    <t>Ales, Antonio María de</t>
  </si>
  <si>
    <t>Antonio María de Ales</t>
  </si>
  <si>
    <t>Gaceta de Madrid n.º 1213</t>
  </si>
  <si>
    <t>…s deberes, y de saiir te súplica, dirigida á que V. M. se digne nombrar por Corregi de la inacción én' que se hallan, es imposible que S. M. pueda dor de esta ciudad al Licenciado D. Antonio María de Ales, realizar sus benéficas y paternales id=as de asegurar la paz, y vecino de ella y natural de la de Sevilla, quien en todas época* afianzar para siempre el orden y la justicia. ha sido y es de la mejor conducta, mereciendo la general acep E¡ criminal abandono…</t>
  </si>
  <si>
    <t>Alfaraz, Agustín de</t>
  </si>
  <si>
    <t>Agustín de Alfaraz</t>
  </si>
  <si>
    <t>…ar las operaciones de los intendentes pata la recaudación de un momento á otro. Al propio tiempo he recibido otro parte que contribuciones. (Gaceta del 14J) con fecha 16 me dirije D. Agustín de Alfaraz desde el mismo Idem otra, insertando uno de las Cortes , mandando la traspunto , y su tenor es el siguiente :== Mal herido el corone! del re lacón á Sevilla de la junta directiva de) Crédito público, y deter gimiento de caballería de España E&gt;. Joset Martin,…</t>
  </si>
  <si>
    <t>Algaba, Alonso</t>
  </si>
  <si>
    <t>Alonso Algaba</t>
  </si>
  <si>
    <t>Gaceta Española n.º 114</t>
  </si>
  <si>
    <t>…cibido ni un maravedí del años de servicio que correspondan al interesado. Aprobado. servicio extraordinario acordado antes; pues algunas provincias lo Otro sobre la exposición de D. Alonso Algaba, para que se han verificado ya, y aun la benemérita Diputación provincial de le acuerde el nombramiento de sargento segundo que hizo en su esta ciudad ha adelantado ya varias cantidades á cuenta de este favor el general Lacy; opinaba que las Cortes debían aut…</t>
  </si>
  <si>
    <t>Alheav</t>
  </si>
  <si>
    <t>Gaceta Española n.º 38</t>
  </si>
  <si>
    <t>iS-f El Sr. Alheav manifestó que la comisión no se habla atrevi ro que el Gobierno lo emplee en el destino que tenga por con do á proponer la pensión deque se trataba, porque no estaba con veniente. Aprobado. vencida de que el difunto hubiese inuerto e;i defensa ¿e la patria; L…</t>
  </si>
  <si>
    <t>Ali-</t>
  </si>
  <si>
    <t>…; id. de Guadalajara .1 D. Pedro Alcántara Díaz de Laban- quilidad pública, la inviolabilidad de vuestras propiedades v el de duo: id. de Avila á D. Felipe Morales: id. de Soria á D. Ali- coro de vuestras familias, y de que he consagrado á esto toda ia c-uci F.olíri: para el corregimiento de Gu.puzcoa á D. Antonio vigilancia de que soy capaz. Continuad pues en vuestra tranquili Eiboada: id. de Vizcaya a D. Tiburcio Eguiluz : id. de Borja á dad…</t>
  </si>
  <si>
    <t>Aligue</t>
  </si>
  <si>
    <t>…hablan perdido enteramente Ja confianza publica; secuencia de la indiscreción y desobediencia de su hijo el Inlaute y «¿poniendo las razones en que se Ilindaba, concluyo diciendo D. Aligue!, y que á pesar de su acerbísimo dolor le dijo que po que era de opimon que se remitiese el mensage; pero pidiendo día asegurar que se mantenía firme en su propósito de sostener ¿ solamente la deposición de aquellos ministros que el Rey creyese costa de ios m…</t>
  </si>
  <si>
    <t>…unio de 1823. alcaidía mayor de Burgo-i á J. Josel Joaquín cíe llurraza: id. de Jorge de Aviiez Juzarte de Sousa Tabares.” ia Guardia á D- Valentín hernandez de Rueca. lii íníánic D. Aligue! había publicado la proclama siguiente. _tiov hemos recibido nuevos periódicos de Lisboa, que alcan «Portugueses: Es tiempo ya de quebrantar ti férreo yugo en zan hasta el •&gt; inclusive. El suplemento aL diario del gobierno del que ignominiosamente vivimos. Ba…</t>
  </si>
  <si>
    <t>Alina</t>
  </si>
  <si>
    <t>Gaceta Española n.º 72</t>
  </si>
  <si>
    <t>…ano hombres. trina tfe su divino maestro , son verdaderos padres Los que hai en Mantesa antes de aver intentaron y pastores de los hombres, empleando el poderoso atacar á nuestro general Alina que estaba en Suris, iiiflujo que la religión les presta para que aquellas peni este luirlo sus intenciqnes retirándose acia Car vivan fraternalmente ejerciendo d uu tiempo mismo dona. Ao lian adelantado uu paso tanto por la parte las virtudes sociales y cris…</t>
  </si>
  <si>
    <t>Alingry</t>
  </si>
  <si>
    <t>Gaceta de Madrid n.º 73 (extraordinaria)</t>
  </si>
  <si>
    <t>…dante de escuadrón Vidal , del i.° de húsares, comandante del reco nocimiento , á cuya ciencia y denuedo se debe tan fel z resultado ; al capitán Feruel, su ayudante de campo ; a) Sr. Alingry, su oficial de ordenanzas; al Sr. Mousudun, oficial de ordenanzas del genera' Bomk; al Sr. Cretet, capitán del 7.0 de cazadores; al Sr. Girouu, tnirnte del mismo regimiento, que hizo pr stoneto al general español; al sefior de Joleau, teniente del de húsares;…</t>
  </si>
  <si>
    <t>Alisas, Ver-tura</t>
  </si>
  <si>
    <t>Ver-tura Alisas</t>
  </si>
  <si>
    <t>…la armada; Fr. Francisco Jimé llería j siete de á pie, incluso el gefe. nez; Doña Antonia Jiménez; D. Manuel Belticnate , con su rspo^c, Murcia 17 de Marzo. una h’’B y ani criada; D. Ver-tura Alisas , D. Josef Antorio Bimof D. Juan Antonio Loredo , D. Josef de la Cámaro , D. Manuel Ra El espíritu público cada día va mas en aumento; y pocos son los mos, D. Juan Orcullo , D. Josef Fernandez , D. Antonio Sola , Pon que se manifiestan indiferentes. Los parti…</t>
  </si>
  <si>
    <t>AlIue, Antonio</t>
  </si>
  <si>
    <t>Antonio AlIue</t>
  </si>
  <si>
    <t>…V" A'-, '-é de instancias ert solicitud á la revalidación de empleos y gracias ■ - ' . ^ A." i V obtenidos de diversas Juntas y Autoridades realistas durante la Los Exentos. Sres. D. Antonio AlIue , j?atTÍarca dé las In aciaga época del pretendido sistema constitucional; y deseando dias, y el Duque de Alagon, con el Barón de Mora, Regidor el Rey nuestro Señor que en los expedientes de esta dase que se perpetuo de la ciudad de Earbastro, tuvieron la hon…</t>
  </si>
  <si>
    <t>Alix</t>
  </si>
  <si>
    <t>…lla instrucción. Aprobado. haría el reemplazo. Se nombró para la comisión de Poderes al Sr. Oliver en lugar del El Sr. Oliver manifestó que tiendo la idea de la comisión el que en Sr. Alix. ningún caso pudiese declararse nulo el sorteo, podían suprimirse las La-comisión d« Gobierno interior, en vista de la solicitud de Don palabras » por regla general,” diciéndose solo » en ningún casóse Juan Corradi para que se le reintegre en su empLó de dire…</t>
  </si>
  <si>
    <t>Gaceta de Madrid n.º 56</t>
  </si>
  <si>
    <t>…ya coge el Lulo de las ni- joras progresivas &lt;! • ’a adtal, y haberse lueado de la cárcel. m r;ist:3cion. Un sob'ante de m.llones de b'S créditos ab.iitus en _El gefe político, el diputado Alix , el capitán de artillería Acui iB/i prueba el estado prospere) en qu ' se ..allí toi'-rei hacienda. tar y otros patriotas han ido a Lorca á rect.ficar el espíritu público de « La h-rnv'sa :• rauc.a can ío'o volver 3 la religión , a ia legitimi aquella numero…</t>
  </si>
  <si>
    <t>…iciales de artillería y demas empleados ideas liberales dei género humano: Según el, los santos aliados se erigen en en ia fábrica de pólvora de murcia , presentada y leída por el Sr. Alix. reguladores del mundo para no permitir que nación alguna pueda resta- Del comandante de ia milicia nacional local, promotor fiscal y juez de Mecer sus antiguas Constituciones, y establecen el poder absoluto de les primera instancia de k villa de Gergal, pres…</t>
  </si>
  <si>
    <t>…ción gún su ¡c de bautismo nació en rí año de 1799. De esta. Sencilla compro que ya se ha citado. bé c.on resulta evidentemente que el vicario general de Barcelona iu a uhr. rí El Sr. Alix: Aunque estoy conforme en que el gefe polít'co de Cuba gido las leyes en haber dado su-consentimiento para la celebración de. ma se excedió de k facultad que tenia de poner arrestado por 24 horas al ciu trimonio.; y por lo mismo debe aprobarse rí dictamen de…</t>
  </si>
  <si>
    <t>…archámalo por fie voto», Otra debe suplir su falta, es decir, que gravita mas carga sobre los demas que era ¡a totalidad. vecinos del pueblo. En la segunda votación fu; elegido el Sr. Alix por 77 votos , teniendo La comisión hubiera deseado poder eximir del sorteo a todos los mi— uno el Sr. Villaboa dei total, que fue 70. Fcianos; pero esto es demasiado seno y demasiado trascendental , y ha teni En la tercera votador, saüu electo el Sr. Seoar.e…</t>
  </si>
  <si>
    <t>Gaceta Española n.º 30</t>
  </si>
  <si>
    <t>146</t>
  </si>
  <si>
    <t>…de operar, y se or nes y malhechores, y para formar el consejo de guerra. ganizan de un modo análogo á este objeto, las divisiones y brida Se mandó insertar en el acta el voto del Sr. Alix , contrario das, los comandantes generales de los distritos 9° y jo.» ejerce á lo resuelto sobre la dos proposiciones del Sr. Sánchez, relativas rán las funciones de comandantes generales de las divisiones que á la introducción de granos extrangeros. los ocup…</t>
  </si>
  <si>
    <t>Allende, Josef</t>
  </si>
  <si>
    <t>Josef Allende</t>
  </si>
  <si>
    <t>…o Anguiano Ramos. D. Félix Valdés. D. L uis Zaforteza. D. Francisco de Paula Borei. D. Francisco Brú de Salas. D. Federico Roncali. Cadetes...................... - Alféreces, 6coo D. Josef Allende. D. Joaquín Roca. D. Josef Moreno y Sopranis. D. Josef Alfaro y Sandoval. D. Pedro Eenavide............................ j Cádiz 20 ríe Julio de 1823. nr Rubricado.r= Es copia. (Si concluirá, j EN LA IMPRENTA NACIONAL.</t>
  </si>
  <si>
    <t>Aller, Francisco</t>
  </si>
  <si>
    <t>Francisco Aller</t>
  </si>
  <si>
    <t>Gaceta Española n.º 8</t>
  </si>
  <si>
    <t>…16 caballos resistió el im pulso de la mavor parte de la facción sin perder terreno sino i Orden de la plaza dei ty al 18 de Abril de I 82 palmos: los tenientes también de Granada D. Francisco Aller, Gefe de día el comandante del primer batallón de la M. Né D. Francisco Perrichini, D. Josef Márquez y D. zVntonio Ve- L. de Madrid D. Benito Marrad. lazquez , que fueren los mas digno* modelos de la decisión con Servicio á palacio el Infante D. Carlos y prim…</t>
  </si>
  <si>
    <t>AlLondres, Juan</t>
  </si>
  <si>
    <t>Juan AlLondres</t>
  </si>
  <si>
    <t>…formase, promovido por una casa de comercio de Bar celona».1 INGLATERRA. La comisión segínda de Hacienda era de parecer que el ex pediente promovido á consecuencia de un oficio de D. Juan AlLondres l.° de Julio. varez Guerra, secretario que fue del Despacho en 1814, y ar Se han recibido esta mañana varias cartas de Paris remitidas restado desde aquella época hasta el año de 1820 , que debía pasar por correos particulares que salieron de aquella capital…</t>
  </si>
  <si>
    <t>Allue, Antonio</t>
  </si>
  <si>
    <t>Antonio Allue</t>
  </si>
  <si>
    <t>Gaceta de Madrid n.º 1033</t>
  </si>
  <si>
    <t>…sus habitantes los mas expresivos tes pero la exacta relación, que os remitiré por el correo inmediato. timonios de su amor y lealtad. (£V/io du Midi, carta particular, ) LosSres. D. Antonio Allue, Patriarca de las Indias, y D. Víctor París ig de Octubre. Saez, primer Secretario de Estado y del Despacho, confesor del E! barón Puymarin, Diputado y Director del depósito Real J.S.EY nuestro Señor, y canónigo lectora! de la santa Iulesia pri de Medallas, t…</t>
  </si>
  <si>
    <t>Alma</t>
  </si>
  <si>
    <t>…de 15 a ro0 hombres. También se han El -Sr. secretario del Despacho contestó que ayer mañana en dividido en tres puntos, concentrándose todas hacia Alanresa. El tre nueve y diez. general Alma á Ja cabeza de las valientes tropas de su mando ha El Sr. Galiano preguntó qué providencias se habían tomado podido ir sosteniéndose en posiciones ventajosas; pero en sus úl para poner i ia persona de S. Al. y A la representación nacional timos partes manifie…</t>
  </si>
  <si>
    <t>Almazan, Joaquín</t>
  </si>
  <si>
    <t>Joaquín Almazan</t>
  </si>
  <si>
    <t>Gaceta de Madrid n.º 813</t>
  </si>
  <si>
    <t>…a de Francia, donde podrán acudir los intere Exhortación. Portugueses; á vista de la verdadera exposición que quede sados i ¿atetarse de su contenido. En virtud de providencia del Sr. D. Joaquín Almazan , del delineada, y prueba cuasi hasta la evidencia el vilipendioso y horrible fin de los Masones liberales, «cuál de vosotros, i nó consejo de S, M., refrendada del escribano D. Juan de la Pena Martínez, se han mandado sacar á pública subasta varios efectos s…</t>
  </si>
  <si>
    <t>Almazan, Juan Antonio</t>
  </si>
  <si>
    <t>Juan Antonio Almazan</t>
  </si>
  <si>
    <t>…villa de Villanueva de Jos Infantes, procesado en la causa pendiente rn^fc* tiva, el cual previene qus las dos terceras partes de las vacantes de se- . dicha sata y escribanía de D. Juan Antonio Almazan, sobre resi gundos comandantes se provean por escala de antigüedad entre lo* ayu dencia de los procedimientos que obró durante el tiempo que estu vo a, ' dantes de la misma, que por haber cumplido ocho años en esta cla su cargo el mencionado gobierno; y Je ma…</t>
  </si>
  <si>
    <t>Almendros, Josefa</t>
  </si>
  <si>
    <t>Josefa Almendros</t>
  </si>
  <si>
    <t>…de Diputaciones provinciales se pasaron varios La misma comisión opinaba que no debía accederse á la soli expedientes remitidos por el Gobierno, relativos á las dificulta citud de Doña Josefa Almendros, viuda de D. Antonio Bieddes c ue ha ofrecido el cumplimiento de varios artículos del plan ana, sobre que se le abonen las mesadas que le correspondieron de beneficencia ¡ y á ía necesidad que hay de aclarar algunos por ci tiempo que estuvo suspenso del emple…</t>
  </si>
  <si>
    <t>Almería, De</t>
  </si>
  <si>
    <t>De Almería</t>
  </si>
  <si>
    <t>…ellas bandas de Gobierno republicano. No había s-do bien r.c.b da en Bogotá ¡a facciosos. nur'cia de la coronación de Iuub'de. El Sr. presidente dijo que habiendo satisfecho ya c! señor De Almería hasta el ai__El gefe. político ha publicado una secretario los deseos de los señores autores de la proposición, pa bella proclama contra los perversos «lev.tuiiOs de los ultras tráncen recía que debia terminar ya la discusión. se* en dominar la España. El Sr.…</t>
  </si>
  <si>
    <t>Almirez</t>
  </si>
  <si>
    <t>Gaceta de Madrid n.º 46</t>
  </si>
  <si>
    <t>…ios sargentos,é Del ayuntamiento constitucional de un pu-b¡o de la provincia da bien cabo» y soldados que hayan contraído un mérito extraordim* Burgos , pn siptzdri y leída por el Sr. Almirez (D- Elias). rio; y en cuanto á cíioales no se aumentan mas que dos capitanes, I De la M. N. V. de Guadalcanal, presentada y leída por el señor pues los subalternos se hallan duplicados actualmente , no proponien Neira. do la comisión para lo sucesivo sino uno…</t>
  </si>
  <si>
    <t>Almodovar, Antonio</t>
  </si>
  <si>
    <t>Antonio Almodovar</t>
  </si>
  <si>
    <t>…eptien al dictamen de la misma sobre cL suel A la misma comisión se mandó pasar una exposición de la do qua lian de disfrutar los ex-secretarios del Despacho , relativa í viuda de D. Antonio Almodovar, proiomédico del hospital mi que dicha resolución ae entienda respecto de aquellos ex-sccrelarios litar de Palma de Mallorca, sobre que se le conceda la viude que hayan servicio á lo menos dos años los destinos en propiedad, dad correspondiente. á no ser que…</t>
  </si>
  <si>
    <t>Almud</t>
  </si>
  <si>
    <t>…an en estos para su cumplimiento, y dispondréis se imprima, publique y cir establecimientos. Art. J3. Los segundos ayudantes de hospitales cule. = En Cádiz á 8 de Julio de 1823.=A D. Almud de tendrán en sus respectivos departamentos para con Iqs enfermos de la Puente. De orden del ILcy lo comunico á V. para su inteligencia ciruj a y gefes de su cuerpo las obligaciones que se expresan para los segundos de medicina en los artículos 25 , 26 , 27,…</t>
  </si>
  <si>
    <t>Aloe</t>
  </si>
  <si>
    <t>…ci ación con La comriioii de Guerra en vista de la proposición presentida par arreglo á la Constitución. los Sres. Rl.'eo y Canga para qu • á Lis vóidas de ¡os so'dados del hn&gt; Kl Sr. Aloe manfextó que como representante de la Nación «pa- tallón de Astúil.i, á qu eu.s en 1820 se les retuvo sus licencias, y despu-s fio'a s; consideraba ofendido de las palabras que (libia pronunciado el murieron tr p.rsecucíon de los face.osos, se les as'.rr.as."…</t>
  </si>
  <si>
    <t>AloIitor</t>
  </si>
  <si>
    <t>…diatamente peto es mas fácil hablar que obrar, y muy grato poner faltas i las hostilidades de una y otra parte. Granada 4 de Agosto Jo que hacen los dema;. de 1813 =s Firmado. mEi general AloIitor..=Por el general Ba Señor, » que vemos purificados y puestos en sus destinos, ó en llesteros y con sus plenos poderes, el primer ayudante general de otros, á algunos de los que no pueden -nado por esta y la otra E. M.c=Fírmado.=Josef Guerrero de To.rres.zcEa…</t>
  </si>
  <si>
    <t>Alomo</t>
  </si>
  <si>
    <t>…sommente dar su dictamen sobre el expediente discusión. citado , y este no puede ser otro íjuv el que se discute. En seguida fue admitida á discusión la segunda; v después 'de El Sr. Alomo fue de parecer que la comisión debía declarar haberse opuesto á ella varios Sres. diputados por considerar que en este dictamen que los corredores propietarios. que no servían no era decoroso al Congreso el recordar al Gobierno que diese por s; ni por sustitu…</t>
  </si>
  <si>
    <t>Alomos, Ramón</t>
  </si>
  <si>
    <t>Ramón Alomos</t>
  </si>
  <si>
    <t>Gaceta de Madrid n.º 75</t>
  </si>
  <si>
    <t>…sef Martir.cz, natural y vcc’110 de la ciudad ¿i nicaros. (.Muchas voces á ia derecha: r.o, r.o: nada Ue carta..... No quere Almagro, de cguclcio jornalero, y soldado sust'iuto de D. Ramón Alomos que se lea.) reno, de la m.sina vecindad, para que al término de ocho dias compa .Mr. Chauvdin: Pido la palabra para reclamar la observancia del re rezca cn la escribanía de Cantara del crimen al cargo de D. Juan D.cio glamento. (Las mismas voces: No, no, no…</t>
  </si>
  <si>
    <t>Alon, González</t>
  </si>
  <si>
    <t>González Alon</t>
  </si>
  <si>
    <t>…s Justicia se continuaba la discusión pendiente del dictamen de li cute , no podiendo presentar otro por falta de datos de que carece comisión especial sobre las proposiciones del Sr. González Alon también el Gobierno. so y otros varios señores. El Sr. Melendez: Yo no he tratado de inculpar á la comi Art. g.° Del mismo modo se ocuparán los bienes de los es sión , sino solo de decir que no estamos en el dia propio para la pañoles, que sin comisión existe…</t>
  </si>
  <si>
    <t>Gaceta Española n.º 56</t>
  </si>
  <si>
    <t>…s ó por la En la primera votación para presidente no hubo elección, ha diputación provincial respectiva , y este llamamiento no’podia ve biendo tenido 51 votos el Sr. Jener, 20 el Sr. González Alon rificarse , según lo prevenido en la Constitución, sino en el caso so, 10 el Sr. Cano , y hasta el Iota! 1 r6 entre ios Sres. Pacheco, de una incapacidad absoluta del propietario, ó de una causa per ístiñez f IX Tonino) , Tsturiz , Saavedra , Garoz , Kscovedo…</t>
  </si>
  <si>
    <t>Alon-</t>
  </si>
  <si>
    <t>…echas por algunos señores diputados á los dictámenes pre dos á sus cuerpos en servicio activo , como igualmente la marine sentados por la misma , relativos á las proposiciones del Sr. Alon- ría y maestranza embarcada a bordo de buques nacionales arma ■' so; y asimismo presentó redactados de nuevo algunos artículos dos en guerra que existiesen en cualquiera puerro español, estan que se volvieron á ella, y quedaron aprobados. do en el goce de los…</t>
  </si>
  <si>
    <t>Alonso</t>
  </si>
  <si>
    <t>…ad par.', el arreglo de la del corriente desde Ftaga, dice que los facciosos abandonaron este uun- secretaria. 10 en el momento que supieron que se aproximaba, replegándose efi El Sr. Alonso: Impugno este dictamen en su totalidad, porque no Mequinenza, y dejando en esta plaza una guarnición de 500 hombres, puedo convenir en do» cosas que.conticos , que son los sueldos que se se han dirigido hacia Mora. Que las tropas están situadas de modo que da…</t>
  </si>
  <si>
    <t>…que en su concepto las Cortes (á reglamento que habia reclama !o ¿I Sr. Galiano, como también á peti pecar de hallarse constituidas en extraordinarias) no pedían dejar de ción del Sr. Alonso la preposición por la cual habian tomado en con tomar en consideración este negocio, pues se trataba de un acto en sideración las Cortes pasad .s los atentados cometidos contra las perso que se atacrhri la inviolabilidad de los diputados, sin la cual no po na…</t>
  </si>
  <si>
    <t>…a por los nuestros, pudiera confundir todos los planes de los año 20 110 hubieran dado el coite.de cuentas. facciosos i suponiendo que la columna dé Costa y la brigada de la ma El Sr. Alonso: La comisión ha confusdtdp con la palabra suminis rina hayap hecho los movimientos que se les tenían indicados. Aquella, tros la deuda de que se trata , en cuya equivocación ha incurrido tam dicen , se ha cubierto de gloría en el ataque y sorpresa de Gtanolie…</t>
  </si>
  <si>
    <t>…añola, se filmase el a.ta po: todos ios grito de viva la libertad y la Constitución, que resonó por tobos ¿os Sres. diputados qu: asiscierca á dicha sesión. atontes inmediatos. E' Sr. Alonso: Pido que ad mis de hac-ise lo picpuesto por e¡ » Posteriormente habiendo tenido noticias en aquella misma noche Sr. Gatuno se publique el acta para que sea eterna la mtmor.a del dia de que se había reunido en la Girrigi con las facciones íc.endas ia de de zy…</t>
  </si>
  <si>
    <t>…egra en el Diario de sus se los cuerpos del egército permanente y milicia nacional intermediarán siones. «1 acompañamiento. Los piquetes de los mismos de infantería, artillería EL Sr. Alonso : La constitucional provincia de Extremadura ha ce y caballería cerrarán la comitiva. En la santa iglesia se celebrará un lebrado con ' decible entusiasmo el desprecio que han hecho las Cor solemne oficio con sermón, que dirá el Dr. D. Juan Viguer , catedráti…</t>
  </si>
  <si>
    <t>…uva provincia corresponda el pueblo en que sí en el mismo testimonio el día en que se verifica su entrega.” halla el mozo el dia x.- de Enero, sera b que deba resolver la dispu El Sr. Alonso: Dos observaciones t.-ngo que hacer sobre este artí ta , con lo ci»a! no puedo yo convenir , porque no tendrá nada de ex culo; la primera es sobre la parte que dice que los testimonios se han traño que la diputación tinga un Ínteres en favorecer al pueolo de…</t>
  </si>
  <si>
    <t>Gaceta de Madrid n.º 23</t>
  </si>
  <si>
    <t>…ecesita la cional de ambas armas te Coria, y batallón de milicia nacional de Ba mayor actividad , estarán facultados el comandante y oficiales de guerra dajoz , presentadas por e. Sr. Alonso. para mandar á los de marinería, y los sargentos y cabos se valdrán El batallón de milicia activa de Alicante. de los medios usados hasta ahora, del palo, rebenque y aun del sable, Los profesores de primera educación del colegio académico de etía según las ci…</t>
  </si>
  <si>
    <t>…los desdichados, De la milicia nacional voluntaria de Salamanca y estudiante» de no por eso siguen sus opiniones políticas. En virtud de una orden del aquella universidad , por el Sr. Alonso. ministerio del Interior se les juntó el día 28 á las io de la mañana Del ayuntamiento, juez de primera instancia y milicia nacional para darles pasaportes í fin de que se internen en Francia , y en caso local de ambas armas de Belmonte , por el Sr. Moreno. d…</t>
  </si>
  <si>
    <t>Gaceta de Madrid n.º 31</t>
  </si>
  <si>
    <t>…esta clase de tela. De la milicia nacional voluntaria y local de Medellin, y de varios El sello que ha de ponerse á las piezas d; géneros es muy (acil ciudadanos de Toro , por el Sr. Alonso. falsificarlo , y por todas estas razones soy de dictamen que no deba De la milicia nacional de Patencia, del juez de primera instancia aprobarse lo que propone la comisión. y demas dependientes del juzgado de...., y otras que leyó ti Sr. Buey, Ei Sr. Zulueta…</t>
  </si>
  <si>
    <t>…número considerable de ciudadanos de Fuente el Maestre ocasionar la división religiosa. Pero, señor, cen los primeros r.'glos de (provincia de Badajoz), presentada y leída por el Sr. Alonso. la Iglesia se vió jamas que un obispo par3 ser consagrado necesitase De 80 ciudadanos de Lucena, entre eüoe el vicario eclesiástico y de la confirmación de la corte de Roma! Recórrase la historia ecle muchos presbíteros, presentada y leída por el Sr. López d…</t>
  </si>
  <si>
    <t>Gaceta de Madrid n.º 34</t>
  </si>
  <si>
    <t>…mandante, De los ayuntamientos de Serradilla, Granadilla , Galisteo y cleto que ya estaba alli, mandó que inmediatamente se asaltase la muralla de dicha villa , presentadas por el Sr. Alonso. por aquella parte (que no había otra), y se protegiese ¡l Guallar. Aun Del regimiento de caballería de España, por el Sr. Becerra. 110 lo habían egecutado 20 hombres cuando empiezan á hacernos fuego De la audiencia de Sevilla, por el Sr. Santafe. desde el fu…</t>
  </si>
  <si>
    <t>Gaceta de Madrid n.º 41</t>
  </si>
  <si>
    <t>…riz; para la de Diplomacia a! mismo Sr. ísturiz ; para la de Poderes al el pago de las dotaciones ó asignaciones hechas á los párrocos coadjuto Sr. Serrano, y para la de Guerra al Sr. Alonso, todos en lugar del se res , beneficiados , fábricas parroquiales y establecimientos de beneficen ñor presidente y vi&lt;-?-presider.te. cia é instrucción del mismo pueblo, como también la cuota que te lu El Sr presidente anuncirá qu: mañana se discutirían los d…</t>
  </si>
  <si>
    <t>…omas Diez Rodríguez y D. Juan García, magistrados da í.os lienzos de las murallas inmediatas a las puertas de Jerez,' Real la audiencia, de Extremadura’; presentada y ié'di'por e! Sr. Alonso. y Córdoba"'# fiíliaton, introduciéndose porc:on de agua, impidiendo De la milicia tuéiorral activa Ai Lord , por el &gt;r. More«o. su &gt; ontuiiiacian lo, reparos provisionales construidos con la mayor pre Dei Comandante militat , ’iirzz de primera instancia y ot…</t>
  </si>
  <si>
    <t>…había ¡laburno el br. preS. M. sobre este punto, que no puede ser s.no muy adecuada á los de op.nante. seos de las Cortes, estas tienen la puerta abierta para rcsplver sobre el El Sr. Alonso dijo que la.proposición tenia dos partes , que la prime particular. También ditc que cualquiera que sea el punto que* J&gt;* Al. de ra debía aprobarse inmedoitumente; p.ro que la según,ia debía pasar a un* signe para la traslación, las Cortes estantío reunidas t…</t>
  </si>
  <si>
    <t>…barse el oiluciesen m¡. difieUita.ics por no haberse ooservado aquella reala. .dictamen de la comisión. E: Sr. batvato contesto al Sr. preopinante diciendo que la infracción en El Sr. Alonso: Estoy de acuerdo con cl Sr. preopinante en que no de este asunto estaba bien marcada v pues hanv frítadr. ei vicario v.-nc-. aL de be abusarse de la medida de la responsabilidad, - y.- siempre he creído lo Barcuona á ¡o que prev.ene i-rmmaotemmte. ia.lev ins…</t>
  </si>
  <si>
    <t>Gaceta de Madrid n.º 107</t>
  </si>
  <si>
    <t>486</t>
  </si>
  <si>
    <t>…ual hay también, algunos egcmplares en papel de marca mayor de —Exorno. So—Joséf López García.=Excmo. Sr. conde del Abisval, los tomos nt, ív , v y vi __Las Siete Partidas dei Rey D. Alonso general en gefe riel tercer-cérc.to de operaciones. el Sabio, cotejadas con muchos códices antiguos por la academ a., y __En el Constitucional de l.t Curtiría t cuyos núms. de! 3,4 y 5 he autorizadas por Real orden ds 1818 para los u»os forenses : tres to mos…</t>
  </si>
  <si>
    <t>…s los batallones de milicia activa que corresponden á tarlos como dejo manifestado. las seis provincias de su mando. El Sr. Isturiz: El Gobierno da cuenta á las Cortes de la de El Sr. Alonso: Cuantos pasos hemos dado hasta ahora para claración de guerra que hace á una Nación extrangera, y esto no el arreglo del clero hemos visto que han sido infructuosos: vemos puede mirarse como un simple aviso, puesto que la Constitución que el mismo clero quie…</t>
  </si>
  <si>
    <t>Gaceta Española n.º 25</t>
  </si>
  <si>
    <t>…omado vá!6r. peranza de hacer propietarios nuevos pagando con las fincas á los Hit dicho el Sr. Surra que s-, hrri interesado machas personas acreedores del Estado. Ha supuesto ei Sr. Alonso que se han he en favor de! sistema porque se las Fra fitchó propétar ás: pero si cho ventas escandalosas; pero todas las que se han hecho han sido se han interesado á 20, pudiéndose haber interesado á 2i?, r si generalmente vendidás á un precio y págadas con…</t>
  </si>
  <si>
    <t>A consecuencia de una proposición del Sr. Alonso anunció colores r&gt;ue recuerdan días de gloria á la nación. el Sr. presidente que se tenaria sesión extraordinaria a ¡as 8 de be procedió á la discusión del dictamen de la comisión de la noche para concluir la lectura de .a memoria de Hacienda. Guerra sobre el…</t>
  </si>
  <si>
    <t>…8 de Noviembre de 18:0 y para los contratos y negocios de comercio. 29 de Jumo de 182 i, deben ser reintegrados los part culares, El Sr. Isturiz apoyo las razones alegadas por el Sr. Alonso, que reuniendo fondos en los p&gt; s tos fueron extraído, p ira el man añadiendo que los corredores son unos monopolistas del comer tenimiento de las tropas; entendía que no debía dudar c! gele po cio é industria, y que estos oficios se vendían para saciar la co…</t>
  </si>
  <si>
    <t>Gaceta de Madrid n.º 122</t>
  </si>
  <si>
    <t>…o de no haber hecho desde Tarazona mas quq Para componer la comisision encargada de informar sóbrelas pn pequeño descanso en Borja la vanguardia, y déla continua proposiciones del Sr. Alonso, á los Sres. Alonso, Cuadra, Sal— observación del enemigo, han marchado las tropas con la ma vá,-Becerra, Salvato, Escovedo y Ruiz de la Vega. yor tranquilidad y el mejor orden; lo mismo' han ejecutado Se leyó un oficio del Sr. secretario interino de Estado,…</t>
  </si>
  <si>
    <t>…endo la causa de la patria-, que es cuanto se puede desean. derado, y el Sr. Soria contestó que firmaba un Félix Megía. En cuanto á la objeción del Sr. Romero diré que aqui tam El Sr. Alonso pid 10 que se de (ase copia do la.certificación en poco se trata de la manifestación simple de una opinión ó apro el expediente y se devolviese el original al interesado. bación de un acto del Gobierno francés, sino de hechos reales El Sr. Zulueta observó que…</t>
  </si>
  <si>
    <t>…abra por Sucramper, D. Vicente González, D- Josef Guerrero, D. Jopalabra, y sera ratificado; y las ratificaciones se cangearán en e! ccí Lopéz de Castro, D. Antonio Josef Terrero, D. Alonso término de 40 dias, ó antes si fuere posible. Calvo y Pantoja, D. Josef Maroto, D. Gabriel Fernandez y En testimonio de lo cual , nos los infrascritos plenipotencia D. J uan Brunenque. rios , en virtud de nuestros plenos poderes respectivos , liemos fir D. Di…</t>
  </si>
  <si>
    <t>…as que por se la solicitud á la comisión de Casos de responsabilidad. Apro esta razón atropellen*' lo siguiente: *&gt; sus personas.’’ Digo esto bado. •' por lo que ha manifestado el Sr. Alonso de que puede una au Las Cortes, á propuesta de la misma comisión, concedieron toridad hacer lo posible por su parte para perder a un patriota, carta de ciudadano á D. Antonio Lodikeni, y de naturaleza á y luego porque los demas jueces no sean tan malvados com…</t>
  </si>
  <si>
    <t>…e la finca, ó el valor en que ha sido al menos la comisión refiriese el artículo ¿ lo dispuesto en el 5.0 vendida &gt; del decreto de 2 1 de Setiembre de 1812 que pedia se leyese. El Sr. Alonso contestó: Es sobre c! valor en que se haya El Sr. presidente suspendió momentáneamente la discusión de \rendido. este asunto mientras se daba cuenta de una comunicación del El Sr. Romero: Observo en el artículo que se dice entre otras Gobierno. cosas que los…</t>
  </si>
  <si>
    <t>Gaceta Española n.º 44</t>
  </si>
  <si>
    <t>…isión la asignación que mez (D. Manuel) sobre ios bienes de manos muertas, d la comi gusten hacerles, expresando las plazas ó puntos en que deban per sión de Legislación; otra del Sr. Alonso sobre que las oficinas en cibirlas. 5.0 El exacto cumplimiento de esta orden queda al cui cargadas de la liquidación de los suministros hechos en la guerra dado de los señores comandantes generales de división , goberna de la independencia continúen en sus ta…</t>
  </si>
  <si>
    <t>…Aprobado. La misma comisión opinaba que al final de cada decreto pro nos que se dirá en los artículos 10 y 12 , siempre que su dota ducido á consecuencia de las proposiciones del Sr. Alonso podía ción sea igual al haber que la Nación le abonará como inutiliza añadirse el siguiente artículo: «Él Gobierno dispondrá que los do; y 2.0 Cuando consigan y tomen posesión de alguna suerte en los baldíos, con arreglo á lo dispuesto por las Cortes en esta…</t>
  </si>
  <si>
    <t>Gaceta Española n.º 45</t>
  </si>
  <si>
    <t>…ue no se contradice por los artículos an este modo se vería el mérito de ios españoles. Añadió que estas teriores. distinciones nunca pierden su "mérito porque se aumente su nú El Sr. Alonso opinó que la comisión no remediaba los mero , sino por darlas á personas que no se han hecho, dig males que producía la mala administración de los productos de nas de tenerlas , como ha sucedido en la guerra de la inde estas penas. . . .. pendencia ; pero que…</t>
  </si>
  <si>
    <t>…el Go- El Sr. Buey: Por mi parte estoy convencido de que el pap*l b: :: ;¡o la adopta como suya. sellado es un gran mal que ataca directamente á la prosperidad Las reflexiones de! Sr. Alonso sqn tan exactas que difícilmente de los ciudadanos; pero ya que esta decidido que s:oa su uso , a podran desvanecerse. En efecto , si los pleitos y negocios judiciales lo menos es preciso hacerlo mas llevadero. El artículo que se dis iu-sen una cosa enteramen…</t>
  </si>
  <si>
    <t>bien que pura mayor claridad de! articulo se pusiese su fina! en votos del total 121, habiendo tenido 29 el Sr. Alonso y id el se esta furnia: n v el de los testimonios .le las sentencias de los tri ñor Cano. bunales especiales.” En la votación para vice-presidente quedó elegido el Sr. Se til Sr. Canea: I.a comisión se conforma con esta modificado a deño por 67 del total 12 r…</t>
  </si>
  <si>
    <t>…o está cada día mas animado y con mayores deseos de medir ¿ui F.l Sr. Oliven Me ocurren dos observaciones ademas de Jas fuerzas con los enemigos de la libertad. hedías ayer por el Sr. Alonso: la primera consiste en que no es En la orden general del d a 26 se d;ee que se suspende la sa toy conforme con la variación que hace la comisión de Hacienda; lida del cuartel general hasta nueva orden: se encarga á los ve íes suprimiendo los registros para A…</t>
  </si>
  <si>
    <t>Gaceta Española n.º 83</t>
  </si>
  <si>
    <t>…ortes aprobasen en la tor — can á desobedecerlas, y de los que impugnan las legítimas facul lidad este proyecto. tades del Gobierno , de que tratan los artículos 321, 321, 323, El Sr. Alonso dijo, que si impugnaba el provecto en toda 324 y 325 del codigo penal. su extinción ó en la mayor paite, impugnaría sus basca p-.'rc8. ° De los atentados contra las autoridades establecidas ó con pales; y que aunque estaba conforme en Ja principal , que &lt;_,&lt;…</t>
  </si>
  <si>
    <t>…ón de presidente obtuvo Voto particular del Sr. Castejon. 17 \ otos el Sr. Qaliano, 37 el Sr. Zulueta, 7 el Sr. Afonzo,_ 7 Con mucho sentimiento mió no puedo conformarme con el el Sr. Alonso, 4 el Sr. Escobedo, 2 el Sr. Munarriz, otros 1 dictamen de la comisión en la suspensión que propone del articu el Sr. Somoza, y uno cada uno de los Sres. lsturiz , Cuadra, To lo 306 déla Constitución, porque no creo que su tenor está más , Sotos , Meca , Oliv…</t>
  </si>
  <si>
    <t>Gaceta Española n.º 89</t>
  </si>
  <si>
    <t>…B de Junio solamente habían recibido leyes sobre un. mismo objeto. Las Cortes á consecuencia de las los Sres. diputados iQ reales por cuenta del año: en el mismo proposiciones del Sr. Alonso acordaron un decreto en mi con caso pues se hallarían los empleados, y se infiere la imposibilidad cepto muy bastante para el objeto de que se trata, y por lo mis en que se hallarían de emprender su viage. Ademas se sabe como mo pido que no se apruebe este pr…</t>
  </si>
  <si>
    <t>Alonso, Baltasar</t>
  </si>
  <si>
    <t>Baltasar Alonso</t>
  </si>
  <si>
    <t>Gaceta Española n.º 176</t>
  </si>
  <si>
    <t>653</t>
  </si>
  <si>
    <t>…ndientes de esta corona, y parte dei batallón se me presentó el primer alcalde interino del como emperador de Alemania, había aju.-tado con aquel pr.nmpe barrio de la Constitución D. Baltasar Alonso , pidiéndome auxi- Cn ‘á55-' a Jio , el que le facilité proporcionándole varios voluntarios al man Habiendo perd.do Enrique n en 10 de Acosto de iser la do del teniente de la primera compañía D. Prudencio Hernández famosa batalla de S. Quait.n , se consternó…</t>
  </si>
  <si>
    <t>Alonso, Bernardo</t>
  </si>
  <si>
    <t>Bernardo Alonso</t>
  </si>
  <si>
    <t>…ación con motivo de la entrada del traidor sil Procurador eclesiástico D. Josef María Fernandez, D. Nicolás veira en León, que obligó á las autoridades y particulares a to Faujul, D. Bernardo Alonso, D. Juan Areces. Sargento se mar medidas de precaución, recibí un oficio del gele político cundo Juan Amil. De artillería Francisco Suarez. de aquella provincia, participándome su salida, perseguido por __ Estado del reemplazo extraordinario decretado por las…</t>
  </si>
  <si>
    <t>Alonso, Gonza'ez</t>
  </si>
  <si>
    <t>Gonza'ez Alonso</t>
  </si>
  <si>
    <t>…to se llevará titucional: el primero que caminaría por la senda de la Constitución : el adelante la tenacidad. dia 6 de Julio del año pasado manifestó al consejo de Estado esto El Sr. Gonza'ez Alonso ha creído que no serán suficientes los me mismo, diciendo que se lisonjeaba de ser constitucional á toda prue dios que se ponen á disposición de las diputaciones provinciales para ba. Descorramos, señor, el velo , que ya es tiempo; no se crea que esas vestir…</t>
  </si>
  <si>
    <t>Alonso, González</t>
  </si>
  <si>
    <t>González Alonso</t>
  </si>
  <si>
    <t>…on rimir las competencias de las audiencias entre sí en todo el territorio él clic- 1 que se discute. español, y las de las audiencias con los tribunales especíales; pero no se El Sr. González Alonso: Confieio con S. S. que me sorprendió urt determina di en este artículo ni en otro, quién ha de dirimir Jas com •poco la palabra competencia ,* pero sin embargo S. S. habrá de conocer petencias del mismo tribunal cuando se ven lor negocios en primera V conven…</t>
  </si>
  <si>
    <t>…elos se ocupaban en labrar El Sr. Becerra: Atite todas cosas debo deshacer una equivoca moneda falsa dentro de esta corte, y otros en falsificar documentos ción que ha padecido el Sr. González Alonso , tal vez involuntariamen para acreditar haber salido 5 bres de ¡os sorteos para el reemplazo d;l te , pues ha d.cho S. S. que siempre los jueces de primera instancia egército en sus respectivas provincias, y haber obfnido permiso de sos tenían razón en estas…</t>
  </si>
  <si>
    <t>…n en el dia son contrarias al espíri en el código penal; por So que me opongo al dictamen de la comisión. tu y u la letra de la Constitución , por lo que no dehian haber regido El Sr. González Alonso: Las Coites j ignoran todo lo que ha un momento , y por cuya razón debe llevarse á efecto el código pena!. ocurrido sobre este código penal en su discusión , y pues que fue apro Se funda igualmente la comisión en que no hay casas de corrección, bado y remitid…</t>
  </si>
  <si>
    <t>…estar contra una gu rra hecha a .a España, de las incomodidades que esto acama i los' mismos párrocos. cuyo objeto hubiera sido restablecer eipotLr atbrtrar.o, y trasiciear una El Sr. González Alonso apoyó el artículo, manifestando que ya C institución que hsn reconocido so'cmnementr toda» .as potencias en por el articulo 13 se decía que la asistencia del cura páiroco y dos ve lilla ; ha hecho mas, hizo orr ¡as mas serias protestas para contener la cinos…</t>
  </si>
  <si>
    <t>…gará á la de segunda y tercera clase, á me - Leído este dictamen , se empezó á discutir en su totalidad. dida que se clasifiquen, lo que en prorata pueda corresponderles en los El Sr. González Alonso : Cuando he pedido la palabra contra fondos que se realicen , tomando por base de la prorata la suma que este dictamen no ha sido mas que para hacer ver que se mezcla actualmente se supone á dichos créditos, á fin de que los que vayan li aqui un negocio con o…</t>
  </si>
  <si>
    <t>…que los alcaldes de los pueblos no pudie la paz. sen abusar, causando vejaciones 4 los vecinos de los mismos. » Zaragozanos: Sabréis como pienso de vosotros cuando os diga que El Sr. González Alonso se opuso al dictamen, manifestando que mi voto es «I que no haya un faccioso, ó que vendan todos á invadir y los alcalde* no tenían responsabilidad alguna, y de consiguiente podían morir en vuestros muros. Zaragoza 7 de Enero de r8tg.r=El gefe poli» exigir la…</t>
  </si>
  <si>
    <t>…iente no podía adoptarse el dictimen de la mayoría de la El Sr. Castejon leyó otra de los empleados en ta contaduría general comisión sino el del consejo de Estado. de Valores. El Sr. González Alonso dijo que el asunto de que se trataba no El Sr. Escovedo leyó otra del regimiento de caballería de Far- podía presentarse en las Cortes sino con el objeto de exigir responsa bísío. bilidad á los que la hubiesen merecido; pero no resultando del expe El Sr. Nuñe…</t>
  </si>
  <si>
    <t>Gaceta de Madrid n.º 26</t>
  </si>
  <si>
    <t>…o, tanto mas cuanto que picados en la secr taria de la comandancia general de Badajoz: toda* una parte de ella ¡a ten-mos sancionada en ia Constitución , que h* presentadas por el Sr. González Alonso. querido qu tar 3 los hombr-s del compromiso en que pudieran hallarse De los alguaciles de ¡os juzgados de pr'tn 'ra instancia de esta capi curre e¡ . r«ter«.s de su conservación y ser perjuros. Sin embargo, no tal , y de Is milicia r.ecisnal ÍGcal voluntaria…</t>
  </si>
  <si>
    <t>166</t>
  </si>
  <si>
    <t>…tes por el bien de la patria y por la tranmas que ser unos coadjutores de los obispos? quilidad del Estado. Estos son los derechos esenciales de los párrocos; ¡y se podrá decir Ei Sr. González Alonso: Mi opinión sobre el proyecto que se con verdad que el clero parroquial está degradado y privado de sus de discute es seguramente muy diferente de la que ha manifestado el señor rechos esp.-ctales' Que se nos diga en qué provincia de España el cle preopinante…</t>
  </si>
  <si>
    <t>…en el pie que ai.be tener en sobre este punto, y en este reemplazo no itan podido menos de obser el oía. varse las regias que prescriben Jos decretos de las Corles; asi es que El Sr. González Alonso. Yo voy á impugnar el ¿&lt;ctamen d; 1* lian entrado en caja vanos quintos que luego han tenido que salir por comisión pon el extremo opuesto que to hu ¡'.echo el Sr. Romero, pues sus excepciones. Ei Gobierno no ha descuidado este punto , y acaba de S m. m* pare…</t>
  </si>
  <si>
    <t>…los puestos avanzados , los que vienen delante eí dictamen , con lo que han dicho los Sres. preopinantes. del egército que trae toda la protección del Dios de S. Luis: jy este El Sr. González Alonso mas bien ha apoyado el proyecto que lo egército tices por vanguardia una tropa compuesta de facinerosos y de ha indignadlo, por cuanto cree S. S. que aun es corto él número de picaro»? ( Aplausos rtfétidos. ) hombres que se pide; pero S. S. no se ha hecho car…</t>
  </si>
  <si>
    <t>…cipios----Aho misma villa y de los subalternos de la audiencia de Extremadura, presen ra pues, ¡quién no ve en este manifiesto declarada la guerra, no tan solo tada y lcida por el Sr. González Alonso. á la Constitución de España, sino á todas las Constituciones, y á todas las. Del director interino , gefes , oficiales de artillería y demas empleados ideas liberales dei género humano: Según el, los santos aliados se erigen en en ia fábrica de pólvora de mu…</t>
  </si>
  <si>
    <t>…ha icrvido admitir la oferta que ha hecho D. Antonio Basi tos, habiendo tenido 3 el Sr. Soria. lio García"del Arco, juez de primera instancia de Montanches en e-i UníEn nlugar el Sr. González Alonso por 93 votos, habiendo te torio de Extremadura, de 5,00 rs. por una vez, y de 700 rs. y 21 mrs. nido uno el Sr. Romero, otro el Sr. Marchámalo , y 3 el Sr. Villaboa. anuales que le paga aquella villa , mientras dure la guerra con Francia, y esté En 12.0 lugar…</t>
  </si>
  <si>
    <t>…iempo á la vo. untad del De un individuo de la diputación provincial de Cáccres, presentada y Rey, convencido el Congreso de que S. M. no retrasarla ni un instante su leída por el Sr. González Alonso. «gecucion. De la milicia nacional local voluntaria de Mahon, presentada y leída por el Sr. R.cíg. NOTICIAS DE ESPAÑA. De los individuos del batallón de milicia activa de Teruel. Zaragata 4 dr Marta. De la milicia nac onal local de Gerona. Nuestro Diario cons…</t>
  </si>
  <si>
    <t>…as proposiciones en el art^ioo ñol , y ni aun tiene noticia del manifiesto de que habla el Sr. di del reglamento. putado-, y que no ha habido declaración de guerra. En cuarto á El Sr. González Alonso: Desearía que las Cortes acordasen lo demás, el secretario del Despacho de Estado lo tiene consig que estas proposiciones pasasen á una comisión especial, tanto por nado en su memoria. la puta militar como por la d ploinática. Desearía también, que El Sr. Arg…</t>
  </si>
  <si>
    <t>…o yo decoroso el que las Cortes pidan ahoia ai Gobierno dos ejemplares del decreto de S. M., que contiene la declaración los documentos de que se trata. de guerra á la Francia. El Sr. González Alonso: Creo que hemos perdido una por Se leyó dicho decreto á petición de algunos señores diputados. ción de tiempo en este asunto por no habernos enterado bien dé El Sr. Montesinos dijo que en su opinión debia el Gobierno el. Por un decreto de las Cortes se previe…</t>
  </si>
  <si>
    <t>…ión de Guerra se mandaron pasar una exposición para que lo rectifique- en la forma propuesta por el Sr. Veíasco. de un teniente retirado con grado de cap.tan , y otra de un ofi El Sr. González Alonso manifestó qne habiendo tenido á cial retirado, pidiendo se les permita voLver ai ejército para dc- bien conformarse el Sr. Oiiver con ia propuesta del Sr. Velas. fende-r los derechos de ia nación española, como lo hicieron en co nada tenia que contestar. la g…</t>
  </si>
  <si>
    <t>…os enemigos, y de que las noticias que es adicion.dcs que sobre este proyecto, y para evitar la deserción, tos propagan sobre el buen acogimiento que se les hace no me proponia el Sr. González Alonso. rece ningún crédito. Igualmente se mandó pasar á la misma comisión otra adi Parece que se ha instalado ya el nuevo gobierno que ha de ción del Sr. Moure á dicho proyecto para que se declare que el regir en las provincias de España donde dominen las armas fra…</t>
  </si>
  <si>
    <t>92</t>
  </si>
  <si>
    <t>…ten&gt;a en sí mismo aquel régimen, promulgado durante la au fincas rústeas y urbanas pertenecientes á los cabildos. sencia y cautividad del Rey , exigia la sanción Real luego que Ei Sr. González Alonso leyó un proyecto de decreto firma S. M. C. estuviese en libertad. No podía pues ser ni era realmen do por el misino, y por los Sres. Oiiver, Romero, Aguirre, te mas que provisional y condicional ai tiempo de firmarse eL tra Aii.on, Soria y otros, proponiendo…</t>
  </si>
  <si>
    <t>96</t>
  </si>
  <si>
    <t>…de veinte ydecuatroia di- execrable,la facción deconBessieres,28 caballosque, dearmasresultasy varíede .ílasefectos.últimasSederrotaspersiguequeá putac'on provincial; y que la del Sr. González Alonso, que ha sufrido ha vuelto por esta provincia, de la que será pronto trata de la responsabilidad que debe exigirse á los intendentes desalojado, y tal vez destruida. Dios guarde á V. S. muchos cuando por omisión ó por otra causa culpable no suministren á años.…</t>
  </si>
  <si>
    <t>Gaceta Española n.º 23</t>
  </si>
  <si>
    <t>…cofradía ó hermandad fuera Se leyeron por segunda vez y separadamente las 18 proposi de las eclesiásticas, y las que se hagan en estas serán públicas. La ciones presentadas por el Sr. González Alonso y otros varios se infracción de esta ley será castigada con la extinción de la corpo ñores en Ja sesión del 29 del mes próximo pasado, y admitidas ración, v ademas se impondrá á cada individuo una multa de á discusión la 2.a, 4.a, 5 a, 6.a, 7.a, 11.a, 12.a 15…</t>
  </si>
  <si>
    <t>…tierras separadas, sitas en el término de Para componer la comisión encargada de informar sobre las Zalamea, y el de las cinco de Gesmo, que radican en la misma proposiciones del Sr. González Alonso, leídas por segunda vez jurisdicción y se hallan divididas en 103 suertes; cuyas fincas, en la sesión de ayer, á los Sres. González Alonso, Gii de la como procedentes de la encomienda de aquel nombre, han sido Cuadra, Salva, Gómez Becerra, Salvato, Escovedo y…</t>
  </si>
  <si>
    <t>…fincas nacionales, y se separación de sus entradas y salidas, y con Jas demas especifica daría un golpe mortal al Crédito público. ciones y formalidades convenientes. Aprobado. Ei Sr. González Alonso pidió que este dictamen quedase Art. 107, Zelarán para que los presupuestos se presenten sobre la mesa. con Ja distinción y claridad conveniente, demostrando el gasto de El Sr. Isturiz: Desde que se hizo primera lectura de esta* las obras que hayan de emprend…</t>
  </si>
  <si>
    <t>…fecto de la enagenacion las fincas han pasado á manos les por cuatro veces su valor. de r eos cap talistas ; y estos inmediatamente que han tomado pc&gt;c Ha hecho una inculpación el Sr. González Alonso á las sesión de ellas han hecho un nuevo arriendo, generalmente au Cortes , que ya sea á las actuales ó á las anteriores , es indispen mentando la renta al pobre labrador, amenazándole con el des sable que S. S. aclare mas este punto , aunque estoy ír.uv lejo…</t>
  </si>
  <si>
    <t>…iano se leyó el art. 4.0 de la Cons setenta y siete y tres octavos un cuarto y medio.. Renta francesa titución. ochenta y cuatro y medio , y t;es cuartos---- Se habia botado al El Sr. González Alonso manifestó que no habia sido su ob agua el navio Principe Regente de 120 cañones. jeto de ningún modo inculpar á las Cortes anteriores ni actuales, El 30 de Abril se publicó en-Cádiz-con toda solemnidad !a pues lo que habia h'-cho era un paralelo délos benefic…</t>
  </si>
  <si>
    <t>122</t>
  </si>
  <si>
    <t>…á la elección deberá proponerse den La comisión primera de Hacienda, en vista del art. 3.0 de tro de Jos ocho días después de publicada; pero si se. fundir en una proposición del Sr. González Alonso, que por dictamen de imposibilidad física ó moral, aun cuando sea posterior, podrí la comisión de Guerra se mandó pasar á ella, opinaba que no intentarse en el término que se crea suficiente para que se haya debia admitirse por estar á cargo de los intendente…</t>
  </si>
  <si>
    <t>…del importe de las letras inclusive, cou expresión del principio y fifi de cada pontifica que fueron negociadas. do, y reflexiones criticas en los que dan ocasión á ello; forma El Sr. González Alonso leyó un proyecto de decreto firma do con presencia dé las historias eclesiásticas escritas por el car do por él y otros Sres. diputados, proponiendo varias medidas denal Fleuri, Natal Alejandro y otras muchas acreditadas de como indispensables en las actuales…</t>
  </si>
  <si>
    <t>…primera ocasión Nótese asimismo la generalidad con que está concebido el ar para que determine lo conveniente. tículo. Por él podrán suspender los gefes políticos no solo cual El Sr. González Alonso: Yo creo que la comisión debía re quier empleado de hacienda, sino los gefes militares, y hasta los tirar este artículo para reformarlo, porque si el anterior presenta empleados eclesiásticos, porque solo se exceptúan los que ejercen ba una injusticia manifie…</t>
  </si>
  <si>
    <t>…o el Sr. Adan que horas la ley de deserciones á presencia de algún individuo de la haciéndose mérito en la memoria que había leído el Sr. Secre diputación provincial; y que la del Sr. González Alonso , que tario de Hacienda de Ja lista del repartimiento de contribucio trata de la responsabilidad que debe exigirse á los intenden nes en las provincias de la Península ¿ desearía acordasen las tes cuando por omisión ó por otra causa culpable no suminis Cortes…</t>
  </si>
  <si>
    <t>…l para toda su provincia, se conformaba con el parece este asunto, debe estarse á lo prevenido en estos decretos. de la diputación provincial y del Gobierno, relar.vo á que nor El Sr. González Alonso, se opuso á este dictamen, fundándo era necesaria dicha audier.c’a. Aprobado. se en que todos estos oficios, asi como los de escribanías reírles, Se mandó pasar á la com’sion primera de Hacienda un ofi estaban suprimidos, con la diferencia de que los que sirv…</t>
  </si>
  <si>
    <t>…te estado.” 5 á 30 duros. Se admitieron á discusión ks 10 proposiciones siguientes, Se mandaron pasar á la comisión que se nombraria al efecto. presentadas con otras varias por el Sr. González Alonso y otros El Sr. presidente nombró la diputación que habia de llevar Sres. diputados en la sesión del 29 del mes próximo pasado. el mensage de las Cortes á S. M. ‘ Las proposiciones que fueron admitidas á discusión son las El Sr. secretario de la Gobernación de…</t>
  </si>
  <si>
    <t>…ularizados gocen Jos mismos derechos sión hopee,al sobre las 10 proposiciones presentadas en la sesión que el clero secular , y no quiere que los demás los gocen; asi del 2 por el Sr. González Alonso y otros varios Sres. , y que ad apruebo el dictamen de la comisión. mitidas á discusión se habían mandado pasar á dicha comisión Es Se dió el asunto por suficientemente discutido. El Sr. Aiiion pecial. pidió la lectura del articulo 6 o de la ley de r.° de Oct…</t>
  </si>
  <si>
    <t>Gaceta Española n.º 33</t>
  </si>
  <si>
    <t>…uchos__ El cuartel general Se leyó y mandó imprimir el dictamen de la comisión Espe está en Vitoria, donde S. A. R. ha sido recibido con entusiasmo.” cial sobre la proposición del Sr. González Alonso, relativa á los Advierten los periodistas que el 23 de Abril debía entrar por premios que hayan de concederse á las familias de los militares Cataluña el general Moncey, y callan varias particularidades que que mueran en defensa de la patria en esta guerra, y…</t>
  </si>
  <si>
    <t>Gaceta Española n.º 34</t>
  </si>
  <si>
    <t>…mino de 24 horas. Yo suplico pues á Jas Cortes to bro del parlamento. men en consideración Ja queja de este individuo. Dicho paquete ha conducido á un oficia! polaco y otro sis Ei Sr. González Alonso se opuso a que se leyese la represen man que vienen á servir en el ejército español. tación , pues que la costumbre era dar cuenta de esta clase de do En Inglaterra debían embarcarse armas para España, y toda cumentos en extracto, y pasarlos á la comisión á q…</t>
  </si>
  <si>
    <t>…contribuciones con ia pron pérfidos nuestro suelo, proclamándoselos restauradores del altar y titud que se desea. el trono. Los españoles como católicos no reconocemos mas Dios El Sr. González Alonso: Yo he estado, señor, en poblaciones que el que siempre adoramos,el único verdadero Hacedor de todas grandes, y he visto que cuando los ayuntamientos han querido las cosas, y el Eterno que proclamamos en la Constitución. Los cumplir con sus obligaciones en i…</t>
  </si>
  <si>
    <t>…ivamente han excedido ó no las disposiciones de es sean las que fuesen que tornen e! título de Gobierno español. te artículo. Asi creo que puede decirse que siempre que se mani El Sr. González Alonso manifestó que la comisión se con fiesten hechos que produzcan pruebas las autoridades locales ha formaba con esta variación. gan la ocupación; y hecha esta dé cuenta al Gobierno para que - El Sr. secretario del Despacho de Gracia y Justicia: Creo éste examine…</t>
  </si>
  <si>
    <t>…e que debe ser puramente gubernativa la ejecución de es festase con hechos su adhesión al Gobierno francés ¿kc. , ta medida, porque resultando pruebas de que fulano de tal, por El Sr. González Alonso: La comisión ha estado tan. indul ejemplo, se' ha declarado en favor del enemigo , y no tratándose gente en este artículo, que ha desviado de las disposiciones que . me una pena personal sino del secuestro, (qué inconveniente hay dieron Jas Cortes en.la guerr…</t>
  </si>
  <si>
    <t>…sta fin del presente año, y será comisión especial sobre las 10 proposiciones presentadas en la de una sola lección al dia, recibiendo el último mes alguna ins sesión del 2 por el Sr. González Alonso y otros varios seño trucción en los rudimentos de ia lengua griega; bien entendido res , y que admitidas á discusión se habían mandado pasar á di que no tendrá que contribuir con cosa alguna. El portero de San cha comisión especial. Isidro dará razón del prof…</t>
  </si>
  <si>
    <t>187</t>
  </si>
  <si>
    <t>…obado , debe empezar desde que espi na D. Manuel Frías___Congreso y archivo la milicia nacional re aquel termino. local de Madrid___Parada la Reina, Infante D. Carlos, milicia. Ei Sr. González Alonso: El artículo ha sufrido efectivamen activa y Ja nacional local de Madrid t el demás servicio y patru te alguna equivocac.on en su redacción. La idea de la comis on es llas lo detallado.__Hospital y provisiones la Reina___ Teatro que los'espaúoies continúen co…</t>
  </si>
  <si>
    <t>…su en lastre en puertos de la Península, y carguen para extraer del plicante. 1 ciño las dos terceras partes lo menos de géneros del pais. Aprobado. También se leyó a petición del Sr. González Alonso el ar La misma cornis ón , en vista de la exposición de la dirección tículo del decreto de 28 de Octubre de i8n. de aduanas, y los informes de los vistas, administrador é inten El Sr. Canga: Me es muy sensible que se esto perdiendo el dente de Cádiz, para que…</t>
  </si>
  <si>
    <t>…los adicionales, que se hallan almacenados, y el dictamen de la comisión Ecle particulares ó de partícipes que entonces se cobraban; pero sin siástica sobre dos proposiciones del Sr. González Alonso y otros eximirse del de depósito Jos que en él se hallaren , ni del me varios señares; y levantó la sesión. dio por 100 de consulado. Después de una corta discusión se aprobó el artículo i.°, y Stjion ordinaria dd día ij. en seguida lo fue el 2.0 Se leyó y qu…</t>
  </si>
  <si>
    <t>…Sr. Ruiz de la Vega: La comisión entiende que debe vo la odiosidad á muchos españoles amantes de la Constitución. tarse el artículo en estos términos » Del mismo modo se ocupa El Sr. González Alonso: En cuanto á la comparación que rán los bienes de los españoles que sin comisión existente del Go ha hecho el Sr. Cano yo 110 encuentro á los españoles que por su bierno, ó sin que acrediten imposibilidad física de restituirse á la voluntad residan en Francia…</t>
  </si>
  <si>
    <t>…yor de esta plaza, se le reconocerá reserva D. Pedro Villacainpa sobre formación de guerrillas. como destinado á las órdenes del Excmo. Sr. D. Demetrio Se leyó una proposición del Sr. González Alonso, reducid* O-Daly; y al teniente del batallón de la milicia nacional activa á que las oficinas encargadas de la liquidación de suministros he— . de Talavera D. Clemente Pavón por oficial auxiliar del estado chos en la guerra anterior continúen sin interrupción…</t>
  </si>
  <si>
    <t>…r las demas obligaciones ane para ahorrar gustos de traslación á Madrid, opinaba que eran po jas a ellos.” co útiles y nada necesarias estas bibliotecas , por ser de literatura Ei Sr. González Alonso dijo que la comisión se conforma eclesiástica, en ios puertos del Ferrol ó de la Cotufa, y que por ba también con esta adición. lo mismo podian trasladarse á Santiago, sin perjuicio de lo de Se deciaró el punto suficientemente discutido , y quedó apro cretado…</t>
  </si>
  <si>
    <t>…ncia, pues no se celebra ninguna es únicamente á la objeción que ha esforzado el Sr. Prado, y que pecie de juic.o. en sustancia es la misma hecha por el Sr. Diez. El Sr. preopi El Sr. González Alonso: Yo estoy sorprendido de oir al nante ha esforzado la objeción del Sr. Diez por la misma ra Sr. preopinante, pues según se ha expresado S. S. no ha leido ei zón con que la ha querido impugnar el Sr. Oliver , diciendo que artículo. Por este no se ataca la Cons…</t>
  </si>
  <si>
    <t>…s que tengan á bien hacer los Síes, di bases ni arbitrios donde escoger, y ademas tiene la iniciativa del putados. Gobierno que cree oportuno el proyecto. En efecto no podia me El Sr. González Alonso i.Víoy á impugnar el dictamen que nos de reconocerlo asi, cuando gira esta exacción sobre contribu se presenta con tanta mas confianza cuanto que seguiré el ca ciones conocidas, y cuando presenta menos dificultades que las mino indicado por vanos Sres. diputa…</t>
  </si>
  <si>
    <t>…42. ción á los urandes conocimientos que requerían fas operaciones Se procedió á discutir el dictamen de la comisión especial so dd gran libro. bre fas proposiciones 5.a y 7.a del Sr. González Alonso y otros E! Sr. Canga apoyó está idea, manifestando que la deuda ex- señores diputados. trangera no podía nunca mezclarse con el Crédito piibhco; y Leido dicho proyecto, el Sr. secretario del Despacho de Gra que supuesto que existia el gran libro debia conside…</t>
  </si>
  <si>
    <t>…los artículos 273 y ya sean individuos del antiguo consejo, inquisidores ó .magistra 274 de la Constitución. j , dos cesantes; y el Sr. preopinante no podrá menos; repito, de El. Sr. González Alonso hizo algunas explicaciones sobre los convenir en que deben comprenderse en el artículo aun los que tribunales y corporaciones que reconocía la Const tucion, y los admitan destinos en corporaciones reconocida por la constitución, que no, cuyo punto manifestó q…</t>
  </si>
  <si>
    <t>…ar á los españoles por adictos D. Josef Comen , vecino de Barcelona, para desempeñar una es á la Constitución. cribanía , con tal que pague los correspondientes derechos. Queda El Sr. González Alonso: Cualquiera persona que juzgue á ron aprobados. los patriotas por motivo de opiniones políticas está comprendida La propia comisión, en vista de una solicitud de D. Antonio en el art. i.° de este decreto; pero la comisión, previendo que Caner, vecino de Pucnt…</t>
  </si>
  <si>
    <t>…este artículo no evita la aplicado 1 de las penas que se su conducía política, ¿ imponerles e¡ condigno cast ro. imponen en el anterior. En el artículo anterior se dice que Jos El Sr. González Alonso: Toda la saita de excomuniones individuos de las diputaciones que cobardemente abandonen sus políticas de que habla el Sr. preopinante ncae sobre iiis penas que puestos queden sujetos á tales penas: estas penas se imponen por se establecen en el provecto; per…</t>
  </si>
  <si>
    <t>…s los que alteren las disposiciones sobre manos por esto pretenda yo prevenir la opinión de los demás señores muertas. diputados), queme atrevo á asegurar que aun cuando Ja pro El Sr. González Alonso como de la comisión manifestó posición no fuese aprobada , no seria porque entre nosotros hu que esta se hallaba conforme en que se añadiese después de seño biese quien abrigase otros sentimientos que los que bullen en mi ríos , „ capellanías y manos muertas.…</t>
  </si>
  <si>
    <t>…reunión de cofradía ó herman se adm.tiran las que no lo sean. Art. -i.° Asimismo podrán tras dad religiosa.” portarse los frutos , efectos y manufacturas naciera &lt;s y las extiau£1 Sr. González Alonso manifestó que la comisión no po- geras kg.tunamente introducidas desde los puertos amenazados dia conformarse con esta modificación, y que solo añadía la pa por las tropas enemigas á los libres ; entcnd.endose por amenazados labra »•»«»• ga •' • después de la…</t>
  </si>
  <si>
    <t>…erno para que lo entorpecer como quiere suponerse , no hará sino darle una fuer instruya y lo devuelva á las Cortes. za moral, de la que carecerá si el dictamen no se aprobase. Ei Sr. González Alonso: Parece prurito de los juicios espa Se declaró el asunto suficientemente discutido; y habiéndose ñoles que siempre se están complicando .en competencias y causas, votado por partes el dictamen, quedó aprobada la primera en es lo que hace se entorpezca la admi…</t>
  </si>
  <si>
    <t>Gaceta Española n.º 49</t>
  </si>
  <si>
    <t>…iscusión del dicta ramo. men de la misma sobre penas de Cámara, y se pasase á ella pa A la misma comisión se mandó pasar una exposición del ra arreglarlo conforme á la opinión del Sr. González Alonso. ayuntamiento de la villa de la Calzada, para que se le perdonen Aprobado. ciertas cantidades. Salió) la diputación que debía entregar á S. M. varias leyes A la comisión de Casos de responsabilidad se mandó pasar para la sanción Real. una exposición remitida…</t>
  </si>
  <si>
    <t>278</t>
  </si>
  <si>
    <t>…al de artillería para que se admita en la punto, se declaró el dictamen suficientemente discutido. fábrica de fundición da cañones de Sevilla á dos jóvenes en clase A petición del Sr. González Alonso se leyó el art. de de as pirantes á alumnos con la asignación de 250 rs. mensuales, la Const-tucion , y del Sr. Isturiz el 9.0 de la misma , después de era de opuuon que las Cortes podrían acordarlo asi con la cir— lo cual quedó- aprobado el dictamen. cunstmc…</t>
  </si>
  <si>
    <t>Gaceta Española n.º 58</t>
  </si>
  <si>
    <t>…que se votaba equivocación puede acarrear perjuicios graves á los jugadores ó á era la misma que emitía el voto. la Hacienda pública. Por lo tanto yo creo que debemos aprobarlo El Sr. González Alonso dijo que en el reglamento de las que propone la comisión. Cortes se prevenia que en las votaciones secretas el presidente y El Sr. secretario de Hacienda: Para saber con acierto si el secretarios no podían ver las cédulas escritas hasta hacer el com número de…</t>
  </si>
  <si>
    <t>Gaceta Española n.º 71</t>
  </si>
  <si>
    <t>…putados, el nombramiento hecho tos dalos 1.0 pudia hacerse nada hasta que se reci por el Gobierno. biesen de todas las demás. So mandó unir al acta los votos, par! ¡calaros. de El Sr. González Alonso hizo presente lo gravada los Sres. tjlirifioraes, Sedeño y Alvear. contrarios á que era seguí» este repartimiento la provincia de En la autorización que se dió al Gobierno en h¡ sesión ceres respecto ib: la de Hadajoz ; pues ademas de te de ayer para poder em…</t>
  </si>
  <si>
    <t>…isiere. Por lo que r.o apro haber sido citados para pasar á la ciudad de S. Fernando á incor baba el dictamen. porarse en sus tilas como milicianos voluntarios de la milicia na El Sr. González Alonso manifestó que estaba muy Jejos de cional voluntaria de Madrid , y que estaban prontos á ir donde ¡a desconocer el principio de respetar la libertad de Jos ciudadanos; patria exigiese sus servicios, opinaba que estas no estaban en el pero que en"el dictamen no…</t>
  </si>
  <si>
    <t>…que se deducía de ellas , y por la que parece que el conde de rían perjuicios al acreedor que al quebrado. Cartagena podía faltar á sus deberes , y ser un traidor :i su patria; El Sr. González Alonso manifestó que lo que se propon.aen pues que al mismo tiempo pidió el Sr. Paterna se leyese el ar este dictamen era enteramente conforme con lo dispuesto en el ticulo 7.0 de la ley orgánica del ejército. Código penal, y que de ningún modo debían entender los c…</t>
  </si>
  <si>
    <t>…Infante , pues que se nota men , por el cual se hacia igual declaración respecto del mencio ba alguna diferencia en !a redacción. nado ejército. Quedó) aprobado este dictamen. El Sr. González Alonso manifestó) que este decreto era el La comisión de Guerra , en vista de un oficio del Sr. secre mismo; pero que creyéndose qtie se habia extraviado en la tras tario del Despacho de mismo ramo para que se le autorice pava lación de Sevilla á esta ciudad, se hab…</t>
  </si>
  <si>
    <t>Alonso, Jonef</t>
  </si>
  <si>
    <t>Jonef Alonso</t>
  </si>
  <si>
    <t>…niendo que no se arrojaría á intentar la tan , teniente y subteniente de granaderos, D. Antonio .Martin.z y salida por la Burunda, ni á internarse en ia provincia de S. S:hastian, D. Jonef Alonso, teniente y «notamente de la quinta, como igual dispus- que el 26 saliese con dirección i los Arcos el coronel de Pablo mente ios cazadores del in.sma cuerpo i Us órdenes de su capitán Don con i3 hombres de infantería y 80 caballos de Boibon entre tanto marAn…</t>
  </si>
  <si>
    <t>Alonso, Nicolás</t>
  </si>
  <si>
    <t>Nicolás Alonso</t>
  </si>
  <si>
    <t>…, porque ist hablan siempre los españoles i D. Andrés Alcon. D. Josef Radon. su Rey, pero con una decisión heroica, * rogarle que se dignase de dar El Dr. D. Josef Sainz de Rozas. D. Nicolás Alonso. ya fin á las amarguras de sus subditos, adoptando el pació que recla D. Vicente Villanova. D. Elias Montero y Porlocarmaban su bien y sus deseos. Hízolo asi V. M., porque sus entrañas pa D. josef Asnero. . rero. ternales nada podían rehusar que fuese en prov…</t>
  </si>
  <si>
    <t>…de los esclavos, triunfaremos de los que rado de calificación los señores D. Josef Alvarez Crespo, D. Ca quieren imponernos un yugo vergonzoso, mas insoportable que yetano Rubio, D. Nicolás Alonso, D. Aquilino Palomino , Don ia misma muerte, y la Nación española ocupará el primer lugar lorenzo Lambea, D. josef Perez Morales, D. Marcelino Lorio, entre todos los pueblos célebres del mundo, y será mirada como D. Arias Gonzalo de Mendoza, D. Francisco Zazo…</t>
  </si>
  <si>
    <t>Alonso, Pedro</t>
  </si>
  <si>
    <t>Pedro Alonso</t>
  </si>
  <si>
    <t>…ovimiento acercándose bastante iij ayer de -de aquella ciudad , dice al Sr. secretario de Estado y del Des línea protegidos de las casas y cercas, cuando el oficial ds plana mayot D. Pedro Alonso salió de ella con 10 hombres del batallón de Ma-pacho de la Gobernación de la Península lo que sigue: Exento. Sefior.rrConsiguiente á lo que manifesté á V. E. en mi oficio reservado Horca, sostenido por otros ao del mismo, al mando de tu coman número 33, empr…</t>
  </si>
  <si>
    <t>Alonso, Pedro Torre</t>
  </si>
  <si>
    <t>Pedro Torre Alonso</t>
  </si>
  <si>
    <t>…ilidad. La turbaron el maquiavelismo de los unos y cabullería, dejando el mando de la columna al teniente coronel la ignorancia de los otros , haciendo caer á la multitud en un la D. Pedro Torre Alonso , que hab a inspirado ¡a mayor confian- zo grosero. Quieren evitar servir bajo las banderas nacionales, y ai á toda la tropa. Una columna del res ,nardo militar , escopete prefieren los riesgos y miserias á que lo* exponen una vida va aos y milicias de Lena,…</t>
  </si>
  <si>
    <t>Alonsonia, Luisa de Guevara y</t>
  </si>
  <si>
    <t>Luisa de Guevara y Alonsonia</t>
  </si>
  <si>
    <t>…cho á los bienes de las vinculaciones que hicieron Lope Ginés, Nicoláshabía dado á la palabra amnistía la interpretación que verdaderamente te Rosique, ei capitán Juan de la Jara, Doña Luisa de Guevara y Alonsonia ; que dejando esta abierto el camino para reconciliarse con la patria á García Navarro, de que es actual poseedor D. Juan Josef Mauleon ytodos sus enemigos hasta r.° de Abril, de ningún modo se podia dejar de Vela, vecino de la ciudad del Puerto de Santa Marí…</t>
  </si>
  <si>
    <t>Alonto, Pedro Torre</t>
  </si>
  <si>
    <t>Pedro Torre Alonto</t>
  </si>
  <si>
    <t>de la columna ai teniente coronel D. Pedro Torre Alonto , que habí* de la Constitución, en donde se hallaban reunidos la mayor parte ds inspirado la mayor confianza á toda la tropa. Una columna del resgnar- ios vecinos del pueblo, i presencia de los cuales D. Josef Caibonell, xnilitar , escopeteros y milicias de L…</t>
  </si>
  <si>
    <t>Alorillas, Ramón</t>
  </si>
  <si>
    <t>Ramón Alorillas</t>
  </si>
  <si>
    <t>…os sus cálculos han sido fallidos: sus pronós blación es de ago vecinos: se dirigirán los memoriales por Pasticos mofados por la experiencia: sus consejos despreciados por trana á D. Ramón Alorillas, Secretario de su ayuntamiento. los mismos que los habían de adoptar: sus tramas descubiertas y Se halla vacante el partido de médico del lugar de la Puebla paralizadas; y de sus locas esperanzas se han reido siempre todos Nueva, provincia de Toledo, partido…</t>
  </si>
  <si>
    <t>Alorüjo</t>
  </si>
  <si>
    <t>Gaceta de Madrid n.º 62</t>
  </si>
  <si>
    <t>…ía se oía muchas dos , espera todavía que volviendo en sí, y recordando tan so veces el de mueran los de la fe. lo que son españoles, en cuyo titulo se contienen las cualidades El general Alorüjo luego que supo ss habia verificado la in de hombres honrados y virtuosos , se restituyan inmediatamente vasión tomó las medidas mas oportunas para hacer la guerra á la caja á participar de las glorias y de las recompensas con que (son sus paiabras terminantes…</t>
  </si>
  <si>
    <t>Alt</t>
  </si>
  <si>
    <t>…reunido el jurado, compuesto de los Sr». O. Lope Ma la guerra del mismo modo que á los soldados del egéicito permanente. nuel de Luengas, D. Antonio Canadeü, D. Luis Igartuburu , Don Alt. 2.0 Los oficiales, sargentos y cabás de la rifer da milicia tendrán Joaquín María Goñi, D. Juan Bautista Carrera , D. Josef María la los mismos haberes que en sus respectivas provincias esten señalados á los Arroyo, D. Josef Perez Torroba, D. Ramón Míguez y…</t>
  </si>
  <si>
    <t>Alt, Ferinin Ar</t>
  </si>
  <si>
    <t>Ferinin Ar Alt</t>
  </si>
  <si>
    <t>Gaceta Española n.º 137</t>
  </si>
  <si>
    <t>…l ge caso que no la ocupase con fuerzas ñipen res; y por si esto se neral D. Pablo Morillo, permaneciendo fieles á sus juramentos. conseguía salió también el teniente de meeiveros D. Ferinin Ar Alt. 2.'J El Gobierno mandará formar el oportuno expe teta con un destacamento de 30 zapadores, al mando del .subte- diente, á linde que esta honorífica distinción recaiga precisa v mente D. Juan Cid para destruir los trabajos enemigos, y cons 'nominalmente .en l…</t>
  </si>
  <si>
    <t>Altan</t>
  </si>
  <si>
    <t>…fue que su mayordomo contestaría. Por tacto creo que ias nocen demasiado sus deberes para atreverse jamas á presentar na Cortes deben aprobar el dictamen. da con este carácter. El Sr. Altan: Yo estoy intimamente convencido que la ins Esto supuesto, paso á contestar á las razones del Sr. preopi trucción de 10 de Setiembre último iba á cortar de raíz muero» nante. La comisión y el Gobierno opinan que las Cortes acuer vicios de que adolece la admim…</t>
  </si>
  <si>
    <t>Alton, Josef</t>
  </si>
  <si>
    <t>Josef Alton</t>
  </si>
  <si>
    <t>…ntido cuadro de chos de la armada nacional nombrados Sta. Clara, Intrépido x Cm.f lo previne, y con quiméiicas inquietudes sobre lo futuro. lan, al mando de los alféreces de navio D. Josef Alton , D. Joscf « Las medidis mas sabias de los Gcbieruos ao prosperarán, las me Gumbarda y D. Félix Angosto, procedentes de Tarragona en tres joras un» bien combinada» lio tendrán feliz, éxito, la cor.tiniza final días de navegación. mente no se restablecerá entr…</t>
  </si>
  <si>
    <t>Alurfi</t>
  </si>
  <si>
    <t>398</t>
  </si>
  <si>
    <t>…omisión de Comercio , hecha cargo de los expedientes Se mandó pasar á la comisión de Comercio una proposición remitidos por el Gobierno , instaurados por solicitudes de varios del Sr. Alurfi, relativa á rebajar los derechos de los buques que vecinos de Algeciras y Sevilla, pidiendo unos que se permita la vengan con cargamentos de las Islas Canarias. extracción de las cortezas propias para las fábricas de curtidos, y Se leyeron y hallaron conforme…</t>
  </si>
  <si>
    <t>Aluza, Blas</t>
  </si>
  <si>
    <t>Blas Aluza</t>
  </si>
  <si>
    <t>…ballería, la que espere (ins Asturias........ Idem.............. Josef Moreno , ídem. ta el tiro de pistola, y mandé á Valencey hacer una descarga cu Alcañiz....... Subteniente... D. Blas Aluza , ídem. rada , la que causó al enemigo la perdida de casi todo su frente, Soldado.......... Francisco Ortiz, idem. incluso el comandante que venia á la cabeza; pero como por mi Idem.............. Pablo Fuste , idem. derecha iban las guerrillas enemigas ocupán…</t>
  </si>
  <si>
    <t>Alvaneda, Juan Bautista</t>
  </si>
  <si>
    <t>Juan Bautista Alvaneda</t>
  </si>
  <si>
    <t>Gaceta de Madrid n.º 96</t>
  </si>
  <si>
    <t>…ue aun to de los Sres. D Josef Brnjumrda, D. Prudencio Hernández Santa conservaba el calor del dia precedente, una sustancia salina fi.ifoime, Cruz, D. Juan Bautista Verrnurguia , D. Juan Bautista Alvaneda, dispuesta en forma de pequeñas rosas , que pudiera tenerse por una con D. Joseí María '/¡Baranda, D. Josef Juan de Pujada, D. Francisco creción amoniacal; pero que en realidad no era sino muríate de sosa. Robles, D. Leonardo Miguel Carneruno y D. Tomas López…</t>
  </si>
  <si>
    <t>Alvar, Ignacio</t>
  </si>
  <si>
    <t>Ignacio Alvar</t>
  </si>
  <si>
    <t>…o se publicará cuantos se crean con derecho á los bienes que han quedado existentes en Sevi la la Gaceta española, estrechando todo lo posible las márge por la muerte intestada de D. Ignacio Alvar z , ocurrida en dicha ciu nes í fin de. que contenga ío mismo que si se publicase en papel de dad el día Iré» de julio último, á fin de que dentro del término de 40 mayor merca; y se darán ademas todos los suplementos que se crean días, contados desde la publ…</t>
  </si>
  <si>
    <t>Alvar-z, Jocquin</t>
  </si>
  <si>
    <t>Jocquin Alvar-z</t>
  </si>
  <si>
    <t>Gaceta de Madrid n.º 85</t>
  </si>
  <si>
    <t>…por todas partes prevale varri , D. Antonib Martínez de Fosada, D. Luis Ctosa , D Juan Bau cen en general las mejores disposiciones para concurrir eficacísima- tista Vea Murguia , D. Jocquin Alvar-z , D. Juan Francisco Espalomente i conservar la dignidad y el honor ae la Nación, el trono cone • sin , D. Miguel García Oilit , D. Francisco Hidalgo y D. Antonio d* titucional, y por consiguiente la Constitución de la Monarquía españo Olazarra , dec'aró por u…</t>
  </si>
  <si>
    <t>Alvara</t>
  </si>
  <si>
    <t>…e los par después de todo el ejército sino unos pocos que, scaun las úl Andes, ai mando del Sr. coronel mayor D. Cirilo Correa,ocu timas cartas del Janeiro, fugaron con el célebre general Alvara paron la villa de Tacna, y obligaron al general enemigo Valdés do en la corbeta Macedonia, y un obelisco decretado pira per á abandonarla precipitadamente después de las ridiculas bravatas petuar la memoria de un acontecimiento, pendiente aun de las fon que q…</t>
  </si>
  <si>
    <t>Alvarado</t>
  </si>
  <si>
    <t>…la libertad de la América. La primera !uz que recuerden incesantemente la confesión que mal de su ’.r.ido de la aurora no ha consolado tanto al náufrago , que luchando ha hecho el general Alvarado de la Total pérdida del ponderado con las fatigas de la muerte alcanza á divisar la playa en que va ejército del Sur, y lo que es mas sensible para los individuos del á salvar su existencia, como exaltó á los tacneños ia piipr.ra vis Congreso constituyente de…</t>
  </si>
  <si>
    <t>…oro nacional. Cádiz 26 de Junio de 182 3—Calatrava. Mota. En la gaceta del 4 , col. 7.a, se omitió poner a la cabeza A, Gobierno ha recibí 10 los pa tes sigu'*ufe 1. del parte dei general Alvarado lo siguiente: Ministerio de la guer Comandancia militar d« la provincia d« Iludva—Excmo. se ra-lío á bordo de la Mactdonia y Enero 25 de 1823. iN LA EMPRENTA NACIONAL, .</t>
  </si>
  <si>
    <t>Gaceta de Madrid n.º 433</t>
  </si>
  <si>
    <t>…sión á la augusta cusa de los Berbenes. _El 21 de Enero el ejército patriota del Perú compuesto de Tened á bien , Señor, acoger bondadosamente estos sentimien hombres al mando del general Alvarado, sostuvo una ac tos , admitiendo el homenagé de mi mas profundo respeto.” ción muy viva contra las tropas Realistas á las órdenes del ge El Rey contestó asi: «Los sentimientos, que á nom nera! Valdés cerca de Tucua; y después de un choque muy re- bre de la Re…</t>
  </si>
  <si>
    <t>Gaceta de Madrid n.º 543</t>
  </si>
  <si>
    <t>…la patria llenan de amargura el cora tas sobre la última derrota del ejército independiente del Perú, zón de V. A. S., tenga el consuelo de saber Los ha /habido á las órdenes del general Alvarado; derrota de que ya habían también que á toda costa han. sabido conllevar y arrostrar toda llegado algunos pormenores á Inglaterra. Añaden las cartas que especie de sacrificios y peligros para conservar ilesas las doctri el general Alvarado se había retirado d…</t>
  </si>
  <si>
    <t>Gaceta Española n.º 132</t>
  </si>
  <si>
    <t>…con y la codicia con sus mas referirlo en este número. Después de haber hecho mención de la alliagiieños encantos. Con esa superioridad de alma que nada co desgraciada derrota del general Alvarado sigue diciendo ; » él ha noce sobre ella misma, sino la razón, la ley y el orden, el per encadenado ocurrencias nuevas, pero de igual naturaleza. Sin du maneció inmóvil en medio de sus fuertes sugestiones: y quiso da no se oculta á V. la ineptitud y .apatía d…</t>
  </si>
  <si>
    <t>Alvarado, Rudesindo</t>
  </si>
  <si>
    <t>Rudesindo Alvarado</t>
  </si>
  <si>
    <t>…isco Valdivieso. Continúan las noticias contenidas en las gacetas de Lima que ;Quién después de la lectura de estos dos artículos y el parte hemos recibido hasta 19 de Febrero. de D. Rudesindo Alvarado, que hemos publicado en la gaceta Lima l 1 de Enero. de ayer, dejará de prorumpir no en risa, porque se trata de de Ministerio de la Guerra. A las tres y media de esta tarde sastres causados entre hermanos y de sangre española, sino en fondeó en el Callao la…</t>
  </si>
  <si>
    <t>Alvarcda, Juan Bautista</t>
  </si>
  <si>
    <t>Juan Bautista Alvarcda</t>
  </si>
  <si>
    <t>…s que atraviesan los D. Pedro Antonio Carrera , D. Joaquín María González, Don mares en edificios flotantes en busca dei oro, y con el objeto de Francisco FernandíZ del Castillo y D. Juan Bautista Alvarcda, EN LA IMPRENTA NACIONAL.</t>
  </si>
  <si>
    <t>Alvarcz</t>
  </si>
  <si>
    <t>…haber salido mas adelante El Sr. -Salva se opuso á la última parte de este dictamen, y de la casa, y á espaldas del parapeto, no se atrevieron á salir. La habiéndole contestado el Sr. Alvarcz ( D. Elias), se procedió á tropa de ia guerrilla avanzó, y la columna compuesta deí núme la votación por partes: la primera quedó aprobada, y la segunda ro 14 con la mayor serenidad , despreciando los fuegos del ene empatada por 42 votos contra 42. migo, el q…</t>
  </si>
  <si>
    <t>…recisa y nominalmente entre los La comisión de Instrucción pública, habiendo vuelto á exa dignos de ella, evitando el que mezclándose los perjuros con los minar la proposición deL Sr. Alvarcz, y constante en el deseo de que no lo son, alcance á aquellos lo que no merecen. que las Cortes den pruebas de protección á las personas encarga El Sr. Moure hizo presente que advertía no hacerse menc’on das de la enseñanza , .opinaba que las Cortes se sirvie…</t>
  </si>
  <si>
    <t>Alvarez</t>
  </si>
  <si>
    <t>…34, 3 3 y 35 de tenido dos ei Sr. Marchámalo y uno el Sr. Villaboa. la manz. 3 2 3; y como de las primeras diligencias practicadas haya resulta En la 24.a votación fue elegido el Sr. Alvarez (D. Elias) por 85 vo do que efectivamente no tienen dueño, se acordó por el citado Sr. juez tos , teniendo uno el Sr. Marchámalo. en providencia de 8 de Enero último entre otras cosas se procediese al En la t 5.a votación salió elegido e! Sr. Garmendia por 78…</t>
  </si>
  <si>
    <t>…paciones que tienen y se les do convento de carmelitas descalzos de Granada, la pcns:on de 3 ra cargando cada dia. reales diarios que solicitaba en atención á su avanzada edad. El Sr. Alvarez (D. Elias) apoyó la proposición . manifestan Aprobado. do constarle que en la provincia por donde es diputa ‘.o se habían I4 misQU opinaba debía desestimarse la solicitud d« D. Lo-</t>
  </si>
  <si>
    <t>…uación en que se encuentra el pago de algunas Se levó y mandó pasar á k comisión de Instrucción pública deudas, era de opinión que las Cortes podían decretar : una proposición del Sr. Alvarez (D. Elias), repitiendo 01ra que 1Las asignaciones de los individuos secularizados serán pa se leyó por dos veces en la legislatura anterior, y se mandó pasar gadas por la tesorería nacional. á dicha comisión, relativaá que se derogue el art. 6° del decreto 2.…</t>
  </si>
  <si>
    <t>398 fio:- Meca, 24 el Sr. Alvarez (D. Elias), 5 el Sr. Neira, 3 el carlo ya que se dejaba al "Crédito público sin fondos con que ha Sr. Posada, 2 el Sr. Suarez, 2 el Sr. Varela, y uno respectiva cerlo. Este medio lo encuentro en el dictamen que se discute, y mente los Sres. González Aguirre ,…</t>
  </si>
  <si>
    <t>…eto sobre Dicha comisión , en vista de la proposición del Sr. Marau división de territorio, y asi se verificó. para que se declare que las medidas extraordinarias concedidas al El Sr. Alvarez (D. Elias) dijo que á consecuencia de lo pre Gobierno no tendrán mas duración que hasta las Cortes ordinarias venido en el art. que se había leido, algunas diputaciones han he próximas, ú hasta las extraordinarias de este año si se reunieren, cho ya las refor…</t>
  </si>
  <si>
    <t>…la pensión anual de 63 rs. vn Estado. Después de haber impugnado este dictamen los Sres. Galia- Orden recibida en el puerro de Niza. (Gaceta del 4.) no y Canga , y defendídole el Sr. Alvarez (D. Elias), se decla Gobernación de la J’eniissstla. ró el punto suficientemente discutido, y no haber lugar á votar Convenio celebrado entre Sir Roberto Wilson y el Gobier sobre el dictamen, el que se mandó volver á Ja comisión. no de S. M. (Gaceta del y.) S…</t>
  </si>
  <si>
    <t>Alvarez, Agustín Muñoz</t>
  </si>
  <si>
    <t>Agustín Muñoz Alvarez</t>
  </si>
  <si>
    <t>…el suyo al Sr. gobernador para su Plan de enseñanza de humanidades para una casa de educación conocimiento y providencia.=Leglisa. de jóvenes pensionistas, aprobado por S. M. Por D. Agustín Muñoz Alvarez, presbítefo. Se vende en la librería de Roselló á dos reales. —_Por el Redactor general de Cádiz se han recibido noticias de Cornelio Nepote. Vidas de los excelentes generales griegos, Londres basta el 15 de Abril, y se habían, abierto las Cámaras en latín, y…</t>
  </si>
  <si>
    <t>….: En el día de hoy lia fallecido viuda de Cruz: en Cádiz en la de Z.11 agoza, y en Granada en ¡a en esta villa el coronel del regimiento caballería de España don de Mariínez. Por D. Agustín Muñoz Alvarez, picsbitcro. EN LA IMRPENTA NACIONAL.</t>
  </si>
  <si>
    <t>…cinto que debieran venerar ei cas sobre el genio , idiotismos y autores célebres de la lengua caste tigo de su injusta temeraria empresa, su oprobio y exterminio; resul llana, por D. Agustín Muñoz Alvarez, presbítero, su precio tando de tal lucha eterno honor al nombre español, afianzarse mas- 2 rs. Véndese en Sevilla en Jas librerías de calle de Genova; en y mas la libertad , y aun el que la Europa Ja deba-a nuestros es Madrid en ¡a de la viuda de Cruz; «1 Cá…</t>
  </si>
  <si>
    <t>Alvarez, Fernandez</t>
  </si>
  <si>
    <t>Fernandez Alvarez</t>
  </si>
  <si>
    <t>…pot reclamarlas el tribunal día está dado á reconocer por capitán de la compañía veterana por los de presas de él. infinitos méritos que ha contraído. Juicio de jurados. ’&gt; El Sr. gobernador Fernandez Alvarez me dió i reconocer en esta Habiéndose denunciado por el Sr. fiscal de imprenta como sedicio compañía veterana de Ma nas de teniente coronel de egército y coman so é incitador á la desobediencia en primer grado el artículo que hace re dante de ella por mi fid…</t>
  </si>
  <si>
    <t>Alvarez, Francisco Andrés</t>
  </si>
  <si>
    <t>Francisco Andrés Alvarez</t>
  </si>
  <si>
    <t>112</t>
  </si>
  <si>
    <t>…nstitución, ni haber observado ningu cia de Vigo; de D. Josef Montero, diputado por la provincia na de las fórmulas establecidas en el reglamento y en los decre de la Coruña, y de D. Francisco Andrés Alvarez, diputado tos, he recibido continuas diputaciones de los gefes y oficiales por esta. de la segunda y tercera división, en las cuales se me manifesta » Habitantes de estas provincias: si queréis dar á la Europa ba que las tropas estaban decididas á no reconoce…</t>
  </si>
  <si>
    <t>Alvarez, Josef</t>
  </si>
  <si>
    <t>Josef Alvarez</t>
  </si>
  <si>
    <t>…rador, provincia de Avila, los pueblos de aquella provincia solo ganan dos, cuatro ó seis para que se le exima del pago de las contribuciones atrasadas; y ducados anuales. otra de D. Josef Alvarez, vecino de Cádiz, para que se le de Lo mismo sucede en Galicia, y ademas debe tenerse presen vuelvan ciertos derechos que tiene depositados en aquella aduana. te que el valor de los arriendos está en razón del pueblo donde se El Sr. presidente citó) á los señ…</t>
  </si>
  <si>
    <t>Gaceta Española n.º 158</t>
  </si>
  <si>
    <t>…..................... 28,800 Por pérdidas en los cambios al remitir los Obra del Museo del prado en Madrid. . . . 30,000 fondos á los comisionados en el extrange- Para el escultor D. Josef Alvarez, residen ro; comisiones y portes de cartas, sin in te en Roma..................................................... 20,000 cluir las cantidades que por imprevistos Dependientes de la Flora Peruana. ................ 32 &gt;47* habrá que poner en varios puntos.....…</t>
  </si>
  <si>
    <t>Alvarez, Josef Ignacio</t>
  </si>
  <si>
    <t>Josef Ignacio Alvarez</t>
  </si>
  <si>
    <t>Gaceta de Madrid n.º 1063</t>
  </si>
  <si>
    <t>…almente sus mochi celentísimo Sr; D. Víctor Saez, primer Secretario de Estado y las y efectos. Se les proporcionará los medios de trasporte para del Despacho, el Mariscal de campo D. Josef Ignacio Alvarez conducir sus efectos y familias. Campana , Capitán general deesta provincia de Granada, y otras 2.0 La tropa conservará sus armass hasta Puigcerdá, en don muchas personas de distinción. de serán entregadas á las tropas francesas. Tendrá derecho á las raciones…</t>
  </si>
  <si>
    <t>Alvarez, Josef María</t>
  </si>
  <si>
    <t>Josef María Alvarez</t>
  </si>
  <si>
    <t>…día á Doña Josefa García, hija de D. Anto dor de provincia, cuartel del regimiento provincial y plazuela nio, Teniente del regimiento de dragones de Lusitania, muerto del Obispo. D. Josef María Alvarez colocó en el centro de su en el campo del honor. hermosa iluminación á S. Bartolomé, aludiendo á que los revo lucionarios llamaban 4 los realistas jBartolos. ANUNCIOS. Sevilla 14 de Octubre. La plaza de médico titular de la villa de Mansilla de las. Hoy ha ha…</t>
  </si>
  <si>
    <t>Alvarez, Manuel</t>
  </si>
  <si>
    <t>Manuel Alvarez</t>
  </si>
  <si>
    <t>…asores ó facciosos, adenvjs de la devolución Por el presente edicto cito y emplazo á los Sres. diputados de los sueldos devengados sufrirán una multa equivalente al de un ausentes D. Manuel Alvarez por ia provincia de Zamora : Don año, y en caso de no poder satisfacer su importe, sufrirán las pe Rafael Casimiro Lodares y D. Miguel Sánchez Casas por la de nas que proporcionalmente señala el código penal. la Mancha: D. Josef Apoita por la de Vizcaya: D. D…</t>
  </si>
  <si>
    <t>Alvarez, N.</t>
  </si>
  <si>
    <t>N. Alvarez</t>
  </si>
  <si>
    <t>…circulación las monedas de oro y plata que La comisión de Diputaciones provinciales, atendida la solici— ■ vengan de América de igual ley, peso y valor que las nacionales, tud de D. N. Alvarez , individuo de ia diputación provincial de previo un resello, que tenga por tipo el busto del Rey, tomando Burgos , en que pide ser exonerado de su cargo por los motivos para el efecto las dispos ciones oportunas. que exponia , era de parecer que pase esta in…</t>
  </si>
  <si>
    <t>Alvarez, Santiago</t>
  </si>
  <si>
    <t>Santiago Alvarez</t>
  </si>
  <si>
    <t>148</t>
  </si>
  <si>
    <t>…sma comisión, en vista de la solicitud de D. Manuel La misma comisión, en vista de las exposiciones de D. Juan María Trujillo, en que pide se le pague una deuda que tiene con N. y D. Santiago Alvarez, ayudantes de la milicia activa de tra el Estado, era de opinión no debia accederse á esta solicitud Orense y Monterey, pidiendo ser comprendidos en el decreto por los apuros del Estado. Aprobado. sobre aumento de sueldos en el ejército, opinaba, de acuerdo L…</t>
  </si>
  <si>
    <t>Alvaro</t>
  </si>
  <si>
    <t>Gaceta de Madrid n.º 69</t>
  </si>
  <si>
    <t>…l acierto, y del bien y felicidad de las Españas, mando y pueblo todo. En su retirada se han hecho salidas en pequeño , y que tanto anhela mi corazón, nombro para que les suceda á D. Alvaro puedo asegurar á V. S. que harta ahora se han visto 30 muertos, se han Flcrcz Estrada para la secretaría de Estado; para la de la Gobernación de hecho algunos prisioneros, y llevan muchos heridos: por nuestra parte ha la Península á D. Antonio Diaz del Moral…</t>
  </si>
  <si>
    <t>…ero; mismo que una sola persona no pueda desempeñar dos destinos á es decir, para 18 meses, Para esto era menester desentendemos la vez, no podía accederse á la solicitud de dicho D. Alvaro de la situación en que estamos , porque la suerte de la guerra es González de la Vega, debiendo declararse vacante su empleo de muy varia ; ademas de esto se presenta á los ojos de la comisión gefe de la oficina de Renovación. una dificultad grande, y es, que…</t>
  </si>
  <si>
    <t>Alvaros, Bernardo</t>
  </si>
  <si>
    <t>Bernardo Alvaros</t>
  </si>
  <si>
    <t>…defensa con muy poco gasto. En Caita- ia diputación, y que bajaba con ia misma dirección desde Tama y gena, donde reina la mas estrecha unión entre todos los patriotas, se Caso ei capitán D. Bernardo Alvaros con rgo hombres del res’ua do toman medidas para reparar las fortificaciones , y poner ¡a piaza en el me y Ciudad-Rodrigo 1 los movimientos de esta columna asi ccrv.bin?Ja jor estado de delerrsa.Madrid Martes i.° de Abril, handispersadoshecho quedespuéslas fa…</t>
  </si>
  <si>
    <t>Alvavez</t>
  </si>
  <si>
    <t>…r é intereses, bastará que aquellos le pueden produ Instrucción pública que opinaba debía aprobarse la proposición del cir en arrendamiento, ó le produzcan la mitad de La cuota ru Sr. Alvavez (D. Elias) , reducida á que se derogase el art. 6.° nda para ser elegido. del decreto de instrucción pública por las trabas que opone á la 3.11 Lo qua estos artículos expresan se tendrá por consi ■instrucción privada. nal, como si estuviese puesto al pie de l…</t>
  </si>
  <si>
    <t>Alvear</t>
  </si>
  <si>
    <t>…r lo cual creía no debia aprobarse la proposición. La misma comisión opinaba que no debia admitirse la adición del El Sr. Siria: En asuntos de esta naturaleza debemos proceder con Sr. Alvear para que se e-tabteciese un hospital militar en ñantoiia. la mayor precaución; y medidas como la de que se trata deben quedar Aprobado. derogadas desde el momento en que Jas Cortes se disuelvan , debe cesar Las Cortes recibieron con agrado las observaciones q…</t>
  </si>
  <si>
    <t>Gaceta de Madrid n.º 73</t>
  </si>
  <si>
    <t>…la isla se á los pueblos de los tondos provinciales.” de Cuba á los buqués y efectos propos de las naciones indicadas en el ar Se mando insertar en el acta ei voto particular del Sr. Alvear, contri - tículo anterior , limitándolo en tai caso únicamente a aquellas con quienes rio á la resolución de las Cortes sobre la proposición del Si. Batían el Gobierno lo crea conveniente, conforme se ha hecho para las demas pro vincias ultramarinas en el dec…</t>
  </si>
  <si>
    <t>Alvear, Andrés</t>
  </si>
  <si>
    <t>Andrés Alvear</t>
  </si>
  <si>
    <t>…, Somoza, Marau, Ordufia, Teieiro v A la comisión'de Instrucción pública se mándó pasar una exposición otros, para que con arreglo al arr. 149 de la Corsr’tucion se sirvan lis efe D. Andrés Alvear , p.d¡cndo la eí.spensa de edad para recíbase de maes Cortes tomar por tercera vez en consideracon c! decreto' sobre señor'os.. tro de filosofía. Se mandu pasar ,i la com son de Legislación. A la del Crédito público una exposición de lo* cinco Gremios mayó La…</t>
  </si>
  <si>
    <t>Alvurcz, Manuel</t>
  </si>
  <si>
    <t>Manuel Alvurcz</t>
  </si>
  <si>
    <t>…d, esta hizo las reclamaciones que creyó conve Por el presente edicto cito y emplazo á los Síes, diputados nir á su deber y á su dignidad, Los ministros de Estado os pna- ausentes D. Manuel Alvurcz por la provincia de Zamora: Don r¿ín la correspondencia seguida entre la junta y el general Freire. Rafael Casimiro Lodares y D. Miguel Sánchez Casas por la de En ella encontrareis que este general ha declarado formalmente la Manchal: D. Josef z\poita por la…</t>
  </si>
  <si>
    <t>Am</t>
  </si>
  <si>
    <t>Gaceta Española n.º 160</t>
  </si>
  <si>
    <t>197</t>
  </si>
  <si>
    <t>…n gefe del ejército de operaciones del Perú. bien como fue.on atacados' nos habríamos visto en peligros; pe ro el resultado fue que luego dejaron de sostenerla, y &gt;on co Paite d-l Sr. Am iler, mo V.n.i os. En cumplimiento de las instrucc'ones que V. S. se ha sena Alvarado y su estado mayor corren con una velocidad in do darme á fin de reconocer la fuerza encanga s.tuadi en Locum creíble , y no les acompañan $0 hombres reunidos. ba,’y lo que d…</t>
  </si>
  <si>
    <t>Am.indi, Ramón</t>
  </si>
  <si>
    <t>Ramón Am.indi</t>
  </si>
  <si>
    <t>Gaceta Española n.º 135</t>
  </si>
  <si>
    <t>…i hace algún re D. Josef López Orihuehi; segundo comandante de infantería, galo á una de ellas , le da algún gusto, ó le permite ir al baño , al D. Saturnino Samaniego; teniente , D. Ramón Am.indi; subte instante quieren las demas lo mismo, y se confabulan para hacer niente, D. Lázaro I.oaiza; teniente coronel de infantería, D. To causa común. Para que luya paz se ve precisado el polígamo á mas Samper; capitán, I). Antonio García Luían; Teniente, manda…</t>
  </si>
  <si>
    <t>Amal, Joaquín Ferrer y</t>
  </si>
  <si>
    <t>Joaquín Ferrer y Amal</t>
  </si>
  <si>
    <t>…resentarse en esta comarca ; y yo ten desde Areins de Mar el coronel y comandante de la brigada da la ma dré la gloria de dirigiros y vencer con yo,otros. Un too en teda» oca rina D. Joaquín Ferrer y Amal, £ fin de que V- E. se entere por me siones coa vuestro digno ayuntamiento , procuraré mantener »a tran nor riel resultado de la acción dada por los facciosos contra aquella vi quilidad que tanto apetece el buen ciudadano; oír:reo á esto» mi sin lla. Mataró i…</t>
  </si>
  <si>
    <t>Amana, Josef Luis</t>
  </si>
  <si>
    <t>Josef Luis Amana</t>
  </si>
  <si>
    <t>…s comisionados especiales formarán órdenes del comandante del tercer bataLlon de la nvlicia nacio y presentarán á la mayor brevedad para la deliberación de las nal ¡ocal de Madrid D. Josef Luis Amana:-----Congreso y ar Cortes un informe sobre todo lo perteneciente á su encargo. chivo la milicia nacional local de Sevilla-----Parada todos los cuer Aprobado. pos según lo detallado.--- Patrullas las mismas----- Hosptal y pro La comisión de Legislación, en vir…</t>
  </si>
  <si>
    <t>Amaña, Mar.a</t>
  </si>
  <si>
    <t>Mar.a Amaña</t>
  </si>
  <si>
    <t>Gaceta Española n.º 94</t>
  </si>
  <si>
    <t>…e hasta la última idea de libertad. Los p¡ cus adulan .1 porfia ai nirmiserable pretexto el lugar que se merece. Sírvase V. E- llevar á tido vencedor , v una Señorita que se llama Doña Mar.a Amaña su consideración nuestro, justos reclamo., v disponer que la fra de Gouvea Pinto .Becerra de L.nu lia publicado una oda tu cae gata detenida sea entregada inmediatamente á su capitán y sobre da el dictado de Semi-d.o.es ai Rcv y a la Reina de Portugal. careo,…</t>
  </si>
  <si>
    <t>Amandi, Josef Luis</t>
  </si>
  <si>
    <t>Josef Luis Amandi</t>
  </si>
  <si>
    <t>…división de 80 hombres, y que &gt;1. N. L. de Sevilla, á las órdenes del comandante del tercer ba trataba de embarcarse para Alicante «después de haber robado tallón de la de Madrid D. Josef Luis Amandi.—Congreso y ar dos ó tres iglcs.a» en Valencia.” Decir una verdad, revestida de chivo la M. N. L. de Sevilla.__Parada todur los cuerpos según tres mentiras , será quizá necesario para sostener la vergonzosa lo detallado.__Patrullas las mismas- _ Hospital y pr…</t>
  </si>
  <si>
    <t>…rio de Estado del ministerio de Ju-.ticia. Lo Gcfe de día el comandante deí'tercer batallón de la Ai. N. L. que hará presente V. E. á ¡a diputación permanente para =u in de Madrid D. Josef Luis Amandi__ Servicio á polaco la Reina teligencia. Dios guarde á V. E. muchos años. Secretaria de Es y l;i M. N. L. de Madrid, á las órdenes del convalidante de ba tado del mmisterio de Justicia. = Ilumo. Sr. = Agustín Josef tallón interino de la Reina D. Francisco Cas…</t>
  </si>
  <si>
    <t>Amandi, Josef Luis de</t>
  </si>
  <si>
    <t>Josef Luis de Amandi</t>
  </si>
  <si>
    <t>…nzález Yusíe; de lo: pueblos, se les diesen lecciones tan claras pata que aceleren su D. Josef Radon; D. Sebastian Andrés; D. Ramón Llord; D. Francis libertad. co Martinez Marina; D. Josef Luis de Amandi, y D. Manuei Esteban » El Congreso y el Gobierno en aquel dia de ventura se disputaron Catata. el saber y el patriotismo , y el heroico pueblo espectador sin decidirse Habida (a conferencia, resultó por unanimidad haber lugar á la for por el uno ni por el otr…</t>
  </si>
  <si>
    <t>Gaceta de Madrid n.º 58</t>
  </si>
  <si>
    <t>…onisio Capaz. conducta,” en concepto de subv&lt;rsiva y sediciosa. En su vista se reunió el jurado compuesto de Ies señores siguientes: El Gobierno ha recibido los partes siguientes- D. Josef Luis de Amandi, D._ Josef Demetrio Rodríguez, D. Fran «Cuerpo de tropas exp-dic'onarlo del primer distrito. Excelentísi cisco de Travesedo, D. Julián de Fuent.s, D. Isidoro de Hoyos, Don mo Sefior : Ayer tarde continué la marcha en d.reccion á este , donde Juan Manuel de Ar…</t>
  </si>
  <si>
    <t>Amanta, León</t>
  </si>
  <si>
    <t>León Amanta</t>
  </si>
  <si>
    <t>…ulares de importancia, como fueron: la de vocal de la 448 páginas,pagando anticipadamente 24 rs. vn.,en!a imprenta junta de ministros para la provisión de víveres de la Armada; de D. León Amanta y en la librería de Paz, donde ss vende* la de reformas y economías; la de dirección del ramo de consig tán los cuadernos sueltos al precio de 4 rs. cada uno. Las entre naciones de Marina, y finalmente la de la junta suprema de sa gas se harán en el domicilio…</t>
  </si>
  <si>
    <t>Gaceta de Madrid n.º 733</t>
  </si>
  <si>
    <t>…A. S. escribir al Sermo. Sr. duque á 4 rs. cada uno en las librerías de Paz, Quirós y Villa, y en de Angulema, felicitándole por un triunfo tan brillante conse la casa imprenta de D. León Amanta, donde también se admi guido por las tropas de su mando. ten suscripciones. Nosotros también no podemos dejar de felicitar al augusto Geringonza liberalesca. Ensayo de un diccionario neológico Príncipe generalísimo y á las valientes y disciplinadas tropas que…</t>
  </si>
  <si>
    <t>Amat, Félix Torres</t>
  </si>
  <si>
    <t>Félix Torres Amat</t>
  </si>
  <si>
    <t>Gaceta de Madrid n.º 443</t>
  </si>
  <si>
    <t>iffo de esgrima D. Ventura García Loigorri, accésit D. Manuel con varias notas tacadas de Tos Santos Padres y expositores ságra Anzcun. nos , por D. Félix Torres Amat, dignidad de sacrista de la santa g»rs&gt;a de Barcelona. Esta nueva versión castellana de la Bi ANUNCIOS. blia , hecha de orden del Rey nuestro Señor, y dedicada á su Entre loa acreedores reconocidos al concurso que en el año Real Persona , constara de rolos tr…</t>
  </si>
  <si>
    <t>…nos querrá decir el Courrier con que no se trata de una La sagrada Biblia, nuevamente traducida de la Vulgata lati insurrección accidental de las Colonias? na al español &amp;c., por D. Félix Torres Amat, Dignidad de Sa ¿Ha sido insurrección ó no lo ha sido! Si en efecto ha sido crista de la Santa Iglesia de Barcelona. Esta versión, hecha de insurrección, poco importa que fuese accidental ó premeditada. orden del Rey nuestro Señor, y dedicada á su Real Person…</t>
  </si>
  <si>
    <t>Amat, Torres</t>
  </si>
  <si>
    <t>Torres Amat</t>
  </si>
  <si>
    <t>…ntados desde su publicación, se presenten á ios les cada teme para ios suscriptores, y á 22 para tos que no lo síndicos D. Leandro Rodrigo de la Torre y D. JVf guel Gonzá sean. El Sr. Torres Amat, después de haber hab ado en el pró lez de Zurbano, de quienes darán razón en la escribanía del logo del mérito de la versión del limo. Seto , manifiesta el mo número de D. Jacinto Gaona y Loaches, donde se halla radica tivo de publicarse esta, y los medios d…</t>
  </si>
  <si>
    <t>Ambrosio</t>
  </si>
  <si>
    <t>…rtillería al Ieniente ge-í Diario mercantil de Cádiz. jicral D. Josef Cienfuegos: Ingeniero general al Mariscal de Mis vlages por este vasto continente, después que calmó el Campo D. Ambrosio de la Cuadra: Inspector- general de Infan furor de los que habían pensado que la independencia consistía tería al Mariscal de Campo D. Josef Aimerich: Capitán general en la exterminación de los -europeos que lo habitaban , me han. de Galicia, por dimisión del…</t>
  </si>
  <si>
    <t>Ambrugeac</t>
  </si>
  <si>
    <t>Gaceta de Madrid n.º 1233</t>
  </si>
  <si>
    <t>…ba S. E. una guardia de honor del re del i.° y 4.0 regimiento d# la Guardia Real que tuvieron tanta gimiento de caballería número 12. parte en la inmortal acción del Trocadero. El conde Ambrugeac, Llegado el Embajador al Real palacio donde se hallaba re Caballero de San Luis, iba á su cabeza. unida la Corte vestida de gran gala^ fue presentado á S. M. y Estos batallones se formaron en batalla en el gran salón de expuso el objeto de su embajada en los…</t>
  </si>
  <si>
    <t>Ameller</t>
  </si>
  <si>
    <t>…s de su acompañamiento, y corre la voz de Los enemigos, alucinados sin duda con la idea de que los 400 que habiendo pedido permiso al Gran Duque para residir en hombres que con el coronel Ameller se habían d.rieid j desde Locunrba á Candarubc no podrían reuniiseme tan pronto corno loToscana, se lo ha otorgado asi. verificaron, marcharon con toda su Fuerza sobre esta v.ila, y A1EMANIA. camparon el 16 en la Rinconada. Yo tomé posic on a! Este de Viena 1…</t>
  </si>
  <si>
    <t>…á fin mismo tiempo que otras dos compañías de Gerona enfilan con sus de ocuparlo y franquear el paso si era necesario: dicho gefe cum fuegos la izquierda de dichos batallones: el coronel Ameller cora plió como deseaba su encargo, y se me incorporó en Zabaya, ase el resto de Gerona tuvo orden de forzar y forzó la-posición que gurándome que no había la menor novedad por aquel pun ocupaban los batallones 4.0 y 11.0, en cuyo fuerte ataque tuvo to. Con es…</t>
  </si>
  <si>
    <t>…sta que no han Uceado á Jas playas mil de todas migo en columnas al centro y Gerona, mandado este por el va armas, y esto ha sido porque el cansancio de nuestros soldados y liente coronel Ameller; el tercer escuadrón de la'Union, con caballos no me permitió seguir el dia n á lio. ducido por su arrojado comandante D. 1'rancheo Pujol, bajó El resultado de tan brillante victoria , Excmo. Sr., ha sido por despeñaderos; pero ansioso de gloria, con celerida…</t>
  </si>
  <si>
    <t>Ameller, Cayetano</t>
  </si>
  <si>
    <t>Cayetano Ameller</t>
  </si>
  <si>
    <t>…Sr. Valdés, coronel D. Pedro Antonio Rolando, capitanes forzar con tTes,compañías de Gerona , previniendo al coronel D. Domingo Espinosa, y teniente D. Josef Carrillo; mi ayudante D. Cayetano Ameller que atacase sobre la marcha; este valiente de campo teniente coronel p, Ramón Nadal, y el ayudante dé a,i .'&lt;&gt; verificó, y los bizarros de,Gerona no se contentaron con re E. M. mi secretario D. Vicente Clarín , que llegaron conmigo a X chazar a! enemigo; lo a…</t>
  </si>
  <si>
    <t>Ametller, Blas</t>
  </si>
  <si>
    <t>Blas Ametller</t>
  </si>
  <si>
    <t>…mbos doy conocimiento de todo al un apéndice de documentos inéditos, y el retrato de Doña Isabel que comandante de la columna , que desde Colmenar Viejo se lia dirigido ha grabado D. Blas Ametller por ei cuadro que se guarda en el R.al de orden de V. E. hzeia el Mora!, según noticias particulares; y si hu palacio. Se han tirado algunos egcmplares sueltos para los que no gus biera sido posible que hubiera caído sobre Aillon antes de reunirse en ten de a…</t>
  </si>
  <si>
    <t>Ami, Josef</t>
  </si>
  <si>
    <t>Josef Ami</t>
  </si>
  <si>
    <t>Gaceta de Madrid n.º 65</t>
  </si>
  <si>
    <t>…gastos de las aduanas de la Península en el mes Aligue] Cuevas, á los del ligero de Canarias D. Ramón Quintana y Don de Enero último. Nicolás Calzadilla , y á ¡os de este batallón D. Josef Ami, D. Juan Ni— Rs. su. vare, D. Felipe.Vargas, y D. Joaquín Cortadas; quedando yo di i'cse: a Productos por mercancías extrangeras introducidas en la con Jos ayudantes de la plaza de S. Juan con sola la compañía de grana Península...............................…</t>
  </si>
  <si>
    <t>Amieltes</t>
  </si>
  <si>
    <t>…e dicho, no me opongo á su una exposición de la diputación provincial de Cierres, la que en vista sustancia. del discurso pronunciado por el Rey de Franca en la apertura de las El Sr. Amieltes: Son grandes ios intereses que en este momento se Cámaras hacia varias proposiciones, á lasque suscribía. Leyó en se agitan; pero hay uno que es el único que me servirá de norte: este es guida dicha exposición , que contenia las siguientes pioposiciones: t.1…</t>
  </si>
  <si>
    <t>Amon, Juan</t>
  </si>
  <si>
    <t>Juan Amon</t>
  </si>
  <si>
    <t>…iciona es presentados al Parla concurren en D. Josef Mana Pando. oficia! segúralo de ia sccrcmento de Jnviat 1 r.&lt;. ([Véase la gaceta de ayer. ) far-a del Despacho de Estado, y en D. Juan Amon o \ ardióla, Núm. 2.0 Instrucción formada por el marques de London- tesorero general de la Nación ; he vennb ui nominar al pi .ir.ero derri, y remitida al duque de Wcllingttin .n 14 de Setiembre secretario del Despacho de Estado; v al s.vundo secuta: ¡o del d…</t>
  </si>
  <si>
    <t>Amonio</t>
  </si>
  <si>
    <t>…lo de tranquilidad y de reposo to , Casas, Bnugas , H nriquez, i’edra vtz, Ruiz del Rio, Bla- á la ansiedad española, una perspectiva de felicidad , un punto kc , baravíb, Ferrer (D. Amonio), Manso, Buey, Munarriz, cierto y fijo de reunión, independiente de todo ínteres y da Gener, Escudero , Luatc, Cuevas, Marchámalo, Prado, La— toda pasión individual. A ellas pues apelaron y debieron ape iré, Diez, Sangenis, Jaimes, Quiñones, Bauza y Rey. lar…</t>
  </si>
  <si>
    <t>Amonio, Gaspar</t>
  </si>
  <si>
    <t>Gaspar Amonio</t>
  </si>
  <si>
    <t>Gaceta de Madrid n.º 27</t>
  </si>
  <si>
    <t>…esclavos, sus personas, son herederus de la testament tría de Francisco £ armoapoyos de su poder caduco ! Y ruborízese el continente europeo al con úa t, siendo su í ¿ctamentario D. Gaspar Amonio de la Gualda, ve templar la grandeza de alma de la virtuosa y magnánima Nación es cino déla villa de Campanario, paitldo de la Serena, en Extre pañola , cuyo heroísmo data desde su cuna. Respétenla por sus haza- madura. fias consignadas en la historia de todo…</t>
  </si>
  <si>
    <t>Amor, Bartolomé</t>
  </si>
  <si>
    <t>Bartolomé Amor</t>
  </si>
  <si>
    <t>Gaceta de Madrid n.º 94</t>
  </si>
  <si>
    <t>…dicina práctica del célebre Broussa.s, bo de recibir un oficio del coronel del regimiento caballería de Lusita publicada y comentada por él mismo. td Observaciones y rdlexionzs na D. Bartolomé Amor, fecho ia madrugada del 20 en Aguilar de prácticas sumamente interesantes sobre apoplejías, consideradas v cu Campó, dándome parte del encuentro que la co'umna del capitán de radas según ios principios de la sueva doctrina fisiológico-patoló Gtanada D . Joaqu…</t>
  </si>
  <si>
    <t>…r á una ó dos leguas del general Do-Rego. halla actualmente el coronel D. Gaspar Pintado, á quien rele El mismo gefe del estado mayor me manifiesta en dicho vará el de igual clase D. Bartolomé Amor, que mandará la oficio que aquella ciudad se habia alarmado con las exageradas vanguardia. La segunda brigada de la misma se acantonará en noticias que llevaba el correo de Búrgos: según ellas los faccio Fuencarral y Alcobendas, uniéndosele el escuadrón de co…</t>
  </si>
  <si>
    <t>…a propos.cion hecha ayer por el Sr. Riego. lla actualmente el coronel D. Gaspar Pintado , á quien relevará A ia comisión segunda de Hacienda se mandó pasar un ex el de igual clase D. Bartolomé Amor , que mandará la vanguar pediente sobre supresión de ciertas pensiones con ia consulta de dia. La segunda brigada de la misma s; acantonará en Fucncarral director de contribuciones directas sobre este punto. y Alcobendas, uniéndosele el escuadrón de coraceros…</t>
  </si>
  <si>
    <t>Amparo, María del</t>
  </si>
  <si>
    <t>María del Amparo</t>
  </si>
  <si>
    <t>…después medio de los papeles públicos á las mencionadas duquesa viuda de de cumplir dicho encargo , establecer su crucero en los cabos de S. Vi Arion , Doña María de la Soledad y Doña María del Amparo , pan cente y Sta. María, con el fin de proteger el comercio nacional. que er. el término de 15 dias se presenten por medio de procurador Continúa ta Hita de lar felicitaciones dirigidas al Rey constitucional con suficiente poder en dicho supremo tribunal i d…</t>
  </si>
  <si>
    <t>An</t>
  </si>
  <si>
    <t>…idió guias al ayuntamiento df; Armentia que tuviesen co tos; y vemos á los Gabinetes declarar que no quieren intervenir en los nocimiento topográfico de aquel terreno , y mandó al teniente D. An negocios de Francia, y por último reconocer como Gobierno legítimo gel Martínez que marchase con la compañía de granaderos con direc la usurpación mas escandalosa. Los tronos de los Borbones en Francia ción á dicha venta, mientras con c¡ resto de la fuerza ib…</t>
  </si>
  <si>
    <t>…publique y circulo. Fn el palacio de M-j.co á contra la pueril: apenas salieron los prime-os tiros, cuando de t..das 5 de Noviembre de ití 2 z.—Rubricado de la imperial mano.rr.A D. An pirres parecía un infierno, y Rivera desapareen*. Nosotros , que nos tonio de Merlina. íbamos acercando con nuestras lanchas al fuette, al 00 tiroteo trata San Juan de Ulna Noviembre rg__El Sr. I.rmaur convino con la mos de apresurar el desembarque pot junto…</t>
  </si>
  <si>
    <t>330</t>
  </si>
  <si>
    <t>…valor y entusiasmo. El primer ARTICULO DE OFICIO. comandante de! batallón de Arequipa, teniente coronel D. Mateo Ra mírez , los Sres. oficiales de estado mayor tenientes coroneles D. An El Rey se ha servido dirigir en este dia al mínistrq de Marina el drés García Camba, mi secretario D. Vicente Garin , D. Antonio decreto siguiente : García , capitán D. Ramón Gascón y teniente D. Mariano Herreros, » Atendiendo á lo bien que ha desempeñado D. Mariano…</t>
  </si>
  <si>
    <t>…han extraviado los privilegios originales de un juro sobre millo nia en el Asia, y el de la Arttura al capitán de fragata D. Francisco nes de Toledo de 737,500 rnrs., en cab-za de Doña An 1 María Espinóla Topete. Centurión , y en el d,a peiten:ce á la fabrica de. la iglcs a de la rula de Brantevilla provincia de Alava: se suplica á i.i persona en cuyo poder Siendo repetidas las solicitudes que se hacen al ministerio de Ma se hallen, ó sepa de…</t>
  </si>
  <si>
    <t>…o. Según los diarios de Veracruz con fecha 22 lado izquierdo se daban los gritos de viva la libertad, muera el lado de Diciembre, el partido republicano , á cuyo frente se hallaba D. An derecho , mueran los tiranos. tonio López Sta. Ana, iba adquiriendo mayores fuerzas, y avanzaba n Fondos públicos en Londres el i.° de Marzo. Tres por ciento contriunfante hácia lo interior del reino de Méjico, como puede verse yot lolidados 72 i; renta franc…</t>
  </si>
  <si>
    <t>…os dos á tiempo, ó este estando pendiente aquel.” Apiob&gt;do. les , las que el principal se había negado i remitir por temor de que se Se acordó pasase al Gobierno la expos cion del brigadier D. An extraviasen ; por lo cual pedia á las Cortes se sirviesen dispensarle de tonio Eduardo , en que pedia se le concediese un sueldo proporciona esta formalidad. La comisión, enterada de todo; los antecedentes, era do á sus servicios. de opinión de que se accedie…</t>
  </si>
  <si>
    <t>…gustín Cintel, D. Agustín de Lanza, D. Prudencio Her do sulfúrico y un poco di ácido muriático. Esta muestra contenía tam nández Sla.*Cruz, D. Josef Bsnjum-.'da, D. Juan González, D. An bién una sustancia rojiza, que parece *er deutoxido de hierro unido al tonio Cortes y Coíl, D. Juan Josef del Cubillo , D. Pedro Josef Paul sílex y al muríate de sosa. y D. josef Diez Imbtechs, declaró por unanimidad haber lugar á la 2.0 Una incrustación comp…</t>
  </si>
  <si>
    <t>…undario que ejercen. Sus intrigas, el oro que han der te siguiente: ramado , la protección que han dispensado á los descontentos, en »El capitán del quechemarin español S. Antonio D. An fin , su deseo de quitar á la España su libertad para esclavizar des tonio Iriarte, que entró en la tarde de ayer en este puerto proce pués á todo el continente, son el principal origen de las desgra dente de Bilbao , de donde había salido el 10 del corriente…</t>
  </si>
  <si>
    <t>…ntesinos , Ojero , Serrano, Neira, Casas , Domenech , Brin- que los pueblos- tengan hechas entre sí, se entienda también Jo gas, Albear , Prai, Gisbert , Buey, Pedralvez , Ferrer (D. An acordado por las Cortes para que continúen disfrutando en los tonio), Reillo, Buruaga , Cuevas, Luque, Varela, Quiñones, terrenos comunes la mancomunidad de pastos hasta que se haga Fuentes del Rio, Robinat y dos Sres. secretarios. el repartimiento de baldíos…</t>
  </si>
  <si>
    <t>…recordase al Go decreto de 11 de Febrero del año próximo pasado. bierno aquella resolución, á fin de que toda la Nación pueda ente A la de Guerra se mandó pasar una exposición de D. An rarse de ellas, y en particular los Sres. diputados. drés Escaño , oficial retirado , pidiendo volver al ejército. El Sr. presidente contestó que la mesa se enteraría de lo que La comisión de Diputaciones provinciales , informando so hubiera sobre el particul…</t>
  </si>
  <si>
    <t>…ja la Liheitnd moderada de la im corchca, J). Andrés José de Campos. D. Lázaro de prenta repiimieid’ ios corsos y abu.-o- que resul lil-'jalde , H. f rancisco Antonio de Carraza y D. An tan de la 1. v de 1 &gt; de Julio tlt* 1S21 , . r ar provi tonio Olazarra, para ver la denuncia hecha por D. José sionalmente en esta ciudad uu.i comisión compuesta IMuia v ib Juan Antonio de la Cruz. Romero, del tic cinco indiv (dúos, inteii entes v «le piobida…</t>
  </si>
  <si>
    <t>…e presen Dios guarde á V. E. muchos años. Orense 30 de Junio de tan votos particulares , y en la discusión de ellas se dice con fre r823. = Excmo. Sr. = Antonio R oselló. =:Excmo. Sr. D. An cuencia que es anticonstitucional, que se faltan á los principios tonio Quiroga. =Es copia. = Quiroga. establecidos por la ley fundamental &amp;c. Asi que , yo suplico a las Habitantes de la provincia de Orense. Cortes sobresean en este asunto. » Tres meses casi…</t>
  </si>
  <si>
    <t>Gaceta de Madrid n.º 503</t>
  </si>
  <si>
    <t>…e del consejo de S. M., teniente primero de corregidor de esta temia un movimiento serio. Que reinaba una indignación gene II. villa de Madrid, refrendada del escribano del número D. An ral por la traición de las tropas. Que las autoridades estaban selmo Ordoñsz , se cita llama y emplaza á cualesquiera personas aturdidas de ver á los soldados correr por las calles con la esca que se crean con derecho á los bienes quedados por fallecimien rap…</t>
  </si>
  <si>
    <t>…rtes venideras con Subteniente de Zapadores , P. Juan Cid. cedieren para los seis últimos meses completará el presupuesto del ATct.i. En la salida se hallaron tamlren los bizarros D. An año civil. drés Bceoña y D. Pedro Bimnida , milicianos voluntarios de Ro A.*l. 2o El Gobierno tomará las providencias oportunas sales. Línea de! Trocadero 22 de Agosto de iBcg.—Josef Grasses.s: para la ejecución del ait cuío anterior. Cádiz 30 de Jubo de Es c…</t>
  </si>
  <si>
    <t>…. &lt; timientos intéiite alimentar por mas tiempo la tea de ia discor dia civil que nos devora destruyendo los saludables efectos del H Comandante General de la provincia dé Córdoba D. An convenio' ajustado cdn él Sf. Conde Molitor, que estoy retuelto tonio Salinas , remite al Inspector General de caballería Con Te á sostener á toda costa como base de la pacificación deseada. Cuar^ cha del x 5 el documento siguiente: j tel généralJde Priego-13…</t>
  </si>
  <si>
    <t>Gaceta de Madrid n.º 1203</t>
  </si>
  <si>
    <t>…- Estado y del Despacho de Hacienda por D. Josef Lozano y Ana mico y Conchucos, solicitando con eficacia el auxilio del ejér ya; puesta en música, con acompañamiento de piano, por D. An cito Real ? ¿ Acaso ignora que casi todas las conmociones po gel Incenga, á 8 rs.Duetillo nocturno en italiano, con acom pulares que desde el año once ha sufrido aquel pais han sido pañamiento de piano, del Sr. Incenga, ambos grabados por efímeras y provocada…</t>
  </si>
  <si>
    <t>Gaceta de Madrid n.º 1243</t>
  </si>
  <si>
    <t>…ca Real Persona deV.M. dilatados años.Madrid y Octubre 4 de 1823.:= cuvos sentimientos manifestó este Ayuntamiento en la reveren El Conde de Tcrre-Muzquiz.nrD. Ignacio O-Mulrrian.—D. An te exposición que dirigió á la Regencia del Reino. tonio Gamiz.rcD. Francisco Ibañez de Le¡va.=D. Francisco Ja ,,La historia presenta épocas en que los Reyes de España han sido sobremanera amados de sus pueblos; pero ninguno puedevier Caro.czD. Bruno Vallarin…</t>
  </si>
  <si>
    <t>An, AntonioRepiso.ec</t>
  </si>
  <si>
    <t>AntonioRepiso.ec An</t>
  </si>
  <si>
    <t>Gaceta de Madrid n.º 333</t>
  </si>
  <si>
    <t>…erina por unos rnedios Jos de V. A. S.—Antonio Salinas, ptesidente.ee:Josef Gregorio mas adaptables en las. actuales circunstancias para su lejitima- Ar.igon, vice-presidentc.—F.l brigadier AntonioRepiso.ec An cion , y para desterrar ideas de ambición, que algunos quieren tonio Sánchez del Villar.reFrancisco Tomas ds Jumilla.esJoscf suponer en los generosos auxiliadores, cuyas benéficas miras solo Martínez ,Castejon.=eJ isef de Austria.ee:Josef Vázquez de Valton po…</t>
  </si>
  <si>
    <t>An, Bernardo</t>
  </si>
  <si>
    <t>Bernardo An</t>
  </si>
  <si>
    <t>…entes medidas. jÚ Conformándose ias Cortes con el dictamen de la comisión 1. a La Nación hará un servicio extraordinario para la presen de Gobierno interior se sirvieron nombrar á D. Bernardo An te guerra , á que nos obliga la invasión del ejército francés. Todos tonio Delgado relator del tribunal de Cortes, en ausencia y en los españoles y todos los extranjeros avecindados en España de fermedades del que lo es en el dia. ben contribuir á él según su…</t>
  </si>
  <si>
    <t>An, D-</t>
  </si>
  <si>
    <t>D- An</t>
  </si>
  <si>
    <t>Gaceta Española n.º 150</t>
  </si>
  <si>
    <t>…os batallo nes x.° del Imperial y del primer regimiento , y los escua idea de si mismo, y ser admitido á sus secretos , hizo servicios im drones de draeones del Perú, al mando del comandante D- An portantes a varios piatnüntéses, y les procuró cartas de recomendrés García Camba , los desalojase y persiguiese; dicho gefe lle •4ucion para M... que era comisario general de policía en León y nó completamente mis ideas del modo que expresa en su parte, quie…</t>
  </si>
  <si>
    <t>An, Duque de</t>
  </si>
  <si>
    <t>Duque de An</t>
  </si>
  <si>
    <t>…ranquilo aguardaba con el ejército de mi mando llesteros.'' !- * - ..... los felices resultados del convenio celebradocon el Excmo. Señor Conde Molitor, y aprobado por S. A. R. el Sr. Duque de An — Han vehido á nuestras maños los números del Espectador gulema , ocupándome únicamente en Conciliar los ánimos de de Cádiz de lo* dias 7. y. 8 '.«Jelco/rónte,. donde te rea insertas los españoles, como el medio mas eficaz de remediar los maled las juntas pre…</t>
  </si>
  <si>
    <t>An, Joaquín</t>
  </si>
  <si>
    <t>Joaquín An</t>
  </si>
  <si>
    <t>…ellas por pertenecer al poder judicial su resolución. Aprobado. gado á aquellos países la amenaza de los ultras a H Espina , y ios :nLa misma comisión en vista de la exposición de D. Joaquín An glo-americancs tomaban d mayor interes por nuestra cat.-si. F.; periódico tonio de Lara, para que se le abone el sueldo de 333 rs., considerán oficial de Washington dice: »&gt; Las r o-cias de Europa son d- n! natu dolo con plaza efectiva en la audiencia de Nava…</t>
  </si>
  <si>
    <t>An, Joaquin</t>
  </si>
  <si>
    <t>Joaquin An</t>
  </si>
  <si>
    <t>…tórico políticas , li-áco-astronónEcas, astrológicas, agro parados Botaban con un movimiento de umlu ación sobre la superfi nómicas , económicas y estadísticas , por el presbítero D. Joaquin An cie, siguiendo la corriente de ta lava, iv.te movimiento indicaba su me- drés y Alcalde. Se hallará en las librerías de Rodríguez y viuda de Gó 1 or gravedad especifica, y apenas pued- dudarse que estas masas esfe mez á 14 rs., y en Cádiz en la de Atarch y co…</t>
  </si>
  <si>
    <t>An, Josef María Medina</t>
  </si>
  <si>
    <t>Josef María Medina An</t>
  </si>
  <si>
    <t>…fue admitido; pero suponiendo el gobernador que senda que aquellos le indicaron. de esta circunstancia se fiabian sacado ventajas para avanzar, le » Para suplente ha sido elegido D. Josef María Medina An manifestó el general Bourke nuestra buena fe y su doblez, ha dino , que existe en la Península en la ciudad de Granada. ciendo retroceder inmediatamente á sus tropas unos 200 pasos. « El martes 11 se procedió á las elecciones de diputados pro Vuelto el parlam…</t>
  </si>
  <si>
    <t>An, Juan</t>
  </si>
  <si>
    <t>Juan An</t>
  </si>
  <si>
    <t>Gaceta Española n.º 95</t>
  </si>
  <si>
    <t>…por la Consti dréis se imprima , publique y circule. = Rubricado de la Real tución de la Monarquía española, Rey de las Espuñas, á todos mano.asEn Cádiz á 27 de Junio de 1823. = A D. Juan An los que las presentes vieren y entendieren, sabed: Que las Cor tonio Ya ndioJa. res han decretado lo siguiente: Las Corles, usando de la facultad Y de orden de S. M. lo comunico á V. para su inteli que se íes concede por la Constitución, han decretaelo lo si…</t>
  </si>
  <si>
    <t>An, Matías</t>
  </si>
  <si>
    <t>Matías An</t>
  </si>
  <si>
    <t>…V ro, D. Ramón Gilafcert, Josef Ortells, Jaime Rey, Lorenzo R itort, Se ha dicho que el eilado de guerrero que ie halla la América D. Juan Domemch, D. Lorenzo Martínez, escribano, D. Matías An hará impracticable» muchas disposiciones da este proyecto. A este Es tonio Herdara , D. Andrés'Martí ,'escribano, conde Parsen , D. Blas contestado el Sr. Varda que á todos ios casos ae ha ocurrido én él, Madalenes, D. Josef Chisbett, D. Cefírino Pellicer, Vi…</t>
  </si>
  <si>
    <t>An, Tadeo</t>
  </si>
  <si>
    <t>Tadeo An</t>
  </si>
  <si>
    <t>…ortes me dicen, con Instrucción púb'.iect. fecha 2 1 de Marzo último lo que sigue: Siendo, tan evidente el poderoso influjo que las ciencias exac D. Antonio Guerra , apoderado del coronel D. Tadeo An tas ejercen sobre todos los demás conocimientos humaros, pare tonio Diez de Medina , vecino de la ciudad de la Paz en ia Amé ce inútil el encarecer su estudio ; sin embargo , la situación actual rica meridional , hizo presente á las Cortes en exposición de 1…</t>
  </si>
  <si>
    <t>An-</t>
  </si>
  <si>
    <t>…tar los servi sobre dispensas de edad jpara virios objetos. cios contraídos por ¡os habitantes de \ al mea, se cornon eron en La com.sion de Hacienda , en vi»ta de la solicitud de D. An- añadir al art culo después de la pa.abra las de ¡n .tonio María Borja , empleado cesante, sobre el pago de sueldos i; r.. f 'y i . atrasados , opinaba debía pasar ai Gob.erno para que lo resolvie En esta foi ma quedó ap-obado el artrcu!o por unanimidad. se. A…</t>
  </si>
  <si>
    <t>Ana, Antonio López Santa</t>
  </si>
  <si>
    <t>Antonio López Santa Ana</t>
  </si>
  <si>
    <t>…rítica situación del general Morales, sabemos por oficos del mismo general, que se titula del ejército nacional, al noiicías de Caracas, que alcanzan hasta 17 de Enero, que se dis brigadier D. Antonio López Santa Ana, noticiándole haberes ponía á abrir -on nuevo rigo,r la campaña contra los republi-</t>
  </si>
  <si>
    <t>…Alicante una pararlo de la senda constitucional. _ En el del 6 se copian dos conspiración. oficios del mismo general, que se titula del egército nacional, Sevilla 16 de Abril. al brigadier D. Antonio López Santa Ana, noticiándole haber S. A. R. la Serma. ára. Infanta Doña Luisa Carlota, espo se recibido el acta eon el mayor júbilo y satisfacción en Alva- sa del Sr. Infante D. Francisco de Paula, ha dado á luz un ro rado , Orizaba y Córdoba; á los que contesta dicho briga…</t>
  </si>
  <si>
    <t>Ana, Josef Lozano y</t>
  </si>
  <si>
    <t>Josef Lozano y Ana</t>
  </si>
  <si>
    <t>…puesto la fuerza, dedicada ai Eycmo. Sr. D. Juan Bautista de Erro, Secretario de como lo han manifestado repetidas veces los partidos de Gua- Estado y del Despacho de Hacienda por D. Josef Lozano y Ana mico y Conchucos, solicitando con eficacia el auxilio del ejér ya; puesta en música, con acompañamiento de piano, por D. An cito Real ? ¿ Acaso ignora que casi todas las conmociones po gel Incenga, á 8 rs.Duetillo nocturno en italiano, con acom pulares que de…</t>
  </si>
  <si>
    <t>Ana, Santa</t>
  </si>
  <si>
    <t>Santa Ana</t>
  </si>
  <si>
    <t>…licia activa , lia r.uiM &gt;0 de , y 110 quiso quedarse en una escuadrilla de siete velas con 300 hombres, al mando del el pueblo, viniéndose á esta con la columna: por de pronto ha general Santa Ana , con objeto de detener una gran suma de di nero que Iturbide intentaba embarcar por aquel punto. La goimpuesto el gefe 500 ducados de multa , mitad al alcalde de Ga dor y mitad al ayuntamiento , condenándolos igualmente en las leta de guerra inglesa R.mger l…</t>
  </si>
  <si>
    <t>Añares</t>
  </si>
  <si>
    <t>…MM. pasa después ya todo su ejercito fue obse-rvado personalmente por mí rán probablemente el invierno en Milán, y se presume se cele en compañía del gefe de E. Al. déla división coronel D. Añares brará allí un congreso, al que serán llamados los príne pes de García Camba , y ayudantes de órdenes. Los enemigos , con uná Italia , y en el que se conferenciará sobre los asuntos de España marcha tan desordenada como pausada, llegaron á las cinco de y Roma.…</t>
  </si>
  <si>
    <t>Anatia, Josef Urrutia y</t>
  </si>
  <si>
    <t>Josef Urrutia y Anatia</t>
  </si>
  <si>
    <t>…atados y prontos los 637 unifor D. Juan Antonio Marco. D. Bernardo de Borlas y Tarritfs- mes completos con armamento y fornituras para infantería ds línea: 55 D. Joaquín Cevallos. D. Josef Urrutia y Anatia. para caballería también de línea: 66 para idem ligera: 13 para artilfrI&gt;. Josef Brull. D. Juan Muguiro. lía , y otros 13 para zapadores, que en todo componen los 774 hom P&gt;. Juan Jabat. D. Antonio Lambea. bres de su cupo. D. Celedonio Martínez. D. Baltasar M…</t>
  </si>
  <si>
    <t>Andespacho</t>
  </si>
  <si>
    <t>…mplimiento —Señalado "de la. Real mano. En Palacio á 14 de Diciembre de 1823*—A ciembre de 1813. . Josef de la Cruz. . . . ' En atepcion á los importantesy dilatados servicios; de D. Andespacho que el los presente alivios Teniendo para abreviar con lirmezafi especial a 1 a smguiar tonio ICUIU J 1 T .» In (-‘ÍIIC'I AaIIo.Alfar, dispensados y Padre augustos fueron y Abuelo mis por por Mí VargasV ¡11 ^gil» y/ 1 Laguna,. _ 1 . J .. -y1JLen—1izsn que sos…</t>
  </si>
  <si>
    <t>Andra, Josef</t>
  </si>
  <si>
    <t>Josef Andra</t>
  </si>
  <si>
    <t>…neral D. Manuel Vclasco que notaren,'sin entrometerse ni entorpecer las obras ni á sus di al teniente coronel D. Antonio Ricote, y á sus inmediatas órde rectores. Aprobado. nes el coronel D. Josef Andra y el teniente coroneL D. Diego Art. 120. Formarán tambiemexpediente para acordar lo que ronce. convenga sobre ei presupuesto de'siis gastos ordinarios , haciendo 3,0 El servicio de la plaza de Madrid se hará por batallones, constar cuáles sean los que debe te…</t>
  </si>
  <si>
    <t>Andrés</t>
  </si>
  <si>
    <t>…plica á la persona que sepa su paradero ó tenga noticia de lo» ex rrago con su compañía ligó los movimientos por el centro , separrdos presados once privilegios se sirvaavisarío á D. Andrés tranzo , agente de todos por cañadas de difícil acceso y comunicación. Confieso que con negocios en esta corte, que vive subida de S. Martin, núm. 2 y 3 , cuarto tropas menos aguerridas mi situación hubiera sido bien critica, pues el 3.” de la manz. 393. enja…</t>
  </si>
  <si>
    <t>40</t>
  </si>
  <si>
    <t>…en las librerías de Esparza, han trabajado estos buenos ciudadanos lo que han podido, especialmente de Matute, de lltuz y de Villa. el comandante de su milicia nacional voluntaria D. Andrés ae Oren Historia del famoso predicador Fr. Gerundio de Campazas, por el se. Aun continúan registrando estos campos mis soldados, y en perse P. Josef Francisco de Isla: cuatro tomos en 8." mayor. Se hallará en la cución del resto de la facción dispersa , cuyo…</t>
  </si>
  <si>
    <t>…En su vista se reunió el jurado, compuesto de los Sres. siguientes: D. Luis de Mata Araujo, D- Juan. Antonio Marco, D- Andrea Moya Luzuriaga, D- Saturnino Lozano, D. Josef Castel, D. Andrés (4) Los español» lo conocen ; y extrañan que el Sr. Chateaubriand Alcon, D. Domingo Vrllítnil’, D. Fiancisco López Olavarrieta y se meta en lo que no le toca, como él mismo confiesa.'Para conservar D- Gonzalo Cárdenas. el honor de su partido-es capaz de ir á…</t>
  </si>
  <si>
    <t>Andrés'Martí</t>
  </si>
  <si>
    <t>…guerrero que ie halla la América D. Juan Domemch, D. Lorenzo Martínez, escribano, D. Matías An hará impracticable» muchas disposiciones da este proyecto. A este Es tonio Herdara , D. Andrés'Martí ,'escribano, conde Parsen , D. Blas contestado el Sr. Varda que á todos ios casos ae ha ocurrido én él, Madalenes, D. Josef Chisbett, D. Cefírino Pellicer, Vicente Bañue- y con la delicad»- iu posición ha añadido que'si bb se admitiese los. P. Josef Am“is, S.…</t>
  </si>
  <si>
    <t>Andrés, Francisco Pascual</t>
  </si>
  <si>
    <t>Francisco Pascual Andrés</t>
  </si>
  <si>
    <t>…conforme á su ordenanza. rete y Alpuente , promotor fiscal del juzgado de Catnavieja : para la 7.0 » Si á alguno de los individuos que hagan este servicio le toca- del de Eiche á D. Francisco Pascual Andrés, alcalde ccmlitucicna!, te la suerte de soldado en cualquiera de los reemplazos que para el egér- y juez interino del mismo partido: para la del de Peñíscola á D. Jocito y milicia activa han de celebrarse en esta villa , continuará en el sef Mar.n García ; y…</t>
  </si>
  <si>
    <t>Andrés, Josef</t>
  </si>
  <si>
    <t>Josef Andrés</t>
  </si>
  <si>
    <t>…Casano y varios soldados. en seguida, quedándose á retaguardia de todos el valiente oficial Su primer cuidado fue observar á aquellos. que con infante- de E. M. el capitin adicto D. Josef Andrés , quien ai pasar ei lia y caballería ocupaban la venta: en seguida con una parte del último soldado por la puerta ia cerró y atranco como pudo, pe batallón del General, y precedido de una guerrilla del mismo ro lo bastante para que la caballer a enemiga, que…</t>
  </si>
  <si>
    <t>…olumna fue cual debía tritio Sanaobal. esperarse de oficiales distinguidos, y digna del mayor elogio !a Subinspeccion de infantería. Teniente D. Juan Basiché. del capitán de E. M. D. Josef Andrés , como se ha indicado. Se hace mérito honroso del servicio que prestaron ocho volunta ARTICULO DE OFICIO. rios á caballo artilleros de Sevilla al mando del sargento prime ro D. Manuel Govantes , ya explorando los flancos , ya condu Por el ministerio de Gracia…</t>
  </si>
  <si>
    <t>Andrés, Luis Peceto de</t>
  </si>
  <si>
    <t>Luis Peceto de Andrés</t>
  </si>
  <si>
    <t>…maban su bien y sus deseos. Hízolo asi V. M., porque sus entrañas pa D. josef Asnero. . rero. ternales nada podían rehusar que fuese en provecho de los españoles; $). Tadeo Perez. D. Luis Peceto de Andrés. y desde entonces ha visto comprobado de mil modos que estos deseos D. Josef Rodríguez. D. Francisco López OUvarriet»., eran la voluntad general, sin la cual mal pudieran haber llevado á ca D. Arias Gonzalo de Mendoza. D. Mariano Goycoechea. bo su loable empr…</t>
  </si>
  <si>
    <t>Andrés, Sebastian</t>
  </si>
  <si>
    <t>Sebastian Andrés</t>
  </si>
  <si>
    <t>…r perpetuar la esclavitud D. Josef Car.tel; D. Juan Isidoro Perez; D. Simón González Yusíe; de lo: pueblos, se les diesen lecciones tan claras pata que aceleren su D. Josef Radon; D. Sebastian Andrés; D. Ramón Llord; D. Francis libertad. co Martinez Marina; D. Josef Luis de Amandi, y D. Manuei Esteban » El Congreso y el Gobierno en aquel dia de ventura se disputaron Catata. el saber y el patriotismo , y el heroico pueblo espectador sin decidirse Habida (a…</t>
  </si>
  <si>
    <t>…el destacamento que proceden gorio Mendivil, D. Joaquín Ruiz, D. Manuel Merino, D. Luis de Ma te de esa corte vinia á ias ■ nir?‘ del coronel de Farneslo Martin. Para ta Araujo y D. Sebastian Andrés, calificaron con la fórmula de absuel perseguir esta canalla es ya ;,ubc-«:u - tanta tropa, y me tomo la libertad de to el impreso titulado: Reflexiones imparciales de un español acerca del hacer presente ¡i V. E qiu íi gr ’.-. nación de los gefes que la mand…</t>
  </si>
  <si>
    <t>Donativo, suscripción o relación nominal</t>
  </si>
  <si>
    <t>…del proceso. Por atrasos de la contribución del Señores que declararon dicho impreso subversivo en primer grada clero................................................. ' 75,970-27 D. Sebastian Andrés, D. Saturnino Lozano, D. Isidoro Hoyos, D. Juan; Contribución corriente del clero...... 534&gt;93^"25 Antonio López, D. Joaquin Ruiz , O. Josef Rives, D. Manuel Esteban Catalá , D. Manuel Merino y D. Lorenzo Lanrbea. Lo declararon subver Total...................…</t>
  </si>
  <si>
    <t>…tad , ai mismo tiempo que renuevo el juramento lián de Fuentes, D. Nicolás Cano de Luque, D. Juan de Cortes y -de defender la Constitución hasta mi última agonía en toda la provin D. Sebastian Andrés. cia que el Gobierno se ba dignado fiar á mis desvelos. La provincia Señores que disintieron: D. Josef Antonio Ponzoa, D. Simón continúa en la mas completa tranquilidad. Dios guarde á V- E. mu González Yuste y D. Francisco Luciano Domínguez Vilíanuevi. chos a…</t>
  </si>
  <si>
    <t>Andrés, Szbzst-an</t>
  </si>
  <si>
    <t>Szbzst-an Andrés</t>
  </si>
  <si>
    <t>…un cd- do compuesto de los Sres. siguientes: D. Ja me Ru z Abreu , D. Doministradoi,y un cantador en .cada hospital militar con los empleados mingo Villamil, D. Santiago Delgado, D. Szbzst-an Andrés, Don necesarios.si no estuviese por contrata. F.n escaso de que los ramos de Zoií , G m z Casero, D. Gonza'o Cárdenas, D. Juan Fernandez Cjvivires, utensilios y otros se administren por la Hacienda pública , que jariego, D. Juan Manuel de Aiéjulay D. Valentín…</t>
  </si>
  <si>
    <t>AndrK</t>
  </si>
  <si>
    <t>…A í dérAgtttttj^d=: i.ió ; y qúiert S7M. - Puga,;p7 Juan de la Sómá^ici^!,7D.;Agits»p^é‘!(§oi¿tecke|l ~sé ól&gt;5éryé-éft'lldcíáíité-én'tódc*-ltfc7riérritasycdistr; *&gt;? ¿-.interiné» •D. AndrK,jü«f dft Captpós ^P./jLá.zar'píde Elé¿jdc'¿-D. F^i\— • fórreial:ziCcl:'?iíácyó'í'eglámmfe-:q¿u se xéqt.as',,. tÓ'Cnló sütesjvóy y/qué SsfnñSntó^áe" suspendan dos a■Rea] ófdén/dé: lAíe’-Ehériídéb presente año, por 'rimaron-Jas ■^fatifiáciancí'qu.^i^rrienáñiíad…</t>
  </si>
  <si>
    <t>Andrts</t>
  </si>
  <si>
    <t>…oficial del mismo cuerpo, única fuerza permanente pera de la junta general, esto es, hasta el dia 13 inclusive, en la secre que habia en esta capital. taría del banco del cargo de D. Andrts de la Cuesta. •* Un lance can desgraciado, no quedando ya para la defensa mas que 30 voluntarios nacionales y algunos patriotas y empleados , hu La diputación provincial de Villafranca del Bierzo.en cumplí, biera arredrad» i cualquiera que no se vea abrasado…</t>
  </si>
  <si>
    <t>Anduaga, Joaquín de</t>
  </si>
  <si>
    <t>Joaquín de Anduaga</t>
  </si>
  <si>
    <t>Gaceta Española n.º 47</t>
  </si>
  <si>
    <t>236</t>
  </si>
  <si>
    <t>…o el papel que á la letra es como sigue: Calatrava. Gobierno político y militar de Ja provincia de Santander. =: Excmo. Sr.=No puedo menos de dar i. V. E. las mas expresi Habiendo D. Joaquín de Anduaga, ministro plenipotenciar'Ovas gracias po&gt;- lo mucho que ha influido con la junta provisio nal de Gobierno de España é Indias para la habilitación que aca de S. M. en los Estados-Unidos de América, desertado su pues to , y unídose á los enemigos de la patria,…</t>
  </si>
  <si>
    <t>…o. Decreto de las Cortes en que se contienen varias medidas pa Decreto de S. M. privando de todos sus honores y condeco ra d fomento de ia isla de Cuba. (Gaceta del 27) raciones a D. Joaquín de Anduaga. (Gaceta del tú.) Decreto de S. M. nombrando á D. Francisco Crespo de Te Gobernación de la Península. jada tesorero general de la Nación. (Gaceta ,•&lt;&gt;/ 27. ) Decreto de S. M. nombrando í D. Josef María Pando y á Otro Idem concediendo al Sr. secretario del Des…</t>
  </si>
  <si>
    <t>Anécdota</t>
  </si>
  <si>
    <t>…10 de Octubre de „ Quiere á V. Al. con todo el lleno de su soberanía , con los i823.=Excmo. Sr.=Juan Villavicencio, mismos derechos y prerogativas que han disfrutado sus dignos P. D. Anécdota verdadera, aunque parezca inverosímil, y que predecesores, con las que V. M. subió al trono en 1808 , y coa prueba, mas que cuanto yo pueda decir , lo que se ha hecho y la las que fue restituido en 1814, que son las mismas que disfrui* situación de esto. en e…</t>
  </si>
  <si>
    <t>Aneldo, Ramón de</t>
  </si>
  <si>
    <t>Ramón de Aneldo</t>
  </si>
  <si>
    <t>…, ” He dado cuenla al Rey de! oficio de V. S. fecha 30 de Ma valor de D. Manuel de Robredo: níim. 23,107 encabezado á yo último níim. 356, dando cuenta de lo acaecido en Cabezuela D. Ramón de Aneldo: núm. c 1,268 encabezado á Doña .An en 26 dei misino mes; y 5. M. se ha servicio aprobar las dispo tonia l’arandiarian , ambos cedidos por ¡barra en la nvmu for siciones de V. S., y queda muy satisfecho del zelo con que ha ma que los primeros: y habiendo sido…</t>
  </si>
  <si>
    <t>Aner, Manuel Can y</t>
  </si>
  <si>
    <t>Manuel Can y Aner</t>
  </si>
  <si>
    <t>…n da que la eicuadia llegase á La facción de Generetas ataco í Navarclés por tercera vrz con qo» Consur.tinopla, á fin de que no se conmoviese el purb.o á vista ds honibr-'., pero D. Manuel Can y Aner,que defendía aquel pu¡ b.u, tan lastimoso espectáculo. Desde qu; sucedió esta calástiole los buques tom.i tan acertada» provid-nciiis qu: rechazó briosamente al enemiga griegos ciuzan en la entrada de lo» Dardanelos, y detienen toóos loa sin pérdida alguna p.…</t>
  </si>
  <si>
    <t>Angel</t>
  </si>
  <si>
    <t>…uvo ayer ei batallón guiente : El teniente coronel mayor en comisión del regimiente: infantería de mi mando, cuyos individuos todos, sin exceptuar los músicos que to-r de Gabe::-. D. Angel perez, comandante de las armas de Bergá, er. oficio marca las armas, llevando á su cabeza al músico aijayor Pedro Arnedo, de 25 del pasado me dice lo que copio. Anoche di a V". S. parte de que a asi cómo ¡os señores oficiales de otros cuerpos que dejo citados…</t>
  </si>
  <si>
    <t>…compa nazar á los enemigos de Puerto Real por aquella parle, acompa ñía de cazadores del 2 5 con un sargento y cuatro caballos de Al-: ñado del segundo ayudante general del E. M. D. Angel -Baran mansa para que reconociese la venta derribada; mas al aprox¡-: da , detalla los preparativos necesarios para el embarco de la tro-' marse’csta tropa, ios enemigos que la ocupaban huyeron precipi pa , en los cuales nada queda'» que hacer al comandante g…</t>
  </si>
  <si>
    <t>Angiada, Josef</t>
  </si>
  <si>
    <t>Josef Angiada</t>
  </si>
  <si>
    <t>…putado la salida a esta expedición con el mismo ar La polacra S. Antonio, de 40 toneladas y 12 hombres de dor, con mas ardor debemos decir, que si fueran á una boda ó tripulación, capitán Josef Angiada, matriculado en S. Feliú, un baile. Jóvenes van que han derramado muchas lágrimas por con destino, á Gibraltar. que no les permitían sus' padres salir. Ha habido padre que ha El laúd S. Antonio, de 10 toneladas y 9 hombres de tri visto marchar con satisfacció…</t>
  </si>
  <si>
    <t>Angosto, Félix</t>
  </si>
  <si>
    <t>Félix Angosto</t>
  </si>
  <si>
    <t>…iméiicas inquietudes sobre lo futuro. lan, al mando de los alféreces de navio D. Josef Alton , D. Joscf « Las medidis mas sabias de los Gcbieruos ao prosperarán, las me Gumbarda y D. Félix Angosto, procedentes de Tarragona en tres joras un» bien combinada» lio tendrán feliz, éxito, la cor.tiniza final días de navegación. mente no se restablecerá entre tos hombres, sino cuando se reduzca á En la tarc’e del mismo entró rn el puerto del Ferrol, procedente…</t>
  </si>
  <si>
    <t>Angu'-ma, Duque de</t>
  </si>
  <si>
    <t>Duque de Angu'-ma</t>
  </si>
  <si>
    <t>…tantos y tan atroces los asesinatos, los robos, dilapida Ayer domingo después de las 11 de la mañana S. A. R. ciones y todo género de crímenes con que nuestros revolucio el Sermo. Sr. Duque de Angu'-ma, generalísimo del ejército narios han mancillado el buen nombre español , que la posl-ri» francés, salió á oir misa á la iglesia próx'ma de clérigos meno dad tendrá dificultad en creerlos, si no !e preparásemos pruebas res dei Fspíritu Santo, según tenia de c…</t>
  </si>
  <si>
    <t>Angu, Duque de</t>
  </si>
  <si>
    <t>Duque de Angu</t>
  </si>
  <si>
    <t>Gaceta de Madrid n.º 33</t>
  </si>
  <si>
    <t>…rubricado. — Palacio 27 de Alayo que se ha propuesto en el acto mismo de su instalación, secun de 1823.=:A D. Francisco Tadeo Calomarde.” dando las ideas anunciadas por el S imo. Sr. Duque de Angu lema , generalísimo del ejército francés residente en España ,cual La Regencia del reino se ha servido expedir el decreto si es el de no omitir sacrificio por rescatar al R^y Ntro. br. del guiente : ' . cautiverio en que gime , ha abrazado también la idea de…</t>
  </si>
  <si>
    <t>Anguiano, Joaquín</t>
  </si>
  <si>
    <t>Joaquín Anguiano</t>
  </si>
  <si>
    <t>…l Sena , por lo Seidel y Aurrich, D. Juan Martínez y León , D. Santiago Perez y encontrarlo á Fomria: aili supe que el enemigo contramar- Camino, D. Fernando Mergelina y Barreta , D. Joaquín Anguiano, l?Jii 9naba %icM el valle de Pineira 6 el Hospital y habiendo lomado D. Vicente Jiménez y Pinairo, D. Juan Nepomuceno Baizola , Don Sr XqueiUrdtTeccion se me reunió Barco en Villamayor, que también iba Josef Albar González y D. Juan Salomón y Caters. siguien…</t>
  </si>
  <si>
    <t>Angule</t>
  </si>
  <si>
    <t>Gaceta Española n.º 43</t>
  </si>
  <si>
    <t>…u Rey de Espa da dero.iue un convenio libremente celebrado con ros de esta capital, y á las dos horas de la de este dia se han re nosotros ckspucs que'llegase á ser prisionero del duque Angule plegado hacia Murviedro y Liria , temiendo la derrota que les ma y obrase bajo las cadenas. amenazaba vuestra decisión y el denuedo de los valientes de nues En los papeies relativos á Portugal aparece Chateaubriand co tras tropas nacionales que se dirigen sin…</t>
  </si>
  <si>
    <t>Angule, Duque de</t>
  </si>
  <si>
    <t>Duque de Angule</t>
  </si>
  <si>
    <t>Gaceta de Madrid n.º 513</t>
  </si>
  <si>
    <t>profundos conocimientos da S. A. R. el Sr. Duque de Angule nima España á la desolación en que se encuentra. ma» verá muy pronto conseguidos sus deseos, y sentado en el » Est ;s son los votos de Astorga, Sermo. Sr, los mismo» trono de S. Fernando á su dignísimo Nieto, mientras que por su que, unidos á su capital León,…</t>
  </si>
  <si>
    <t>Gaceta de Madrid n.º 533</t>
  </si>
  <si>
    <t>…les sentimientos y ler, comandante superior de Madrid , por un oficial superior de la universal aceptación con que se aprecian por los amante» adicto al E. M. de S. A. R. A Sermo. Sr. Duque de Angule de la fidelidad d: la España , acuerda unánimemente elevarlos i ma, llegada esta mañana por un correo francés dei gran cuar los pies de V. A. S., suplicando sean atendidos para que llegue tel general del ejército. pronto ei venturoso día en que pueda exclamar…</t>
  </si>
  <si>
    <t>…eino ral gefe de estado mayor general del primer cuerpo, el conde por su instalación durante la cautividad de nuestro amado So Gtundler. berano. n Gracias inmortales á S. A. R. el Sr. Duque de Angule El gefe del estado mayor del cantón de Tortosa, coman ma , y á los dignos gafes y tropas de su mando, que inflamados dante del sitio de Morelia, y el gobernador de la plaza de la de urf espíritu fraternal y generoso i favor de la España deca misma, deseosos de a…</t>
  </si>
  <si>
    <t>Gaceta de Madrid n.º 803</t>
  </si>
  <si>
    <t>…171. i han pasado por este punto, pertenecientes al ejército liberta* Caballería...................... 14.436. Artillería de infantería.. 1.817. eior de España que manda el Sermo. Sr. Duque de Angule* Idem de caballería...... 763. - ma , hasta el dia 12. del corriente. Tropa del tren.......... 5.«J. PBNTO DB IRUN___ ENTRADA. 95.780. Ala de iti]. Infante Caballe Artilleros Con- Cer. Cafi.Obue. De asta número han salido para Francia 164 hambre* taños ría* r…</t>
  </si>
  <si>
    <t>…de SS,,MM. y AA.: . , Fósente Deo, Pruder.tia, Vktrkibus armis , jura Regum Firmavit. El Rey nuestro Señor ha tenido á biej^reponer al Excelen La otra medalla representa al Sermo. Sr. Duque de Angule tísimo Sr. Duque del Infantado en la presidencia de Castilla» ma con este letrero en el reverso: LuJavica Júnente, Augustae sin perjuicio de! empleo de Comandante general y Director in stirfis gloria Antonias, Virtute, Armis, Rebelles Debellavit, HíV- terino…</t>
  </si>
  <si>
    <t>Angulema</t>
  </si>
  <si>
    <t>Gaceta Española n.º 136</t>
  </si>
  <si>
    <t>Eor último acaso el duque Angulema habrá tenido órdenes conservar los lazos sociales. Asi es que constitucionales por de la santa alianza para variar de conducta , porque ti clamor de convencimiento los cirujanos Iml.tares , y patriotas por exce las tropelías y maldades cometidas en España ¡i…</t>
  </si>
  <si>
    <t>Angulema, Duque da</t>
  </si>
  <si>
    <t>Duque da Angulema</t>
  </si>
  <si>
    <t>…de guerra y del cuerpo del ministerio ds la Real ar El 19 del corriente tuvieron la honra de presentarse i mada que existan en ios pueblos de la Península con goce de S. A. R. el Sr. Duque da Angulema, el Exento. Sr. duque ds sueldo , asi en la clase de retirados como en uso de licencia tem S. Fernando y de Quiroga , grande de España de primera ciase, poral é ilimitada, se presenten desde luego ó den noticia d-l consejero de Estado &amp;c&lt;s., y D. Antonio Muño…</t>
  </si>
  <si>
    <t>Angulema, Duque de</t>
  </si>
  <si>
    <t>Duque de Angulema</t>
  </si>
  <si>
    <t>Gaceta de Madrid n.º 13 (extraordinaria)</t>
  </si>
  <si>
    <t>GACETA EXTRAORDINARIA DE MADRID DEL MARTES *7 DE MAYO DE 1823. ARTICULO DE OFICIO. X* Regencia del 'Reinó, formada en virtud de las instrucciones que había recibido el Serenísimo Señor Duque de Angulema, Genera lísimo del egército francés existente en España , se ha instalado con la solemnidad prescrita por las leyes para semejante» casos en la noche de este dia a6 de Mayó; y los individuos de que se compone, que lo son los Excelentísimos Señores Duque del I…</t>
  </si>
  <si>
    <t>Gaceta de Madrid n.º 193</t>
  </si>
  <si>
    <t>…gidor Juan pas los pueblos de Oseja, Paliau, Age y Sasperdum, y se diri Henriquez.=Vícente Enriqu.z Perca.” gió por las montañas sobre Cardona, siendo perseguido en esta Al Sa mo. Sr. Duque de Angulema. dirección mas de dos horas por dos compañías francesas y otras » Sermo. Sr.: La comendadora y religiosas que componen la dos de la división de Romagosa. comunidad de San Fernando de esta corte tienen el honor de Esta noticia, dada por Jas tropas que tenemos…</t>
  </si>
  <si>
    <t>Gaceta de Madrid n.º 253 (extraordinaria)</t>
  </si>
  <si>
    <t>…cionario; pero cuidando escrupulosamente que en su resistencia á ningún ries go queden expuestas las Personas Reales. Art. vxi. Al mismo tiempo se acordarán con S. A. R. el Sermo. Sr. Duque de Angulema los medios mas exquisitos de vigilancia por mar y tierra, dinjidos á impedir que SS. MM. y AA. sean trasladados á Ultramar, si por desgracia se intenta re. Art. viii. Continuarán por ocho días mas las rogativas generales para implorar la divina clemencia en t…</t>
  </si>
  <si>
    <t>Gaceta de Madrid n.º 283</t>
  </si>
  <si>
    <t>…a muchos ¡¡ñc-s.” A pesar de cuanto se.ha dicho sobre los lejítimos y la iejitimidad, lo cierto es que las personas prácticas y esperimentadai en Exposición dirigida á S. A. R. el Sr. Duque de Angulema. semejantes negociaciones, creen que su dinero está mas seguro en » Sermo. Sr. Duque de Augulema : El tribunal de la Rota, ¿nanos del lejitimo gobierno de Francia , que en las de esos char que es el supremo para los pleitos y .causas de los eclesiásticos en l…</t>
  </si>
  <si>
    <t>…os demas, después de una época en que bajo una hipó ción é instalación en Regencia del Reino aprobada por S. A. R. crita y mentida libertad de hablar y de escribir han sido mas el Sr. Duque de Angulema , durante la cautividad del Rey artificiosa y atrozmente perseguidas que minea. Por esta razón, nuestro Señor D. Fernando vrr, que Dios guarde. La comu y conformándonos con la práctica constantemente observada, no nidad no tiene otra fuerza mas que sus oracio…</t>
  </si>
  <si>
    <t>…s por todos los puntos to Soberano permanecer hasta el fin de la guerra en el cuartel por la división de" Eróles, huyendo á toda priesa por las pico general de S. A. R. el ¡ácimo. Sr. Duque de Angulema. tas de los montes mas escarpados, aparecieron en fin en lo alto También acaban de llegar i Madrid el Sr. conde de Brude la montaña dé Nuria, donde llegaron el *3 del corriente á las netti, encargado de Negocios del Emperador de Alemania, y el tres de la tard…</t>
  </si>
  <si>
    <t>Gaceta de Madrid n.º 323</t>
  </si>
  <si>
    <t>…gobierno defender la línea de los Pirineos de un ejército Ejército de los Pirineos—Boletín 16.0 francés mucho mas numeroso que el que ha invadido la Península! S. A. R. el Sermo. Sr. Duque de Angulema acaba de reci 23.* ¡Nos podrá decir V. S. por que no se ha tratado de ha bir en este momento las noticias siguientes. A consecuencia da cer esta defensa ? la brillante accioü que consiguió la vanguardia mandada por el 24 4 {Cree V. S. que los revolucionarios…</t>
  </si>
  <si>
    <t>105</t>
  </si>
  <si>
    <t>…gusto sitio de la solemne ceremonia á los objetos caros «Señores: En nombre de S. M. Cma., y por orden de de vuestros corazones leales, y oíamos vivas mezclados con im S. A- R. el Sr. Duque de Angulema, t;n:mos la honra de po precaciones á los malvados que retienen aun-entre cadenas i li, r en manos de V. A. S. , y de confiar á su custodia las llaves nuestro amado Fernando j su Real familia. Pero no está lejos de la ciudad de Valencia y todas las banderas e…</t>
  </si>
  <si>
    <t>…en el recinto de Verona, yfelizmente reina, para que envíe con brillante ejército á la-alla creación de una Rtgtncia con autoridad competente, quet3 persona de S. A. R. el Sermo. Sr. Duque de Angulema, que hará volver á la desfigurada nación española su antjguo esplenponga en libertad á nuestro adorado Fernando, nieto del gran dor; y ayudada de respetables e^ratos, de Principes generososde Santo y Monarca S. Ferrando; y restablezca ia Religión ca nos aiegr…</t>
  </si>
  <si>
    <t>…l, que tantos males ha acar do tan augustas y sagradas funciones, como las depositadas en sus reado á nuestra patria. Triunfó después de largos-afanes la justi manos-por el'Sermo. Sr. Duque de Angulema, no perderá ins cia contra el desorden y la anarquía. Huyó para siempre de nues tante que tio dedique para salvar á nuestros augustos Soberanos tra vista la espantosa catástrofe que trastornaba el mundo entero: y su real Familia del cautiverio en que se halla…</t>
  </si>
  <si>
    <t>…E ESPAÑA. Boletín 23.0 Molins de Rey i&lt;) de Julio. El teniente general conde Bordesoulle comunica i S. A. R* Parte oficial del msrispi^ Moncey al ministro de la Guerra., el Sermo. Sr. Duque de Angulema que el xó, á las cinco de la » Excmo. Sr.: La* primeras operaciones del bloqueo de Bar mañana, de 8 á 9© hombres, apoyados por el fuego de mas de celona se ejecutaron el dia 8 y 9 de Julio, como tuve el honor 60 piezas de grueso calibre, y de 9 lanchas cañone…</t>
  </si>
  <si>
    <t>Gaceta de Madrid n.º 473</t>
  </si>
  <si>
    <t>…nclusión de un mal romance , en que el Kochejaquelein , que fue enviado á Madrid para dar parte á autor se encuentra ya al fin del tercer volumen sin haber toda S. A. R. el Sermo. Sr. Duque de Angulema de ia brillante ac vía principiado á trazar su plan. En verdad que mientras las fu ción de Astorga, ha sido nombrado caballero de S. Luis el 7 gitivas cortes se encierran en Cádiz, sus generales y soldados de Junio por S. A. R., y confirmado por el Rey en 2 d…</t>
  </si>
  <si>
    <t>…va {Cartaparticular ). Madrid 25 de Julio. Lisboa 27 de JulioFragmento de una carta escrita por el Infante D. Miguel al El Gobierno ha recibido parte de que SS. MM.yAA. con Sermo. Sr. Duque de Angulema. tinuaban sin novedad en su importante salud en los dias j¡&gt;, n Dios ha bendecido uns primeros esfuerzos......He libtado 19 y 20 del corriente. á mi patria del yugo infame de las Cortes: ya está fuera del Se aseguraba que se había concluido en Cádiz el agua d…</t>
  </si>
  <si>
    <t>*77 Sermo. Sr. Duque de Angulema ha salido á las dos de esta nia de Manila y traía de 180 á aoo9 rs. mañana con dirección á Sevilla, Esta determinación de S. A. nos — El príncipe de Hohenlohe, comandante en gefe del tercer hace concebir las mas favorables esperanzas , pues debernos creer cue…</t>
  </si>
  <si>
    <t>…dad es menester ser bien tontos para creer que Por disposición del mismo, y en cumplimiento de ¡as órde los pueblos lo son tanto que se dejen alucinar con continuos nes del Sermo. Sr. Duque de Angulema, se ha celebrado hoyjrn embrollos y mentiras, que son conocidas sin necesidad de mu esta catedral la fiesta del Apóstol Santiago, patrón de Espafxa, cho raciocinio. con asistencia de todas las autoridades políticas y militares es Por su parte e! Constituciona…</t>
  </si>
  <si>
    <t>…poseídos de las ideas de un fi bertad, que nos lisonjeamos ver realizada bajo de los auspicios losofismo insano , creían inútiles sus esfuerzos de destruir el al del Príncipe Real Sr. Duque de Angulema y de su brillante tar y el ttono , si no empezaban por derrocar este importantísi ejército. Entonces ¡qué felicidad la nuestra! » Esta es, Sermo. Sr., ia importante comisión que ha puesto el mo tribunal. » Por desgracia, Señor, estos tre* años últimos han pue…</t>
  </si>
  <si>
    <t>Gaceta de Madrid n.º 523 (extraordinaria)</t>
  </si>
  <si>
    <t>…demas autoridades según esperando se sirva dar cuenta de ello á S. A. S. la Regencia del previno dicho señor comandante general francés, y está manda Reino y á S. A. R. el Sermo. Sr. Duque de Angulema; como do pnr S. A. la Regencia. también el que tenga la dignación de comunicarme las órdenes Se ha establecido hoy una junta de subsistencias compuesta que hasta de presente se hayan expedido para arreglarme en los de personas decididas por el poder Real, par…</t>
  </si>
  <si>
    <t>…. •... i:, iv.: . Madrid 6 de Agosto. \ ■ ... Los bonos de España sé abrieron esta mañana i 3’í, y bien pronto bajaron á 31. La idea de que el nuevo empréstito no tar 11 E! Sermo. Sr. Duque de Angulema conttnáá su viage á Se dará en entrar en la bolsa daña evidentemente a estos efectos. villa , y disfruta siempre dé'la mejorsa tid; 1 Ei nufvo- francés continua i af de primera. El Gobierno no'datá, E! 'teniente gencráPeorde Eourk , que manda las trópas se°un…</t>
  </si>
  <si>
    <t>…, comandante en gefe del plaza en el sitio que el general y gobernador detallen hasta el segundo cuerpo de ejército , según las instrucciones que había dia 21. recibido del Sermo. Sr. Duque de Angulema, ajustó el 4 de 4.0 Los oficiales conservarán sus espadas y equipa ge, y los este mes con el general Ballesteros un convenio, por el que este soldados sus mochilas; á los primeros se les darán sus pasaportes general y las tropas de su mando reconocen la autor…</t>
  </si>
  <si>
    <t>…ec bido en el muslo. Déspües que me húbola/ 1 Se estan haciendo grandes preparativos para ej recibimiento formado de a!; u os pormenores conocí la nec s-dad de aprove-í del Sermol Sr. Duque de Angulema, á.quién esperamos aquí char la ocasión; y defendido por el regimiento nútn. • 16.% para el dla‘12 ó 14. J/1 mandé qu: el d sucam.iito diese media vudta se bre ¡a derecha, Ha sido preso en esta ciudad y puesto en. la cárcel arzobis y le hice volver á tomar si…</t>
  </si>
  <si>
    <t>Gaceta de Madrid n.º 593</t>
  </si>
  <si>
    <t>…, al paso que los realistas declaran abiertamente los españoles d:L feliz acierto del supremo consejo de Castilla y que no hay otra esperanza sino ceder. del poderosísimo y Sermo. Sr. Duque de Angulema en la elec *1 Podéis mirar como cierto que, mediante la llegada del ción de los individuos que componen la R-gencia del Reino, general Molitor, van á reunirse delante de Cádiz 14$ hombres cuyas altas circunstancias, sabiduría y demas elevadas prendas en la pr…</t>
  </si>
  <si>
    <t>Gaceta de Madrid n.º 613</t>
  </si>
  <si>
    <t>…ceta tan recomendable rasgo de generosidad y El dia ii á las ocho de la mañana entró, en esta ciudad patriotismo para la debida notoriedad, ya que no pueda mani S. A. R. el Sermo. Sr. Duque de Angulema entre las aclama festarse el sugeto por haberlo exigido asi su moderacioo. ciones y vivas mas afectuosos de una innumerable multitud de ANUNCIOS.gemas., repiques de campanas, y otras demostraciones de júbilo y gratitud del pueblo cordobés. Estaba tendida por…</t>
  </si>
  <si>
    <t>Gaceta de Madrid n.º 623</t>
  </si>
  <si>
    <t>302</t>
  </si>
  <si>
    <t>…poderoso , para felicidad de las Españas y rescate Rey y (vocablo de consolación y alegría} los Borbones, S. A. de nuestro augusto Soberano y Real familia. zsTamarite 8 de Real el Señor Duque de Angulema, su ejercito auxiliador , los Agosto de i8z3.r=Sermo. Sr. = A. L. P. de V. A. S. = Santos buenos españoles, y viva y viva mil veces V. A» S- Asi lo Ladrón.” quiere, lo desea, lo pide, lo grita, lo ruega á Dios omnipo- NOTICIAS EXTRANGERAS. tente la villa del…</t>
  </si>
  <si>
    <t>338</t>
  </si>
  <si>
    <t>…enos cuarto de la noche del 14 del corriente siste en 5 heridos. tuvo la honra esta M. N. y M. II. ciudad de Sevilla de recibir De Perpifian con la misma. en su seno á S. A. R. el Sr. Duque de Angulema. No se ha confirmado la noticia de la rendición de Tarrago Dias antes habian salido á recibirle á distintos puntos vanas na; pero no la desmienten las últimas cartas. diputaciones del ayuntamiento, audiencia y demás autoridades, Han llegado algunas tropas que…</t>
  </si>
  <si>
    <t>…les. (El Defensor del Rey.') horribles atentados con pacíficos convecinos suyos, que no han Sevilla 20 de Agosto. hecho otra cosa contra ellos que alegrarse y entonar canciones El Sr. Duque de Angulema llegó al Puerto de Santa María en favor de su Rey, su patria y religión, porque van á ver li el 16, no habiendo descansado nada en el camino: entró i las bres estos caros objetos de la opresión en que yacían. 10 de la mañana, mandó reforzar las baterías, y po…</t>
  </si>
  <si>
    <t>…on establecer correspondencia con el coman pueda usar la condecoración de la Legión de honor que ie ha dante general’D. Román Chambo, que ení¡¿ en sus miras, y concedido el Sermo. Sr. Duque de Angulema. convino en apoyar su proyecto de entregar la plaza. Rodeado A D. Antonio María de Castro, c-.pu.in del mismo cuerpo, de espías constitucionales , convencido de que la menor indis se le declara captlan vivo de infantería, conced endure grauc. de creción podía…</t>
  </si>
  <si>
    <t>…ecesario un reposo: yo os lo procu.aié por cuan ds hacer creer que nuestra Regencia es mirada con poco aprecio tos mrdios me sean pasibles; pero necesito que me ayudéis. La por el Sr. Duque de Angulema. Fuis ya se les ha agregado otro lealtad con que el ilustre generalísimo de ios ejércitos france colaborador, que sígun nos han informad:-, hace poco que deser* ses cumple con todas sus promesas, debe inspiraros confianza tó del partido razonable, y es el Cot…</t>
  </si>
  <si>
    <t>Gaceta de Madrid n.º 683</t>
  </si>
  <si>
    <t>…vecinos honrados que mas influencia podían tener so diatamente que por el correo tuvo la noticia de qua S. A. R. el bre el pueblo sencillo; estos y otros medios puestos en uso con Sr. Duque de Angulema al frente de sus tropas ocupaba :s ca •I siniestro fin de corromper y pervertir el espíritu público, si pital, se derramó el placer mas puro enr todos los vecinos, qu« solo arribaron i la seducción de algunos pocos incautos, hicie k porfia prodigaron cuanto f…</t>
  </si>
  <si>
    <t>…ción del sitio,se cometieron en gran número dé personas, Él mariscal duque dé Rcggio acaba de comunicar a! Serení los mas hombres de bien; y aun cuando algunas fuesen crimína simo Sr. Duque de Angulema el parte oficial dei teniente gene le^ , las protegía Sa'iey: no me que otra vez pisen su hermoso ra! conde BourR. sobre la rendición de la Corufia. £ii;ío ¡os fugados sicarios; / espera que sus satélite* desaparezcan Se habían tomado ya todas las medidas p'r…</t>
  </si>
  <si>
    <t>…moñería: que no sujetarían a ia decisión, de las cortes, las cuales ibin á convo hagan demasiado aprecio de los dones exteriores, ni de hcimo- carse para el efecto; pero el Sermo. Sr. Duque de Angulema, sura , gradas ni talentos; pues si 1(3* poseen, no son de ellas; que ha penetrado 111 depravada intención, parece les ha intimado son de Dios, y se los putd- quitar muy pronto: que estimen solo por el oficial parlamentario., que ha sá! ido hcy á las diez y m…</t>
  </si>
  <si>
    <t>Gaceta de Madrid n.º 773</t>
  </si>
  <si>
    <t>…ble! Pues uo hay duda Que lia llegado á este grado La S. M. Cristianísima el.Rey de Francia, y de su augusto Sobrino impudencia'de los unos y. la ignorancia de ios otros. elbeimo. Sr. Duque de Angulema; y acordó que en la noche . .-Asi se explica el mencionado Constitucional: del 25 de Agosto hubiese, como hubo, iluminación general en n Los periódico* del Mediodía publican eL documento que toda lj, ciudad , música en las casas consistoriales, y fuegos arti…</t>
  </si>
  <si>
    <t>…s, sin poder lie» El 11................... II».. 24. IKe gar ni á Cartagena ni ¿ Extremadura. E] 24* 11. Puerto de Santa Marta 13 de Setiembre. El 26.................... El Sermo. Sr. Duque de Angulema pasó anoche á Chiclana, El 27............. .. El 28.............. 150» »•. 14. y ha vuelto hoy á las 12. El ........................ 90. 40* Los preparativos militares, que ion inmensos, se han actltEl 3*..... ..... *14. 5#. 15. 16. 26. El 31.......... rado e…</t>
  </si>
  <si>
    <t>…abanarrestado, se ofreció á hacer fe-exáltados de la revolución , para tratar con vosotros:v._La á« verdugo por lia recompensa dq dos -doblones, y ¡pasó.al lugar gaUbra del Sermo. Sr. Duque de Angulema, contestó el medi la ejecucion j pero al punto:qité‘;se?,acercó al reo^. jun rala'm-? 4iador._firtr/rf , respondió el exaltado. ¡Respuesta sublime, qdé pigo Seguido decttq-Jespantoso trueno-le alarmó de-tal. manera, honra tanto al que la dió como á S. A. R.!…</t>
  </si>
  <si>
    <t>…ra ordinario la agradable noticia oñcial de que en la tarde del dia a o del corriente se rindió el castillo de Santi Pe?ri á las armas del ejército liber tador que manda ei Sermo. Sr. Duque de Angulema. &gt; Los inteligentes, que conocen la importancia de este punto, sabrán apreciar justamente la influencia de su conquista en la suspirada libertad &lt;L1 Rby nuestro Sefior y de su Real Familia. ¡ Gloria eterna á las valientes tropas del Grande Luis xvm, que en po…</t>
  </si>
  <si>
    <t>Gaceta de Madrid n.º 923 (extraordinaria)</t>
  </si>
  <si>
    <t>…s. Y de Real orden lo co cito aliado; las lágrimas de unos; los continuos vivas de otro» munico á V. E. para su inteligencia y cumplimiento en la parte al Rey absoluto y al.Sermo. Sr. Duque de Angulema; y en fin que le toca. Dios guarde &amp;c.” la vista del inmenso concurso de todás clases que esperaba ¿ SS. MM. y AA., particularmente el augusto Hijo de Francia, Elmismo Excmo. Sr. Secretario, con igual fecha, comunica con su Estado mayor, muchos Generales, y S…</t>
  </si>
  <si>
    <t>…la Real casa y corte, riscal de Campo de los. Reales ejércitos de S. M. Cma., y pri ha mandado convocar á junta general á los acredores de la tes mer Ayudante de Campo del Sermo. Sr. Duque de Angulema, tamentaría de Doña Antonia Ramona de Saldamando, que ha venido á cumplimentar á la Serma. Sra. Infanta Doña Alaría pende por la escribanía de provincia al cargo de D. Francisco Francisca de Asís, y expresar el sentimiento de S. A., porque Montoya, y señalado…</t>
  </si>
  <si>
    <t>…mida el Príncipe de León, Ayuda de Lebríja 6 de Octubre. campo del Sr. Duque de Burdeos, ha brindado á la salud del A las siete de esta mañana salieron de Jerez los Reyes Rey, del Sr. Duque de Angulema y del ejército francés: des nuestros Señores y Sres. Infantes, y llegaron á las 11 de la mis pués tomó al joven Príncipe en sus brazos, y teniendo el au ma á esta villa, en donde continúan sin novedad en su preciosa gusto Niño un vaso en la mano, dijo: A ¡a s…</t>
  </si>
  <si>
    <t>…su Comandante el Coronel Don desde Sevilla me dice lo que sigue: ,,Deseando el Rey nuestro Mariano Novoa, como asimismo el escuadrón de lanceros del Señor manifestar á S. A. R. el Sr. Duque de Angulema, su au Infante D. Carlos, los provinciales á que da nombre la plaza, gusto Primo, y á S. A. el Sr. Príncipe de Carignan el aprecio, cuyo número, según tengo entendido, no excede de 150 hom bres, y unos 40 artilleros que hay en ella, en unión con otros que hac…</t>
  </si>
  <si>
    <t>…s, sin excepción algu salud- El Rey nuestro Señor se ha servido mandar que se hagan na, han sido muertos, heridos ó prisioneros. De estos últimos honores de Infante á S. A. P«. el Sr. Duque de Angulema, ex tenemos iQ, que van á ser al punto remitidos á Francia, menos tendiendo esta demostración de su Real estimación al Sermo. Se los franceses, que según las leyes de la guerra, deben ser fusila ñor Príncipe de Carignan, que ha participado de las glorias de d…</t>
  </si>
  <si>
    <t>…s y benéficos que ha tenido la Inglater Habrá fiestas y regocijos públicos con el motivo del regreso á ra), El sacerdote suplicó le permitiesen á lo menos rezar el sal Francia del Sr. Duque de Angulema. Todos los teatros de Parismo De profundis sobre la sepultura de un cristiano que gozaba se disponen á celebrarle con obras que-se compondrán para esta de la consideración general; pero el muñidor replicó que no po circunstancia. día hacerlo sin licencia del…</t>
  </si>
  <si>
    <t>Gaceta de Madrid n.º 1053</t>
  </si>
  <si>
    <t>…jército y provincia minante al ejército .libertador su augusta Real estimación, ha por sus opiniones políticas hasta.el dia, sin que por ellas puedan delado al,arbitrio del Senno, Sr. Duque de Angulema la distri— ser molestados ni reconvenidos. , , buciojn de Grandes Cruces y Cruces menores délas Ordenes de Art. 3.“ Igualmente id quédán todas las corporaciones, au CárJos iii y S. Fernando, no queriendo S. M. fijar el número, ni toridades é individuos partic…</t>
  </si>
  <si>
    <t>…ra deliberación de la Cámara eu las sesiones de 8 y xo de Mayo, mente militar. Después desfiló el batallón por delante de casa del y en su vista haídecrctado lo siguiente : Sermo. Sr. Duque de Angulema, quien no cesó en este tiemoo’ i.° Se reconoce el. principio dé qUe roda tentativa de trastor de dar las mas expresivas señales de su aprecio y satisfacción. nar una constitución que no emana de la espontánea voluntad Un numeroso gentío que á este fin, y con…</t>
  </si>
  <si>
    <t>Gaceta de Madrid n.º 1073</t>
  </si>
  <si>
    <t>…id g de Noviembre. que no habéis jurado en vano. Madrid 4 de Noviembre de tflrg. Ayer á la una en punto de la tarde salió de esta corte S. A. R. —León de la Cámara Cano. el Sermo. Sr. Duque de Angulema con dirección á Burgos. La capital de España, que en el mes de Abril recibió á S. A. La Sala segunda de Sres Alcaldes de la Real Casa y Corte como al genio restaurador de esta Monarquía, y que en las ex ha froimmiado la sentencia siguiente: tremadas cuanto ti…</t>
  </si>
  <si>
    <t>Gaceta de Madrid n.º 1103</t>
  </si>
  <si>
    <t>…al que habian levantado, con flores y yerbas, los ñoles: su imaginación está constantemente agitada: ya ve al habitantes del leal pueblo de la Membrilla, distante una legua Sermo. Sr. Duque de Angulema llevar á mal los decretos del Rey de aquel punto. Todo el vecindario se hallaba allí gritando á to de España: ya celebrarse consejos en Paris para acordar el modo dos los pasageros y á SS. MM. y AA. viva el Rey absoluto, que y medio de indicar al Gabinete esp…</t>
  </si>
  <si>
    <t>…por el punto de la Católica y de toda la Familia Real de España , debida al ejército Carolina, es muy |ust,o y muy propio de sus deberes-felicitar á francés, mandado por el Sermo. Sr. Duque de Angulema. Dijo S. M. cprvia exposición siguiente: la misa Monseñor de la Porta, Patriarca de Constantinopla , y „Séfíor~: Libre ya V. M. de aquellas miserias que afligían asistieron S. M. la Infanta de España Duquesa de Lúea, SS. A A. indecorosamente tanto el Trono co…</t>
  </si>
  <si>
    <t>….—Es copia.—El Gefe de Estado mayorcr Aguado. efecto por el Sr. Teniente General Vizconde de Bonnemains, Co mandante de dicha sexta división; y por la otra D. Pedro de — El Sermo. Sr. Duque de Angulema al partir para Francia ha Aguado, Coronel, gefe de Estado mayor del octavo distrito, ca nombrado General en Gefe de todas las tropas francesas que ballero de segunda clase de la orden Real de S. Fernando, Don ocupan la Península al Teniente General Conde Bour…</t>
  </si>
  <si>
    <t>…o último 22 del corriente tuvo lugar en una de las Ayer llegó á esta ciudad nuestro augusto libertador el Sere salas del Real Palacio el primer Consejo de Ministros, con ar nísimo Señor Duque de Angulema de paso para París. Estos ha reglo á lo determinado por S. M. en su Real decreto de 19 de este bitantes lo han recibido con los mayores trasportes de alegría mes. Fue presidido por S. M., y duró desde las doce hasta la una y reconocimiento, y hoy ha recibido…</t>
  </si>
  <si>
    <t>…á probar á sus hijos que si una facción Orden del dia, de la cuarta división, relativa al paso por aqui del rebelde les arrebató el apacible Gobierno que gozaban bajo el ce Sermo. Sr. Duque de Angulema. tro de V. M , su esfuerzo y el de un poderoso deudo de su Rey Soldados: Debeis saber qué S. A. R. el Sermo. Sr. Duque de les han restituido aquel orden, que ha hecho su felicidad y la de Angulema pasará por esta división el 30 del corriente. Sea este sus pad…</t>
  </si>
  <si>
    <t>…an dado esperanzas de que seria nombrado Príncipe de aqui el 24 para Mont-de-Marsan, donde ha de recibir á S. A. R. la Morea; esta negociación estaba cubierta de un denso velo, el Sr. Duque de Angulema. que solo daba lugar á sospechas, mas no á ninguna certidumbre. —Orden general del ejército. ,,Habiéndose concluido felizmente lá La plaza fue entregada al Gobierno griego, porque las tropas guerra con la libertad del Rey de España, y la toma y sumisióndel Ge…</t>
  </si>
  <si>
    <t>Gaceta de Madrid n.º 1223</t>
  </si>
  <si>
    <t>…(Eco del Mediodía^ de sus atenciones.. Dígnese pues V. M. de adinitir estos sentí- '■ Burdeos 27 de Noviembre. mientos con la benignidad natural á su augusto carácter. • El Sermo. Sr. Duque de Angulema está con nosotros. ,,Dios conserve dilatados años la católica Jüéiáona de V. M. No es dado á la pluma describir con exactitud el jecibi mien Zaragoza 17 de Noviembre de i823.=Señor.=A L. R. P. de to que ha tenido S. A- R. en esta ciudad, ni á la voz manifes V…</t>
  </si>
  <si>
    <t>Gaceta de Madrid n.º 1263</t>
  </si>
  <si>
    <t>…is po, al clero y í los principales habitantes de labilidad de Coron. : ; «ASCfA- . Í ’ AUSTRIA. Párif 3 de Diciembre. Viena 19 df Noviembre-■/•... Ayer mañana fue S. A.R.el Sermo Sr. Duque de Angulema . Se esparcen de algún tielppp á esta parte muchas noticías so á la iglesia de nuestra Señora á dar gracias á Dios y á la Santí bre tentativas hechas por agentes ingleses 1 para desunir á Jos grie sima Virgen, ppr el éxito de las. armas francesas en España, e…</t>
  </si>
  <si>
    <t>…or gefe de. bandas re vecharse del descubrimiento de dicho Antonio Campo., nos su volucionarias. . - - plican 1c invitemos a su publicación, o a que manifieste donde y __£1 Sermo. Sr. Duque de Angulema ha recibido en cuerpo al en qué términos se podrán entablar relaciones con él, para que Consejo de Estado, que se ha presentado á felicitarle por los bri ni su descubrimiento quede sepultado, como generalmente aconllantes sucesos del ejército de España y su d…</t>
  </si>
  <si>
    <t>Gaceta de Madrid n.º 1303</t>
  </si>
  <si>
    <t>…las tropas del 4.0 y s¡.° cuerpo. Las plazas que ocuparán son al Conde de Escars y al Conde de Ambrugeac. Barcelona, Figueras, Hostalrich y la Seo. Tarragona, Lérida, _Ei Serano. Sr. Duque de Angulema ha honrado hoy con su Cardona y demas serán ocúpalas por tropas españolas. presencia la escuela politécnica. ._Un periódico de Petersburgo aca!’a de hacer una recapitula __E! General Conde de Ferning acaba de ser nombrado Gober ción de todos los viages que ha…</t>
  </si>
  <si>
    <t>Angulema, Duque di</t>
  </si>
  <si>
    <t>Duque di Angulema</t>
  </si>
  <si>
    <t>…putados y un general francés autorizado con á nuestros Soberanos, á la augusta dinastía de. los Üorbones y al plenos poderes: Primero: alianza ofensiva y defensiva entre la Scimc. Sr. Duque di Angulema. España, Portugal, Francia é Inglaterra (1). Secundo: La sobe ranía reside en el Rey , unido á las Cámaras (;). La Cámara al Puerto de Santa María 8 de Setiembre. . ta se compondrá de 15 grandes, 15 prelados y 40 pro-hombres: Ayer noche volvió á este Puerto e…</t>
  </si>
  <si>
    <t>Angulema, Gouteírayha- de</t>
  </si>
  <si>
    <t>Gouteírayha- de Angulema</t>
  </si>
  <si>
    <t>…vió Boletín iij.° I i qué número tan pequeño había cedido, intentó con '500 hom El mariscal de campo Hubeit comunica al Sermo. Sr. DuqUe bres volver á entrar en el pueblo ; mas el coronel Gouteírayha- de Angulema su llegada á Oviedo el 27 de Junio, y al mismo | b.a colocado sus 90 valientes con tal destreza, que supo guardar tiempo le da patte de los nuevos encuentros que han tenido sus una pequeña reserva, con la cual rechazó este ataque. El general tropas el 25 mas…</t>
  </si>
  <si>
    <t>Angulema.', Duque de</t>
  </si>
  <si>
    <t>Duque de Angulema.'</t>
  </si>
  <si>
    <t>…a gloria que nos ganó con&lt; su sangre. El nos dé' Corte» ;Alava, acompañado de un coronel de artillería, para su sr'nta bendición, s Javier.” ‘ . tratar da transición con el Sermo..Sr. Duque de Angulema.'. » Mi dulce compañera: Si recuerdas lo que tengo discurrido A las ti del mismo ,d a volvió á Cájíz con el Sr. duque d» contigo, y recorres algunos de mis escritos, conocerás que no-' Guíete , ayudante decampo de S. Á. R., quien regreso í lap me sorprende este…</t>
  </si>
  <si>
    <t>Angulema.’, Duque de</t>
  </si>
  <si>
    <t>Duque de Angulema.’</t>
  </si>
  <si>
    <t>…de FRANCIA. V. M.=Ei Coronel, primer Comandante, Josef Orus.=El Te París 2 de Diciembre. niente Coronel, segundo Comandante, Francisco Paula Luna.-=: Entrada de S. A. R. el Sermo. Sr. Duque de Angulema.’ Por los de su cíase, el Capitán mas antiguo Miguel Orus.—Por A pesar de la poca seguridad del tiempo toda la población ios de la suya, el Teniente primer Ayudante Ignacio Bustaman- de París se dirigía hácia los Campos Elíseos desde las ocho de la te.=Por la de Su…</t>
  </si>
  <si>
    <t>Angulo, Domingo Fernandez de</t>
  </si>
  <si>
    <t>Domingo Fernandez de Angulo</t>
  </si>
  <si>
    <t>…s que for Daíy.=r Excmo. Sr. Secretario del Despacho de la Guerra.” man el contraste mas glorioso para el nuestro, comparados con la con Juicio de jurados, testación dada i ellos. D. Domingo Fernandez de Angulo, uno de los editores del Espec n Parecía imposible que tn el siglo xix se reuniesen en Verona tador , por sí y á nombre de sus compañeros, denunció a! Sr. alcalde Emperadores y Reyes para arrogarse derechos , que en los tiempos de constitucional D. Francisco…</t>
  </si>
  <si>
    <t>Anipuiro, Cirilo</t>
  </si>
  <si>
    <t>Cirilo Anipuiro</t>
  </si>
  <si>
    <t>…l enemigo, ti', debien » Serian las dos d- la mañana cuando al puesto ¡rundido por el sub do pasaren silencio qu- se han conducido de un modo bri'iánte Larri teniente de zapad res D. Cirilo Anipuiro se acercaron seis personas, ba con la gente de b.s pu stos qu.- mandaba, y Oarego&gt;. con sus caza que huyeron al que»- r reconocerla». Instruid a de esta novedad el ofi dores, asi como e¡ varí m &gt; 1 &gt;’ de granaderos de ^ piúnza Francisco cial de plan? mayor D.…</t>
  </si>
  <si>
    <t>Anloííana, Bernardo Díaz de</t>
  </si>
  <si>
    <t>Bernardo Díaz de Anloííana</t>
  </si>
  <si>
    <t>…; y un pueblo numeroso, rtbc - juzgado de primera instancia del Sr. D. Ramón de Argos y escribanía sando en amor patrio, la acompañó entonando himnos patrióticos con del número de D. Bernardo Díaz de Anloííana, por el presente se le vivas y aclamaciones hasta dejarla en sus cuarteles respectivos. cita, llama y emplaza para que en el término preciso de 15 dias com Por la noche hubo iluminación general-. La sociedad liberal filan parezca al efecto en dicho juzgado y…</t>
  </si>
  <si>
    <t>Anran-</t>
  </si>
  <si>
    <t>Gaceta de Madrid n.º 50</t>
  </si>
  <si>
    <t>…e, esperando nos ayudas- I» columna del general O-Daly por el ca derlos, y i las di ce de la noche me pu.e en mov-mbmo . llevando mino real, Paite de la M. N. de infantería con su comandante Anran- la vanguardia el coronel Conget. i que seguían las dos peen'ñas columnas d¡ y unas compañías de Trujólo bajaron en columna hacia el pueblo; de Moute y Catre ño , y de reserva la de Bateo. La r. cHc mar cruel 'I re,to de la infantería y caballería de Calatrava…</t>
  </si>
  <si>
    <t>Ansote, Francisco de</t>
  </si>
  <si>
    <t>Francisco de Ansote</t>
  </si>
  <si>
    <t>…entaron á despedir-á 5. E. las dipu Vizcaya , se llama i todos los acreedores que pueda haber ¿ la taciones y dornas personas que le 'habían cumplimentado por la testamentaría del Sr. D. Francisco de Ansote, regente que fue mañana: á la ent.adi y salida de! pueblo se oyeron sin cesar los de ia audiencia de L ma, para que en el único término de 30 Vivas al Rey absoluto que en todos los demaspub'os: á las ocho dias concurran ¿ dicho juzgado á deducir su derecho. d…</t>
  </si>
  <si>
    <t>Anteel, Francisco</t>
  </si>
  <si>
    <t>Francisco Anteel</t>
  </si>
  <si>
    <t>…iputados no Por providencia dél Sr. D. Manuel Josef Rublo, Teniente da son de la capital: hay europeos, los hay de otras provincias. En Corregidor, por la escribanía del número de D. Francisco Anteel poder ejecutivo no hay ni un solo mejicano. El consejo extin-t ro Casado, se. saca á pública subasta por'término de jodias, que guido era todo ó casi de hombres forasteros. De estos se compo se contarán desde el 7 del corriente, en que se publicó en ¿1 diario…</t>
  </si>
  <si>
    <t>Anteutas, Ramón</t>
  </si>
  <si>
    <t>Ramón Anteutas</t>
  </si>
  <si>
    <t>Gaceta Española n.º 18</t>
  </si>
  <si>
    <t>…y pericia, y de los avisos con que en las casas y bajo la presidencia del coronel agregado al estado se halla de Puerto-Cabello. V. É. y todo el Gobierno supre mayor de esta plaza D. Ramón Anteutas, que vive calle de los mo no podrá menos de conocer todo el peso de los riesgos en que Tiros, esquina á la del Espejo, para juzgar al cabo primero de la nos ha puesto la falta de marina militar, y cuan urgente es el que texta compañía del batallón de la milic…</t>
  </si>
  <si>
    <t>Antillon</t>
  </si>
  <si>
    <t>…hayan hecho ó hicie apoderan los franceses de ellos es indudable que los hollaran, co ren : asimismo los cabildos , comunidades y párrocos repondrán mo se hollaron las cenizas del diputado Antillon. Ademas, se- con los bienes , asi de la corporación como de los individuos , el iíor, las cenizas de Daoiz vendrian al pueblo de la naturaleza de importe de las prendas ocultadas, sin perjuicio de otros proce aquel héroe, y por todas estas razones creo que Ja…</t>
  </si>
  <si>
    <t>Anto</t>
  </si>
  <si>
    <t>…rá , Valdés ( D. Cayetano), Arguelle» , Gil de la Cua armas contra su Soberano y su patria para imponer á la España unas le dra, Albear , Alava, Tabeada, Nuñ¿z , Falcon , Farrer ( D. Anto yes que la raábn pública de la Europa ilustrada por ia experiencia de nio ) , Apoitia, Buruaga, Domenech , Muro , Lillo , Murfi, Infanta, todos Los siglos desaprobaba altamente Scc.” Llórente , Somoza , Rojo , Valdés Bustos , Alvarez ¿ D. Elias) , Ro- ■ Dos p…</t>
  </si>
  <si>
    <t>…do en 11 del corriente, Compuesto de los Sren. D. Pabla se detenga, pues la división que el general Velasco ha traído ds Ara Mateu , D. Felipe de la Puente, D. Domingo Sartachaga, D. Anto gón se halla animada de los mas ardientes deseos de sacrificarse por nio Martínez de Posada, D. Nicolás Furto, D. Juan Martínez de Cri las libertades patrias, como también la caballería de la primera divi tica, D. Juan Bautista Elejaburo, D. Francisco Pujol y…</t>
  </si>
  <si>
    <t>…revenidas en el reglamento del incalo que sigue : las demás ocurrencia, que han sobrevenido; el haber t-ci'O D petar , a Poderes. Sres. Silva , G sbert, Cuevas, Alcaide, l’errer ( D. Anto un anecio en la tesorería de Us Cortes y en la on.re ía.. .,1 nio), Fuentes del Rio , González ( D. Casildo) , Arias y Falcó. Diario, &gt; las providencias que había dado sobre interiore- ce - » Legislación. Sres. Ruiz de la Vega, Domeneclt, Castejon , Marau, Co…</t>
  </si>
  <si>
    <t>…r era el de remitir el negocio al tribunal tamen. competente sin atender al resaltado que, este ocasionase. Es pues preciso La misma comisión, habiendo examinado la queja dada por D. Anto confesar que el gefe político cometió una falta en su modo de proceder , y nio Vilchcs , vecino y comerciante de-in ciudad de Malaga, contra ei Ir-.-» esta falta debe castigársele , porque si no, se daría margen á que no solo en bim.il del consulado-de la ¡mi…</t>
  </si>
  <si>
    <t>…no tener objeto á quien perseguir; en el mismo caso ss Por el Sr. secretario del Despacho de la Gobernación de la Península halla la segunda columna al mando del comandante de Jam D. Anto se me lia comunicado con fecha de ayer el Real decreto siguiente: nio Romero, como asimismo el de, la tercera que es el de catalanes, que «Las reiteradas instancias que me habéis hecho, é igualmente los de llegó hasta las Bajías de Cantavieja y Aliaga. Ei fru…</t>
  </si>
  <si>
    <t>…do nombrar en propiedad, con ...-.¿'.o á lo dis-» ma, todo lo sacrificarán gustosos por tan digno objeto , y m::n;ras res puesto en el art. 21 del díctete de 22 de Jumo último , á D. Anto piren podrá V. M., podrá la patria contar con sus débiles fuerzas para nio Diaz del Moral para gefe y comisionado especial de liquidación, sostenerla en su integridad y lustre. reconocimiento y expediq¿on de documentos de ia deuda pública: á » Conserve el cie…</t>
  </si>
  <si>
    <t>Gaceta de Madrid n.º 104</t>
  </si>
  <si>
    <t>…gicas providencia para que ni esto suceda otra vez. que sea posible. Antes de ayer los de Soteio de Montes en número de zoo , sobre » ••anciago 2/ de Marzo de 1823,=E1 comandante general Anto poce mas ó menos, penetraron por el ayuntamiento de Veariz , y se nio Quíroga.” dirigían al de Brues en forma de agresión guerrera; pero los volunta Idem gi. rios nacionales de este último se reunieron, los atacaron, los dispersa ron y los ahuyentaron complet…</t>
  </si>
  <si>
    <t>Gaceta Española n.º 1</t>
  </si>
  <si>
    <t>…y , y de triunfo. La facción ha sido batida completamente esta mañana Ja necesidad de trasladar eJ Gobierno á parage seguro pata evitar' entre Murviedro y Almenara por el valiente coronel D. Anto uñd sorpresa se levantó "un "murmullo sbrdo, que denotaba claranio Fcraaade* Bazas, comandante ge. • ■«l iuteclnó d« la proria- zncot* k existencia de un partido, á quien il-íwba d« consterna-</t>
  </si>
  <si>
    <t>Gaceta Española n.º 4</t>
  </si>
  <si>
    <t>…la justicia del pueblo de Cóx , provincia de ligero de Hostalrich. Játiva , acogiéndose al indulto, el famoso Antón o Ainoros, an Tercera división, al mando del mariscal de cairOo D. Anto tiguo compañero de Jaime Alfonso. Se asegura que en ei mismo nio Rotten, la formarán el batallón de Marina, ei de Galicia, dia debían presentarse Jaime, su hermano y demas compañeros, el de Ordenes Militares, el de M. A. de Sigiienza, y los bata mas á las och…</t>
  </si>
  <si>
    <t>…ional local de Madrid á las órdenes del comandante del quedaron abolidas todas las prestaciones reales y personales, y las segundo batallón de la milicia nacional local de Sevilla D. Anto regalías y derechos anejos, inherentes, y que deban su origen á nio Pérez Duran___Congreso y archivo la milicia nacional local titulo jurisdiccional ó feudal; no teniendo por lo mismo los an de Madrid___Parada la Reina, Infante D. Carlos, milicia acti tes lla…</t>
  </si>
  <si>
    <t>…stó que no quería sostener, locas esperanzas, y que fue tra necesario ensayar la suerte de, las armas contra los frsnceses. \'c tado con una generosidad sin limites: este general, D. Anto no perdono medio de conservar la paz y la tranquilidad, y lo* nio Quiroga , intercepta mis órdenes, toma el ‘mando de que hombres á cuyas órdenes teneis la desgracia de hallaros ahora estaba destituido por el Gobierno ¿ pretende seducir las tropas pretenden e…</t>
  </si>
  <si>
    <t>…cia. de batallón, Don Gabriel Pflouguer;el de la Ley al coronel Está todo preparado para recibirlos, y deseamos que se adelanten D. Josef Muro; el de España Libre al de igual cUse D. Anto un poquito mas para manifestarles nuestro agradecimiento por las nio Viladomar; el de Cortes al teniente coronel D. Mariano Ji felicidades que vienen á traernos. Tenemos buena guarnición ; la ménez Bagusé ; el de Independencia nacional al coronel D. Josef mil…</t>
  </si>
  <si>
    <t>Gaceta de Madrid n.º 72 (extraordinaria)</t>
  </si>
  <si>
    <t>…lilla y de carga y de las cajas militares , se verificará una hora consíanieuiccic en los puntes mas peligrosos, asi como sus ofi orspues de la ratificación de ia presente por el general D. Anto ciales el mariscal de campo marques de. Faverges, el teniente co nio Rosilloronel d'Lasca y el capitán Costa, todos al servicio de S. M. Sar . j Las tropas españolas saldrán del pueblo de Gallegos de Cam da. También son dignos de elogio particular el. coronel…</t>
  </si>
  <si>
    <t>…de la justa causa de la Nación, cupo en suerte del primer extrac tinguieron particularmente las casas del Sr. Intendente, Conta to de la de este día á Doña Josefa García, hija de D. Anto dor de provincia, cuartel del regimiento provincial y plazuela nio, Teniente del regimiento de dragones de Lusitania, muerto del Obispo. D. Josef María Alvarez colocó en el centro de su en el campo del honor. hermosa iluminación á S. Bartolomé, aludiendo á qu…</t>
  </si>
  <si>
    <t>…siásticas en Madrid. Obra postuma del Excmo. Sr. Madrid £ de Diciembre. D. Domingo de Dutari, presbítero, doctor teólogo de la uni El Rey nuestro Señor ha tenido á bien conferir á D. Anto versidad de Alcalá, Consejero honorario de Estado &amp;c. Un tri nio Delgado, Coronel de infantería agregado al Estado mayor nólo en 4." de n6 páginas. Se vende en la librería de Treriüi. EN LA IMPRENTA REAL.</t>
  </si>
  <si>
    <t>Anto, Juan</t>
  </si>
  <si>
    <t>Juan Anto</t>
  </si>
  <si>
    <t>…rat presentó seis egemplares de una obra que ha compuesto De mas de 700 ciudadanos propietarios, vecinos y militares de mar y dedicado í las Cortes desde París el literato español D. Juan Anto y tierra. nio Llórente, intitulada »Observaciones críticas sobre la patria del De mas de otros too de la ciudad de Jerez de la Frontera. verdadero autor del célebre romance Gil Blas de Santillanay pidió De la Sí. N. L. V. de Puerto Real. á las Cortes se sirvi…</t>
  </si>
  <si>
    <t>…Carlos Romeral, D. Juan Antonio Marcos, D. Josef Rives Garmenclia: ..Pedimos á las Cortes que en atención á las circunstancias Queraltó, D. Matías Piniila, D. Zoilo Gómez Casero, D. Juan Anto en que se halla la provincia de S. Sebastian, la cual confina con Francia, nio López, D. Gaspar Aguilera, D. Bernardo Aser,jo, D. Nicolás He se observe lo que en otras guerras se ha observado , relativo á la forma redero Mayoral: habida la conferencia, se dec…</t>
  </si>
  <si>
    <t>286</t>
  </si>
  <si>
    <t>…s , los alcaldes y blique y circule. == Rubricado de Ja Real mano. — En el Real las personas de cualquiera clase, condición ó estado, que entor alcazar de Sevilla á 19 de Alayo de D. Juan Anto pezcan ó falten al cumplimiento de lo prevenido en este decreto, nio Yandiola. serán responsables con sus bienes á la reparación de daños y per juicios, ademas de imponerles Jas penas prescritas por los leves. Don Fernando vn por la gracia de Dios y por ¡a Co…</t>
  </si>
  <si>
    <t>…do capitán de cazadores del i.° del Imperial D. Juan James, oficia de! primero del Imperial Alejandro, desembocaron por el camino les y tropa de su compañía. Los Mrcs. Brigadieres D. Juan Anto en la llanura tas compañías enemigas de cazadores, las que al ver- nio Monet , 1). Juan Loriga y D. Josef Carratalú con la firmeza nos lucieron alto; mandé salir de su emboscada al r.° dej Imperial, y serenidad que Ies son propias, haciendo siempre mas de lo…</t>
  </si>
  <si>
    <t>Anto, Labio</t>
  </si>
  <si>
    <t>Labio Anto</t>
  </si>
  <si>
    <t>…rovincia de Alava: se suplica á i.i persona en cuyo poder Siendo repetidas las solicitudes que se hacen al ministerio de Ma se hallen, ó sepa de su paradero, se sirva noticiarlo a D. Labio Anto rina pidiendo patentes de corso contra los enemigos de la España cons nio Sattim , apoderado g neral de dicha igles a, que vive calle del titucional , se avisa á todos los que las soliciten que el G bierno de Carmen, núm. 5 , cuarto 2.”, frente á la hostería…</t>
  </si>
  <si>
    <t>Anto, Ramón</t>
  </si>
  <si>
    <t>Ramón Anto</t>
  </si>
  <si>
    <t>…ión á sü Persona. __En la Estrella de 23 de Noviembre leemos un largo artículo para probar que es oportuna la medida de renovar las Camaras Atendiendo á los méritos y servicios de D. Ramón Anto en su totalidad, y seguir haciendo otro tanto de siete en siete nio Pico y D. Ramón VailadoKd, ha venido S. M. en confir años. Lüs realistas franceses están divididos en este punto, porque marles eu sus empleos ds Directores generales dtíl Crédito público. un…</t>
  </si>
  <si>
    <t>Anto, Tadeo</t>
  </si>
  <si>
    <t>Tadeo Anto</t>
  </si>
  <si>
    <t>….if.sLa comisión de Hacienda presentó su dictamen acerca d: la solici Urá asi ai Gobierno con remisión del expediente para que r-. suc.va tud de D. Ambrosio Guerra , apoderado del coronel D. Tadeo Anto lo que sea mas conveniente.” Aprobado. nio Díaz de Medina, residente en Uitramar, en la que manifestaba que Art 12. » El reemplazo del egeicito permanente debe realizarse habiendo presentado á liquidar vanos capitales y ciéditos contra el Es- con preferencia…</t>
  </si>
  <si>
    <t>Antoi</t>
  </si>
  <si>
    <t>Gaceta de Madrid n.º 25</t>
  </si>
  <si>
    <t>…mitras vacantes á los obispos elec Ay:r entraron en esta cap ta! 52 facciosos prisioneros de lo* que co tos, creyendo que habiendo merecido estos. la absoluta confianza del gió et capitán D. Antoi latón, tos cuales ventar, en un estado tan G -h erno , podían administrar sus diócesis de un modo conveniente. lastimoso , que movición . .ompaston á cuantos salieron ¿ ve:¡os. Er.tr* El nuncio de S. S. se opuso á esto de una man-ra extraordinaria; dí ellos h…</t>
  </si>
  <si>
    <t>Antolin, Josef</t>
  </si>
  <si>
    <t>Josef Antolin</t>
  </si>
  <si>
    <t>…do llegar lo manifieste en el término de 30 días en el tribunal de la Vica mi memoria que muero resignado en las disposiciones de la so ría eclesiástica y oficio del Notario mayor D. Josef Antolin de berana Providencia, cuya justicia adoro y venero, pues conozco Ibarrola para los efectos convenientes en el expediente instau los delitos que me hacen merecedor de la muerte. rado ante el Sr. Teniente Vicario eclesiástico á instancia de la „Asimismo public…</t>
  </si>
  <si>
    <t>Antón</t>
  </si>
  <si>
    <t>…co el Gobierno turco en una El Sr. Infante leyó otra de los individuos de: batallón de infarteoligarquía militar, y el Sultap se verá reducido en su trono de Cous— ría de. Infante D. Antón o , residente en Cuenca, y otra de los indi tantinopla al estado precario de un dei de Argel. viduos que componen el batallón de la milicia activa de *¡. Clemente Posteriormente se acaba de sabir que ¡os genízaros y el pue sobre lo mismo. blo ..después de hab…</t>
  </si>
  <si>
    <t>…la inater. &gt;. bre crcac on de una nu-va especie de moneda con que atend.r a El Sr. secutarlo de la Gobernación de la Península : No lie Jas necesididrs del Estado, presentado por D. Antón .o Algucia, tomado la palabra para entrar en la cuestión sobre ios recursos vecino de Badajoz. que se deben adoptar para repe., r la invasión de nuestros enemi Se concedió permiso al Sr. Apo.t a para cont nuar por quin gos , pues ias C&lt; a tes han autorizado y…</t>
  </si>
  <si>
    <t>…steban__ El batallón de la milicia activa nombrará que desempeña el comandante general propxtario: y el brigadier un sargento , un cabo y ocho soldados para las casas del presiden D. Antón o Burr.el se encargara dei mando de tas tropas de la te durante el consejo.=Leglisa. segunda div son , nombrando un gefe para mandar la brigada que estaba á sus ordenes. El conductor general de equ'pagcs remitirá todos los del ejer Extracto de noticias sacada…</t>
  </si>
  <si>
    <t>Anton</t>
  </si>
  <si>
    <t>Gaceta de Madrid n.º 43 (extraordinaria)</t>
  </si>
  <si>
    <t>…ad posible á la Católica , y también de la del Toisón de oto: el limo. Señor toda la Nación por el conducto de las autoridades competentes, D. Juan de Cavia , obispo de Osma; y el Sr. D. Anton¡o Go- noticiándolo también á los Gobiernos extrangeros por los mi m-z Calderón , del consejo de S. M., y su fiscal togado en el su nistros , embajadores ó agentes diplomáticos que pudiesen re premo de las Indias; y el ya expresado Excmo. Sr. duque del sidir ó…</t>
  </si>
  <si>
    <t>Antón, Antonio</t>
  </si>
  <si>
    <t>Antonio Antón</t>
  </si>
  <si>
    <t>…actual ; y ahora debo añadir que en la brillante carga que dió que á mediados de Mayo , si pudiere ser, esté en esta dirección el del el bizarro capitán del regimiento da Animara D. Antonio Antón mes de Abril ,y á mediados d« Jun.o el de Mayo, y asi sucesiva con la caballería de su mando se distinguieron extraordinariamente mente. ios alféreces de dicho cuerpo D. Juan Muñoz y D. Martin de la Pe- Bien se echa de ver que estas operaciones ofrecerán a! p…</t>
  </si>
  <si>
    <t>Antón, Juan</t>
  </si>
  <si>
    <t>Juan Antón</t>
  </si>
  <si>
    <t>…i.sto-. por io intransitable del granaderos de la Gnard-a y ti es p - zas ¡ie .utnlería. La infantería lúe al terreno tuvieron qu: volver a temar el cumao real. cargo del biicadm D. Juan Antón o Mon-t , r ha cabaUería mandada D spues de las dos prime-as caigas r t rtó r. Ivcro el »n*nvr?o va por el comandante ven. ral d- -st.» arma brigadier J&gt;. Jua.i Loriga. El ri is a-.-fes; peco aracido tn llar--- i'or ios c,! z do; es del ¡ o -p r-.d, comSV'fe…</t>
  </si>
  <si>
    <t>Antonia</t>
  </si>
  <si>
    <t>…y el cabo de in comandante de una de las columnas del cuarto cuerpo del ejér genieros Hué , pues lo; cuatro sondearon y reconocieron los pa cito español autorizado con poderes del general D. Antonia sos del canal, y sirvieron.de guias Lias.tropas en sus impetuoso* Roselló, comandante en gefe de dicho cuerpo, y el mariscal de ataques. campo marques de Marguerie , comandante de la tercera brigada S. A. R. ha visto ía inteligencia con qüe los Sres. ayudante…</t>
  </si>
  <si>
    <t>Antonio</t>
  </si>
  <si>
    <t>77</t>
  </si>
  <si>
    <t>…de los pre corona que llevaba no parecía ser propia, sino prestada. eos por las ocurrencias del 7 de Julio varias vociferaciones atroces y El día 4 entró en Barcelona el va&gt;tente brigadier D. Antonio provocaciones á la venganza, que unas veces desde la tribuna de la so Rotten, comandante de la cuarta división del egército, el cual se ha ciedad patriótica , y otras por medio de la imprenta se han dirigido de lla encargado por el general en gefe.de visitar…</t>
  </si>
  <si>
    <t>…cisco Diiinao, D. Bernardo Senosiaen y D. A.u=t n Perez Ponse ,capí- Sta. Cruz de Campezu; suponiendo que no se arrojaría á intentar la tan , teniente y subteniente de granaderos, D. Antonio .Martin.z y salida por la Burunda, ni á internarse en ia provincia de S. S:hastian, D. Jonef Alonso, teniente y «notamente de la quinta, como igual dispus- que el 26 saliese con dirección i los Arcos el coronel de Pablo mente ios cazadores del in.sma cuerpo i…</t>
  </si>
  <si>
    <t>…ecía ser el único sobre el Tajo no inutilizado, di la orden Los extrangeros poseedores de dichos cupones que quieran dirigirse mas terminante al coronel del regimiento del Infante D. Antonio, á la dirección podran hacerlo , y esta Jes hará remesa de sus importo que suponia podria acaso haber llegado á sus inmediaciones, para que á los cambios corrientes sobre las plazas que les indiquen , con dedusle defendiese á toda costa con la tropa de su man…</t>
  </si>
  <si>
    <t>…nientes en la disciplina externa de la Iglesia. Cayetano]), Argü=l!-s , Guaira , Alvear, Taboada , Alava, Fcrrer El br. Prado, olvidando algunos pr.ncipios reconocidos por todas ( D. Antonio j , Mura , Alvarez (D. Elias]), Roset , Torre , Aleanlas naciones de Europa , ha dado la ■nt.-rpr ilación que na querido á tara, Vlelo , Bauza , Vegas , G»',mend.a , Bringas , Sánchez , Apuna, aquellas paiaoras de Jesucristo: ÍVuit est repufn m:wn de k-¡: inu…</t>
  </si>
  <si>
    <t>…las salir de Camarillas. Esta mañana muy temprano ha debido llegar el asambleas de S. Fernando y S. Hermenegildo , los oficiales retirados, auxilio d¿ 40 hombres del mismo Infante D. Antonio, con lo que es los dispersos, el batallón Sagrado, el de patriotas, el de estudiantes pero un feliz resultado, poique los cerrados en la casa Decimera son y las compañías formadas en las inspecciones, han estado prontos al 60, la mitad del Infante y la otra d…</t>
  </si>
  <si>
    <t>…ta extraordinariamente el descon Surra , Vaidé» (D. Cayetano), Arguelles, Cuadia, Tabaada , Ala tento , pues no hay francés que no vea qus nuestros opresores , no con. va, Ferrer (D. Antonio), Bustos, Alvarez (D, Elias), Torre, Al tentos con haber comprometido los intereses morales y políticos de la cántara, Meló , Vargas, Bauza, Moreno , Garmendia , Brmgas, Sán revolución, pasan ahora á hacer lo mismo con los intereses materiales.” chez , Apoiti…</t>
  </si>
  <si>
    <t>…los Sres. oficiales de estado mayor tenientes coroneles D. An El Rey se ha servido dirigir en este dia al mínistrq de Marina el drés García Camba, mi secretario D. Vicente Garin , D. Antonio decreto siguiente : García , capitán D. Ramón Gascón y teniente D. Mariano Herreros, » Atendiendo á lo bien que ha desempeñado D. Mariano Egea en y m s ayudantas de campo coronel D. Pablo Echeverría , comandante calidad de interino el ministerio de Hacienda ,…</t>
  </si>
  <si>
    <t>…ha tenido á bien resolver que desde luego se encargue del f?'/U,anT^1:l"uel de Arejula, D. Manuel Merino, D. Antonio Tu,g«s:,do mayor general de los egércitos el mariscal de campo D. Antonio bli*"cb' D-Marcos Antonio de Menczo, D. Cayetano Romero , Don Rcmon Zarco del Valle , á quien S. M. ha tenido á bien nombrar in- cárd-ws Trai'eSed° * D' LorCnzo Galv0 de Kozas V D' Gonzalo da __Ll ciudadano D. Juan Agustín de figuren , miliciano local volttn-…</t>
  </si>
  <si>
    <t>…Pozhondon , y encargando el mando de 200 infames y les, justicias, gefes, gobernadores y demas autoridades, asi civiles como 36 caballos al comandante de la milicia activa de Jaén D. Antonio militares y eclesiásticas, de cualquiera clase y dignidad, que guarden Romero, verificó completamente la sorpresa, haciendo 1 ¡4 prisioneros, y llagan guardar, cumplir y egecutar el presente drereto en todas sus entre ellos 12 heridos, y ademas 6 muertos, inc…</t>
  </si>
  <si>
    <t>…e Travesedo, D. Julián de Fuent.s, D. Isidoro de Hoyos, Don mo Sefior : Ayer tarde continué la marcha en d.reccion á este , donde Juan Manuel de Aréjula, D. Josef Antonio Ponzoa , D. Antonio según noticias se hallaban los enemigos; pero en el camino supe que á Regas y D. Francisco Luciano Domínguez Villanueva. las dos de la tarde habían salido dirigiéndose á Berzosa, por lo que Hi bida la conferencia, se declaró por unanimidad «no haber lugar man…</t>
  </si>
  <si>
    <t>…sos. El i.° del corriente el teniente coronel D. Francisco de de las músicas del primer batallón de milicias y del establecimiento eimPaula Alcalá , capitán del regimiento Infante D. Antonio, salió con i to nástico militar. El cañón estaba ya preparado, y al instante cogieron los hombres del mismo á proteger 4 los pueblos de la sierra de Montalbanj tirantes un sin fin de patriotas, mili, áanos, artilleros , y un? hermosa mul y estar en observació…</t>
  </si>
  <si>
    <t>„El comandante general del 7.“ distrito, cím feclnt 15 de Febrero, da p.'b.imos antes de la llegada de los facciosos. Iba ya entrando la noche, y parte de que el brigadier D. Antonio -temen iiabia batido y dispersado el estos se retiraron á las cimas de las montañas donde habían aparecido, en dia r.” en la Pobla dcLülct ú las facciones capitaneadas por Alosen Boni cendieron varias hogueras, y "dejando parte de su fuerza en ellas, en donde…</t>
  </si>
  <si>
    <t>…nción que V. E. me hace estaba ya verificada, pues la colunia' mano. = En palacio i id de Febrero de 1823.cu A D. Mariano Egea.” que mandé á las órdenes del comandante del Infante D. Antonio Don Segundo Ulibarry llegó á las inmediaciones de Alcañiz el dia 20: este ge- Minittirio de Hacienda. fe me da parte de no tener objeto á quien perseguir; en el mismo caso ss Por el Sr. secretario del Despacho de la Gobernación de la Península halla la segunda columna al mando de…</t>
  </si>
  <si>
    <t>…después de llamar la atención sobre tos , \ var-.z ( 1). Elias) , Rosct , Alcántara, Meto , Va.fcas , F-.rrer Jas ventajas que tenia el medio diezmo por la costumbre de los pu - (D. Antonio) , - anga, Buruaga, o: rra , Moreno, Ojri o, G innenblos, ia facilidad de la exacción, y su exacta proporción con la actual dia , Bnn.as, Herrera, Apoit a , B'ake Robinat, Torncr, Hlcs'de, pos.bditlad ri 1 que 10 paga, concluyó pdiendo que ¡as Cortes se sir L…</t>
  </si>
  <si>
    <t>…arla Señores que desaprobaron el dictamen: Alvear, Taboada , Ñoñez mas. Yo creo qus las Cortes no deben detenerse en acceder á la amplia Falcon, Vargas, Alcántara , Meló , Ferrer (D. Antonio), Roig , Lo- ción , por cuanto que en su resolución anterior va ya entbtbido el mis dares, Apoita , Blake, Alcalde, Lamas, Arias , Septien .Casas, Mar mo deseo principal que he d.clio antes , puesto que si sobr. viniese al tí, Sáraba, Ruiz del Rio, Manso, Rod…</t>
  </si>
  <si>
    <t>…er salir * viva fberza á Mr. Manuel, y que facilidad y exactitud, y nivelar regadíos para fertilizar Jos campos. va a ponerla en egecucioo. ( Movimiento da indignación á la iz Por D. Antonio l’lo y Camin, profesor de estas ciencias, Tercera quierda. ) impresión corregida y aumentada. Se hallará en la librería de Gon Mr. Girardin á los soldados: ¡Quién de voiotroi sa atreverá á po zález. ner la nnno sobre un diputado ! Sesiones del 14 y 15 de Febr…</t>
  </si>
  <si>
    <t>….mero á D. Magín Apar.mo, subtem-r.t; reinado población ; y si todavía faltare otro, le nombrara el que siga, y asi su del regimiento de Zaragoza 1 y p.t.a segundo subten-.er.tr a D. Antonio cesivamente hasta completar el número de siete. María Vn.deastilhs, sargento &lt;M cuerpo de inválidos hab .es de esta Aprobado poniéndose en lugar de las pa abras de elecci'.n popular cuite; y para capitán de la segunda compañía a D. Manuel A.var z, las siguien…</t>
  </si>
  <si>
    <t>…eto siguiente! sef María Recortillo, D. Francisco Hidalgo, D. Juan Josrf del Cubi « Don Fernando ni por la gracia de Dios y por la Constitución de llo, D. Pascual Boiaños y Novoa, D. Antonio ds Oiazarra , D.Franla Munarquía española , Rey de las Espadas , á todos !o¡ que las pre cisco Carranza y D. Josef María de Arroyo, por unanimidad dec aró sentes.vieren y entendieren, sabed: Que las Cortjs han decretado lo haber lagar á la formación de causa.…</t>
  </si>
  <si>
    <t>…el mismo año de 18, de aid5 rs—Otro, número Primera brigada de la s’gunda división. 542 , de i.° de Setiembre de 1807, o:den de Ascorbeta y Gascue , de Primer batallón del Infante D. Antonio t3 hombres. Primer bata 3Ó10___Otro, núm. 4257, de Marzo de 1808, á favor de D^n llón d-i Prí«c:p# »9. Batallón dtl general 800. Total 2800. Juan Coll, de 451 rs. 8 mrs. y medio—Otto, registro 7, núm. 247, ■Segunda brigada de la segunda división. de Setiembre…</t>
  </si>
  <si>
    <t>…ciosos que tenían alo ■Estercuel, pueblos dos leguas distantes de aquel , y en la compa jados , por los excesos que cometían , y que el Gobierno se ha ñía de cazadores del Infante D. Antonio que había pasauo á bía visto en la precisión de atender á estas quejas, y había man ‘Josa á la exacción de una inulta. dado que se alojasen en tiendas, prohibiéndoles entrar en Perpi En el momento de mi arribo á Huesa di principio á la prác ñan sm permiso sup…</t>
  </si>
  <si>
    <t>…pa vestida de uniforme , por cuya establecerá en Madrid; su primera brigada, compuesta de los razón no podía creer que hubiese divisiones organizadas: que batallones de infantería D. Antonio, Trujillo y batallón del no tenia dato fijo de ¡os movimientos de Quesada, y que las General se acantonará también en Madrid , encargándose de su cartas de las provincias Vascongadas aseguraban todas que los mando el brigadier D. Antonio Burriel. Quedan agreg…</t>
  </si>
  <si>
    <t>…o pudiendo su fiar tantas vejaciones, que Pedralvez , Ruiz del Rio, Blake , Saravia , Manso , Buev, jarse al .Rey, amenazando con una sublevac.on general sino se Escudero, Ferrer (D. Antonio ), Munarriz , Jener , Eulate, ponía coto á las donaciones: Talavera nrsma fue víctima de las Cuevas , Marchámalo , Prado , Latre, Diez, Sangcnis , Jaimes, prestaciones. Yo no veo en este decreto atacada la propiedad co Quiñones , Bauzá y Buey. mo cree el seño…</t>
  </si>
  <si>
    <t>…ejército acudirán á recibir las año señalado en el art. 176 de la ordenanza de la M. N. L. pa ollas de campaña según la siguiente distribución. ra admisión de voluntarios. Infante D. Antonio 115. Batallón númcio 26 de línea g6. La comisión de Guerra presentó nuevamente redactados los Truj illo 50. Bujalancc 38. Mallorca 100. Cuenca 57. Alcán artículos retirados ayc'r sobre desertores de la M. N. A. tara 15. 4.0 escuadrón de artillería 22. 5.0 íde…</t>
  </si>
  <si>
    <t>Primera brigada de la segunda división. Se mandó pasar á la comisión donde consten los antecedentes. Fuerza. Primer batallón del Infante D. Antonio 10. Pri Se mandó pasar á la comisión del Crédito público una expo mer batallón del Príncipe i$}. Batallón del General 800. To sición de varios labradores de la ciudad de.Oviedo, arrendadores de los bienes del colegio de S. Vicente de la misma ciudad,tal 2800.…</t>
  </si>
  <si>
    <t>…l que dice mente lo haré de cuantas noticias reciba. = El alcalde 1.° consti con fecha 21 que al día siguiente salía para Valencia c'i batallón tucional Agustín Braco. del Infante D. Antonio, Oviedo y 50 caballos de Vil:..viciosa; y ademas una columna de voluntarios de aquella provincia. Gobierno superior político—El comisionado en Játiva Don Valencia sigue bien: hov se ove mucho cañoneo.” Francisco Paula de Hoyos con fecha 21 del actual á las 8…</t>
  </si>
  <si>
    <t>…ivos á la hora de la lista de la tarde en pre 2.0 Mañana 4 las 3 de la tarde pasará el general en gefe re sencia de los comandantes de compañía. vista á los batallones del Infante D. Antonio y del general, y á 13. Se reconocerá por oficial auxiliar del E. M. de este ejérlas 6 piezas dc*l 4.0 escuadrón de artillería, debiendo hallarse di to y teniente retirado D. Casto de la Rúa. chos cuerpos formados en la pradera del lado de allá del canal: 14.…</t>
  </si>
  <si>
    <t>…provincia de que las manos muertas deban dejar la propiedad, yo convendré Málaga. también con el Sr. preopinante en que .no: se debe dar el efecto Ettado mayor. El primer ayudante general D. Antonio retroactivo que ha indicado S. S.por disposiciones anteriores á-es Pufg, que lo será de ia. división, y el segundo ayudante Don ta época. Ademas:puede nadie dudar que ñor la ley de las Cor Francisco Ruiz. tes sobre este asunto están las manos, nv rus imposibi…</t>
  </si>
  <si>
    <t>…. González Alonso: Cualquiera persona que juzgue á ron aprobados. los patriotas por motivo de opiniones políticas está comprendida La propia comisión, en vista de una solicitud de D. Antonio en el art. i.° de este decreto; pero la comisión, previendo que Caner, vecino de Pucnte-Genil, pidiendo se le permitiese registrar podia suceder que entre los facciosos hubiese juntas criminales en el oficio de hipotecas una escritura de compra de varias tier…</t>
  </si>
  <si>
    <t>…ra tanta moderación, y libra al Austria bernador y orden D. Almud Nudez. — De causas D. Juan de de un conquistador altamente ofendido é irritado! ¡quién! La Rojas. _Teatro y toros D. Antonio \\ ai lúa y D. Josef ¡os Nación española que le llama toda su atención y ocupa sus me Reyes.__Mañana es dia de corte, á cuyo efecto se hallaran en palacio á las doce los señores gefes y oficiales de Los cuerpos de lajores fuerzas. ' Si Napoleón desde Moscou v…</t>
  </si>
  <si>
    <t>…ó volver a ella, relativo Ruiz del Río, Blake, Saravia, Manso, González (D. Manuel), á las dificultades que manifestaba el gefe político de Granada pa Alcalde, Ron , Roig, Fervor (D. Antonio ), Cueva; , Caro, ta llevar á efecto el decreto de las Cortes sobre la aplicación de Guevara, Arias, Prado, Marchámalo, Fuentes de! Rio , Fideo, los bienes de cofradías y hermandades, y aplicarlo aL Crédito Diez , Eulate y Jaimes. público; opinaba que para la…</t>
  </si>
  <si>
    <t>…duo: id. de Avila á D. Felipe Morales: id. de Soria á D. Ali- coro de vuestras familias, y de que he consagrado á esto toda ia c-uci F.olíri: para el corregimiento de Gu.puzcoa á D. Antonio vigilancia de que soy capaz. Continuad pues en vuestra tranquili Eiboada: id. de Vizcaya a D. Tiburcio Eguiluz : id. de Borja á dad, y contad con que estoy resuelto á mantenerla á toda costa; D. Pedro Martínez Baños: id. de Logroño a D. Josef Antonio y si alg…</t>
  </si>
  <si>
    <t>…a del dia 4 di ce Jo siguiente: El de los Sres. Vega , Infanzón , Alcalde , Alcántara , La Continúa reinando en esta capital la mas perfecta trjV.áuilimas, Vargas, Prado , Eerrer (D. Antonio) y Ruiz del Rio por dad, y este inapreciable beneficio se ba debido a ¡a» m.sma/cauno haberse admitido la propuesta de que se enviase un nuevo sas que constantemente io han conservado, es decir , al incansa mensage á S. M. ble zelo y actividad de jas tropas d…</t>
  </si>
  <si>
    <t>…n algunos pueblos con los ciudadanos mas honrados y sus familias por aquellos El Gobierno In recibido también el parte siguiente! mismos que no lian experimentado mas qne indul El coronel D. Antonio ürdniVz, comandante'de los es gencia v beneficios de parte de las autoridades cons cape teros de Jetarez, y de la columna inovil contra titucionales. 'los facciosos de esta provincia con focha 20 dul ac tual da parte desde Jinicna de Líber dispersado, en tre…</t>
  </si>
  <si>
    <t>Gaceta de Madrid n.º 413</t>
  </si>
  <si>
    <t>Discurso que D. Antonio, de Tabeada, del consejo de S. M., gún tiempo los deseos de abjurar su creencia. Esto fue baitantt corregidor de la Ai. A?, y M. L. provincia de Gutfiízcoa, para que se moviese contra él una tempestad furiosa de invec pronuncié ante S. A. R. la Señora duquesa…</t>
  </si>
  <si>
    <t>…e da pública (durante la ausencia del propietario el Sr. D. Josef ios bienes vinculados se traíga á colación el valor de los que ios Antonio de Uriartc en servicio dei Estado), el Sr. D. Antonio poseedores actuales hayan enagenado (Gaceta del iS.j de Vcamurguíu, regidor del Excmo. ayuntamiento constitucio Dccn. to de las Cortes autorizando al Gobierno ó á Jos gene nal de esta ciudad, y el escribano D, Juan lllana___En el dia ran.', tu sid'- 1 especie…</t>
  </si>
  <si>
    <t>destinados á servicio alguno se presentaron voluntariamente , yen i.° batallón voluntarios de Madrid. Soldados D. Antonio do el primero de granaderos entre los de su cuerpo, y el según- Gutiérrez, D. Esteban Yurqueita y D. Antonio Avita. do con los del destacamento del suyo 3.0 de ídem. Subteniente D. Josef Mallen : soldado D. La conducta de ios comandantes de columna fue cual d…</t>
  </si>
  <si>
    <t>Gaceta Española n.º 120</t>
  </si>
  <si>
    <t>…io, rr Habiéndose trasladado desde la villa de Madrid á esta ciudad Vicente Navarro lejeiro, diputarlo secretario.—Por Tanto man de Cádiz el agente de negocios de España’ é Indias D. Antonio damos á todos los tribunales, justicias, goles, gobernadores y Mejía , lo avisa al público y á sus corresponsales para que si qui deliras autoridades, asi civiles como militares y eclesiásticas , de sieren ocuparle en sü ministerio sepan adonde han de dirigir…</t>
  </si>
  <si>
    <t>…por todas tería que apoyaba á la artillería enemiga: el valiente batallón de las direcciones de las quebradas de la sierra y arenales se van en Cantabria , mandado por su bizarro comandante D. Antonio contrando dispersos desarmados. Tur, y conducido por el esforzado Sr. brigadier Monet, atravesó Y' por últimodestruida completamente la expedición qus al paso de carga los dos barrancos para atacar el centro del enemigo; tanto decantaban los enemigos con el i…</t>
  </si>
  <si>
    <t>…suélo dé ver, Al entrar SS. MM. y 'AA. en el templó tuvo la honra de “ aunque comprimida, lá'fidelidad dé su buen pueblo: ha visto i presentarles el agua bendita el Excmo. éllino, Sr. D. Antonio los por tantos títulos Sprecialtflerhérmáhos'íe íts Reyes, ser’etfAllúe^ Patriarca de lai Indias, que se hallaba á la"cabeza del cle vuélt0s; éh las ihisinJíst'ch¿gi'ácí&amp;, y á sus dignas esposas, trerhos ro. Entonóse un solemne y'fléroto TeDéam, que solo pudo…</t>
  </si>
  <si>
    <t>Antonio, Francisco</t>
  </si>
  <si>
    <t>Francisco Antonio</t>
  </si>
  <si>
    <t>…r. la prudencia explicarme, no pueden menos , «eñoies , de horrorizar á Por el correo que salió de esta corte para Andalucía el 10 da Enero la Cámara de los Pares. último ‘remitió D. Francisco Antonio de la MJcorra en pl egó certifi .&gt;Contaremos esta tempestad que nos amenaza; esforcémonos, por cado á D. Josef María da 1* Macorra , vecino da Ceuta , cuatro certifi cuantos medios esten á nuestro alcance, i evitar el abismo en que se-, caciones de ««dito sin…</t>
  </si>
  <si>
    <t>…el Africa con D. Pedro'Antonio de Aguirre, D. Josef María Miranda, Don la biblia en la rnano : los cafres empiezan por su parte á formar Félix de Aguirre , D. J osef de Resusta , D. Francisco Antonio mejor concepto de los europeos, y van conociendo que no todos de tarraza, D. Tomas López Calderón , D. Josef Diez Imbrecht, son seres violentos , sanguinarios, codiciosos que atraviesan los D. Pedro Antonio Carrera , D. Joaquín María González, Don mares en ed…</t>
  </si>
  <si>
    <t>Antonio, Joscf</t>
  </si>
  <si>
    <t>Joscf Antonio</t>
  </si>
  <si>
    <t>…s no de esta plaza , ha nombrado para mandar en todo su recinto* y ta la casa de Borní, habiendo venido una fuerza doble por Ja par á sus inmediatas órdenes , al mariscal de campo D. Joscf Antonio ta de la Riera; mas parece que se han retirado. El que haya vis Ssns; para el baluarte del Rey constitucional al teniente coronel to á esta ciudad en el día de hoy y en los anteriores no conoce comandante del batallón níim. 21 D. Tomas Mezguer; el de Li rá qu…</t>
  </si>
  <si>
    <t>Antonio, Josef</t>
  </si>
  <si>
    <t>Josef Antonio</t>
  </si>
  <si>
    <t>…tranquili Eiboada: id. de Vizcaya a D. Tiburcio Eguiluz : id. de Borja á dad, y contad con que estoy resuelto á mantenerla á toda costa; D. Pedro Martínez Baños: id. de Logroño a D. Josef Antonio y si alguno intentare perturbarla sufrirá infaliblemente un castigo Ix-róa-auer; id. de Sto. Domingo a D. Ambrosio Eguía é Irigo- pronto y riguroso. Solo,os recomiendo la moderación y el orden, rai- ¡ci. de Miranda de Ebro a D. Josef Bernardo de Aldasolo: pue…</t>
  </si>
  <si>
    <t>Antonio, Juan</t>
  </si>
  <si>
    <t>Juan Antonio</t>
  </si>
  <si>
    <t>…Al día siguiente de la acción se les mandó El Sr. Prat, después de obtenida la palabra, dijo: El ciudadano parlamento; pero ellos no quieren guerra, de sueite que estamos español D. Juan Antonio llórente, que como literato merece bastan mismo que estibamos, quiero decir, en sana paz y correspondencia te consideración entre los sabios de la Nación, ha tenido la bondad de abi-rta.__Hasta esta fecha ya han subido dos ó tres comisiones pare ar enviarme 1…</t>
  </si>
  <si>
    <t>…gobernadores y de circuic. == Rubricado ¿'Hí’fta JFÚa3 mano. = En el Real Alcázar más autoridades, asi civiles como militares v eclesiásticas, de d; hevilla á 23 de de .1823. := A D. Juan Antonio cualquiera clase v digmdad, que guarden y hagan guardar, cum Yar.diola. plir y ejecutar el presente decreto en todas sus parte». 1 endreislo entendido para su cumplimiento, y dispondréis se imprima , pu Don Fernando viipacla. gracia de Dios y por la Constitu…</t>
  </si>
  <si>
    <t>…e ha sido de la fuerza , los po provincia, en la precitada villa de Villafranca á 26 de Mayo deres conferidos á nombre de esta provincia bajo el régimen cons de 18 J3.=:Lieenciado D. Juan Antonio de oozoeta. titucional ú los llamados diputados en cortes, igualmente que el Discurso que el Sr. D. Antonio de Taboada, del consejo de nombramiento hecho de ¡os individuos de ¡a titulada diputación S. M. en el Real y supremo de Navarra, y corregidor de ia pro…</t>
  </si>
  <si>
    <t>…la ven c,n y gobierno.re Dio: guarde á V. K. muchos años. — Cádiz 30 ganza: S. M. conoce que la trinyuiiidad, Ja eonfi,mz * y la unión d-.- Setiembre de 1823. ssjosef Luyanlo. cr Sr. D. Juan Antonio son necesarias para el bien común , y por lo tanto su paternal co Yandiola. razón no puede merlos de desear que reinen siempre en su pue blo, La paz que S. M. desea darnos no puede conseguirse con el F! Rey ha resuelto que los oficiales mayores de las secreta…</t>
  </si>
  <si>
    <t>Antonio, Miguel</t>
  </si>
  <si>
    <t>Miguel Antonio</t>
  </si>
  <si>
    <t>Gaceta de Madrid n.º 29</t>
  </si>
  <si>
    <t>…ra dirigirle, por encargo del mismo ayuntamiento , los ciuda paca él, y.un oficio mioea que le hago las prevenciones convenientes, danos D. Josef J^adon , profesor de matemáticas, D. Miguel Antonio siguitndo las instrucciones que V. E. se ha servido comunicarme , cu de Zumalacaricgui , individuo del tribunal supremo de Justicia , Don yas bases son los movimientos que me pioponga hacer , cubriendo esta Josef Zorraqujn, iriem, D. Juan Bautista Toires, com…</t>
  </si>
  <si>
    <t>Antonio, Pedro</t>
  </si>
  <si>
    <t>Pedro Antonio</t>
  </si>
  <si>
    <t>…infantería , para que dentro de 30 días reunido el jurado , compuesto de los Sres. D. Pedro Ruiz de Loizaga, comparezcan á responder de los cargos que contra ellos resultan ; y pa D. Pedro Antonio d; Aguirre, D. Segismundo Morct, D. Luis Cro- ra que llegue á su noticia que se anuncie en 1a gaceta en obsequio del »a, D. Prud ncio Hernández Sta. Cruz, D. Josef María Viilaranda, mejor servicio. D. Pedro Jos.f Paul , D. Juan de Fuentes y D. Josef Miría Ret…</t>
  </si>
  <si>
    <t>Antoran, Manuel</t>
  </si>
  <si>
    <t>Manuel Antoran</t>
  </si>
  <si>
    <t>…en 24 de este mes, se avisa a los accionistas que desde hoy 26 D. Aniceto Moreno. D Eugenio Perez González. dC Marzo pueden concurrir á la secretaria del establecimiento desde las D. Manuel Antoran. D. Faustino Fernandez Vidobro. diez hasta la una del día á exhibir sus acciones y presentar ios docu D. Manuel Nufiez. D. Tetisforo Polo. mentos convenientes para el cobro de dicho dividendo, que se ira ve D. Vicente Santiago Les. D. Josef M.re'o. rificando…</t>
  </si>
  <si>
    <t>Anu</t>
  </si>
  <si>
    <t>Gaceta Española n.º 138</t>
  </si>
  <si>
    <t>…tiran.a do bienio español envío una comisión compuesta de L» i:\&gt;. 1 Ai: mestica , será siempre un objeto de atención prelerente t pero el Lids Lirioblu, natural de Montevideo, y D. Anu no l.u., i cdemanda al mismo tiempo grande prudencia y circunspección. reira. Esta comisión va encargada de cr.tab.ar cemuit cJc-ures La Europa parece irrevocablemente comprometida en una amistosas con aquellas prc'vmetas, y Leva ¡as mstmee »&gt;tn&gt; y lafilena G…</t>
  </si>
  <si>
    <t>Anunció, Saa-</t>
  </si>
  <si>
    <t>Saa- Anunció</t>
  </si>
  <si>
    <t>Gaceta Española n.º 67</t>
  </si>
  <si>
    <t>…ñado v ha cooperado donde en otra época resonaron los primeros ucenlos á la traslación del Gobierno v ias Cortes á esta ciu de libertad. dad.” Se levó la proposición que sigue del Señor Saa- Anunció o! Sr. presidente que el dia signiente des ■vrdra, Mismita por ios señores Canga-Arguelles, ls- pués del despacho ordinal u&gt; se daria cuenta de los dic tm i/.. Solía , Rico, Infante, \ iliantieva. r Saenz de támenes que presentarían las comisiones respectivas…</t>
  </si>
  <si>
    <t>ANUNCIOS</t>
  </si>
  <si>
    <t>…s, parando et perjuicio que hubiere lugar á los no Silabario metódico para facilitar á los nifios el conocicomparecientes. miento de todas las sílabas de la lengua castellana. Por Don ANUNCIOS. Juan Estéban de Izaga. Se vende en las librerías de Matute y Con'ta correspondencia pública que salió de esta capital pa de Sanz. ra la carrera de Aragón y Cataluña el día 15 de Febrero últi Mapa de España construido con documentos fidedignos, y mo se remiti…</t>
  </si>
  <si>
    <t>ANUNCIOS, Moncey</t>
  </si>
  <si>
    <t>Moncey ANUNCIOS</t>
  </si>
  <si>
    <t>…a María Josefa Gondovia, vecina de opcis’cion. Los mas de los periódicos de Paris anuncian para el 13 la la ciudad de la Cotuña. salida del duque de Angulema al egército, y la del mariscal Moncey ANUNCIOS. para el 1 2 ó el I3. T.os Sres. suscriptores al grabado de la Constitución que lo hicie El Diario de Tolosa asegura que por extraordinario enviado al ge ron á papel blanco acudirán ú casa del Sr. Villareal á recoger los ejem neral Panfilo Lacroix á dicha ciu…</t>
  </si>
  <si>
    <t>Ao'an</t>
  </si>
  <si>
    <t>…eramente.al no hacer callar i la ley que ejecutaría rigurosamente. Yo podía aña delincuente ¿'hubiera ds consultar»: en cualesquiera circunstancias crí dir i las obs-rvaciones del Sr. Ao'an alí anos hechos que las confirman; ticas en que pueden verse los E.tados, las amnistía» no existirían ; pe y veo al mismo tiempo que Js comp on solo dic.: que no s; podrá ro hay otra cosa quexonsuitar , á saber,.la justicia genera!, que es ia sa incomodar á l…</t>
  </si>
  <si>
    <t>Aos-, Labanoff</t>
  </si>
  <si>
    <t>Labanoff Aos-</t>
  </si>
  <si>
    <t>349</t>
  </si>
  <si>
    <t>…tro del Interior •- el conde de Gurie# ministro de fiacien- occidentales. El navio de línea Tártaro sa.ió el 1 j para el mismo des da; el barón de Campenliausen contador mayor: el príncipe Labanoff Aos- tino. El Sermgapatam y el liedziing, que dieron veía con igual direc tovsliy ministro de justicia. S. A. Ib. &lt;1 duque Alejandro de Wur- ción , entraron de arribada el mismo día en Spithrad, donde deben temberg director general de puentes y caminos: el pr;ov A…</t>
  </si>
  <si>
    <t>Apa</t>
  </si>
  <si>
    <t>…rde En Braganza hasta Vinhaes, toda la división ligera, yoda la era embajador de S. AL Cristianísima en la corte de S. A!. Ca caballería , y dos piezas de artillería, al mando del brigadier Apa tólica. En fin, no hemos hecho nada (porque estas pruebas ne ricio. gativas formarían un ca ti lo o o demasiado difuso ó: no hemos he En Miranda: infantería tiúms. 8.° y 11 , cuatro piezas de ar cho nada, digo , contra !a Francia de aquello que los franceses,…</t>
  </si>
  <si>
    <t>Apar.mo, Magín</t>
  </si>
  <si>
    <t>Magín Apar.mo</t>
  </si>
  <si>
    <t>…ada partido; niente á D. Ildefonso Paredes, teniente graduado de cap tan ict.ra .0; pero si fu ren menos se nombraiá el que fatr por t-1 que tenga mayor país subteniente pr.mero á D. Magín Apar.mo, subtem-r.t; reinado población ; y si todavía faltare otro, le nombrara el que siga, y asi su del regimiento de Zaragoza 1 y p.t.a segundo subten-.er.tr a D. Antonio cesivamente hasta completar el número de siete. María Vn.deastilhs, sargento &lt;M cuerpo de inv…</t>
  </si>
  <si>
    <t>Aparicio, Josef</t>
  </si>
  <si>
    <t>Josef Aparicio</t>
  </si>
  <si>
    <t>…nvincentes las razones que hi recibido en la universidad de Turin. dado el Sr. preopinante en apoyo de su voto particular para aprobar el A la primera de Hacienda una solicitud de D. Josef Aparicio, proyecta en su totalidad ; el cual voy á impugnar , porque aunque hay pintor de Cámara de S. M., para que se le continúe pagando una pen en él redactados algunos artículos en ¡os mismos términos que la comi sión de r a9 rs. que se le había concedido como art…</t>
  </si>
  <si>
    <t>Aparicio, Luis</t>
  </si>
  <si>
    <t>Luis Aparicio</t>
  </si>
  <si>
    <t>…por muchas razones:, que mucha parte de la Es A la comisión segunda de Hacienda w Brindó pasar una- ex paña estaba ocupada por las tropas francesas, y constaba á las posición de- D. Luis Aparicio: ■ * Córus qu« eso* reverenda» habían vuelto* ■' sus conventos; qu«</t>
  </si>
  <si>
    <t>Aparicio, Manuel</t>
  </si>
  <si>
    <t>Manuel Aparicio</t>
  </si>
  <si>
    <t>…mi autoridad, he hecho que lleguen á en la Coruña en la de D. Josef Martínez Cardera; en Valladolid en sus manos algunos egemplsres del decreto de Cortes en que se concede, la de D. Manuel Aparicio ; en Búrgos en la de D. Rosendo Revilla; y avisaré á V. E. de cualquier resultado. Acompaña á Bessieres el ex en Vitoria en la de D. Pedro Barrio ; en Zaragoza en la de D. Josef coronel D. Nicolás Isidro.esExcmo. Sr. secretario de Estado y del Des Sánchez; en…</t>
  </si>
  <si>
    <t>Aparicio, María</t>
  </si>
  <si>
    <t>María Aparicio</t>
  </si>
  <si>
    <t>…suponerse que han tenido mas de la justa causa de la Nación, cupo en suerte del primer extrac parte en la pasada revolución. El número de los que han salido to de la de este dia á Doña María Aparicio, comprendida en las r tomado pasaporte en las secretarías de Vigilancia pública y de del Dos de Mayo. J * Capitanía general , es el siguiente, en la forma que se expresa: Oficiales del ejército..................... 48 Oficiales ds la milicia..................…</t>
  </si>
  <si>
    <t>Apellaniz, Antonio de</t>
  </si>
  <si>
    <t>Antonio de Apellaniz</t>
  </si>
  <si>
    <t>Gaceta de Madrid n.º 993</t>
  </si>
  <si>
    <t>…impío y sacrilego de un Di— 82,579 rs., que se vende para hacer pago á un acreedor , acuda derot, que.en las tenebrosas juntas del Harón de Holback, se al juzgado de provincia del Sr. D. Antonio de Apellaniz, del complacía en repetir que; no seria feliz el mundo hasta haber Consejo de S- M., su Alcalde de Casa y Corte, por la escribanía ahorcado al último Monarca con los intestinos del, ■último Saierdote. de D. Pedro Josef de Ibabe, en el término de 30 dias, cont…</t>
  </si>
  <si>
    <t>Apellaniz, Juan Cruz</t>
  </si>
  <si>
    <t>Juan Cruz Apellaniz</t>
  </si>
  <si>
    <t>…y circule. = Está señalado déla mano de S. M. c=En de Francia, D. Juan Manuel Santiago , D. Francisco Javier Santa palacio á 25 de Febrero de i8z3.^=A I). Dion¡sio'Capaz.‘'’ Cruz, D. Juan Cruz Apellaniz, D. Vicente Chasco y D. Josef Andia , calificaron con la fórmula de absuelto el impreso titulado: secun El Gobierno hit recibido el parte siguiente. da conversación entre Pantorra y Tormenta, en cuy-a consecuencia se n Cuerpo de tropas expedicionario del prim…</t>
  </si>
  <si>
    <t>Apo.t</t>
  </si>
  <si>
    <t>…Algucia, tomado la palabra para entrar en la cuestión sobre ios recursos vecino de Badajoz. que se deben adoptar para repe., r la invasión de nuestros enemi Se concedió permiso al Sr. Apo.t a para cont nuar por quin gos , pues ias C&lt; a tes han autorizado ya a los comandantes gene ce chas mas Ibera de esta ciudad para recuperar su salud. rales y diputaciones provinc.ales para que adopten todas aquellas El Sr. presidente anuncio que mañana »c c sc…</t>
  </si>
  <si>
    <t>Apodaca, Juan Ruiz</t>
  </si>
  <si>
    <t>Juan Ruiz Apodaca</t>
  </si>
  <si>
    <t>…ento primero con} D. Luis Torcellinos. . .....................Jgrado de capitán y sueldos Teniente supernumerario, según el art. 13. 6840 Idc teniente........................... ) D. Juan Ruiz Apodaca.................... Cadetes........................../ ,Cadctes cl a.r,ícul° 11' se8undl P^J-Con sU actual haber. IX Francisco Ruiz Apodaca........... r 22 tete dede lala primeraprimera clausula...............................- . •' " Cádiz 20 de Julio de 1823…</t>
  </si>
  <si>
    <t>Apoita, Josef</t>
  </si>
  <si>
    <t>Josef Apoita</t>
  </si>
  <si>
    <t>…en caso de no poder satisfacer su importe, sufrirán las pe Rafael Casimiro Lodares y D. Miguel Sánchez Casas por la de nas que proporcionalmente señala el código penal. la Mancha: D. Josef Apoita por la de Vizcaya: D. Domingo Art. 9." Cualquiera que á la sombra del ejército invasor ó Cortés, D. Francisco Tlenriquez, D. Josef Alcalde y D. Ra de las partidas de facciosos solicite, acepte, sirva ó continúe sir món Lamas y Melendez por la de Galicia: D. J…</t>
  </si>
  <si>
    <t>…as Córtes sobre el modo de constituir por Rafael Casimiro Lodarcs y D. Aliguel Sánchez Casas por la de ahora lasala de tercera instancia de la audiencia territorial con la Mancha: D. Josef Apoita por la de Vizcaya: D. Domingo los ministros del tribunal Especial de Guerra y Marina, y si es Cortés, D. Francisco Enriquez, D. josef Alcaide y D. Ramón tos no bastasen con los jueces también letrados del tribunal Es Lamas y Melendez por la de Galicia: D. Jos…</t>
  </si>
  <si>
    <t>Appony, Conde</t>
  </si>
  <si>
    <t>Conde Appony</t>
  </si>
  <si>
    <t>…do algunas otras muy empeñada, que empezó el 15 en Liado, y continuó el 16 veces. en Lien, en la que rindieron ias armas 28 hombres, que ño En la misma congregación se presentó el Sr. Conde Appony, habían sido muertos ó dispersos. Embajador extraordinario de S. M. el Emperador de Austria. Esperamos que influya'definitivamente en la ?endic;on de Manifestó al Sacro Colegio el profundo sentimiento de qué se dichas plazas este suceso, que por segunda vez l…</t>
  </si>
  <si>
    <t>Aprobado</t>
  </si>
  <si>
    <t>Gaceta Española n.º 91</t>
  </si>
  <si>
    <t>…amento.se les concede. (Aprobado *n U sesión del de Abril de 18 a ají declaró haber Untar á votar sobre ella, y quedó aprobada. La comjsion de Hacienda en vista de U exposición de Don Aprobado.</t>
  </si>
  <si>
    <t>Aprobado, Navarro</t>
  </si>
  <si>
    <t>Navarro Aprobado</t>
  </si>
  <si>
    <t>…u difunto So declaró comprendida en el art. 100 del reglamento; y tío el P. Fr. Tomas Connelli, autor de un diccionario español. después de admitid* á discusión se opuso á ella el Sr. Navarro Aprobado. Tejeiro, manifestando que 110 seria extraño el que las diputacio La de Visita del Crédito público opinaba que podia conceder nes provinciales no hayan cumplido el mencionado decreto en la se á D. Sebastian López Liñan , dependiente que fue del extingui parte…</t>
  </si>
  <si>
    <t>Ar</t>
  </si>
  <si>
    <t>…dario todo de Ibros, provincia dejare, por el Sr. Litio. to y egecutívo las diputaciones provinciales se pondrán de acuerdo De los empleados en la aduana nacional de Ceuta, por el Sr. Ar con los comandantes generales, debiendo aquellas presentar el cupo que guelles. corresponde á sus provincias vestido y simado dentro del preciso térmi De varios ciudadanos de Castro*Urdíales, por el Sr. Canga. no de un mes desde la publicación de este decreto…</t>
  </si>
  <si>
    <t>…al de Pazos, provincia de Oviedo, y déla jun los que si los navios ó fragatas sufren un descalabro, tienen que perecer, ta diocesana de esta provincia, presentidas y leídas por el Sr. Ar£üetle», si es que no pueden volver á Cádiz á repararse, que es el puerto mas Del ayuntamiento constitucional de Alcaudetz, provincia de Ali próximo que dejan á retaguardia; y este mal solo puede remediarse con cante, y de la milicia nacional de la misma villa…</t>
  </si>
  <si>
    <t>…rcunstancias, pudiesen producir unos efectos útiles á las Corte» El Sr. secretario del Despacho de la Gobernación de la Pe y á la Nación , corno los producirán las que ha hecho el Sr. Ar nínsula: El Sr. González Alonso desea saber si es ó no'cierta la guelles ; poro si las preguntas se multiplican, lejos de producir noticia que lia corrido de que el ficcioso Silveira había invadido tan buenos resultados, entorpeceremos la marcha de nuestra la…</t>
  </si>
  <si>
    <t>…e acaba de impugnar el art. 2.0, ha reproducido en parte la componen ? ; y no somos todos iguales ante la ley ? ¿ pues por varias de las objeciones luchas en el dia de ayer por el Sr. Ar qué se nos despoja? ¡ por qué esta desigualdad cuando muchos de guelles , á las cuales contestaré luego: por lo respectivo á algunas estos señoríos están legítimamente adquiridos: Ya dije ayer, y otras inculpaciones hechas por el Sr. Prado manifestaré breve r…</t>
  </si>
  <si>
    <t>…as Después el Sr. Falcó impugnó el dictamen ; y habiendo con del Gobierno, suplico á las Cortes que pasen al mismo este ex cluido este Sr. diputado su discurso, tomó la palabra el Sr. Ar pediente para que obre con arreglo á las facultades que tiene. guelles , y contestó extensamente á las objeciones que habia hecho El Sr. Salvato: La comisión ha sido nombrada para dar su el Sr. Falcó, al dictamen.. dictamen sobre este asunto , y de consiguien…</t>
  </si>
  <si>
    <t>Gaceta de Madrid n.º 213 (extraordinaria)</t>
  </si>
  <si>
    <t>…por las cort-s en sesión permanente; y asi no tenga dificultad algu timóte en sus armas la madeja, que es símbolo de su lealtad, na en admitir ia adición de mi digno compañero el Sr. Ar y por ella ha merecido i?l dictado de L. y M. II., guelles. y que contra sus sentimientos ha vivido por espacio da 40 me Quedó aprobada la proposición con la adición propuesta por ses en la mayor opresión y aflicción , y constantemente insul el Sr. Arguellesp…</t>
  </si>
  <si>
    <t>Ar, Agustín García de</t>
  </si>
  <si>
    <t>Agustín García de Ar</t>
  </si>
  <si>
    <t>…a con notas críticas y varios Diciembre último me dicen lo siguiente: Enteradas las Córtes extraordinarias de las instancias de D. Josef apéndices sobre la literatura española por D. Agustín García de Ar ríela. Bien conocido es en la república literaria el célebre, autor de estaMunuer» y-D. Manuel Rssiz y Quevedo, que V- E. les ha remitido con oficio de 10 dei actual , relativa la del primero á solicitar que á su obra , la cual es reputada por maestra en su e…</t>
  </si>
  <si>
    <t>Ar, Angel</t>
  </si>
  <si>
    <t>Angel Ar</t>
  </si>
  <si>
    <t>…narquía , estando á 20 leguas de la corte y sitios Reales. anuncia que en Rosas, eaCataluña, se ha organizado una regencia á fa Confiesa ¿1 mismo que en Daimiel se le presentaron D. Angel Ar vor de Napoleón n . compuesta de varios generales y personajes fran teaga y Aguitin Escudero, y suponiendo Una orden verbal de S. M., ceses emigrados. trataron de persuadirle que fuera á Madrid, y se alojara ó ea la casa de El dia 14 hubo sesión en la Cámara…</t>
  </si>
  <si>
    <t>Ar, Josef Manuel de</t>
  </si>
  <si>
    <t>Josef Manuel de Ar</t>
  </si>
  <si>
    <t>…fubtíca el decreto siguiente: El Rey nuestro Señor, teniendo en consideración los méri ,, Cuando en 1823 conferí á Sir Roberto Witson, general en tos y servicios que concurren en D. Josef Manuel de Ar ona , se aquella época al servicio de la Gran-Rretaña, la orden del Agui ha servido nombrarle Superintendente genera! de Vigilancia pú la-Roja , era mi ánimo recompensar de este modo la constancia blica, eximiéndole de la asistencia al Consejo; y a! mismo tie…</t>
  </si>
  <si>
    <t>Ar-riielles</t>
  </si>
  <si>
    <t>…grande oposición á la guerra elegido el Sr. Gómez Becerra del total 103 , habiendo tcn.cU de los persas, la cual se hace con el fin de aumentar el poder de 37 el Sr. IsUiriz, 3 el Sr. Ar-riielles , y uno cada uno de ios se Ja Magnanimidad, y concluir con la sumisión del imperio turco ñores Zulueta, Domenech V Galiar.o. al dominio de Rusia , á no ser que los griegos aseguren antes el En la elección para segundo individuo quedó elegido el se gobierno de…</t>
  </si>
  <si>
    <t>Ar.lt'no</t>
  </si>
  <si>
    <t>Gaceta Española n.º 149</t>
  </si>
  <si>
    <t>…dispuesto ei indicado gefe que la compañía de caracotes ce dicho de la Europa , de los pocos contra los muchos, en tal caso Cha batallón, mandada por ei teniente coronel graduado D. Ar.lt'no teaubriand hubiera hablado con discreción, y verdad. Se asegura Azpíroz, y dos mitades de granaderos de la Guara.a pov ei de igual que en el congnso de Octubre no solamente se admit ían las po clase D. Felipe Fernandez cargasen sobre ellas , lo ejecutaren ten…</t>
  </si>
  <si>
    <t>Aracda, Rodrigo</t>
  </si>
  <si>
    <t>Rodrigo Aracda</t>
  </si>
  <si>
    <t>…umplir y ejecutar el presente decreto en co D Nicolás Heredero y Mayoral. D. Antonio Lariz. das sus pattes.=Tendreislo entendido para su cumplimiento , y dispon D. Ramón Escrichs. D. Rodrigo Aracda. dréis se imprima, publique y circule.=Rubricado de Ja Real mano.es D. Josef Leglisi y Pinedo. D, Miguel de Nájera. En palacio á 19 de Marzo de 18 23.=A D. Mariano Egca.” D. Marceliano Torio. El conde de Oñate. D. Vicente Segurado. D. Antonio Puiduiiés. D. Fr…</t>
  </si>
  <si>
    <t>Aragón, Josyf</t>
  </si>
  <si>
    <t>Josyf Aragón</t>
  </si>
  <si>
    <t>…ltimas casas, y, nuestros fcúsare^ llegaban á Jas- pri Salgado y'Manuel García, ladrones. . meras, cuando todos los habitantes se precipitaron' delante de D. Carlos Teodoro &lt;3il y D. Josyf Aragón, tenientes; cor .nosotros: hombres, mugeres, niúo.s cstaban.de, rodillas;, y;nos róñeles. , „ tendían ios .brazos. Lo qu; os digo, mi general ¿ es á :ía letra. Don Timoteo Larrea, D. Pedro -Saioz, Josef Fernandez, Ellos nos rodeaban , nos abrazaban , nos iiaü…</t>
  </si>
  <si>
    <t>Aragón, Manuel Cortés y</t>
  </si>
  <si>
    <t>Manuel Cortés y Aragón</t>
  </si>
  <si>
    <t>…Madrid ; su primera brigada , compuesta de los interinamente para Ja secretaría de Hacienda al oficial mayor de batallones de ¡nfanter'a D. Antonio Trujólo, y batallón del Ge ella D. Manuel Cortés y Aragón. neral , se acantonará también en Madrid , encargándose de su man Las Cortes oyeran con agrado lina exposición del alcalde do el brigadier D. Antonio Furriel. Quedan agregados provisio constitucional de la Carolina, en que daba parte al Congreso de nalmente á…</t>
  </si>
  <si>
    <t>…yor gusto y ia mas viva ternura esta bilitado interinamente para la secretaría de Hacienda' ai oficial proclama , firmada y rubricada de su Real mano, y remitida por mayor ds ella D. Manuel Cortés y Aragón. ei Gobierno, y que el Congreso aprovecha esta ocasión para Se leyó un dictamen de la comisión de Guerra , en que ma reiterar y repetir a S. M. el testimonio de su constante adhesión nifestaba que no había necesidad de la aclaración que so.iciuba al trono con…</t>
  </si>
  <si>
    <t>Aragón, Manuel Cortes y</t>
  </si>
  <si>
    <t>Manuel Cortes y Aragón</t>
  </si>
  <si>
    <t>…Art. 12. El reemplazo del ejército per de la .Real mano.ezLn ei Red Alcázar de Sevilla a 5 de Mayo manente debe realizarse con preferencia y antelación al de la mili 4c 1823.2= A. D. Manuel Cortes y Aragón. cia nacional activa, cuando ocurra que se pidan los eos á un tiempo ó se pidiere este hallándose pendiente aquel. Sevilla 2r 11 Don Fernando vil por la gracia de Dios y por la Consti de Abril de 1823. 32 Manuel Flores Calderón, presidente. = tución de la Mon…</t>
  </si>
  <si>
    <t>…es autorizando al Gobierno para que ¡os Decreto de S. M. habilitando para el Despacho del ministe generales en gefe de los ejércitos proporcionen Jos med.os y re rio de Hacienda á D. Manuel Cortés y Aragón. (Gaceta del ,y.) cursos que exija el servicio militar. (Gaceta dei 16. ) Gracia y Justicia, Otro ídem para que el Crédito público auxilie á la tesorera Declaración de las Cortes sobre una consulta promovida por general con el producto de las minas de azogue…</t>
  </si>
  <si>
    <t>Araktsehejew</t>
  </si>
  <si>
    <t>…orrefiel, quien á las di-z de la noche se presentó, co'c :as militares. Se detendrá algunos dia^ en ciss de Mr. el habiendo recogido dos oficiales y 50 y tantos prisioneros: el co conde Araktsehejew, é irá después i Tuichin: de allí pasar! á mandante de mi batallón D. Jos l Moran , el capitán de caza Moscow , donde hace algún tiempo tiene sus equipages. S. M. dores D. Antonio Armero y Moreno, y el oficial D. Diego estará aquí de vuelta para la fiesta de…</t>
  </si>
  <si>
    <t>Arana</t>
  </si>
  <si>
    <t>…eseoso el general en gefe de batirlo completamente, ha dividido sus y Mina.zzExanu. br. secretario del Despacho de la Guerra.” fuerzas en dos columnas, y continúa en su alcance Ei coronel Arana con 200 infantes y 60 caballos de Borbon y lanceros de ia Rioja ANUNCIOS. ha hecho el 27 un movimiento sobií Cuevillas, Merino y otros, que aun permanecían en Puerto-Cabredo y valle de Sta, Cruz de Campezú, Al Sr. D. Juan del Castillo y Cirroz , marques de Va…</t>
  </si>
  <si>
    <t>…s, pues los gefes de los tres cuerpos serán nombrados por el del mismo batallón por haberse extraviado. Gobierno entre los facultativos que hayan prestado mar servicios en el » El coronel Arana recomienda á todos los individuos de su colum egército ó en los hospitales militares. Art. 8.u Todos los profesores na , y en particular al coronel I&gt;. Alfonso Gallego, del batallón da que hayan terminado sucariera de est'.'d'os, y adquirido el correspon- Log…</t>
  </si>
  <si>
    <t>…1400 hombres de ambas armas. En aquel dia estaba ei conde del Abls— honor nacional, y 110 dejarse dar la ley por los nuevos usurpadores, que bal á cinco leguas de ella, á tres el coronel Arana , á dos el genera! Em el- la-otra parte de los Pirineos intentan venir á dominarnos—Habla des pecinado , y á las doce de la mañana á media el coronel de Pablo, que nu embarcado en Barcelona el Sr. Villanueva, ministro nombrado cerca de la do anticiparse á'fav…</t>
  </si>
  <si>
    <t>…r.er Cuerpo de tropas expedicionario del primer distrito militar__ Exce un caballo , los puntos de Calig . fuerte de ia plaza de la Con&gt;r tuc on y lentísimo Sr.r=La caballería del coronel Arana y la división del general el próximo á la puerta de las Almas hicieron salidas, en las que y en O-Daly persiguen vivamente al enemigo en la dirección de lllueca , Brea las casas se cogieron 9 prisioneros : sil pendida corsbte crt to muettos vic V el Alnnmia ,…</t>
  </si>
  <si>
    <t>…mas el bien de la iglesia, fue prisionera en la tarde de ayer en el pueblo de Almonacid por la caballería trasladado en 1806 al.arzobispado de Lima, en el cual como teatro mas del coronel Arana, habiéndose Salvado vínicamente el cabecilla lLoyo con vasto brillaron con fhayor esplendor su acendrado patriotismo, ¡lustrado zeunos yo infantes y eo caballos, por lá casualidad de Hallarse separado de Jo, vigilancia pastoral y apostólico desprendimiento en…</t>
  </si>
  <si>
    <t>…ia nacional activa basta que la» Son ¡as siete y media de ia noche. Dios guarde á V. E. muchos años.=: Cortes resuelvan otra cosa. ... Longares 28 de Febrero de 1813—En nombre del coronel Arana.=Fabil El Sr. presidente anunció que sé procedía á la discusión del díctame* Asesio—Esta firma la abonará D. Miguel Ponte y aun D. N. Tol, que de la comisión especial nombrada para examinarla segunda parte de la me ha visto en su casa.=Es cop'i—Amur.” proposi…</t>
  </si>
  <si>
    <t>…enemigas, compuestas de cuatro batallones franceses con joo ca cuyo acto concluido se retirarán á sus cuarteles. mLegiisa. ballos y dos batallones de afrancesados. La brigada del coronel Arana fue cargada por todas las fuerzas enemigas, y á pesar de ANUNCIOS. Ja crecidísima superioridad de estas, nuestras tropas se batieron En 3 de Julio de 1822 se remitieron á D. Pedro Gil, de con el mayor entusiasmo y bizarría, retirándose con un orden Barcelona,…</t>
  </si>
  <si>
    <t>Arana, Juan</t>
  </si>
  <si>
    <t>Juan Arana</t>
  </si>
  <si>
    <t>Gaceta Española n.º 155</t>
  </si>
  <si>
    <t>…los pueblos y de servir de instrumesitos á sus no interrumpidas crueldades: noto en su ex Jauja 8 de Juio de 1821. presiva fisonomía que todos ansian por la paz y por el orden; El capitán D. Juan Arana, comandante de Pisco y sus va pero que ell^s estaban intimamente convencidos que m una nilles, y de las partidas de aquel distrito, sorprenda) en la noche otro son compatibles con la existencia de ¡j. Martin y sus masdel 11 del último Jimio en Chincha á un pi…</t>
  </si>
  <si>
    <t>Arana, Sebastian</t>
  </si>
  <si>
    <t>Sebastian Arana</t>
  </si>
  <si>
    <t>…s sus eslabones? D. Antonio Oro , que por indisposición del coronel de Jáuregui le su Las calumnias mas atroces, las imposturas mas evidente» , los insultes, cedió en el mando. El coronel D. Sebastian Arana se aproximó á San las pérfidas maquinaciones, y basta la guerra civil introducida y fo ta Cruz de Campezu para impedir i; reunión de las gavillas dispersa mentada por tos medios mas indecorosos y ratero» , ha sido ia recom das el dia 15 , según noticié d V. E…</t>
  </si>
  <si>
    <t>Aranalde, Josef Manuel</t>
  </si>
  <si>
    <t>Josef Manuel Aranalde</t>
  </si>
  <si>
    <t>Gaceta Española n.º 131</t>
  </si>
  <si>
    <t>484</t>
  </si>
  <si>
    <t>…i debe entregar los vales re D. Joaquin de Irazabal, D. Francisco de la Carrera , D. Ramón novados y documentos de liquidaciones hechas á los individuos Viton, D. Francisco Colon, D. Josef Manuel Aranalde, Don que se presentan, á recogerlos con los resguardos correspondientes, Miguel Mayora y D. Tomas de Urrutia, .para que compongan aunque pertenezcan á sugetos que se hallan en pueblos ocupados interinamente la junta directiva del Crédito público, que estable…</t>
  </si>
  <si>
    <t>Arango, Andrés</t>
  </si>
  <si>
    <t>Andrés Arango</t>
  </si>
  <si>
    <t>…N. A. de ción á Valencia. . Madrid , y al capitán D; Vicente Valcarcel; y empicados á sus Por otro parte del gefe político de Alicante del 18 del cor inmediatas órdenes al córónel D. Andrés Arango; at subte riente resulta que Valencia seguia defendiéndose con heroísmo; niente D. Josef de Záyas ; á!D. Antonio Masoni, teniente de que la división de Martin , que habia sufrido un pequeño des la M. N. A. de Toledo, y á D. Francisco Bringas, teniente de cala…</t>
  </si>
  <si>
    <t>Arango, Antonio García</t>
  </si>
  <si>
    <t>Antonio García Arango</t>
  </si>
  <si>
    <t>…$. Pelayo D. Manuel Coelio. Ex-monge Don 1823.—Antonio Ayarza. Tomas Mariño. Presbíteros : D- Justo Quirós, D. B nito Gobierno político de la provincia de Oviedo. Alonso Ablanedo, D. Antonio García Arango. Abogado Don Sección de gobierno político—Después de estar esta ciudad Josef Ramón de la Peña. Escribano D. Francisco AUarez. en bastante agitación con motivo de la entrada del traidor sil Procurador eclesiástico D. Josef María Fernandez, D. Nicolás veira en…</t>
  </si>
  <si>
    <t>Arango, Antonio González</t>
  </si>
  <si>
    <t>Antonio González Arango</t>
  </si>
  <si>
    <t>…e de la casa de moneda de Sta. Fe D. Jcsef EnriA la cormston de Gobierno interior se mandó pasar una so— quez de Guzman la d:spensa de pruebas para condecorarse cor. la lic:tud de D. Antonio González Arango, dependiente de las cruz de la orden de Cários 111. Cortes, para que se Je permitiese volver al ejército á servir con su empleo, y corriéndole los ascensos que tuviere en su destino. Sabe mos que la importante plaza de Tarifa se halla ya con la La comisión de…</t>
  </si>
  <si>
    <t>Arango, Joaquín</t>
  </si>
  <si>
    <t>Joaquín Arango</t>
  </si>
  <si>
    <t>…ción una columna tan sangrienta -cómo destructora, realismo de los Tenientes Coroneles D. Juan de Medina y di corrieron los buenos patriotas, guiados por otros, y auxiliados funto D. Joaquín Arango, Comandante de armas, no lo hu por su primer Alcalde, por plazas v calles en número considera bieran impedido: ha visto luego encarcelados , conducidos á pre ble, manifestando su regocijo, prorumpiendo en. vivas y aclama sidio, expatriados muchos de sus honra…</t>
  </si>
  <si>
    <t>Arango, Manuel</t>
  </si>
  <si>
    <t>Manuel Arango</t>
  </si>
  <si>
    <t>…o el ardimiento belicoso del partido, momento de esta una pequeña columna al mando del acreditado pa j y de tibe'1'» comprometido á los ojos de la Francia y á los de la Eu- triota D. Manuel Arango, que tan relevantes pruebas nos tiene dadas ' ropa; se le echará en cata su adhesión formal á Ips principios y al espi durante esta funestísima guetta de su inteligencia y bizarría. rita ¡ir conservación de la santa alianza, y que desmiente en la practica Ide…</t>
  </si>
  <si>
    <t>Araoz, Bernabé</t>
  </si>
  <si>
    <t>Bernabé Araoz</t>
  </si>
  <si>
    <t>…. ^ ..si;7 .j^c nue huyendo de sus crímenes , cieen con A las 10 de la noche__ Doroteo .tiuuar. = Señor gobernauor eníXr quTse ocultan del juicio público por el asilo á que se han intendente D. Bernabé Araoz. "“inmoderación se ofende , se resiente la justicia , y I* huma NOTICIAS DE LA PENINSULA. nidad clama al ver que la desmoral.zac.on ha llegado a tal grado, Cádiz 2 1 de Afostc. que los hombres perdiendo el pudor natural, se presentan al La experiencia ha prob…</t>
  </si>
  <si>
    <t>Araoz, Diego</t>
  </si>
  <si>
    <t>Diego Araoz</t>
  </si>
  <si>
    <t>…rresponda por su población, según la divi En Tucuman, oprimidos por Abrhaan y el francés Widt, se le sión interina del territorio español de 27 de Enero, de! año préx roo vantaron D. Diego Araoz y D. Javier López , los que en el día se dis asado, rebajando cuatro almas por cada inscrito en la lista de born putan el Gobierno. Pero sus moradores claman por la protección de las íes de mar que tienen las provincias marítimas , en ¡a forma siguieatas armas del Rey , como ú…</t>
  </si>
  <si>
    <t>…del Gobierno dd D Josef Helguero , datado el 2 2 del corriente con traslado Tucuman hará una explosión que será sensible, como lo son los de otro comunicado al misino Helguero por D. Diego Araoz objetos de la venganza provocada. desde la ciudad de Catamarca con fecha 15, y entre otras cosas Si el ladrón no encontrara receptador que lo ocultase con ¡o no menos graves le ordena al dicho Helguero lo que sigue: .»Me robado , para lucrar y comer ambos de…</t>
  </si>
  <si>
    <t>Araría</t>
  </si>
  <si>
    <t>…s que y en O-Daly persiguen vivamente al enemigo en la dirección de lllueca , Brea las casas se cogieron 9 prisioneros : sil pendida corsbte crt to muettos vic V el Alnnmia , y el coronel Araría me deeia anoche que tenia esperanza tos , y pasarán de 100 heridos , seg-.m not.r-as, pues solo en Calig entraron de completar su destrucción , ayudado por la división de O-Daly—El 53. La nuestra solo ha sido de dos valientes nt.bc.anos y un pitrtou he brigad…</t>
  </si>
  <si>
    <t>Araujo, Josef</t>
  </si>
  <si>
    <t>Josef Araujo</t>
  </si>
  <si>
    <t>Gaceta Española n.º 51 (extraordinaria)</t>
  </si>
  <si>
    <t>…o os preservara del terrible cfistigo que una este punto y en los citados encuentros consiste en haber sido muer Nación heroica y hollada vn el pr.mtíc» de sus derechos os pre tos D. Josef Araujo , alférez del regimiento caballería de España, para á vosotros y á vuestros injustos y d.cdealcs protectores. Y g." delinea, tres soldados del mismo cuerpo y otro del de Bor- vosotros, patriotas , inflamaos de un nuevo valor , porque la Pro bon: heridos grave…</t>
  </si>
  <si>
    <t>Araujo, Lucas de Mata</t>
  </si>
  <si>
    <t>Lucas de Mata Araujo</t>
  </si>
  <si>
    <t>…dad ofrecen todos unánimes perder la últi Ortega Romanillos, D. Manuel M-rino, D. Domingo Fernand a An ma pota de sangre en defensa de la legítima y justa causa-, esperando gulo y D. Lucas de Mata Araujo. Declararon por unanimidad haber que V. S. 1. nes avise de lo que ocurra para nuestro consuelo, pues lugar á ¡a formación de causa. manteniéndonos como Dios sabe, confiamos en el auxilio que nos ven ga de tropas, pertrechos y dinero. Dios guarde á V. S. I. mu…</t>
  </si>
  <si>
    <t>Araujo, Luis de Mata</t>
  </si>
  <si>
    <t>Luis de Mata Araujo</t>
  </si>
  <si>
    <t>…r D. Antonio Puigblanch, D. Juan Antonio Luquc, D. Domingo Fer ventajas sobre esta canalla; que es mucho el número de partidas que ha pa nandez Angulo, D. Joaquín Huerta Cevallos, D. Luis de Mata Araujo, sado , pero en pequeñas, que seguramente no asciende su número á 60 hom Conde de Floridablanca, D. Isidoro de Hoyos, D. Manuel Gallegos y bres , excepto la que fue sorprendida en Pozohondon, según á V. E. le D. Josef Castel. tengo dado parte. Dios &amp;c. Calamo…</t>
  </si>
  <si>
    <t>Gaceta de Madrid n.º 83</t>
  </si>
  <si>
    <t>…uesto de los Sres. siguientes: arreglo i lo que tienen las Corte» acordado les dé colocación en el D. Jossf Caite 1, D. Zoilo Gómez Casero, D. Joaquín Huerta Ceegército. _ rallos, D. Luis de Mata Araujo , D. Saturnino Lozano, D. Juan An Se mandó pasar i la comisión de Guerra una propuesta remitida por tonio López, D, Joaquín de la Vega y Quintana, D. Juan Isidoro •1 Sr. secretario de este ramo, para que las Cortes acuerden lo conve Perez, D. Vicente Segurado…</t>
  </si>
  <si>
    <t>…eneral dei Rey, en concepto dé subversivo en primer grado. tos veinte y tres. = A D. Francisco Fernandez Gaseo. En su vista se reunió el jurado, compuesto de los Sres. siguientes: D. Luis de Mata Araujo, D- Juan. Antonio Marco, D- Andrea Moya Luzuriaga, D- Saturnino Lozano, D. Josef Castel, D. Andrés (4) Los español» lo conocen ; y extrañan que el Sr. Chateaubriand Alcon, D. Domingo Vrllítnil’, D. Fiancisco López Olavarrieta y se meta en lo que no le toca, c…</t>
  </si>
  <si>
    <t>Araujo, Luis de Mata y</t>
  </si>
  <si>
    <t>Luis de Mata y Araujo</t>
  </si>
  <si>
    <t>…tas para continuar sus donativos en favor de la libertad é D. Josef Valla y Roca. D Ramón Queraltó. independencia de la Nacioa. D. Joaquín déla Vega y Quintana. D. Cayetano Rubio. D. Luis de Mata y Araujo. D. Bei nardo Asen jo. _ Debiendo empezarse desde luego las operaciones preliminares par.» D. Gregorio Mendivil. D. Josef Francisco Muiguiru. ci pago del dividendo de 30 rs. por acción en metílico por ios años, de 1821 y 11 acordado es^la junta general de acc…</t>
  </si>
  <si>
    <t>Arbilla</t>
  </si>
  <si>
    <t>…o público de Vito los puntos que llevo inJ.cados vi V. E., dispongo que aquella fuerza al ria por Doña Concepción Echanovc una certificación expedida á favor de mando dei teniente coronel Arbilla marche desde esto punto hacia Santa su esposo D. Manue-1 por el contador de- data y guerra de la tesorería gene Cruz en seguimiento de aquellos restos por el rumbo que sena puedan ral procedente de réditos de acciones del empréstito de ido millones , can llev…</t>
  </si>
  <si>
    <t>Arbizu, Manuel Josef de</t>
  </si>
  <si>
    <t>Manuel Josef de Arbizu</t>
  </si>
  <si>
    <t>…M. del derecho de castigar á los que hayan delinquido. mariscal de campo D. Antonio Benavides; para la de togado á Tales son la situación y sentimientos de la vilia del Carpió , á D. Manuel Josef de Arbizu, y para la da secretario á D. Pedro cuyo nombre el ayuntamiento del año de 18:0, que se halla £ Díaz ¿a Ribera, quedando sujetos á purificarse los que ya no lo su cabeza, felicita i V. A. S. por su instalaci n, y ruega ai To ésten. Tendreislo entendido, y lo…</t>
  </si>
  <si>
    <t>Arca</t>
  </si>
  <si>
    <t>…da patriotismo. nuestras tropas , y e’ogia particularmente al capitán Musías, del » Apenas en la capital de esta provincia se dió el infausto tercer batal.on del 32.0 de línea; al teniente Arca! ,dei 60.°; al grito de constitución, las autor,újd s envidas en e’la comisio cabo L clrr, de la cuarta compañía del primer batallón del 6a.°; naron al subteniente de Cantabria D. Francisco Labora para al cabo Chanoz de cazadores del 32.0, y al cazador Delaha…</t>
  </si>
  <si>
    <t>Arce, Antonio</t>
  </si>
  <si>
    <t>Antonio Arce</t>
  </si>
  <si>
    <t>…r el cual anhelan'los españoles, que doctrinados por ría, no titubeó un momento el comandante de voluntarios una triste experiencia miran con horror cualquiera otra nove Realistas D. Antonio Arce en salir á su encuentro, enyol vién- dad política, el entusiasmo que han manifestado ya de un mo dola'hasta hacerla rendir én número de 25 prisioneros, y cojer do extraordinario, llegará ¿inducía á todó'el extremo de slV" una carga de fusiles , otra de cartuc…</t>
  </si>
  <si>
    <t>Archias</t>
  </si>
  <si>
    <t>Gaceta de Madrid n.º 373 (extraordinaria)</t>
  </si>
  <si>
    <t>…s entre muertos y heri dos, ademas de algunos prisioneros que hemos cogido. De nuestra parte hemos tenido dos muertos del regimiento 33.° y ocho heridos del 2 i.°, er.tre estos el teniente Archias. Este suceso hace el mayor honor á las compañías de los regimientos 21.0 y 35.0, quienes á pesar del vivísimo fuego de la aitillería enemiga, combatieron muchas horas casi con triples fuerzas, y les obligaron á retirarse precipitadamente. Se distinguieron en…</t>
  </si>
  <si>
    <t>Arcíidles</t>
  </si>
  <si>
    <t>…o* sostener su libertad. sobre bases justas, (aplauso repetidos.") El Sr. Ferrer (D. Joaquín'?: Parecerá imposible que en el siglo en Habiendo manifestado el Sr. presidente que el Sr. Arcíidles tenia qu: nos hallamos pongan en duda esas notas al hombre racional de si la palabra, prorumpió el público espectador en aplausos y vivas á la nos hallamos en el siglo 8." ó en la época á que me refiero. Eu ellas Constitución , á la libertad y al Congreso. se…</t>
  </si>
  <si>
    <t>Arcllano, Ramírez</t>
  </si>
  <si>
    <t>Ramírez Arcllano</t>
  </si>
  <si>
    <t>…y Oliva por 78 votos, habiendo tenido planes que seguían nuestras partidas en la guerra de la independencia.” a el Sr. Marchámalo y 2 el Sr. Sotos. En io.° lugar quedó elegido ei Sr. Ramírez Arcllano por 79 vo El Rey se ha icrvido admitir la oferta que ha hecho D. Antonio Basi tos, habiendo tenido 3 el Sr. Soria. lio García"del Arco, juez de primera instancia de Montanches en e-i UníEn nlugar el Sr. González Alonso por 93 votos, habiendo te torio de Extre…</t>
  </si>
  <si>
    <t>Arco, José Ruiz del</t>
  </si>
  <si>
    <t>José Ruiz del Arco</t>
  </si>
  <si>
    <t>…en el piso bajo de la casa lonja^ donde se admitirán Y S. M. quiere se manifieste su Real aprecio á Foja y su par por espacio de 30 dias. tida , publicando la acción en la gaceta. D. José Ruiz del Arco, alcalde primero constitucional de El mismo gefe político, con fecha de 23 de Mayo , dice al esta M. N. M. L. y M. II. ciudad. Sr. secretario del despacho de la Gobernación lo sigu.cnte: El Sr. gefe superior político con fecha 20 de Alveo anterior En ?ste mom…</t>
  </si>
  <si>
    <t>Arco, Josef ILuiz del</t>
  </si>
  <si>
    <t>Josef ILuiz del Arco</t>
  </si>
  <si>
    <t>Gaceta Española n.º 101</t>
  </si>
  <si>
    <t>…ios, y todos los mahometanos son responsables de la mandante del 4." batallón de la míLciu voluntaria de la misma, seguridad de las caravanas que van en peregrinación á la Meca. y D. Josef ILuiz del Arco, teniente coronel retirado, y alcalde La forma del gobierno es bien conocida igualmente que el constitucional de Sevilla. Para suplentes á D. Josel Vicente Du influjo que tienen algunos francos, hombres de talento , en las rada, vocal ele esta diputación prov…</t>
  </si>
  <si>
    <t>Arco, Josef Riuz del</t>
  </si>
  <si>
    <t>Josef Riuz del Arco</t>
  </si>
  <si>
    <t>…eron , uno al gefe político de esta provincia D. Sebastian Fernandez Qchoa, del ministro de Colombia, y otro del Exento. Sr. libertador Bo al alcalde constitucional de esta ciudad D. Josef Riuz del Arco, lívar: proponen que un plenipotenciario en unión de otro del Pe y á uno de los jueces de primera instancia de la misma , por el rú y otro de Colombia se reúnan con los enviados por España, y escandaloso despojo que se lia causado al hospital de Caridad , por…</t>
  </si>
  <si>
    <t>Arco, Josef Ruiz del</t>
  </si>
  <si>
    <t>Josef Ruiz del Arco</t>
  </si>
  <si>
    <t>16</t>
  </si>
  <si>
    <t>…riel López Baños.” nuestra debilidad y sumisión los animó; y al verse burlados, ha slyur.tamiinto constitucional. llando en nosotros vigor y el correspondiente orgullo nacional, - D. Josef Ruiz del Arco, alcalde primero constitucional de se ven en un compromiso, de que al parecer no pueden salir sin esta M. N. M. L. y M. H. ciudad de .Sevilla : precip tarsc en la proyectada invasión. El Sr. gefe superior político con fecha 9 del corriente dice al Al fin es m…</t>
  </si>
  <si>
    <t>68</t>
  </si>
  <si>
    <t>…de campo D. Antonio Rotten, ANUNCIOS. comandante general de la tercera división de este ejército, con fecha de ayer me da el parte siguiente. = El gobernador de Bcr- Por edicto de D. Josef Ruiz del Arco , alcalde x.° constitucio ga con fecha 8 del actual me dice lo que sigue: La continua per nal de esta M. N. M. L. y M. H. ciudad &amp;c. se hace saber lo si manencia ó guarida en Prats de Llusanés de una porción de fac guiente: Con aprobación de la Excim. diputac…</t>
  </si>
  <si>
    <t>…erechos de la Nación contra los invasores de ella. mi concepto es la llave del reino, y por los deseos de la diputa ción provincial de Valencia que se halla en él amenazada por la Don Josef Ruiz del Arco, alcalde primero constitucional de facción. Esta pequeña fuerza se encuentra nuevamente dispuesta esta M. N. M. L. y M. H. ciudad ¿cc. á operar con las tropas del coronel Bazan, que parece deben lle Por edicto de 30 de Marzo anterior previno el ayuntamien gar…</t>
  </si>
  <si>
    <t>…as reglas convenientes dad al gefe político de Sevilla D. Sebastian Fernandez Ochoa, para el reconocimisnto y vigilaheiá de las personas que nave al alcalde primero constitucional D. Josef Ruiz del Arco, y á guen ó se trasporten en ios buques que se empleen en el tráfico uno de los jueces de primera instancia por el despojo que se ha indicado.” hecho al hospital de la Caridad de esta ciudad Scc. Se acordó La misma comisión, en vista de varias exposiciones di…</t>
  </si>
  <si>
    <t>…rubricado de la Real mano. = En palacio á ó de Marzo villa á 12 de Alayo de 1823.=A D. Manuel Coríés. de 1823. =AD. Felipe BenicioNavarro. AYUNTAMIENTO CONSTITUCIONAL DE SEVILLA. Don Josef Ruiz del Arco, alcalde primero constitucional de Don Fernando vn por Ja gracia de Dios y por la Constitución esta M. N. M. L. y M. H. ciudad &amp;c. de la Monarquía Española , Rey de las Espaúas, á todos los que El Sr. gefe superior político con fecha de ayer dice al ayun las…</t>
  </si>
  <si>
    <t>…es de uno respondientes. Sevilla 9 de Mayo de 1823. y otro dominio, los cuales deberán avisarse dentro del término prescrito por ¡a ley, siempre que cualquiera de ellos enagene el D. Josef Ruiz del Arco, alcalde primero constitucional de dominio que tiene ; pero ni uno ni otro podrán nunca ceder esta M. N. M. L. y M. H. ciudad &amp;c. dicho derecho á otra persona. 8.° Lo que queda prevenido no se «Atento siempre el ayuntamiento constitucional de esta capi entien…</t>
  </si>
  <si>
    <t>Arcos, Josef</t>
  </si>
  <si>
    <t>Josef Arcos</t>
  </si>
  <si>
    <t>…rimer batallón de que se portó su tropa. En la caballería de Lusitania no son me la M. Né L. de Sevilla , .í la» órdenes del teniente coronel mayor nos acreedores á todo elogio el capitán D. Josef Arcos, el te de la Reina D. Manuel Frías. niente D. Mariano López, y los alféreces D. Francisco Vázquez, Tararla la minea activa , ja R.e¡na y* 1M. N. L. de Scvilra , y D. Tomas López y D. Lúeas Gastón, el cadete D. Josef Nieto el demás servicio el mismo. y sargent…</t>
  </si>
  <si>
    <t>Ardevol, Melchor de Guardia y</t>
  </si>
  <si>
    <t>Melchor de Guardia y Ardevol</t>
  </si>
  <si>
    <t>Gaceta de Madrid n.º 36</t>
  </si>
  <si>
    <t>…ser justos, s iite se hac:, A todas ó cualesquiera personas que se crean con derecho sin mezclarse tan oficiosamente en negocios agenos, haciéndola suf:ir á los bienes que poseyó D. Melchor de Guardia y Ardevol, natural que el peso de una benevolencia inoportuna y odiosa! Hablen los habitantes fu* de la ciudad de Barcelona, y residente en esta corte , para que al tér de aquellos desgraciados países, y cúbranse de confusión los tigres que mino de 30 días, que por pri…</t>
  </si>
  <si>
    <t>Ardi.-mo, Ramírez</t>
  </si>
  <si>
    <t>Ramírez Ardi.-mo</t>
  </si>
  <si>
    <t>…nte anun con pliegos dd Exento. Sr. D. Juan Jabat, enviado extraordi cio que se señalaría día para su discusión. nario de S. M. C. cerca de S. M. B. , pera el Gobierno español, El Sr. Ramírez Ardi.-mo tomóla palabra y dijo: Esta maña á fin de poder acordar con este ía venida á Vico ó Coruña de na se me ha entregado por un ciudadano una representación diri ioQ voluntarios ingleses vestidos y armados de su cuenta. Tam gida á las Cortes, en la cual se queja e…</t>
  </si>
  <si>
    <t>Ardison, Juan Bautista</t>
  </si>
  <si>
    <t>Juan Bautista Ardison</t>
  </si>
  <si>
    <t>…edro Grimarest; pa nos causaban tantos motines. ¡ ra el consulado general de Paris á D. Juan Lahora; y para el de He aqui pues en que pararon los que á cada nuevo insulto Lisbba á D. Juan Bautista Ardison. Igualmente se ha servido que hacían á su .Rey, le cantaban con insolencia trágala ferro. S. M. .conferir el consulado de Burdeos a D. Isidro Montenegro, Ved los que por último acto de su voluntad sufrema restituyen y el de Gibraltar á D. Juan Rivas. á su Cau…</t>
  </si>
  <si>
    <t>Ardlario, R-atfúréz</t>
  </si>
  <si>
    <t>R-atfúréz Ardlario</t>
  </si>
  <si>
    <t>…dado varias mi ya el Sr. Canga no tiene inconveniente en separar esta -pe. Le de nutas de decretos. su dictamen. La comisión de ¡Diputaciones provinciales en vista de la expo • El Sr. R-atfúréz Ardlario ; Estoy cdnforme don la comisión sicion del ayuntamiento de Brillas, provincia de Logroño , en so- en que el juez de primera instancia de que se trata no ha debido lic'Uid de que las Cotes le concediesen Ja gracia ele levantar un ser declarado prófugo ; ..per…</t>
  </si>
  <si>
    <t>Area, Lorenzo</t>
  </si>
  <si>
    <t>Lorenzo Area</t>
  </si>
  <si>
    <t>…Cervera se halla la columna volante de Lérida, La comisión de Legislación presento su dictamen sobre la so y que ninguna parte de aquel país está profanada por los la— licitud de D. Lorenzo Area , pidiendo no le pare perjuicio en la náticos. liquidación de un crédito contra el Estado, perteneciente de un No seria extraño que los enemigos hiciesen movimiento por mayorazgo que ha heredado , por no haber temado aun posesión haber licuado aver noche el m…</t>
  </si>
  <si>
    <t>Areces, Juan</t>
  </si>
  <si>
    <t>Juan Areces</t>
  </si>
  <si>
    <t>…la entrada del traidor sil Procurador eclesiástico D. Josef María Fernandez, D. Nicolás veira en León, que obligó á las autoridades y particulares a to Faujul, D. Bernardo Alonso, D. Juan Areces. Sargento se mar medidas de precaución, recibí un oficio del gele político cundo Juan Amil. De artillería Francisco Suarez. de aquella provincia, participándome su salida, perseguido por __ Estado del reemplazo extraordinario decretado por las Cor el genere!…</t>
  </si>
  <si>
    <t>Aréiula, Juan Manuel</t>
  </si>
  <si>
    <t>Juan Manuel Aréiula</t>
  </si>
  <si>
    <t>…o, no encon ticia , remitiendo un papel comprensivo de los pareceres de Us profe traba mas que'tomar dinero de la Nación, la cua* á la verdad no lo te sores de la ciencia de curar D. Juan Manuel Aréiula, D. Eugen.o Arnia , para invertirlo en s¡ misma. Que las intenciones de: prcop íiantv se ri-.ta, D. Antonio Hernández Morejou , D. V.crnte Sanano: y el de rian sin duda magnánimas; pero que de ningún modo podía adrn vne l«s tres profesores de cámara D. Hilari…</t>
  </si>
  <si>
    <t>Aréjuia, Juan Manuel</t>
  </si>
  <si>
    <t>Juan Manuel Aréjuia</t>
  </si>
  <si>
    <t>…í no querrá ja preguntarles si creían que «1 ejercicio en ruedas podría ser á $. M. mas comprometer á su persona ni á su Real f-m.lia, ni tampoco per nocivo; y los dos profesores D. Juan Manuel Aréjuia y D. Eugenio der los dar-cha» de: trono que posee; no porque jamas l'a't.ó mus no Arriera se decidieron por la negativa, estando por la afirmativa los sotros i nuestros prínc’pios : los derechos qu: riese i. M ahora son cinco tests::», dos de los cuales son simples profes…</t>
  </si>
  <si>
    <t>Aréjula, Juan Manuel de</t>
  </si>
  <si>
    <t>Juan Manuel de Aréjula</t>
  </si>
  <si>
    <t>…h la escuadra al mando de Owen, destinada á re En su vista se reunió el jurado, compuesto de los Sres. siguienPs: forzar ia de Rotvley ea Ja Jamaica. D. Antonio Sandalio de Arias, D. Juan Manuel de Aréjula , D. Fe _E1 Monitor del 31 publica ya el decreto de la convocatoria de las lipe López Valdenioros, D. Gonzalo Cárdenas, D. Manuel Esteban Cámaras para el 18 de Enero. Gatalá , D. Nicolás Cano Luque, D. Zoilo Gom:z Cisero , D. Joscf __La libertad nunca ha sido…</t>
  </si>
  <si>
    <t>…e i una, se anuncia 3l público par3 que los maes- se reunió el jurad o, compuesto de los señores siguientes: tros hoja’ateros que quieran emprender esta cortstruccion presentan en Don Juan Manuel de Aréjula , D. Josef Demetrio Rodríguez, el preciso término de ocho dias, contados desde la publicación de este D. Higinio Antonio Lorenie , el conde de Floridablanca, D. Juan anur.c’o, sus proposiciones en la misma factoría, en donde por cl gcfe Antonio Marco, Di'Satu…</t>
  </si>
  <si>
    <t>Gaceta de Madrid n.º 57</t>
  </si>
  <si>
    <t>…recias de las 12 de Octubre de 1820 , se reunió el jurado compuesto de los Sres. si provincias, con nota do los frutos que hayan recibido de cada pue guientes: D. Cayetano Romero, D. Juan Manuel de Aréjula, Don blo. Y estos presentarán á los referidos directores los recibos de los Andrés Alcon, D. Miguel Hipa , D. Casimiro Martin , D. Lorenzo encardados, para que comprobándolos con los testimonios, justificación Calvo de Hozas, D. Celestino de Olozaga , D. Anto…</t>
  </si>
  <si>
    <t>…17.0 el Sr. González Aguirre por 79 votos, habiendo tenido uno Casero , D. Juan Paz , D. Antonio Diaz del Moral, D. Francisco Cocada uno de los Sres. Valdés, Bustos y Cano. Jombo, D. Juan Manuel de Aréjula, D. Casimiro Martin, D. Joaquín En la r8d votación quedó electo el Sr. Romero por 85 votos, ha Manrique y Manrique. biendo tenido uno el Sr. Isturiz. Habida la conferencia, se declaró por unanimidad haber lugar i la En la 19.* votación fue electo ei Sr. Serra…</t>
  </si>
  <si>
    <t>Arel</t>
  </si>
  <si>
    <t>…muy fácil poner en su lugar un sus para que con otros arbitrios pueda establecer cátedras públicas, tituto. era de opinión que pasase á la comisión de Instrucción pública D ice el Sr. Arel lañó que la ley les da á los jueces y magis para que dé su informe. Aprobado. trados el carácter de perpetuidad en sus destinos, no pud.cndo se La misma comisión &gt; habiendo examinado una e'xposicion del pararse á estos sino por causa legal mente probada y scn…</t>
  </si>
  <si>
    <t>Arel, Blas de</t>
  </si>
  <si>
    <t>Blas de Arel</t>
  </si>
  <si>
    <t>Gaceta Española n.º 130</t>
  </si>
  <si>
    <t>…on sumamen muchos años. Villaniieva fie la Fuente 16 de Jumo de 1823. — te mezquinos , y ea que sus resultados no pueden contrabalancear Francisco Chaleco,=Viva la Constitución. = Sr. D. Blas de Arel descontento que excitan , y las hablillas á que dan lugar. ¿ A gueta.” qué ocupaciones quieren que se dedique una sociedad de agricul Respuesta tura si un prefecto Ja puede establecer ó disolver á su arbitrio, Gobierno político y militar de Infantes. por muy…</t>
  </si>
  <si>
    <t>Areliano</t>
  </si>
  <si>
    <t>…i.° Ei Gobierno, los generales en eefe y coman y á haber sido aprobado el artículo r.° del expresado proyecto: del dante» generales de distrito deo;arado e-n e»tido de .ucrra, en Sr. Areliano contra la aprobación del artículo y? del proyecto los insinoi t/rminos que se expresan en el artícuiu anterior, sobre libertad de imprenta. pueden doponer que sea deten.da toda persona de qu.cn teman A la comisión primera de Hacienda se mandó pasar la si fund…</t>
  </si>
  <si>
    <t>Arellano, Juan Antonio Giménez Perez de</t>
  </si>
  <si>
    <t>Juan Antonio Giménez Perez de Arellano</t>
  </si>
  <si>
    <t>…. Manuel), á las que cou'-stó el Sr. Surrá. La comisión de Visita del Crédito público, en vista de la ex Se declaró haber lugar á votar sobre su totalidad , y quedaron posición de D. Juan Antonio Giménez Perez de Arellano, opi aprobados los tres artículos que coníenia. naba se podia acceder á su solicitud. Aprobado. Se mando pasar á ¡a comisión priméis de Legislación una ex La comisión de Instrucción publica presentó los siguientes posición del gefe político de lluelva D. Laur…</t>
  </si>
  <si>
    <t>Arellano, Ramírez</t>
  </si>
  <si>
    <t>Ramírez Arellano</t>
  </si>
  <si>
    <t>Gaceta de Madrid n.º 142</t>
  </si>
  <si>
    <t>…de fusiles, de que se hablaba en una proposición blo de su vecindad. A los que habitan en casá» de su propiedad se les graduará por los ayuntamientos segunjlás demás de igual del Sr. Ramírez Arellano. Aprobado. clase. De cualquiera arriendo que se aparente -jnenor se exigirá Se levantó la sesión. la multa de una anualidad al inquilino y otra igual al dueño, Sesión extraordinaria del 7. de cuyo importe dispondrán los ayuntamientos y diputaciones Quedó apro…</t>
  </si>
  <si>
    <t>Arenal, Angel</t>
  </si>
  <si>
    <t>Angel Arenal</t>
  </si>
  <si>
    <t>…m núm. 11 , del 2.0 batallón núm. 14 , y del gadier D. Ramón Losada , D. Antonio Loriga, X». Juan de de cazadores núm. 8__ 3.a de la brigada de caballería, compuesta Dios Alguer ; D. Angel Arenal auxiliar. de dos escuadrones dei núm. 3 , de otros dos del 11, uno del 8 Cuerpos de que se compone-----Primer batallón de Burgos, y uno del 10. Ademas se unirá á estas uta brigada de artillería segundo batallón de voluntarios de Aragón , Milicia nacional ac d…</t>
  </si>
  <si>
    <t>Arenales</t>
  </si>
  <si>
    <t>…forzarse á los patriotas. Lima. Aunque se han dado ya al público noticias de los su Después de esto es un deber que nos impone la justicia tribu cesos de Lima y el manifiesto del general Arenales, creemos que tar nuestros respetos á la virtud dei general Arenales y á ios que le interesa saber no pocas circunstancias que realmente han acom le imitaron. Lo sublime del amor al orden es ese horror con que pañado á estos acontecimientos. Por fortuna tenemo…</t>
  </si>
  <si>
    <t>…ronto envió de tropas en auxilio Gómez Villaboa por la de León: D. Fermín Alvurcz Enlate del Perú iScc.” por i a de Navarra: D- Josef Cano y D. Leandro Ladrón de Se asegura qne el general Arenales llegó el i.° del corriente Guevara por la de Avila: D. Manuel Pío de Arias por la de al puerto de Valparaíso. Viene con poderes del Gobierno de Li Cuenca: D. Joaquín Fuentes del Rife por la de Sevilla: D. Fé ma para pedir auxilios al de Chile. lix María Manso…</t>
  </si>
  <si>
    <t>Argiiclles</t>
  </si>
  <si>
    <t>…un punto fijo en caso ne—' insisto en que se adopte ia proposición en los términos que'ha indicado el &gt; cesario; y es preciso no desperdiciar ni ios indicios que se nos presentan, Sr. Argiiclles. ni los momentos. Se declaró el punto suficientemente discurrido , y quedó aprobada por El Se. secretario de Estado ha dicho que no han variado las circunstan unanimidad la proposición del Sr. Canga , refundida por el Sr. Arguelles cias, desde entonces acá; a…</t>
  </si>
  <si>
    <t>…orrarla él y todos los eclesiásticos el dis sión Especial nombrada á consecuencia de las proposiciones del gusto de oir quejas contra las autoridades eclesiásticas. Sr. Aionso. Ei Sr. Argiiclles, después de manifestar que en su opimon era Se procedió á la discusión del dictamen de la comisión de inútil este artículo una vez aprobado el anterior, y el que se Legislación sobre quién debe suceder en la propiedad de los bie señalasen el número de cálices…</t>
  </si>
  <si>
    <t>do que el cuarto grado de parentesco se ajuste al cuarto grado Tomas Yarto , y los adictos D. Joaquín Fernandez y D. Caye canónico. tano Atinas. Ei Sr. Argiiclles: Es difícil manifestar tanta habilidad como Primer batallón de infantería de América. Segundo idem del la que ha manifestado el Sr. preopinante para impugnar la base mismo cuerpo. Segundo batallón dd regimiento infantería de ia de¡ provecto; y yo no me extend…</t>
  </si>
  <si>
    <t>Argiie-, Canga</t>
  </si>
  <si>
    <t>Canga Argiie-</t>
  </si>
  <si>
    <t>…A- R- P¿r dti ¿or-La señora Vigo, muger del gobernador de la Coruíía, que reo que salió de Granada ¿1 1." de1 A^ósfO: ,:Ta‘ rdaciaV'áé ¡¡lis acaba de llegar á Londres, es-hija del diputado Canga Argiie- operaciones ejecutada* desde‘la toma de.iioM'» iles; solo tiene 18 años,-y de casada dos meses. También se Ei general Vincédt ,‘áyqüien liábñ'a íf¿jadó: én Murcíá' con ■guarda en el navio Margotitr 4 la múger de Quiroga. una brigada de infahteiía y Otra dé ¿f…</t>
  </si>
  <si>
    <t>Argiielies</t>
  </si>
  <si>
    <t>…; qué no- p- ."sent&gt; ciiv .t on como po.it.co y 110 c 'iii" do. mat./ador , y api ove- r.m ? miseiia v degi.id.ic on , v n.» v&gt;lo decir,dación , s'ro ir.svcá— chai. ¡a Id, ; del .Sr. Argiielies d. que no soy apologeU de la r:dni para pu.blo» y tronos , cueftj» civiles continuas, r.ir.Guna C i:'".titile on , s no su tlcieipo». l.reo y sostengo .pie en nuestra estabilidad, v todo c»to ; po-" vu:' porque ¡as voluntado de dos Muac 01, a, tual cualquiera…</t>
  </si>
  <si>
    <t>Argiielks</t>
  </si>
  <si>
    <t>…esta materia-, y si ellas no Señores: cuando ayer al concluirse la sesión, juntamente con bastaren (como me prometo bastarán) para despajar el patrio mi digno amigo y compañero el Sr. Argiielks, tuve la honra de tismo de la Nación; si fuese tal el desaliento que el pueblo 110 proponer á las Cortes que alargasen cuanto posible fuese los de movido por ellas tendiese el cuello al yugo de la opresión, nada bates sobre esta materia, no perdí de vista el…</t>
  </si>
  <si>
    <t>Argiielles</t>
  </si>
  <si>
    <t>…s 'diocesa concluyó dicitndo que no podía otorgar con su voto recurso al nos despachasen las dispensas nutrimoniales. guno al Gobierno sin tener los datos necesarios para ello. El Sr. Argiielles preguntó i los Síes, secretarios del Despa El Sr, secretario de ia Gobernación de la Península dijo: cho si estaban en disposición de manifestar si había habido pro Los individuos que actualmente desempeñan los ministerios de posiciones por parle del Gobierno…</t>
  </si>
  <si>
    <t>…án á disposición de la Nación, y para lo Canga se declaró el punto suficientemente discutido; y habien que se formarán reglamentos que eviten el entorpecimiento de do propuesto el Sr. Argiielles se añadiese ,, que la traslación de estas concesiones. aquellos restos se entendiera en calidad de depósito, convino el 9. a Las autoridades políticas y eclesiásticas procurarán im Sr. Canga y se aprobó la proposición con la adición referida. pedir bajo su re…</t>
  </si>
  <si>
    <t>…to yo creo que debe aprobarse cL que se refiere el que se discute (lo leyó). Este art. 6.°, asi como artículo. los demas que se citan en el que discutimos , es preciso advertir El Sr. Argiielles: La dificultad presentada por el Sr. Caste— que hablan de determinados casos, y no tienen la generalidad que jon es indispensable removerla si se quiere que se vote ti artí S. S. ha creído. culo. La aplicación de frutos de que habia d art. ó 0 del de Se habla…</t>
  </si>
  <si>
    <t>…a lugar á la formación de causa y con esto en otrej número con la mayor exactitud. ha creído satisfacer á las Cortes el justo enojo de que se hallaban Luego que hubo finalizado el Sr. Argiielles su discurso, sus poseídas. Aunque yo creo que 110 obsta esta declaración á las pro pendió el Sr. presidente :1a discusión de este asunto, y levantó la videncias que el Gobierno haya tomado en este asunto, la co sesión. misión se conviene en añadir que se enti…</t>
  </si>
  <si>
    <t>…él puedan equivocarse cuatro secretarios del Despacho que 140 di Se declaró el punto suficientemente discutido, y haber lugar putados. á votar sobre la totalidad del proyecto. El Sr. Argiielles: El mejor modo de satisfacer la duda del Leído el artículo i.° que dice asi : Sr. preopinante es que la comisión franca y paladinamente ex Art. i.° El Gobierno á propuesta en que convengan á lo ponga el resultado de una de las conferencias que ha tenido con m…</t>
  </si>
  <si>
    <t>Argíielles</t>
  </si>
  <si>
    <t>…ues será cómplice conmigo, y esto me basta para contes ejviee tiene nada que ver con su honor personal’ tar á su señoría. Aquí solamente examinamos la conducta del conde de Car El Sr. Argíielles: Ei asunto es desagradable á la verdad : pe tagena tomo general de un ejército constitucional, y yo seria ro no puedo menos de decir que en los cuerpos legislativos no ae un delincuente en confundir mi honor personal con la augusta conoce otro modo de resolve…</t>
  </si>
  <si>
    <t>…ética de la poca dante, como inútil y como perjudicial. estabilidad de los Gobiernos de America ; pero ¡ ha olvidado el El Gobierno ha manifestado que se ignora el resultado de la Sr. Argiielles que en medio de esas vicisitudes v de esos tras misión que llevaron los comisionados que se enviaron á Améri tornos de Gobiernos que afligen á la América no se ha visto uno ca, y por lo mismo no creo yo que las Cortes se resuelvan á de ellos que haya hecho pr…</t>
  </si>
  <si>
    <t>Argiielles, Canga</t>
  </si>
  <si>
    <t>Canga Argiielles</t>
  </si>
  <si>
    <t>…ar sobre abono de años de servicio, y opinaba debia acceuna tercera pane mas del número que cu los mismos se designa, derse á esta solicitud. Aprobado. Se leyó una proposición del Sr. Canga Argiielles, reducida á para que supian por su orden á los que no asistan por ausencia, que las Cortes encarguen muy estrechamente al Gobierno pro indisposición ó falta de voluntad. Quedo aprobado añadiendo al final ” sin perjuicio de lo pre cure facilitar á ios empleado…</t>
  </si>
  <si>
    <t>Argiiel’et</t>
  </si>
  <si>
    <t>…La palabra vanos nas particulares que creen son de fe: por estas Tazones siempre me tenores diputados. opondré á que se susciten discusiones de esta especie-, ya s.-a sobre ¡as El Sr. Argiiel’et: Siento mucho tener que impugnar el voto de un doctrinas que se siguieron en Port-Ruyal , ya s &gt;bre las que profesa la sefior diputado, cuyos conocimientos y virtudes aprecio sobremimra, congregación de Prapag.inla Ji.te. Repito, señor, que e, Gobierno aun cu…</t>
  </si>
  <si>
    <t>Argilellei</t>
  </si>
  <si>
    <t>….tino'cott el sueldo de 6 i 83 rs. rla la discusión de las ordenanzas militares; y levantó la sesión á las anuales, y una pensión de 400 ducado* también anuales. tres y cuarto. El Sr. Argilellei dijo que las Cortes no debian mezclarse en reco mendar al Gobierno 4 ninguna persona, ni menos proponer que se die f’rimtr distrito. (Madrid.) Sin novedad. ran destinos 4. personas determinadas; porque en el primer caso las Cor — Hemos recibido periódicos de…</t>
  </si>
  <si>
    <t>ArgiteU-s</t>
  </si>
  <si>
    <t>…a d.nds-ixia : y ia iilxn.id tu tuiiipji cía ¡nscpur.ibic , o como J ¡o esa apariencia de ntvo-.iac onc* que a tantos deslumbra , vemos t'.,r ii'.’i tumo aceito mi d.gr.o amigo el Sr. ArgiteU-s, una que c¡ ministerio frunces siempre ha llevado la guerra por obje c-.n ella misma, emps.ro a ser de.iada c* invocada por lo. pue to. Los sucesos dd r de Julio movieron i algunos diputados en ble». Entonces se formo esa liga d'^nutia generalmente convo la (…</t>
  </si>
  <si>
    <t>Argos, D- Ramón de</t>
  </si>
  <si>
    <t>D- Ramón de Argos</t>
  </si>
  <si>
    <t>…los antiguos de estar un en Zimbrelo, la reclamación liecha de ellos en el juzgado de prinsera iosguerra abierta el uno con el otro , que raro era el día que no hubiese tancia del Sr. D- Ramón de Argos y escribanía cárlularia de D. Val* muertes 6 heridas:.ni las autoridades políticas , ni las militares pudie domero Moraleda por D. Tontas de Velasco, como heredero de DoK* ron nunca evitarlas: ,tos archivos de las secretarías del Despacho son María Matea Ruiz…</t>
  </si>
  <si>
    <t>Argos, Ramón de</t>
  </si>
  <si>
    <t>Ramón de Argos</t>
  </si>
  <si>
    <t>…D. Francisco Javier Perez de Címbrelo, la reclamación hecha la disciplina y subordinación llevadas hasta el extremo? En todas las. de ellos en el juzgado de primera instanc.a de1 Sr. D. Ramón de Argos épocas y en todas las naciones la observancia de la subordinación y dis y escribanía cartu.aria de D. Valdomero Moraieda por D. Tomas da ciplina coinciden con la prosperidad de le; imperios, y la relajación y Velasco , como heredero de Doña María Matea Ruiz ,…</t>
  </si>
  <si>
    <t>…saron la núm. 30, y debiendo dar una declaración en autos pendientes en el ciudad , cuya carrera se hallaba colgada ; y un pueblo numeroso, rtbc - juzgado de primera instancia del Sr. D. Ramón de Argos y escribanía sando en amor patrio, la acompañó entonando himnos patrióticos con del número de D. Bernardo Díaz de Anloííana, por el presente se le vivas y aclamaciones hasta dejarla en sus cuarteles respectivos. cita, llama y emplaza para que en el término pr…</t>
  </si>
  <si>
    <t>…y Velaustcgui responsable de dicho impreso; y el se actual absoluta impot ocia Acabo de recibir del brigadier Ir.rrí' -1 parte, de que tengo el honor ñor juez de primera instancia D. Ramón de Argos mando que se le pu de incluir la adjunta copla para el dexáo rr.ximiento de S. M. Dios guar siera en libertad , y declaró que este procedimiento no debía pcrjud.caile de á V. E. muchos años. Cuartel gene de Igea 26 de Febrero de 1823.2= en su buen nombr» y op…</t>
  </si>
  <si>
    <t>…n este pueblo á mi llegada; y Josef Amonio Alcaraz Martínez, escribano de número , cumplimentadocomo el objeto de su comisión era el de solicitar la suspensión de hostilida por el Sr. D. Ramón de Argos, juez de primera instancia de esta muy des y demarcación: del terreno ó pais que deberian ocupar, Ies hice enten heroica villa, se cita , llama y emplaza á los que te consideren con dere der que no competía á dicha autoridad esta facultad, y que sin duda no s…</t>
  </si>
  <si>
    <t>…os derechos que rendiun á la casa de S. E. mas de tres mi multitud de buques; y creciendo.su. osadía á la par de su fortuna, se dedi llones de rs. anuales; y se lia mandado por el Sr. D. Ramón de Argos, caron á las grandes especulaciones de comercio con el éxito mas feliz. En -juez de primera instancia de esta heroica villa, que á la junta general que tonces se vieron salir innumerables barcos de los astilleros de Hidra, de »e ha de celebrar el dia 16 del p…</t>
  </si>
  <si>
    <t>ArgticUcs</t>
  </si>
  <si>
    <t>…la mayor actividad, y se decia que k salida del duque de An bierno V á las Cortes en un punto seguro. Asi pues me conformo con la gulema seria antes de la época señalada. idea del Sr. ArgticUcs, stfplieando ai Conercso que se suspenda la lectura —: El barón de Eróles y el general Quesada habían salida de París con di de lat memorias de los diferentes ramos tTcl Estado. rección á Cataluña. El Sr. secretario de la Gobernaron: Los actuales iccfcísrice…</t>
  </si>
  <si>
    <t>Argü.-lle</t>
  </si>
  <si>
    <t>…tenciario de aquella corte. toca r-formarlas. Los ares, secretarios del Desp*cno contestaron que no hab a otra. Apenas se comunicó de oficio i las potencias de Europa la resolu El Sr. Argü.-lle» continuó: Digan pues todos los españoles , ¿son ción de S. M. de jurar la Constitución cuando el Gabinete de S. Pe- propos clones exactas , precisas y categóricas como debieran ser , ¡as que tersburgo se dirigió 4 los demas de la Europa por medio de una circ…</t>
  </si>
  <si>
    <t>Argüciles</t>
  </si>
  <si>
    <t>…voluntarios. Y pregunto yo: ; qué se d ce contra esto. Se declaró el asunto suficientemente discutido. Que querer esto seria querer crear una guardia Real. Pero, señor,} guarda El Sr. Argüciles para votar man f.st que según una idea indicada Real de la milicia nacional voluntaria 1 Este es y será siempre un cuerpo por el br. Va;d s deb a decirse tr, el art Lulo que- lps milicianos voluntar .os dt patriotas que se prestan á hacer este servicio. Por e…</t>
  </si>
  <si>
    <t>Argue</t>
  </si>
  <si>
    <t>…la Diputación peiitian mf, para que esta dé ei nu.t en (f - !. h-r t - ■ 1 lo ht su-rte d: sollado á un dep nJi-nte d.:l cu nta , no a las Cortes extraordinarias como ha d cho ei Sr. Argue no r s.’uirj-, en la provincia de Seria sobre qué sueldo debía lles, sino cuantío lo te-i/a por conv.nient-’. Este no es un asunto que conservir , • entcb" su d clamen -ri 'os do, art-culos sigment s. las Corles extiaordinarias pueden tomar &lt;n consideración s…</t>
  </si>
  <si>
    <t>…bierno para que - El Sr. secretario del Despacho de Gracia y Justicia: Creo éste examine si la ocupación está ó no bien hecha. tanto mas necesar ia la adopción de la propuesta del Sr. Argue El Sr. González Alonso manifestó que el arfado estaba en lles, cuanto que va el Gobierno tiene not-cia de que unos pocos términos bien claros, y que la cláusula de que se trataba era real españoles, indignos de este nombre , infames traidores á su pa mente imperati…</t>
  </si>
  <si>
    <t>Argüe</t>
  </si>
  <si>
    <t>…dió á la discusión del segundo proyecto que presen ma, y lo sabe nc&gt; por meras sospechas, sino por datos positivos. taba la misma comisión especial. El extranjero que ha citado el señor Argüe!les, y que estuvo en El Sr. Isturiz: Solo las circunstancias en que nos hallamos Si villa, tuvo el Gobieruo noticia de su conducta, y no le queda pueden hacer que el Congreso acuerde medidas tan fuertes como ba duda alguna de sus maquinaciones, y sin embargo…</t>
  </si>
  <si>
    <t>Argüeiies</t>
  </si>
  <si>
    <t>…de ks Cortes que proponga un pro Un bergantín francés de 18 cañones ha encallado en la pla yecto de manifiesto. ya entre S. Pedro del Pinatar y S. Javier: su tripulación de ioi El Sr. Argüeiies: Me opongo á la proposición, porquehombres han quedado prisioneros. en materias de esta naturaleza es menester producirse con mu__Ayer se acordó que salieran i9 hombres de tropa permanen cha circunspección. jCuáles son las causas que han obligado te para Vale…</t>
  </si>
  <si>
    <t>Argüell</t>
  </si>
  <si>
    <t>…baba con la modificación cunstancias , que acaso podrá variarse en adelante. Por todas propuesta por el Sr. Marau. estas razones no creo sea incongruente el dictamen de la comi El Sr. Argüell es: La proposición que se discute la encuentro sión , y sí que debemos votarle para instruir á la Nación sobre este absolutamente inútil, porque siendo el objeto que se han pro punto, desengañando á muchos incautos de las patrañas que han puesto sus autores e…</t>
  </si>
  <si>
    <t>Arguelles</t>
  </si>
  <si>
    <t>22</t>
  </si>
  <si>
    <t>…que este es un defecto todos estamos convencidos ; pero no se caso de aprobar el dictamen de Ja comisión. subsana de otro modo que por el indicado. El código de procedimienlos El Sr. Arguelles: Esta materia es para mí ae mucho ínteres oidas es verdad que tiene un camino distinto en •.uanlo á las pruebss de los las razones que se han expuesto en pro y en centra del dictamen de la delitos ¡pero este obstáculo se puede remover diciendo las Cortes eo c…</t>
  </si>
  <si>
    <t>…no po nas del Sr. Conde da Tor-.no y D. Francisco Martina? de la Rosa; se ma haber representación nacional. acordó 4 petición del Sr. Eerrer(D. Joaquín) que fuese nominal la vo Ei Sr. Arguelles: Sí alguna divergencia puede haber en las opinio tación sobre si habia de pasar ó no á una comisión especial la exposi nes délos Sres. diputados , es sóbrelos trámites que debe seguir este ción de D. josef Moreno Guerra, y quedó aprobado qu; pasase á una asum…</t>
  </si>
  <si>
    <t>Gaceta de Madrid n.º 10</t>
  </si>
  <si>
    <t>…. presidente dijo que se encalvaba la minuta del mensage a inté-pr-te de los votos de sus comitentes, á sostener ei lustre é inde la cenzuíon dip'omUica , á ia cual se agregaba ai Sr. Arguelles. pendencia del trono constitucional de las España* , la soberanía y dere (Aplausos repetidos'). chos de 'a Nación , y la Constitución por la cual existen: y que para la El br. Arguelles: Las Cortes me dispensarán que diga que estconsecución de tan sagrados ob…</t>
  </si>
  <si>
    <t>…mos en el siglo 8." ó en la época á que me refiero. Eu ellas Constitución , á la libertad y al Congreso. se ve sustituido el dogma injusto de la obediencia pasiva ai sagiado de El Sr. Arguelles: Como individuo de la comisión deseo exponer secho de soberanía que reside esencialmente en la Nación . y que está los fundam-ntos que la han movido para someter á la deliberación de escrito , no en un miserable código sujeto á modificaciones , sino en el las…</t>
  </si>
  <si>
    <t>…Árt. 98. Hecha la entrega de los quintos y de los sustitutos que mando militar de la provincia de Madrid. 1 deban ocupar el lugar de los desechados, el diputado provincial pre El Sr. Arguelles pidió que la autorización de las Cortes fuese mas guntará i cada Uno de ellos si tiene que reclamar alguna celia ante la general, y no á una determinada persona. diputación provincial acerca de agravios que les haya hecho él ayunta El Gobierno retiró su propu…</t>
  </si>
  <si>
    <t>…a Nación. Digo esto parque esos desgraciados las han impedido el desempeñar enteramente algunas de ellas. seducidos , esas bandas de ladrones, asesinos y facinerosos se han pro El Sr. Arguelles: Creo que ya habrán quedado desvanecidas las nunciado ya como la vanguardia del egército extrangero que nos va á objeciones del Sr. Romero, ó mas bien las dudas que ha tenido sobra -invadir: esos feotas sor. los puestos avanzados , los que vienen delante eí d…</t>
  </si>
  <si>
    <t>…lumnos de la unive¡s:dad de Oviedo , y de la sociedad eco el mal cura Gorostidi con 150 á 160 facciosos en la venta de Lususa— nómica de am.gos del país de la misma ciudad, por el Sr. Arguelles. ga entre Astigarraga y Rentería, y pidió raciones á esta ú’tima villa. De los gefes y demas empicados en la administtacion general da Sus habitantes no se las dieron; y viendo que no llegaba la columna Hacienda , por el Sr. Romero. de esta ciudad que había s…</t>
  </si>
  <si>
    <t>…nes. £1 ha tratado di buscar pretextos notoriamente con el dictamen de la comisión. falsos, cual es el de suponer que el Rey Fernando rit no quiere la F! Su Soria: Al discurso del Sr. Arguelles nada puede añadirse-, Constitución española, y que cuando dice otra cosa es porque no tiene pero sin em jargo ia impugnación hecha por el Sr. Becerra , y el deseo libertad; pero yo pregunto , y contesto á estas atroces calumnias, ¿y cuan de dejar consignada m…</t>
  </si>
  <si>
    <t>…dice que el Go que me es imposible , después de haber hablado con tanta solidez y bierno, asociado con la Diputación permanente ó con el presidente y se txt-.rision de razones el Sr. Arguelles en e¡ día de ayer; pero sin em cretarios nombrados, determine verificarle. ¡Puede acaso haber una me bargo , coi’trayéndome ai mismo discurso, eu el cual dice S. M. C. que dida mas justa ni mas sencilla? Yo, señor, creo firmemente que no, y estrechará el círc…</t>
  </si>
  <si>
    <t>…artículo, haciendo mas amplia la amnistía en los léiminos que necesidad fuese probable. . indica el Gobierno. Art. 4° » Lo dispuesto en el artículo anterior se entiende no solo Ei Sr. Arguelles ¡ La Jmpugnecton que acaba de hacer el Sr. pre con respecto • ios oficiales de todas clases del cuerpo general de la ar opinante supone que en el proyecto de decreto que se propone se limi mada, sipo umbien con los de la marinerías pero no con los de la tro t…</t>
  </si>
  <si>
    <t>…ones fueron descubiertos por núesliente; pero la amnistía y el perdon-que se propone no puedo aprobario. tras escuchas ; y "habiéndolos dejado separarse en algún tanto para evi El Sr. Arguelles: Si la comisión hubiese propuesto lo indicado tar volviesen á introducirse en ello» , fueron cargados por los valientes por el Sr. preopinante , seria lo mismo que dejar á la voluntad de un de mi división; y en este instante,que son Us ocho de la noche, regrs…</t>
  </si>
  <si>
    <t>…iento constitucional de la villa de Benavente (provin El Sr. Salva: Apelo al testimonio de todos los Sres. diputados, cia de Zamora). que cuando se trató de este asunto propuso el Sr. Arguelles que era Del comandante de la milicia nacional local voluntaria ds Padersi mas conveniente conceder esta autorización en términos generales, y ( provincia de Oviedo). no que fuese una dispensa personal con el general Ballesteros; y ha Del ayuntamiento constitu…</t>
  </si>
  <si>
    <t>…a los secretarios del Despacho para tomar las medidas preparatorias para Jai junta de generales. tiüi.jáon. El consejo de Estado se ha tomado seis días, que en las actuales cir El Sr. Arguelles: En la presente discusión he notado que no se ha he cunstancias son 60 Sf os ; y asi yo pido que el consejo se reúna, atendien cho impugnación alguna á la proposición dei Sr. Canga. El Sr. Benita ha. do á lo urgentísimo del negocio, pues es un asunto muy senc…</t>
  </si>
  <si>
    <t>…suficientemente discurrido , y quedó aprobada por El Se. secretario de Estado ha dicho que no han variado las circunstan unanimidad la proposición del Sr. Canga , refundida por el Sr. Arguelles cias, desde entonces acá; antes mas bien se manifiestan mas agravantes. Las ■ en los términos siguientes : » Que el Gobierno en el dia de mañana instru cartas particulares, los periódicos, y aun entre estos los que tienen in—; ya á las Cortes del punto á que…</t>
  </si>
  <si>
    <t>…afo corres pondiente á este asunto; y asi ruego á las Corlen tornen en consideración /a«j[DBS.cia DEt SEtm.i. noiils gaidljíon. esta- ohsc-iracione'.. Sesión d.-l g de Marzo. l-.í Sr. Arguelles: El Sr. preopinante con motivo de hace» observadoSe abrió la seiion á las d:ez y media con k lectura de! acta de k ante ne- -.obre la mu.illa de uir.tcHic.nn á S. AI. ha intuutiicido hábilmente nn» rior , que quedo aprobada. d. i;u cuestiones mas ihlic.idas »…</t>
  </si>
  <si>
    <t>…en su alta ó Se declaró comprendida en el art. roo del reglamento, y se aprobó la baja. Harán lo mismo con los generales que han de formar por clases en siguiente proposición del Sr. Arguelles: « Pido á las Cortes que el Sr. pre el orden por rigurosa antigüedad en ellas ; de los capitanes , inclusos los sidente y secretarios queden autorizados como comisión especial para que se primeros ayudantes de los regimientos delinea, de los comandantes, te e…</t>
  </si>
  <si>
    <t>…- 9917...... 1000......................... En Cádiz. da tino de los Sres. Henriqtie y Soria. 3139...... 1000......................... En Madrid. En cuarta votación salió electo el Sr. Arguelles por 81 votos del_ to 5990...... 1000......................... F.n Cádiz. tal 89 ; habiendo tenido 4 el Sr. Marchámalo , 2 el Sr. Ruiz de ia Vega, 7947....... 1000........................ En ídem. y uno cada uno de los Sres. Alonso, y Villaboa. i8¿5..... »ooo.…</t>
  </si>
  <si>
    <t>…lumnias de nuestros viles detractores. Se declaró el punto suficientemente discutido , y se acordó á peti K. Sr. Ferrer (D. Joaquín): Señor, drsde que las potencias extranción del Sr. Arguelles que la votación sobre si el dictamen debía ó no geras nos enviaron sus netas, hemos d-.bido ya s pararnos de ebrar aprobarse fuese nominal. por considerac on á lo que digan de nosotros ¡os extrangeros , y sí solo Verificada la votacon , resultó aprobado por 1…</t>
  </si>
  <si>
    <t>…to, y se devuelva al interesado Pardo, D. Román Corona y D. Joseí Srnan y Veiazquez; y quedó eledicha cantidad. £’do D. Juan Fardo por 54 votos de 71 de total, teniendo &lt;6 D.Ro K1 Sr. Arguelles dijo que este dictamen debía volverse á la comi mán Corona , y uno D. Jnsef Señan y VJazqurz. sión para que lo redactase en otros términos, puesto que las Cortes no La misma junta directiva propon-a en terna para comisionado espe podian mezclarse en aprobar n…</t>
  </si>
  <si>
    <t>…ón en el art. 100 del regla ta por el Sr. Gómez Becerra, dando orden al Gobierno para que ea mento, y se admitió á discusión. su consecuencia proceda á formar los presupuestos. Ei Sr. Arguelles: Ciertamente siento tomar la palabra en contra El Sr. presidente anunció que mañana, después ds darse cuenta de de la preposición qu: se acaba de leer , y la cual á la verdad por sí varios expedientes, se discutiría el dictamen de la ccmision de Guerra misma…</t>
  </si>
  <si>
    <t>58</t>
  </si>
  <si>
    <t>…ras que no lo sean; encontrándose ademas mu llamos. chas dificultades para exigir las contribuciones extraordinarias. El Sr. secretario de Hacienda: Ya he manifestado á las Cor El Sr. Arguelles: Si las Cortes creen conveniente lo que ha tes, y lo repito ahora, que Ja memoria del ministerio de mi manifestado el Sr. secretario de Hacienda sin acudir á medios ex cargo está pronta para leerse cuando las Cortes lo determinen; traordinarios, yo adhiero á…</t>
  </si>
  <si>
    <t>…o lina fragata española que venia á la Península. En aquel entonces niales bajo las condiciones que expresaba. el Gobierno francés estaba solicitando se hiciesen modificaciones El Sr. Arguelles: Desearía saber si el Gobierno se halla en en la Constitución , y este hecho acaba de manifestar la mala fe este momento en disposición de presentar á las Cortes un estado, del Gobierno franccs. La invasión actual, á mas de ser mas pér en que se manifieste la…</t>
  </si>
  <si>
    <t>…tenido El Sr. Prado deshizo una equivocación que dijo haber pade el honor de exponer al Congreso no puedo conformarme con el cido el Sr. preopinante. proyecto'que se presenta. El Sr. Arguelles: Es preciso que confiese á las Cortes que El Sr. Ruiz de la Vega: AI tomar la palabra en defensa dei al tomar la palabra en contra de este proyecto me hado ab,oii!dictamen no puedo menos de convenir en algunas de las ideas tamente sin preparación alguna, pues…</t>
  </si>
  <si>
    <t>…nstitución y á las leyes. En Paso ahora 4 contestar á algunos de los principales argumen este juicio , que debe ser breve y mcrariientc instructivo , con au tos que expuso ayer el Sr. Arguelles. S. S. llamó en su apo diencia de los mismos señores, de los promotores y ministros, yo Ja política y Ja justicia; dijo que era necesario examinar este fiscales y de los pueblos, no se adintira prueba á las partes en asunto, no ya con relación 4 la justicia c…</t>
  </si>
  <si>
    <t>82</t>
  </si>
  <si>
    <t>…te artículo es injusto, y por lo mismo Art. i.° Los pueblos respectivos, previo aviso del comandan inadmisible. te de la caja de quintos ó del gefe del cuerpo respectivo, están El Sr. Arguelles: No puedo menos de hacer justicia á los obligados á reemplazar los desertores por espacio de un año, con dos Sres. preopinantes que han impugnado el artículo, porque se tado desde el día en que se entregó el quinto en la caja. han fundado en principios muy fi…</t>
  </si>
  <si>
    <t>…xposición de principios de rigurosa justicia no es ei masa propósito; pero un vecino de Zalamea de la Serena, sobre aprovechamiento de aqui está bien la consideración hecha por el Sr. Arguelles de las pastos y rastrojeras de las fincas de aquel establecimiento. circunstancias en que nos hallamos , y son las de tener que sosten Varios eclesiásticos religiosos secularizados en esta diócesis ner una guerra con el objeto de conservar nuestra independenc…</t>
  </si>
  <si>
    <t>…nizar al número tales á las fam.lias de los delincuentes hasta la cuarta generación. La siguiente, ó para poner un sustituto; y la segunda qué si no tuvie lectura que ha pedido el Sr. Arguelles del epígrafe del capitulo á que ren bienes propos pague la multa el padre del prófugo. Tan justa corresponde el art. 30.' déla Cor-stimc’on es muy oportuna. y como es la determinación de la primera parte, es injusta la de la manifiesta cual es el verdadero es…</t>
  </si>
  <si>
    <t>…riamente se presentarán á para evitar to .o desorden : pero nombrar una comí-, on que so defender nuestra causa. lamente ella ha va de tomar ios informes pira entrar en el ejer El Sr. Arguelles: Yo nunca estaré por la formación de cuer cito en la c.ase de extrangeros , no puede convenir. Unicamente pos extrangeros; pero condescenderé por mí parte con que los puede adni.'t.rse el que haya esa comisión nombrándola ei came haya mientras lo exijan las c…</t>
  </si>
  <si>
    <t>…tirla, porque er.tonc-s serian generales las se trasporten en los buques que se empleen en el tráfico indicado. ventajas que ahora no. La comisión se fundar! para este dictamen El Sr. Arguelles; Deseo que los señores de la comisión se en que un puerto ocupado por el enemigo contiene p.rsonas, sirvan contestar á una dificultad que me ocurre. Disde luego efectos y caudales que no pueden salvarse de otro moco. : Y este convengo en que las circunstancia…</t>
  </si>
  <si>
    <t>…e la Na las Cortes correrán todos con entusiasmo á prestar los auxil'os ción por medio de sus representantes. para la defensa de ia p.;:r:a. Hoy mas que nunca es el dia de esta El Sr. Arguelles: Los sentimientos manifestados por el señor. resolución , pues es el que recuerda á la Nac'on española un d a Munarriz han deb do comunicarse á todos como á mi; sir» em de gloria; día en que fueron sacrificadas tantas vctimas en el pra bargo no me dejaré arra…</t>
  </si>
  <si>
    <t>…, que jamas olvidarán los servicios de la bene Se declaró el punto suficientemente discutido; y habiendo mérita dase militar, acuerdan una remuneración á todos los in propuesto el Sr. Arguelles se añadiese que la traslación de aque dividuos desde la inclusive de sargentos á la de soldados, y á sus llos restos se entendiese en calidad de depósito; y convenido el familias, en caso de fallecimiento en campaña, de una propiedad Sr. Canga en esta adición…</t>
  </si>
  <si>
    <t>Argüelles</t>
  </si>
  <si>
    <t>…a Nación, del pasado un tiroteo con la partida de constitucionales al mando la comunicación era sumamente difícil. de D. N. Velasco, y que resultaron algunos muertos y heridos. El Sr. Argüelles manifestó que en esta cuestión se confun __Dicen que el 29 debió moverse toda la línea francesa con di dían dos cosas muy distintas; primero lo que es la ley, y segundo rección al Tajo__ Dicen. . . . todo está reducido á lo que dicen, lo que son órdenes guber…</t>
  </si>
  <si>
    <t>…la confianza de i público y mas arraigo. En cuanto al primer pun extensión ilimitada que se ha querido suponer en él. to nada hay que decir en su apoyo; y en cuanto al segundo Ei Sr. Arguelles: A pesar de la modificación que ha hecho ¡quien duda que las personas mas convenientes para esta califica— la comisión en el artículo , yo no puedo menos de impugnarle, c 011 son las diputaciones provinciales que el mismo pueblo ha porque ciertamente que tea…</t>
  </si>
  <si>
    <t>…ey, según han dicho la junta de libertad de imprenta y d secre dose ambos expedientes se diese un decreto general. tario del Despacho de la Gobernación en su memoria , y siendo El Sr. Arguelles apoyó lo expuesto por el Sr. Ql'ver, aña estos abusos un mal bastante poderoso para desorganizar el lista diendo que no había un decreto que aboliese estas corredurías , co do, pido que la comisión de libertad de imprenta presente su dic mo lo había con respe…</t>
  </si>
  <si>
    <t>…no debía aprobarse el dictamen si no usan de ella es por su gusto , y están obligados á observar de la comisión. cierto ceremonial, á ponerse un poco de sayal, y aun a guardar El Sr. Argüelles : No puedo menos de hacer justicia al señor los votos en cuanto pueden: el Sr. Martí conviene en esto, v preopinante, diciendo que ha presentado esta cuestión del mo quiere que queden libres de los votos; esto es imposible: por con do que mas favorece á sus d…</t>
  </si>
  <si>
    <t>…onuu se levo la ky i.\ tit. 14, piUdistnbuva , y creo que suced.cndo la Nación a los bienes de que sida 6/ se trata , y vendiéndolos luego , se consigue este fui. En consecuen- El Sr. Arguelles: Dos Jiilcuhades aparecen contra el ai c'a d eo que el artículo no es posible aprobarlo mientras los se t érilo, de las cuales la primera" s;- manifestó" ayer pof el señor ñores de la comisión no hagan alguna modificación en favor de Falco, v aunque ei Sr. Ru…</t>
  </si>
  <si>
    <t>…rtículos por varios señores diputados. La comisión so orante no dejaría de haber bastante género de contrabando. opinaba que debían aprobarse. Habiéndose ieido dichas ad;C;ones El Sr. Arguelles: Yo no puedo menos de insistir siempre en •fúe aprobado el dictamen de la comisión sobre todas el tas sin dis esta idea, ó las Cortes renuncian para siempre á toda industria fa cusión alguna, á excepción del que recaía sobre una adición del bril en la Penínsu…</t>
  </si>
  <si>
    <t>…impugnar el dictamen de las mismas Cortes. El articulo primero del decreto c.tado d;ce: la comisión. »Todos los géneros ís^-timamente introducidosen el art. g.° El Sr. Zulueta: El Sr. Arguelles lia dicho que no defiende en donde se designan Jos derechos que han de devengar se d:ce sus intereses particulares, y que no se debe engañar á nadie: yo ?&gt;los que tengan los referidos efectos legítimamente introduci conozco tanto !a delicadeza de S. S. ,\y es…</t>
  </si>
  <si>
    <t>…cuarto: de consiguiente desaprue que los danos ocasionados á la España no son de tanta gravedad, bo el artículocomo se cree. Cuando se recibió ia noticia se estaba disponiendo El Sr. Arguelles: Habiendo sido origen de las dudas pro el viage á esta ciudad de Sevilla, y á pesar de esto el vlage se ve puestas por el Sr. preopinante, debo manifestar que ignoraba yo rificó. También se estaba ordenando el segundo ejército en Ga que había una hipoteca esp…</t>
  </si>
  <si>
    <t>…llamada regencia poEtícos y demas autoridades locales instruir al Gobierno con la de Urgel y otras. ■ posible justificación acerca de los sugetos indiciados de estos delitos, El" Sr. Arguelles: Ins'stiré en lo propuesto por el Sr. Ro para qite- tenga efecto dicha ocupación , y en su caso los demás mero. Aunque no podré reconocer jamas que pueda haber una procedimientos judiciales conforme á las leyes. reunión de personas, españolas ó sean extranjer…</t>
  </si>
  <si>
    <t>…ón , dando cuenta al Gobierno con justificación para los oír al Gobierno, por cuya razón opinaba debía, pasársele esta ex efectos convenientes.” posición'para que la informase. El Sr. Arguelles: La materia de que se trata en esta parte El Sr. secretario de Gracia y Justicia dijo que no creía que del artículo es tal , que puede dar margen á muchos abusos inse esta providencia fuese dimanada directamente del Gobierno supre parables de las circunstanci…</t>
  </si>
  <si>
    <t>…que no debía 4. a Todo el que se presente con armas de cualquiera especie aprobarse el dictamen de la comisión. sin estar para ello autorizado por el caigo ó destino que ocupe El Sr. Arguelles: No puedo menos de hacer justicia al señor en la sociedad, y el que aun sin llevar armas se presente con preopinante, diciendo que ha presentado esta cuestión del mo algún distintivo, sea cual fuere, que pueda bajo cualquier con do que mas favorece á sus desi…</t>
  </si>
  <si>
    <t>…e al Gobierno para los Enes que el dictamen El Sr. Diez: La comisión está pronta á proponer á las Cor expresa. tes todas las gracias que crea convenientes; pero no ha podido me El Sr. Arguelles: Me levanto para dar las gracias al Sr. Ca nos de negar esta, porque considerada 1a. cuesten como ella es en sas por haberse anticipado en manifestar una idea que&gt;está confor sí, es muy otra de la que ha presentado el Sr. Gómez Becerra. Bajo me con mi opimon…</t>
  </si>
  <si>
    <t>…ndividuos que acrediten la imposibilidad de El Sr. secretario de Gracia y Justicia: Yo creo que la indi trasladarse al territorio español; pero prescindiendo de esto yo cación del Sr. Arguelles no salva enteramente las dificultades; no puedo menos de considerar á los españoles que se hallan ac dificultades á que yo doy tanto mas valor, cuanto que no será fá tualmente en Francia bajo dos aspictos, á saber, como españo cil que hubiera un español que h…</t>
  </si>
  <si>
    <t>…la en las disposiciones vigentes sobre vinculaciones, señoríos y demas, Constitución y decretos de las Cortes. ó en las reglas para su reversión., serán tratados como usurpado El Sr. Arguelles manifestó que en materias como esta debia res de la propiedad agena, y los agraviados serán reintegrados con llevarse por base la claridad, á fin de que el espíritu de partido y sus bienes. la enemistad no asestase sus tiros contra muchos individuos que Se de…</t>
  </si>
  <si>
    <t>…P arada todos los cuerpos según lo detallado: patrullas las Después de haber hablado eL Sr. Sona tomó ¡a palabra ei m smas._.Hospital y provisiones la m. Licia act v.i----Ala: ana Sr. Arguelles. La extensión de su discurso, y ia importancia de debe celebrarse consejo de guerra ordinario en las casas y ba',o la presentarle con toda exact.tud, no nos permite insenar.o hoy, y presidencia del coronel agregado al E. Al. de esta plaza D. Ra nos vemos prec…</t>
  </si>
  <si>
    <t>…iesto dirigido á la monarquía, y aun á la Europa entera , para vindicar la just eía de Nación y al mundo entero en la terrible crisis en que nos ha nuestra causa; y si entonces el Sr. Arguelles, con ia sabiduría y llamos ; cris:s, curo es to favorable o adverso abisma al cémro acierto que le distinguen , logró demostrar que en esta discusión, humano en la esclavitud, o le rest tuve ios derechos que ¡a natu que deberia llamarse nacional, se presentar…</t>
  </si>
  <si>
    <t>…s disturbios, scs.on. ocurrencias de diferentes clases, inseparables siempre de toda mu danza política , y que en España ofrecían el singular fenómeno Bisen- so pronunciado por el Sr. Arguelles en la sesión del 23 de no haber ensangrentado todavía la historia de Ja restauración, de1 tor&lt;i n'e. cuando las de otras naciones , aun las mas aventajadas en las artes Señores: Mas bien que impugnación al dictamen que se dis de gobernar, presentaban sin inte…</t>
  </si>
  <si>
    <t>…. ¡Cimo es posible que ni uno medio de las artes mas v;ies. Aqui , señores , repetiré yo ia solo pueda creerlo: ¿Cabe en un buen entendimiento esperar li protesta que hizo ayer el Sr. Arguelles: tampoco se crea que bertad de los que no solo no la tienen , pero ni siquiera Ja cono yo hablo ahora á nombre de la comisión; cargo g1 con la cen? Pues esos eran los que inüuian en las determinaciones de la responsabilidad que me toca , y digo que no puedo ;…</t>
  </si>
  <si>
    <t>…es , y en los Se declaró comprendida esta proposición en el art. 100 del pedidos que se les bagan para formar almacenes y provisiones de reglamento, y admitida á discusión dijo el Sr. Arguelles: Yo de plazas , ó mantener los ejércitos. Se formará la oficina correspon searía que el Sr. Galiano admitiese una adición á la proposición ¡ diente, dándose certificaciones á los pueblos á favor de los fon que acaba de hacer, á saber , que ¡as Cortes permanez…</t>
  </si>
  <si>
    <t>…or su respuesta , que indica su indiSe extendió la proposición del Sr. Galiano , y quedó aproba íerencia de caer en manos de ios enemigos, se suponga por alio da sin discusión. El Sr. Arguelles hizo una adición para que se na á S. AI. y por un momento en el estado de imposibilidad entendiese la proposición con respeto á la fumiLia Real; se seña moral, y mientras que se nombra una regencia que reasuma las lase et punto de la isla Gaditana y el tiempo…</t>
  </si>
  <si>
    <t>…otas de los Em Se declaró comprendida esta proposición ea el art. 100 del peradores de Rusia y Alemania, y Reyes de Francia y Prusia; reglamento, y adm rda á discusión , di jo, el Sr. Arguelles: Yo proposiciones verdaderamente propias de un hombre embriaga desearía que el Sr. Galiano admitiese una adición á la proposi do , y dignas de la aprobación de un congreso compuesto de ción que acaba de hacer, ■&gt; sAb.r: que Jas coi tes. permanezcan en sugetos…</t>
  </si>
  <si>
    <t>…rlas cuando pidió se se inserten íntegros ó en estrado, espresand* en esta cn\i.i.-e un segundo rnensage al lie i. (So levó) caso los nombres".de Jos qnp hablaron en pro y en . El Sr. Arguelles dijo que en la respuesta de contra. Se admitió á discusión. Jl. fallaba niu palabra, pues qne decía el acta que Ei Sr. Gómez Becerra impugnó la proposición , v í&gt;. M. elijo que no saldría de nr/iti, v el Sv. presiden- el Sr. Renito fue de la misma opinión que…</t>
  </si>
  <si>
    <t>…en sesión permanente ; v así dos á la reparación del muelle y otras obras do pú no tengo dificultad alguna en admitir la adición de blica utilidad. Aprobado. mi digno compañero el Sr. Arguelles. .Se inundó quedar sobre la mesa el dictamen de Quedó aprobada la p: cpo lcion con la adición ¡ pero habiendo pe la comisión de Casos de responsabilidad acerca de la propuesta por el Sr. Arguelles «pieja dada por varios vecinos de Carada contra su dido varios…</t>
  </si>
  <si>
    <t>Gaceta Española n.º 75</t>
  </si>
  <si>
    <t>…de i ru;;» ¡cíaos. 7.aba el ait. r¡. - - por lo cnal no aprobaba «i pro Entre los muchos modos de abusar de ia rábertad yecto» de imprenta hai el de aparecer responsable del es El Sr. Arguelles en apoyo del dictamen de la co crito calumnioso un menor de edad , un demento ó misión, y después de pedirse ¡eyese el art. 5yt «Le mía persona procesada ó condenada á presidio ú otr.c la Constitución (que se leyó} dijo entre otras cósase pena mayor que la qu…</t>
  </si>
  <si>
    <t>Gaceta Española n.º 76</t>
  </si>
  <si>
    <t>…%* vWÍ/'i -i. v,. *.&lt;4-Ha*-»*^'£ -t-^-ÍU-it' i -íí,^:íL.^&gt;it «fc ¡tA A «*.-%* 1&gt;9*&lt; CADIZ JUEVES 20 DE JUNIO DE 1S2!. «'!«!■£, Cádiz a:j de junio. quedó aprobada sin discusión. El Sr. Arguelles hizo una adición para que se entendiese ¡a proposición con. Continua la sesión de Curtes del dia 11. respecto ú la familia Real; se señalase el punto de la El .Sr. Oaliano liizo varias preguntas á los Sres. Isla-gaditana y- el tiempo de 1 ;t salida basta ui-A…</t>
  </si>
  <si>
    <t>…día van á menos;-por cu vas ra plear ¡nteriiKimeni" ¡i los magistrados y jueces de pri zones pidió se votase el 'dictamen. mera instancia de-i as provincias invadidas, yen cuan El Sr. Arguelles manifestó que no bahía hablado to á la secunda que vuelva á la comisión para dar di? la inopoi ttmidad con la estencion «pie había «mdespués tu dictamen.—.A probado. teridido el Sr. Adan; que habia abnlido á la arlmiLa cnniiíinn de Guerra en vista de la espos…</t>
  </si>
  <si>
    <t>…por lo mismo que el 6 debía Ni en el sistema consr.tucional , ni aun en el absoluto se lia verificarse la elección. conocido la m.ixima de que para tomar el Reyuna medida como El Sr. Arguelles apoyó loexpuesto por el Sr. Galiano,y por la contenida en este art culo haya de hacer io con anuencia de tres último acordaron las Cortes se suspendiese la elección de presiden ó cu,ifro Mcrir-r o&gt; del Despacho. Podran dos, tres o cuatro secre te, vice-presid…</t>
  </si>
  <si>
    <t>…no teman vieron obligadas á aprobar con su silencio aquella medida, la fuerza qtic á S. S. 1c había parecido. •citando un velo sobre todo? Y esto ¡ qué manifiesta, pues, si no El Sr. Arguelles dijo que había una ley que dice que cuando que en crisis semejantes es preciso valerse de tales medidas! ■á los individuos de los ayuntamientos se les exija la responsabili He abogado, señores, por una doctrina fatal y terrible, y de dad se compílete su númer…</t>
  </si>
  <si>
    <t>…de las garan de Londres producirá los mejores efectos en ¡as provincias-----L« tías de que habla este provécto. facción ultra, que preve los efectos que esto puede producir, no El Sr. Arguelles contestó que en su opinión la confiscación pudiendo por ahora evitarlos, procura debilitarlos por medio de de bienes no quedaba autorizada, porque las Cortes dejaban los periódicos vendidos á la Sta. .Alianza; y entre ellos el New salvo el derecho del sucesor…</t>
  </si>
  <si>
    <t>…bservaciones hechas' por el Santa Alianza,habiendocangeado antes sus respectivos plenos po deres, han convenido en los artículos siguientes: Sr. Navarro Tejeiro, á que contestó el Sr. Arguelles, se declaró el punto suficientemente discutido y quedó aprobado el artículo. Artículo x.° a? Las Altas Partes contratantes, plenamente con vencidas de que el sistema del Gobierno representativo es tan in Art. 6.° Aprobado. compatible con el principio monárqui…</t>
  </si>
  <si>
    <t>…anterio El Sr. Romero dijo que impugnaba este artículo no en el res artículos y en otros decretos anterioras. fondo, sino en la cláusula que trataba de la diputación'' permanen El Sr. Arguelles: El objeto que la comisión se propone po te, porque no tenia facultades para el objeto que expresaba. día salvarse, redactando el artículo en otra forma, yen la cud El Sr. Rui¿ de la Vega1 contestó que aunque la diputación se le quitará lo que'ofrece dificult…</t>
  </si>
  <si>
    <t>…ortes de 31 de Enero y confesarlo paladinamente; pero ni el 8 ni el 1 j por too com 25 de Junio del presente ano. pensarían los perjuicios que deberían seguirse 4 la marina mer El Sr. Arguelles manifestó que le era muy sensible impug cante nacional, y est® nada mas que por la inseguridad de ella. nar este dictamen en las circunstancias actuales; pero que deseaba Ademas se favorece con esta disposición al comercio nacional, saber si se ¡rabia buscado…</t>
  </si>
  <si>
    <t>Gaceta Española n.º 88</t>
  </si>
  <si>
    <t>…onsabilidad jera pague al contado los derechos, y la nacional ai pia¿o ue ú ios que sean omisos ó morosos. tres meses. 3-° Que cese en sus funciones la (unta directiva de Monte El Sr. Arguelles impugnó este artículo 3.0, manifestando pió militar como innecesaria. que debía adoptarse un medio de equilibrar el beneficio que re 4.0 Ultimamente que las Cortes encarguen estrechamente al sultaría á la bandera extrangera de poder introducir los frutos de G…</t>
  </si>
  <si>
    <t>…s des todos los pontos de la Península no estaba tan expedita que pu tinas sin causa legalmente probada y sentenciada. diese circular en todos ellos este decreto en pocos dias. El Sr. Argüelles contesto que ayer se liabia propuesto negar El Sr. Lagasca manifestó que las proporciones para que los su voto al dictamen que presento la comisión; pero que hoy empleados pudiesen trasladarse á esta,ciudad eran ahora mas di veía satisfechos sus deseos con lo…</t>
  </si>
  <si>
    <t>Gaceta Española n.º 96</t>
  </si>
  <si>
    <t>34</t>
  </si>
  <si>
    <t>34’ blo donde se había criado y donde probablemente volverla lue- adeudos por medio de letras seguras ó corrientes y pagaderas en r;o out acabase el servicio. aquel plazo. ti Sr. Arguelles dijo que en su concepto la comisión lo que La comisión de comercio, habiendo examinado la diputación debia hacer era retirar su dictamen para darle otra explicac.on provincial de la Habana, para que si la Nación entra en euerra mas cstensa , que facilitase á…</t>
  </si>
  <si>
    <t>…las Cortes no deben tomar ya Corana 2 de Julio. » Insertamos los documentos siguientes en consideración este asunto. que se nos han remitido de la comandancia general. = Coman El Sr. Arguelles: Siento mucho que no me sea posible re dancia militar de la provincia de Orense. :=Excmo. Sr. =P.iso cordar todas las expresiones que ayer se vertieron sobre este asun á manos de V. E. los adjuntos ejemplares de Ja proclama dada to ; mas puedo decir con certe…</t>
  </si>
  <si>
    <t>…que el imperio esté asegurado por la parte votos de 109 , habiendo tenido 38 ei Sr. Zuiu.ta, 4 el Sr. baide Europa contra sus mas poderosos enemigos. El buen éxito de vato , 3 el Sr. Arguelles y uno ei Sr. Stirrá. la causa de los griegos es casi tan importante para Inglaterra co Para cuarto individuo quedó elegido ei Sr. Soria por 3: vo mo para los egipcios, poique Ja India correrá peligro desde el tos del total 93, habiendo tenido z6 el Sr. Salvat…</t>
  </si>
  <si>
    <t>…insultarlos, pues que son mis hermanos-, mota de que se pueda unir ya la América al Imperio español. pero es á linos paises que no están en la madurez ni aúnenla viri Encuentra el Sr. Arguelles indecoroso el que la Nación es lidad , sino en un estado inferior , y nadie podrá asegurar que pue pañola sea ía que proponga la independencia ; pero yo cixo que dan resistir á una invasión extrangera; pero no se crea por estas toda negociación es inútil mien…</t>
  </si>
  <si>
    <t>…en ios to , usase de la autorizar on que se proponía, para lo cual si anKS arbitrios de que debería usar. se hallaban facultados estos trefes por los decretos de las C ríes, de El Sr. Arguelles, para aclarar un hecho sin perjuicio de los hoy en adelante lo estar a el Gobierno para ponerlo en practica que teman ped.da ia palabra, manifesté) que la comisión, consen por sí ó por medio de tus subalternos. tida en que ios Sres. secretarios del Despacho n…</t>
  </si>
  <si>
    <t>…con los documentos de su justificación á los pacaasegurase las libertades política y civil, y el trono de S. AI. dores generales, comprobándola y autorizándola , manifestando 1:11 Sr. Arguelles contestó que perteneciendo exclusivamente su contormidad, el director de contribuciones directas de la pro ai Gobierno ¡as facultades da hacer ia guerra y la paz no se le vincia respectiva. ponian por el dictamen trabas algunas para Llevar a efecto esta Los c…</t>
  </si>
  <si>
    <t>Gaceta Española n.º 156</t>
  </si>
  <si>
    <t>…ter dad pretender sacar partido de una causa totalmente perdida , y lo el secreto en materia que lo mereciese. que es mas, que este pueblo , baluaite en tantas ¿pocas de la li ’El Sr. Arguelles conviniendo con el modo de pensar del se bertad española , y que en todos tiempos se ha creído inexpug ñor Alaran , expuso que no tenia la menor repugnancia en sus nable , carece de medios para conservarse, y debe ser presa del cribir al espíritu de la solic'…</t>
  </si>
  <si>
    <t>…ficar accidentalmente "sus El Sr. Flores Calderón manifestó que su ánimo no había sido planes inicuos para lograr sus fatales intentos. otro que el pedir lo que había anunciado el Sr. Arguelles, y en No es el ánimo del batallón ilustrar a V. A. S. que camina este concepto varió la proposición en ¡os términos siguientes , y delante de sus conocimientos -. es sí meniiestarle su modo" de pen fue aprobada Pido a las Cortes se sirvan manifestar al Gobier…</t>
  </si>
  <si>
    <t>…, con el mas cómodo premio que sea posible arbitrio! que le dictase la necesidad de defender la Isla gaditana; por sus capitales, que asegurarán á todo su contentamiento y sa y el Sr. Arguelles para conciliar los extremos de oposición, tisfacción* propuso que se suspendiese la discusión dé esta parte del dicta men, nombrándose una comisión especial de hacienda, que de ANUNCIOS. acuerdo con el gobierno propusiese á las cortes los arbitrios y recursos…</t>
  </si>
  <si>
    <t>Arguelles, Canga</t>
  </si>
  <si>
    <t>Canga Arguelles</t>
  </si>
  <si>
    <t>Gaceta Española n.º 125</t>
  </si>
  <si>
    <t>…suponiendo como mas probable que aquella pro las Cortes presentó un espectáculo extraordinariamente ti arico. El vincia querría agregarse á Colombia. A esta observación 15 el Pro- Sr. Canga Arguelles , uno de los individuos de aque.ia resp.labre vidence Patriot” contesta en los términos siguientes: asamblea, se atrevió á llamar traidor á su compaña o ei Señor » Al capitán Tylcr, que trajo de Honduras el documento de Alava: pero á este no le sentó bien la…</t>
  </si>
  <si>
    <t>Arguelles, Felipe</t>
  </si>
  <si>
    <t>Felipe Arguelles</t>
  </si>
  <si>
    <t>…el dia de hoy quedan filiados en el batallón de Alca IX Ramón Casellas. D. Manuel Carnicero. lá de Henares 600 milicianos, y entregados en la caja del egército D. Fernando Plaza. D. Felipe Arguelles. permanente 240 quintos, continuando las entregas con la mayor acti D. Andrés Fernandez. D. Saturnino Lozano'. vidad en estos días. D. Miguel Ripa. D. Agustín Arricia. También tiene la diputación contratados y prontos los 637 unifor D. Juan Antonio Marco. D.…</t>
  </si>
  <si>
    <t>Arguelles, Juan Moa</t>
  </si>
  <si>
    <t>Juan Moa Arguelles</t>
  </si>
  <si>
    <t>…ueses, haciettdoies un muerto y va Coroneles: D. Antonio Fernandez Rana, D. Juan Ague- rios prisioneros. La dirección de aquellos malvados parece ser ria D. Pedro Peón. Capitanes: D. Juan Moa Arguelles, Don hacia Patencia ó Búrgos; pero dudo que logren pasar sin encon Francisco Heredia. Teniente D. Marcos Gutiérrez. Subtenien trarse con las tropas nacionales que puede haber por aquellos te D. Josef Mensndez Valdés. Vicario castrense D. Juan puntos.=í;r. gef…</t>
  </si>
  <si>
    <t>Arguelles-</t>
  </si>
  <si>
    <t>…reclamar alguna celia ante la general, y no á una determinada persona. diputación provincial acerca de agravios que les haya hecho él ayunta El Gobierno retiró su propuesta , y el Sr. Arguelles- hizo la siguien miento , y tomará una nota formal de los que manifiesten que tienen te proposición: »Que las Coites autoricen al Gobierno para que puev qu: -«ciarme y de los que digan que no, la cual pasará también á la da emplear, en comisión á les individuo…</t>
  </si>
  <si>
    <t>Arguellespero</t>
  </si>
  <si>
    <t>…contra sus sentimientos ha vivido por espacio da 40 me Quedó aprobada la proposición con la adición propuesta por ses en la mayor opresión y aflicción , y constantemente insul el Sr. Arguellespero habiendo pedido varios señóse*- diputa tada con canciones, y aniquilada con contribuciones; tan Rie dos que se expresase haber s:do aprobada por unanimidad , dijo go como vió cometer al Gobierno intruso y tirano el intimo el Sí. Vargas que él no la aprobaba.…</t>
  </si>
  <si>
    <t>Argueta</t>
  </si>
  <si>
    <t>…................. ................ 50005°00 600 800 dimiento b.írbaro de un servil pudiera sacar tan absurda consecuen En Alcalá, Toledo. y Ciudad- cia; pero cn esto manifiesta el Sr. Argueta que no solo no tiene Real........................................... 1200 300 la religión á que supone ha renunciado el Sr. Chaleco, s:no que Ignoramos la fuerza de los des cante.utos que lian podido d ni siquiera sabe la doctrina cristiana- Los diez mandamie…</t>
  </si>
  <si>
    <t>Argueta, Blas</t>
  </si>
  <si>
    <t>Blas Argueta</t>
  </si>
  <si>
    <t>…tes de Cádiz, como igualmente los 10 millones de reales vellón del servicio exmos reos. traordinario exigidos á los mismos por decreto de aquellas de 7 (3) E11 su vida ha dicho el Sr. D. Blas Argueta una verdad de Agosto de 1812 , se presentarán los interesados «1 los referi como esta. Seguramente que si el coronel Chaleco no tuviera al dos préstamos, con los documentos de sus créditos , cn la sección gunos compañeros (y serán mas de cuarenta, mal que le…</t>
  </si>
  <si>
    <t>Argüetes</t>
  </si>
  <si>
    <t>…ciones con las po si lo es, no tengo inconveniente en presentarla. tencias extranjeras, tanto enemigas como las que son indiferen El Sr. Sánchez : Las indicaciones que ha hecho el Sr. Argüetes, 6 que aparecen ser amigas, puesto que aliadas no puede de lies las considero yo de la mayor importancia. Se reducen : r.° 4 cirse positiva mente que las hay. De este modo podrá el Concre saber del Gobierno si habían mediado comunicaciones directas ó to conoc…</t>
  </si>
  <si>
    <t>Argürlles</t>
  </si>
  <si>
    <t>…a vacante la plaza de cirujano latino de la ciudad da asegurase las libertades política y civil y el trono de S. M. Segovia , con la dotación de óoo ducados anuales, pagados da El Sr. Argürlles contestó que perteneciendo esciusivamente los fondos de propios, con la precisa circunstancia de que ha da a! gobierno las facultades de hacer la guerra y la paz, no se le enseñará los alumnos que se presenten, hijos de los vecinos ponían por el dictamen trab…</t>
  </si>
  <si>
    <t>Arias</t>
  </si>
  <si>
    <t>…ebiendo en los países futra de su territorio en virtud de contritas da los fondos públicos.” Aprobado. ú otras cualesquiera ob'iguc janes, celebradas entre las individuos y es Del Sr. Arias ai art.03 : » Par- evitar las comp-tercias que pueden tablecimientos particulares y las autoridades francesas , unto en razón seguirse entre los ayuntamientos r gobernadores de las plazas en esta de suministros , como en virmd de contratos; y i reerr.h ,!sar…</t>
  </si>
  <si>
    <t>…" Los que sin hallarse en ninguna de estas circunstancias no lle miento para el efr-cto riel alistamiento. ven un año de residencia fuera de! pueblo, contado este año desde 1.“ El Sr. Arias: Pido se lea el art. 46 de la Constitución (se leyó). de Enero del anterior ai en que se hace el padrón. El Sr. Infante - En cuanto á la objeción que ha hecho el Sr. Yai5 0 Los que hallándose en el mismo cavo,aunque con mas tiempo dé» diré que aquí no s-t tra…</t>
  </si>
  <si>
    <t>…ianifitsto las cuentas en su secretaria para los indi conducto del virtuoso penitenciario de esta Sta. igtcria. vidúes que gusten reconocerlas.” Aprobado. Zaragoza 9 de Uñero. Del Sr. Arias al art. 415: » Pido á las Cortes se sirvan resolver La :¿¿o!ucion heróica que manifestaron todos los habitantes dt esta que no’sean públicas las sesiones de los ayuntamientos, á no ser que ciudad el dia 5 del corriente, de sepultarse en sus ruinas primero que…</t>
  </si>
  <si>
    <t>…rto moda las cos el gobierno económico-político de las provincias presentó tu dictatumbres de muchos de sus habitantes. Se trata ya de llevar á efecto la men sobre una adición del Sr. Arias al art. 152 , para que no se enorden de su repartimiento en otros puntos de la Península; y sabien tendiese lo prevenido en dicho artículo con los vocales de las diputado aprovechar ta occsion, podrán estos infelices ser útiles á los pueblos ción a provincial…</t>
  </si>
  <si>
    <t>Arias, Antonio Sandalio de</t>
  </si>
  <si>
    <t>Antonio Sandalio de Arias</t>
  </si>
  <si>
    <t>…injurioso. salido de Porsmouth la escuadra al mando de Owen, destinada á re En su vista se reunió el jurado, compuesto de los Sres. siguienPs: forzar ia de Rotvley ea Ja Jamaica. D. Antonio Sandalio de Arias, D. Juan Manuel de Aréjula , D. Fe _E1 Monitor del 31 publica ya el decreto de la convocatoria de las lipe López Valdenioros, D. Gonzalo Cárdenas, D. Manuel Esteban Cámaras para el 18 de Enero. Gatalá , D. Nicolás Cano Luque, D. Zoilo Gom:z Cisero , D. Joscf…</t>
  </si>
  <si>
    <t>Arias, Benito de</t>
  </si>
  <si>
    <t>Benito de Arias</t>
  </si>
  <si>
    <t>Gaceta de Madrid n.º 153</t>
  </si>
  <si>
    <t>…una arma', ni aun la de la ley se organizó lancia pública , 7 hallándote enterada de los importantes servi sin embargo de haberse remitido fusiles que tuvieron cuidado de cios que D. Benito de Arias. Piada, ministro del conseja Real, recoger', previeñdb que ilegado el momento feliz servirían^ pa ha hecho al Estado en tu dilatada carrera, de la persecución que ra defensa de su Rey ; sufrió con paciencia insultos de milicia ha sufrido por sostener.la justa…</t>
  </si>
  <si>
    <t>Arias, Manuel Pío de</t>
  </si>
  <si>
    <t>Manuel Pío de Arias</t>
  </si>
  <si>
    <t>…o legítimo, y las personas de que por la de Navarra: D. Josef Cano y D. Leandro Ladrón de hablan los artículos 4.0 y J.° del decreto de veinte y uno de Se Guevara por la de Ávila: D. Manuel Pío de Arias por la de tiembre ele mil ochocientos doce, en que se dieron varias medidas Cuenca: D. Joaquin Fuentes del Rio por la de Sevilla : D. Fe para asegurar la confianza de la Nación. liz María Manso , D. Manuel Ruiz del Rio y D. Manuel CaArt. "10. El Gobierno disp…</t>
  </si>
  <si>
    <t>…rmín Alvurcz Enlate del Perú iScc.” por i a de Navarra: D- Josef Cano y D. Leandro Ladrón de Se asegura qne el general Arenales llegó el i.° del corriente Guevara por la de Avila: D. Manuel Pío de Arias por la de al puerto de Valparaíso. Viene con poderes del Gobierno de Li Cuenca: D. Joaquín Fuentes del Rife por la de Sevilla: D. Fé ma para pedir auxilios al de Chile. lix María Manso , D, Manuel Rulz del Rio y D. Manuel CaDespués de copiarse en el número de…</t>
  </si>
  <si>
    <t>…iputados que componen la Diputación por la de Navarra: D, Josef Cano y D. Leandro Ladrón de permanente de Córtes , participando al Gobierno la instalación Guevara por ¡a de Avila: D. Manuel Pío de Arias por la de de la Diputación permanente. (Gaceta de¿ 7.) Cuenca: D. Joaquin Fuentes del Rio por la de Sevilla: D. Fé Decreto de las Córtes aboliendo el derecho de décima en las lix María Manso , D Manuel Ruiz del Rio y D. Manuel Ca- ejecuciones. ( Gaceta aei 7.…</t>
  </si>
  <si>
    <t>Aricochea, Josef</t>
  </si>
  <si>
    <t>Josef Aricochea</t>
  </si>
  <si>
    <t>426</t>
  </si>
  <si>
    <t>…ean detenidos y trasla Córtes se sirvan habilitar el puerto de Arrecife en la Isla de dados á las Islas Canarias; y que D. Josef Moreno Guerra y Lanzarote, como de segunda clase." D. Josef Aricochea sean detenidos donde quiera que se hallen, No habiéndose declarado comprendida esta proposición en ;! y trasladados á dichas Islas. art. 100 del reglamento, la retiró su autor. La comisión de Visita del Crédito público, habiendo examina Se levantó la sesión á…</t>
  </si>
  <si>
    <t>Arieaga, Angel</t>
  </si>
  <si>
    <t>Angel Arieaga</t>
  </si>
  <si>
    <t>Gaceta de Madrid n.º 91</t>
  </si>
  <si>
    <t>…igidos por ¡as personas mas notables de ¡a so- dra, ni cómo sin indagarlo antes trataba de volverse á Madrid. eitdad con el objeto de obligar it Gobierno á que declare la guerra á D. Angel Arieaga y D. Antonio Oidofiez han sido condenados la Francia, y se manifieste abiertamente á favor de la España. Añaden en ocho años de confinamiento: el primero en una de las plazas fuer las mismas noticias que la opinión pública á favor de la Península se tes de las Islas Baleares, y el…</t>
  </si>
  <si>
    <t>Arieta, Pedro López de</t>
  </si>
  <si>
    <t>Pedro López de Arieta</t>
  </si>
  <si>
    <t>…2,684 mrs., situados en el primer : por 100 de las alcabalas gar á la formación de causa. de Granada en cabeza de D. Francisco y Doña Mariana MontoTRIBUKAXES. ya—Otro en cabeza de D. Pedro López de Arieta de i9 duca Por providencia del Sr. D. Joaquín Josef de Aguí lar, juez dos de principal sobre los unos por 100 de Salamanca , que por primero de primera instancia en la ciudad de Cádiz, en ios autos no tener cabimiento se mudó al mismo derecho de Plasencia._qu…</t>
  </si>
  <si>
    <t>Ariño, Fernando</t>
  </si>
  <si>
    <t>Fernando Ariño</t>
  </si>
  <si>
    <t>…spersados. La escolta que conducía al cura se vió precisa da á arcabucear á un faccioso que llevaba también consigo O) Mr. de Chateaubriand , como todos los u'tras, confunde Jo* __D. Fernando Ariño da parte desde Solsona con fecha de 2 de Mar destos de la Francia con sus propios deseos , enteramente contrarios i zo de la refriega que se empeñó entre 150 hombres que envió á tos los de todos tos buenos franceses; y manifiesta un amor tan ardiente molinos…</t>
  </si>
  <si>
    <t>Arispe, Pablo</t>
  </si>
  <si>
    <t>Pablo Arispe</t>
  </si>
  <si>
    <t>…activa , caballería y zapadores se proveerán por ri ha servido S. M. nombrar para reemplazarles; en clase de juez gorosa antigüedad , dejando en las propuestas una de cada tres, á D. Pablo Arispe, que lo es de primera instancia de Sopor para que los generales en gefe y el Gobierno puedan colocar á los ta, en Vizcaya, emigrado en esta ciudad; y para suplentes á oficiales supernumerarios y á los existentes en lo? depósitos. Artí D. Domingo de Muruaga, t…</t>
  </si>
  <si>
    <t>Ariza, Alaría Bravo de</t>
  </si>
  <si>
    <t>Alaría Bravo de Ariza</t>
  </si>
  <si>
    <t>…mismo dia y hora en que iba este mismo patrón á A la comisión segunda de Hacienda se mandó» pasar una ex avistarse con el general encontró á otro amigo comerciante, y posición de Doña Alaría Bravo de Ariza para que se le abonen le dijo, que el dia 10 hallándose en el sitio de Mequinenza vió ciertas cantidades devengadas de las pensiones que disfrutaba su cómo se formaron 20 hombres de los sitiadores , que también se difunto marido. dirijian á Valencia. Todo lo…</t>
  </si>
  <si>
    <t>Arizctin, Manuel</t>
  </si>
  <si>
    <t>Manuel Arizctin</t>
  </si>
  <si>
    <t>…erse sublevado la serranía de P.onda, se de latín D. Josef Negrete , accésit D. Manuel Arizcun.—1 n la observa que lo que parece cierto es que unos 4 ó 6 pueblos fue de aritmética D. Manuel Arizctin , accésit D. Facundo de Lara. ron seducidos; siendo de creer qu« los franceses en este aconte __En la de ar miélica práctica D. Guillermo Chacón y Don cimiento tienen no poca parte, y que tratan por todos medios Esteban Chaix.__En las ciases de bellas letras…</t>
  </si>
  <si>
    <t>Arizcun, Francisco</t>
  </si>
  <si>
    <t>Francisco Arizcun</t>
  </si>
  <si>
    <t>ipS t ron en dicha ciudad 300 franceses heridos y un gran número dft Antonio Abad D. Agustín Contreras, D. Francisco Arizcun prisioneros (6).” D. joicf Muñoz, D. Pedro Ballesteros , D. Juan Gavina, Don *&gt; Campamento de S. Gerónimo 26 de Junio de 1823. Josef López Robredo, D. Joaquín Cortina, D. Carlos Vega, n En este instante acabamos de llegar á este campamento de D. Saturnino Her…</t>
  </si>
  <si>
    <t>Arizcun, Manuel</t>
  </si>
  <si>
    <t>Manuel Arizcun</t>
  </si>
  <si>
    <t>…que éi 4 corrió en Cá tellana D. Guillermo Chacón, accésit D. Josef Rojo..__En ¿a diz la noticia de haberse sublevado la serranía de P.onda, se de latín D. Josef Negrete , accésit D. Manuel Arizcun.—1 n la observa que lo que parece cierto es que unos 4 ó 6 pueblos fue de aritmética D. Manuel Arizctin , accésit D. Facundo de Lara. ron seducidos; siendo de creer qu« los franceses en este aconte __En la de ar miélica práctica D. Guillermo Chacón y Don cimi…</t>
  </si>
  <si>
    <t>Arizmendi, Tomas de</t>
  </si>
  <si>
    <t>Tomas de Arizmendi</t>
  </si>
  <si>
    <t>…........................................ 87 ANUNCIO. Diputados................................................,..........................*......... 17 En virtud de providencia del Sr. D. Tomas de Arizmendi, Secretarios del Despacho universal............................... 6 Alcalde de Casa y Corte, refrendada del Escribano de provincia Oficiales de Jas mismas Secretaría».............................. g D. Santiago Manuel de Albóniga , se cita á D. Juan Manuel G…</t>
  </si>
  <si>
    <t>Arjona, Josef Manuel de</t>
  </si>
  <si>
    <t>Josef Manuel de Arjona</t>
  </si>
  <si>
    <t>…erseguir la escuadra griega, fue impelido por una ráfaga de Hoy se ha publicado en esta capital el bando siguiente: viento hacia la costa de Europa, y su fragata, cuya tripulación D. Josef Manuel de Arjona, del Consejo Real, y Honorario de se ha salvado, ha sido quemada por los insurgentes. ¡a Cámara de! Supremo de ¡a Guerra, Superintendente general El Capitán bajá ha entrado en el golfo de Salónica con su de Vigilancia pública del Reino &amp;c. división á fin de h…</t>
  </si>
  <si>
    <t>Arlan</t>
  </si>
  <si>
    <t>…nde p^ dia maniobrar nuestra caba El Sr. Infante, después de hab-r respondido á las objeciones hechas llería y ocultarse la infantería, dispuse que ¡os d siacamu tos de ¡os por el Sr. Arlan, ampliando algunas datas razones dadas por ei sm-or cuatro bataih.-n-ts B , G, D , E formasen rn batalla paral: lana. nte y á Valriés (D. Cayetano), mar.ücstó que no había duda ninzuna en que la derecha del omino rea!, a distancia d; este unas 1 qo varas , v…</t>
  </si>
  <si>
    <t>…andante, en cuyo caso que está redactado. El Sr. Lillo: Me limitaré á contestar á una observación que 110 tendría medio para sacar raciones aun cuando á la justicia Je ha hecho el Sr. Arlan, relativa á que se exprese en les pasaportesconstase estar autorizada aquella guerrilla por el Gobierno: por es la clase y cantidad de auxilios que deben prestarse. En el art culo ta razón creo que nos hallamos en el caso de acudir á algún otro medio, por el…</t>
  </si>
  <si>
    <t>Armenla, Pascual</t>
  </si>
  <si>
    <t>Pascual Armenla</t>
  </si>
  <si>
    <t>…i la de Algatocin, y con noticia que reci particular D. Josef y D. Cristóbal Rosillo , y D. Miguel Gil, bí el 25 á las diez de la mañana de! paso por aquella inmedia de Jubrique ; D. Pascual Armenla y D. Sebastian Ti o o co,, de ción de parte del ejército llamado de reserva , á las órdenes del Algatocin; D. Juan Becerra y Sebastian Fajardo su sobrino.de ex-general Villacampa, me dirijí i la plaza de Gatosin, donde Igualeja; y D. Antonio Morales , de Pujerra , se han singu…</t>
  </si>
  <si>
    <t>Armeto, Luis</t>
  </si>
  <si>
    <t>Luis Armeto</t>
  </si>
  <si>
    <t>…s hijos de Padilla y de Weishaupt, enemigos de Dios y ísU operación al Teniente Coronel primer Ayudante de Estado dalos hombres, quienes no duda este ayuntamiento y numeroso Mayor D. Luis Armeto, y par» que lo protegiese aKJomanáante vecindario , que, bajo, el sabio y suave gpbier,n¡t»- de V. A., que de la caballería D. Antonio Luengo Aldrete con tres compa- darán exterminados y volverá la aurora á disipar can’nuevos bri fías de cazadores y una de la…</t>
  </si>
  <si>
    <t>Armiñan, N.</t>
  </si>
  <si>
    <t>N. Armiñan</t>
  </si>
  <si>
    <t>…de su llegada allí, procedente del de S. Se damente no llegó dicho ordenanza, seguti me ha manifestado su bastian, donde se hallaba al aproximarse el ejercito francés. D.ce digno comandante D. N. Armiñan, y de resultas fue envuelto que el 9 estando un parlamentario de aquellos dentro de la plaza después de una heroica defensa. Reunida la columna emprendí ia se presentó en las alturas de la playa y por la popa del buque de retirada en masa de la Infantería, fl…</t>
  </si>
  <si>
    <t>Arnedo, León</t>
  </si>
  <si>
    <t>León Arnedo</t>
  </si>
  <si>
    <t>Gaceta Española n.º 7</t>
  </si>
  <si>
    <t>…hora antes. Lo que se hace saber les lócales y del resguardo al mando del cap tan de la milicia ac al público para su gobierno. Sevilla 14 de Abril de 1823. = El tiva de Salamanca D. León Arnedo, liabicftdo sido él resultado administrador principal de correos. 3 muertos, 20 prisioneros, entre ellos el mismo Morales, *u* se Tribunal ¡U cruzada. gundo, un capellán, 20 caballos, 42 fusiles, carabinas y sables, No habiendo podido indagar la comisaría gen…</t>
  </si>
  <si>
    <t>Arnia, Eugen.o</t>
  </si>
  <si>
    <t>Eugen.o Arnia</t>
  </si>
  <si>
    <t>…tiendo un papel comprensivo de los pareceres de Us profe traba mas que'tomar dinero de la Nación, la cua* á la verdad no lo te sores de la ciencia de curar D. Juan Manuel Aréiula, D. Eugen.o Arnia , para invertirlo en s¡ misma. Que las intenciones de: prcop íiantv se ri-.ta, D. Antonio Hernández Morejou , D. V.crnte Sanano: y el de rian sin duda magnánimas; pero que de ningún modo podía adrn vne l«s tres profesores de cámara D. Hilario Torres, D. Agust…</t>
  </si>
  <si>
    <t>Arnilibia, Ignacio Antonio</t>
  </si>
  <si>
    <t>Ignacio Antonio Arnilibia</t>
  </si>
  <si>
    <t>…elocuente discurso , felicitándose mutuamente de ser lle el cuarto D. Fausto Corral, vecino de Zátauz, y por su adjunto gado el venturosa) dia de la reunión de Guipúzcoa en juntas D. Ignacio Antonio Arnilibia , de la misma villa. Asi bien re gen-rales para contribuir por su parte á la libeilad de nuestro sulta del acta que la representación de la ciudad de S. Sebastian amado Soserano y Real Familia, y concurrir por toda especie expuso á la junta, que hallándose el…</t>
  </si>
  <si>
    <t>Arostegui, Manuel Clemente</t>
  </si>
  <si>
    <t>Manuel Clemente Arostegui</t>
  </si>
  <si>
    <t>Gaceta de Madrid n.º 80</t>
  </si>
  <si>
    <t>…impreso t rulado RerresenLa comisión de Hacienda opinaba que debía pasarse a! Gobierno !a tacii,;i hecha á las Cortes, y f'resent.i.i.i por el J&gt;. alentado iieillj en solicitud de D. Manuel Clemente Arostegui sobre reintegro da goo 12 lie Matz . h-tu r; presentación aparece ser guia contra el actual ducados que tiene abonados en beneficio de ¡a Nación. Apiobado. gele político de C diz por infracciones de icy. Es muy rcpaiub-e que si La misma comisión , en vista de…</t>
  </si>
  <si>
    <t>Arozena, Luis</t>
  </si>
  <si>
    <t>Luis Arozena</t>
  </si>
  <si>
    <t>…y por la prudente ilustración que caracteriza á los Seño tít. 8. de ellos, propuso esta N. villa por asesor presidente de la res apoderados de que se componen. junta al licenciado D. Luis Arozena, abogado de los Reales «El principal objeto de tan dignos representantes, que ja consejos, quien entró en la sala, ocupó su asiento destinado, mas han degenerado de su antiguo esplendor, juzgo debe ser juró y dió por fiadora de sus operaciones á la misma N. v…</t>
  </si>
  <si>
    <t>Arratia, Francisco Aceval y</t>
  </si>
  <si>
    <t>Francisco Aceval y Arratia</t>
  </si>
  <si>
    <t>…tiago Les. D. Josef M.re'o. rificando á medida que baya proporción de fondos. D. Manuel Loprz Concia. D. Valentín Recio. Juicios de jurado. D. Pciayo Zorrilla. D- Eugenio Aravaca. D. Francisco Aceval y Arratia. D. Jtisr.f P.rez Atórales. EISr. D. Francisco de Iribarren denunció en 8 del corriente un ar D. Francisco López Cotana. D. Manuel E.teban Caula. tículo que empieza:» Vamos a dar principio á las semblanza,'* , inserto D. Josef España. D. Antonio Gamonal. «a e…</t>
  </si>
  <si>
    <t>Arratia, Josef Urrutia y</t>
  </si>
  <si>
    <t>Josef Urrutia y Arratia</t>
  </si>
  <si>
    <t>…obráo. ía á su soiic.tud, v propon a la terna siguiente para bactr ¡a elección, Art. 66. ” ce entenderá qu: han servido seis años, aunque no los á siber , D. Jos f Tofe y Bosuct , D. Josef Urrutia y Arratia y Don hayan completado : FeJ'p? López Valdemoro. i.J » J.os que perteneciendo al egército de S. Fernando ó í otros Las Cortes aprobuon la primera parte del dictamen; y en cuanto á quo hayan obtenido igual gracia con aprobación de las Cortes, fueron la segunda acord…</t>
  </si>
  <si>
    <t>Arratibel, Josef</t>
  </si>
  <si>
    <t>Josef Arratibel</t>
  </si>
  <si>
    <t>…a el pri ñolas. mer batallón de voluntarios Realistas de esta corte, á cuya ca 4.0 La guarnición será considerada en Francia como prisio beza se hallaba su Comandante el Brigadier D. Josef Arratibel. nera de guerra, y tratada como tal hasta que la guerra que exis El Excmo. Sr. D. Josef María Carvajal, Capitán general de esta te entre los dos Estados fuere terminada , en cuva época ningún provincia , acompañado de varios Sres. Generales y un lucido indivi…</t>
  </si>
  <si>
    <t>Arrau</t>
  </si>
  <si>
    <t>…ulo, pasáronlos Emi retiñiese á las tropas de F-güeras para estorbar que te levantase f 1 nentísimos Sres. Cardenales á celebrar la quinta congregación ge* bloqueo. Pero cuando el general Arrau t se drsponia á tjcular neral, donde se resolvió que cada Cardenal, ademas de los dos mis órdenes, se recibió la noticia de que el Grnerai burén de conclavistas , pudiese llevar consigo otro criado en lugar de los Damas habia derrotado completamente al enemig…</t>
  </si>
  <si>
    <t>Arraute, Francisco</t>
  </si>
  <si>
    <t>Francisco Arraute</t>
  </si>
  <si>
    <t>…distinguirse con este título, derecho á los bienes quedados por el abintestato de Doña Josefa, porque siempre hemos creido, asi como el ejército español, que de Gondovia, viuda de D. Francisco Arraute, y natural de c llegaríamos á conseguir la libertad del Rey Fernando , llevan Monforte de Lemus, en Galicia, para que dentro del término de do un Borbon á la cabeza de nuestro ejército; y por otra parte, veinte dias, contados desde esta fecha, comparezcan á d…</t>
  </si>
  <si>
    <t>Arraute, Francisco de</t>
  </si>
  <si>
    <t>Francisco de Arraute</t>
  </si>
  <si>
    <t>…ey sobre que se haga el anuncio en la gaceta, á todos los herederos abintestaia el pedido de les 100 millones, por haberse votado en la de Diputa de Doña Josefa Gondovia, viuda ds D. Francisco de Arraute , natural dos cuando esta no se hallaba ni libre ni íntegra para discutirlo. El de Monforte de Lernus, en Galicia, para qua dentro de dicho término Constitucional asegura que la adopción de la ley sobre los veteranos comparezcáis por sí, por medio de procurad…</t>
  </si>
  <si>
    <t>Arrazo, Josef</t>
  </si>
  <si>
    <t>Josef Arrazo</t>
  </si>
  <si>
    <t>…el artículo 6° del decreto ele La comisión segunda da Hacienda presentó su dictamen acerca de la las Cortes ordinarias de 29 de Junó de 1821. Madrid 18 de l ebrero de solicitud de D. Josef Arrazo, teniente de voluntarios de Castilla , relativa 1823. e=Domingo María Ruiz de la Vega , presidente. =eJosef Grases , di i que se le satisfaciesen Jo» alances que tenia hasta el dia por las razones putado secretario. Josef Santiago de Muro, diputado secretario…</t>
  </si>
  <si>
    <t>Arrcll, Josef</t>
  </si>
  <si>
    <t>Josef Arrcll</t>
  </si>
  <si>
    <t>…on. R cardaremos baíleiía de aagunto, que se hallaba en esta con 40 caballos , y el capi no obstante quí el asunto principal es una de Us conquistas mis famo tán del propio cuerpo D. Josef Arrcll , que con otro» 40 estaba en sas de que hace mención la historia moderna , y que el autor bien co Leriru , marchasen al mismo tiempo sobre falencia , no solo para po nocido en el mundo literario descr.be con el co'orido y todos los ador ner á cubierto aquella…</t>
  </si>
  <si>
    <t>Arria.’, Juan Bautista</t>
  </si>
  <si>
    <t>Juan Bautista Arria.’</t>
  </si>
  <si>
    <t>…le sugiera la idea de tentar otra salida hacia re por parte de ia de la Historia: v Rs Sres. D. Francisco Gon el Nuevo-Mtindo, donde no puede menos de inlluir su presencia zález v D. Juan Bautista Arria.’.1 por Ja F.spa" o.a : '"..'.''•cn.cose tanto como en la Península; pues con mucha razón puede lla dignado recibirlos S. M. con su IvmgMOaJ acottumbrcCj. mársele, á pesar suyo , el precursor de la paz. (Red. Esp.)</t>
  </si>
  <si>
    <t>Arriaga</t>
  </si>
  <si>
    <t>…Lorenzo de Salanque el barón de Eróles ría hubiera podido seguir á la caballería, no habría quedado uno. El con muchos oficiales españoles, y ha establecido su cuartel general en comandante Arriaga añade en su pane que espera acabar con la fac aquel pueblo, donde completará su egército. Hoy se han acantona ción sin gastar pólvora, pues su tropa quiere mejor valerse del arma do 2400 soldados de la fe entre S. Hipólito y Vitlanueva de la Ribe blanca. ra,…</t>
  </si>
  <si>
    <t>Arriaron, J. B.</t>
  </si>
  <si>
    <t>J. B. Arriaron</t>
  </si>
  <si>
    <t>…fraterni Rsalidad en ilusión: Melodrama para darse en espectáculo á dad de los habitantes de Zacatecas. Sus primeros pobladores fue SS. MM. cuando se dignen asistir al teatro. Por D. J. B. Arriaron vizcaínos, y establecieron tal franqueza y buena fe entre sí, za. Se hallará en el despacho de la imprenta Real, como también que sus caudales parecían comunes. Aumentóse muy rápidamente las otras dos composiciones líricas del mismo Autor á las actua su pobla…</t>
  </si>
  <si>
    <t>Arriaza</t>
  </si>
  <si>
    <t>…dmitan en su compara;}. nuestros mas divertidos sainetes, con intermedios de bailes na La tan decantada igualdad natural no puede provenir de cionales y del himno compuesto por el Sr. Arriaza á la restau Otra cosa que del resultado de las facultades Jisicas y morales. ración, cantado por .los actores de ópera. Finalmente se recitó Ahora bien , un hombre á quien la naturaleza le ha Regado ta por una de las primeras actrices una oda á S. A. R., á cu…</t>
  </si>
  <si>
    <t>…y de de merecer y acreditar el título de heroica. El mundo no espera Fuente. menos de ella hoy día que se trata de arrancar á su Soberano Segunda edición de la Oda patriótica del Sr. Arriaza , reuni del poder de la r-behon mas criminal. da á otras dos composiciones del mismo autor. Se iva reimpreso » Si S. M. el Rey de Prusia funda grandes esperanzas en los á instancias de muchos que no pudieron adquirir la primera: y esfuerzos de la España, no e…</t>
  </si>
  <si>
    <t>Arriaza, J. B.</t>
  </si>
  <si>
    <t>J. B. Arriaza</t>
  </si>
  <si>
    <t>…del Corpus Christi, aguardaron que se finali Collado y en la de Quirós: un cuaderno en 4.“ á 4 rs. zase la procesión, donde iba formada la milicia local de dicha Oda patriótica de D. J. B. Arriaza, puesta en música por ciudad , y en seguida arrojándose sobre ella todo el paisanaje, D. Angel Inzenga, y egecutada en el teatro del Príncipe de es logró desarmarla sin ninguna desgracia, procediendo á derribar ta corte en la noche del 30 de Mayo último, dia…</t>
  </si>
  <si>
    <t>Arricia, Agustín</t>
  </si>
  <si>
    <t>Agustín Arricia</t>
  </si>
  <si>
    <t>…ando Plaza. D. Felipe Arguelles. permanente 240 quintos, continuando las entregas con la mayor acti D. Andrés Fernandez. D. Saturnino Lozano'. vidad en estos días. D. Miguel Ripa. D. Agustín Arricia. También tiene la diputación contratados y prontos los 637 unifor D. Juan Antonio Marco. D. Bernardo de Borlas y Tarritfs- mes completos con armamento y fornituras para infantería ds línea: 55 D. Joaquín Cevallos. D. Josef Urrutia y Anatia. para caballería ta…</t>
  </si>
  <si>
    <t>Arríela</t>
  </si>
  <si>
    <t>…a mejor El Sr. Saivs: Ai tomar la palabra en contra de! dictamen de la que estuviese S. M. enteramente sano. comisión no es mi ánimo examinar si son plausibles los cinco puntos El profesor Arríela decía que por las observaciones que había hecho qu.- abraza el proyecto de que se trata, sino solo exponer que me pare de la enfermedad de S. M. opinaba que dentro de pocos dies , por un cí y procederíamos con mucha ligereza en aprobar el dictamen, cuan orden…</t>
  </si>
  <si>
    <t>Arroyo, Jacinto Román de</t>
  </si>
  <si>
    <t>Jacinto Román de Arroyo</t>
  </si>
  <si>
    <t>Gaceta de Madrid n.º 663</t>
  </si>
  <si>
    <t>…quez. = Manuel Carrasco, secretario. = Sermo. Sr. presidente y treescuela de Ciudad Rodrigo, el cónsul de S■ M. Cato».va «-a vnr*lí*«' la ---o-----Rpopnrí'x EsDsS2»,&gt;* esta corte, D. Jacinto Román de Arroyo, y entre otras damas de la primera nob'eza del país *e distinguían las Excmas. Se *» Setmo. Sr.: La villa de Villafrartca de los Caballeros, en ñoras Doña María del Cármen Alvarez de Vargas, y Doña el priorato de S. Juan, provincia de la Mancha, representad*…</t>
  </si>
  <si>
    <t>Arroyo, Josef María de</t>
  </si>
  <si>
    <t>Josef María de Arroyo</t>
  </si>
  <si>
    <t>…Dios y por la Constitución de llo, D. Pascual Boiaños y Novoa, D. Antonio ds Oiazarra , D.Franla Munarquía española , Rey de las Espadas , á todos !o¡ que las pre cisco Carranza y D. Josef María de Arroyo, por unanimidad dec aró sentes.vieren y entendieren, sabed: Que las Cortjs han decretado lo haber lagar á la formación de causa. siguiente: s» Lis Cotíes , usando de la facultad qu; s: les concede por __El procurador síndico tercero del Excmo. ayuntamiento de…</t>
  </si>
  <si>
    <t>Arroyo, Pedro Muñoz</t>
  </si>
  <si>
    <t>Pedro Muñoz Arroyo</t>
  </si>
  <si>
    <t>…anro ocurre y pongo en conocimiento de V. E. Dios guar de muerte. (Gaceta del 18.) de á V. E. muchos años. Cuartel general de Fraga 25 de Diciembre Real orden dando las gracias al Sr. D. Pedro Muñoz Arroyo por de i8*a.e=Excmo. Sr.=Manuel de Velasco.=Excmo. Sr. secretario de 3a aplicación que ba hecho de la mitad de sus rentas á objetos de bene Estado y del Despacho de la Guerra. ficencia. (Gaceta del 30.) Real orden sobre lascanongías y prebendas de la inquisic…</t>
  </si>
  <si>
    <t>Árt</t>
  </si>
  <si>
    <t>Gaceta de Madrid n.º 51</t>
  </si>
  <si>
    <t>…m Avisará al gefe de cirugía del punto cuando á un en sus empleos y sueldos por Reales despachos. ....................... fermo neutra accidente de cirugía para que este nombre el profesor Árt. 56. » Usarán en paz y en guerra un uniforme particular que que drba. jr.cargqrse de su asistencia-,Aiendo obligación recíproca ¿g Iqs.diferencie, da los demás, cfi-iáírs del egército, y divisas que distin aquel gefe el avisar al de medicina para que en igual…</t>
  </si>
  <si>
    <t>Art</t>
  </si>
  <si>
    <t>…s se distingan en este importante en des participaran en los mismos términos el nombramiento de los electo cargo. res parroquiales para la elección de diputados á Cortes al primer alcalde Art. 63. o Corregirán toda clase de defectos públicos contrarios del pueblo cabeza de partido ; y este comunicará en el propio orden al i la moralidad, é impedirán toda r-union que pueda opon-:se á ella gefe superior político el qu: resulte elector de partido. Si…</t>
  </si>
  <si>
    <t>…e; y para capitán de la segunda compañía a D. Manuel A.var z, las siguientes : elegídvs cor, arreglo á lo mandado. capitán i «.rado con grado de tennnt; caionei ; p¿¡a tan.-enti a Don Art. 8t. ” En seguida «e r.ou¡bi«rin tres suplentes en el mismo or Cirüo López , espitan graduado de teniente coronel d i regimiento ¡nden y ademando los partidos, segnn se ha dispuesto para los propieta l-ntería he Mal,orea ; par í subteniente prirmro á D. Juan…</t>
  </si>
  <si>
    <t>…ision se establecerá en el punto que elija,de los señalados á los mo tercio de la contribución de consumos. cuerpos de mi mando. Las Cortes quedaron enteradas de un oficio del Sr. secretario Art. 4.0 El general comandante de la segunda división se interino de Estado, en que participaba que S. M. habia habilitado establecerá en Madrid ; su primera brigada , compuesta de los interinamente para Ja secretaría de Hacienda al oficial mayor de batallones de…</t>
  </si>
  <si>
    <t>…aduación, asi en Guerra acerca de las medidas extraordinarias propuestas por el servicio activo como en comisión. Gobierno. La comisión de Legislación en vista de la exposición de Don Art. i.° Se suspunden los artículos 18, 2 r , 22,31, 38, Juan Josef Martínez, oficial de ¡a secretaría del Despacho de 39 &gt; 5 1 1 56, 57, 58, 59, 71 y 145 de la ley constitutiva dei Aíarina en solicitud de dispensa de pruebas para obtener la con ejercito; y en su…</t>
  </si>
  <si>
    <t>Gaceta Española n.º 92</t>
  </si>
  <si>
    <t>…hacer publicar en ella los ]a edición, ó que esta, ses snónimH. Aprobado. fallos de ios jurados. (.Aprobado en 2a misma sesión ). Art. 17. En dichos dos casos, ó cuando después de conde Art. 28. Si estos recayesen sobre algún periódico, cuidará nado el escrito por el primer jurado , probase el impresor ante un ademas de que se publiquen en el mismo, oficiando al efecto al juez de primera instancia que no es suya la edición sino supuesta juez de…</t>
  </si>
  <si>
    <t>Art, Beítran</t>
  </si>
  <si>
    <t>Beítran Art</t>
  </si>
  <si>
    <t>…orresponden por el art. i.", ¿xc pu los llamados segundos aron. ayudantes , que conservarán est: nombre m entías no s- .xting'n. Di! ayuntamiento constitucional de Alcira , por el Sr. Beítran Art. 7.0 » Ademas del número de ¡jefes, 1 Ge ales que pu dan ser « Lis. colocados por et articulo ant-rior , se tomrrán coroneles ‘1 -t sros del D I seminario conciliar de S. Felipe Neri de la ciudad de Baeza; egére to con sueldo de ta es, ó brigadieres para pr m…</t>
  </si>
  <si>
    <t>Art, Cal</t>
  </si>
  <si>
    <t>Cal Art</t>
  </si>
  <si>
    <t>…valerse, debiendo llevar las diputaciones provincial de Logroño, por el Sr. Manso. cuenta exacta de lo que reciban ¿ invierten. Del ayuntamiento y pueblo de Navas de Duero, por el Sr. Cal Art. 8.J » Las diputaciones que cumpliesen exactamente con lo derón. prevenido en el artículo anterior seria por el mismo hecho declaradas De la milicia nacional activa de Avila. beneméritas de la patria. De los empleados en la oficina dei Crédito público en la p…</t>
  </si>
  <si>
    <t>Art, Conta</t>
  </si>
  <si>
    <t>Conta Art</t>
  </si>
  <si>
    <t>…el número ele marineros que les su inteligencia y cumplimiento. Dios guarde á V. 5. muchos corresponde con arreglo á su reglamento. años. Cádiz i.° de Agosto de 1823.=: Yandiola. =Sr. Conta Art. g.ü la tropa de marina para el presente ano, consistirá dor general de la Distribución. en cuatro batallones de á mil hombres cada uno. Art. 4 0 Se continuará la construcción de las fragatas Iberia y El Rey se ha servido mandar: i.° Que las viudas, pensionis…</t>
  </si>
  <si>
    <t>Art, Diego</t>
  </si>
  <si>
    <t>Diego Art</t>
  </si>
  <si>
    <t>…ometerse ni entorpecer las obras ni á sus di al teniente coronel D. Antonio Ricote, y á sus inmediatas órde rectores. Aprobado. nes el coronel D. Josef Andra y el teniente coroneL D. Diego Art. 120. Formarán tambiemexpediente para acordar lo que ronce. convenga sobre ei presupuesto de'siis gastos ordinarios , haciendo 3,0 El servicio de la plaza de Madrid se hará por batallones, constar cuáles sean los que debe tener en cada año, el producto cubrie…</t>
  </si>
  <si>
    <t>Art, Domingo</t>
  </si>
  <si>
    <t>Domingo Art</t>
  </si>
  <si>
    <t>…mporte, sufrirán las pe Rafael Casimiro Lodares y D. Miguel Sánchez Casas por la de nas que proporcionalmente señala el código penal. la Mancha: D. Josef Apoita por la de Vizcaya: D. Domingo Art. 9." Cualquiera que á la sombra del ejército invasor ó Cortés, D. Francisco Tlenriquez, D. Josef Alcalde y D. Ra de las partidas de facciosos solicite, acepte, sirva ó continúe sir món Lamas y Melendez por la de Galicia: D. Josef Cuevas poc viendo algún desti…</t>
  </si>
  <si>
    <t>Art, Francisco</t>
  </si>
  <si>
    <t>Francisco Art</t>
  </si>
  <si>
    <t>Gaceta de Madrid n.º 493 (extraordinaria)</t>
  </si>
  <si>
    <t>…n se les dará libertad para retirarse á país ocupado por las tropas presos en Ceuta por razones políticas, ó por desafectos á la realistas. Constitución, hallándose entre ellos el coronel D. Francisco Art. j° Los oficiales conservarán sus espadas y todos los Daluzan , ex-teniente de Rey de la plaza de Tarragona , otro efectos de su propiedad particular, y los soldados sus mochilas: coronel y varios capitanes, los que dieron 3a noticia de la su todo lo que no s…</t>
  </si>
  <si>
    <t>Art, González</t>
  </si>
  <si>
    <t>González Art</t>
  </si>
  <si>
    <t>…ción por unanimidad. Continuó la discusión de las medidas propuestas poT la co quedan puestas bajo la salvaguardia de la Nación. misión Especial en virtud de las proposiciones del Sr. González Art. 2.0 Esta recibe bajo su inmediata protección á los sol dados que en-ht actual guerra se inutilizaren en su defensa, tantoAlonso y otros Sres. diputados. La comisión, en vista de la adición del Sr. Sotos al artícu en el servicio de mar como en el de tierra, s…</t>
  </si>
  <si>
    <t>Art, Guillermo Hualde.rrLeida</t>
  </si>
  <si>
    <t>Guillermo Hualde.rrLeida Art</t>
  </si>
  <si>
    <t>…sponde. Dios total restablecimiento, después del cual seguirán la suerte de la guarde á V. E. muchos años. Palacio go de Se tiemble de 1813. guarnición. =Jo:ef García de la Torre.=Sr. D. Guillermo Hualde.rrLeida Art. 9.0 Los gefes de lps cuerpos están autorizados á dejar tn la Junta acordó se guarde y cumpla, y se publique en el dia en depósito en el arsenal militar de la plaza las cajas, papeles y rio y Gaceta para que llegue á noticia de los interesados. demas document…</t>
  </si>
  <si>
    <t>Art, Josef</t>
  </si>
  <si>
    <t>Josef Art</t>
  </si>
  <si>
    <t>Gaceta de Madrid n.º 763 (extraordinaria)</t>
  </si>
  <si>
    <t>…Málaga, comprendidos sus armamentos y provi iones llevó Riego consigo: su tropa se ve perseguida por las partidas de toda clase. realistas al mando de D. Francisco Gómez Pantisco, D. Josef Art. 4.0 Todos los militares españoles que se encuentren en Ruiz Vizcaíno, D. Juan Guerra y D. Fernando Roa en unión este momento en Málaga , cua'qAera que sea su posición , están de las tropas francesas , las que no dejarán de picarle su retaguar comprendidos en…</t>
  </si>
  <si>
    <t>Art, Leonardo Miguel</t>
  </si>
  <si>
    <t>Leonardo Miguel Art</t>
  </si>
  <si>
    <t>…cretos de Jas Cortes previenen , solamente en las causas dos meses de prisión y multa de joo rs. de vn. civiles y en ¡as criminales de injurias. Sres. que han compuesto el jurado: D. Leonardo Miguel Art. i(5. Todas las condenas de las especies antedichas se in Camerino, D. Jelix de Aguirre, Dr. D. Francisco Fernandez sertarán en la gaceta de la corte, y también se anunciará en la del Castillo, D. Juan González, D. Juan Laserna Salcedo, misma cuando una obra…</t>
  </si>
  <si>
    <t>Art, N.</t>
  </si>
  <si>
    <t>N. Art</t>
  </si>
  <si>
    <t>…to de los de aduanas. de se halle el Excmo. Sr. general en gefe, igualmente lo hará el Aprobado. comandante general de artillería. La misma comisión , en vista de la exposición de Doña N. Art. 2.0 El segundo ayudante general D. Angel García de Sevillano, hermana que fue de un gobernador de Santander, so Borunda permanecerá en esta capital encargado de la sección de licitando una pensión sobre espolios, opinaba que la Nación no estado mayor que que…</t>
  </si>
  <si>
    <t>Art, Nufiez Fal-</t>
  </si>
  <si>
    <t>Nufiez Fal- Art</t>
  </si>
  <si>
    <t>…el mismo orden á hacer las de otros tantos sustitutos cuantos sean aque reemplazo. llos , siguiendo siempre la numeración y la edad. A consecuencia de una observación hecha por el Sr. Nufiez Fal- Art. tíi. »&gt; Si no hubiese número suficiente de mozos para llenar con se aprobó este artículo variando el caso primero en estos térmi todas las plazas de soldados y sustitutos , se procederá , sin perjuicio de nos : » Los que sirven en el egército permanente de m…</t>
  </si>
  <si>
    <t>Artegui, Ramón</t>
  </si>
  <si>
    <t>Ramón Artegui</t>
  </si>
  <si>
    <t>…hacer la oposi nadires D. Francisco Javier Abalos, al de cazadores D. Josef María ción de que habla el art 6.°-, entendiéndose que los cirujanos han de Manglano, y á los tenientes D. Ramón Artegui, D. Luis Castejon y irner el tía licenciados en cirugía medica. Madrid 23 de Diciembre de D. Esteban Cereceda, á los cadetes D. Rufino Gil , D. León Manso, *Sa;.e=Juan Olivar y García , presidente.=cMartin Serrano , diputado y al pífano Ignacio Lotea, que sin…</t>
  </si>
  <si>
    <t>Arteiga, Angel</t>
  </si>
  <si>
    <t>Angel Arteiga</t>
  </si>
  <si>
    <t>Gaceta de Madrid n.º 89</t>
  </si>
  <si>
    <t>…n, Vitoria y Bii - , Su casi era el sitio en que conferenciaban los cómplices y á ia bao y en los periódicos de la corle, expresando que el primer remate se que asistían coma Ules D. Angel Arteiga; D. Antonio Ordoñez , mú verificará ante dichos intendentes, en cantidad cada uno de 33,400 sicos ambos de ia Real capilla; D. Fernando Cañizares, presbítero ira.eos ea los cuatro años, ó 8,350 anuales, expresando que el primer manchego (prófugo); D. Josef Ma…</t>
  </si>
  <si>
    <t>Arteta, Fermín</t>
  </si>
  <si>
    <t>Fermín Arteta</t>
  </si>
  <si>
    <t>…ral, D. Francisco de! presente aiio: la otra mitad se aplicará al primer ano civil, que Sánchez. empezará en 1de limio de 1824, cobrándose también por u'i- Teniente de ingenieros, D. Fermín Arteta. mrures. Unida esta mitad á la suma que las Cortes venideras con Subteniente de Zapadores , P. Juan Cid. cedieren para los seis últimos meses completará el presupuesto del ATct.i. En la salida se hallaron tamlren los bizarros D. An año civil. drés Bceoña y D.…</t>
  </si>
  <si>
    <t>Articulo</t>
  </si>
  <si>
    <t>Gaceta Española n.º 99</t>
  </si>
  <si>
    <t>…, han decretado lo siguiente sobre el libre cultivo , fabricación y venta del tabaco.y á proporción el de muertos de i 5 á 20. El parte del resumen de dichas operaciones que da el general Articulo i.° El cultivo, venta y fabricación del tabaco que en ge fe de dicho ejército D. Antonio Burriel, se leerá si las Cor da en plena libertad desde primero de Julio próximo, según ius reglas que se establecen en el presente decreto.tes lo tienen á bien. Leyó en…</t>
  </si>
  <si>
    <t>Artículo</t>
  </si>
  <si>
    <t>Gaceta de Madrid n.º 643 (extraordinaria)</t>
  </si>
  <si>
    <t>…or de la plaza de la Coruña, se ve cuerpos é individuos particulares de que se compone la guarni rificó el convenio que sigue: ción y población de ia Gorma*, de acuerdo con el Sr. conde Artículo i.u La guarnición de ¡a Coruña entra íntegra bajo Bourk. del mando de S. E, el general conde de Cartagena , capitán ge En consecuencia, el conde de Cartagena, habiendo oido ¿ neral y comandante en gefe del ejército español en Galicia , bajo los comisionados p…</t>
  </si>
  <si>
    <t>Artículo, Fran</t>
  </si>
  <si>
    <t>Fran Artículo</t>
  </si>
  <si>
    <t>…iguiente: Las Cortes , usando déla facultad que guarnición de Santoña. , se les concede por la Constitución, han decretado lo siguiente: Segunda división. __ Comandante general el brigadier D. Fran Artículo i.° Se establecerá y exigirá un derecho cosí el nombre cisco Moreda; D. Ramón Carreño , gefe interino ; D. Josef de servicio por la concesión de honores relativos í toda clase de Martínez Bernal auxiliar. empleos civiles. Art, Gobierno formará y remitirá á la…</t>
  </si>
  <si>
    <t>Arvía, Juana</t>
  </si>
  <si>
    <t>Juana Arvía</t>
  </si>
  <si>
    <t>210</t>
  </si>
  <si>
    <t>…gocio, y del estado que actualmente tiene, pro A la comisión segunda de Hacienda *c mandó pasar una ex- ponía á la deliberación de ¡as Cortes los siguientes artículos. posíc.ou de Doña Juana Arvía, pidiéndose ¡a conceda la v.ude— Alt. t.° Habiéndose anulado los privilegios concedidos á la dad que la corresponde por muerte de su marido. casa de Gordon y Muríi, de Londres, por decreto de las Cortes Conformándose las Cortes con los d etémenes de la comise…</t>
  </si>
  <si>
    <t>Arvilla, Manuel</t>
  </si>
  <si>
    <t>Manuel Arvilla</t>
  </si>
  <si>
    <t>…unto, y también se leyó el informe de la para que cubriese el camino del Puerto de Santa María á las ór junta municipal de sanidad de la ciudad de San Fernando. denes del teniente coronel D. Manuel Arvilla con el resto de su El Sr. Secretario de la Gobernación de la Península mani batallón número 26 ■■ la tercera de reserva á las del comandante festó entre otras cosas la opinión que habian emitido las corpo Don Felipe Tolosana con la mayor parte de su batallón…</t>
  </si>
  <si>
    <t>As, Isidro</t>
  </si>
  <si>
    <t>Isidro As</t>
  </si>
  <si>
    <t>…go (prófugo); D. Josef Manuel Erroz, capellán de altar y rímale se verificará el 1 5 de Abril próximo venidero , y ei último en canónigo da Búrgos; Jorge Crespo; Agustín Escudero; D. Isidro As30 del mismo, en cuyos 15 dias se admitirán á la llana cuantas me torga, capitán retirado; D. Pedro Mariano Basq, cura de Cactil-Tlenu, joras estimrn hacer los lidiadores hasta la hora de! citado dia 30,en hermano de D. Domingo; otros muchos cuyos nombres ae h…</t>
  </si>
  <si>
    <t>…este de Bíugos; D. Lorenzo Sainz, presbítero beneficiado del lu dando al mismo tiempo qua ss le dieran las gracias en su nombre. gar de Cazedo; D. Manuel Yoldi; D. Dionisio Carro; D. Isidro As(Gaceta eit! /y.) torga y Joige Crespo. Todos fueron condenados i muerte por el juez Decr. to de'las Cortes derogando el artículo 4.0 del decreto de 13 de primera instancia; y ya se ha visto qué pena impuso la sala á Car de Matzo del año pasado , por el que se…</t>
  </si>
  <si>
    <t>Ascanio, Pedro Delgado</t>
  </si>
  <si>
    <t>Pedro Delgado Ascanio</t>
  </si>
  <si>
    <t>…to que pudo escapar de tantos por los padecimientos por la patria, y con la cruz del primer peligros en que su valor le habia comprometido. ¿ Y habrá espa ejército de Cataluña , y D. Pedro Delgado Ascanio, subteniente ñol que no sienta hervir-su pecho con un fuego santo, y malde de infantería , empleado en ia Milicia nacional activa de Málaga. cir á tan inicuos enemigos? Ved la gratitud de los que sin me Unos y Otros legítimamente autorizados y reunidos en el…</t>
  </si>
  <si>
    <t>Asenjo, Bernardino</t>
  </si>
  <si>
    <t>Bernardino Asenjo</t>
  </si>
  <si>
    <t>Gaceta de Madrid n.º 403</t>
  </si>
  <si>
    <t>…nte provisional de la serranía de Ronda, en que se lo daba quesa de Cailus (como de haberse entregado á las fuerzas Realis'as 600 hombres, man atenciones de su marido dados por el coronel D. Bernardino Asenjo, en que consistía la guarnición de aquella ciudad, y que en unión con el partidario „ Settno. Sr.; El marques de San,Felices, conde de Aleó D. Francisco Gómez había pasado á Clasatabond3, en donde se le*, grande de España, y vecino de la ciudad de Vallado!,d…</t>
  </si>
  <si>
    <t>Asenjo, Bernardo</t>
  </si>
  <si>
    <t>Bernardo Asenjo</t>
  </si>
  <si>
    <t>…te siguiente. res siguientes: D. Joaquín Manrique y Manrique , D. Domingo í&gt;rF! segundo comandante general del quinto distrito militar , con nandez Angulo , D. Zoilo Gómez Casero, D. Bernardo Asenjo, Don íecla de 9 del actual, dice entre otras cosas al Excmo. Sr. secretario Juan Isidoro Persz, D. Cayetano Romero, D. Juan Manuel de Ale da Estado y del Despacho de la Guerra So siguiente; ■» En el monten- jula, D. Juan Antonio López y D. Isidoro de Hoyos, t…</t>
  </si>
  <si>
    <t>…deshecho. Estoy esperando parte D. Santiago Vicente Les , D. Juan Antonio Marco , conde de la Tor&lt; de la vanguardia, que según la proximidad á que se hallaba ya de! ene refresno y D. Bernardo Asenjo. migo, d-.b.ó hacerle algunos prisioneros y aumentar el horroroso des Habida la conferencia, se decidió por unanimidad » haber lugar á orden y desaliento en que marcha , que es el mejor desengaño para la formación de causa.” los pu-.b.'os.czcDios guarde á V.…</t>
  </si>
  <si>
    <t>…unió el jurado, compuesto de los Sres. siguientes ; Don papeles varias proclamas subversivas, habiéndose salvado solo Bessteres con Josef Demetrio Rodríguez , D. Vicente Segurado, D. Bernardo Asenjo, 30 hombres.” D. Francisco Javier Barra , D. Joaquín Huerta Cevallos, D. Juan Isidoro Ministerio de Guerra. Pérez, D. Andrés Alcon, D. Amonio del Alcázar , D. Joaquín Manri El Rey se ha servido mandar que el regimiento número 37 de infan que y Manrique. tería…</t>
  </si>
  <si>
    <t>Gaceta de Madrid n.º 42</t>
  </si>
  <si>
    <t>…la causa de los hombres En su vista se reunió el jurado, compuesto de los señores si de todos los países; tú acabas de dar la independencia á. Euro guientes: D. caturnir-o Lozano, D. Bernardo Asenjo, Don pa ; tu darás al mundo la libertad. . Valentín Recio, D. Manuel Zulueta, D. Josef Valls y Roca, — La diputación provincial á los ciudadanos milicianos y de D Antonio Palacios , D. Santiago Vicente Les, D. Isidro mas patriotas de la provincia de Madrid. F…</t>
  </si>
  <si>
    <t>Aser, Bernardo</t>
  </si>
  <si>
    <t>Bernardo Aser</t>
  </si>
  <si>
    <t>…stancias Queraltó, D. Matías Piniila, D. Zoilo Gómez Casero, D. Juan Anto en que se halla la provincia de S. Sebastian, la cual confina con Francia, nio López, D. Gaspar Aguilera, D. Bernardo Aser,jo, D. Nicolás He se observe lo que en otras guerras se ha observado , relativo á la forma redero Mayoral: habida la conferencia, se declaró por unanimidad haber lu ción de batallones de miñones, para lo cual se autorice á su diputación gar á la formación de…</t>
  </si>
  <si>
    <t>Aserio, Bernardo</t>
  </si>
  <si>
    <t>Bernardo Aserio</t>
  </si>
  <si>
    <t>…qu:. esta ciudad acababa de ser ocupada Madrid 14 de Julio. por un batallen de infantería revolucionaria, á las 1 rdrncs del El Gobierno ba recibido parte de que SS. MM. y AA. con coronel D. Bernardo Aserio, ei cual se manifestaba en buen tinuaban sin novedad en su importante salud en los dias 7, 8 y sentido, le envió un pailam:ntario , y al instante mismo los ofi ■9 del corriente. cíale* y soldados se unieron á los habilants para jurar combatí* En ios puertos p…</t>
  </si>
  <si>
    <t>Ashley</t>
  </si>
  <si>
    <t>…ntrepidez y prudencia se ha demostrado á indios; se sabe que en la partida de Assiniboins, que robo 30 nuestra vista en la elección que habían hecho de la constitución caballos al capitán Ashley, &gt;e bailaba un.............................. y 1ue</t>
  </si>
  <si>
    <t>Asia, Juan Bau</t>
  </si>
  <si>
    <t>Juan Bau Asia</t>
  </si>
  <si>
    <t>…mente como acostumbra , y el citado gefe de E. M. herido hizo á la conquista de la Siria, de la Fenicia, de la Palestina, de ¡a prodigios de valor: el capitán de milicias de Acarí D. Juan Bau Asia menor y de la Persia, que acabaron los musulmanes en po tista Arana ha repetido su mérito en esta ocasión distinguidamen quísimos años. Sea lo que fuere, lo cierto es que la decadencia del te , y mi ayudante teniente D. Manuel Bayon, y los agregados al imperi…</t>
  </si>
  <si>
    <t>Asía-, Josef Urrutia y</t>
  </si>
  <si>
    <t>Josef Urrutia y Asía-</t>
  </si>
  <si>
    <t>…onstitucional, que muchos han debido á pasar suyo quedar Se procedió á la elección de visitador para la audiencia de Mallor se sin ellas. ca entre los Sres. D. Joaquín de Latorce, D. Josef Urrutia y Asía- El Sr. García del Barrio ha organizado una compañía de volunta tía y D. Felipe López Valdemoro, cuyos sugetos estaban propuestoi rios, los cuales han sido armados por el ayuntamiento. Los alumnos de por la comisión, quedando elegido ei Sr. Latorre por 60 votos de 9…</t>
  </si>
  <si>
    <t>Asís, Francisco Francisca de</t>
  </si>
  <si>
    <t>Francisco Francisca de Asís</t>
  </si>
  <si>
    <t>…ue de Angulema, tamentaría de Doña Antonia Ramona de Saldamando, que ha venido á cumplimentar á la Serma. Sra. Infanta Doña Alaría pende por la escribanía de provincia al cargo de D. Francisco Francisca de Asís, y expresar el sentimiento de S. A., porque Montoya, y señalado para ella el domingo 19 del presente mes sus muchas ocupaciones no le han permitido verificarlo perso de Octubre á las 10 de la mañana, en su habitación calle de nalmente como lo tenia dispuesto.…</t>
  </si>
  <si>
    <t>Asnar, Pedro</t>
  </si>
  <si>
    <t>Pedro Asnar</t>
  </si>
  <si>
    <t>554</t>
  </si>
  <si>
    <t>…ampo , y previne que el ñías de cazadores del Infante, mandadas por sus capitanes los bagage y la infantería, mandada por los comandantes de división tenientes coroneles graduados D. Pedro Asnar y D. Pedro Peña, D. Juan Antonio Monet, D. Josef Carrataiá y el gefe del Esta desalojaron con gallardía sobre la marcha. Hice venir el resto do M. G. D. Gerónimo Valdés, marchasen rápidamente á Bede infantería, caballería y artillería que quedaba en Late, y ha llavista por S…</t>
  </si>
  <si>
    <t>Astigsirava, Vicente de</t>
  </si>
  <si>
    <t>Vicente de Astigsirava</t>
  </si>
  <si>
    <t>…. Batallón dtl general 800. Total 2800. Juan Coll, de 451 rs. 8 mrs. y medio—Otto, registro 7, núm. 247, ■Segunda brigada de la segunda división. de Setiembre de i8r8 , á favor de D. Vicente de Astigsirava ; y no Kitaüon de M. A. d-e cufiad Real...... Alcázar ds S. Juan...... Al habiendo llegado á su destino, se suplica 3 la persona que supiese e! pa calá...... Madrid...... Gaada'ajara....... S. Clemente. radero de todos ó alguno de ellos tenga la bondad da avi…</t>
  </si>
  <si>
    <t>Astorga, Isidro</t>
  </si>
  <si>
    <t>Isidro Astorga</t>
  </si>
  <si>
    <t>…z. Aun después de desbaratado el plan por lo respectivo á la sa los dispusieron á cometer horrores contra los que sí designaran como lida del Monarca, aconsejó al capitán retirado D. Isidro Astorga que enrnugos del Monarca : crecía la ansiedad con los tiros apostados en to se fuese hácia Burgos, asegurándole que hallaría en el camino mucha da ia caliera , que habían de servir para la traslación de la Real Fami tropa dispuesta. lia: sr hablaba con indign…</t>
  </si>
  <si>
    <t>….,,ayudante tic campo dei general la Rochejaqu'elcin, á lladares , de igual destino. . , j;o .otro general;residente eu Taris , fecha delanj^ideiia Coiuña-el \j Don Domingo Basso, D. Isidro Astorga, D. Dionisio de Julio último, por llevar consigo, comgidicftdjcho periódico, Carro, D. Josct Erroz, D. Jorge Crespo, ÍD. Anroniq OrdqT el carácter de la verdad y. de 1.a banquera militar; y por ser tan ñez, D. Francisco Osarrio y D. Agustin Escudero, proceden…</t>
  </si>
  <si>
    <t>Asucro, Josef</t>
  </si>
  <si>
    <t>Josef Asucro</t>
  </si>
  <si>
    <t>…fuerza de 30 Arratia , D. Francisco Sainz de Rozas, L&gt;. Joscf Valls de Roca , Doa caballos y 20 infantes, y ademas 12 voluntarios de caballería de Nava; Josef de Leglisa y Pinedo, D. Josef Asucro , D. Míreos Izquieido y y sabiendo esta noticia se estaba disponiendo para perseguirles con di D. Eugenio Perez Gonzaliz. rección á Aza , para donde habían salido &gt; pero como dicho sugeto salió Habida la conferencia , se declaró por unanimidad haber lugar 41*…</t>
  </si>
  <si>
    <t>Asuero, Cosme</t>
  </si>
  <si>
    <t>Cosme Asuero</t>
  </si>
  <si>
    <t>…mención en su parte. No puedo m nos de manifestar. á .riscos resbaladizos, me hallaba ya próximo á verificar la reunión , re V. E. la sen» ble pérdida d:l oficial de estado mayor D. Cosme Asuero, cibí el.pirte.de BacigalUpC que acompaña , en que me noticiaba haber el que por su valor , conocimientos y decisión por la justa causa que batido á ios facciosos, apoderándose del bagaje que Jtiíecuaban intro defendemos se hab:a granjeado el aprecio de todos…</t>
  </si>
  <si>
    <t>Asuilar</t>
  </si>
  <si>
    <t>…oroteo ganados robados se venden en la plaza de Santiago, y que se ha Aguilar , cuyo tenor es como sigue. cen por orden de D. Juan Felipe Ibarra. Esto desde luego no pa- Parte del comandante Asuilar. Señor gobernador: Anoche los del orden han avanzado á los Da también noticia de un auxilio que acababa de proporcio puestos de los Gramajos, y han saqueado todas las casas y viola nar al coronel Urdininea , al que deben seguir otros mas. Con do mugeres; han…</t>
  </si>
  <si>
    <t>Asura, Francisco Ignacio</t>
  </si>
  <si>
    <t>Francisco Ignacio Asura</t>
  </si>
  <si>
    <t>…terino, Angel Martínez Lorente."’ blica , pretendan esclavizarnos y echarnos cadenas de bronce impune Idem jó. mente! No ciertamente. Ahora es cuando el sistema constitucional, El coronel D. Francisco Ignacio Asura da parte á este Sr. coman adoptado felizmente en la Península , va á generalizarse en toda Euro dante general de una acción que sostuvo contra el cura Gorostidi; pa. Ahora es cuando la Europa va á recobrar su libertad; ahora es quien con 180 hombres con armas…</t>
  </si>
  <si>
    <t>At.üilies</t>
  </si>
  <si>
    <t>…cuando oprimida la «ación por una fuerza extrangera, bierno, les detallasen ios arbitrios de que debería usar. y una facción que á su abrigo ejerce todo linage de violencia no El Sr. At.üilies, para aclarar un hecho sin perjuicio de los tiene medios de manifestarla. El hecho de la eleccich de los se que tenista pedida la palabra, manifestó que la comisión consen ñores diputados con arreglo á las fórmulas constitucionales sin tida en que los Sres. S…</t>
  </si>
  <si>
    <t>Athenri</t>
  </si>
  <si>
    <t>…, convencida sin duda de 1;; des treinta y cinco.__B-yt. 1 j ti ¡ir Abrí!. Esperamos en estado igualdad que presentaba la multa que se imponía en el articulo un momento á otro al lord Athenri que pasa á Sevilla___ Br1- tal como estaba ayer, presenta hoy reformada esta parte de su iv /}'------Al acercase los enemigos nuestra milicia dictamen , estableciendo un tanto por cada individuo de ayunta nacional se retiró con ¡as autoridades y con las tropa…</t>
  </si>
  <si>
    <t>AtieDza, Antonio de Vargas y</t>
  </si>
  <si>
    <t>Antonio de Vargas y AtieDza</t>
  </si>
  <si>
    <t>…os al gefe político de GuadalaHecha cargo la Regencia del Reino de las poderosas razo jara, al intendente de Jitiva, el juez de primera instancia de nes que ha expuesto el Exctno. Sr. D. Antonio de Vargas y AtieDza, un comisario de guerra con varios empleados de ha Laguna al hacer dimisión de la primera secretaría de Estado y cienda militar, 30 soldados de caballería del regimiento del del Despacho que'S. A. S. tuvo á Lien conferirle, se ha servi Infame y nacionales de…</t>
  </si>
  <si>
    <t>Atvarez, Domingo</t>
  </si>
  <si>
    <t>Domingo Atvarez</t>
  </si>
  <si>
    <t>Gaceta Española n.º 10</t>
  </si>
  <si>
    <t>41</t>
  </si>
  <si>
    <t>…a de San fiá, á las órdenés de E&gt;. Josef Antonio Sanz Maldonado, con los Gregorio, pueblo de Portugal, de la cual hable a V. S. en oficio de este pueblo á las del oficial retirado D. Domingo Atvarez; y de i.° del corriente, diciendo haber “entrado en esta provincia lo mismo el subteniente de voluntarios de Aragón D. Gregorio por Entrimo y Riocilldo , tengo por cierto que á esta hora ha de de la Torre, que nombré por mi ayudante. jado de'éxistir enteramen…</t>
  </si>
  <si>
    <t>AUarez, Francisco</t>
  </si>
  <si>
    <t>Francisco AUarez</t>
  </si>
  <si>
    <t>…ítico de la provincia de Oviedo. Alonso Ablanedo, D. Antonio García Arango. Abogado Don Sección de gobierno político—Después de estar esta ciudad Josef Ramón de la Peña. Escribano D. Francisco AUarez. en bastante agitación con motivo de la entrada del traidor sil Procurador eclesiástico D. Josef María Fernandez, D. Nicolás veira en León, que obligó á las autoridades y particulares a to Faujul, D. Bernardo Alonso, D. Juan Areces. Sargento se mar medidas de…</t>
  </si>
  <si>
    <t>Aubert</t>
  </si>
  <si>
    <t>…este dia por Es tropas francesas. tan glorioso para la» armas francesas.,.Le auxiliaron perfectamen - • art. a.° Los generales, oficiales , tos empleados civiles y te el teniente general Aubert, que mandaba bajo sus,inmediatas militares que urigan.considetacion de oficiales, conservarán su* órdenes, y los mariscales de campo, conde d’Escards y barón efectos, dinero, bagages y caballos; pero únicamente los corres-, Gaugeon, que mandaban los escalpncs…</t>
  </si>
  <si>
    <t>Audi</t>
  </si>
  <si>
    <t>…os otros delitos menos giaves. zarle ios suecios contenidos en la terna siguiente: La comisión pues no puede prescindir de proponer en el artíaño «I D. Jos-i' he tipo rfc Morenti, D. Audi** García del Corral, Don uso de una clemencia ilimitada, y considera que con esta medida que Josíf Fernandez ÍVlafiso. propone a ias Cortes se reconocerán esos ilusos, y volverán sí: cu.tSe aun,dó quedar sobre la mesa. lesqulera que sean los delitos que hayan…</t>
  </si>
  <si>
    <t>Aufion, Manuel</t>
  </si>
  <si>
    <t>Manuel Aufion</t>
  </si>
  <si>
    <t>…ido inspirar á los griegos ceros del Soberano, D. Rafael García, que dejó tendidos en las fuerzas necesarias para llevar por tanto tiempo una vjda tan las calles siete enemigos; á D. Manuel Aufion, Teniente con aflictiva. La constancia ha sido entre ellos una virtud que ha grado de Cipitan, y uno de mis Ayudantes de campo , que se pasado en herencia de padres á hijos; pero llegó un momento introdujo por el balcón de la casa donde se hallaba el enemigo…</t>
  </si>
  <si>
    <t>Auger, Baltasar</t>
  </si>
  <si>
    <t>Baltasar Auger</t>
  </si>
  <si>
    <t>…Soria; por todos los cuerpos nacionales de la milicia iocal ban el Código inmortal de nuestras libeitades. Este grandioso espectá voluntaria y legal y di la columna expedicionaria D. Baltasar Auger, culo nunca será bastantemente celebrado'; y tal vez á pueblo alguno se del segundo batallón de aquella, y por Los emigrados italianosD. Juan rá dado ya el ofrecerle de nuevo al mundo en la sucesión interminable Sormanni, subteniente de cazadores de los mismo…</t>
  </si>
  <si>
    <t>Augulema, Duque de</t>
  </si>
  <si>
    <t>Duque de Augulema</t>
  </si>
  <si>
    <t>…s que las personas prácticas y esperimentadai en Exposición dirigida á S. A. R. el Sr. Duque de Angulema. semejantes negociaciones, creen que su dinero está mas seguro en » Sermo. Sr. Duque de Augulema : El tribunal de la Rota, ¿nanos del lejitimo gobierno de Francia , que en las de esos char que es el supremo para los pleitos y .causas de los eclesiásticos en latanes y pedantes vagamundos, que viajan de Madrid á Sevilla España, se presenta en este dia á V.…</t>
  </si>
  <si>
    <t>Aurelia</t>
  </si>
  <si>
    <t>…. . 2,000 gaceta del 3 de Jubo último las siguientes palabras, dichas por Por los comisionados del empréstito. 2,000 el barón de Montakmbcrg en el discurso que pronunció en la Por D. Aurelia no Beruete............... roo Cámara de los Pares en la sesión del 30 de Abril con motivo de la discusión de la ley de reemplazo del ejército francés. Total...................... 24,100 rs. vn. c La animosidad de los partidos ( dijo ) , el choque de las doc t…</t>
  </si>
  <si>
    <t>Aurell</t>
  </si>
  <si>
    <t>…a: cuatro tomos en 8." mayor. Se hallará en la cución del resto de la facción dispersa , cuyo grupo mayor es de 17 librería de Orea á 100 rs. en pasta y 90 en rústica. hombres, el capitán Aurell , que viniendo de Lerma con sus 40 caba Cor'htúa el catálogo de esta imprenta .Y,/f ion si l.—Ordenanza» de llo» llegó a tiempo di continuar su seguimiento__ Espero los detalles ingenieros : dos tomos en 8.° mirquilla , á 34 rs. en rústica----Orde de la acció…</t>
  </si>
  <si>
    <t>AUSTRIA, Re</t>
  </si>
  <si>
    <t>Re AUSTRIA</t>
  </si>
  <si>
    <t>…arez, Secretario.” Madrid 12 de Diciembre. NOTICIAS EXTRANGERAS. El Rey nuestro Señor se ha servido nombrar Directores ge nerales de correos, caminos y ramos agregados á los Sres. D. Re AUSTRIA. migio Argumosa, Oficial primero mas antiguo de la primera Se Vtena 22 de Noviembre. cretaría de Estado y del Despacho, y á D. Atanasio de Melgar, El Observador austríaco trae hoy un artículo sobre la Tur Gobernador de las aduanas de Cantabria. Asimismo ha re…</t>
  </si>
  <si>
    <t>Autichamp</t>
  </si>
  <si>
    <t>Gaceta de Madrid n.º 63</t>
  </si>
  <si>
    <t>…s. Quesada deberá presentarse en aquella ciudad como comandan das. Estas son las circunstancias en que los amigos del orden y de la liber te en gefe del egército de la fe; pero el general Autichamp no es Quesa— tad , y lo; defensores naturales de los intereses nacionales adquieren dere dista, sino Odonellista. chos imprescriptibles al aprecio del Monarca, á la gratitud de sus conciu El PAuto ha dicho que se tenia ya por seguro que el banco He dadanos ,…</t>
  </si>
  <si>
    <t>Autíchamp</t>
  </si>
  <si>
    <t>…o hace algunos días i esta ciudad para alistarse en el egército de la fe; viese colérico” i mas vuestro relator os dice; Estáis coléricos, esta ts la acudió con esta pretensión ai general Autíchamp, quien le dijo que él disposición qué necesariamente es adecuada para' infamar un represen no se mezcaba en las cosas de I3 fe. Dcspues.de muchas, diligencias tante de ía Nación. (A plausos á la izquierda.) Este dictamen , si m-rcce ha recibido diploma de cap…</t>
  </si>
  <si>
    <t>Autor</t>
  </si>
  <si>
    <t>…os. La escasa fuerza de 2 tío hombres del baraüon de mi mando , 48 ca Al Sr. secretario del Despacho de la Guerra digo con esta fecha lo zadores de montaña al mando de su dcc.d.do comandante D. Autor..o siguiente: Carmena, 12 dei resguardo militar , cuyo cabo se prest-, con el mayor ce i) Paso á V. S. de orden del Rey para la resolución oportuna en ese lo á toda dase de sevvic.o, y ia millo a voointana v patriotas armados del ministerio las adjuntas expos…</t>
  </si>
  <si>
    <t>Avalos</t>
  </si>
  <si>
    <t>…po. Al del Despacho á entregar el discurso, que S. M. hubiera querido tener la difunto ministro napolitano en Petersburgo Sr. Serraeapriola retmnasatisfacción de pronunciar. za el Sr. Avalos, marques del Vasto. El Sr. secretario de ia Gobernación de la Península entregó al Sr. pre Los periódicos ingleses desmienten la noticia que algunos hablan pro sidente dicho discurso. pagado de haber vuelto los disientes á conquistar á Maracaibo. E! minis Se…</t>
  </si>
  <si>
    <t>Avando, Juan Josef de</t>
  </si>
  <si>
    <t>Juan Josef de Avando</t>
  </si>
  <si>
    <t>Gaceta de Madrid n.º 1023</t>
  </si>
  <si>
    <t>…eelTronodeV.M. Guadalajara, se apresuran en este día a disfrutar clalto honor de se eleve sobre bases tan indestructibles, que quede afianzada pa felicitar á V. R. M. por medio de D. Juan Josef de Avando, ra siempre la prosperidad de los españoles, y que jamas el espíritu uno de los individuos de su Real servidumbre, por su libertad de rebelión y de anarquía vuelva á infestar nuestro suelo. &gt;' glorioso rescate del mas infame cautiverio. ,, Nuestro Señor guard…</t>
  </si>
  <si>
    <t>Avila, Juan de</t>
  </si>
  <si>
    <t>Juan de Avila</t>
  </si>
  <si>
    <t>…rtades. Dios guarde á V. E. muchos en la provincia de Almería de una partida de facciosos mandada años. Valencia 10 de Mayo de 1823. Excmo. Sr. = Josef de por el capita 1 retirado D. Juan de Avila, ahora tengo muy parti Castellar.—Excmo. Sr. secretario de Estado y del Despacho de la cular satisfacción en comunicar á V. E. que por oficio que en el Guerra.” día de hoy me dirige el gefe superior político de esta provincia JVct 1. De los diarios que se cit…</t>
  </si>
  <si>
    <t>Avile</t>
  </si>
  <si>
    <t>…mo. testado.” El entusiasmo par la Constitución era inexplicable entre los —Los periódicos «de Lisboa publican las siguientes noticias de Lon habitantes y la milicia de Lisboa. El general Avile» hab a toma dres , que alcanzan hasta ei 15 de Mayo. Ei Csurier , habland» do la» d sposicionts necesarias para impedir la entrada á las tro acerca de S. M. Jorge tv dice lo siguiente : » Anunciamos con el pas de Villafranca. be habían cortado las avenidas, y…</t>
  </si>
  <si>
    <t>Avilés</t>
  </si>
  <si>
    <t>Gaceta de Madrid n.º 313 (extraordinaria)</t>
  </si>
  <si>
    <t>…eral BarroB, comandante de las armas del paitido de Opotto , han sido presos para ser juzgados con arreglo á las leyes. Todos los diputados exaltados han huido fuera del reino. El general Avilés, último gobernador constitucional de Lisboa, ha sido depuesto, asi como también muchos oficiales del ejército que habían dado pruebas de afecto al sis tema constitucional, y apoyado á los facciosos. En Lisboa y en todo el reino hay el mayor sosiego; los cómpl…</t>
  </si>
  <si>
    <t>Avilez</t>
  </si>
  <si>
    <t>…TO DE 1823. NOTICIAS EXTRANGERAS. do tomar las armas, hubiera resultado una carnicería horrorosa. La tranquilidad que ha habido en el pueblo se debe á los esfuer SAJOIÍIA. zos del general Avilez, que acaba de salir desterrado á su quinta Liipsick ai de Junio. de Portalegre. ( Extracto de una carta particular.) Cádis. 17 de Ageste. El príncipe de Wolkonsky ha alquilado una gran casa en Si algún pueblo del mundo tiene justos motivos para detestar los b…</t>
  </si>
  <si>
    <t>Aviso, Juan Bautista Al-</t>
  </si>
  <si>
    <t>Juan Bautista Al- Aviso</t>
  </si>
  <si>
    <t>…ando temió que les cómplices la hubiesen declarado. carce, D. Gerónimo Maitnez Enrile, D. josef María de Ansa , Don ( Se continuará.') Martin Fernandez Elias, D. Segismundo Moret, D. Juan Bautista Al- Aviso de la imprenta nacional. vareda, D- Josef María Retortiilo, D. Juan González y D. Domingo Al siguiente día de entrar el Gobierno en Sevilla empezaré i pu Rancel; declaró haber lugar á la formación de cauta , de cuyo acuerdo blicarse en aquella capital la Gace…</t>
  </si>
  <si>
    <t>Aviso, Manurl Josef de</t>
  </si>
  <si>
    <t>Manurl Josef de Aviso</t>
  </si>
  <si>
    <t>…la imprenta que fue ds Gar-1 celentísima Sra. duquesa vinda de Rivas el dia 25 del corrien cía y en las librerías de Quirós y de González. te á la junta señalada en la pesada del Sr. D. Manurl Josef de Aviso al verdadero y legítimo pueblo español sobre la con Rubio, teniente primero da corregidor de esta villa, lo verifi ducta de los españoles falsos y bastardos,ó sea aviso á los blan carán en el mismo dia y hora de las nueve en punto de su ma cos sobre el proced…</t>
  </si>
  <si>
    <t>Ayestaran, Manuel Joaquín</t>
  </si>
  <si>
    <t>Manuel Joaquín Ayestaran</t>
  </si>
  <si>
    <t>…con que en los fastos de la historia se han roa y Sozoa. Fara Tolosa D. Josef Manuel de Barranechea , y distinguido los generosos guipuzcoanos, no dudo redoblarán sus por adjunto D. Manuel Joaquín Ayestaran. Para Azpeitia Don esfuerzos para libertar á su amado Fernando , restituyéndole Agustín Iturriaga , y por su adjunto D. Josef Amonio de Al- en la plenitud de su legítima soberanía. Con tamaño servi tube. Para Azcoitia el Excmo. Sr. duque de Granada de Ega, ci…</t>
  </si>
  <si>
    <t>Ayilon</t>
  </si>
  <si>
    <t>…o todo si por desgracia se llegase á abusar de pensión temporal, pue-s las elecciones se harán en tiempo oportuno. estas facultades; pero tampoco tenemos otro medio de salvarlo El Sr. Ayilon expuso que convenia en que los gobernadores todo. No abogo por el Gohierno, pero no puedo dejar de conocer de plazas sitiadas tuviesen la ticuitad de suspender á los individuos que su posición es sumamente triste en las actuales circunstancias; de las diputac…</t>
  </si>
  <si>
    <t>Ayllon</t>
  </si>
  <si>
    <t>…liver: Se dá una interpretación violenta al dictamen, tido á igual distancia del pueblo que debe hacer la elección. porque de ningún modo puede deducirse de su contenido .0 que El Sr. Ayllon añadió á las observaciones del Sr. Be-cerra, que se ha querido suponer , esto es , que se quitan al Gobierno todas aun resultaba mayor inconveniente de la aprobación del artí las autorizaciones , v se revocan todos los decretos en qua se le culo, cual era el…</t>
  </si>
  <si>
    <t>Azana, Fernando Palacio de</t>
  </si>
  <si>
    <t>Fernando Palacio de Azana</t>
  </si>
  <si>
    <t>…, sino á besarla con fervor—En capitulo de 5 a En la clase de lectura han merecido el premio D. Manuel Fernando del g se refiere haberse reunido el dia ant s varios mi Samaniego y D. Fernando Palacio de Azana, conde de Mon es licianos de Madrid y otros pueblos, y que d.rigiéndose á un mo Claros__En la calogtafia D. Jos.f de Brugada , accésit D. Jo lino inmediato á Chiclana, echaron á correr los gabachos como sef de castro—En la de R.ipaida y Flcun D Manuel Mtresqu…</t>
  </si>
  <si>
    <t>Azcuénaga, Josef Benito</t>
  </si>
  <si>
    <t>Josef Benito Azcuénaga</t>
  </si>
  <si>
    <t>…......... 142,385. 379 lumna establecida en Ios-puntos de Mayals y Aimatr.-l, me avisa de Zaragoza..........,... 315,111. 840 que el.bizarro ayudante de caballería de Viilaviciosa D. Josef Benito Azcuénaga con 8p..caba!ios y *5 itifant-s, á tas ordenes del teniente a9&gt;973 de León D. Manuel Lar and i, hizo una batida por aquellas mnied.aciones, en ia cual aprehendió, á los cabecillas Miguel Naves (jabas Jusr- ■ Art. 3° ” tas diputaciones provinciales harán que s…</t>
  </si>
  <si>
    <t>Azlor</t>
  </si>
  <si>
    <t>Gaceta de Madrid n.º 913</t>
  </si>
  <si>
    <t>…úmero, tentativas se hacían por todos lados para lleaar á su persona y hayamos tenido el inexplicable gozo de recibir la noticia de su las de sus dignos compañeros; de modo que el capitán Azlor es tuvo muchas veces para ser víctima de su obligación y pundotan deseada libertad con toda su Real Familia, como se anun nor militar; pero suavizaba y contenía á todos el uniforme de cia en la gaceta extraordinaria que sale con esta fecha. Reales Guardias qu…</t>
  </si>
  <si>
    <t>Azlor, Josef</t>
  </si>
  <si>
    <t>Josef Azlor</t>
  </si>
  <si>
    <t>…esuro á hacerlo entregar, como también sus tres compañeros D. Mariano Bayo, capitán español, Virginio Vicente, teniente coro nel pía montes, y Jorge Matías, ex-teniente ingles, al Sr. D. Josef Azlor, capitán español, encargado del oficio que V. E. me ha hecho el honor de dirigirme de fecha del 19 de este mes para reclamará Riego, anuncián dome que encargaba al Sr. Aalor de la custodia de este preso. « Ruego á V. E. se digne rec'bir el homenage de la alta…</t>
  </si>
  <si>
    <t>Aznarez, Josef</t>
  </si>
  <si>
    <t>Josef Aznarez</t>
  </si>
  <si>
    <t>…comunicar, is á quien corresponda para su mas puntinl se encargue interinamente del Despacho de ia expresada Secre cumplimiento.czEsiá rubricado.=Palacio 27 de Mayo de 1823. taría D. Josef Aznarez, á quien por decreto da este d¡a se le =A. D. Francisco Tadeo Calomarde.” ha nombrado para La del iutcrioc de la Península y Ultramar. Ter.dreis'o entendido, y lo comunicareis á quien corresponda » La Regencia del reino, que á ta par del grandioso objeto para…</t>
  </si>
  <si>
    <t>…principal debia dirigirse á su Li dispondréis lo correspondiente á su cumplimiento. Palacio 28 bertad, y á reducir á un término justo las ambiciosas miras del de Mayo üe 18^3.= A D. Josef Aznarez. usurpador. Conseguido tan grandioso bien, es restituido nuestro Fernando al soiio de sus mayores; no reconoce el folleto, que, La Regencia del reino durante la cautividad del Rby nues aunque malo, ha estado tan lejos de ser observado, que por de tro Señor. A…</t>
  </si>
  <si>
    <t>…de su carretera,:jamas hizo cosa capaa 7 dispondréis lo conveniente á -su cumplimiento. Palacio 8 de de ser reconvenido: no juró solemnemente la llamada consti Junio de 1823.cz A D. Josef Aznarez. tución , ni st explicó en su santo templo, fi pesar de delaciones, reconvenciones 7 amenazas que se hicieron i su_ cuta párroco, Habiendo creada en este dia la Regencia del ,-eino una 7 su deposion, decretada últimamente : no sé alistó milicia vo autoridad C…</t>
  </si>
  <si>
    <t>…cos bailes públicos hemos visto tan divertidlos,si no fuera porcumplimiento. — Rubricado. en Falacio 23 de Juiio de l8¿3,:— una circunstancia inesperada que vino é turbar la paz.A D. Josef Aznarez.” El ambigú estaba sitiado por una cuadrilla de hambrones, Cuando Hunt se acercó precipitadamente á un grupo constitu » He dado cuenta i la Regencia del reino de la consulta cional que tomaba ponche en una mesa pequeña, y preguntó que V. S. hace en su oficio…</t>
  </si>
  <si>
    <t>…el azote de los cristianos. Koreb-Pachá ha arrojado al cumplimiento.=Está rubricado. Palacio i.° dcOctubre de 1823. mar mas de 1200 marineros desde el ¡y de Junio. Una parte de =A D. Josef Aznarez.” estos bajeles están abandonados, y las tripulaciones de otros se hallan de tal modo debilitadas, que los griegos, que esperaban ,,Habiéndose propuesto la Regencia del Reino dar curso á to esta catástrofe, verán con satisfacción que no les ha salido fa dos l…</t>
  </si>
  <si>
    <t>Azpi-, Josef</t>
  </si>
  <si>
    <t>Josef Azpi-</t>
  </si>
  <si>
    <t>…y al efecto á las cinco y media de la tarde se ha el brigadier D. Teodoro Calvez. llarán Jos expresados batallones formados en la alameda interior Estado mayor. El primer ayudante general D. Josef Azpi- de la ciudad. roz , que lo es de la división ; el segundo ayudante general D. To Mañana á las seis de ella ha dispuesto el Excmo. Sr. general mas Yarto; los adictos D. Joaquín Fernandez y D. Cayetano en gefe del ejército de reserva revistar el tercer regimien…</t>
  </si>
  <si>
    <t>A’.ix</t>
  </si>
  <si>
    <t>…ados de su mala conducta: Esta es pues la idea de la comi Del Sr. Navarro Tcjeiro, contrario al art cuio - ° sión. La conducta de las autoridades civiles puede ser hasta ahora Del Sr. A’.ix , contrario á todos y cada uno de los artículos plausible ; pero podrá no serlo en adelante. de la misma ley ; y del Sr. Perez de Aleca , contrario á los ar A petición del ir. hlake se leyó el artículo ioo de la Cons tículos 6.“ y y.u titución. Se nombro para…</t>
  </si>
  <si>
    <t>B, B. de</t>
  </si>
  <si>
    <t>B. de B</t>
  </si>
  <si>
    <t>…Z SABADO 6 DE SETIEMBRE DE 1823. ------------- —__' NOTICIAS EXTRANGERAS. El autor de la obra indicada-cita varios casos de otros intri gantes y agentes de la jnisma especie que 4 conde B. de B. , cual .. AtEMANTA. es uno que aparenta ser piamontes desterrado, y se da el nombre Francfort 27 de Julio. de conde de Asti y de Baldissero, el cual viaja con un pasaporte Debemos recordar que en el congreso de Carlsbad se resolvió que lo designa como botánic…</t>
  </si>
  <si>
    <t>B, Juan'de</t>
  </si>
  <si>
    <t>Juan'de B</t>
  </si>
  <si>
    <t>…endidos con pasa tasada en 30 de Diciembre del año pisado de 1820 por D. Félix Vi portes falsos. Hay ademas otros agentes subalternos mas i m nos c. tri cente Orihuel y Llórente y D. Juan'de B as Mo inero, arquitecto! plicados , que han sufrido en mi concepto la pena que merecían, se aprobados en esta corte , en la cantidad de 194,5^3 rs. 17 mrs., reba gún el resultado de los autos-, aunque puede asegurarse que tuvicton jándose las cargas que sobre…</t>
  </si>
  <si>
    <t>B, Rita Moragull y</t>
  </si>
  <si>
    <t>Rita Moragull y B</t>
  </si>
  <si>
    <t>…es el extracto de una ( bra mas dilatada, que es En i.° de Abril de este año falleció abintestato en esta cribió sobre el mismo asunto ei sabio Mr. Bonald en 1793, y Tilla y corte Doña Rita Moragull y B:rmudez, de estado viu fue perseguida con encarnizamiento por el directorio france», cu da , con cuyo motivo se procedió al inventario y custodia de loa ya sola circunstancia da mucha recomendación á este ensayo; pues cortos efectos que dejó en su cuarto,que h…</t>
  </si>
  <si>
    <t>B-cerra</t>
  </si>
  <si>
    <t>…n¡ causó tanta indigna lla capital , por el Sr. Munainz. ción a toda la Nación británica como el discurso del legitimo Luis.” Del ayuntamiento constitucional de Msrchena , por el Sr. B-cerra. Se está preparando una exposición al G-obiemo filmada por los De la miLcia voluntjiía, patriotas y cura párroco de Fuente del ccnttrciaiues , solicitando el estableeimienio de buques [¿.¡artes entre Fresno , por el Sr. Calderón</t>
  </si>
  <si>
    <t>Ba</t>
  </si>
  <si>
    <t>…de la adopción de esta medida la aprobaron , y ciertamente ; y esto valdrá mas que disminuir la fuerza de las leyes : ;No se que sus resultados han sido útilísimos al E-.tado. El general Ba rá dar una triste idea del listado de la nación, cuando habiendo llesteros, que á consecuencia de aquella autorización fue empleado un catálogo inmenso de generales capaces de mandar los ejércitos por el Gobierno, nos hace patente la verdad de mi aserción: el…</t>
  </si>
  <si>
    <t>…mas de esto una contribución de io á 12 formar un juicio recto é ¡mparcial. Pongamos uu mil duros, blonda la voz. de qne iban á atacar al ge ejemplo : liai muchos que creen que el general Ba neral Mina, suponiendo que estaba e.n Mová. llesteros lia debido marchar sobre 1.» capital para lla Los enemigos do la parte de Matará han conduci mar la atención del enemigo é impedir la invasión do en la m,urina de este dia un convoi de algunos de Andalucía…</t>
  </si>
  <si>
    <t>…a desde el qus reconozcan.igualmente la autoridad de la Regencia. año 14) ** que el medio de purificaciones es el mas á propósito Arr. S° ” ^-as ,roPas 1ue estan á las órdenes del general Ba v para que aparezcan legalmente puros muchos que pn la realidad llesteros se acantonarán en los punios que se determinen de con » están muy manchados” ; pero sin negar nosotros que esto hasta cierto con el general Molitor. cierto punto sea una verdad, «qué ot…</t>
  </si>
  <si>
    <t>Ba, López</t>
  </si>
  <si>
    <t>López Ba</t>
  </si>
  <si>
    <t>…diga si los varios empleados del ministerio han tenido medios pa tada; pido á las Curtes se sirvan mandar leer la disposición que ra venir á esta ciudad después de la entrada del general López Ba. ha citado su señoría, y se diga si lia sido ó no comunicada al ños en Sevilla. Gobierno: no lo ha sido, v Dor lo mismo no ouede inculparse— El Sr. secretario de Hacienda: Antes de pasar á coatcstar í le. En cuanto al proyecto que se discute me parece que no…</t>
  </si>
  <si>
    <t>Ba, Mariscal de Campo</t>
  </si>
  <si>
    <t>Mariscal de Campo Ba</t>
  </si>
  <si>
    <t>…Josef Sánchez Boado.= posición de las tropas aliadas de SS. MM. Cristianísima y Cató Teniente Coronel Juan López Pinto.—Aprobado por mí el Te lica , acordado, de una parte por el Sr. Mariscal de Campo Ba niente General, Comandante de la sexta división del segundo rón de .Vincent, Comandante de las tropas situadas al frente de cuerpo del ejército de los Pirineos, Vizconde de Bonnemains, au Cartagena, Comendador de las órdenes Keaies de S. Luis y de la torizado…</t>
  </si>
  <si>
    <t>Ba.ro, Florentino López</t>
  </si>
  <si>
    <t>Florentino López Ba.ro</t>
  </si>
  <si>
    <t>…ario , juez de primera instancia de esta heróica villa , dada por los, fue obra de un momento ; y á pesar de su obstinada resistencia , y ante el escribano del número y su juzgado D. Florentino López Ba.ro í ¿del constante fuego que nos hacían, tuvieron que ceder vergonzosa solicitud de D. Antonio García , testamentario y uno de los herederos mente al valor heroico de estos oficiales,.sargentos , cabos y soldados, de Doña Josefa del Fresno, viuda que fue en seg…</t>
  </si>
  <si>
    <t>Babilonia, Eustaquio</t>
  </si>
  <si>
    <t>Eustaquio Babilonia</t>
  </si>
  <si>
    <t>…Este es y será siempre el resultado que tendrán El movimiento empezó desde Loreto, dirigido por D. Jcsef del Cas Jos que combaten contra las armas de la libertad. tillo Rengifc y D. Eustaquio Babilonia. Habiéndose distinguido, asi cfrciaLes como tropa, con el oatriotisLima iU de Agosto. mo y valor propio de hombres libres, seria injuriar á los demas si se Se hi formado en esta capital una junta, que tiene por objeto dis» singularizase á alguno, pues todos a…</t>
  </si>
  <si>
    <t>…ue será difícil ó impo lientes v.teranos, que reunidos con mi hermano D. Joset María del sible que pueda pasar por él la artillería. Para procurar remediar este Castillo Rengifo y D. Eustaquio Babilonia , han subido haciendo el sensible atraso he enviado un oficial de ingenieros para que procure rescate desde el punto de Loreto , y entraron en esta ciudad el dia 24 salida á las aguas que le cubren. del mes próximo pasado; y aunque el gobernador insurgente ha…</t>
  </si>
  <si>
    <t>Babouin</t>
  </si>
  <si>
    <t>…ro compañías de obreros de artillería, 100. Idem ídem de artilleros taron teniendo sus fusiles entre piernas, impuso tanto i los facciosos sed-toan-s, 20c. Un escuadrón del tren , comandante Babouin, 190. que no pensaron mas que en correr por el camino de Chozas para Col Infantería. El p.a con tres batallones, coronel Mr. llolloy, ryoo. menar. El ib idun, coronel Mr. Achard, 1400. E! 26 ídem, coronel Mr. » Temeroso de que estas dos facciones reunidas pud…</t>
  </si>
  <si>
    <t>Baca, Mateo</t>
  </si>
  <si>
    <t>Mateo Baca</t>
  </si>
  <si>
    <t>…vista de la exposición de D. N. ZaEl teniente D- Gregorio López de Boneville. los subtenientes vala , para que se le continúe el pago de la pensión de 4© reales D. Sancho Conejo, D. Mateo Baca, D. Vicente Suarez. El ca que se le habia concedido anteriormente, opinaba que no se está pitán de M. A. D- Valentin de Toro. El subteniente de id. Don en el caso de acceder á esta solicitud. Aprobado. Fantaleon Rodriguez. Paisano D. Ramón Sandoval. La misma…</t>
  </si>
  <si>
    <t>Baccigalupi</t>
  </si>
  <si>
    <t>…deración el peligro á que está expuesta su saiud y la de los habitantes de la capital por lo rigoroso de ción de la columna de Sigüenza, que ha sido bizarramente con ducida por su comandante Baccigalupi y por el gefe de escuala estación; se ha servido resolver que la sala de corte dé prin cipio en el día de mañana á una visita de toda* las causas pen drón vizconde de Saiilent: á mas del singular mérito contraído por todo» estos gefes merecen particular elogi…</t>
  </si>
  <si>
    <t>Baciga'.upi, Hablo</t>
  </si>
  <si>
    <t>Hablo Baciga'.upi</t>
  </si>
  <si>
    <t>…o del el mayor zelo y eficacia en esta gloriosa ¡ornada los comandantes de la enemigo , como lo verificó en unión del primer ayudante D. Juan Corona y Sigiiei.za D. Pedn Gustino y D. Hablo Baciga'.upi , añadien Obregon del batallón de Sieíienzu , que mandaba su compañía de eaza- do ene nuevo ir.árito i los muchos que tienen contraídos. deres de cien hombres. Esta tropa y laque ib» con Narvaez *e encan ,,Ví:,js venes he hecho mención i V.E. del particulaiís…</t>
  </si>
  <si>
    <t>Baciga-, Pablo Luis</t>
  </si>
  <si>
    <t>Pablo Luis Baciga-</t>
  </si>
  <si>
    <t>…&gt; a facción, tu inteligencia y satisfaccion.=Es copia.=Zorrnquin. y sin enemigos del sistema reunidos que combatir. Con cí objeto de es &gt;» El comandante del batallón de Sigiienza D. Pablo Luis Baciga- tuchar inas y mas al enemigo dispuse que el coronel J.íurcgui , con lupi con fecha 17 del coriente me dice lo que cop.cr: Rebosando fuerza respetable de infantería y caballería quedase hov , y pezmjnezcj de júbilo mi corazón , participo i V. que ahora , que s…</t>
  </si>
  <si>
    <t>Bacigalupi</t>
  </si>
  <si>
    <t>…rías, con el objeto de saquear ai pueblo, y traerse cuantos comestibles traslado á V. S. para los efectos convenientes; añadiendo por mi par -había en él; dispuse que el teniente coronel Bacigalupi con el batallón te que este ¡digno gefe cada día me Ja nuevas pruebas de su decisión en de su mando salles?! á las ocho de la noche para el pueblo de Valles», favot de la justa lucha que sostenemos, y que tengo muchos motivo* y se interpusiese entre los fuert…</t>
  </si>
  <si>
    <t>Bacigalupi, Pablo</t>
  </si>
  <si>
    <t>Pablo Bacigalupi</t>
  </si>
  <si>
    <t>…3.°, que principia : Por cuanto atendiendo á ¡os méritos y circuns recomondar por mi parte al comandante del batallón de la milicia na tancias &lt;é'c. * , cional activa de Sigüenza D. Pablo Bacigalupi y demas individuos que Lo que d Real orden comunico á V. S. para su inteligencia , y se han distinguido en esta jornada , y de los que hace particular men que lo circule á quien corresponda para que tenga el mas pronto cum tón este comandante. Dios guarde á V…</t>
  </si>
  <si>
    <t>…ultados trascedentales ai pues fueron batidos al intentarlo pór el comindante de la milicia ac orden público,en la misma demanda se previene la Opinión, aniqui- tiva de ^Sigüii.za D. Pablo Bacigalupi. Espero de un momento 4 lando en los infelices que gimen bajo el peso de la autoridad judicial otro el parte detallado de este acontecimiento, que trasladaré 4 V. E. la única i dea-consol adora-de la salvaguardia de la ley, mientras ton jus con la debida punt…</t>
  </si>
  <si>
    <t>Baeza, Juan</t>
  </si>
  <si>
    <t>Juan Baeza</t>
  </si>
  <si>
    <t>…ter de consultiva ó auxiliar , sin embargo de lo ramientas , á disposición ckl sobrestante mayor de fortificación cual lia proporcionado los beneficios que justamente se la atribu D. Juan Baeza, para ser empleados en los puntos que se ks se yen. Si se probase que estos se han verificado solo por la autori ñalaren. zación ampi a que las Cutes le concidierou, vendría bien el ar 2.0 Se pagará diariamente á los maestros un jornal de 20 rea gumento que s…</t>
  </si>
  <si>
    <t>Bafio, López del</t>
  </si>
  <si>
    <t>López del Bafio</t>
  </si>
  <si>
    <t>…blado contra mos ayer con resp.cio a la cómica regencia de Urgel lo siguiente: el Sr. ex-diputado Moreno Guerra. ” El Diario de Tolosa nos da una peregrina noticia. Tenemos dos El Sr. López del Bafio pidió se leyese el art. 63 del reglamento. regencias: la de Matallorida y compañía, y la de Eguía y comparsa. La (Se leyó.) primera en su manifiesto dado en folosa de Garona a 23 de Enero, y A petición de otro Sr..diputado se leyó el capitulo adicional sobre…</t>
  </si>
  <si>
    <t>…presentada por el tería de 800 plazas, cada batallón de cazadores ycads regimiento de ca ballería de 400 , y cada regimiento de artillería de 600 , tendríamos Sr. Escudero. , , El Sr. López del Bafio leyó otra de D. Josef Tejeira , teniente del una fuerza suficiente para asegurar la tranquilidad interior del remo y regimiento caballería déla Reina , segunda de coraceios, en la cual par» oponerse á los invasores de la Península, si acaso había quien ofrecí…</t>
  </si>
  <si>
    <t>Bafios, López</t>
  </si>
  <si>
    <t>López Bafios</t>
  </si>
  <si>
    <t>…r el gefe de es Se podria formar una cuarta categoría de esos realistas inde cisos y cobardes, cuya opinión y principios no tienen ningún cuadrón Cotnuller del 7.0 de dragones. El general López Bafios, cuyas tropas no se han detenido un fundamento, y qus al menor riesgo de la lejitimidad se volve solo instante para hacernos frente, se embarco con la mayor pre rían por indiferencia ó debilidad liberales revolucionarios, y si preciso fuese, rejicidas. Por es…</t>
  </si>
  <si>
    <t>Bahamonde, Francisco Fernandez</t>
  </si>
  <si>
    <t>Francisco Fernandez Bahamonde</t>
  </si>
  <si>
    <t>…plaza del 19 al 20 dt Mayo. Los magistrados de la audiencia de Valladolid D. Francisco Gutiérrez Sosa, D. Angel Govantes , D. Agu-tin Rodríguez Gefe de dia el coronel de Ja Reina D. Francisco Fernandez Bahamonde, D. Josef Alaría Vecino y D. Cayetano Aluñiz, y Golfín. _ Servicio á palacio la milicia activa y la nacional local Jos fiscales D. Miguel Cornejo y D. Josef Rodríguez Busto sa de Sevilla, á las órdenes del comandante interino de la Reina lieron de aquella ciu…</t>
  </si>
  <si>
    <t>Baices</t>
  </si>
  <si>
    <t>Gaceta Española n.º 5</t>
  </si>
  <si>
    <t>…iez y media de ia mañana de hoy se ha». trasladado tud á la valiente división catalana, al mando del caroncl Buzan y SS. AIM. y A A. á la iglesia metropolitana con el objeto de vi comandante Baices, dió anteanoche un suntuoso amble A. de cien sitar despacio este suntuoso monumento de la arquitectura gótica, cubiertos en su casa cuartel, al que as'stieron las autoridades mi y de ver cuanto en él se encierra de riquezas en pinturas de nues litares y polít…</t>
  </si>
  <si>
    <t>Baiges</t>
  </si>
  <si>
    <t>De los individuos que componen la tertulia patriótica y del ayun establecen á los tiernas del egército ccn el ramo de contabilidad! tamiento de Reu*, presentadas y leídas por ei Sr. Baiges. z\rt. 4-$. « El p-tmer medico de los egercitos, gefe del cuerpo-de De los individuos de la M. N. L. V. de la Nava del Rey medicina.niilrtar , será d conducto por donde se elevarán al Gobierno (provincia. de Valladolid), y de la M. N. JL. V. de Ecija, present…</t>
  </si>
  <si>
    <t>Baio, Florentino Lop-z</t>
  </si>
  <si>
    <t>Florentino Lop-z Baio</t>
  </si>
  <si>
    <t>…o , juez de primera instancia de esta heroica villa , dada por cuando una proposición no tiene por olqcto un proyecto de iey ó de algu ante el escribano del número y de su juzgado D. Florentino Lop-z Baio, na exposxion , debe dejarse sobre la mise , luego queda al cuidado del pre se cita, llama y emplaza á D. Matías Pérez de Tejada y D. Josef de Id- I sidente el pasarla á la secretará de la C .mura, di bien io hacerse la explicu- iría, para que en el preciso y…</t>
  </si>
  <si>
    <t>Baizola, Juan Nepomuceno</t>
  </si>
  <si>
    <t>Juan Nepomuceno Baizola</t>
  </si>
  <si>
    <t>…nemigo contramar- Camino, D. Fernando Mergelina y Barreta , D. Joaquín Anguiano, l?Jii 9naba %icM el valle de Pineira 6 el Hospital y habiendo lomado D. Vicente Jiménez y Pinairo, D. Juan Nepomuceno Baizola , Don Sr XqueiUrdtTeccion se me reunió Barco en Villamayor, que también iba Josef Albar González y D. Juan Salomón y Caters. siguiendo sus huellas, y juntos continuamos hasta las alturas del Hos Juúio de jurados. pital, desde donde divisamos algunos que salía…</t>
  </si>
  <si>
    <t>Bajá</t>
  </si>
  <si>
    <t>…n correo extraordinario, despachado el 15 del aet’.nd mismas escuadras están dispuestas á acometer intrépidamente al desde Sevilla, acaba de poner en mis manos un papel que parece capitán Bajá luego que salga del estrecho de los Dardanelos. dirigido por V. E.; pero ya por su contenido , ya por la cncunsEn la Albania, la Morea y la Tesalia todo está por ahora tanci'a de no estar firmado, no puedo resolverme á creer sea tranquilo; pero turcos y grieg…</t>
  </si>
  <si>
    <t>Baja</t>
  </si>
  <si>
    <t>Gaceta Española n.º 171</t>
  </si>
  <si>
    <t>…resentadas á la asamblea, ó que censión , después de misa se hizo también a ía vela desde Ipsara, emanen de ella, deben extenderse por escrito. Si hubieren sido en persecución del capitán Baja una escuadra griega, compuesta de desechadas una vez , no podrán hacerse nuevamente sino cuando unos sesenta buques ipsariotas, hidnotas y espeziotas. Aun no ha ocurran realmente nuevos motivos ó nuevas causas para renovar habido noticias de combate alguno na…</t>
  </si>
  <si>
    <t>Gaceta Española n.º 172</t>
  </si>
  <si>
    <t>…RQUIA. humano; y nuestras instituciones literarias, especialmente las des Smirtia 4 de Julio. tinadas á la educación, serán también objeto de sus deliberaciones. Las tropas que el capitán Bajá desembarcó en Negroponto uni Creen algunos estadistas que nuestras universidades y liceos tienen das á las que habia en aquella ciudad y en Caristo, forman un demasiada libertad, particularmente con respecto al modo de ins cuerpo de 80 hombres. Habiendo tarda…</t>
  </si>
  <si>
    <t>Bal</t>
  </si>
  <si>
    <t>…de D. Domingo; otros muchos cuyos nombres ae han ponido que por dicha autoridad se fije la final admisión de posturas. encubrir , y algunos gravemente indiciado!, coa especialidad D. Bal tasar Cuqueara. ... Continúa el informe de la causa contra D. Domingo Baso. - 3,* Para consternar la Real familia,y obligarla i que.se trasladase Por Real decreto de 22 de Marzo de 1820 se convocaron Cortes i Búrgos manifestó al Sermo. Sr. Infante D. Francisc…</t>
  </si>
  <si>
    <t>Balan</t>
  </si>
  <si>
    <t>Gaceta de Madrid n.º 293 (extraordinaria)</t>
  </si>
  <si>
    <t>…de Sevilla; Muy Pefior mió de mi primera veneración y respeto: Ahora «que son las cuatro de la tarde, acabo de recibir un pliego del Sr. general de la vanguardia teniente general vizconde Balan, en que me avisa que el 21 del corriente la bu* gada de dragones al mando del mariscal de campo vizconde Sanmar al canzó al enemigo en San Juan del Puerto: se apoderó prim-ramente de 11 piezas de artillería, de las cuales, habiendo sido habilitadas inmedia ta…</t>
  </si>
  <si>
    <t>Balanza, Genaro Azcona y</t>
  </si>
  <si>
    <t>Genaro Azcona y Balanza</t>
  </si>
  <si>
    <t>…nían echada una contribución de 3© rs., 40 fanegas de ce pernumerarios D. Fernando Pantoja y D. Pedro Gómez de la bada y una porción de pares de zapatos: en el momento no Cortina; D. Genaro Azcona y Balanza, secretario , y D. Fran dudé atacarlos, seguro de la victoria por el entusiasmo de que cisco Javier Romano, tesorero ; desempeíande provisiona men Vcia animado» a todos les que tema el heno- de mandar, sin te la fiscalía el marques de Castill Bravo de Rivero:…</t>
  </si>
  <si>
    <t>Balanzat, Ignacio</t>
  </si>
  <si>
    <t>Ignacio Balanzat</t>
  </si>
  <si>
    <t>…de su legítimo tenedor, se da este aviso al comer »En este estado di las órdenes mas positivas al mariscal de cio y demas para que se entienda que las expresadas segundas de campo D. Ignacio Balanzat, á quien habia conferido el mando dichas letras son y serán en su dia de ningún efecto y valor. del 6.° distrito, para que se realizase lo que he manifestado acer Se de*sea saber la existencia de Francisco del Pozo, natural de ca del alto Aragón, y evacuase á…</t>
  </si>
  <si>
    <t>…bastarse por las de Villamediana. regias que hoy gobiernan cuando no pueda hacerse por los dos „En este estado di las órdenes mas positivas al mariscal d&lt;? medios referidos. campo D. Ignacio Balanzat, á quien había conferido el mande? 12. A los que hasta el día hayan comprado fincas naclona— , del sexto distrito para que se realizase lo que he manifestado les se les impondrá el gravamen ó canon de un 4 por 100 cor acerca del alto Aragón, y evacuase á Zara…</t>
  </si>
  <si>
    <t>Balanzat, Luis</t>
  </si>
  <si>
    <t>Luis Balanzat</t>
  </si>
  <si>
    <t>…obstinación de estos hombres que han sumergido su patria en la cer de la victoria. deplorable situación en que se halla. Por el pronto llegamos á Entre las cartas de los generales D. Luis Balanzat, Zarco creer que las cortes y sus ministros tenían motivos poderosos del Valle, Ferraz, y de varios oficiales de la steretaría de la para obrar como han obrado: esperábamos ver que iban á pre Guerra, dirjjidas á dicho Plasencia, se hallan las de algunas senta…</t>
  </si>
  <si>
    <t>Balanzat, Luis Alaría</t>
  </si>
  <si>
    <t>Luis Alaría Balanzat</t>
  </si>
  <si>
    <t>…on viento fresco del mismo, y distancia de 8 mi Se reconocerá poi gefe de E. M. de este ejército al Excelentí llas , pasó á las inmediaciones de dos buques mayores, que le pa simo Sr. D. Luis Alaría Balanzat .brigadier de los ejércitos nacio recieron fragatas ó navios de guerra; encontrándolo»-;! ¡a actitud nales Por intendente general al intendente de ejército D. Bernardo de capear en distintas muras, cuya novedad pongo en el debido Eliza¡de. Por subinspector de…</t>
  </si>
  <si>
    <t>Balanzat, Luis María</t>
  </si>
  <si>
    <t>Luis María Balanzat</t>
  </si>
  <si>
    <t>…ería de Santiago. de este asunto. . ' ' va:. , - ' Se reconocerá por gefe del estado mayor de este ejército al vj Se Continuó ia lectura de la memoria del Sr. secretario de Excmo. Sr. D. Luis María Balanzat, brigadier de los ejércitos Gracia y justicia ¡ la cual se suspendió? y el Sr. presidente anun nacionales,—Por intendente general al intendente de ejército Don ció que mañana se continuaría la discusión pendiente? y levantó Bernardo Elízalde.__Por subinspecto…</t>
  </si>
  <si>
    <t>Balbi, Fusebic María</t>
  </si>
  <si>
    <t>Fusebic María Balbi</t>
  </si>
  <si>
    <t>…de la milicia actira que ya se hallaba hecho desde el año D. Pedro Sainz de Baranda. D. Celestino Olozaga. anterior en casi todos los pueblos ds la provincia , ha visto con satis D. Fusebic María Balbi. D Antonio Palacios. facción que hasta el dia de hoy quedan filiados en el batallón de Alca IX Ramón Casellas. D. Manuel Carnicero. lá de Henares 600 milicianos, y entregados en la caja del egército D. Fernando Plaza. D. Felipe Arguelles. permanente 240 quint…</t>
  </si>
  <si>
    <t>Baldasano, Josef</t>
  </si>
  <si>
    <t>Josef Baldasano</t>
  </si>
  <si>
    <t>…ente co- S. M. se ha servido ascender á la clase de alféreces de fragata á ].'&gt;s üpHeí P. Pedro del Barco, que según ái parte á V. E. persígala con su guardias marina» siguientes: D. Josef Baldasano, P. Matiano Pardo v k' los restos del cabecilla Albuin por el valle de Fequin, me Manso, D. Josef Bu:trago, D. Juan Vibavicencio y Pareja , D. Josef de que aquel s: dirigía a pasar el Navia por el Sena , por lo Seidel y Aurrich, D. Juan Martínez y León , D. S…</t>
  </si>
  <si>
    <t>Baldrik, Franc'sco</t>
  </si>
  <si>
    <t>Franc'sco Baldrik</t>
  </si>
  <si>
    <t>…ar en caso de una invasión. No se dudaba dar a la España dio Ies tributa el homenage de su gratitud. todos los socorros qtre permitiesen nuestras tuerzas, n* que la España nos —El coronel D. Franc'sco Baldrik., de Cieza , que solo vive de su sueldo habia de socorrer en el caso de ser nosotros los atacados; solo se trataba de de retirado , y apenas mil rs. de renta de su esposa, un caballo apreciado fijar el mínimum de este socorro, y cómo debía darse, lia habido a…</t>
  </si>
  <si>
    <t>BalIonesta, Miguel</t>
  </si>
  <si>
    <t>Miguel BalIonesta</t>
  </si>
  <si>
    <t>…uchos en la calle: al tiempo que unos hacían esta ope pronto: y yo digo que estsmoaamol........=J. Luis de Ibarrola. ración, otros la hacían en casa del canónigo Urizar, que tenia Sr. D. Miguel BalIonesta._7Vu/7//o.— Sevilla 4• de Junio. alojado en su casa al diputado á Cortes lomas, vicario de Ma Mi parienta aun no ha salido de su cuidado , que no nos drid; á este pobre le limpiaron 10$) rs. y la ropa, y al canóni deja de incomodar atendidas las.circunstancia…</t>
  </si>
  <si>
    <t>Balláno, Antonio</t>
  </si>
  <si>
    <t>Antonio Balláno</t>
  </si>
  <si>
    <t>Gaceta de Madrid n.º 893</t>
  </si>
  <si>
    <t>…ra vuelto á su palacio, ó no habría salido de él; y Suplemento al Diccionáriio de medicina y cirugía del profe aunque viese la guerra inevitable, menos expuesto se hallaba ení sor D. Antonio Balláno: por.D. Antonio Hurtado de Mendo medio de su reino que en las manos de sú enemigo; y pues que za: tomo 3." y último,dividido en dos partes ó.volúmenes en 4.’ en efecto se entregó á él en Bayona,, ¡qué interes le obligo á Se venden á.30 rs. cada pnct en TÚstic…</t>
  </si>
  <si>
    <t>Balles</t>
  </si>
  <si>
    <t>…dependencia. Todo bu.n español pone su esperanza en pirándoles un error pámeo, es sumamente difícil adquirir noticias; lin las virtudes cívicas y militares, jamas desmentidas, del general Balles embargo mañana seguiré tu alcance para no dajles un momento de tero», y los pueblos se prestarán gustosos a los mayores sacriEcios, te sosiego. niendo á su frente á un hombre que sabe emplearlos tan bien por ¡a pa » En vista de esta acción ya debe conceptuars…</t>
  </si>
  <si>
    <t>Gaceta Española n.º 2</t>
  </si>
  <si>
    <t>…an á las senciar la rend eion de Mequinenza, cuya operación está muy tropas constitucionales, de Jas que huyen'precipitadamento siem adelantada. Dentro de un mes podrá tener ya el general Balles pre que tienen que pelear , pues cuando lo hacen se ven forzados teros 4o3 hombres; y si ios invasores dan tiempo se encontra -á ello. rán con dificultades que no esperaban. En esra capital continúa la mas perfecta tranquilidad. El con Los facciosos siguen su…</t>
  </si>
  <si>
    <t>…ás Fernandez Ochoa. go por medio de parlamentario, proponiendo el cange de un voluntario de caballería de Madrid , por un dragón que es Hoy han corrido noticias muy favorables del general Balles tá en nuestro poder, de la impertinente é inoportuna contesta teros, y nos consta que no son voces vagas por haber visto noso ción de aquel , y de la respuesta enérgica que le dió V. S. expre tros mismos algunas cartas que las refieren. Según ellas el ejércit…</t>
  </si>
  <si>
    <t>Balleste</t>
  </si>
  <si>
    <t>…conserva dencia. Alcázar de Sevilla ay d'e Abril dé rSíj. ~ pEkNAVüb.’* ción de las libertadas que sufrir la sob-rbia de los opresores- __El Gobierno acaba de recb’r un parte del general Balleste « En cuanto á Mi, que puesto por la Providencia al frente ros', fecha en su cuartel general de Tarazóla á 19 del corriente. de una Nación magnánima y generosa todo se lo debo á ella, Esto bizarro caudillo de la libertad encabeza su oficio, dándose</t>
  </si>
  <si>
    <t>…ltima remos hoy lo mas interesante. Se da ya por seguro que los fac mente pe»- la adición propuesta por el Sr. Veiasco se dice hijos, ciosos de Valencia no han querido aguardar al general Balleste padres ó hermanos, sin. dar- una preferencia determinada á los ros , y han levantado el bloqueo: tenemos varios partes que no* primeros sobre los segundos, y á estos sobre los terceros: es de remiten desde Murcia, y son relativos á las operaciones en el Júcir…</t>
  </si>
  <si>
    <t>…ontestaciones que han mediado entre dicho se tener su justa indignación’ ñor y el general Bordessoulle, y una Real resolución comunica Las noticias que traen dichos periódicos del general Balleste da al expresado Sr. general en gefe por el ministerio de la Guer ros se reducen á lo siguiente : ra, al cual habia dirigido el citado oficio y copia de las comuni ,, Por cartas de Baza con fecha de 7 del corriente se sabe que caciones. Sus editores enviaron e…</t>
  </si>
  <si>
    <t>…una bandera. contra sus tropas haceros esta comunicación, persuadido de que Por tan brillante comportacion agracié sobre el campo de conociendo todas las ventajas del convenio del general Balleste batalla, á nombre de V. E., con la distinción del premio medio ros ; y queriendo como S. É. señalar un término á los males que i la compañía de granaderos del Imperial, y á las dos* mitades acompañan inevitablemente la guerra, aceptará para vd., las de dragon…</t>
  </si>
  <si>
    <t>Balleste, Francisco</t>
  </si>
  <si>
    <t>Francisco Balleste</t>
  </si>
  <si>
    <t>…ucha clari dable noticia de haber entrado en la ciudad de Valencia el gene dad; por lo mismo convendría decir en vez de r »'uiados, res ral en gefe dei 2.0 ejército de operaciones D. Francisco Balleste tituidos. Pero no es esta la principal objeción que tengo que ha ros el dia 1 o del corriente, y á cuya vista habia huido,en dispersión cer , hay otra mucho mas poderosa. Se dice en el artículo que el y en diversas direcciones la facción liberticida que sitia…</t>
  </si>
  <si>
    <t>233</t>
  </si>
  <si>
    <t>…cibi a sus sit.adores , y guindando la Uiscip.inu y buen comportanrcn das, publicadas, reimpresas y circuladas en todo el territorio de to que manifiesta sil digno general en gefe D. Francisco Balleste los 30 partidos que abraza , y de consiguiente que solo resta par ros. Sevilla 23 de Mayo de 1823.= Joaquín Mana Ferrcr, pre ticiparlo á ese propio ministerio en ocasión de buque , consultan sidente. := Manuel Llórente, diputado secrctar.’o.erDomiiv.'o Eu do…</t>
  </si>
  <si>
    <t>Ballestero</t>
  </si>
  <si>
    <t>…meses 100, por tres meses 50; y en Ma al que tenían que oponer los franceses. drid por año 176 rs., por seis meses 88, por tres meses 44 , y Aragón j Navarra están al cuidado del general Ballestero», por mes 16. suya actividad y energía debe darnos la mayor confianza. Mota. Los tribunales, juzgados &amp;c., que en virtud de de ~ ' En las dos Castillas no han dejado de levantarse partidas de cretos dirigían sus providencias á la gaceta de Madrid, se ser facc…</t>
  </si>
  <si>
    <t>Gaceta de Madrid n.º 203 (extraordinaria)</t>
  </si>
  <si>
    <t>…os ma Ejército dt los Pirineos—Boletín xa.9 gistrados hablan salido i oírse ríe las llaves de la ciudad, y la población entera, sin distinción de clases, recibió 3 los france n El general Ballestero», habiendo reunido la» guarniciones ses con los trasportes mas vivos de alegría y reconocimiento. de Valencia, Molina y otros destacamentos considerables, lle *&gt; Después de entrar en Valencia y ocupar la ciudadsla, don gó á contar en tu ejército 149 hombres,…</t>
  </si>
  <si>
    <t>…ni Art' i.1'- En el supuesto que el expresado oficial confirme los festado hasta el dia que las tropas del ejército francés la Ocupen, expresados hechos, que son el ;convenio dei. general Ballestero* ni por hechos que se refieran á ellas. con el General Molitor y la capitulación de. las plazas de Ferrol, Art. 17. La presente capitulación no tendrá efecto ni valor Coruña, Vigo y Bayona, se procederá á la. rendición de la pla alguno si la plaza es socorrid…</t>
  </si>
  <si>
    <t>Ballestero, Francisco</t>
  </si>
  <si>
    <t>Francisco Ballestero</t>
  </si>
  <si>
    <t>…un año que no existía , amenazaba guardando la disciplina que manifiesta competentemente su digno una guerra , y servia como de apoyo á las facciones de Cataluña, general en gefe D. Francisco Ballestero*. Aprobado. Navarra y provincias vascongadas. - -• ■ ■</t>
  </si>
  <si>
    <t>Ballesteros</t>
  </si>
  <si>
    <t>…milicia nacional local voluntaria ds Padersi mas conveniente conceder esta autorización en términos generales, y ( provincia de Oviedo). no que fuese una dispensa personal con el general Ballesteros; y ha Del ayuntamiento constitucional y milicia nacional local volunta biéndome yo opuesto á esto, se me dijo que era ui*i dispensa y no una ria de Sta. Eulalia de Cabranes (provincia de Oviedo). derogación de ley; por consiguiente no puede parecer extraño el…</t>
  </si>
  <si>
    <t>…anzan hasta el 8, y de Aragón hasta el 11. Estos últimos no fuego vivo y sostenido, que puso en dispersión i la caballería, y lue contienan cosa particular íino dos proclama* d-;l general Ballesteros. go en fuga á la infantería. Los primeros publican el siguiente estado de las fuerzas francesas por » En este momento hice que por la izquierda en columna avanzasen 50 granaderos y 40 fusileros sobre la caballería facciosa que lima , yaqurlla partí. Estado de…</t>
  </si>
  <si>
    <t>…do de 800 rs. mensuales: los que el 15 , y de Cataluña hasta el 13. Les de Aragón publican varias pro lo sean hasta el año 17 inclusive 700, y todos los demas el de 600; clamas el general Ballesteros, y el parte que comunica desde Cerrera pero los alféreces promovidos i esta clase con grado de tenientes goza el dia 7 si comandante Marquina, acerca de una acción que tuvo el ran la efectividad de este empleo con sueldo de tal. dia 6 en Artesa, cuyo resultad…</t>
  </si>
  <si>
    <t>…ntes aragoneses y castellanos, hombres libres de todas las contrario á la s vsolucion de las Cortes sobre Las dos exposiciones de ricas provincias de la hermosa España, el ilustre general Ballesteros D. Vicente Ferrer Carrera. está a vuestro frente : miles de esforzados capitanes obedecen con segu El Sr. presidente dijo : Se suspenden las sesiones de la legislatura or ra confianza sus paternales preceptos, volad hácia él;-que al primer dinaria actual en su segundo período para con…</t>
  </si>
  <si>
    <t>…io que en hipara no entran efecto, de vuestro valor y patriotismo, y dtl saber y experienc.a en el extranjeros impur.cmi rtr y sin d.¿parar un t ro , como se lo prcm-t-n mando del general Ballesteros, toco d be esperarlo :a patria: nu dea los gcí s lucciosos, y con esto tolo estamos siguíes que el miedo que solo me consuela tkl pesar que me causa el no continuar acompañán alora ti ncr. tugará a ser en muy poci. tiempo desconcierto é indig doos al peligro…</t>
  </si>
  <si>
    <t>…atro muertos, que yo he visto, no tenien Logroño 26 de Marzo. do nasta ahora noticia de mas, y dos prisioneros. Por nuestra parte so Boletín del ag. » Ayer entró en esta ciudad el general Ballesteros lo tuvimos un soldado de Pontevedra hundo levemente en un dedo de con su estado mayor y una pequeña escolta. El comandante de armas y el un pie con una postz, gefe de la columna con varios oficiales salieron á recibirle i dos leguss. »i No hago recomendación…</t>
  </si>
  <si>
    <t>…itánico en evtar la guerra por medio rán ia ocasión de atacarla separada. de negociaciones eficaces, y la inutilidad de estas , favorece mijy D'i aj-. Ayer entró en esta ciudad el general Ballesteros con poco ¿.nuestro* intereses,.. y; puede acarrearjoos males mcalcula- su estada inayo; y una pequeña escola, J. &gt;aljevgiv 4 recibirle *.k</t>
  </si>
  <si>
    <t>…layo y al Batanero Todos los españoles ponen sus esperanzas en las virtudes cívicas presos; á Morales en Extremadura derrotado, y al famoso Me y militares , jamas desmentidas, del general Ballesteros, y los pue rino buscando asilo entre las breñas después de su derrota el 20 blos se prestarán gustosos á los mayorts sacrificios, teniendo á su de Marzo en Aguilar de Campoo. frente á un hombre que sabe emplearlos bien por la .patria. El En otros varios punto…</t>
  </si>
  <si>
    <t>…lo que ia iávorecm los actives y sapien Cuartel general de....... ,= Santos Ladrón. tísimos agentes que 'dicen tiene en Madrid , empeñados m ha Boletín del 8 Cuando esperábanos al general Ballesteros de cer creer que por acá todos aman la independencia, y están re vuelta de Vitoria nos hallamos con que pasó a una legua de sueltos á ser colombianos. £1 general Morales acaba d: recorrer esta ciudad ("-vitando todo obsequio. Nos ha sido muy sensible las prov…</t>
  </si>
  <si>
    <t>…mencio Guardia al Congreso y archivo de Cortes la AI. N. L. nado periódico dice: «El Gobierno acaba de recibir un parte Debiendo promulgarse mañana con toda solemnidad por el del general Ballesteros, fecha en su cuartel general de Tarazona gobierno político de esta provincia el decreto de S. M. declaran á 19 del corriente:” y continúa diciendo, que el parte del ge do la guerra á ia Francia, se hallarán á las diez de ella en la pla neral Ballesteros se re…</t>
  </si>
  <si>
    <t>…do debidamente puesto el ra, Mancha y Toledo desde r.°de Setiembre de éste año hasta honor de las armas de la patria. fin de Agosto del próximo de 1824; y en su virtud tengo se El general Ballesteros concluye su parte asegurando la deci ñalado las 12 de la mañana de los días 10, 25 de Mayo y ro sión de sus valientes tropas, y su firme resolución de defender de Junio para el primero, segundo y tercer remates,que han de las libertades públicas hasta morir,…</t>
  </si>
  <si>
    <t>…es, resultarían sucesos desagradables. que ocupan los franceses á causa de los grandes acopios que van Contestó á la observación del Sr. Becerra sobre que se faculte haciendo___Al general Ballesteros no le molestan de cerca en su á las audiencias para interpretar las leyes, que esto era para un prudente retirada. caso de absoluta necesidad; y concluyó pidiendo á las Cortes apro Dicen que el 16 de Abril había franceses en Almazan á basen este artículo, por…</t>
  </si>
  <si>
    <t>…uieran sin ir a.pelear en defensa bien fue necesario volver á evacuarla en aquella misma noche á de la patria. causa de la aproximación del rebelde cabecilla portugués. Este no El general Ballesteros pasó revista en Teruel el dia 2 á tyD pudo permanecer aquí mucho tiempo, porque el general D. Luis hombres, y se disponía para ir á Valencia para acabar de organi &lt;io Rego con su división venia persiguiéndole. Luego que el Ex zar allí el ejercito. celentísimo…</t>
  </si>
  <si>
    <t>…verse contrariados hasta por los mis 14 y 15. {Véase la gaceta del d del corriente.') mos franceses. Las Cortes quedaron ent eradas de un oficio del Sr. secretario Se sabia que el general Ballesteros continuaba reconcentrándose; de Estado , en que les participaba que S. M. habia tenido á bien el general Morillo seguía infatigable en organizar y completar nombrar para desempeñar el ministerio de la Gobernación de la cuerpos: y el conde de! Abisbal, no 'men…</t>
  </si>
  <si>
    <t>…cena. ARTICULO DE OFICIO. Circularas del ministerio Je Guerra. Por partes que el Gobierno acaba de recibir se sabe que el Por el ministerio de la Guerra se ha circulado la Real or general Ballesteros, que con 89 infantes y 19 caballos habia en den siguiente : trado en Valencia el 10, permaneció hasta el 15, pasando en « El Rey ha tenido á bien resolver que los tenientes genera seguida á Játiva , de cuyo punto desalojó una división de faccio les conde* del…</t>
  </si>
  <si>
    <t>…ítico de Murcia habia salido con una columna de El 14 desembarcó en el Grao la división de Bazan, y s« milicianos para los pueblos de la misma inmediatos á la de Ali unió á la del general Ballesteros. cante. __Por la correspondencia de Cádiz del 27 sabemos que en el ber __Habían llegado á Cartagena 1200 fusiles comprados en Gi- gantín ingles que fondeó el 2 5 en aquel puerto llegó un ven eral braltar por encargo de la diputación provincial. ingles , que p…</t>
  </si>
  <si>
    <t>…esinados, saqueadas o incendiadas sus ca vadidas por el enemigo , y de la de ios 9.0 y io.° distritos. sas -5:c. !i! Se levantó la sesión. Un diario galo-hisp.ino, sabiendo que el general Ballesteros ()r . n de la plaza df¡ 4 al 6 U Junio de 1 &lt;S’ 2.7. había levantado el bloqueo de Valencia , se lo pinta a ¡os hispanoGefe de día eí comandante del primer batallen de la M. N. L. galos diciendo que Ballesteros perseguido por los franceses tuvo de Sevilla D.…</t>
  </si>
  <si>
    <t>…inmenso de generales capaces de mandar los ejércitos por el Gobierno, nos hace patente la verdad de mi aserción: el de Gerges so necesite apelar al consejo de Estado pava sacar de general Ballesteros con sus acertadas -providencias, ilustración y allí generales que hayan de suplir la incapacidad de los demás. patriotismo salvó á Valencia; :y no podemos esperar l.m felic.s Por todas estas razones,)' por las principales que no he expresado, resultados de es…</t>
  </si>
  <si>
    <t>…iones á causa de que no daba detalles circuntancia- ido á aprocsimnrse á la serranía de Cnentc. para ale dos lio la fuerza con que lian invadirlo á Madrid , la jar las ti opas del general Ballesteros, y se ignora imjv sibilidad , como he dicho, de conocer ios mo ios progresos cíe esta columna. vimientos de los enemigos. Sin embargo el Gobierno La columna de la derecha principió a tomar po lia llegado á obtener noticia de (u fuerza poco mas siciones acia e…</t>
  </si>
  <si>
    <t>…do con entusiasmo los rasgos de su valor, descubran lo cual pert-necia al titulado segundo ejército que mandaba el aus inunciones á la faz de la España culta , sin permitir que en general Ballesteros, y que abandonó en la playa al tiempo de el ángulo mas estrecho de la Península resuene el insidioso eco de libertad constitucional. Llegó este momento terrible para lossu retirada. infames, y en el que los españoles, sacrificándose de un modo El Sr. secretar…</t>
  </si>
  <si>
    <t>…ron estos documentos á la redacción lian llegado alli jo9 hombres de excelentes tropas, procedentes de la Gaceta del modo que indicamos en nuestro número de ayer, del ejército del general Ballesteros , y que en Orihuela habían y se dan hoy por ofendidos de que no hayamos callado este favor. quedado 38 de la misma calidad después de haber dejado cubier asegurando que su publicación envuelve una especie de reconven tas perfectamente las guarniciones de Alic…</t>
  </si>
  <si>
    <t>…la derfteha la infantefíadé Ballesteros coronaba todas las alturas, neral a Granada. y la reserva se adelantó inmediatamente para envolver la dere ;■ Antes de la acciqn del 28 el general Ballesteros nos había cha de Loverdo; .pero este general , cuyas bellas disposiciones y enviado parlamentarios, y no fueron admitidas sus proposicio vigor en su ejecución hó sabe alabar bastante el conde Molitor, nes. Todo hace creer que á esta hora ja habrá enviado otro…</t>
  </si>
  <si>
    <t>…del segundo w nará continuar favoreciéndola. Por lo que á mí toca, llevado ejército de operaciones. ‘ » de la pureza de mis intenciones y de las de los Soberanos mis Art. i.° » El general Ballesteros y el segundo ejército de se h aliados, estoy enteramente decidido á no dejar las armas hasta mando reconocen la autoridad de la Regencia de España , esta » que haya reconquistado para España la felicidad, para su Rey blecida en Madrid durante la ausencia del…</t>
  </si>
  <si>
    <t>Gaceta Española n.º 124</t>
  </si>
  <si>
    <t>…l tráfico y navegación entre la España Europea y la sangrienta cerca del pueblo de la Manchuela, entre el ejército del Ultramarina solo pagarán las dos terceras partes de los dere general Ballesteros y el del general francés Molitor, en la cual chos que antes adeudaban, asi en la importación como en la este fue completamente batido con grandísima pérdida. Nuestros exportación, entendiéndose que esta rebaja solo tendrá efecto valientes se portaron con el d…</t>
  </si>
  <si>
    <t>…, según las instrucciones que había dia 21. recibido del Sermo. Sr. Duque de Angulema, ajustó el 4 de 4.0 Los oficiales conservarán sus espadas y equipa ge, y los este mes con el general Ballesteros un convenio, por el que este soldados sus mochilas; á los primeros se les darán sus pasaportes general y las tropas de su mando reconocen la autoridad de la y raciones de etapa para que puedan pisar á la capital del reino, Regencia de España, instituida para…</t>
  </si>
  <si>
    <t>…cañones, un obús y 7 morteros: á nuestra llegada dad á que pertenece su comandante. En ella pone de vuelta y se les intimó la rendición; pero contestaron con el orgullo é media al general Ballesteros porque ha cedido á la justicia y á insolencia que acostumbran. El día 12 nada ocurrió, sino que i Ja-fuerza, no queriendo sacrificar bárbaramente mas españoles, media noche se acercaron i la orilla en un barquichuelo , y nos que merecen defender solo la santa…</t>
  </si>
  <si>
    <t>…nión en lugar de la concordia que mas que nunca se contestar á esta mentira de tanta marca. debía conservar. No io conseguirá. Los que caminan á un fio, Hablando de la entrega del general Ballesteros este misino si alguna vez varían en la elección de medios, pronto se compo periódico dice entre otras cesas. » Pero lo que es mas extraor nen. Aun está el Rey cautivo, y no dista mucho el dia en que ¡o dinario todavía, y ¡o que da lugar á muchas conjeturas es…</t>
  </si>
  <si>
    <t>…ingulares demostraciones Chinchilla, Cuenca , Guada'cjara y Ciudad Real, ha accedió con una vida ejemplar y laboriosa , mostrándose dignos discípu á la convención concluida por el general Ballesteros, en la. cual los de S. Benito, y desmintiendo las ca;umnias que sirvieron había sido también compr-nd do. de pretexto á ios revolucionarios para su extinción. J&gt;e hab.a iit-ntado fomentar una insurrección entre las tro Muti.ró ic/ de Agníto. pas del general B…</t>
  </si>
  <si>
    <t>…ndo namente dice en su apreciabíe anta- asi lo espera esta pacifica pro* ejército de operaciones. vine.a , acreedora a que V. E. desplegue su beneficencia en favor Artículo i.° El general Ballesteros y el segundo ejército ásus de sus moradores. órdenes reconocen la autoridad de la Regencia de España, esta » Con este motivo tengo el honor de ofrecer á V. E. las ma blecida en Madrid durante la ausencia del Rey. yores consideraciones y respeto, señor general…</t>
  </si>
  <si>
    <t>…s a todos los negros que podían haber A timientos , acaba de prohibir estrechamente que las órdenes del Jas manos, concibieron la mayor aversión á la religión de los cris indicado general Ballesteros ni otras algunas procedentes de las tianos, y hacen una guerra de exterminio á los naturales que la dependencias del segundo ejército sean obedecidas, cuya prohi abrazan. bición haré guardar, imponiendo acerca de ella la mas estrecha Los misioneros han Pecho…</t>
  </si>
  <si>
    <t>Gaceta Española n.º 165</t>
  </si>
  <si>
    <t>…jado de observar con mucha atención los do, á lo menos, llamar su atención. electos dt Lis const Iliciones que han puesto en ejecución algunos Un periódico de Paris asegura que el general Ballesteros se ha otros bobinaros que no han tenido tanta paciencia «orno el : y ha dirigido al cuartel cenera! del duque de Angulema , y que ei ge sac.itlo por consecuencia que el único modo de ponerse á cubierto neral-Donnadicu llego a Tolosa ei d.a 11 con dirección a…</t>
  </si>
  <si>
    <t>Ballesteros, Diego</t>
  </si>
  <si>
    <t>Diego Ballesteros</t>
  </si>
  <si>
    <t>…íria por las calles gritando cOn el mayor entusias y el empleo de segundo Cabo de la de Granada al Mariscal de mo: El Rey en libertad, el Rey en-libertad t repitiendo mil vi Campo D. Diego Ballesteros; y para la Inspección general ca vas , que mezclaban coi» lágrimas del mas puro placer. Los volun ballería al Brigadier D. Pedro ’ So toma yor, que la servia interi tarios Realistas, tínica ttopá que aqui se haila, cubrió el servi namente. cio de la plaza, da…</t>
  </si>
  <si>
    <t>Ballesteros, Francisca</t>
  </si>
  <si>
    <t>Francisca Ballesteros</t>
  </si>
  <si>
    <t>…fec juez de primera instancia D. Tomas Barona,cuyo acto concluido ción y equidad, y se servirá avisar en la calle de la Sierpe , n. 6, se retirarán á su cuartel.urLeglisa. casa de Doña Francisca Ballesteros , líente á la cárcel nacional. ARTICULO DE OFICIO. Don Josef Alarcon, miliciano nacional de Madrid, y profe El Rey ha expedido los decretos siguientes: sor de matemáticas puras , que ha sustituido la cátedra de dichas ■&gt;■&gt; Habiendo concluido D. Joscf Manuel V…</t>
  </si>
  <si>
    <t>Ballesteros, Francisco</t>
  </si>
  <si>
    <t>Francisco Ballesteros</t>
  </si>
  <si>
    <t>…til para Se leyó un oficio del Sr. secretario de !a Guerra, pidiendo autori el servicio , se procederá á recibir al sustituto á quien corresponda. zación para encargar al teniente general D. Francisco Ballesteros del ' Árt. 98. Hecha la entrega de los quintos y de los sustitutos que mando militar de la provincia de Madrid. 1 deban ocupar el lugar de los desechados, el diputado provincial pre El Sr. Arguelles pidió que la autorización de las Cortes fuese mas guntará i…</t>
  </si>
  <si>
    <t>…n hombre que funda sus Entre cuntro y cinco de a tarde ha entrado en está capital el Ex taciocinios en sen-.r jantes datos! Esto es verdaderamente forjar novelas, celente.trio »r. D. Francisco Ballesteros: las Salvas de auillrría han. pero de tan mala e.pecte, que no podrán menos de convenirse en anunciado su llegada , y un júbilo extraordinario se ha apoderado en historias bien funestas. Un instante de lo» pechos de torios sus habitantes. Un repique general (…</t>
  </si>
  <si>
    <t>…eza, llena del respetuoso afecto á su Monarca te: Excmo. Sr.: Hallándose la división de caballería del ejérci el Sr. D. Fernando vii , y de la compasión que debe inspirar á to del general D. Francisco Ballesteros con algunas brigadas de todo buen español la situación amarga en que se hallaba, no infantetía situado en los campos del Campillo de Arenas, fue pudo ya por mas tiempo contener los impulsos de su corazón; atacada por el ejército francés entre 9 y 10 de la mañ…</t>
  </si>
  <si>
    <t>…nción'de Cádiz: «Dios ha piotegido hasta aqui tan visi- por S. A. R. el Sermo. Sr&gt; duque de Angulema, y el teniente »&gt; blemente la mas justa de las causas; debemos confiar se dig- general D. Francisco Ballesteros, general en gefe del segundo w nará continuar favoreciéndola. Por lo que á mí toca, llevado ejército de operaciones. ‘ » de la pureza de mis intenciones y de las de los Soberanos mis Art. i.° » El general Ballesteros y el segundo ejército de se h aliados, est…</t>
  </si>
  <si>
    <t>…xcmo. Sr. , por haber esperado ciuince&lt;¡ as , las rizado por S. A. R. ci duque de Angulema, y el teniente ge desgracias que lleva consigo I i gu-er: 1, como V. E. muy oportu neral D. Francisco Ballesteros, general en gefe del segundo namente dice en su apreciabíe anta- asi lo espera esta pacifica pro* ejército de operaciones. vine.a , acreedora a que V. E. desplegue su beneficencia en favor Artículo i.° El general Ballesteros y el segundo ejército ásus de sus…</t>
  </si>
  <si>
    <t>Ballesteros, Josef Sánchez</t>
  </si>
  <si>
    <t>Josef Sánchez Ballesteros</t>
  </si>
  <si>
    <t>…estros divinos,í cho menos de los que se creiau. nuestros regeneradores , los que han visto-la luz, lo* amigos del' pueblo, los que restituyen al hombre sus derechos, han sentido' D. Josef Sánchez Ballesteros, miliciano de caballería que ha qus la ley no debe tener excepciones: han sancionado sido en ¡a partida de un tal D. Gregorio de Lasa,' tomó el día' luta igualdad legal!!!!!! For esto hemos visto á un militar su 25 del pasado la prudente resolución de pasarse…</t>
  </si>
  <si>
    <t>Ballesteros, Luis López</t>
  </si>
  <si>
    <t>Luis López Ballesteros</t>
  </si>
  <si>
    <t>…so modo con que desde el .principio dieron E! R. P. Miro. Fr. Manuel Martínez, del orden de la Mer abrigo en los dilatados montes de su distrito á tantos esforzados ced calzada, y D. Luis López Ballesteros, director general da -caballeros y i tanto" valerosos oficiales y soldados que de con rentas, comisionados por la ciudad de Santiago , se presentaren tinuo transitaban por ellos, llenos de confianza solo porque pi á S. A. S. la Regencia del Reino ; y habiendo…</t>
  </si>
  <si>
    <t>Gaceta de Madrid n.º 1273</t>
  </si>
  <si>
    <t>…l reino vuelva al estado de grandeza y to.mhstá rubricado de la Real mano. En Palacio á 18 de Di poder con que se hizo respetar erí ei mundo entero, y que guar ciembre de i32 3.=A D. Luis López Ballesteros. de dilatados años ía importante vida de V. AI., que son los vo tos de esta ciudad. Exposiciones dirigixas al Rey nuestro Señor. ,,Calatayud 18 de Noviembre de 1823.rrSe110r.mA L. R. P. „Señor: El Corregidor y Ayuntamiento de la M. N. y mas de V. M.rrVicente…</t>
  </si>
  <si>
    <t>…ue solicite graduación de Comisario de Guerra, lo necesario á su cumplimiento.=:En Palacio á 24 de Diciembre Ordenador Ó Intendente de ejército, no siendo individuo que de i8i3.=A D. Luis López Ballesteros. corresponda á las oficinas de Cuenta y Razón del mismo. Madrid 20 de Diciembre de 1823. Circulares del Ministerio de la Guerra. Circular del Ministerio de Hacienda. Al capitán general de Granada digo con esta fécha lo siguiente: He dado cuenta al Ruy nuestro…</t>
  </si>
  <si>
    <t>Ballesteros, Matías</t>
  </si>
  <si>
    <t>Matías Ballesteros</t>
  </si>
  <si>
    <t>…s seis de la mañana de ayer entraron en esta capital al pitán Azlor, como también la de los retirados de igual cías* rebelde Riego. El pueblo Madrileño esperaba ansioso su llegada D. Matías Ballesteros y D. Santiago Alvarez, Oficiales de la para lograr el justo desahogo de ver abatido y humillado al milicia Realista de Andujar, que han acompañado al freso hasta principal instrumento de la Acción jacobina, que tantos dias de esta corte; y no menos la del Teniente Coronel D. Juan…</t>
  </si>
  <si>
    <t>Ballesteros, P'rancisco</t>
  </si>
  <si>
    <t>P'rancisco Ballesteros</t>
  </si>
  <si>
    <t>…rror, entre no dictamen: sotros son compañeras inseparables de la libertad, y su mas firme apoyo. Árt. i.° D Se autoriza si Gobierno pata suspender mientras lo PrOilama del Eximo. Sr. D. P'rancisco Ballesteros. juzgue oportuno la introducción en la Península é islas adyacentes de n Milicianos de la guarnición de esta heróica capital: Las circuns buques de efectos extrangeros de aquellas naciones que corten sus rela tancias en qus se halla la patria han excitado al…</t>
  </si>
  <si>
    <t>Ballesteros, Pedro</t>
  </si>
  <si>
    <t>Pedro Ballesteros</t>
  </si>
  <si>
    <t>ipS t ron en dicha ciudad 300 franceses heridos y un gran número dft Antonio Abad D. Agustín Contreras, D. Francisco Arizcun prisioneros (6).” D. joicf Muñoz, D. Pedro Ballesteros , D. Juan Gavina, Don *&gt; Campamento de S. Gerónimo 26 de Junio de 1823. Josef López Robredo, D. Joaquín Cortina, D. Carlos Vega, n En este instante acabamos de llegar á este campamento de D. Saturnino Heras y D. Salvador López, bajo la dirección del una gran…</t>
  </si>
  <si>
    <t>Baltasar</t>
  </si>
  <si>
    <t>104</t>
  </si>
  <si>
    <t>…ejércitos de de Castro, D. Manuel Cunehüius , D. Lorenzo Larnbea, Den operaciones ó reserva, y desee asignar alguna parte de sus habe Celedonio Martínez, D. Mariano de Goicochea, D. Baltasar res á sus padres , muger, hijos ó parientes , lo harán presente por Joaquín Perez, D. Nicolás Alonso García, D. Francisco de escrito al inspector general del arma en que sirva, expresando el Palacios, D. Domingo García, D. Francisco del Acebal y Arnombre de J…</t>
  </si>
  <si>
    <t>Balúltima, Fermín Martin de</t>
  </si>
  <si>
    <t>Fermín Martin de Balúltima</t>
  </si>
  <si>
    <t>…en vuestro seno á en que S. M. á impulso de una secta impía y escandalosa, fue esa raza de víboras famélicas, que no pararán hasta chuparos la privado de su preciosa libertad. Por D. Fermín Martin de Balúltima gota de sangre! maseda , Intendente de ejército honorario. Véndese á 8 rs. en pasta y 3 rs. en rústica en el despacho de la imprenta Rea!. , Tenemos presente un diario circunstanciado de todas las ope Quien quiffere hacer postura á la dehesa titulada de Inest…</t>
  </si>
  <si>
    <t>Banceí, Domingo</t>
  </si>
  <si>
    <t>Domingo Banceí</t>
  </si>
  <si>
    <t>…eonardo Santos Suarez , diputado Secreta D. Josef María Villaranda, D. Felipe de la Puente, D. Segismundo rio = Manuei Llórente, Diputado secretario.” =Por tanto mandamos á Moret, D. Domingo Banceí, D. Juan Bautista Carrera, D. Juin Pe todos los tribunales y justicias, gefes, gobernadores y demás autorida rez y D. Joaquín María Goñi, por unanimidad ha declarado no haber des , asi civiles tomo militares y eclesiásticas, de cualquiera clase y dig lugar á…</t>
  </si>
  <si>
    <t>Bangel, Fonseca</t>
  </si>
  <si>
    <t>Fonseca Bangel</t>
  </si>
  <si>
    <t>…en esta crisis. difunto mando debía al monte pió; opinaba debían dcscetiirarse El Sr. Galvaon Palma y otros señores expusieron sus opinio estas solicitudes. .Aprobado. nes , y el Sr. Fonseca Bangel habló largamente proponiendo una La misma com:s&lt;on opinaba se accediese á la solicitud Je enmienda. Doña Josefa Pérez sobre concesión de la viudedad que la corres El Sr. Derramado dijo que hallándose el general Sepúlveda pondía por muerte de su marido. Aproba…</t>
  </si>
  <si>
    <t>Bango, Juan González</t>
  </si>
  <si>
    <t>Juan González Bango</t>
  </si>
  <si>
    <t>…'i recibir el Tugar con todo el rigor de las leyes. También declara S.M. exoprimer parlamentario de V. E.; pero debo advertirle que no tra '-nerado de su destino por igual causa á D. Juan González Bango, taré del mismo modo al segundo que venga con semejante men- director de contribuciones directas de la propia provincia; y sa sage. tisfecho de la conducta leal y patriótica del tesorero de la misma Dado en el castillo de S. Fernando de Figueras, primer ba D.…</t>
  </si>
  <si>
    <t>Baño, López del</t>
  </si>
  <si>
    <t>López del Baño</t>
  </si>
  <si>
    <t>Gaceta de Madrid n.º 3</t>
  </si>
  <si>
    <t>…directa, ya indirectamente! Acaso serán demasiado aventuradas estas el artículo. sospechas; pero el descubrimiento que acaba de hacerse las disculpa. El Sr. Gómez (D. Manuel): El Sr. López del Baño ha hecho ya En todo caso será muy conveniente que redoblemos nuestra vigilan una gran parte de tas observaciones que me ocurrían sobre este artículo. cia; y que las autoridades se aprovechen de este interesante descubri No se diga que por él se hace un benefi…</t>
  </si>
  <si>
    <t>…si que, debe apro responde entender en «tos asuntos al tribunal supremo de Justicia; en barte el artículo. mi opinión solo corresponde decidir estas competencias al gobierno su El Sr. López del Baño: La cc-mision ha creido hacer un beneficio premo , pues el expresado tribunal , ademas de no tener autoridad parapor este artículoá los jóvenes que hayan deservir en la milicia acti va; pero supongamos que salgan licenciados algunos individuos dé ello, tiene…</t>
  </si>
  <si>
    <t>…oche mas tenebrosa en el mas hermoso dia: las calles ae vie pañías de cazadores constitucionales. ron cubiertas de militare», milicianos y ciudadano» armado», dotan Leído este, el Sr. López del Baño (lijo: Sí el proyecto da i aflamen-</t>
  </si>
  <si>
    <t>…n el que ahora presenta la comisión no se obliga tes tendrá a bien desaprobar el dictamen. ■ todas las ¿rcvincias á la erección de estas compañías, «;co que d-.js El Sr. Marau: El Sr. López del Baño ba atacado este proyecto á la discreción de las diputaciones provinciales , según las mayores ó diciendo que era una repeticton del anterior; pero debo contestar í menores necesidades de las respectivas provincias, su erección ó no, S. que no es así: -jr-a de…</t>
  </si>
  <si>
    <t>…n para los vista no podrá menos de aumentar los remordimientos de su concien que sirven en estas armas.” cia, y la desesperación á que los han re medo sus criminales extravíos. El Sr. López del Baño: No sé por qué razón no se les he de abo __El Liberal Guipuecoano de S. Sebastian del 10 publica las siguien nar á estos .individuos nada mas que la tercera parte del tiempo que tes noticias •• hayan servido en estas compañías en el oso de entrar á servir en…</t>
  </si>
  <si>
    <t>…os esfuerzos posibles pata hallarlo. Guadalajara , por el ir. Castejan. NOTICIAS DE ESPAÑA. De la milicia nac onal leeal voluntaria de ambas armas de la c utiad de Lucrria, por ¿1 Sr. López del Baño. Cádiz 16 de Enero. Del ayuntamiento constitucional de Jaén,por el Sr. Gómez (Don Con el mayor sentimiento toni. mos hoy la pluma para denunciar £ Manuel). U autoridad á quien corresponda un at miado contra ias leyes que nos De! gefe político, intendente y em…</t>
  </si>
  <si>
    <t>…e De 80 ciudadanos de Lucena, entre eüoe el vicario eclesiástico y de la confirmación de la corte de Roma! Recórrase la historia ecle muchos presbíteros, presentada y leída por el Sr. López del Baño. siástica , y se verá que en la ant giiedad nunca se necesitó de este requi Del ayuntamiento constitucional, diputación provincial, milicia sito ; ; y qué resutados ha producido á la religión el haber introducido activa , y de los empleados de la Hacienda púb…</t>
  </si>
  <si>
    <t>…farán la misma canti mas.ado: no c-s contrario al art. 305 de la Consf tucion como dad los padres de aquellos.” han creído algunos Sres. diputados , porque este arfado habla de El Sr. López del Baño: Este artículo tiene dos partes: la pri que las penas no pueden ser trascendentales á las familias del que mera se reduce á disponer que los prófugos si tienen bienes pro las sufre: estas penas son las infamatorias, quesecreian trascenden pios sufran una mult…</t>
  </si>
  <si>
    <t>…Caste- formalidad debían admitirse ambos diputados supuesto que cons jon, á lo resuelto sobre el art. i.° del proyecto de tribunales es taba la elección en el acta. peciales. Del Sr. López del Baño á la ultima parte del art. 2.“ El Sr. Pc-dralvez contestó que aunque esto r.o era una impug del segundo decreto sobre las medidas extraordinarias propuestas nación , no obstante- las CórU-s conocerían que era un deber de la por c-1 Gobierno , y á los decretos…</t>
  </si>
  <si>
    <t>…o que deben obtener los oficiaos nota. En la gaceta del 5, col. 5.a, lin. 72, donde dice que siendo ya retirados vuelvan al servicio del ejército. «El Sr. López Baños,” léase: «El Sr. López del Baño.” * También aprobaron una proposición de los Sres. Canga Ar Ultima sesión de Lis Córtes ordinarias. guelles , Somoza y Beltran de Lis, informada por la comisión de Guerra , para que Jos gefes, oficiales y demas militares de cual Se leyó y quedó aprobada el ac…</t>
  </si>
  <si>
    <t>Baño, Pedro</t>
  </si>
  <si>
    <t>Pedro Baño</t>
  </si>
  <si>
    <t>…ra mas tengo que thc.r smo que mi »n.u,o no ña sido poner en t.__a el de Hacienda. Uno sobre la solicitud de Doña Buhara de la Hoz, viu ccnccido zelo da ¡es res. s.crcUrics. da de D. Pedro Baño, teniente de ios egércitos nacionales, pidiendo Se leyó por segunda "rz, y s: mandó pasar i la comisión de Guer j; le continúe el pago de ci-rta pensión que se la había concedido. La ra, la proposición dei ar. .'«ioure sobre que s: deciaren vig.utes tos de co…</t>
  </si>
  <si>
    <t>Baños, Félix López</t>
  </si>
  <si>
    <t>Félix López Baños</t>
  </si>
  <si>
    <t>…Gobierno para que se instruyese en debida forma. pez. Por comandante general de ingenieros á D. N. Por vicario Se mandó pasar á la comisión de Legislación una exposición general á D. Félix López Baños. Por avudante de- campo del del capitán de la M. N. L. de esta ciudad y fiscal de varias cau Exento. Sr. general en gefe al teniente coronel D. Juan Dosas D. Josef María Molner, en que manifestaba á las Cortes que mech, primer ayudante del regimiento infanter…</t>
  </si>
  <si>
    <t>Baños, López</t>
  </si>
  <si>
    <t>López Baños</t>
  </si>
  <si>
    <t>…el los secretarios del Des La columna de la derecha principió á tomar posiciones hacia pacho hasta las once de la noche i y creyendo el consejo que era el puente del Arzobispo. El general López Baños , después de imposible dar en el acto su parecer , lo "suspendió hasta el dia si haber defendido las posiciones por dos horas, se vió en ¡a ne guiente, ofreciendo que se declararía en sesión permanente hasta cesidad de replegarse ; en consecuencia anuncia con…</t>
  </si>
  <si>
    <t>…arse que quedará de una vez imposibilitado de seguir ha dado luz : no puedo contarte Con la claridad que debiera lo haciendo el papel ds-guerrero fujitivo. que hemos pasado con el Sr. López Baños al tránsito por esta Yo puedo aseguraros que esta última andanza le ha desconcep con su llamado ejército de huida. El día 10 llegó á esta'con una tuado enteramente hasta entre los mas.rudos de la Cerdaña, y he jente que no parecían si?:o unos prisioneros, tan…</t>
  </si>
  <si>
    <t>Gaceta de Madrid n.º 243 (extraordinaria)</t>
  </si>
  <si>
    <t>…vieron estas el tiempo ni los medios para hacerse respetar al pronto. El pueblo continuaba en su efervescencia y movimiento, cuando en la mañana de antes de ayer 16 se presentó el general López Baños en el barrio de Triana con los res tos de las tropas que mandó Lavisbal, después Casteldosrius, y última mente Zayas. La gente se alarmó y luego rompió el fuego con los cañones puestos á la cabeza del puente, é hizo mucho daño á dichas tropas; pero por falta…</t>
  </si>
  <si>
    <t>…y bastante para el objeto de que se trata, y por lo mis en que se hallarían de emprender su viage. Ademas se sabe como mo pido que no se apruebe este proyecto. salió de Sevilla el general López Baños, cuya circunstancia no El Sr. Canga pidió que se leyese el decreto que habia citado daría tiempo á los empleados para vertirse, y también se saba el Sr. Marau. que el secretario del Despacho de la Guerra , aquel valiente v El Sr. Isturiz; La impugnación del S…</t>
  </si>
  <si>
    <t>…toda proliji y recomienda al coronel Santa Cruz, que fue levemente hendo, dad los buques que deberían admitirse &amp;c. al primer comandante de San Marcial Valcarccl , que recibió El Sr. López Baños dijo que lo que la comis-.on proponía Una fuerte contusión : se manifiesta satisfecho del teniente coro no podia contradecirse de modo alguno, á saber, que los buques nel Arvila, de los oficiales de E. M. D. Bruno Gómez y Don que rompiendo ó superando la line…</t>
  </si>
  <si>
    <t>…lio último, en orden aL retiro que deben obtener los oficiaos nota. En la gaceta del 5, col. 5.a, lin. 72, donde dice que siendo ya retirados vuelvan al servicio del ejército. «El Sr. López Baños,” léase: «El Sr. López del Baño.” * También aprobaron una proposición de los Sres. Canga Ar Ultima sesión de Lis Córtes ordinarias. guelles , Somoza y Beltran de Lis, informada por la comisión de Guerra , para que Jos gefes, oficiales y demas militares de cua…</t>
  </si>
  <si>
    <t>Baños, Miguel López</t>
  </si>
  <si>
    <t>Miguel López Baños</t>
  </si>
  <si>
    <t>…tías Vargas, y al cadete D. Josef Go- 1 =Rubricado de la Real mano. = En palacio á 16 de Diciembre de mez; al intrépido comandante de Lanceros de Rioja D. Francisco Ruiz,; 1822.=A D. Miguel López Baños. al teniente D. Fermín Laburno, y al alférez D. Antonio Sardie.’* Circular de! ministerio de la Guerra. TRIBVNAtES. Ve Los Sres. diputados secretarios de las Cortes extraordinarias con fe cha di 29 de Diciembre último me dicen lo siguiente: Los Sres. de la sa…</t>
  </si>
  <si>
    <t>…dréis consortes las semillas de las inicuas facciones levantadas en Anda se imprima, publique y circule, ss Rubricado de la Real mano. =En lucía ! Palacio á 8 de Enero de 1823.= A D. Miguel López Baños. Los de Zaragoza ( sexto distrito ) que llegan hasta la misma fecha Circular del ministerio de Hacienda. contienen únicamente lo que ya dejamos publicado en los artículos de Zaragoza y Calatayud. Para que la intervención del ministerio de mi cargo pueda Llena…</t>
  </si>
  <si>
    <t>…re formación de una legión extrangera en estos térmi iú Rey ha expedido el decreto siguiente: nos : » Los gefes, oficiales y sargentos extrangeros acreditarán el « Habiendo cesado D. Miguel López Baños en el desempeño empleo con que antes servían en el ejército de su nación, para del destino de secretario del Despacho de la.Guerra, he venido que á medida que se vaya formando el cuerpo se agreguen á él en habilitar para que lo desempeñe, mientras, que se. pr…</t>
  </si>
  <si>
    <t>Baños, Miguel López de</t>
  </si>
  <si>
    <t>Miguel López de Baños</t>
  </si>
  <si>
    <t>Gaceta Española n.º 9</t>
  </si>
  <si>
    <t>…periores á los que disfrutan ¡os de estas le. re JEstá rubricado &lt;k la Rea! mano rrCaroün* 30 de Marzo clases en las armas en que deban ingresar. Art. 20. Todos los no &lt;k 1823.= A D. Miguel López de Baños comprendidos en tas clasificaciones del presente decreto seguirán percibiendo los sueldos que actualmente gozan. Madrid 21 de Or.ltn 1 it l.t rt-izii Arl /P :il r q Jr A’ &lt;■!', Marzo de 182 3. = Manuel Flores Calderón , Presidente. 2= Leo Gefe de día el coman…</t>
  </si>
  <si>
    <t>…ce los mayores esfuerzos para popularizar la Real mano de S. M. = En el alcázar de Sevilla á 29 de Abril la injusta guerra que ha emprendido; pero son vanos todos sus de 1823. = A D. Miguel López de Baños.” conatos. Los parisienses se han burlado del primer boletín (véase Ja El capitán de puerto de Gijon, con fecha 23 del mes pró Gaceta del 27 de Abril ) , porque se gritaba por Paris la prime ximo plisado, da parte de haber fondeado en aquel surgidero el ra ba…</t>
  </si>
  <si>
    <t>235</t>
  </si>
  <si>
    <t>…ibuirá el servicio en tiempo de paz y guerra, imprima, publique y circule.= En Palacio á 17 de Mario d« destinando á distrito ó ejército el médico mayor ó consultor que 1823. == A D. Miguel López de Baños. crea mas á propósito, y en ios mismos términos los primeros y De orden del Rey lo comunico á V. para su inteligencia segundos ayudantes en ¡os hospitales militares, removiéndoles de y cumplimiento. Alcázar de Sevilla 21 de Abril de 1813.se unos puntos ¡5 otr…</t>
  </si>
  <si>
    <t>Baños, Pedro Martínez</t>
  </si>
  <si>
    <t>Pedro Martínez Baños</t>
  </si>
  <si>
    <t>…e que soy capaz. Continuad pues en vuestra tranquili Eiboada: id. de Vizcaya a D. Tiburcio Eguiluz : id. de Borja á dad, y contad con que estoy resuelto á mantenerla á toda costa; D. Pedro Martínez Baños: id. de Logroño a D. Josef Antonio y si alguno intentare perturbarla sufrirá infaliblemente un castigo Ix-róa-auer; id. de Sto. Domingo a D. Ambrosio Eguía é Irigo- pronto y riguroso. Solo,os recomiendo la moderación y el orden, rai- ¡ci. de Miranda de Ebro a…</t>
  </si>
  <si>
    <t>Banquells, Josef</t>
  </si>
  <si>
    <t>Josef Banquells</t>
  </si>
  <si>
    <t>…venta. Los efectos dr: Ale el suceso ocurrido en ia cindadela de Menorca con el juez de mania y Francia ofrecían gran pérdida , y no aparentaban mejo primera instancia de la misma D. Josef Banquells, acompañan ra-, pues se contaba con mas remesas. El bacalao á 3 diiros quin do testimonio de lo resultante en su razón ; su contenido, es tal__ Las tropas de Canterac estaban á unas 40 leguas en fuerza pecialmente, lo representado por el ayuntamiento al coman…</t>
  </si>
  <si>
    <t>Banquetls</t>
  </si>
  <si>
    <t>…contra la nación , ni designa los casos y circunstancias que producen desafuero, de se han juntado con los facciosos, ni quedan comprendidos en que al parecer está muy distante el juez Banquetls; pero aun en ninguno de los artículos de la nombrada ley marcial. tal evento no podría ser privada de examinar las facultades que „ Si los presos son reos de conspiración , ó se encuentran al autorizasen ai tal fiscal militar, y si el delito le habia desafora…</t>
  </si>
  <si>
    <t>Bar</t>
  </si>
  <si>
    <t>…hacer las detenidas observaciones acerca de ia energía De todo resulta la necesidad y la conveniencia de suprimir este tri y actividad con que hab a procedido dicho gefe poiit co D. Bar bunal , aplicándose los productos de los espoiios y vacantes a la tolomé Gutiérrez Acuña, pues por tilas se le debía en gran par Hae íenda pública y a objetos de beneficencia. te el feliz desenlace de aquellos desagradables sucesos , era de El Sr. Oliven El s…</t>
  </si>
  <si>
    <t>…n del dictamen de la com».dh de Cases de responsabilidad mos es de la decisión de la mayor parte de los milicianos en unir acerca de la queja dada contra el gefe político de Cádiz D. Bar se á los cj.rcitos , pues hallándose comprometidos, y siendo en tolomé Gutiérrez .Acuña. cierto modo el blanco de los feroces fanáticos, enemigos de la A la com.sion de Hacienda se mandó pasar una exposición Constituc.on, preferirán morir matando en detensa d…</t>
  </si>
  <si>
    <t>Bar, Ignacio</t>
  </si>
  <si>
    <t>Ignacio Bar</t>
  </si>
  <si>
    <t>Gaceta Española n.º 78</t>
  </si>
  <si>
    <t>…Real órden de 25 del corrie nte se lia servi facciosos, cutre los cuales varios cabecillas de con do el Reí declarar en estado de sitio el termino que sideración , como lo son su comandante Ignacio Bar comprende la Isla Gaditana. ros , comisario, José Benito liouzus, el clérigo Jo sé Lato Campos, el escribano Francisco Rodríguez El gobierno ha recibido por los correspondien Corral, Pedro-Burros,! y- Mateo Rei, haber quedado tes conducios los parles siguient…</t>
  </si>
  <si>
    <t>Bar, Leoncio</t>
  </si>
  <si>
    <t>Leoncio Bar</t>
  </si>
  <si>
    <t>84</t>
  </si>
  <si>
    <t>…r D. Mariano de Zorraquin, gefe de la plana mayor de este res obstáculos, pues formada la huella por la falda del monte, y por egército, y del comandante de la división de reserva D. Leoncio Bar donde jamas hubo caminos, marchamos mas de una hora por pr c p¡» cena ; los cuales, unidos al anterior que dirigí á V. E con fecha de 1 ^ c.os expuestos 4 englutirnos en la nieve muchas veces , y enterrándose de este mes, hacen formar cabal idea de tan brilla…</t>
  </si>
  <si>
    <t>Baranda, Pedro Sainz de</t>
  </si>
  <si>
    <t>Pedro Sainz de Baranda</t>
  </si>
  <si>
    <t>…Gue ofrecido con motivo de la coincidencia de los dos sorteos, y el de la D. Leonardo Gil de la Cuesta. vara. sexra pane de la milicia actira que ya se hallaba hecho desde el año D. Pedro Sainz de Baranda. D. Celestino Olozaga. anterior en casi todos los pueblos ds la provincia , ha visto con satis D. Fusebic María Balbi. D Antonio Palacios. facción que hasta el dia de hoy quedan filiados en el batallón de Alca IX Ramón Casellas. D. Manuel Carnicero. lá de Hen…</t>
  </si>
  <si>
    <t>…o al ver i la puerta de vuestros hoga Josef Radon , D. Joaquín Ceballos, D. Francisco Palacios ,Don res los mismos invasores, al verlos disfrazados con la misma Miguel de Nájera y D. Pedro Sainz de Baranda. De estos, í máscara de hipocresía y política, al contemplar el misterioso excepción del Sr. Javat, que lo calificó de sedicioso en segundo velo con que quieren cubrir sus ideas, y al considerar que vie grado,y del Sr. Radon que lo calificó en tercero, todos…</t>
  </si>
  <si>
    <t>Baranda, Pedro Salnz de</t>
  </si>
  <si>
    <t>Pedro Salnz de Baranda</t>
  </si>
  <si>
    <t>…En su v.sta se r-tinió el jurado, compuesto de los señores siguientes: Padilla , y pocos hay que no le tributen.lágrimas, que arrancan alterna D. Francisco Rodrigu z de Guevara , D. Pedro Salnz de Baranda, tivamente ya el dolor, ya el entusiasmo , según los varios afectos que D. Márc'-s Izqui :rdo , D. M./uet de Nájera , D. Lorenzo Lambea, se apoderan del héroe. La fluidez del verso , los rasgos de historia , en I). Juan Rodil,-nf/Guillen , D. Vicente Segurado…</t>
  </si>
  <si>
    <t>Barandal, Tomas</t>
  </si>
  <si>
    <t>Tomas Barandal</t>
  </si>
  <si>
    <t>Gaceta Española n.º 141</t>
  </si>
  <si>
    <t>…y del número este valle , set-un tuv: el honor de manifestar á V. E., al tenien de sus tropas , las cuales ascendían á un millón de soldados. Has te coronel del Imperial Alejandro D. Tomas Barandal la, cuyo ta aquí Estrabon. di; 1.0 ¡tefe r.o me ha dejado nada que desear, pin s su actividad, Peto antes de entrar á describir lo que actualmente queda de valor v conocimientos militares han preservado estos puntos ele Jos monumentos que nos pintan los ('os…</t>
  </si>
  <si>
    <t>Barba, Sancho</t>
  </si>
  <si>
    <t>Sancho Barba</t>
  </si>
  <si>
    <t>…te de la misma milicia D. N. Achúteaui. proclamas del duque de Angulema &amp;c. Los facciosos prisioneros que han sido vestidos y armados en »&gt; Entre los presos en Santiago se cuentan D. Sancho Barba esta presentan bastante buen aspecto, y hay buenos mozos entre Figueroa , Verea, el arcediano de la,Rei.na, Monasterio, el co ellos, aunque en lo general son mas robustos y ágiles que de bue mendador de Conje, Lareu y otros. na talla. Su uniforme consiste en…</t>
  </si>
  <si>
    <t>Barbabasa, Mariano</t>
  </si>
  <si>
    <t>Mariano Barbabasa</t>
  </si>
  <si>
    <t>…que justa propone,su engrandecimiento. _ &lt; / mente han tenido y conservan en el benemérito Coronel de'arti- . «Asi es.que Santanase halla fuera (dpja protección de.la ley. llería D. Mariano Barbabasa, persuadidos de que con este correcti $U delito de alta trajejon está deimaDídjfifto en-su mismo plan , su vo quedaria Santana.contenido, entre tanto que se tomaban otras obstinación en llevarlo al cabo; eLljieij. público y el ínteres ge disposiciones para co…</t>
  </si>
  <si>
    <t>Barbería, Pedro</t>
  </si>
  <si>
    <t>Pedro Barbería</t>
  </si>
  <si>
    <t>…despacho de ía di extraviados i se Suplica á la persona en cuyo poder se hallen se rección de trabajos hidrográficos, calle de Alcalá, y en la li sirva entregarlos en esta corte á D. Pedro Barbería , del comer brería de Hurtado ¿ 36 rs. iluminado, en dos hojas grandes. cio, Puerta del Sol, esquina i la calle del Carmen ,ó en Barce En los mismos sitios se hallará igualmente otro mapa en una lona á dicho D. Magín Coraminas. sola hoja, reducido del anterio…</t>
  </si>
  <si>
    <t>Bárccna, Leoncio</t>
  </si>
  <si>
    <t>Leoncio Bárccna</t>
  </si>
  <si>
    <t>…em de Granada-Ciento ochenta y un ció don V. £. el parte que me habia dirigido el dia anterior el teniente coro aos de idem.__Et ayuntamiento de Santiago__La milicia deMérida— nel D. Leoncio Bárccna, comandante de la división de reserva, de El ayuntamiento de Málaga—El gefe político y milicias de Soria—La ña acción que habia sostenido contra los facciosos, después de haber diputación provincial de Córdoba.__La diputación de Jítiva.__La de ocupado ei punt…</t>
  </si>
  <si>
    <t>Barceló, Juan</t>
  </si>
  <si>
    <t>Juan Barceló</t>
  </si>
  <si>
    <t>…os géneros para Gibraltar. mente de que hayan adelantado. (Diario constitucional de BarLa bombarda Virgen del Buen Viage, de 30 toneladas y 7 c clonad) hombres de tripulación , su capitán Juan Barceló, matriculado Murcia 22 de Abril. en Barcelona, con destino á Gibraltar. Ayer á las dos de la tarde salió una columna de 200 M. V. El jabeque la Purísima, de 34 toneladas y ía hombres de í Orihuela con destino á la provincia de Valencia. No es fácil tripulació…</t>
  </si>
  <si>
    <t>Barcelona, Josef An-</t>
  </si>
  <si>
    <t>Josef An- Barcelona</t>
  </si>
  <si>
    <t>…que el autor de elias no proba- ......Sevilla......................................................................... 1 j. se su aserto, dijo : Ouetro habiéndola hecho el citádo D. Josef An- Barcelona á n$. fs....................................................... 1 f gana. ionio Oñez legitímente -d¿.dichas proposiciones con respecto i Mestre,.......Valencia................. ................................................... -j-ídem. do habian podido pnjr…</t>
  </si>
  <si>
    <t>Barcena</t>
  </si>
  <si>
    <t>…do del pito para que caiga el telón. Llega á Ma con la bandera, cuatro artilleros 725 soldados de Laredo. drid , y salen las Cortes. Va á Portugal,-y sucede la contrareEl teniente coronel Barcena, constitucional exaltado, ha si volucion. Salta á la Coruña, y entran nuestras tropas. Sigue su do arrestado por orden de Vigo. Continúa la deserción á pesar camino para Cádiz, y esto es" lo mismo que si se dijera que Cá del rigor ds las órdenes. diz abre al…</t>
  </si>
  <si>
    <t>Barcena, Leoncio</t>
  </si>
  <si>
    <t>Leoncio Barcena</t>
  </si>
  <si>
    <t>…restar sus auxilios 4 las tropas empeñadas en la acción , las que diri » Excmo. Sr.: Sin embargo de la grande helada de la noche de gió con este objeto el comandante de ¡a reserva D. Leoncio Barcena, ayer, y del extraordinario frió que ha hecho el dia de hoy, se hao con habiéndose hecho digno y por lo tanto de la gratitud de la patria, asi tinuado con sumo empeño durante todo ¿l los trabajos dirigidos = fa corno todos los demas que tuvieron parte en esta…</t>
  </si>
  <si>
    <t>Barcia</t>
  </si>
  <si>
    <t>…secretario de la Regencia , se han ido á apear á ¡a fonda del Grifo so en la misma noche que se pusiesen sobre las armas todas las. mili dr oro; los dos hijos de Mataflorida y el Sr. Barcia, cirujano del ejér cias de los pueblos circunvecinos, á mas de las que ya estaban patru cito de la fe, han llegado también, ha Regencia trae consigo á otros llando , y que un toque de campana diese aviso en caso de novedad: muchos españoles adictos, que no la…</t>
  </si>
  <si>
    <t>Barco</t>
  </si>
  <si>
    <t>…jurado , com Astúrias y Pontevedra treparon por alturas casi inaccesibles despre-, puesto de los Sres. siguientes: D- Nicola, H«edcro y Mayoral , Don ciando el fuego- El teniente coronel Barco , con el resto de Coraposte- Tomas Torresano, D. Valentín Recio, D. Lorenzo Lam'oea , D. Jai la, siguió por la derecha á flanquearlos sufriendo un fuego terrible, me Ruiz Abreu, D. Manuel González del Campo, D. Luis de Mata se les persiguió vivamente, y solo…</t>
  </si>
  <si>
    <t>Barco, Josef del</t>
  </si>
  <si>
    <t>Josef del Barco</t>
  </si>
  <si>
    <t>…judicando el puerto, y que se trataba de extraer tán de artillería D. Jacobo buazo, qu: voluntariamente quiso acompa le el enjunque y demas que se pudiera. ñarme con el ¡rcansabh; D. Josef del Barco, mi ayudante de campo. No ANUNCIOS. me es dado echar en olvido á los distinguidos patriotas D. josef Ra Caricaturas nuevas del asno médico y del Quijote de la fe,ó sea el món B cerra y D. Ramón Alvarfz Vrlariño, i cuyos conocimientos P.Fi. Salchichón , acompa…</t>
  </si>
  <si>
    <t>Barga</t>
  </si>
  <si>
    <t>…. . ayer á las siete y- msdia de ¡a mañana con 5^ hombres de infan —Extracto del parteioficial que comunica el Sr. mariscal duque tería, a 50 caballos ¡y, dos obuses de á seis. El general Barga ad de Connegliano al Excmo. Sr. ministro .de la Quena ccn fe virtió este movimiento,./, se preparó, para recibirlos. cha del 30 de Agosto desde Torredembarra. El enemigo-atacó la ermita de S. Juan con una columna da Excmo. Sr.: Queriendo fijar mis ideas sobre…</t>
  </si>
  <si>
    <t>Barón</t>
  </si>
  <si>
    <t>…Infantado hizo presente al infiascrito secre tario que S. K., con S. A. practicará , debiendo yo como tal secretario certificar de los tr.s Señores citados, como también el Excmo. Sr. Barón de todo lo obrado y practicado á lot efectos legales que conven * Eróles, teniente general de los Reales egércitos, eran los cinco gan ; y siendo la hora de las diez de la noche , quedó finalizado individuos de quienes se compondría la Regencia del reino; tod…</t>
  </si>
  <si>
    <t>…congre deMaringoné, Mariscal de campo y Comandante del bloqueo gado en la iglesia del Pilar dando gracias al Dios de los ejércitos de Figueras, trae la noticia oficial al Teniente general Barón de yá su Santísima Madre, cuya poderosa intercesión se ha manifes Damas, de haberse rendido el castillo de S. Fernando de Fique- tado tan á las claras en la católica España. En Ciudad-Real se ras. La guarnición, compuesta de unos 2400 hombres, entre los han d…</t>
  </si>
  <si>
    <t>…dáis para Espina é Indias, exceptuando los viembre de i8;g~Excmb. Sr.rcEl Comandante general, Este despachos, títulos y documentos en que Yo ponga mi firma, en ban Llobera.—Excmo. Sr. Barón dé Eróles.” ,1os cuales pondréis la vuestra entera. Tendreislo entendido, y lo Exposiciones dirigidas al Rey nuestro Señor. comunicareis á quienes corresponda para su cumplimiento.=Seiíalado de la Real mano. c=En Palacio í 24 de Noviembre de „Señor: Vuestra c…</t>
  </si>
  <si>
    <t>…cuarto de nuestro reinado.” God sarje tks King. querido ser incorporado en calidad -de' granadero; * - ’• __El Ministro de Marina ha escrito á la academia Real de las- El Teniente general Barón dé Al meras, Comandante-de laciencias que en el puerto de Prest so han encendido espontánea u.a división, colocó inmediatamente una euardia de honor á la mente varios montones de carbón de piedra ; y una comisión for puerta del palacio, y envió dos Oficiales…</t>
  </si>
  <si>
    <t>Barón, Mariscal de Campo</t>
  </si>
  <si>
    <t>Mariscal de Campo Barón</t>
  </si>
  <si>
    <t>…ana, Capitán Mina. general de Granada , las diputaciones del Ayuntamiento cié Sevi lla, y la del de Montoro, la diputación del cabildo de Córdoba, Cari!¡ilación concluida entre el Sr. Mariscal de Campo Barón de y otras varias y muchas personas de distinción. Harel, Comandante de las tropas aliadas delante de los fuertes S. M. ha venido en conferir en propiedad al Mariscal de del Seu de Urge!, autorizado por el Sr. Mariscal Comandante Campo Marques de Zambrano el…</t>
  </si>
  <si>
    <t>Barona, Tomas</t>
  </si>
  <si>
    <t>Tomas Barona</t>
  </si>
  <si>
    <t>…encargándole la enseñanza orden durante la vista pública de una causa de denuncia ante el de niños de ambos sexos, ofrece instruirlos con la mayor perfec juez de primera instancia D. Tomas Barona,cuyo acto concluido ción y equidad, y se servirá avisar en la calle de la Sierpe , n. 6, se retirarán á su cuartel.urLeglisa. casa de Doña Francisca Ballesteros , líente á la cárcel nacional. ARTICULO DE OFICIO. Don Josef Alarcon, miliciano nacional de Madrid…</t>
  </si>
  <si>
    <t>Barr.ra</t>
  </si>
  <si>
    <t>…la R g-ncia de Madrid con el da por este generai; ss manifestó á sus tropas , y nadie se atre general Manso llegó ayer á esta ciudad. Es digno , bajo todos vió á alzar la voz. El coronel Barr.ra , que fue quien mas se ha aspectos, de sostener una causa mejor que la que acaba de aban bía pronunciado contra su g-neral, se ha visto precisado .á huir; donar. El cuait'l general del Se. mariscal duque de Conegliano oíros dos oficiales superiores, iguami-nt…</t>
  </si>
  <si>
    <t>Barra, Francisco</t>
  </si>
  <si>
    <t>Francisco Barra</t>
  </si>
  <si>
    <t>…ase útil hacerlo , se verificará mediando su Antonio Ponzoa, conde de Floridablanca, D. Antonio Díaz del Mo orden y con todas las formalidades y precauciones que convengan a ral , D. Francisco Barra , D. Miguel Ripa , D. Cayetano Romero, asegurar el buen éxito de la operación en seguridad de los intercies D. Nicolás de Cano Luque y D. Julián de Fuentes. Habida la confe nacionales. rencia , declararon haber lugar á ¡a formación de causa los Sres. Huer ir.…</t>
  </si>
  <si>
    <t>…la Gaceta es D. Joacuin Cevallos, D. Ramón Llord,D. Josef Cartel, D. Gaspar pañola , ó bien á Ies dos, podrán hacerlo tanto en la imprenta nacional Aguii.:ra, D- Antonio Gamonal, D. Francisco Barra, D. Nicolás de esta capital, como en la misma en Sevilla, é igualmente que en to Hered.ro Mayoral, D. Juan Paz , D. Manuel Carnicero , D. Valentin das las principales administraciones de correos, de las de partido y es Recio y D. Tomas Torresano, calificaron…</t>
  </si>
  <si>
    <t>Barra, Francisco Javier</t>
  </si>
  <si>
    <t>Francisco Javier Barra</t>
  </si>
  <si>
    <t>…Sres. siguientes ; Don papeles varias proclamas subversivas, habiéndose salvado solo Bessteres con Josef Demetrio Rodríguez , D. Vicente Segurado, D. Bernardo Asenjo, 30 hombres.” D. Francisco Javier Barra , D. Joaquín Huerta Cevallos, D. Juan Isidoro Ministerio de Guerra. Pérez, D. Andrés Alcon, D. Amonio del Alcázar , D. Joaquín Manri El Rey se ha servido mandar que el regimiento número 37 de infan que y Manrique. tería ríe linea, que tiene el nombre de Imper…</t>
  </si>
  <si>
    <t>Barrachma, Pascual</t>
  </si>
  <si>
    <t>Pascual Barrachma</t>
  </si>
  <si>
    <t>…serenidad, y les hicieron una fuegos sobie el general Sempere, descuidó la que i las órdenes descarga cuando estaban sobre ellos, Lo que, unido á la actitud del ayudante d: campo D. Pascual Barrachma avanzaba por imponenu de los coraceros Irauceses, les obligó á volver grupa «l llano de las Balsas, y dió ocasión para que D, Joaquín Ló y evitar el ataque, limitándose á amenazar desde lejos los tlanpez lograse dar una carga de caballería con tan feliz éxito…</t>
  </si>
  <si>
    <t>Barragas, Antonio Perez de</t>
  </si>
  <si>
    <t>Antonio Perez de Barragas</t>
  </si>
  <si>
    <t>…. . D. -Marcos Antonio Menczo. IX Juan Castriilon. D. Juan Vidi. D. Eduardo Brett. j Segundos tenientes. . . Idem ídem ídem. io8qoD. Manuel Alaria de la Calle. D. Ramón Fabregues. D. Antonio Perez de Barragas. D. Josef Joaquín de OJaciregui D. Joaquín Martínez de Mcdinilla.-1 D. Josef Zar ibrano..........................., „ ■. , Capitanes supernumerarios, según el artícu- r- u ■ r Adereces, capitanes 9600 D- Esteban Guinea............................ * ■'lo 10, p…</t>
  </si>
  <si>
    <t>Barrainanza, Gregorio</t>
  </si>
  <si>
    <t>Gregorio Barrainanza</t>
  </si>
  <si>
    <t>…una plaza de magistrado de la audiencia de A. agón , vacante prest que les corresponda con arreglo á los arts. 162 y 164 de la orde por renuncia de D. Fernando Josef de Toledo , á D. Gregorio Barrainanza. coa , juez de primera instancia del partido ds Talavera de la Reina: 6.a » Los que quieran separarse del servicio de esta milicia podrán para la plaza de juez letrado del partido de Ayora á D.Miguel Navarhacerlo conforme á su ordenanza. rete y Alpuente , pro…</t>
  </si>
  <si>
    <t>Barranco, Francisco María</t>
  </si>
  <si>
    <t>Francisco María Barranco</t>
  </si>
  <si>
    <t>…comisión opi como deuda nacional el préstamo de los 20 millones hecho pot naba que debia. concedérsele. Aprobado. varios particulares de Cádiz en 1808. Otro sobre la exposición de D. Francisco María Barranco, La comisión de Legislación , en vista de una solicitud de los diputados del colegio 3e plateros de Madrid para que se haga una sobre que se le conceda licencia para poder administrar sus bienes; opinaba que debía accederse á esta solicitud. Aprobado. aclarac…</t>
  </si>
  <si>
    <t>Barranechea, Josef Manuel de</t>
  </si>
  <si>
    <t>Josef Manuel de Barranechea</t>
  </si>
  <si>
    <t>…empresa; y añadiendo un nuevo por diputado general, y por su adjunto D. Josef María de So timbre á la lealtad con que en los fastos de la historia se han roa y Sozoa. Fara Tolosa D. Josef Manuel de Barranechea , y distinguido los generosos guipuzcoanos, no dudo redoblarán sus por adjunto D. Manuel Joaquín Ayestaran. Para Azpeitia Don esfuerzos para libertar á su amado Fernando , restituyéndole Agustín Iturriaga , y por su adjunto D. Josef Amonio de Al- en la plenit…</t>
  </si>
  <si>
    <t>Barre, Do-Rego</t>
  </si>
  <si>
    <t>Do-Rego Barre</t>
  </si>
  <si>
    <t>…Copio á V. E. lo que el mismo general en gefe me dice rán á su cuartel.=Leglísa. ayer desde Mayorga.=Anoche llegué á este punto , desde el que me he puesto en comunicación con el general Do-Rego Barre— ARTICULO DE OFICIO. to; hoy voy á Sar tas Martas, desde cuyo pueblo veremos s! se El Gobierno ha recibido los partes siguientes: «Exento. Se puede atacar á la facción portuguesa, que se halla en Mansilla y ñor: El comandante de la columna volante del primer…</t>
  </si>
  <si>
    <t>Barrera</t>
  </si>
  <si>
    <t>…iros hicieron lo de costumbre, recer de sorprender la guarnición y de robar algún dinero y cubados. es decir, huir cobardemente á un.rse con unos too que se hal.aban a El teniente coronel Barrera los recibió algo ni jer de lo que ellos se la saiida del pueblo, los que se escaparon hacia las alturas, desde don guramente esperaban,)' el resultado fue matares 4 y herirles z , en de se les desalojó junto con la, fuerza que tenia el indicado Carbonell, tem…</t>
  </si>
  <si>
    <t>Gaceta Española n.º 6</t>
  </si>
  <si>
    <t>…de Noviembre se el objeto al parecer de sorprender la guarnición, y de robar algún refiere que por sugttos procedentes de Chile se sabia que el di •dinero y caballos. El teniente coronel Barrera los recibió algo rector O-Higgins se hallaba en Valparaíso , donde había ido mejor de lo que ellos seguramente esperaban; y el resultado fue con el objeto de pagar la escuadra, y aun se decía que de li matarles 4 y herirles 2 ; en términos que los 37 restante…</t>
  </si>
  <si>
    <t>…rno y su pulación , su capitán Nicolás Gispert, matriculado en S. Feliú, oficial, teniendo que cerrar sa fabrica. Nos ha prometido su va con destino a Gibraltar. liente y prudente comandante Barrera que nos avisará todo El bergantín el Eucdris , de 100 toneladas, su capuan Josef cuanto ocurra á la cohmsoa muteiana, y nosotros nada omiti Mauri, matriculado en s. Fcliu. remos de cuanto pueda demostrar que el juramento que han pres Nota. Los dos buques prim…</t>
  </si>
  <si>
    <t>Barrera, Joscf</t>
  </si>
  <si>
    <t>Joscf Barrera</t>
  </si>
  <si>
    <t>…ado, deben hacer calcular á previne á Thió que con los nacionales de Blanes se apoderase de nuestros políticos las consecuencias que pudiera acarrear una des fe derecha , y que el teniente D. Joscf Barrera ( que voluntaria gracia en España, en vista de la particular afección que se les tic—' mente se unió con nosotros) con los 5 caballos se situase al pie ne á vmds.- por acá. Tal vez pues la invasión se veri!.que solo por' de las alturas, para impedir la retira…</t>
  </si>
  <si>
    <t>Barrera, Juan</t>
  </si>
  <si>
    <t>Juan Barrera</t>
  </si>
  <si>
    <t>…quintes. Caías— el honor de muchos individuos que no tendrán necesidad de recibir este esparra 5 quintos. t-p- nJ o. La com.s.on pues debía haber tenido presente qué clase de suge_D. Juan Barrera,de Almoradí y D. Fernando Saenz González, cura tos son lo» que componen esto» batallones, la» cualidades que los acompa castrense de Mazarron, han cedido cada uno un caballo en bcnthc.o de la ñan ; y en un las mayor, s o menores ventajas que ofrecen en su con…</t>
  </si>
  <si>
    <t>Barreta, Fernando Mergelina y</t>
  </si>
  <si>
    <t>Fernando Mergelina y Barreta</t>
  </si>
  <si>
    <t>…s: dirigía a pasar el Navia por el Sena , por lo Seidel y Aurrich, D. Juan Martínez y León , D. Santiago Perez y encontrarlo á Fomria: aili supe que el enemigo contramar- Camino, D. Fernando Mergelina y Barreta , D. Joaquín Anguiano, l?Jii 9naba %icM el valle de Pineira 6 el Hospital y habiendo lomado D. Vicente Jiménez y Pinairo, D. Juan Nepomuceno Baizola , Don Sr XqueiUrdtTeccion se me reunió Barco en Villamayor, que también iba Josef Albar González y D. Juan Sal…</t>
  </si>
  <si>
    <t>Barreto, Luis do Regó</t>
  </si>
  <si>
    <t>Luis do Regó Barreto</t>
  </si>
  <si>
    <t>…belión , por las tro Lóndres 2 I de Marte, pas constitucionales portuguesas, al mando del Exorno. Sr. gene S. M. se fia servido nombrar general de las fuerzas de mar í ral en gafe D. Luis do Regó Barreto; y aunque fidedignas y cir S. A. R. el duque de Clarence, almirante de la escuadra. cunstanciadas las tales noticias, no me decidí á publicarías por si Un periodista publica el artículo siguiente: »Mr, Canning la desgracia quería que no fuesen del todo verdad…</t>
  </si>
  <si>
    <t>Barrio, Francisco</t>
  </si>
  <si>
    <t>Francisco Barrio</t>
  </si>
  <si>
    <t>…: en esta, sin contar les comprendidos en la amnistía, ni al capi Oficio del ministerio participando á D. ¡santiago Pcr:z que el Rey tán Navarro que se puso demente, resultan reos D. Francisco Barrio, ha admitido la renuncia que ha hecho de ia mitad de su sueldo , man arcipreste de Bíugos; D. Lorenzo Sainz, presbítero beneficiado del lu dando al mismo tiempo qua ss le dieran las gracias en su nombre. gar de Cazedo; D. Manuel Yoldi; D. Dionisio Carro; D. I…</t>
  </si>
  <si>
    <t>Barrio, Ildefonso López del</t>
  </si>
  <si>
    <t>Ildefonso López del Barrio</t>
  </si>
  <si>
    <t>…otra extracción será reputada y castigada como robo. ANUNCIOS. Ningún oficial de partida podrá usar de la divisa de su gra do sin el correspondiente nombramiento dado por el coman D. Ildefonso López del Barrio, D. Josef Martínez, Don dante general délas partidas de la provincia , de acuerdo con la Juan Bautista Asuar y D. Julián Merino, todos cuatro eran ve diputación provincial de la misma , y visado por el comandante cinos de Madrid, y se ignora si viven ó no; á…</t>
  </si>
  <si>
    <t>Barrio, Pedro</t>
  </si>
  <si>
    <t>Pedro Barrio</t>
  </si>
  <si>
    <t>…ortes en que se concede, la de D. Manuel Aparicio ; en Búrgos en la de D. Rosendo Revilla; y avisaré á V. E. de cualquier resultado. Acompaña á Bessieres el ex en Vitoria en la de D. Pedro Barrio ; en Zaragoza en la de D. Josef coronel D. Nicolás Isidro.esExcmo. Sr. secretario de Estado y del Des Sánchez; en Sarcelcr,. en la de D. Juan Francisco Piferrer y en la de pacho de la Gobernación de la Península. la viuda é hijos de Brusi; en Valencia en la d…</t>
  </si>
  <si>
    <t>BarroB</t>
  </si>
  <si>
    <t>…: ha sido conducido preso á la plaza de Pcniche, á fin de ser juzgado con arreglo á las leyes. Fernando Alfonso, gobernador de las justicias de ¡as tres provincias del norte, y el general BarroB, comandante de las armas del paitido de Opotto , han sido presos para ser juzgados con arreglo á las leyes. Todos los diputados exaltados han huido fuera del reino. El general Avilés, último gobernador constitucional de Lisboa, ha sido depuesto, asi como tamb…</t>
  </si>
  <si>
    <t>Barros</t>
  </si>
  <si>
    <t>…e ¡ tn razón de esta declaración, nores. El general Regó se dirigía i aquel punto con to las sus tuerzas, y las circunstancias 'que han acompañado la mencionada salida, en la y el general Barros había hecho marchar rápidamente vatios batallones que lo* argelinos no manifestaron entonces ninguna demostración hos a Oporto. til contra la España, es de esperar no molestarían á los buques españo El Gobierno había mandado salir de! reino á varios sujetos p…</t>
  </si>
  <si>
    <t>…á la posteridad la preciosa libertad civil que llándose en las guerrillas con su fusil, batiéndose como un sol una loca ambición y altanero despotismo pretenden arrebatar dado el señor Barros; habiéndose fugado al pueblo de Barazon nos; al veros por primera vez dispuestos en este dia á empren los facciosos, y haciéndose fuertes en el monte Ramil, fueron der y arrostrar todo género de peligros , y á sacrificaros gusto allí atacados por las tropas y…</t>
  </si>
  <si>
    <t>Barros, Ignacio</t>
  </si>
  <si>
    <t>Ignacio Barros</t>
  </si>
  <si>
    <t>…muer ,,Las «óticias recibidas^ en esta 'capital-son sohradnto en el sitio, todos de-piltarrailós y macilentos, man menté Vagasuy afín contradictorias. No falta quien dados por mi D. Ignacio Barros. Asi se sofocan ‘Jas cree que los cuerpos &gt;&lt;pije&gt; han desocupadoan Balngurr,facciones en su principio, porque en este amelló país FragiCy Zaragoza en pui'ttt, podrán '.dii'igirsé sobre 'liáMa ahora no sé han conocido ni se conocerán en Videncia:: :r‘ii0s enem…</t>
  </si>
  <si>
    <t>Barros, Manuel García</t>
  </si>
  <si>
    <t>Manuel García Barros</t>
  </si>
  <si>
    <t>…Marzo. dades, corporaciones, oficialidad y un inmenso pueblo concurrió» á la catedral para solemnizar esta cerrnionia augusta de nuestra religión. Exposición dirigida á S, M. por D. Manuel García Barros, La milioa nacional de ambas armas se dejó) ver formada delante del n Señor: — Lleno de gratitud y de contusión á un tiempo , he recitemplo , alternando sus descargas con el repique de. campanas y el soni bibo la Real orden , por la que V. M. se ha servido no…</t>
  </si>
  <si>
    <t>Bartolomé</t>
  </si>
  <si>
    <t>…l Sr. marques de Picdrablanca , como ciudadano , denunció al Sr. al dos el Sr. Marchámalo. calde constitucional D. Francisco Crespo de Tejada el suplemento al nu En 1 $.° lugar el Sr. Bartolomé por 82 votos, que era el total. mero 7 del Procurador general, en concepto de subversivo. En 16.0 el Sr. Nuñez (D. Toribio) por 79 votos, habiendo tenido En su vista se reunió el jurado , compuesto de los Sres. siguientes: dos el Sr. Cano. D. Juan Antonio Lóp…</t>
  </si>
  <si>
    <t>Barúer, Juan</t>
  </si>
  <si>
    <t>Juan Barúer</t>
  </si>
  <si>
    <t>…nn también al presi 1). J-.-S f Aran,la, comandante del primer belaüon de infantería ds dente del ayuntamiento para que le haga presente á este.’* Aprobado. Fernando 7. ’, y la de D. Juan Barúer , comandante accidental del de ' Segunda, al final del primer artículo adicional que se lia de poner Tuir.h) , con objeto de exterminar la facción que infestaba el valle de después del 46. Ar..n, en fecha de 15 del corriente d.sde hasy me dar. ei parte que á…</t>
  </si>
  <si>
    <t>Barvabosa</t>
  </si>
  <si>
    <t>…hasta 1810 : su poder, que no tenia lido un tren de artillería al mando del comandante de dicho.cuerpo si entonces límites, le daba una completa libertad-como legislador. teniente coronel Barvabosa, con objeto de atacar al coroqel Lobato. -'.-Acato por evadir todas las dificultades le parecería mas sencillo Esta ciudad ha quedado sin guarnición..A las cuatro d¿ Ja.tarde ha lle restablecer la inquisición y Ja autoridad absoluta; peto el restableci gado u…</t>
  </si>
  <si>
    <t>Basarrat, Clemente</t>
  </si>
  <si>
    <t>Clemente Basarrat</t>
  </si>
  <si>
    <t>…ecibiendo las prendas de vestuario v equipo contra soldados veteranos; y la tropa del resguardo, á las órdenes de tadas por la diputación para el total de los quintos de ¡a provin D. Clemente Basarrat, se ha conducido con igual valentía que la cia. Coruña 6 de Abril de iBzg.czPor acuerdo de la diputa— tropa. Los nacionales de caballería de este pueblo, á las órde cioa=Dcir*¡ngo Fontan, secretario. nes del teniente coronel retirado D. Agustin González de Ve…</t>
  </si>
  <si>
    <t>Basi, Antonio</t>
  </si>
  <si>
    <t>Antonio Basi</t>
  </si>
  <si>
    <t>…uerra de la independencia.” a el Sr. Marchámalo y 2 el Sr. Sotos. En io.° lugar quedó elegido ei Sr. Ramírez Arcllano por 79 vo El Rey se ha icrvido admitir la oferta que ha hecho D. Antonio Basi tos, habiendo tenido 3 el Sr. Soria. lio García"del Arco, juez de primera instancia de Montanches en e-i UníEn nlugar el Sr. González Alonso por 93 votos, habiendo te torio de Extremadura, de 5,00 rs. por una vez, y de 700 rs. y 21 mrs. nido uno el Sr. Romero…</t>
  </si>
  <si>
    <t>Basiché, Juan</t>
  </si>
  <si>
    <t>Juan Basiché</t>
  </si>
  <si>
    <t>…D. La conducta de ios comandantes de columna fue cual debía tritio Sanaobal. esperarse de oficiales distinguidos, y digna del mayor elogio !a Subinspeccion de infantería. Teniente D. Juan Basiché. del capitán de E. M. D. Josef Andrés , como se ha indicado. Se hace mérito honroso del servicio que prestaron ocho volunta ARTICULO DE OFICIO. rios á caballo artilleros de Sevilla al mando del sargento prime ro D. Manuel Govantes , ya explorando los flancos…</t>
  </si>
  <si>
    <t>Basigacompañía, Pablo</t>
  </si>
  <si>
    <t>Pablo Basigacompañía</t>
  </si>
  <si>
    <t>…a á los hombres libres, creo de mi deber recomendar eficaz ducir ios pliegos Us justicias. El día 21 fueron- aprehendidos por la mente á V. E. al comandante del expresado batallón D. Pablo Basigacompañía de cazadores y algunos individuos del resguardo de Ja pro Jupi, quien con tanto acierto lo condujo á Ja victoria,.}* que por su vincia de Bilbao dos llamados capitanes del egército Real, un cadete apreciabie delicadeza pasó en silencio ¿a-contusión &lt;¡ue. reci…</t>
  </si>
  <si>
    <t>Baso, Bcnti'ifo</t>
  </si>
  <si>
    <t>Bcnti'ifo Baso</t>
  </si>
  <si>
    <t>…eri. qu: había sembrados por todo el campo , sin mas pérdida par nuestra parte que la de un caballo herido. Kn fin, fue tal la dispersión de Concluye el Informe d: ¡a causa contra D. Bcnti'ifo Baso. aquella qent:cilia, que no me ha dejado objeto fijo adonde atender por Tal es el resultado de los dos voluminosos procesos principiados ahora. No puedo menos de repetir á V. E. que es imponderable la se ante ei juez de primera instancia de Búrgos, y fenecido…</t>
  </si>
  <si>
    <t>Baso, Domingo</t>
  </si>
  <si>
    <t>Domingo Baso</t>
  </si>
  <si>
    <t>Gaceta de Madrid n.º 87</t>
  </si>
  <si>
    <t>…icos Informe dada por ti visitador de la causa principiada en el juzgado que calificar después lo que se ha obrado: consideración que no debe de primera instancia de Burgos contra D. Domingo Baso y conso olvidarse por aquellos que han de juzgar i sangre fría de lo que otros cios , y fenecida en la audiencia territorial de Castilla ia Vieja. han hecho entre la agitación y sobresalto. Excmo. Sr,: Anatiiar detenidamente las actuaciones contenidas en Conv…</t>
  </si>
  <si>
    <t>…cha autoridad se fije la final admisión de posturas. encubrir , y algunos gravemente indiciado!, coa especialidad D. Bal tasar Cuqueara. ... Continúa el informe de la causa contra D. Domingo Baso. - 3,* Para consternar la Real familia,y obligarla i que.se trasladase Por Real decreto de 22 de Marzo de 1820 se convocaron Cortes i Búrgos manifestó al Sermo. Sr. Infante D. Francisco- de Paula que crd uarias para el 9 de Julio del propio año, dia memorable…</t>
  </si>
  <si>
    <t>…mrs. de cargas reales quedaban líquidos 178,470 rs. y 28mrs., y se re mató en 6oo3 rs. vn. á pagar en créditos contra el Estado , según los Continúa el informe de la causa contra D. Domingo Baso. decretos de las Cortes, y ha señalado para cada una de las mejoras da D. Josef Manuei Erroz, condenado á muerte por el |uez de pri cuarto, diezmo y medio diezmo el término de diez días, contados mera instancia, y por la audiencia solo á :o años de presidio c…</t>
  </si>
  <si>
    <t>…de furor.». Esta noticia es tan lancia de las autoridades: ambos auxiliaron desde el principio el pro importante, que creemos coaveniente volver á repetir á nuestros lec yecto de D. Domingo Baso ; y según este dice , se formó de acuerdo tores que pueden mirarla como segura.” con ellos. Arteaga se ha propuesto negarlo todo; pero resulta contra él: La llegada de .este correo en 10 diasno es inverosímil. El conteni i.° Que llevó á D. José Manuel Erroz á…</t>
  </si>
  <si>
    <t>…. peculiar en algunas provincias. Véndese en et almacén de papel de fierra, calle de Majaderitos angosta, á 140 rs. en pasta y 110 en papel. Continúa el informe de la causa contra D. Domingo Baso. Nota. En la gaceta del 28, col. 1.*, lín. 3B, donde dice Mr. Ma Ordoñez siguió el egemplo d - Arteaga hasta la confesión, «n la que nuel se presenté, léase Mr. Manuel no ce presentí.__Eli la misma, co satisfecho ya del resultado de la causa, creyó oportuno p…</t>
  </si>
  <si>
    <t>Baso, Pedro Mariano</t>
  </si>
  <si>
    <t>Pedro Mariano Baso</t>
  </si>
  <si>
    <t>…anunciar al en el proyecto mucha mas parte que ía qus aparece ■ Siles son Agus público por termino de 30 días, qu? principiarán 3 corrrer y contar tin Escudero; D. Josef Calsini; D. Pedro Mariano Baso , cura de Cas- se desde el 11 de Marco: ia persona que quisiere hacer postura á ella til-Tierra, aquel yerno, y este hermano de D. Domingo ; D. Ramón lo eg-cutará mi , .3 cho :-r. y citada escribanía dentro del término reHernández Tirso; Pedro Josef Garviso ,…</t>
  </si>
  <si>
    <t>Basq, Pedro Mariano</t>
  </si>
  <si>
    <t>Pedro Mariano Basq</t>
  </si>
  <si>
    <t>…enidero , y ei último en canónigo da Búrgos; Jorge Crespo; Agustín Escudero; D. Isidro As30 del mismo, en cuyos 15 dias se admitirán á la llana cuantas me torga, capitán retirado; D. Pedro Mariano Basq, cura de Cactil-Tlenu, joras estimrn hacer los lidiadores hasta la hora de! citado dia 30,en hermano de D. Domingo; otros muchos cuyos nombres ae han ponido que por dicha autoridad se fije la final admisión de posturas. encubrir , y algunos gravemente indicia…</t>
  </si>
  <si>
    <t>Basserot</t>
  </si>
  <si>
    <t>…en dos columnas, la da del valiente conde de Amarante con su famosa división una por Monjuí y la otra por Barcelona. Han atacado á la bri compuesta de mas de 3© hombres. gada del general Basserot, en Esplugas, y han sido vigorosa La gaceta contiene larga relación de la afectuosa acogi mente rechazadas por todas partes, habiendo durado el fuego da ds este general que le ,lia hecho el Infapte D. Miguel, que tres horas. La primer columna ha vuelto á Monj…</t>
  </si>
  <si>
    <t>…nte rechazados tlci canal, causándole grandes pérdidas. después de un fuego de fusilería que duró mas de tres horas: el La columna que salió por la parte del castillo de Santi Pe* general Basserot mereció los mayores elogios en esta ocasión. fri, llegó á tiro de la ermita de fita. Ana junto á Chiclana; El mariscal duque de Conegiiano participa también á S. A. pero el mariscal de campo Pr íncipe de Carignan, que ocupaba que el mismo dia 9 la guarnición…</t>
  </si>
  <si>
    <t>Basso, Domingo</t>
  </si>
  <si>
    <t>Domingo Basso</t>
  </si>
  <si>
    <t>…rancisco Va capitán.,,ayudante tic campo dei general la Rochejaqu'elcin, á lladares , de igual destino. . , j;o .otro general;residente eu Taris , fecha delanj^ideiia Coiuña-el \j Don Domingo Basso, D. Isidro Astorga, D. Dionisio de Julio último, por llevar consigo, comgidicftdjcho periódico, Carro, D. Josct Erroz, D. Jorge Crespo, ÍD. Anroniq OrdqT el carácter de la verdad y. de 1.a banquera militar; y por ser tan ñez, D. Francisco Osarrio y D. Agustin…</t>
  </si>
  <si>
    <t>Bastida, Martin</t>
  </si>
  <si>
    <t>Martin Bastida</t>
  </si>
  <si>
    <t>…itiva , habiendo de teniente coronel D. Francisco Matali: capitán D. Pedro Mir: lotificarse ios autos que se proveyeren en los estrados de este tri ayudante D. Francisco Sánchez : teniente D. Martin Bastida: sub bunal , y de pararle estas notificaciones el perjuicio á: que "haya teniente D. Ramón l'uster: sargentos primeros Manuel Toujal y lugar. Cádiz 2 de Agosto de 1823.tr Dionisio Valdés.r= Por:su Francisco Nicolau: id. 2.0 Manuel Pérez: cabo 1 0 Antonio Te m…</t>
  </si>
  <si>
    <t>Bastide</t>
  </si>
  <si>
    <t>…asmos, y en que tuvo que tomar la mano la autori el extremo del puente del Bidasoa el dia a6 de Junio de sdaj. dad civipero por fin, y después de una heroica resistencia, faiXo ri Sr. Bastide su abjuración en manos del venerable párroco dt «Señora: Si la Bipaña ha sufrido las cruslea convulsione! Gang al cabo de algún tiempo tomó la sagrada comunión, de la anarquía por imitar alguno* de sui hijo» espurios á los y este acto tierno.y devoto fue de l…</t>
  </si>
  <si>
    <t>Bastos</t>
  </si>
  <si>
    <t>…mandaron repartir entre- lo, Sres. diputados los ejempla público, sustituyéndolos con sugetos de toda confianza. res de ¡a memoria leída por el Sr. secretar.o de la üofi.tc.A:i El Sr. Bastos discurrió largamente refutando ios argumen de Ultramar remitidos por el mismo. tos que sé habían producido contra el dictamen; y concluyo apro A la comisión de Hacienda se mandó pasar un oficio del se bando el mensage al Rey para la destitución del ministerio…</t>
  </si>
  <si>
    <t>Batano</t>
  </si>
  <si>
    <t>cuito, Joanina tiene dos cátedras, donde se ensena el grieso an clon de la Monarquía Española, Rey de las-España», á ¿o tiguo ; una de ellas está á cargo del Sr. Batano, hombre docto y los que Jas presentes vieren y entendieren , sabed : Que Jas Cor de un carácter muy respetable; la mantienen á su costa los seño tes han decretado lo siguiente: Xas, Cortes, usando de la facul res Zosimas hermanos, que son unos comerciantes ri…</t>
  </si>
  <si>
    <t>Bataola, Lorenzo de Soloeta</t>
  </si>
  <si>
    <t>Lorenzo de Soloeta Bataola</t>
  </si>
  <si>
    <t>…con relación al pretendido sistema consti atribuye la mayor paite de este feliz suceso i Mr. Goutéfráy, co tucional. ronel de dicho cuerpo: nombra también con grande elogio al "co D. Lorenzo de Soloeta Bataola, secretario habilitado de go mandante de batalion de la Georgette, que fue herido en la sébierno ds este M. N. y M. L. Señorío de Vizcaya, certifico: que cion de Couvion; á los capitanes Pourrier, Legomain, Liatier y £oui;á los tenientes Saint-Genis y Bedes;…</t>
  </si>
  <si>
    <t>Bato, Domingo</t>
  </si>
  <si>
    <t>Domingo Bato</t>
  </si>
  <si>
    <t>…ue proponen ss reduce á que era su ánimo presentarse á las autorida des, é imp'orar e! perdón de sus extravíos; con cuyo otfjeto dirigieron Continúa el informe de la canea contr’a D. Domingo Bato. una repres’ntacioa al Befe político de Soria, solicitando indulto. Re D. Dionisio Carro y D. Isidro Aslorga, aquel capiian retirado, jr sulta que ia hicieron-, pero ademas de que nc todos la firmaron, está «ste de húsares flancos , fueron condenados a mueiir…</t>
  </si>
  <si>
    <t>Bausa, Vicente</t>
  </si>
  <si>
    <t>Vicente Bausa</t>
  </si>
  <si>
    <t>…celebra consejo de guerra ordinario en el cuarto Estado mayor: Los segundos ayudantes generales D. Jacobo de banderas del tercer regimiento de artillería, y bajo Ja presi Oreiro y D. Vicente Bausa. dencia del gefe de escuela interino D. Antonio Miralles, para La primera división la compondrán los cuerpos de todas ar juzgar á los sargertos del tercer regimiento de dicho cuerpo Fran mas que guarnecen el décimo distrito y la plaza de Ceuta, que cisco Espe…</t>
  </si>
  <si>
    <t>Bausat, Vicente</t>
  </si>
  <si>
    <t>Vicente Bausat</t>
  </si>
  <si>
    <t>…tenemos en el dia noticias mas exactas sobre este Ettado mayor. Los segundos ayudantes generales D. Jaco particular, y. diremos que todavía es maypr el número de enemi bo Oreiro y D. Vicente Bausat. gos ..que ha entrado en la Península; pero no dd mido que lo Primer batallón del regimiento infantería de la Reina. Se cita el Abrí, iador. Los informes mas exactos que tenernos se jegundo Ídem del mismo. Segundo batallón infantería de la Prin ducen á lo. si…</t>
  </si>
  <si>
    <t>Bautis, Juan</t>
  </si>
  <si>
    <t>Juan Bautis</t>
  </si>
  <si>
    <t>…moteo binson , y cartas de ciudadanía á D. Manuel Antonio Perez, ori Connelli, teniente coronel de egército , para que se le continúe ginario de Africa, á D. Francisco Tarabino, á D. Juan Bautis la pensión de 100 ducados que se asignó á su tío Fr. Tomas ta Mastorano y á D. Josef Marzoni. Connelli por autor de un diccionario anglo-español, cuyo pro Se aprobó el dictamen de la comisión de Diputaciones pro ducto cedió al erario, opinaba que en virtud de…</t>
  </si>
  <si>
    <t>Bautista, Fernando</t>
  </si>
  <si>
    <t>Fernando Bautista</t>
  </si>
  <si>
    <t>Gaceta de Madrid n.º 183</t>
  </si>
  <si>
    <t>…su Real Familia, y pronta co cerrd , abogado; D. Joscf Romo, D. Melchor Díaz, D. Al locación en su trono, del que le arrancó la traición y la perfi fonso Alonso, D, Rafael Verde y D. Fernando Bautista, pro dia ; á cuya función, previo anuncio de repique general de cam pietarios; y el primero dirijió á S. A. S. el discurso siguiente: panas, y citación ante diem del vecindario, asistió un numeroso » Senno. Sr.: La villa de Budia, en.la provincia de Gua concu…</t>
  </si>
  <si>
    <t>Bautista, Juan</t>
  </si>
  <si>
    <t>Juan Bautista</t>
  </si>
  <si>
    <t>…pueblos si la instalación de la Regencia del reino,!' decreto siguiente: estuviesen libres, ó propondrán dichos gefes militares ai Gobier » Deseosa la Regencia del reino de dar á D. Juan Bautista de no lo que crean mas conveniente acerca de la suerte de dichos Ftro una prueba nada equívoca de la muy particular considera- individuos, puesto que abandonaron sus hogares con objeto tan don cjtic le merecen sus distinguidos méritos y servicios, asi co reco…</t>
  </si>
  <si>
    <t>…n fecha n del actual. sivas en iguales términos a D. Fernando Ortafá, D. Tadeo Ca« En la amargura que aflige mi Real ánimo al contemplar lomarde, D. Víctor Damian Saez presbítero, D. Juan Bautista el cúmulo de males que el maquiavelismo sin egemplo del Go Erro, D. Josef García de la Torre, D. Luis María Salazar, D. bierno francés ha traído sobre mi Persona y familia y sobre Ja Josef de San Juan y D-Josef Aznares, que respectivamente se Nación generosa…</t>
  </si>
  <si>
    <t>…SS. MM., y ción, todas alusivas á tan fausto acontecimiento, ponemos á subieron en un magnífico carro triunfal que para ello habia pre- ¡ continuación las siguientes, que son del Sr. D. Juan Bautista de parado el Exorno. Ayuntamiento, adornado con mucha elegan Arriaza, bien conocido en el Parnaso español, y entre los aman cia y con varias estatuas alegóricas, que unas representaban las tes de su Rey y de su Patria. provincias de España, y la de delante á…</t>
  </si>
  <si>
    <t>Bauza</t>
  </si>
  <si>
    <t>…as bayonetas, no era ni digna de un pueblo libre, ni lo 87 votos del total 112. poco bueno que contenia ha podido ejecutarse, porque sus bases Para vice-presidente salió electo el Sr. Bauza por 68 votos son en extremo viciadas. El Gobierno ha sido absoluto : y aunque del total 106. se dice que en el senado ha residido el poder legislativo, no era Para secretario salió electo el Sr. Romero por 78 votos del en realidad sino un senatusconsultm; y d…</t>
  </si>
  <si>
    <t>Bauzá</t>
  </si>
  <si>
    <t>…3.0 »Igualmente podrán trasportarse en tales buques 87 votos del total 112. desde los puertos que están ocupados i. los libres trida clase de Para vice-presidente salió electo el Sr. Bauzá por 68 votos frutos, efectos y manufacturas nacionales; pero de ningún mo del total 106. do se admitirán las que no lo sean.” Para secretario salió electo el Sr. Romero por 78 votos del Art. 4.0 » Asimismo podrán trasportarse los frutos, efectos total 106. y…</t>
  </si>
  <si>
    <t>Bauza, Francisco</t>
  </si>
  <si>
    <t>Francisco Bauza</t>
  </si>
  <si>
    <t>…Cámaras para el 18 de Enero. Gatalá , D. Nicolás Cano Luque, D. Zoilo Gom:z Cisero , D. Joscf __La libertad nunca ha sido vencida por ¡as armas extrangeras; y tan Larreategi-.i y D. Francisco Bauza.. to las naciones antiguas como lai modernas nos presentan en sus ana Habida la conferencia, se declaró por ocho de d'chos Sres. jueces les pruebas demostrativas de asta verdad. Nunca tuvieron Grecia y Ro no haber lugar £ la forin.tciott desaína. El Sr. D. Jo…</t>
  </si>
  <si>
    <t>Bauza, Francisco Javier</t>
  </si>
  <si>
    <t>Francisco Javier Bauza</t>
  </si>
  <si>
    <t>…teniente general I&gt;. Francisco Ballesteros, En su vista se reunió el jurado, compuesto de les Sres. ..siguientes: tendrá la denominación de segundo egército de operaciones. 3.° El D. Francisco Javier Bauza, D. Pedro Alvaro Delgado, D. Mico» egército de reserva del primer distrito militar , á las órdenes del te- Jas Cano de Luque , D. Gregorio Miguel de Mendivit, D. Francisco píente general conde del Abisbal, se denoramará primer egército de re- Travesedo, D. Do…</t>
  </si>
  <si>
    <t>Bauza, Rafael</t>
  </si>
  <si>
    <t>Rafael Bauza</t>
  </si>
  <si>
    <t>…e la finca que había comprado;, pertenecer á ellos, y seamos constitucionales verdaderos, y no par opinaba, se accediese á tilo. tidarios del capricho. Otro sobre la expos-cíon de D. Rafael Bauza para que se le i» En llegando estos casos de invasiones enemigas se aumentan concediese rehabilitación de los derechos de ciudadano , pues aun las facultades de los gefes militares en razón de lo que crece ei que no hace los 6 aros que se hada fuera de España…</t>
  </si>
  <si>
    <t>Bauza, Ramón</t>
  </si>
  <si>
    <t>Ramón Bauza</t>
  </si>
  <si>
    <t>…observar, á Gobierno, acompañando una solicitud.de Doña Josefa Sánchez , para que fin de que contribuyan poderosamente á la defensa general; por lo cual pi su marido el ingeniero D. Ramón Bauza, residente en Rusia , pueda res do á Jas Corres se sirvan acordar que la comisión á que corresponda , oyen tituirse á su patria con todo el goce de los derechos de ciudadano , de los do al Gobierno, procure presentar á la mayor brevedad un proyecto de cuales…</t>
  </si>
  <si>
    <t>Baviera, Pío de</t>
  </si>
  <si>
    <t>Pío de Baviera</t>
  </si>
  <si>
    <t>…tendré en ni: memoria. Su quesa Amalia Luisa Julia de Envicia, y princesa de Ahrembcrir, patria no era tan conocida cual merecía serlo; v he querido Jar esposa de S. A. berma, el duque Pío de Baviera, sobrino de una idea mas ventajosa y mas conforme. Vo espero que agra S. M. Lavaia. dezcan á lo menos mi intención.’' EN LA IMPRENTA NACIONAL.</t>
  </si>
  <si>
    <t>Bayo, Mariana</t>
  </si>
  <si>
    <t>Mariana Bayo</t>
  </si>
  <si>
    <t>…nes ofrecerán a! principio zuela, y el sargento primero del mismo cuerpo N. Pastor ; que el sus dificultades; pero ninguna puede haber qne no la venza ei zelo y ayudante de F.. M. D. Mariana Bayo, después de haberse visto rod-a- un constante y asiduo trabajo , ó mas bien la persuasión de que por es do de siete lanceros, cogió prisionero i un ex-guardia, ayudante de te medio se pondrán los gefes y autoridades de la Hacienda pública en los facciosos, y…</t>
  </si>
  <si>
    <t>Bayo, Mariano</t>
  </si>
  <si>
    <t>Mariano Bayo</t>
  </si>
  <si>
    <t>…la orden del Mayor general del ejér cito para poner el prisionero Riego i disposición de la autoridad españo la , me apresuro á hacerlo entregar, como también sus tres compañeros D. Mariano Bayo, capitán español, Virginio Vicente, teniente coro nel pía montes, y Jorge Matías, ex-teniente ingles, al Sr. D. Josef Azlor, capitán español, encargado del oficio que V. E. me ha hecho el honor de dirigirme de fecha del 19 de este mes para reclamará Riego, an…</t>
  </si>
  <si>
    <t>Bayon, Manuel</t>
  </si>
  <si>
    <t>Manuel Bayon</t>
  </si>
  <si>
    <t>…abaron los musulmanes en po tista Arana ha repetido su mérito en esta ocasión distinguidamen quísimos años. Sea lo que fuere, lo cierto es que la decadencia del te , y mi ayudante teniente D. Manuel Bayon, y los agregados al imperio griego y la destrucción del christianismo en el Asia no E. M. capitán Negron y alférez Calderón son también dignos de tanto deben atribuirse al odio de los Nestorianos, cuanto á lá de recomendación por la exactitud con que comunica…</t>
  </si>
  <si>
    <t>Baza</t>
  </si>
  <si>
    <t>…en que se anuncie en los papeles públicos, eminente patriotismo de nuestros guerreros conducidos por el intrépido comparez .a en la m.sma por ¡a escribanía de Cámara del cargo de Don Baza ti hizo que en un momento quedasen frustradas las esperanzas de Feliciano García Sancha , á fin de notificarle la sentencia ds vista los malvados, y que estos desapareciesen corno e! humo arrebatado por pronutiCiada en la causa que se le siguió por quimera co…</t>
  </si>
  <si>
    <t>Bazan</t>
  </si>
  <si>
    <t>…ue la trepa y el paisanage se estaban ha que habia conducido a los facciosos á robar las casas de sus pa ciendo un vivo fuego, de resultas de haber celebrado el pueblo triotas. El coronel Bazan le mandó formar consejo de guerra, y con demostraciones nada equívocas de amor á la libertad la con murió. ducta firme y patriótica del diputado Manuel en Jas ses:ones de Se ha dicho que el dia 2 entró en Segorve la división d; tro g y 4 dtl corriente. Dice e…</t>
  </si>
  <si>
    <t>…ef Ruiz del Arco, alcalde primero constitucional de facción. Esta pequeña fuerza se encuentra nuevamente dispuesta esta M. N. M. L. y M. H. ciudad ¿cc. á operar con las tropas del coronel Bazan, que parece deben lle Por edicto de 30 de Marzo anterior previno el ayuntamien gar, y en combinación con1 las de diferentes distritos, que según to á todos los contribuyentes á la de casas y territorial que ert los acebo de saber marchan á auxiliar á Valencia…</t>
  </si>
  <si>
    <t>…o, lidad del pueblo, y i cosa de las once se presentaron un oficial y ctíyo Valor 6s dé tirios 10 cuartos, se disuelve en dos cuartillos de un soldado nacionales con un oficio del general Bazan , que vino, y sfl echa todo en un hectólitro (vasija como de seis desde á bordo de la goleta que dirigía la expedición le intima pintaros) de vino Vuelto, se revuelve, y al cabo de dos ó tres ba al alcaide, que bajo pena de la vida le tuviese dispuestos doce…</t>
  </si>
  <si>
    <t>…íritu que hasta ahora las ha distin servar la pureza de la religión entre nosotros, que el del restable guido. cimiento de un inst tuto tan contrario al espíritu del evangelio: El comandante Bazan y el general Torrijos tenían á raya á ;No t ene la iglesia sus leg tmos pastores encargados por el mis los enemigos que andan por aquellas inmediaciones, y pocos dias mo Jesucristo de la conservación de su grey: antes había derrotado el primero una facción nu…</t>
  </si>
  <si>
    <t>Bccerrá</t>
  </si>
  <si>
    <t>…rrido oportu Después de haber hecho varíes observaciones sobre el artículo el namente a la substanciación de las causas de conspiran.or.; y aunque Sr. Sotos, ú las que contestó el Sr. Bccerrá, quedó aprobado. no es de su inspección entrar en esta materia , lo indica únicamcutr en Art. 144. -&gt; Cuando esta no se halle reunida se liará el despacho mayor apoyo del cumplimiento de las ofertas de V. M., lan arregla por el d-putado que sea vecino de la c…</t>
  </si>
  <si>
    <t>Bcduna, Joaquín</t>
  </si>
  <si>
    <t>Joaquín Bcduna</t>
  </si>
  <si>
    <t>…isión ha echado al olvido los principios que siempre se La comisión segunda de Hacienda, en vista de la exposición han tenido por indudables cuando se ha tratado de religiosos. de D. Joaquín Bcduna, empleado cesante del Real patronato, en Siempre se ha dicho que los religiosos renuncian al inundo: que que pide se le corceda el sueldo que gozaba anteriormente , por se separan de la sociedad, y se privan de las obligaciones y dere hallarse ocupado en el r…</t>
  </si>
  <si>
    <t>Bcllangc, Coronel</t>
  </si>
  <si>
    <t>Coronel Bcllangc</t>
  </si>
  <si>
    <t>…corazones al indecible Zaragoza ¿ de Noviembre.placer de ver á V. M. en el Trono cíe sus mayores; y con solo esto, restablecido el sosiego, respetada la Religión santa, y pues Al Sr. Coronel Bcllangc, Comandante de la plaza del ejército tos los cimientos de la futura prosperidad de la Nación, se lléna aliado. la esta ciudad de gloria; entre tanto que una comisión nombra Nombrado V. S. Comandante de esta plaza por lo que hace da de su seno se postra á L. R…</t>
  </si>
  <si>
    <t>Bcnicio, Felipe</t>
  </si>
  <si>
    <t>Felipe Bcnicio</t>
  </si>
  <si>
    <t>…solamente aquellos prima, publique y circule.—Está rubricado de la Real mano.rr en que ponga yo la mía, los que deberán llevar la vuestra ente En Palacio &amp; 6 de Marzo de 1823. = A D. Felipe Bcnicio ra. Tcndreislo entendido, y lo comunicareis á quien corresponda Navarro. para su cumplimiento. = Señalado de la Real mano.=En el Al cázar de Sevilla á 20 de Mayo de 1823. = A D. Josef María Se ha interceptado el papel que á la letra es como sigue: Calatrava.…</t>
  </si>
  <si>
    <t>Bcristain, Juan Bautista</t>
  </si>
  <si>
    <t>Juan Bautista Bcristain</t>
  </si>
  <si>
    <t>…rzun. Para el segundo Don de todos los verdaderos españoles.” Juan Antonio Lardizabal , de la villa de Segura, y porsu adjun Al concluir este discurso, que oyó con la mayor emo to D. Juan Bautista Bcristain, de Lgzcano. Para el tercero D n ción Ja junt3 , se levantaron espontáneamente todos sus indivi Santiago de Unceta, de Vergara, y por su adjunto D. Felipe duos , y manifestaron á S. S. unínimamente la viva impresión Azcona, á quien por haberse nombrado de alc…</t>
  </si>
  <si>
    <t>Bcrnal, Bartolomé García Romero y</t>
  </si>
  <si>
    <t>Bartolomé García Romero y Bcrnal</t>
  </si>
  <si>
    <t>…vice-presidente el Sr. D. Fe particular mención de él al tiempo de declarar estas provincias en lipe Bausa, diputado por las Islas Baleares, y para secretario el estado de guerra. Sr. D. Bartolomé García Romero y Bcrnal, que Jo es por la de 2.0 Que sigan también manteniendo como hasta aqui el or Sevilla. den y la inas severa disciplina entre sus subordinados, lo mismo que la buena armonía con las demas autoridades. El ayuntamiento constitucional de Sevilla aseguró á las Cor…</t>
  </si>
  <si>
    <t>Bcrninc’ies, Juan Josef Gómez</t>
  </si>
  <si>
    <t>Juan Josef Gómez Bcrninc’ies</t>
  </si>
  <si>
    <t>…icia , casi le unas ventajas tic incalculables consecuencias. El teniente co pagada, y las eclesiásticos aparte. Tiene por anejo la villa de ronel segundo ayudante de estado mayor D. Juan Josef Gómez Bcrninc’ies, una legua de distancia , y pagan por la asistencia ha quedado encargado con el gobernador de Manresa del arreglo 32 fanegvs de trigo , cobradas y puestas por la justicia en casa del y entrega del fuertr. El ayudante de estado mayor capitán Don médico. Los pr…</t>
  </si>
  <si>
    <t>BcurincDt</t>
  </si>
  <si>
    <t>…a. campo bnon Berge: gefe de estado mayor Mr. Després. NOTICIAS DE ESPAÑA. Reserva compuesta de la guardia. El mariscal duque de Reggio, comandante en gefe. infantería el teniente general BcurincDt: caballe Madrid Lunes 1J de Febrero. ría el teníante gneral Bourdesoult. El Rey y !a Reir.a siguen con mejoría. SS. AÁ. siguen sin nove Se asegura que en caso de que se verifique la guerra , las dot divi dad en su importante salud. siones al mando del príncip…</t>
  </si>
  <si>
    <t>Bcurk</t>
  </si>
  <si>
    <t>…ódico; pero no herno; podido resistirnos á insertar la intima viíta: recibieron las mas .;x pres:vas aclamaciones , y varios gru ción final hecha á aquel gobernador por el general conde Bcurk, pos gritaron viva el Rey sin el epíteto de constitucional. Esta que puede mirarse como modelo eri su clase. En ella si v.n pin noticia a armo a D City-tano Valdés, que estaba presidiendo tados en miniatura el honor, la lealtad, la sagacidad , el va’or, un en…</t>
  </si>
  <si>
    <t>Be</t>
  </si>
  <si>
    <t>…al pala ra. =: El corregidor Francisco Fabian.= El regidor decano Gas cio á nuestro'amado Soberano el Sr. D. Fernando vii , su au par de Miranda y Bsrnedo. = El procurador síndico general Be gusta y virtuosa Esposa con todos los Sermos. Sres. Infantes, dig nito Marcilla.sPor acuerdo de sus señorías Calixto Martínez. nos vastagos de San Luis y San-Fernando, sumerjiera á esta vi lla en el mayor dolor y-abatimiento, si no tuviera la dulce y * Sermo.…</t>
  </si>
  <si>
    <t>…ulpados. mando formar esta comisión. Uno de los argumentos que deben El Sr. presidente contestó que las Cortes quedaban ente haber hecho mas impresión en el público ha sido el del Sr. Be radas. cerra cuando dijo que la comisión habia cometido un yerro en El Sr. Canga dijo que deseaba saber si el Gobierno tenia no decir que los dos monasterios de la provincia de Badajoz eran ticias positivas del estado en que se encontraba el ejército. los mas…</t>
  </si>
  <si>
    <t>Be, Gómez</t>
  </si>
  <si>
    <t>Gómez Be</t>
  </si>
  <si>
    <t>…e muy teresados ó contribuyentes, y que la autoridad pública no inter gravoso lleva los granos mal acondicionados, y esto es tan co venga de modo alguno. En realidad las ideas del Sr. Gómez Be mún que cuando se ve mai trigo suele decirse es cie¡ pósito. cerra son ias mismas que las de ¡a comisión, y solo hav airona Una sola reflexión bastará para que las Cortes se convenzan diferencia en la redacción del dictamen. El medio de la liquida de los mono…</t>
  </si>
  <si>
    <t>Be, V'C-nte</t>
  </si>
  <si>
    <t>V'C-nte Be</t>
  </si>
  <si>
    <t>…iberales y luces del siglo : en dos, hall endo »i-lo demandólo ante el aka oe cor.-.tiiu ur,J $.*••. t li aquel ro sí encuentra mas que confusiones, contradicciones entre unas lla D. V'C-nte Be tran dr L.s por e! ii.t nd.r.tc de c»í.i vovl.-.c-.i , á mismas leyes, y sobretodo ia conformidad con el s-sten.a despótico. causa de algunas exprestonc» que dijo contra e. en ia ses.cn de. ...„ te Descendiendo ahora á las mejoras de las disposiciones de este…</t>
  </si>
  <si>
    <t>Be-, Gómez</t>
  </si>
  <si>
    <t>Gómez Be-</t>
  </si>
  <si>
    <t>….Parad-t: Princesa y M N. 3^.--Rondas y líubo lugar á volar sobre la totalidad del dictáineu. contra-rondas: M. ¡V. /-C—CapiLan de hospital y pro Se leyó p| arLícuio primero, y el Sr. Gómez Be- visiones: San-Marcial. cerrar, le impugnó. Despees de una ligera discusión entre los Señores Canga y Gerrer ( D. Joaquín) convino la comisión en mollificar el artículo primero de este modo: «Se Ayer salieron de este puerto algunos buques estranseñalan para lo…</t>
  </si>
  <si>
    <t>Be-cerra</t>
  </si>
  <si>
    <t>…l dictamen, tido á igual distancia del pueblo que debe hacer la elección. porque de ningún modo puede deducirse de su contenido .0 que El Sr. Ayllon añadió á las observaciones del Sr. Be-cerra, que se ha querido suponer , esto es , que se quitan al Gobierno todas aun resultaba mayor inconveniente de la aprobación del artí las autorizaciones , v se revocan todos los decretos en qua se le culo, cual era el que alguna provincia quede sin representació…</t>
  </si>
  <si>
    <t>Beaudot, Félix Raraon</t>
  </si>
  <si>
    <t>Félix Raraon Beaudot</t>
  </si>
  <si>
    <t>…i.UU.ia íuuuii v ¡tu;ud wumu.no, áw. —sari. jst-r-i uuque1 utJ. o.C 11e.*— CAj U \,V&lt;“lUoU.r1^,. Núm. 2.0 Sir Carlos Stuart al Sr. secretario Canning.rrRe- gun prescribe la ley, á D. Félix Raraon Beaudot responsable cibido en 10 de Abril. = ( Extracto.)= París 7 de Abril de de aquel escrito, á la pena de dos años de prisión , que sufrirá étt 1823.=;Mr de Chateaubriand me ha asegurado que el Gobier el castillo de la puerta de Triana, á la pérdida de cualquier…</t>
  </si>
  <si>
    <t>Bec</t>
  </si>
  <si>
    <t>…presentada y leí El br. Adan: Sin oponerme en manera alguna á que se guarde «1 da por el Sr. 1 ,tur¡z. decoro debido á S. ,\1. respicto de su guardia , creo que la petición &lt;n| El Sr. Bec rra pr-sentó 11ra exposición de D. Francisco Rodríguez Gobierno es inoportuna, y que el aumento o'e las dos cornpaúúts "I de Led-stna , diputado que fue por la provincia de Extremadura en las alabarderos que se propone debería reservarse para cuando en la po'…</t>
  </si>
  <si>
    <t>Becer, Gómez</t>
  </si>
  <si>
    <t>Gómez Becer</t>
  </si>
  <si>
    <t>…. ciones hechas al proyecto que trata de evitar la deserción de quin montados, ha sido sorprendida en el día 17 del actual con tanto tos ; siendo de opinión debía aprobarse la del Sr. Gómez Becer fruto que quedaron en poder de las armas constitucionales 2 5 de ra , reducida á que los individuos que se hallen en actual servicio, la canalla , entre ellos los expresados cabecillas, y un,cura muy Íqueoras lola estenley deendesercioneslo sucesivo,á presenc…</t>
  </si>
  <si>
    <t>…on po La comisión presentó redactado en otra forma que lo habia se-idos por un rico propietario: ; y no seria mas útil al Estado que propuesto antes el art. 112 , y á petición del Sr. Gómez Becer esto lo poseyesen muchos! pues á esto tiende mi proyecto, no ra se mandó quedar sobre la mesa. proyecto nuevo sino parte de los trabajos de muchos hombres sa La comisión retiró en seguida y sin discusión alguna el ar bios. tículo 113. Las Cortes constituyente…</t>
  </si>
  <si>
    <t>Becera, Gómez</t>
  </si>
  <si>
    <t>Gómez Becera</t>
  </si>
  <si>
    <t>…men minos en que está redactado no son conformes á lo que previe- . en consideración la modificación-que he propuesto. ne la Constitución. A mí no me importa que en el no suene El Sr. Gómez Becera ¡ Advierto que no están conformes las . confiscación cuando realmente la hay, y lo mismo el que se diga opiniones del Sr.' Arguelles sobre este punto con las del Sr. se que da pena que aquí se establece no recae sobre las familias, cretario de Gracia, y Justi…</t>
  </si>
  <si>
    <t>Becerra</t>
  </si>
  <si>
    <t>11</t>
  </si>
  <si>
    <t>…repartimientos de hombres y de dinero , y las dad en artículo; pero en mi concepto no es tanta como la que se Cbttes los aprueban después ó los desaprueban. ha querido suponer. El Sr. Becerra : No extraño que este proyecto se resienta de algunas be dice en su primera parte qus-para la formación y reemplazo de fa’tps oor la prontitud con que ha sido presentado por los señores de lo» batallones de la mina nnciotr.il activa «e observará el decreto or…</t>
  </si>
  <si>
    <t>…mera, y helándose muchos en el puerto; las tropas Guerra sobie el reemplazo de la milicia nacional activa. o mi. ron \ br miaron fraternalmente con las francesas. La columna de El Sr. Becerra: Yo no me opongo al espíritu del artículo, sino á lo* :r¡ 11,, art ayer 13 facciosos á Castan , y le hizo ti prisioneros. tAminos en que e»tá redactado, porque no contiene ideas exactas, ni se 11 y hemos recibido parte de Gallan, diciendo que ha cogido al cab…</t>
  </si>
  <si>
    <t>…Justa ahoia de un solo batallón tuviesen dos ó mas, idea , me parece que el a tice o esf como corresponde. s; consi i Taran para este reemplazo como sí form-.ren un r-gímiento Ei Sr. Becerra: El espíritu de este artícu o :s que haya qu nto» que de tjntos bañil mes como d be tener la provir eia a! completo de su no sirvan mas que un año , que los haya qu- sirvan dos, tres , pi fuere 1. Cala soldado pertenecer - al hatal'on del distrito de! pu-b o…</t>
  </si>
  <si>
    <t>…hacerlo el Habiendo tenido noticias seguras el Exento, Sr. gefe superior po tribunal supremo ce Justicia. lítico de esta ptov.ncia de qu.: varios sugelos se ocupaban en labrar El Sr. Becerra: Atite todas cosas debo deshacer una equivoca moneda falsa dentro de esta corte, y otros en falsificar documentos ción que ha padecido el Sr. González Alonso , tal vez involuntariamen para acreditar haber salido 5 bres de ¡os sorteos para el reemplazo d;l te…</t>
  </si>
  <si>
    <t>…udentemente habia echado sobre su reputación literaria. ción de l«s penas que en el mismo código se establecen.” El Sr. Trigo.*o pronunció un largo y profundo discurso, manifes El Sr. Becerra, como de la comisión, pidió se leyesen las consultas tando el cúmulo de razones que habia para que este asunto te mirase con del tribunal supremo, y asi se verificó. la mayor circunspección, pues no se trataba nada menos que de hacer El Sr. Falcó: En mi conce…</t>
  </si>
  <si>
    <t>…cmp’o) Después de haber hecho varias observaciones contra el dictamen el arreglar como quiera sus asunto* interiores. Su regreso á la grande asam Sr. Aillon, á las que contestó el Sr. Becerra, quedó aprobado. blea de las naciones civilizadas mas bien se dilataría que se aceleraría Respecto de la adición del Sr. Salva al art. 46, que decía, que con la destrucción de sus campos, la ruina de sus pueblos y la carni cuando se tratase en los ayuntamient…</t>
  </si>
  <si>
    <t>…la multa y te habian retirado de las vistas de esta capital en la mañana del 6 habían exigirla á su arbitrio. pedido 69 raciones en el pueblo de la Muela \ y aunque desde luego El Sr. Becerra dijo que E¿s razones que se habian expuesto par» que ae supuso que su osadía no querría recibir otro escarmiento tan terrible se desaprobase el dictamen no tenían valor alguno , poique se confun como el del dia 5, tomando aquellas medidas de precaución que se…</t>
  </si>
  <si>
    <t>…que las Cortes podían determinar podemos prometernos breves y felices resultados. si debían leerse íntegras. Las noticias que acabo de recibir de la Seo de Urgel son satisfacto El Sr. Becerra: Yo soy de opinión que deben leerse, y tal vez se rias , pues la escasez de víveres de los sitiados y el mal gobierno de hsrá mención en alguna de ellas de un rasgo patriótico del pueblo de entre ellos nos va á poner el fuerte muy pronto en nuestro poder. Bad…</t>
  </si>
  <si>
    <t>…aquel El Sr. Montesinos leyó una exposición sobre lo mismo de la mili- documento.” Previa una breve discusión , quedó aprobado este artículo.cía nacional voluntaria de Badajoz. El Sr. Becerra leyó otra del cuerpo de inválidos de Madrid. Art. 21. » Sí la diputación provincial hallase que se puede resol El Sr. Canga leyó otra de los directores generales de i. Hacienda ver sobre la reclamación sin dar mas instrucción al expediente, lo ha pública, gef…</t>
  </si>
  <si>
    <t>…mas en q-.ie la madre patria ha fundado su derecho público , y que en aprobarse el dictamen de la mayoría. vano intentaria Condenar en otro hemisferio: ia guerra civil agotando El Sr. Becerra manifestó que reconocía la independiada del poder 1 Osú timos recursos del Estados tai ei «i cuadro que nos presenta ia ac judicial v la fuerza de sus sentencias; pero que í pesar de esto veía tual situación de la Espina: tales son las desgracias que cti gen…</t>
  </si>
  <si>
    <t>…inscripta para ti strzidecreto particular sobre este negocio; que debía devolverse al Gobierno, cío Je r. diciendo que no tocaba á Jas Cortes, y que cuando ss estuviese en el ’ El Sr. Becerra dijo quí la comisión e»eia conveniente que i este ar caso de satisfacerse la cantidad que se reclama, debía verificarse por el tículo siguiesen los 53, 54, 55 y ¡,6. Oédilo público como á todos los demas acreedores del Estado. Art. 53. », Los ayuntamientos y…</t>
  </si>
  <si>
    <t>…nales se aplicará este castiga por providencia La milicia voluntaria de infantería y caballería de Ocaña, por el del comandante general, dada á consecuencia de un breve sumario dé Sr. Becerra. información ; y en los buques, cuando las circunstancias no dieren lugar El seminario conciliar de S. Fulgencio de Murcia, por el Sr.Sotcs. á esta formalidad, cuidará el comandante que el oficial de guardia ano El departamento de artillería de Sevilla. te en…</t>
  </si>
  <si>
    <t>…ncial de Sevilla, varios individuos del consulado de Cádiz y al unirán décimas pa'a mas de tres hombres.” guno» comerciantes de esta corte , para que se les conceda una próroga El Sr. Becerra dijo que el articulo 49 serH conveniente se para vender los géneros extrangeros que introdugeron en España en discutiese mas adelante después de aprobados algu.:-.* de los que si tiempo habit. guen. Asi se acordó. Continuó la discusión del proyecto de ordenan…</t>
  </si>
  <si>
    <t>…s ciudadanos de aquella capital, y del ayuntamiento y milicia de ben habrrs: consumido ya , y no debe perderse de vista tampoco que ambas armas de ia villa de Almendraíejo, por el Sr. Becerra. los tejidos de seda no se hacen para un año, sino que se consumen en De varios ciudadanos de Valencia , por el Sr. Oliver. -na temporada del año en que es moda llevar esta clase de tela. De la milicia nacional voluntaria y local de Medellin, y de varios El s…</t>
  </si>
  <si>
    <t>…fan - autoridad eclesiástica. tería y caballería de Mazarambroz (provincia de Toledo),presentadas y En . el art. 11 se traía de que en lugar de las bulas de confirma leídas por el Sr. Becerra. ción para los ob spos electos , que se han pedido hasta aqt'i á la corte De los individuos de todas clases de la milicia nacional local vo de Roma, hayan de ser confirmados por sus metropolitanos. Cuando la luntaria de infantería y caballeril de Velez-Málaga…</t>
  </si>
  <si>
    <t>…se la muralla de dicha villa , presentadas por el Sr. Alonso. por aquella parte (que no había otra), y se protegiese ¡l Guallar. Aun Del regimiento de caballería de España, por el Sr. Becerra. 110 lo habían egecutado 20 hombres cuando empiezan á hacernos fuego De la audiencia de Sevilla, por el Sr. Santafe. desde el fuerte á las lanchas que nos aproximábamos: entonces conoci De los jueces de primera instancia de Murcia, por el Sr, Marau. mos que e…</t>
  </si>
  <si>
    <t>Gaceta de Madrid n.º 38</t>
  </si>
  <si>
    <t>…del decreto misiones los entregarán por sí á los secretarios de eilas , anotándola de 29 de Junio último. en el registro respectivo de cutso interior, y harán el oconuno descar El Sr. Becerra: Si se aprueba el dictamen de la comisión se ocasio go cuando sean devueltos , expresando el d.a de la entrega. narán grandes perjuicios ¿ la Nación ; en mucha parte quedará frustra Art. 42. » soio recibir.n como informados los espedientes cuyo* do el decreto…</t>
  </si>
  <si>
    <t>…es, que son embarazosas , y ocupan lo han producido será excusado el imponer nuevos sacrificios. mucho tiempo. El Sr. secretario de la Guerra: Cuando el Gobierno pidió recursos El Sr. Becerra manifestó que el objeto de su adición no era otro mat anteriormente á las Cortes, los pidió con el objeto de acabar con los que el de ahorrar tiempo al hacer el reemplazo que se decretaba. facciosos que infestaban los distritos 5.0, 6° y 7 'J, y no bau sido i…</t>
  </si>
  <si>
    <t>…. Infante: Una de las cosas que la comisión ha meditado en para transigir acerca de las cantidades según las circunstancias de la dea» este asunto ha sido Ja que ha manifestado el Sr. Becerra, y en cuan &lt;U y la pos.bilidad de loa deudores, y para cobrar en frutos ó en efec to í su primera objeción no creo que puede haber dificultad en que se tos ti lo est.mase útil. señale el dia desde que empieza á regir el decreto. También propuse 4° n Que para…</t>
  </si>
  <si>
    <t>196</t>
  </si>
  <si>
    <t>…no hubo elección , te go ¡ no siéndome de poca satisfacción el respeto y aprecio que merecen niendo el Sr. Marau 53 votos, el Sr. Falcó 46, el Sr. Munarnz uno, mis relaciones. el Sr. Becerra uno, el m. Vega nnn, ol s«. Cnas uno, d o.. Im .n,. En otras del 18 se dice : Se ha formado un Congreso para arre uno, el Sr. Garmendía uno, el Sr Fetrcr (D. Joaquin ) uno, el se glar el mido de minorar &lt;1 poder é influencia de S. Martin a su vuel ñor Escobed…</t>
  </si>
  <si>
    <t>…entido opuesto de cuanto habían pro La comisión de Visita del Crédito público, en vista de una adi metido. '1-ir.pccu esta dista: te la época en que los gobernantes de Pa ción del Sr. Becerra á la proposición del Sr. Zu ueta sobre las minas rís i.ic;.-. r. ue-.r al Rey de Francia todo lo contrario de lo que el de Almadén, para que los expedientes que se han de formar se ins pueblo francés y .1 esf..i u. ataban viendo y palpando. truyan y sustancie…</t>
  </si>
  <si>
    <t>…ar- leridad que se quiere , ni tampoco se bailan medio* de .subsistir; y solo monís con 1-js principios monarquicos.Dicen que S. M. ba contestado por los esfuerzos del benemérito caballero Becerra pudo encontrar la qu él y su pueblo se hallan muy contento* con la Constitución actual, tropa arbitrios de subsistencia, y qús no encuentran motivo alguno par* modificarla. Madrid Sábado 8 dt Febrero. NOTICIAS DE ESPAÑA. El Rey y la Reina continúan en su mejo…</t>
  </si>
  <si>
    <t>208 ción que se pide e» inútil con respecto i csus provincias. El fundamen trictas de Montanchez , presentadas por el Sr. Becerra. to en que se apoya la comisión «■* en que hay falta de numerario en l0j Del ayuntamiento constitucional de Pontevedra, y del secretario y pueblos, loque imposibilita el que se hagan los-págos en efectivo} puempleados cc la secretaría del gobierno político de…</t>
  </si>
  <si>
    <t>…de la de Tarragona sartas de azucena y rosas, Aqui hay libres ciudadanos, por el Sr. Prat. y sus sienes v.ctoriosas constancia, aceros y manos, Del ayuntamiento de Parra , por el Sr. Becerra. ostenten gloria con ellas. y un pu. b o que dice ....NO. De un considerable númeio de ciudadanos vecinos de Alicante,por S. Sebastian 3 de Febrero. el Sr. B rtran de Lis. El jueves ú’timo 30 del corriente á las 10 de la mañana apareció De los alumnos de la u…</t>
  </si>
  <si>
    <t>…... 1 r Del administrador principal de correos de Cicerei y de la milicia En Badajoz................................................ 1 r nacional voluntaria de Garróbillas, por el Sr. Becerra. En Palma...................... 1 1 De la milicia nacional voluntaria de Pontevedra, por el Sr. Sarabia. En Mahon....................... 1 t Del ayuntamiento constitucional :y -vatios ciudadanos de la villa En Sanú Cruz de Tenerife............................…</t>
  </si>
  <si>
    <t>…! Su Soria: Al discurso del Sr. Arguelles nada puede añadirse-, Constitución española, y que cuando dice otra cosa es porque no tiene pero sin em jargo ia impugnación hecha por el Sr. Becerra , y el deseo libertad; pero yo pregunto , y contesto á estas atroces calumnias, ¿y cuan de dejar consignada mi opinioD en este impórtame punto , me obligan do en el dia 7 de Julio del año próximo pasado se hallaba S. M. en 6 usar de ta palabra: yo creo que es…</t>
  </si>
  <si>
    <t>…cuarto lugar quedó elegido el Sr. Pacheco por 61 votos, repar buenas las imposturas de los tiranos del Norte , y que justifiquemos sus tiéndose los restantes en esta forma: 16 el Sr. Becerra, 4 el br. Vareinicuos proyectos de sojuzgarnos! No, gaditanos: no suceda semejante la, 2 el Sr. Lasala, 2 el Sr. Marchámalo, y uno cada uno de los se desastre. ¡ Sombras ilustres del denodado Padilla! ¡Inclito Riego! ambos ñores Rojo, Fernandez Cid , Ruiz de…</t>
  </si>
  <si>
    <t>…ue el día 15 tenían los cuerpos disponible, los enfermos, gocio suspenso sin ulterior resolución. ausentes ó separados de sus destinos , y el total de plazas, con arreglo á los El Sr. Becerra: El Sr. Canga cree que no es necesaria la proposición formularios núm. 1.“ del título de las revistas de inspección. de que se .ata, por cuanto ya las Cortes adoptaron las medidas necesarias Art. 8.° «En principios de cada año los inspectores remitirán al al…</t>
  </si>
  <si>
    <t>…la dirección general da 3.0 A las madres ancianas, mugeres, hijos menores y hermanas solte Estudios. ras de los milicianos locales de cualquiera clase que por su separación que El Sr. Becerra preguntó cuál era la fecha de este dictamen . v contes dasen en la indigencia se les auxiliará por ios ayuntamientos con una pen tó uno de los Síes, secretarios que era de 2 2 de Junio de 1822 / y se ha sión de 2 á 4 reales diarios, á juicio de los mismos ayu…</t>
  </si>
  <si>
    <t>…s extran- Del ayuntamiento constitucional de Cañameros, provincia de Ba geros. Esta adición no ha sido atendida, y nosotros no sabemos el motivo; dajoz , presentada y leída por el Sr. Becerra. pero la sui rte de las adiciones propuestas por el lado izquierdo no es gene De ia milicia N. V. de Arnedillo, presentada y leída por el r.sralmente muy feliz , y ia del general Foy debía prometerse igual destino. fior Trujillo. Pero, ¡i hemos de creer á los…</t>
  </si>
  <si>
    <t>…ntes se discutiría el p-oy esto de instrucción para el arre dió que pasase á ella ó quedase sobre la mesa. glo económico-político de i.is provincial de U-tramar , y se haría la El Sr. Becerra expuso que para no aprobar el dictamen tenia otras elección de ia coinis on de Visita de! Ciéd.to público; y levantó la se razones ademas de las expuestas por el Sr. Arguelles, y pidió que vol sión á las tres menos cuarto. viese á la misma comisión ó á otra p…</t>
  </si>
  <si>
    <t>…ivocaciones que dijo había ó establecimientos en contrario. Tampoco la tendrán de pagar padecido el Sr. Prado. cosa alguna en lo sucesivo por razón de ¡a.iif.i ó derecho de tan El Sr. Becerra pidió que se leyese la ley 13, tít. 10, Iib, j teo: y este derecho sera rtc proco en adelante para los poseedo de la Novísima Recopilación, que trata de los juicios de rever res ele uno y otro dominio, ios cuales deberán av.sar*: dciimo sión á la corona. Se l…</t>
  </si>
  <si>
    <t>…ensible es cuando nos hallamos en circuns vienen en los dc-pi sitos de quintos, y sin ella no puedo aprobarlo. tancias las mas críricas que tengan las Cortes que perder un tiem El Sr. Becerra: Las impugnaciones que se han hecho hasta po precioso en discutir los medios dé castigar á estos ¡lusos; sin ahora ai proyecto no son verdaderamente impugnaciones, porque embargo el mal es por desgracia demasiado, y las Cortes están todo lo que se ha dicho co…</t>
  </si>
  <si>
    <t>…y patrullas lo detallado.™ causas que han impedido su entera ejecución. Hospital y provisiones la Reír.*—Guardia al Congreso v ar A la de Guerra se pasó un artículo adicional del Sr. Becerra chivo la milicia nacional local—Teatro esta noche a las siete y</t>
  </si>
  <si>
    <t>…uto que sirva su plaza, ó para indemnizar al nú de si ios padres han sido cómplices en la deserción de los hijos. mero que siga que vaya á servir en su lugar. En el caso de que El Sr. Becerra : Me parece que este arf culo ha ariarmado deJos prófugos no tengan bienes propios satisfarán la misma canti mas.ado: no c-s contrario al art. 305 de la Consf tucion como dad los padres de aquellos.” han creído algunos Sres. diputados , porque este arfado hab…</t>
  </si>
  <si>
    <t>…a tan horrible, á los que se sometiesen á tal suya como nuestra , algún dia le pesará. Respecto de lo que diée catástrofe, otro consuelo que el de esta declaración; en ella que el Sr. Becerra , suplicaré á S. -S. tenga la bondad de suspender la darla un monumento eterno, solemne, autógrafo, déla justicia Je id;a que lia propuesto. Las asambleas legislativas hablan todos los nuestra causa, y últimamente serviría para que los hombres con días en sus…</t>
  </si>
  <si>
    <t>…anto contribuyeron á sus restauración, Se leyeron y mandaron pasar á la comisión de Hacienda tres y en recompensa de los sacrificios que hicieron por su casa les proposiciones del Sr. Becerra, relativas á que las Cortes declaren envía un ejército á asolar su país, y á imponerles ei yugo de 5a que cualquier particular ó particulares que quieran prestar dinero mas intolerable esclavitud. a los generales en gefe de los ejércitos de operaciones para a…</t>
  </si>
  <si>
    <t>…bido mucho de precio en todo el país de aranceles, resultarían sucesos desagradables. que ocupan los franceses á causa de los grandes acopios que van Contestó á la observación del Sr. Becerra sobre que se faculte haciendo___Al general Ballesteros no le molestan de cerca en su á las audiencias para interpretar las leyes, que esto era para un prudente retirada. caso de absoluta necesidad; y concluyó pidiendo á las Cortes apro Dicen que el 16 de Abri…</t>
  </si>
  <si>
    <t>…tanto Villalobos ha admitido el mando de las guerrillas de la pro no juzgo de absoluta necesidad la publicación del manifiesto. vincia de Almería. Respecto, de lo que ha dicho el Sr. Becerra, suplicaré á Granada 26 de Abril. S. S. tenga la bondad de suspender la idea oue ha propuesto. Las La invasión infame de los eternos enemigos del nombre es asambleas legislativas en sus sesiones hablan todos los dias á la pañol ha excitado en esta capital el…</t>
  </si>
  <si>
    <t>…ario de la Gobernación de la Península conti siguientes: nuó Ja lectura de su memoria. 1. a Ningún español podrá usar de decoración ni distinción Se leyeron tres proposiciones del Sr. Becerra, reducidas á francesa ni que establezca el gobierno invasor, de ninguna clase que las Cortes declaren que cualquier particular ó particulares ni naturaleza, bajo las penas de ser declarado indigno de perte que quieran prestar dinero á los generales en gefe de…</t>
  </si>
  <si>
    <t>…ientemente discutido. El Sr. Aiiion pecial. pidió la lectura del articulo 6 o de la ley de r.° de Octubre de Se continuó la lectura de la memoria del Sr. secretario de 1820 , y el Sr. Becerra c! título á que correspondía ; y habién Gracia v Justicia , la cual se suspendió, y el Sr. presidente senadose leido , se votó el dictamen , y quedo aprobado. n. Ico aituntos que debían dncutuse en la sesión de mañana , y le Se procedió en seguida á la discus…</t>
  </si>
  <si>
    <t>…Cortes renuncian para siempre á toda industria fa cusión alguna, á excepción del que recaía sobre una adición del bril en la Península, ó es indispensable que subsistan las leyes Sr. Becerra, quedcciaasi: «La presidencia-dela diputación provin que la protejen. Si lo primero, es necesario por el mismo decoro cial recaerá en el individuo mas antiguo, no jien.io tdesiastuü.” del Congreso que con la misma publicidad que se establecieron Los Sres. Bue…</t>
  </si>
  <si>
    <t>…a á si por haberse extinguido los monas pidió la lectura del art. ó.° de la ley de i.° de Octubre de 1820, terios pertenecen los monges al estado secular ó al regular. Cir~ - y el Sr. Becerra el título á que correspondía; y habiéndose- Leí tamente que no podrá sostener el Sr. preopinante que por el me do, se votó el dictamen y quedó aprobado. ro acto de salir de los conventos no se consideran ya corno re Se procedió en seguida á la discusión del d…</t>
  </si>
  <si>
    <t>…para aquellos individuos de cuyo servicio permanente es Dicha comisión presentó su dictamen sobre una adición del té seguro el general en gefe; el 4.0 tampoco lo creia necesario; Sr. Becerra al art. ó-° del decreto sobre repartimiento de contri y el 5.0 opinaba que debia aprobarse. buciones, para que después de las palabras «cargas municipales” El art. t.° que .proponía el referido general, y que la comisión se añada »v personales;” y opinaba que…</t>
  </si>
  <si>
    <t>…modifica ingenieros, i cuyo efecto se hallará este en las casas de aquel á las ción que se haga en el artículo podrán evitarse estas dificultades. cinco de la tarde.zrLeglisa. El Sr. Becerra: El articulo dice que los compradores de es tos bienes no tienen título ni tampoco posesión. Luego hay un te Hemos recibido periódicos ingleses, que alcanzan hasta i.° del nedor de bienes sin título ni posesión ; y qué es este sino un de- corriente inclusive…</t>
  </si>
  <si>
    <t>…nech é Infante. con arreglo á la ley dicha, sin admitir al comprador la alegación Se mandó pasar á esta comisión la siguiente proposición del del derecho de posesión por ser nula. Sr. Becerra: » Pido que la comisión que acaba de nombrarse to El Sr. Isturiz: Yo quisiera que en el artículo se expresase me también en consideración el importante servicio que hecho que los compradores de los bienes de que se trata eran detentó el segundo ejército de op…</t>
  </si>
  <si>
    <t>…sistir que se accediese á la conseguir. publicación por las Cortes de un manifiesto que propuso mi ami La Francia halló en la fiebre, amarilla del aro de 1821 un go y compañero el Sr. Becerra, preciso es que en esta parte no oportuno , aunque frívolo pvetesto, para formar su coreen sani me desentienda absolutamente de ios deseos del Sr. Soria. Debo tario: digo frivolo, señores , porque como la cornis.on asesina también hacer presente que la comisi…</t>
  </si>
  <si>
    <t>…ctamen de la comisión de Hacienda so Sction del día 26'. bre el presupuesto de gastos de este ramo. Se mandó imprimir. Se leyó y quedó aprobada el acta de la anterior, mandándo El Sr. Becerra pidió la palabra, y manifestó que en el af o se agregar á ella varios votos particulares. pasado se acordó por las Cortes que el Gobierno imprimiese las A la comisión de Hacienda se mandó pasar un oficio del se memorias , y asi se verificó entonces; pero que…</t>
  </si>
  <si>
    <t>…te suspendió esta discusión para continuarla añadiendo al final , teje brando para ella ¡os acuerdos conoeniert/i. mañana, y levantó ia sesión pública para quedar las Cortes en El Sr. Becerra dijo, que la comisión convenia en suprimir secreta. las palabras celebrarán atétenlos. . El Sr. Navarro Tejeiro expuso, que cuando se nombraban Sesión del i.° ele Junio. los individuos de las diputaciones provinciales se nombraban tam Se leyó y quedó aprobada…</t>
  </si>
  <si>
    <t>…dían declarar que pueden obtener tier El Sr. Isturiz: Por mas que se chita no puede destruirse Ir» ras de bald'os los Vecinos casados que no teniéndolas propias po que ha dicho el Sr. Becerra. Ante todo es preciso que no :io- en seen las de sus tnugeres. Aprobado. videmos en Sevilla de los sentimientos que nos ata.marón en .MiLa comisión segunda Eclesiástica, atendida la exposición de drid al decretar el reemplazo extraordinario: en aquella época…</t>
  </si>
  <si>
    <t>…e aquella ciudad, op.naba que accediendo más informes que produjo la discusión de aquel decreto. Jas Cortes á esta solicitud se sirviesen declarar por punto general A petición del Sr. Becerra se ¡evo dicho decreto , y en segui que los individuos de los consulados, no siendo ele nombramien da quedaron aprobadas las proposiciones. to Real, no están inhabilitados para obtener el encargo de dipu Se mando pasar á ia comisión de Visita del Crédito públi…</t>
  </si>
  <si>
    <t>…e la totalidad. tiempo de la votación, sino al tiempo de formar el cómputo de Se aprobó el artículo t.° (Véase la sesión de ayer.) Jos votos. Se leyó cí 2(Véase dicha sesión.) bil Sr. Becerra fue de parecer que no había motivo de duda, El Sr. Somoza dijo: Me causa verdaderamente escándalo que y que por lo mismo no debía aprobarse este dictamen , porque de para solo las r ticinas de la córtese necesiten 208 empleados tu h, contrario solo se loaraba…</t>
  </si>
  <si>
    <t>…z contesto que esta observación hubiera vertido bien en ia d sais on Je ia e.ir.r.JuJ que se había de ex:_.r : p.ro Sevilla 7 de Junio. OC ahora que estaba ya aprobada. COATES. El Sr. Becerra man fest* , que puesto que el objeto de- la pro posición era ei que $e proceu.esc , ¡a ,, scus on ce io» £iU!.r-.-s de PRESIDENCIA DEL SESOR JENER. qu. trataba s n a.uardar a que se .mpi.m.eran ios c.;t n.e-nes, Sesión del Jia 7. desearía que ¡o xespect.vo a…</t>
  </si>
  <si>
    <t>…que si los pueblos ocupados por los agricultura; pero entre tant© que no haya un equivalente me enemigos recibian mal esta medida , como había expresado el opongo á su abolición. Sr. Becerra , también asistirían el pago de las contribuciones; El Sr. Cano: La comisión para fijar su dictamen no ha pero que por lo demas la comisión no tenia inconveniente en perdido ni ha podido perder nunca de vista el ínteres del labrador: adoptar aquellas modifica…</t>
  </si>
  <si>
    <t>…ítimo, que es la fuerza , y otro legí El art. 3.0 lo retiró la comisión para redactarlo de nuevo á timo que es la voluntad general expresa ó tácita: por esta voluntad petición del Sr. Becerra. general estábamos nosotros aqui como repiesentantes de ella: pe El 4.0 quedó aprobado. ro si la fuerza es superior, ¿ intenta oprimirnos ó&gt; aniquilarnos, La comisión primera de Hacienda proponía que el servicio necesario es que cedamos á su fatal imperio. De…</t>
  </si>
  <si>
    <t>…ra conti servo que S. M. nombró nuevo ministerio , según está en sus nuar el repartimiento de propios y baldíos. facultades, y que autorizó á V. E. para que poniéndose de acuer El Sr. Becerra : Ni lia tratado con dureza á la diputación de do con sus compañeros tomásemos las providencias que creyé Sevilla, ni podía elogiar sus disposiciones con respecto al cumpli semos necesarias : esto es, se trata de una comisión distinta que miento del decreto d…</t>
  </si>
  <si>
    <t>…resuelto so Habiéndose declarado el artículo suficientemente discutido que bre la 2.a parte del artículo 2.0, y al 3.0 del decreto 2.0 dó aprobado con !a variación adoptada por el Sr. Becerra en A petición de varios señores diputados se vetó el dictamen de Hombre de la comisión. la comisión sobre la primera medida propuesta por el Gob.erno, Habiendo anunciado el Sr. presidente que se suspendía esta relativa á la suspensión de la ley orgánica del e…</t>
  </si>
  <si>
    <t>…tes por someterse muchos neeoco» ai co del código penal. nocimiento y decisión de estos tribunales especiales. ~ 6. ° De las facciones, parcialidades , y de las confederaciones El Sr. Becerra contestó , que la impugnacon que acababa de y reuniones prohibidas, de que tratan los artículos 315,, 316, hacerse no era contra Ja total.dad del dictamen , sino contra al 317, 318 y 319 del codigo peml. gunos de sus artículos, pues que no impugnaba el Sr. pr…</t>
  </si>
  <si>
    <t>…s prescritas en ia Constitución , debia declararse haber- ios artículos anteriores. lugar á votar en la totalidad. Si algo tiene de malo este artículo es que no es contra deter El Sr. Becerra observó que no habiéndose comunicado al Go minados objetos-, pero prescindamos de esto: se trata solamente bierno la resolución de las G'rtes de ícf de Junio último , relati de delitos contra cL sistema constitucional , y puede acontecer el va haber llegado e…</t>
  </si>
  <si>
    <t>…aprobarse el dictamen presentado por la comi para ellos que su vida. Si los Borbones, es decir, si el partido sión. inicuo que domina en Francia (porque los nombres en estos ca El Sr. Becerra dijo que ante todo quería saber si la comisión sos nada significan) leyese la Constitución de España, en ella veria habia oido al Gobierno ¿obre el particular. que el trono c&lt;n&lt;iit’.i¡nna¡ está vinculado en los Borbones, y Habiendo contestado el Sr. Moreno qu…</t>
  </si>
  <si>
    <t>…para ejercer este cargo, se suscitó una entregados al que le mandó hacer la impresión , quedará aquel su li gera discusión. jeto á la pena establecida en el art. B.° Aprobado. El Sr. Becerra fue de parecer que siendo el Sr. Zulueta pre Art. n. El dueño de una obra deberá avisar por medio de sidente de las Cortes no debia ponerse á ¡a disposición dei Go la gaceta las señas mas marcadas de la ediccion contrahecha; y el bierno , como de hecho lo est…</t>
  </si>
  <si>
    <t>…ecreto de desde el momento en que deje de ser presidente de las Cortes.” 27 del mes de Junio próximo pasado , las que aunque no se Quedó aprobada añadiendo al final á petición del Sr. Becerra » y. Compongan de individuo alguno de elección popular, usaián de sin perjuicio de las funciones de diputado.” las facultades concedidas á las juntas auxiliares de defensa nacio A la comisión de Libertad de imprenta se mandaron pasar nal en el decreto de las…</t>
  </si>
  <si>
    <t>1</t>
  </si>
  <si>
    <t>…sido muy funesto para ios pueblos, y tal será necesario el cumplimiento de lo acordado por las Ci tu» í vez la causa del clamor general que hoy se observa , dimanado petición del Sr. Becerra , relativo á la substitución dei año na de lo» inconvenientes que trae consigo, pues resultaba siempre tural. que mientras las Cortes comunican al Gobierno el resultado de Habiéndose declarado el dictamen bastantemente discutido ,a las contribuciones, éste á…</t>
  </si>
  <si>
    <t>…conformes á lo acordado por tículo i.° Quinta: Se clasificarán como corrientes las liquidacio las Cortes. - : ■ nes hechas sobre recibos dados por los factores de provis ones, El Sr. Becerra leyó el dictamen de la- comisión de Diputa por los intendentes1, y comisarios de guerra. Sexta : El perjuicio ciones provinciales , sobre el modo de llevar á efecto el decreto que resultare de las certificaciones que dimanadas de justificacio de 2 3 de Noviem…</t>
  </si>
  <si>
    <t>…a fuese de,siete, y las cualidades que absoluto (Federico it) conducirse por principios enteramente debían tener. opuestos á este sistema de Opresión y de intolerancia; pero la El Sr. Becerra se opuso á este artículo, por no correspon magnanimidad de este Rey único tendrá pocos imitadores; por der á los reglamentos expresar el número de individuos que han que la virtud en un grado eminente es muy poco común en los de componer la corporación de que…</t>
  </si>
  <si>
    <t>…gimiento, reemplazo Je la milicia nacional activa, en atención al corto nú á fin de que le proporcione su subsistencia. mero dé mozos que hay en el; y otra del moro Relím Namet El Sr. Becerra recomendó esta solicitud, y en seguida decla Mogara , residente en Ceuta /solicitando una pension en atención raron las Cortes que habían oido con agrada los sentimientos pa á sus servicios. trióticos del interesado, y que pasase su solicitud al Gobierno Se d…</t>
  </si>
  <si>
    <t>…e Mayo hasta el 1,° de de Tarragona.—Es copia del original.zeAldama. Junio , y por suspensos desde aquel hasta la fecha en que se le re mitan los ejemplares. Cádiz 19 dt Julio. El Sr. Becerra fue de parecer que no debia aprobarse este CORTES. dictamen, porque solo quedaban á S. M. siete din-.’ para dar ó negar su sanción á la ley de que se trataba , desde que se le pre PRESIDENCIA 13EL SEÍSCR ZULUETA. sentase para este efecto. Extracto de la sesió…</t>
  </si>
  <si>
    <t>…uepo de visita del Crédito público sobre el proyecto de bases para el en la adición. arreglo del mismo establecimiento. Declarado el punto suficientemente discutido, quedó apro El Sr. Becerra. Yo deseaba se suspendiese de la discusión de bado el dictamen. este negocio , como habia manifestado el Sr. Adan; pero al va A la comisión de Guara se mandó pasar lina exposición que la comisión estaba poco dispuesta á hacerlo asi pedí la pala del comandante…</t>
  </si>
  <si>
    <t>…rtículos 140 de la Constitución riódicos?; No hay medio entre reprimirla osadía de un libe y 109 del reglamento. lista y prohibir lis escritos de un filósofo que descubre á los El Sr. Becerra contestó que aseguraba á S. S. con toda fran hombres verdades importantes á su bienestar? ¡O servilismo de— queza y buena fe , en nombre de los individuos de la Comisión, gradador de la naturaleza humana! ¡ Cuán perniciosas son tus que ni siquiera habian habl…</t>
  </si>
  <si>
    <t>Gaceta Española n.º 105</t>
  </si>
  <si>
    <t>…asta el 7.” grado inclusive La comisionóle Comercio habiendo examinado una adición te era ar.t¡-constitucional. del Sr. Zulueta al decreto sobre habilitac.on de bandera extran- El Sr. Becerra dijo que nadie podía dudar que en conocí-</t>
  </si>
  <si>
    <t>…sos de Se leyó por segunda vez y se mandó pasar á la comisión de responsabilidad , para que en vista de ellos informe si lia lugar á Visita del Crédito público una proposición del Sr. Becerra , rela exigir la responsabilidad á dicho general, como culpable de de tiva á que se dejen en poder del mismo establecimiento las canti fección ” dades necesarias para atender a las asignaciones de los monges y Se declaró comprendida esta proposición en el art…</t>
  </si>
  <si>
    <t>…de ley habría oido el d.clamen de ios abocativas comisiones una proposición del Sr. Varela , y otra del Sr. Is- gados. turlz, leída por primera vez en zg del corriente. Lo que el Sr. Becerra lia creído que es tan fácil de hacer, estov Se procedió á la discusiou del dictamen de la comisión pri yo persuadido que es muy diiicil , v ¡a experiencia me !o ha d ■mera de Hacienda sobre la propuesta de los Sres. D.rectores ge mostrado asi; pues cuando se…</t>
  </si>
  <si>
    <t>…y creo que las curando alejar los abusos que pudieran cometerse en la materia. Cortes no deben aprobarla. 8.° El Gobierno concederá las condecoraciones superio El Sr. Sánchez: El Sr. Becerra está conforme en todo, me res que reconocemos en la gerarquía civil á los generales 'que nos en que los seis primeros meses del año venidero se distribu después de haber obtenido la recompensa en fincas contrajeren yan de tres en tres meses como propone la co…</t>
  </si>
  <si>
    <t>…lo Después de una corta discusión sobre el art. i.° quedó apro evacúe y devuelva á las Córles en ocasión que estas puedan entrar bado, variando la última cláusula (á petición del Sr. Becerra) en á discutir de la materia deque se trata en la proposición, pues es estos términos : ”Para los demás auxilios, cuando no sea íacil ta no es tan limitada que no sea necesario dar.muchas reglas , las acudir, á los gefes militares de que se habla , se present…</t>
  </si>
  <si>
    <t>…Romero man testo que; habiéndose expuesto’ gundos con las pensiones que el Gobierno tuviere á bien señalarles. por el oficial nr.ivor de la secretaría la necesidad de formar un El Sr. Becerra se opuso á este artcuio, man.testando que en índice de todos los expedientes salvados en los acontecimientos de su opitiion no podía aprobarse si no se anadia a su final que !a Sevilla, Ja secretaría ¡o consideraba conveliente , y que se hiciese concesión de…</t>
  </si>
  <si>
    <t>Becerra, Alvaro Gómez</t>
  </si>
  <si>
    <t>Alvaro Gómez Becerra</t>
  </si>
  <si>
    <t>…s y gefes á lo prevenido en los artículos 30,31,32, individuos de la Diputación permanente de Cortes :i ¡os sen. es 33 , 34 y 33 del mismo cap tulo, y.á lo que previniere el regla D. Alvaro Gómez Becerra, diputado por la provincia de Ex!: cmento de hospitales. Art. 15. En los.mismos términos se aten madura; D. Tomas Jener, que loes por h de la Hilvana; Don día ; los consultores de cirujía en lo relativo á su facultad á lo que francisco Javier Isturiz, por la…</t>
  </si>
  <si>
    <t>…justificativos de los pagos en la forma y bajo S. M. en 5 del mismo , y han elegido para su presidente al señor las penas que en el citado art. 2.0 se previenen. (5V continuará. ) D. Alvaro Gómez Becerra, diputado por la provincia de Extre madura; para vice-presidenio ai Sr. D. Antonio González Don Juan de Fuentes, teniente de escribano mayor del tribu Aguirre, que lo es por la de Sevilla; y para secretarios á los se nal del Consulado nacional de comercio de…</t>
  </si>
  <si>
    <t>Becerra, Ciomcz</t>
  </si>
  <si>
    <t>Ciomcz Becerra</t>
  </si>
  <si>
    <t>…asta ahora por personas que sepa el Gobierno haberse pa l)ui las Cortes desaprobar el dictamen de la cotnision. sado al servicio riel enemieo, o quedasen bago su eom.nacion s.n El Sr. Ciomcz Becerra : Tan sensible me es el que no se ad justa causa. mita en el congreso á un Sr. diputado, que en vista del dictamen Art. 2.0 Declárame también desiertas y vacante» desde el de la comisión me dediqué á examinar el expediente con la ¡¿a día 16 de Agosto próximo,…</t>
  </si>
  <si>
    <t>Becerra, Gobiez</t>
  </si>
  <si>
    <t>Gobiez Becerra</t>
  </si>
  <si>
    <t>…mi entender debe ser opinante acerca del pueb'o en que debí cons.drratse como residente la de certificado. el mozo para el efecto d;l alistamiento, S. S. habrá observado que la El Sr. Gobiez Becerra; La cotnision no halla inconveniente en comisión no habla nada de residencia, sino del hecho de hallarse allí si sustituir á la palabra testimonio la d : certificado. Tampoco le halla en mozo ei dia 1/ de Enero del año. que el certificado comprenda los partic…</t>
  </si>
  <si>
    <t>Becerra, Gómez</t>
  </si>
  <si>
    <t>Gómez Becerra</t>
  </si>
  <si>
    <t>…e 31 de z lo , d-ciciaron que se complzt.iseti los batallones de ia milicia tracio- Octubre. xva. act-n, que deben constar de H7O hombres; pero las Cortes, ai dispo A p ticion d.t Sr. Gómez Becerra se leyó el art. -f.L’ del decreto de ner el modo de hacer este sacrificio , deben ser muy circunspectas y de 31 d ■ Ocluiré-. ten das para que en su egecucion haya los menores inconveniente» po- El Sr. Infante manifestó que la comisión fto tendrin inconvenien…</t>
  </si>
  <si>
    <t>…ntes para arreglarlos confor El Sr. Oíiver: Ha dicho el Sr. preopinante qu- se Causa ur grava me á ella. men al mozo que se incluye en ei sorteo de dos pu-*b va , porque si fio El Sr. Gómez Becerra: El Sr. preopinante ha supuesto que todas le toca servir en el número que saque en un pueblo', le podrí toc*r en las reclamaciones se reservaban pura después de egreutado el sorteo: es el de otro; pero a mi entender no es esta -a idea de la comisión, por ta e…</t>
  </si>
  <si>
    <t>…uido ó excluido los redacción del diario de Cortas, y teniendo prívente lo expuesto por la que no debían.” contaduría, opinaba que no d&lt;bia consideiarsc 4 Cenad 1 como director El Sr. Gómez Becerra contestó que la -.emisión no tenía ningún de la redacción , porque había retardado el tiempo de su vuelta después inconveniente en suprimir las palabra' . por regla general,” puesto de cumplido el plazo déla licencia que tenia y próroga que se le dio; y que s…</t>
  </si>
  <si>
    <t>Dil ayuntamiento de Talavcr* de la Reina: de los voluntarios nacio El Sr. Gómez Becerra: Yo hab:á previsto que este artículo sufriría nales de la misma : del administrador é interventor de rentas estancadis impugnación, y convengo desde luego en la teoría que ha manifesta de Eadajoz: de ¡a milicia nacional voluntaria de Guadalupe: de los cm- do…</t>
  </si>
  <si>
    <t>…abrá dificultad en apro ■ Hemos recibido periódicos de Cataluña que alcanzan hasta el 25 bar el dictamen. deEnero. El Indicador Catatan, refiriéndose á noticias q^e ha recibido Ei Sr. Gómez Becerra: Algunos Síes, diputados se empeñan en de su corresponsal de Francia, dice que la regencia de Urgeí ya finó, que la comisión ha debido proponer otros medios que los que ha' que habiéndose juntado en la posada del apóstata Cr-.us (en Tolosa) los propuesto-, pe…</t>
  </si>
  <si>
    <t>…pa. Pero nq éy.esta la cuestión, y jeto que !a Nación se propone de coas;evar su independencia y libetvad. por In mismo no nos queda cuas recurso que el de entregarnos á le dis El Sr. Gómez Becerra: Yo deseaba que sobré este asunto se hablu creción absoluta drl Rey, segun.se ños ha intimado desde París, ó fl is mucho para poner la cuestión bajo su verdadero punto de de aceptar la guerra; no hay, 0^0 medio, y la elección no es dudosa. pero no en el senti…</t>
  </si>
  <si>
    <t>…tallones ó escuadrones.” La segunda parte de i* quedó aprobado por unanimidad. pr oposición se mandó pasar á una comisión especial. Se leyó en seguida la siguiente proposición del Sr. Gómez Becerra. Se leyó un oficio del Sr. presidente del tribunal de Cortes, acompa nEn las circunstancias en que se halla la España , próxima á sufrir una ñando la dimisión que habia hecho D. Vicente Pedros* del encar ¿o de re invasión axtrantera , al paso que se necesitan…</t>
  </si>
  <si>
    <t>…en primer escrutinio salió electo el se Números. Premios. Administraciones. ñor Gastejoñ por 8p votos de 9Ó de total; teniendo tres el Sr. Neira, tres ei Sr. Marchámalo, y uno el Sr. Gómez Becerra. 5131...... lóooo duros.............. En Madrid. En segunda votación salió electo cl Sr. Gómez Becerra por 90 votos 135...... 8000......................... En Idem. de98 de total; teniendo cuatro el Sr. Marchámalo, dos el Sr. Viilaboa, 12839...... xooo.......…</t>
  </si>
  <si>
    <t>…usar del derecho que crea asistirle; con apercibimiento de que pasado sin Ramírez Arel limo y Arguelles. haberlo verificado, le parará el perjuicio que haya lugar. Para fiscal el Sr. Gómez Becerra. ANUNCIOS. El Sr. presidente enunció que mañana continuaría la discusión pen diente sobre los milicianos que vayan á Sevilla acompañando á las Cortes y C5ufa del estado eclesiástico seglar y regular de las Españas para el al Gobierno, el dictamen de la comisi…</t>
  </si>
  <si>
    <t>…ciro español, alas impertérritas mil cas Se leyó el dictamen de Ja misma comisión acerca de la proposición Racionales, que al primer momento en que son llamadas se presentan á del Sr. Gómez Becerra, relativo al modo de auxiliar á les milicianos vo eontrarestar los enemigos de la patria, y á los beneméritos cudadanos luntarios de los pueblos que fuesen invadidos. Quedó sobre ta mesa. que á la primera llamada empuñan las armas para vengar los ultrajes co…</t>
  </si>
  <si>
    <t>…solo trataba del Se procedió -á discutir el dictamen de la comisión de Guerra acerca de caso en que un pueblo se viese invadido de enemigos exteriores, y no de la proposición del Sr. Gómez Becerra sobre los auxilios que deben darse á enemigos interiores. los milicianos de los pueblos invadidos ó amenazados por enemigos exte El Sr. Infante expuso que los enemigos interiores ó los facciosos que riores. se uniesen á los enemigos extrangeros para hacernos…</t>
  </si>
  <si>
    <t>…ias principales , es decir aquellas saria para el cumplimiento de su encargo.” que puedan desplegar mayores medios paia sostener las pretensiones con Se aprobó una proposición del Sr. Gómez Becerra , dirigida i que que se insinúen , ss entiendan al fin entre sí, abandonando sus respecti la comisión de Hacienda vea si es conveniente suprimir el llamado año vas apadrinadas, y mirando las pretensiones de estas, por justas qua económico, substituyéndole el…</t>
  </si>
  <si>
    <t>…se sir Se leyó y se mandó quedase sobre !a mesa el dictamen de la co van lomar en consideración un punto de tanta trascendencia , y nom misión ds Hacienda sobre la proposición del Sr. Gómez Becerra , re bren una comisión especial que proponga ai Congreso medios para evi lativa á que se suprima el año económico , y s* acomode este al civil, tar que en adelante se publiquen papeles de esta clase.” ía cual opinaba que las Cortes podían servirse aprobar ¡a…</t>
  </si>
  <si>
    <t>…eclaró comprendida en el art. 100 del reglamento, y se tienen las Cortes por ver el expediente. admitió á discusión. Se declaró el asunto suficientemente discutido, y quedó des El Sr. Gómez Becerra: Veo que la Constitución da al Rey aprobada la proposición. la facultad de declarar la guerra y ratificar ¡a paz, y que añada Las Cortes quedaron enteradas de dos oficios del Sr. secreta después di.ndo cuenta documentada á ¡as Cortes ; pero este ca rio del De…</t>
  </si>
  <si>
    <t>…Ce. formar partidas de guerrillas, y que los mismos serán los inspec tores de ellas en sus mismas provincias, cuidando de facilitarles Arfculos 3.0, 4-v y 5.0 fueron aprobados. El Sr. Gómez Becerra : Según el sentido de este proyecto , y pasaportes.. Dice el Sr. Murfi que puede suceder que en una acción pier particularmente de los art culos primeros, trátase de formar par tidas de guerrillas en todas las provincias; y aquí se hace una dis da el comandan…</t>
  </si>
  <si>
    <t>…ana debe celebrarse consejo putación de las Corles que había ido a! Real palacio daba cuenta de guerra ordinario en las casas y bajo la presidencia de! coronel de su encargo; y el Sr. Gómez Becerra, como presidente de ella, vivo D. Andrés Girón , que vive en la plazuela de la Ravcta</t>
  </si>
  <si>
    <t>…s, si para tener con la perentoriedad que re Se declaró) ser primera lectura la que se hizo de una propo daman las circunstancias cuantos avisos merezcan comunicárseme, sición del Sr. Gómez Becerra para que se entienda por tiempo y puedan contribuir á normar mis ulteriores operaciones. indefinido la proroga del término ele un año que se concedió» en «Murcianos, tranquilidad y valor , con ello no solo dejareis el reglamento para la M. N. L. , á fin de qu…</t>
  </si>
  <si>
    <t>…víen , no puedo menos de apoyarle, atendida la situación en que hacerse Ja guerra sin leyes duras y terribles, de lo contrar.o la nos hallamos. patria no se salva. A petición del Sr. Gómez Becerra se leyeron los artículos Ha tratado el Sr. preopinante de demostrar que este artículo 31 y gó de la ley orgánica de la milicia activa y eL 27 de la es injurioso é insuficiente , fundándose principalmente en que constitutiva del ejérc’to. quedan impunes los de…</t>
  </si>
  <si>
    <t>…pasase á una comisión, tos que desempeñan el ministerio, y me consta y sé muy bien que y esta diese su dictamen. el mayor martirio que habría para ellos seria el que las Cortes El Sr. Gómez Becerra: La proposición del Sr. Riego puede adoptasen las ideas propuestas por el Sr. Salva, porque desean considerarse como una exposición que hace á las Cortes, y como abandonar sus destinos ; y asi yo ruego á las Cortes tomen en con tal pasar á una comisión; pero…</t>
  </si>
  <si>
    <t>…adas ó desaprobadas por Gobierno calla será porque r.o t ene razones convincentes parí las Cortes sin otro examen. hablar Preciso es pues hablar, mayormente cuándo esa farsa de El Sr. Gómez Becerra : No solo estoy conforme con los sen Verona prueba o poca s;r.cer!dad, ó que no está bien instruida de timientos é ideas manifestadas por el Sr. Munarriz , sino que nuestros negocios: se suporra una verdadera guerra civil entre no creo de absoluta necesidad q…</t>
  </si>
  <si>
    <t>…s tan vanos como indecorosos. A la restauración del Se declaró primera lectura la que se hizo de una proposi sistema constitucional en el imperio español le dan el nombre ción del Sr. Gómez Becerra para que se entienda por tiempo de insurrección militar; á mi aceptación llaman violencia; á mi indefinido, hasta que las Cortes resuelvan otea cosa , la próroga adhesión cautiverio; facción en fin á las Cortes y al Gobierno, del término de un año para que pu…</t>
  </si>
  <si>
    <t>…on que siendo regular profeso antes de la publicación de la A la comisión de Ultramar se mandaron pasar dos adiciones ley de 25 de Octubre de 2820 debe ser promovido á órdenes del Sr. Gómez Becerra a los artículos 1277 139 de la orde mayores, y examinado de cura animarum. nanza para el gobierno político-económico de las provinc-as de El Sr. LLuiz de la Vega hizo presente á las Cortes que este Ultramar. interesado por su adhesión al sistema se halla pers…</t>
  </si>
  <si>
    <t>…provincia puedan proveerse Ei Sr. Romero: Ademas de los inconvenientes que ofrece el de armas del extranjero, abonando el Gobierno su importe artículo, como lo ha demostrado ya el Sr. Gómez Becerra, tiene A la comisión encargada dri reglamento político económico otro , cual es el que la expresión a,s, on^eptuu-o no se sabe sobre de las provincias de Ultramar se paso una adición del Sr. Soinoque recae; de modo que está tan general, que podría suceder que…</t>
  </si>
  <si>
    <t>…suyo muy pacíficos, y no podrá alterarse la tranquili ticia. S. esto es malo, yo no encuentro la razón por qué. dad pública por la suspensión de cualquier empleado en estos ra El Sr. Gómez Becerra: El artículo en los términos que está mos! pero el exigirse una información sumaria supone uno de concebido no puede producir el fin que se lian propuesto los se aquellos delitos públicos , que cometidos están ya suficientemen ñores de la comisión. El exije p…</t>
  </si>
  <si>
    <t>…badas ó considerar si habían de separarse de una vez de 1a cuestión (en desaprobadas por ks Cortes sin otro examen. tre Francia y España), mirándola con total indiferencia. Nun El Sr. Gómez Becerra: No solo estoy conforme con lo* ca pudieran tenerla dijo respecto á los asuntos de España; y que sentimientos manifestados por el Sr. Munárriz, sino que creí» deseaba sinceramente saliese triunfante de esta contienda, como de absoluta necesidad el que se haga…</t>
  </si>
  <si>
    <t>…n que los ex-monges y regulares no deben tener vo co auxilie á la tesorería general con el importe del azogue, plomo to en las elecciones. y otros géneros. Se leyó, á petición del Sr. Gómez Becerra, el decreto de 14 Asimismo se halló conforme la minuta de decreto revisada de Junio de 1813, y á petición de otro Sr. diputado la orden de por la comisión de Corrección de estilo, autorizando del modo 2a de Agosto de 1820. mas amplío al Gobierno para que los…</t>
  </si>
  <si>
    <t>…l general William Julián Lithl, teniente co tos de la guerra, y el de la misma comisión sobre las proposi ronel del estado mayor, y John Erskine, capitán , ambos en cia ciones del Sr. Gómez Becerra, leidos en la sesión del dia 2 , so se de sus ayudantes de campo; y ademas Antonio Adolfo Mnr- bre los recursos extraordinarios que se deben conceder al Go bot, coronel de caballería y estado mayor; Carlos Tomas, alfé bierno para mantener el egército. rez de…</t>
  </si>
  <si>
    <t>…ara sostener la guer Se procedió ¡í la discusión del dictamen de la comisión de ra que tan injustamente nos hace la Francia, se apliquen ínte Hacienda sobré unas proposiciones del Sr. Gómez Becerra. gras á los gastos de ella todas las rentas procedentes de las fincas Leído este dictamen, se declaró haber lugar á votar en stt rurales y urbanas del clero secular, exceptuándose las casas rec totalidad. i torales y los palacios de los muy RR. arzobispos y R…</t>
  </si>
  <si>
    <t>…us ñol sin ser Gobierno extranjero. Con la modificación que he delitos conforme al Código penal. propuesto aprobaré el artículo. Después de una ligera discusión quedó aprobado. El Sr. Gómez Becerra • La comisión cree conveniente que Art. 2.0 Serán ocupados y administrados por el Estado los después de las palabras «todos los españoles que después de dicha bienes sitos en país, libre de los españoles y extranjeros que se época hubiesen obten.do” se a.;ada…</t>
  </si>
  <si>
    <t>…en tener vo tado esperando que volverán otra vez a¡ convento. Esta espe ta en las elecciones. ranza me parece será nula , y que Jes sucederá como á muí aos Se leyó, á petición del Sr. Gómez Becerra , el decreto de 14 hombres que se alimentan de esperanzas quiméricas. ¡de-junio de iSig-, y .á petición de otro Sr. diputado la orden El br. Prado: Antes que las Cortes declarasen que los regu de 2 1 de Agosto de 1820. lares secularizados tuviesen voto activa…</t>
  </si>
  <si>
    <t>…. Ca nos de negar esta, porque considerada 1a. cuesten como ella es en sas por haberse anticipado en manifestar una idea que&gt;está confor sí, es muy otra de la que ha presentado el Sr. Gómez Becerra. Bajo me con mi opimon , esto es, que las Cortes no deben tratar de el aspecto económico no se puede conceder esta pensión, porque esto en las actuales circunstancias; por lo tanto les rogaría decla son evidentes las escaseces del erario nacional; y bajo el a…</t>
  </si>
  <si>
    <t>…ma comisión opinaba debía pasar al Gobierno una ex diendo la causa de la Nación s.n i.aliarse en e-i ejercito. posición de los individuos de la universidad de Oviedo , pidiendo El Sr. Gómez Becerra contesto que la comisión se confor una rebaja de cursos y la permuta de un curso de cánones por maba con esta propuesta. otro de leyes. Aprobado. El Sr. secretario del Despacho de G racia y Justicia ; Me ha La propia comisión era de parecer que podía acceders…</t>
  </si>
  <si>
    <t>…piadosos, que era pa — De Cádiz con fecha del 20 dicen: «El navio y la lragata fran ra lo que se congregaban. ceses cruzan en el cuarto cuadrante----Va en vuelta de la costa di El Sr. Gómez Becerra hizo presente que nada tenia que ver poniente una polacra inglesa que parlamentó con el navio.” el artículo del código penal que habia citado el Sr. Falcó con el — De Salamanca con fecha del 1 o escriben lo siguiente : « Se dis que se discutía, en el cual se…</t>
  </si>
  <si>
    <t>…za que habrá en habilitar lo» se r¡ ¡nlin fo: he aquí ¡a razón por que la comisión ha considerado llos nuevos. que debe hacerse esta aclaración en favor de la clase industrial. El Sr. Gómez Becerra contestó 'á la dificultad del Sr. pre También responderé á la impugnación que el br. Alonso ha he- opinante , que el Gobierno , que es quien ha propuesto la adopción rilo, no á la cornisón sino al Gobierno, en lo que dice relación de nuevos sellos, sabrá ya e…</t>
  </si>
  <si>
    <t>…ovinciales cuando no estuviese completo el número de mandaron pasar á las respectivas comisiones. sus individuos. Se procedió á la elección de presidente , vice-presidente y un El Sr. Gómez Becerra contestó que un suplente no tenia secretario. ningún carácter legal hasta ser llamado por las Cortes ó por la En la primera votación para presidente no hubo elección, ha diputación provincial respectiva , y este llamamiento no’podia ve biendo tenido 51 votos…</t>
  </si>
  <si>
    <t>…sorteo Que la diputación provincial de Logroño, usando de las facul Jos magistrados y los -consejeros de Estado. tadas concedidas por la ordenanza de la M. N. L. señale las pen El Sr. Gómez Becerra: EL art. 4.0 dei decreto de 8 de Fe siones que deban gozar las viudas, hijas ó hijos menores ó pa brero de este año expresa terminantemente las ciases que están ex dres, sin perjuicio de recurrir á las Cortes para lo ‘que estime cluidas del reemplazo , en las…</t>
  </si>
  <si>
    <t>…na economá. Por Lo tanto me opongo al gar al delincuente. Por lo tanto el art. 73 de la Constitución, dictamen. aunque habla de escrutinio secreto r.o da á entender que este se El Sr. Gómez Becerra : Cualquiera que sea la importancia de creto sea absoluto, antes por el contrario autoriza el único la posición de la isla de Menorca , ni por razón de la riqueza, ni medio de llevar á efecto la disposición contenida en el art. 51 por Ja de política , ni por…</t>
  </si>
  <si>
    <t>…por lo mismo que debe negas.de grano, ¡es ó no socorrido! Creo que nadie ló dudará, y admitirse por las Cortes. 5 0 no veo la tiranía que tanto ha decantado el Sr. Afonzo; pues El Sr. Gómez Becerra: La comisión en su dictamen se ha respecto del que paga á su tiempo las deudas que tiene en favor propuesto dos objetos importantes: primero el de d«struir los pó de pe sitos no hay caso , pues no sufre gran vejamen , y respecto sitos: segundo el de socorrer…</t>
  </si>
  <si>
    <t>…los nombres".de Jos qnp hablaron en pro y en . El Sr. Arguelles dijo que en la respuesta de contra. Se admitió á discusión. Jl. fallaba niu palabra, pues qne decía el acta que Ei Sr. Gómez Becerra impugnó la proposición , v í&gt;. M. elijo que no saldría de nr/iti, v el Sv. presiden- el Sr. Renito fue de la misma opinión que ei Sr. preo |H v de» mis SN. de !a diputación dijeron que había pinante, y concluyó diciendo que las Edites no de di fin qin» no sal…</t>
  </si>
  <si>
    <t>…rían en iguales circunstancias , según el espíritu ¿ A la comisión de Legislación se mandó pasar una proposi instrucciones que se asegura llevó al Magdalena el comandante ción del Sr. Gómez Becerra, pidiendo que la misma comisión general coronel D. Narciso López, y el de la hermosa columna presente un decreto provisional para las elecciones próximas, por que salió ei domingo por la Guagira para operar á sus ordenes. no haber sido posible realizarse la d…</t>
  </si>
  <si>
    <t>…unicaciones, y de can Se feyó también por segunda vez y se mandó pasar á la mis jear los tratados "de amistad y alianza con los poblemos del Perú, ma comisión otra proposición del Sr. Gómez Becerra , para que Chile y Buenos-A yres. se acuerde que no se discuta ningún dictamen de comisión en que El congreso peruano ha nombrado una junta á quien se lia se propongan disposiciones ó de-claraciones generales sin que el ex encargado la formación de una Consti…</t>
  </si>
  <si>
    <t>…s las reglas á que deberán sujetarse los vendedores; me fue necesario trasportar á lomo de muía hasta la v.da de M0_ sin que sirva de obstáculo el decreto de 8 de Junio de 1813 El Sr. Gómez Becerra impugno este dictamen , manifestando ( 1 ) Según los papeles públicos de Lima y cartas particulares que con él se restringía demás,ado la libertad que todos tienen de de fines de! año de idee pesa de 4^00 hombres. vender sus efectos donde les.parezca , siendo…</t>
  </si>
  <si>
    <t>…su domina biesen tomado partido con los enemigos sin necesidad de que las ción sin justa causa. Curtes acordasen esto. El Sr. secretario de Gracia y Justicia: El Sr. Romero ha El Sr. Gómez Becerra apoyó el artículo, manifestando que reducido ya su objeción contrayéndola á los empleados que sin quedaba puerta abierta para que, aun pasado el término seña serlo por el enemigo estén bajo su dominación , cuyas plazas opi lado , pudiesen justificarse de su f…</t>
  </si>
  <si>
    <t>…ensos á que se luyan hecho acreedores, y ,i los creto de las Cortes sobre esta materia. Como ha dicho muv Leen segundos se' les conceda una pensión de 4 reales diarios. Las Cor c) Sr. Gómez Becerra, se han seguido a ios pueblos infinito» tes quedaron enteradas y mandaron pasasen estos documentos á la males del establecimiento del año económico , pues sucedía siem comisión de guerra. pre que cuando se llegaba á hacer el repartimiento tenían ios eunAsimis…</t>
  </si>
  <si>
    <t>…las razones en que esta se había fundado para ques neutrales habilitados para dicho comercio. Aprobado. proponerlo ási. La misma comisión, habiéndose hecho cargo de Jas observa El Sr. Gómez Becerra insistió en que el dictamen debia li ciones propuestas por el Sr., secretario del Despacho de Hacienda mitarse á la ¡dea que había manifestado anteriormente, de que los en la sesión de 7 del corriente al discutirse el proyecto de la mis militares solo deben t…</t>
  </si>
  <si>
    <t>…consiguiente cerca de quinientas millas geográficas al naturaleza, ó en aquellos en que tengan bienes ral- ~s. O. de la costa de los Patagones, se hallo repentinarr nte rodeado El Sr. Gómez Becerra : Creo que no ha ocurrido duda algu de un gran número de ballenas, una de las cuales que era déla na para que se haga una aclaración sobre lo que se propone, por especie mas grande de estas últimas, le dió un golpe tan violento lo mismo considero no necesario…</t>
  </si>
  <si>
    <t>…a accederse á ella, La comisión convino en que se suspendiese por ahora la admitiéndose en depósito los documentos de créditos contra la discusión del artículo 5.0, á petición del Sr. Gómez Becerra, y asi se acordó.Nación, para revalidarse de segundo ayudante de Farmacia. Apro Art. 6.a Será de su obligación en caso de vacante pasarbado. La comisión de Guerra en vista de la solicitud de D. Josef inmediatamente aviso al presidente de la Academia Nacional…</t>
  </si>
  <si>
    <t>…ación y perfección de los buenos es la libertad iba á ser sofocada y extinguida en España con la misma tudios. facilidad que lo fue en la desgraciada Ñapóles y lo ha sido en PorEi Sr. Gómez Becerra manifestó que sufriría menos impug tugal, tendrán un desengaño mas cuando iieuucá su notida la re naciones en este artículo si la comisión conviniese en reducirlo á lación de las operaciones del ejército de reserva en el dia 16 del menos palabras, pues que de…</t>
  </si>
  <si>
    <t>…l decreto Parte 3.a ó buques armados............................... 74-4 52,753-26 sobre señoríos ; por todo lo cual creía que no debía aprobarse el dictamen. 140.576,62 2.-2t&gt; El Sr. Gómez Becerra contestó que se había impugnado el Se deducen por lo manifestado por la comi proyecto por el Sr. preopinante, suponiendo que tenia dos bases; sión , en su dictamen................................................. *5-395-396"10 pero que cabalmente ninguna de l…</t>
  </si>
  <si>
    <t>377</t>
  </si>
  <si>
    <t>…terias criminales [a máxima de La jurisprudencia inglesa de 821. Creo pues que no debe aprobarse el que se discute. de que vale mas que se salven diez delincuentes que hacer mo El Sr. Gómez Becerra manifestó que la comisión no estable rir á un inocente , profesaba ei principio de que es mejor ahor cía aqui un juicio petitorio, porque en realidad no lo había; y car a diez inocentes que dejar escapar á un reo. por último que asi como un decreto de las Cor…</t>
  </si>
  <si>
    <t>…uedan del año se cobre en dos veces, de la comis.on de Visita del Crédito público, el i.° sobre la pro- estoy conforme; pero r&gt;o puedo estarlo en cuanto á ¡o demás uue pos.con del Sr. Gómez Becerra, relativa á que se dejen en poder dejo manifestado, porque estoy convencido que acarreará marodei Crcd.to público las cantidades necesarias para el pago de los res inconvenientes que Jos que trajo la reducción del año civil a¡ ex-monees secularizados, y ej i.…</t>
  </si>
  <si>
    <t>…0 días de viage. A su salida de Guayaquil en circunstancias, llevando la cuenta corriente cotí el Crédito público. traba un buque del Callao, asegurando que de la expedición de El Sr. Gómez Becerra: Lo que yo propuse me parece que 3000 hombres desembarcados en Arica apenas pudieron reem era lo mas acertado , pues el Crédito público se quedaría con barcarse 300 , desarmados los mas, habiendo sido muertos, he las cantidades que fuesen necesarias para paga…</t>
  </si>
  <si>
    <t>…bajá mismo fue el promotor principal de este En la elección para primer individuo por ¡a Pen’nsuia sai... acontecimiento, porque se sabe su grande oposición á la guerra elegido el Sr. Gómez Becerra del total 103 , habiendo tcn.cU de los persas, la cual se hace con el fin de aumentar el poder de 37 el Sr. IsUiriz, 3 el Sr. Ar-riielles , y uno cada uno de ios se Ja Magnanimidad, y concluir con la sumisión del imperio turco ñores Zulueta, Domenech V Galiar…</t>
  </si>
  <si>
    <t>…uestros deberes como represen nal para introducir la discordia , sembrar la desconfianza y dividir tantes de ella. la opinión, ninguno ha producido tantos daños como el suponer El Sr. Gómez Becerra manifestó que era precisóse adiciona á Jas Cortes y al Gobierno en planes de transacion con el Go se la proposición, haciendo una declaración solemne de que nunca bierno francés; y á pesar de que las memorables sesiones de 1 r las Cortes, ni en público ni en…</t>
  </si>
  <si>
    <t>…. M. por desgracia no hace siempre lo me jor por los perversos que le aconsejan , y este ha sido también un La comisión de Legislación ha examinado la antecedente pro posición del Sr. Gómez Becerra, y le es sensible no poder pre motivo sobrado para adoptar la comisión este dictamen. Las Cór sentar el decreto con toda la extensión que en ella se desea, por tes deben siempre vigilar sobre cuales han de ser las personas que han de tener estas facultades -…</t>
  </si>
  <si>
    <t>…muchas esto, el ministerio está pronto á contestar á cuartos car.os i= ¡e razones que no ignora el Congreso. ■ hagan. En cuanto al otro punto, me permitirán las O. ríes que íes El Sr. Gómez Becerra: Cuando yo impugno el dictamen no di-a que si se ha i legado d extremo de temer que el Gobierno pue qu ero que se crea que apruebo de ningún modo el voto particular. da abusar de las facultades que se le han conetd.do , el trun sterio Desearía que se me dijes…</t>
  </si>
  <si>
    <t>…amen por 49 votos contra 40 , y quedó aprobado. de los empleados del ejercito como comisarios de guerra y demás. Las Cortes quedaron enteradas y mandaron que se repartiesen los El Sr. Gómez Becerra: Que ademas de las observaciones que ejemplares que remitia el Sr. secretario de la Gobernación de la se habían hecho añadía otra, á saber : que el dictamen hablaba de Península de Ja alocución de S. AI. á los pueblos de la antigua corporaciones, pero no de l…</t>
  </si>
  <si>
    <t>…se instaladas prestar. ias Cortes extraordinarias, convocadas en virtud de su orden, ha Cualquiera que sea la suerte á que estamos destinados nos biendo nombrado por presidente al Sr. Gómez Becerra, diputa resta el honor , y yo espero que vuestro patriotismo, vuestra do por Extreu: dura , y que se ponía en su noticia por si S. M. cordura v vuestra ilustración sabrán conservarlo en las nuevas tenia á bien concurrir á la apertura, que sería esta misma tar…</t>
  </si>
  <si>
    <t>Becerra, Goraz</t>
  </si>
  <si>
    <t>Goraz Becerra</t>
  </si>
  <si>
    <t>…d-br disfrutar el sueldo y consideración de tales po que nos han dado los que en la actualidad la componian. dran ser empleados en el mando de batal.oncs cotí los goces que tie El Sr. Goraz Becerra: A pesar de lo que ha manifestado el señor nen en el día. Surrá , yo v o que la junta directiva es la rueda mas esencial de la má Art. 8.” »&gt; El resta de orgardzac’on de las compañías será el preve quina del establecimiento del Crédito público. nido en el Hec…</t>
  </si>
  <si>
    <t>Becerra, Oomez</t>
  </si>
  <si>
    <t>Oomez Becerra</t>
  </si>
  <si>
    <t>…2 , es preciso coiiv¡nir que es de utilidad notoria solverse por lo» ayuntamientos y diputaciones provinciales. quitar todas las trabas que opongan los patronos á las transado— El Sr. Oomez Becerra: Es muy fácil decir que una propues nes de que se trata-, por cuya razón debía aprobarse el artículo. ta es contraria al sistema constitucional; pero no lo es tanto pro Habiéndose declarado bastantemente discutido se votó el ar barlo, y con la misma facilidad…</t>
  </si>
  <si>
    <t>Becetra</t>
  </si>
  <si>
    <t>…por tedos habían empezado el fuego; eu consecuencia pasé á ocupar una posición los pueblo» de la Nación. ventajosa inmediata á la villa; mandé que se adelant. »e la vanguardia El Sr. Becetra: Observo en el acta una om sien qu: he nci’do en sobre unos cerros inmediatos , y que la caba-.lería se colocase ai pie de algunos pcr.v d-.cos. i uui.lo &lt;í Ci. Ga itrio pregunto al Sr. seci tat-.o la montaña a retaguardia del batallón de la Igualdad para aux…</t>
  </si>
  <si>
    <t>Bedoya, Ramón Gómez de</t>
  </si>
  <si>
    <t>Ramón Gómez de Bedoya</t>
  </si>
  <si>
    <t>…las alturas por aquella parte. Cargó ai mis =Agustin Amenar, alcalde tercero interino. mo tiempo la mitad de dragones con el coronel Valdés y el te niente coronel de dicho cuerpo D. Ramón Gómez de Bedoya En el mismo periódico se leen los documentos siguientes: por el camino real y batido el enemigo en todof aquellos pun » A las once de la mañana del día de ayer se presentó en tos se abandonó á una precipitada fuga, como único asilo para esta (Almería) un parlame…</t>
  </si>
  <si>
    <t>Bei</t>
  </si>
  <si>
    <t>…ativos en favor de la libertad é D. Josef Valla y Roca. D Ramón Queraltó. independencia de la Nacioa. D. Joaquín déla Vega y Quintana. D. Cayetano Rubio. D. Luis de Mata y Araujo. D. Bei nardo Asen jo. _ Debiendo empezarse desde luego las operaciones preliminares par.» D. Gregorio Mendivil. D. Josef Francisco Muiguiru. ci pago del dividendo de 30 rs. por acción en metílico por ios años, de 1821 y 11 acordado es^la junta general de accionistas…</t>
  </si>
  <si>
    <t>Beida</t>
  </si>
  <si>
    <t>…esde la circulación de! decreto cor el G’Ja lecha de la circulación de estedeersto por el Gobierno.” bh-rno qu ■ en cualquiera otra época ; por ¡o demás la co.-rv.iion no tiene Ei Sr. Beida: Hace cuatro dias que las Curtes, excitadas del mayor inconveniente en decir que se arreglará ó atendrá al decreto de 31 de z lo , d-ciciaron que se complzt.iseti los batallones de ia milicia tracio- Octubre. xva. act-n, que deben constar de H7O hombres; pero…</t>
  </si>
  <si>
    <t>Beilran, Domingo</t>
  </si>
  <si>
    <t>Domingo Beilran</t>
  </si>
  <si>
    <t>…servido nombrarme »u do armonioso de la música. El ilustrisimo señor obispo celebro de pon secretario de Estado y del Despacho de la Gobernación de la Penínsu tifical, y el orador D. Domingo Beilran pronunció un elocuente dis la; y faltaría á mis primeros y maj esenciales deberes, haciéndome pa curso propio de las circunstancias. ra siempre indigno de la confianza de V. M., si deslumbrado ton el Concluido este acto religioso, se dirigió la milicia á la p…</t>
  </si>
  <si>
    <t>Bel</t>
  </si>
  <si>
    <t>…currida en Parnalnba el día ty de O.isibre había cau De la milicia nacional de Albelde, prcv.nci* de Jaiva, per el sado una temblé inquietud, á cuya consecuencia el Gobierno había Sr. Bel da. hecho salir un destacamento de 40 Immbrrs p3ra las Carnahbas, y el Continuó la discusión sobre el plan de arreglo del clero bergantín Infante D. M'tuel &lt; bloquear el puerto de Parnalnba , y El Sr. i.epuerta: Si la comisión se hubiese limitado so an-nre i…</t>
  </si>
  <si>
    <t>Belda</t>
  </si>
  <si>
    <t>…se obsetvará el decreto orgánico de la misma El Sr. Lilio: La convsion desearía ¡levar í efecto !o que desea el de 18 de Noviembre de tUai ; y en cuanto á las excepciones y demás Sr. Belda; pero debe tenerse presente que el tiempo urge, y no puede reglas no comprendidas en dicho decreto orgánico se tendrá presente menos de ilevars- ú efecto esta quinta como lo han acordado ias Corte?. el de 3 t de Octubre de este año, sin que por esto ss altere…</t>
  </si>
  <si>
    <t>…ento constitucional de Alcaudetz, provincia de Ali próximo que dejan á retaguardia; y este mal solo puede remediarse con cante, y de la milicia nacional de la misma villa , por el Sr. Belda. la posesión de este punto de Montevideo, en el supuesto de hallarse DeL cuerpo nacional de attillerta de marina del departamento de las dos cortes de Madrid y Lisboa en la mejor armonía.” Cádiz, por el Sr. Valdés (D. Cayetano). __£on fecha del 26 de Diciembr…</t>
  </si>
  <si>
    <t>Bellon, Francisco Maria</t>
  </si>
  <si>
    <t>Francisco Maria Bellon</t>
  </si>
  <si>
    <t>…ad. Esta nación, entregada ente de un juro situado en ta rent* de segundos dos rs. de lanas, en cabeza ramente al lujo y á la molicie , se hizo de repente guerrera, y ella sola de D. Francisco Maria Bellon , de 1.304,333 mrs. La persona que su venció á toda la Europa coligada para imponerle el yugo dei poder piese sus paraderos se servirá dar aviso á D. Gabriel d* davala , vecino absoluto. Los fraucíres dieron a ¡os pueblos una lección que no se ol de esta cort…</t>
  </si>
  <si>
    <t>Belluga, Josef María</t>
  </si>
  <si>
    <t>Josef María Belluga</t>
  </si>
  <si>
    <t>…usados por-la casa de Bernales en la falta de cumplimiento A la comisión de Guerra se mandó pasar una exposición de de su contrato, y á hacer que se apliquen á ¡os soc o3 de d.cha D. Josef María Belluga, capitán retirado, y avecindado en Alcalá casa como españoles las penas á que se havan hecho acreedores. de los Gazules, pidiendo á las Cortes le concedan volver á ser Se declaró haber lugar á votar sobre su totalidad. vir en el ejército. El Sr. secretario de…</t>
  </si>
  <si>
    <t>Belticnate, Manuel</t>
  </si>
  <si>
    <t>Manuel Belticnate</t>
  </si>
  <si>
    <t>…Céspedes-, compuesta da 35 hombres dií caba D. Juan Redondo, primer cirujano de la armada; Fr. Francisco Jimé llería j siete de á pie, incluso el gefe. nez; Doña Antonia Jiménez; D. Manuel Belticnate , con su rspo^c, Murcia 17 de Marzo. una h’’B y ani criada; D. Ver-tura Alisas , D. Josef Antorio Bimof D. Juan Antonio Loredo , D. Josef de la Cámaro , D. Manuel Ra El espíritu público cada día va mas en aumento; y pocos son los mos, D. Juan Orcullo , D. Jos…</t>
  </si>
  <si>
    <t>Beltran</t>
  </si>
  <si>
    <t>…s auxiliares de cuando se haya concluido la presente legislatura. defensa , ejecutar ó hacer ejecutar requisiciones de caballos, arma; Se leyó y quedó aprobada una proposición del Sr. Beltran da y cualesquiera otro6 efectos que convengan para la guerra , sin ex Lis, reducida á que la resolución de Jas Cortes por la cual se ha cepción ni limitación de cosas ni de personas; exigir enveres y prohibido ¿ los Sres. diputados el salir de la Isla Gaditan…</t>
  </si>
  <si>
    <t>Beminclc</t>
  </si>
  <si>
    <t>…ya ajustando carruagea para El Times publica una carta dirigida por un gran número de ingleses las diligencias que se ofrecieron, y ya los tiros que se habian de apos pudientes á lord Beminclc, designado para reemplazar á Sir A'Courten tar , y se apostaron en la carrera de Bútgoi. la embajada de Madrid, y en la que le ofrecen acudir por medio de una g.u Se produjo dos veces en términos muy agrios contra ei duque suscripción á establecer y costear l…</t>
  </si>
  <si>
    <t>Bemuy, Gómez</t>
  </si>
  <si>
    <t>Gómez Bemuy</t>
  </si>
  <si>
    <t>…la del Go Nota El dictamen de la comisión de Legislación presentado bierno no se habla de los ministros actuales; las Córtes saben en la sesión del 28 acerca de la proposición del Sr. Gómez Bemuy bien que los ministros pueden ser separados por el Rey: cerra sobre elecciones de diputados á Córtes es el siguiente: saben también que S. M. por desgracia no hace siempre lo me jor por los perversos que le aconsejan , y este ha sido también un La comisión de…</t>
  </si>
  <si>
    <t>Benasar, Miguel</t>
  </si>
  <si>
    <t>Miguel Benasar</t>
  </si>
  <si>
    <t>…abo i.° Josef sagrados deberes, ó no hubieren manifestado su imposibilidad de Rodrigue*. hacerlo, para que en el término de nueve dias, contados desde el 36 de línea. Subtenientes D. Miguel Benasar y D. Venan siguiente al de la -presente, comparezca en este tribunal á dar sus cio Lespidanas: cabo Félix Blay: soldado Domingo Pacheco, descargos de lo que resulte contra él; y si lo hiciere se le oira y Zapadores. Sargento i.° Juan Alonso: pontoneros Eugenio administr…</t>
  </si>
  <si>
    <t>Benatd</t>
  </si>
  <si>
    <t>…ey, el subteniente Selhausem, el sargento primero Erny , el furrier Eustache, y los fusileros Fíoidevaux , Pierre, Maly y Hausac. En el regimiento ai.° se distinguieron también el capitán Benatd, que dió las mayores prue bas de su pericia y valor; el teniente Archias, el subteniente Brette, el sargento Pourpart, el cabo Durand, y el soldado Toucet. El general español Valero animó á Jas tropas con su ejemplo é intrepidez. El teniente general Bourk ha…</t>
  </si>
  <si>
    <t>Benavides, Antonio</t>
  </si>
  <si>
    <t>Antonio Benavides</t>
  </si>
  <si>
    <t>…rse la justicia por su mino , y pri D. Josef Salvador López del Pan; para la de fiscal militar al var á S. M. del derecho de castigar á los que hayan delinquido. mariscal de campo D. Antonio Benavides; para la de togado á Tales son la situación y sentimientos de la vilia del Carpió , á D. Manuel Josef de Arbizu, y para la da secretario á D. Pedro cuyo nombre el ayuntamiento del año de 18:0, que se halla £ Díaz ¿a Ribera, quedando sujetos á purificarse los…</t>
  </si>
  <si>
    <t>Benbenuti, Carlos</t>
  </si>
  <si>
    <t>Carlos Benbenuti</t>
  </si>
  <si>
    <t>…se Ira concedido, y del informe del Gobierno que Mauricio conde de Balbiani. Los capitanes D. Felipe Saint-March, apoya esta solicitud, es de parecer se le conceda; y se conforma D. Carlos Benbenuti . D. Josef Saint March, D. Josef Tejeiro, ba con el dictamen del Gobierno. Aprobado. D. Antonio Tejeiro, D. Josef María Doncel, D. Josef Curten. La misma comisión, en vista de la exposición de D. N. ZaEl teniente D- Gregorio López de Boneville. los subtenient…</t>
  </si>
  <si>
    <t>Benedicto, Manuel de</t>
  </si>
  <si>
    <t>Manuel de Benedicto</t>
  </si>
  <si>
    <t>…puerto 700 para la provincia de Jaén; se aguardan a3 para la ds K1 Sr. comandante general interino del distrito ha recibido del co Malaga y oíros tantos para Ja de Granada. ronel D. Manuel de Benedicto , comandante de las tropas dirigidas en El segundo batallón del regimiento de Galicia apenas hace un me* socorro de Teruel, el parte siguiente : que recibió el eor.tigente de sus quintos hasta el completo de ¡as pla n Siguiendo el orden de marcha que avisé á…</t>
  </si>
  <si>
    <t>Benegas, Inés</t>
  </si>
  <si>
    <t>Inés Benegas</t>
  </si>
  <si>
    <t>…s de Cuenca , en favor de Catalina Nuñez : otro de 74,800 miento é instrucción de los interesados , un cuadernito , que contendrá mrs. , situado en alcabalas de Ocaña, en favor de Doña Inés Benegas: el convenio de 30 de Abril último , el cuaderno de categorías apro otro de 5 ¡55 mrs. en las alcabalas de Madrid, en favor de Catalina badas por las Cortes, este mismo decreto de S. M. , y ei acta de acce Nuñez: 'tro de 15,600 mrs-, situado en la» alcabala»…</t>
  </si>
  <si>
    <t>Benita</t>
  </si>
  <si>
    <t>…a presente discusión he notado que no se ha he cunstancias son 60 Sf os ; y asi yo pido que el consejo se reúna, atendien cho impugnación alguna á la proposición dei Sr. Canga. El Sr. Benita ha. do á lo urgentísimo del negocio, pues es un asunto muy sencillo el desig dicho con mucho tino que continuaría en el uso de la palabra según H nar e] punto para la trasiac.on. contestación que diese el Gobierno para impugnar o apoyar ¡j proposi El Sr. secr…</t>
  </si>
  <si>
    <t>Benito</t>
  </si>
  <si>
    <t>…1J4* paree: qu: el m-dio mas á propósito pira verifi y mas legales para llenar los deseos de las Cort:s; y que en su Jugar ca- anualmente el alistamiento es el que ha propuesto el Sr. Benito, podía resolverse que lo. individuos á quienes tocasen ios pioneros ni y d.-. este modo s; evitan los incoeven.entes á qu; puede dar lugar la na.ros hasta la -exta parte de! total sirviesen seis año»; los rest.ctes suerte. Por esta razón apoyo lo que ha propu…</t>
  </si>
  <si>
    <t>…ca, sin aquella emoción que yo siento en este momento en mi in morir en defensa de las libertades patrias. terior. Yo no sé hasta qué punto puede ser útil el que salgan á hacer El Sr. Benito leyó otra exposición del inspector general de milicia ese servicio extraordinario1; y que, como se dice en ia representación, activa y demas oficiales y empleados en la propia inspección sobre lo no se puede hacer fuera de la provincia sin.un permiso particul…</t>
  </si>
  <si>
    <t>…llego , D. Simón González Yuste, D. Jaime Ruiz Abren , D. Joa lo muy fieles que somos a la corona de nuestro amado Monarca. quín Manrique y Manrique, D. Juan Fernandez Casariego , D. Benito n Los vecinos de esta ciudad ofrecen todos unánimes perder la últi Ortega Romanillos, D. Manuel M-rino, D. Domingo Fernand a An ma pota de sangre en defensa de la legítima y justa causa-, esperando gulo y D. Lucas de Mata Araujo. Declararon por unanimidad hab…</t>
  </si>
  <si>
    <t>…de tener I 5 datos necesarios: De la diputación provincial de Logroño, por el Sr. Manso. de consiguiente el Gobierno s rá el que pueda resolver, asi sobre la neDe! ayuntamiento de D. Benito. c*sidad de esta traslac on como sobre el punto adonde d:ua ver ficirse, Del de Belorado, cabeza del partido de su nombre, es la provin la comisión puis no ha debido proponer el que la Diputación perma nente intervenga en un negocio para cuya resolución no pu…</t>
  </si>
  <si>
    <t>…níni'Lro, no han de dejar las silla, hasta que lean á las Cortes su! me- to , v se adtnitió a discusión. monas; ¡pero qué hacemos con esto’. Nada; deben estar sujetos á contes F.l Sr. Benito: He pedido la ptlabra en cortra de esta proposición , no ta:' a finí ís !. is preguntas que se les haga sobre el estado de la Nación; y porque no esté* de acúnalo con la idea principal del Sr. Canga , smo poie-ie pira este objeto esperaba yo á los secretarios…</t>
  </si>
  <si>
    <t>…as. Señor, que se conceden raciones, alojamiento; todo esto está totalidad. concedido. En cuarto al sorteo es ilusorio lo que propone la comisión, En la séptima votación lo fue el Sr. Benito por Sg rotos, que era el pirque después de hecho el víage, y un mes mas, es decir , cuando están total. Echos todos Jos sorteos extraordinarios decretado» por tas Corte», ique En la octava votación lo fue el Sr. Moure por 83 voto» , teniendo ur.t» “'líeos que…</t>
  </si>
  <si>
    <t>…zados como últimos segundos te individuos de guardias que estuvieron en palacio con los que ninguna nientes.” parte tuvieron en aquella ocasiónestos no merecen nada, porque aho El Sr. Benito propuso se redactase de este modo: »&gt; Los alféreces ra es preciso decidirse, y el que no se decide, para nada sirve , pues ni que gocen antigüedad de capitanes deberán considerarse para ser reem •un serian admitidos en las filas de los facciosos. No se hallan…</t>
  </si>
  <si>
    <t>…y Constitución ó muerte. Ju.10 de 1801 pasé a obtener una de ¡as dos plazas de médico titular __&gt;, Valientes milicianos y demás patriotas ocupados en la de'ensa de de la villa de D. Benito, pueblo de mas de 16O habitantes) llevándo la ciudad. me algunos cristales de vacuna, per haber fijado inoculando cod ella „ Al contemplar este ayuntamiento las virtu 'es que habéis desple desde A año anter cr que me íarenntió el Dr. Piguiilem tan luego co ga…</t>
  </si>
  <si>
    <t>Gaceta Española n.º 12</t>
  </si>
  <si>
    <t>…untarios nacionales de Sevilla, á las órdenes del comandante del de represalias con todo el rigor á que nos autoriza el derecho de primer batallón de ia milicia nacional de Madrid D. Benito gentes; y el embargo de los buques franceses que se hallan en Marrad. nuestros puertos deberá ser la primera hostilidad por nuestra Parada, Reina, milicia nacional local de Madrid , y la de la parte. misma clase de Sevilla ; el demas servicio y patrullas lo d…</t>
  </si>
  <si>
    <t>…n de Guerra es preciso que la llagamos á nuestros enemigos por cuantos me sobre formación de una legión extrangera. dios sean posibles. Aplaudo los sentimientos de moral del se El Sr. Benito: He pedido la palabra en contra de este dic ñor preopinante; confieso que por aquel deseo de que echásemos tamen , no porque me oponga á que los extrangeros se presenten mano de torios los recursos para hacer la guerra á nuestros,ene en nuestros ejércitos, si…</t>
  </si>
  <si>
    <t>…de la junta como ¡unta de defensa; pero no porque dejase de sa blica de esta dia , quedando las Cortes en sesión secreta. ber que existía como auxiliar de Ja autoridad militar. El Sr. Benito : Los señores preopinantes han puesto un argu Ayer se publicó el siguiente bando. mento que á primera vista tiene mucha fuerza; pero que es ne D. Manuel de Latre, gobernador militar de esta plaza, con con cesario examinarlo i fondo para convencer á los mismos…</t>
  </si>
  <si>
    <t>…tro algún negocio para cuya deliberación fuese cuenta a las Cortes por si no teman incor.v.mente en ¡vaiu.:.-'. indispensable la cooperación del Congreso, por cuya razón estima El Sr. Benito expuvo’que era necesa-.uu sobct s; a- sptav.a e-te ba que sin perjuici o de que las Córtes suspendiesen sim sesiones</t>
  </si>
  <si>
    <t>Benjuncea, Manuel</t>
  </si>
  <si>
    <t>Manuel Benjuncea</t>
  </si>
  <si>
    <t>…aron con el nes de la dirección general de provisiones, expedidas en Sevilla á resto de la división. El combate fue tenaz, y en él sufrieron los 28 de Noviembre de 1809 á favor de D. Manuel Benjuncea , se franceses una considerable pérdida, habiendo sido muerto el co ñaladas con los números siguientes: 890, de reales vellón 3884___ ronel del regimiento francés titulado húsares del Bajo-Rhin en 891, de 1919 rs. y 33 mrs__ 892, de 4020; con el último endoso…</t>
  </si>
  <si>
    <t>BenlincU, Guillelmo</t>
  </si>
  <si>
    <t>Guillelmo BenlincU</t>
  </si>
  <si>
    <t>…que tengan defectos visi una comisión extraordinaria, y que con el mismo objeto viene también bles ó enfermedades internas. Enterado 3. M., y para que se evite lodo á la Península lord Guillelmo BenlincU. Hablando de España asegura que motivo de duda ó desavenencia entre las autoridades militares y polí la intervención de la Gran Bretaña y la firmeza de Luis xvtn harán ticas acerca de lo que previene le Real orden de 25 de julio último que triunfen los princi…</t>
  </si>
  <si>
    <t>Bentick, Wiiliam</t>
  </si>
  <si>
    <t>Wiiliam Bentick</t>
  </si>
  <si>
    <t>…constitucional , mañana república , otro dia consulado, Dougías Kánnard , M. del P. ( i ) otro imperio, otro carta y feudalismo. Ayer nos atormentaba Décima. Que se dén gracias á lord Wiiliam Bentick por su con el sistema continental, hoy nos tiraniza con la legitimidad, bondad en aceptar , y su acierto en desempeñar la presidencia. y pasado algún tiempo inventará un nuevo pretexto para invadir Acabada la aprobación de estas proposiciones dio parte Mr. no…</t>
  </si>
  <si>
    <t>Bentinck</t>
  </si>
  <si>
    <t>…ia. bró el gran banquete en obsequio de los embajadores español y portu » Lo que de Real orden participo á V. E. para los efectos conve gués y del duque de S. Lorenzo. Lo presidió lord Bentinck, quien s« nientes. = Dios guarde á V- E. muchos años. Villarubia de los Ojoi asegura que está definitivamente nombrado para reemplazar á Sir de Guadiana 13 de Marzo de 18 23. = Gaseo.” A’ Ccurt en la embajada de Madrid. Asistieron los diputados mas dis TRIBUN…</t>
  </si>
  <si>
    <t>Bentinck, W.</t>
  </si>
  <si>
    <t>W. Bentinck</t>
  </si>
  <si>
    <t>…ibe las nías fundadas" esperanzas de sii lisonjero porvenir y el taban antes de medio dia al 8xJ. pronto rescate de nuestro amado Soberano. — He aquí algunas preguntas dirijidasat lord W. Bentinck. No* Salamanca se congratula con tan faustos sucesos, y sí para sotros, aunque hacemos toda la justicia posible á las benéficas y consumar esta empresa fuese necesario sacrificar los míseros res leales intenciones de S. S., creemos sin embargo que debe mi tos…</t>
  </si>
  <si>
    <t>Bentink</t>
  </si>
  <si>
    <t>…l caso de caalqu.era Uno de los acontecimientos del siglo xtx que mas ha de fijar la aten agresión. ción de los venideros será la alianza , que según anuncian los órganos del __El lord Bentink reemplazará a! actual ministro ingles sir G. A’Court : finático ultracismo , se va á verificar entre los Gabinetes de las g randeí el duque de Wellington ha llegado á París., y se ha dirigido a Polonia 3 potencias y la famosa regencia de la legua. Se dice que…</t>
  </si>
  <si>
    <t>…esultas, siempre que la remesa de víveres que vamos dias se aguardaba en aquel puerto un buque ingles que conducid a emprender no tenga feliz éxitc, ó que el general en gefe no al lord Bentink, el cual venia con una comisión de suma im avance, como nos prometemos de su zelo y pericia, y de Jos portancia. avisos con que se halla de Puerto-Cabello. V. E. y todo el Go ANUNCIOS.bierno supremo no podrá menos de conocer todo el peso de riesgos en que nos…</t>
  </si>
  <si>
    <t>Ber</t>
  </si>
  <si>
    <t>…mas alto grado á su Patria y á su Rey, y serán habidos y tra partes. Tendreislo entendido par3 su cumplimiento, y dispondréis tados como tales , D. Jaime Creux obispo de Menorca, D. Ber se imprima, publique y circule.nrEstá rubricado de la Real mano. nardo Mozo Rosales, el barón de Eróles, D. Francisco Eguia, De Real orden lo comunico á V. S. para su inteligencia y el duque del Infantado , el de Montetnar, D. Juan de Cavia cumplimiento, y á…</t>
  </si>
  <si>
    <t>Ber, Pedro</t>
  </si>
  <si>
    <t>Pedro Ber</t>
  </si>
  <si>
    <t>…o á triunfar con ella. Idem del Pino: D. Francisco Cabrio!, z: D. Juan Sala. = Lí Sr. Marau manifestó, que por su parte no tenia inconve D. Josef Garriga. = D. Francisco Samper.= D. Pedro Ber niente en subrurar en lugar dei término de las 48 lloras las si nardo Ala. — D. Juan Pablo Ferrer. =D. Narciso Vivar. = guientes palabras; » en ei término mas breve posible.” D. josef Pineli. Declarado el punto suficientemente discutido, se aprobó la Idem de…</t>
  </si>
  <si>
    <t>Berard, Agustín</t>
  </si>
  <si>
    <t>Agustín Berard</t>
  </si>
  <si>
    <t>…a de D. Ildefonso MomMinisterio de la Guerra. pié; en Granada en la de D. Antonio Aguilera; en Sevilla en ¡a de Excmo. Sr.nsPor el oficio de V. E. de 5 del actual, y copias que se D. Agustín Berard ; en Cádiz en la de D. Diego Zaragoza; en Bidaacompañan, ha visto S. M. con la mayor satisfacción el generoso rasgo joz en la de D. Juan Patrón, y en Palma en la de D. Nicolás Carbode amor patrio con que Doña Josefa Diez de la Cortina ha demostra nell. Su pre…</t>
  </si>
  <si>
    <t>…ago saber que habiéndose observado de algunos dias á brerías de Sanz y Miyar; y los suscriptores en Sevilla en la de esta parce que los enemigos del sosiego público no cesan de ma D. Agustín Berard, cuando este avise en los papeles públicos quinar para envolver este heroico vecindario en los males que haber recibido los egemplares que se le han remitido; advir ocasiona á todo vecino honrado la falta de seguridad en las per tiendo continúa abierta la sus…</t>
  </si>
  <si>
    <t>Bercera, Antonio Luis</t>
  </si>
  <si>
    <t>Antonio Luis Bercera</t>
  </si>
  <si>
    <t>…—Sehor.= A, L. X. P. de V. M. = Cayetano competente forma por comisionados del.Gobierno de S„ Al* Ca de Torres. = Antonio Qarcía. as Diego de Seda. = Antonio Ma tólica á los Sres. D. Antonio Luis Bercera y D. Luis, de la Ro ría Santiago, sg Vicente Rui* Cubero. = Antonio.María, de Vi— bla; y habiéndose propuesto á dichos Sres. por el Ministro da Halba, ss Aiaauel Martínez. 2= jijan Vázquez Alanzera. =3 Manuel Relaciones exteriores de dicho estado de B11 .nos-Aires eLac…</t>
  </si>
  <si>
    <t>Bercerra</t>
  </si>
  <si>
    <t>…momento mismo en que las Cortes cierran sus se electores de provincia en que esté situada la cabeza de partido. siones , y pide que tomando en consideración las reflexiones que El Sr. Bercerra: La dificultad que quiere obviar la comisión se hicieron en aquella discusión, y nuestra situación actual, aprue está ya resuelta por la ley de división de territorio , y creo que ben mas bien el dictamen de la minoría de la comisión que el de por un medio ma…</t>
  </si>
  <si>
    <t>Berdugo, Andrés Monlorc.rsFrancisco Solano</t>
  </si>
  <si>
    <t>Andrés Monlorc.rsFrancisco Solano Berdugo</t>
  </si>
  <si>
    <t>…gulos de la tividad la de vuestra A. S. Península. &gt;&gt; Sala capitular de Oropesa 6 de Junio de sSig.zcSermo. Se- &gt;3 Sermo. Sr.: Los cobardes sa;él:tes del tirano régitneh ccns! ñor=D. Andrés Monlorc.rsFrancisco Solano Berdugo.=Josef titucicnal quieren se le sustituya el de las cámaras con nuevas Moreuo.=Fclips Hettero.mManuel Pablo Rubio.” instituciones de reformas, libertad de imprenta y extensión ds la representación popular, pera dar mayor vigor á sus pas'ones, » Desbaratados y…</t>
  </si>
  <si>
    <t>Berdugo, Josef García</t>
  </si>
  <si>
    <t>Josef García Berdugo</t>
  </si>
  <si>
    <t>…oncentrando un cuerpo de La comisión de Legislación presentó los siguientes dictimene». 53 hombres, que se apostará en la orilla setentrional del Maulé. Uno sobre la exposición de D. Josef García Berdugo sobre Idem ic. El ministro de Hacienda parece que ha hecho di dispensa de pruebas para condecorarse con ia cruz de Carlos rn; misión de su destino; y habiendo sido él el autor del reglamen opinaba se accediese á su solicitud pagando los derechos estable to de…</t>
  </si>
  <si>
    <t>Berenguer, Felipe</t>
  </si>
  <si>
    <t>Felipe Berenguer</t>
  </si>
  <si>
    <t>Gaceta de Madrid n.º 1293</t>
  </si>
  <si>
    <t>…eñor con el parecer del dó arribar sobre ellos, haciendo señal á la Cercs de seguir, sus mo Consejo supremo de la Guerra en una instancia del Brigadier vimientos por contramarcha. D. Felipe Berenguer, en que solicita se le revalide su cuartel en Los enemigos formaron la línea de combate en la forma si Valencia con el sueldo de 30$ rs. anuales que le acordó el Go guiente : á vanguardia la corbeta María Francisca, de 22 piezas bierno revolucionario; se ha s…</t>
  </si>
  <si>
    <t>Beresford</t>
  </si>
  <si>
    <t>…esta la guarnición. sido concluidos con ei Rey D. Juan vi, y no con los revolu Se dice que Mina , dirigiéndose i Conca, había retrocedido cionarios. El Rey admitió i su servicio á lord Beresford y á hacia Oliana. Aseguran haberle visto en sus alrededores , y que los demas oficiales ingleses, y las cortes los despidieron; y si he su tropa, en ei estado mas deplorable, tenia que escoltar á mu mos de decir la verdad ¿qué favores ha recibido nunca la Ing…</t>
  </si>
  <si>
    <t>Beret</t>
  </si>
  <si>
    <t>…dió el enemigo su movimiento ofensivo; y aunque las tropas lante de la guardia al comandante de escuadrón Foucault y al que ocupaban el reducto Ruffin comenzaron á retirarse luego teniente Beret. Ultimamente en el estado mayor al capitán Duque recibieron la orden, no se atrevió el enemigo á apartarse pouy, edecán del general conde Bethisy; al teniente de Alontd; !a protección del fuego de dos lanchas cañoneras y de las ba moreney, su oficial de orden…</t>
  </si>
  <si>
    <t>Bergcret</t>
  </si>
  <si>
    <t>…gar el evangelio entre los indígenas. tra-almirante unos pliegos del gobernador de la Martinica conde Las dos islas conocidas con el nombre de Nueva Zelanda Donzelot, y del contra-almirante Bergcret, que manda las fuer contienen una población de mas de den mil almas. El clima es zas navales de S. M. cristianísima en las Antillas. De la. contesta benigno, &amp;¡ terreno fértil, y entre otros frutos produce una es ción dada á dichos pliegos por D. Francisco Di…</t>
  </si>
  <si>
    <t>Berges</t>
  </si>
  <si>
    <t>…contestado muy victoriosamente á Mr. Chateaubrand. para salir de Francia armados para entrar en Cataluña. „ l.o repito. ó la nación cree delincuente ; Mr. Manuel , ó vos&lt; tros El general Berges ha pasado hoy revista i la primera compañía de no podréis evitar el que se os acuse de injusticia y de titania. Me es artillería de á caballo y a la cuarta y quinta del tren ; y después sa muy sensible que el relator de la comisión no haya notado esta circuns…</t>
  </si>
  <si>
    <t>Berjano, Manuel</t>
  </si>
  <si>
    <t>Manuel Berjano</t>
  </si>
  <si>
    <t>…a invasión francesa. Si alguna persona lo tuviese ó supiese adonde mañana, he tomado todas las dispcsic'ones necesarias para caer sobre el ene pueda hallarse, se servirá decirlo á D. Manuel Berjano, calle de Alcalá, migo , si ocurriese la desgracia de que fuesen sordos á los clamores de sus núm. 10, cuarto 3.0, en Madrid; pudiendo contarse con una buena rega-c hermanos los españoles amantes de la libertad de su patria. Dichos comi lía de agradecimiento.…</t>
  </si>
  <si>
    <t>Berlín, Josefa</t>
  </si>
  <si>
    <t>Josefa Berlín</t>
  </si>
  <si>
    <t>…de la Fuente, hija de un oficial retirado del ministerio de Ha cienda , opinaba debia accederse á su solicitud. Aprobado. l’RUSI A. La misma comisión , en vista de la solicitud de Doña Josefa Berlín 2 4 de Marzo. Montalvino, para que se le continuase pagando una pensión de Ya están concluidos los trabajos de la junta nombrada dos 4 reales diarios que se le concedió por los méritos de un lio ca años ha , para convenirse bajo la presidencia de S. A. R. el…</t>
  </si>
  <si>
    <t>Bermejo, Antonio García</t>
  </si>
  <si>
    <t>Antonio García Bermejo</t>
  </si>
  <si>
    <t>Gaceta de Madrid n.º 1143</t>
  </si>
  <si>
    <t>…s experimentado los benéficos efectos de preciosa vida , salud y libertad de S. M.’ y Real Familia dijo el sus talentos militares, y hemos sido testigos de la templanza que . Lie. D. Antonio García Bermejo, del Consejo de S. M., su Ca le hace á nuestros ojos mas grande que sus victorias. pellán de Honor, y Predicador de número &amp;c. Están dedicados al Rey nuestro Señor. Ambos sermones manifiestan en compen Madrid 19 de Noviembre. ‘ dio los principales horrores de…</t>
  </si>
  <si>
    <t>Bermudo</t>
  </si>
  <si>
    <t>…pérdida del mayor d* sus amigos, y el mejor de los padres. ANUNCIOS. VARIEDADES. Se halla vacante la plaza de médico de la villa de Fuentes de Sobre la’fábrica de papel en Berlín. D. Bermudo (vulgo de Nava), partido de Palencia: *u dotación Puede hacerse el papel del largo, ancho y fuerte que se quie 6600 rs. de vn. anuales, debiendo proveerse su plaza el dia 1.* ra por medio de máquina de vapor. de Enero próximo de 1824. La primera invención fue…</t>
  </si>
  <si>
    <t>Bernad, Ramón</t>
  </si>
  <si>
    <t>Ramón Bernad</t>
  </si>
  <si>
    <t>…el corregidor de Brest por haber publicado riscal de campo D. Joaquín Virues; los brigadieres marques de una proclama el 31 de Marzo de resultas de lo ocurrido en aque las Cuevas, D. Ramón Bernad, D. Isidoro Uñarte, D. josef lla ciudad. Su te—,r es como sigue: «Habitantes de Brest: La tar Taberné, D. Juan García Paredes , D. Joaquín de los Ríos. de de ayer se señaló con escenas lamentables. Varios ciudadanos D. Angel Díaz del Castdlo , y los coroneles…</t>
  </si>
  <si>
    <t>Bernar</t>
  </si>
  <si>
    <t>…ito de Riego en 21 det pasado; y reunido el jura esté de mi pane para reducirla al mas estrecho círculo , y para abreviar do , compuesto de los Sres. D. Juan Bautista Vea Murguia; D. Bernar su duración. Solo la enipniuJcié para conquistar la paz que el estado do de la Peña Díaz; D. Francisco Carranza; D. Luis Igartu.butu; Don actuatde la España hace imposible.” Fernando Gargollo: D. Josef Carreño; D. Pablo Mateu; D. Matías La guerra puede evitar…</t>
  </si>
  <si>
    <t>Bernaraino, Juan</t>
  </si>
  <si>
    <t>Juan Bernaraino</t>
  </si>
  <si>
    <t>…, « Al amanecer del 24 me puse en marcha con los voluntarios hacia y que ahora os arrancan de vuestras labores tan solo porque no es para las Cruces, donde ya encontré al valiente capitán D. Juan Bernaraino ellos el fiuto de vuestro sudor y afar? de Le ira , que marchando por otros puntos con su columna á Mellid, » Sencillos habitantes del campo : los que os obligan á abandonar el y teniendo las mismas noticias que yo , se había dirigido á las Ctuces. pacífico a…</t>
  </si>
  <si>
    <t>Bernardo</t>
  </si>
  <si>
    <t>…á su mas sencilla expresión: confederarse con Jerez de Ja-Frontera 20 de d ñero. aquellos de quienes todo»e puede temer,ó con aquellos de quienes na El din 8 del corriente dirigió D. Bernardo .Vloiinedo al ayunta da hay que recela.'. La misma opinión de ios pueblos aumentaría el miento de esta ciudad una exposic.cn digna de le. (¡-tupos mas glo conflicto de estos Gobiernos en una crisis política, porque no hay duda riosos de las naciones antiguas…</t>
  </si>
  <si>
    <t>…e los Sres. D. Joaouia tallón de invslidos. Goñi, D. Josef Carreño, D. Felipe Echevarrí, D. Miguel Pino y A vista de la guardia nacional, que marchaba delante, todo el lado López, D. Bernardo ds la Peña Díaz, D. Juan Francisco Vídot, Don izquierdo se levanta por un movimi uto indeliberado, y exclama: Segismundo Moret, D. Jcs;f María ds Ansa y D. Josef María Villa••¡Cómo! ¡ La guardia nacional ! ¡ La guardia nacional es la que se randa , y declaró…</t>
  </si>
  <si>
    <t>…inistro m&lt;les A Confuí.(inopia , y se tías Olave , D. Clemente Zulueta , D. Prudencio Hernández Santa conc-bian esperanzas de piz, teniendo.as también los griegos de que la Cruz y D. Bernardo de la Peña Díaz , declaró por unanimidad kaht Inglaterra se interesará por ellos. Asi es que el divan estaba ya mas alar lugar á la formación de causa. EN LA IMPRENTA NACIONAL.</t>
  </si>
  <si>
    <t>…D. Luis Alaría Balanzat .brigadier de los ejércitos nacio recieron fragatas ó navios de guerra; encontrándolo»-;! ¡a actitud nales Por intendente general al intendente de ejército D. Bernardo de capear en distintas muras, cuya novedad pongo en el debido Eliza¡de. Por subinspector de infantería de línea y de los cuerpos conocimiento de V. E.; asi como ci haber visto yo recalar del de la milicia nacional activa al brigadier D. Domingo Martínez. Océa…</t>
  </si>
  <si>
    <t>…gefls secretario de S. M., y escribano de cámara del mismo, certifica: militares y políticos, las diputaciones provinciales é intendentes Por el presente edicto cito y emplazo al Sr. D. Bernardo de las provincias ocupadas circulen con toda brevedad por ellas la Falcó , actual diputado por la provincia de Valencia , compren presente ley. Cádiz 28 de Junio de 1823. Por tanto mandamos dido en la causa que se está siguiendo á dicho Sr. diputado, y í todo…</t>
  </si>
  <si>
    <t>…otivo para Florida y en la montaña de Pió , perteneciente al Real patri que los animales la repugnasen: meneó el agua' con una vara y monio, por tiempo de cinco años. El limo. Sr, D. Bernardo encontró virios trapos y enredos que principió á sacar, y en Riega, juez conservador de dicha posesión, ha señalado para el tre ellos unas mitras de diversos colores. remate ei dia 12 de este mes á las 12 del dia en su casa, calle &gt;, El amo dió parte de ello…</t>
  </si>
  <si>
    <t>, 559 de Agosto de iSzg.e^Francisco Ballesteros.=Sr. D. Bernardo de bi;o ¡a garantía de su sagrada persona , envió al capitán D. Jo.ef Guenduiain.” Aispuruu, con quien espero tendrá V. E. la bondad de contes Convenio entre el teniente general conde de Molitor , comandan tar me. te en gefe del segundo cuerpo del ejército de…</t>
  </si>
  <si>
    <t>…cu en todos hasta el número de 68 , contando en los primeros al rar las llagas que ha abierto una facción anárquica, que hollando asesor del gobierno militar de la plaza de Zamora D. Bernardo todos Jos deberes, no ha tenido otra tendencia que al Ínteres Peinador, fueron conducidos 4 Benavente á mi disposición. «Todo lo cual pongo en noticia de V. E., esperando se personal: tales son, Señor, los votos de estos habitantes, que no cetan de rogar al T…</t>
  </si>
  <si>
    <t>Gaceta de Madrid n.º 1153</t>
  </si>
  <si>
    <t>…finado General Elío /señalado á su viuda Doña Lorenza de Lei- tal Morillo , este campeón de los héroes justos, este invicto guer zaur, pasará por fallecimiento da esta á sus hijos D. Bernardo, rero, que forma el honor de la España, se aproximaba, con la Doña Marta de los Dolores, Doña María Concepción y Doña Je deliberación santa de redimir á Galicia del infernal cautiverio, susa de Elío, distribuyéndose por iguales partes entre ellos, tanto voló…</t>
  </si>
  <si>
    <t>Bernetti</t>
  </si>
  <si>
    <t>…montada: esta división fue á Ovelha y sus inmediaciones cios; pero si empeora su mal , eí cardenal Spma le reemplazará. para dirigirse á Víllarca! , y forma el centro. El prelado Sr. Bernetti, gobernador y director general de la Las fuerzas, al mando del brigadier Correa , pasaron el 59 el poiic'a , habiendo acudido á apaciguar una riña entre un gendar- Tamega por el puente de Cuvez y. Salto, en la dirección de Vi— ma v un zapatero, le dió este úl…</t>
  </si>
  <si>
    <t>…do ejemplo á la pro ú’timo ministro en Londres, 1300—El Sr. Lema, cónsul gene vincia de la Mancha, llenando de consternación las tropas revo ral de España en esta capital, 5 o— El Sr. Bernetti, vice-cónlucionarias de esta capital. sui de España, 130—El teniente coronel de artilleriz Cueto, » Dígnese V. A. S. admitir los debidos homenages de respeto 130—El capitán de Marina Sirera, agregado á ia legación, y gratitud de sus ilustres comitentes, y sus…</t>
  </si>
  <si>
    <t>Bernhardo, Adolph Philipp Cario</t>
  </si>
  <si>
    <t>Adolph Philipp Cario Bernhardo</t>
  </si>
  <si>
    <t>8</t>
  </si>
  <si>
    <t>…arados los únicos inmediatos he El Dr. D. Nicolás Bernhard Poppe en su nombre, y en ca rederos de las herencias, y se les autorizará para transferir las lidad de apoderado del sr. D. Adolph Philipp Cario Bernhardo cantidades de 38, 3^ , 4$ y t® m. inscritos, como igual Vilentze , vecino de Altona, y las Sras. Anna Agnese Amalia, mente para recoger las cantidades de 372 na., 15 c. y 72 m. hija de Poppe, viuda de D. Nicolás von Graffen, y Ar.na Ag 5 e. deposiradas en el…</t>
  </si>
  <si>
    <t>BernstoilF</t>
  </si>
  <si>
    <t>…a cuando tuviese que defender por si solo la indcp;ndenc.¡i de su Na Sres. Gottum, Kulow y Klewitz. El primero ha sido nombrado agre ción y la libertad de sus Jiab.ULt s : gado al Sr. BernstoilF para los negocios extrangeros; y el Sr. Btilov, ¿Qué seria de Portugal y ,te su Constitución ¡i el ¡soder disolutoque fue en otro tiempo ministro de Hacienda en el rHno de Weslfa- subyugase la Constitución tsfañJa : Los ultras saben muy Isifii lo que lia, ha…</t>
  </si>
  <si>
    <t>Bernstorf</t>
  </si>
  <si>
    <t>…ña. La historia y la razón decían que Nuretnberg io de Febrera. una guerra nacional ¿n España no podía dejar de ser una co.a de larga du Escriben de Viena que el ministro prusiano conde Bernstorf estaba ya ración , y las pasiones respondían que esta guerra seria negocio de 1 5 días, pava salir do aquella capital después de haber terminado sus negociaciones y que una punra lo demostraría. Las Cortes han decidido la cuestión: la con el príncipe Metterni…</t>
  </si>
  <si>
    <t>Beroldingen</t>
  </si>
  <si>
    <t>…irmar con toda la efusión de nuestra alma que Wint/ingerode, Ministro de relaciones exteriores. somos felices con la posesión de nuestro suspirado Soberano el Le ha reemplazado el Sr. Beroldingen, antiguo Embajador de Sr. D. Fernando \;i (que Dios guarde) y su Real Familia; no S. M. wurtemberguesa en Petersburgo. olvidando jamas que á esta imponderable felicidad ha contri Idem 10. buido mucho el insigne guerrero y el magnánimo ^Príncipe su au Se habla…</t>
  </si>
  <si>
    <t>Berruza, Juan Crispini de</t>
  </si>
  <si>
    <t>Juan Crispini de Berruza</t>
  </si>
  <si>
    <t>…; opinaba no debía accederse á ella. que las propuestas que se le hicieron no eran muy ventajosas, sa Aprobado. continuó negociando, y se decidió todo. Otro sobre la exposición de D. Juan Crispini de Berruza; opinaba no debía accederse á su solicitud. Aprobado. NOTICIAS DE ESPAÑA. El Sr. Canga leyó dos dictámenes de la comisión de Hacien da sobre hacer varias reformas en los resguardos militares. S« Sevilla jo de Mayo. mandaron imprimir. CORTES. Fueron nombrados…</t>
  </si>
  <si>
    <t>Bertozoli</t>
  </si>
  <si>
    <t>…cado, y entonces, acompañándome Papa el comulgar durante la octava de la Asunción. y comunicando siempre mis órdenes en la acción el cefe de esta El 18 á las cinco de la mañana el cardenal Bertozoli le ad do mayor de la división coronel D. Andrés García Camba, ayu ministró el viático. S. S. conocia el peligro en que se hallaba: le dantes de estado mayor general tenientes coroneles D. Miguel de ofrecieron algunos cordiales para reanimarlo , y respondió: &lt;…</t>
  </si>
  <si>
    <t>Bertrán</t>
  </si>
  <si>
    <t>…otra felicitación del ayuntamiento constitucio la partida extraordinariamente por los laaie/os ene-mico»; o .te, se man nal y milicia nacional ¡ocal voluntaria de Malferit por el Sr. Bertrán tuvo ¿foitunaddm;rt; r.cuida, -i excepción de ic» voluntarios cu* te de Lis sobre e¡ mismo asunto. trié habían incorporado, y que muchos di ellos artes di estes ocur El Sr. presidente anunció que mañana se continuaría la discusión rencias si habían »-*pafado…</t>
  </si>
  <si>
    <t>Bertrán, Vicente</t>
  </si>
  <si>
    <t>Vicente Bertrán</t>
  </si>
  <si>
    <t>…y Justicia es un papel s.mple, sin saberse a so maras naciones de Europa. licitud de qué persona se ha dado, qué leído á la letra dice asi: El .Sr. Adan manifestó que el ciudadano D. Vicente Bertrán d Lis Lr leyó en ef cío , y cuyo extracto es el síguteute: no había consentido últimamente en dar las aclaraciones que el Go Ei profrsor Aréjuia decia que contemplaba á S. M. todavía cen un bierno necesitaba sobre sus proposiciones, las cuales no había consid…</t>
  </si>
  <si>
    <t>Bese</t>
  </si>
  <si>
    <t>…e : eunieroi* los nueve jueces de hecho que salie de Isasi. Si alguno supiere la existencia de todos ó alguno de ellos,ron senterdos O. Sebastian de la Cuesta , D. Ramón Ibafiez , D. Bese servirá avisarlo en la casa y calle del Sacramento, rúna. 3 , cuarton 10 santos, D. Diego Bisadre , D. Gregorio Moreno del Molino, D. Jcnef Ar-as Carvajal', D. Pedro Santisteban, D. Benito Sama- bajo de la izquierda. nieto y D, Josrf de did’- . y previas lis…</t>
  </si>
  <si>
    <t>Besiede</t>
  </si>
  <si>
    <t>…, cor-» 1 Ansioso este pueblo poUsálir de U opresión, al momento que regidores y alcaldes mayores que lo eran antes del y de Marzo ae acercaron á Alcaláiot Realistas, al mando del general Besiede 1820,7 por su conducta política&gt;no hayan desmerecido- la re», destrozó la lápida i la vista de tropas de ia insurrección confianza del Rey nuestro Sefior , en cuvo.caso, ó en el de ha* que-cstaban en el puente alé Viveros y en la capital ¡ llenos de ber falle…</t>
  </si>
  <si>
    <t>Besieres</t>
  </si>
  <si>
    <t>…e; sucedió la quietud y reposo á mayor resistencia el 5 de Enero último pqr-j .¿impedir qufi la dir la anterior agitación y ; sobresalto , y ocupó el lugar del d- ".ar vision del .general Besieres se introdajpsfcen, ella. S. A- $4 en su den y í* desorganización -el buen orden y el. legítimo Ge ' .or vista seña.servido declarar que los individuos que se inscribie no , insulániose,prósperamente lia Junta provisional de España ron voluntariamente en el ba…</t>
  </si>
  <si>
    <t>Besieres, Jorge</t>
  </si>
  <si>
    <t>Jorge Besieres</t>
  </si>
  <si>
    <t>…inos qué se sirvió V. E. prevenirme, horas de un vivo fuego. y sin descanso alguno llegué al medio dia, hora en que, ha biendo desembarcado los infames en número de 800 , se halla Don Jorge Besieres, comandante general de la división de ban embarcando el trigo del diezmo; y sorprendidos en esta su nombre, comunica al Sr. secretario del Despacho de la Guer operación, los ataqué con denuedo, cuyo ataqúense sostuvie ra el parte siguiente : ron algún temo, h…</t>
  </si>
  <si>
    <t>Bessieres</t>
  </si>
  <si>
    <t>…ia otros varios expedientes, y levantó la sesicn á las tres y media. Sa puerta por donde se retiraban los enemigos, y les hemos muerto al guna gente, en el número al mayordomo del general Bessieres; todos __Hoy hemos recibido los números del Times de los dias 7 y 8 del estos bizarros continuaron persiguiendo al enemigo, y yo me volví i corriente, ios cuales se limitan á copiar nuestros periódicos y los de tiempo que entraba por la puerta de Zaragoza la…</t>
  </si>
  <si>
    <t>…an conseguido este triunfo sobre fuerzas muy superiores tes para sustraerlos del protocolo. en número. Junta general del dia 34 de Mayo. — El coronel Mondedeu , de la división del general Bessieres, Enterada la junta de las diligencias practicadas por los seño derrotó el 18 en Picazo, cerca de Sisante, casi á ia frontera del res síndicos procuradores generales de este Señorío , á consecuen reino de Murcia un destacamento de i 50 caballos enemigos, cia d…</t>
  </si>
  <si>
    <t>…r, sin poderla saludar mas continuaba la caballería persiguiendo los restos del enemigo ; y que con impacientes balidos. Nuestro Monarca ya no es Mo s-gun las últimas noticias del general Bessieres suponía haber caí narca en concepto de los reformadores: le consideran solamen ■, y su conducta, para cuyo elogio solodo prisionero Egoaguirre, comandante de la columna deshecha» te como un vil criminal Por nuestra ptite hubo la desgracia de ser gravemente he…</t>
  </si>
  <si>
    <t>…e, y tuvo mucho trabajo en vol gentos, cabos y soldados, 30 caballos y un cañón. A seguida de ver á coger sus barcos, sobre los cuales querían arrojarse nuestros este encuentro el general Bessieres se dirigió rápidamectc sobre soldados, á pesar del fuego cruzado del tuerte de Santi Petri, de el fuerte de Chinchilla, del que se apoderó el día 18 á la ma una batería y de dos cañoneras. Un furrier del regimiento 2o.0 drugada. La ocupación de este fuerte es…</t>
  </si>
  <si>
    <t>Bessieres, Jorge</t>
  </si>
  <si>
    <t>Jorge Bessieres</t>
  </si>
  <si>
    <t>Gaceta de Madrid n.º 1283</t>
  </si>
  <si>
    <t>…os. término de 30 dias. Serafín procurador de los pueblos, historia política y bases de un buen Gobierno: un tomo en 4.0 Se vende en la librería de Imitación del Mariscal de Campo D. Jorge Bessieres. Gómez á 16 rs. en rústica. Fac—Simile, 6 exacta imitación de la exposición original es Habiendo llegado á mi noticia, que algunos individuos in crita de puño y letra de D. Rafaei del Riego la víspera de sufrir dependientes de ¡as tropas realistas de mi mando…</t>
  </si>
  <si>
    <t>Bessietes</t>
  </si>
  <si>
    <t>…pesar de la cortedad de » Este pueblo, constantemente decidido por los intereses de su vecindario, y de componerse en casi su totalidad de gente su amado Rey , tan luego corno el general Bessietes se acercó á rústica y sencilla: creación de milicia nacional con mil maño- Sigiienza, formó una compañía de voluntarios rcali.tas, que sidades, y aun con notoria violencia para que los inscritos apa uniéndose á aquel caudillo, ha dado y da pruebas nada equívo…</t>
  </si>
  <si>
    <t>Bethisy</t>
  </si>
  <si>
    <t>…fin comenzaron á retirarse luego teniente Beret. Ultimamente en el estado mayor al capitán Duque recibieron la orden, no se atrevió el enemigo á apartarse pouy, edecán del general conde Bethisy; al teniente de Alontd; !a protección del fuego de dos lanchas cañoneras y de las ba moreney, su oficial de ordenanza; al capitán Rousselet, edecán rrías de la Carraca. del general príncipe de Carignan, y al teniente Brice, edecán La columna que salió á ataca…</t>
  </si>
  <si>
    <t>Betirisy</t>
  </si>
  <si>
    <t>…e marchaban á ocupaba, y de los tiradores colocados detrás: el enemigo quiso su frente. F.n la misma jornada, mientras que la división Curial entonces desplegarse; pero el general conde Betirisy, que habia formaba el bloqueo de Barcelona sobre la orilla izquietda del ocultado en el bosque dos batallones y tres piezas de artillería de Llobregat, hizo salir el enemigo dos columnas, la una por el la guardia Real, habiéndoles hecho fuego de metralla , y…</t>
  </si>
  <si>
    <t>BeucheíF</t>
  </si>
  <si>
    <t>…n , que salió el 22 de Valdivia, se sabe estaba allí la expedición des Del comandante accidental y demas empleados del resguardo mili tinada contra la isla de Chiloe, al mando del coronel BeucheíF y del tar de la provincia de Ja Coruña. comodoro VVooster. Del regente de la jurisdicción contenciosa de la villa de Sepúlveda. El 5 de Noviembre último apresó la fragata inglesa Miperion , de De los ciudadanos que componen la sociedad patriótica de Segovia.…</t>
  </si>
  <si>
    <t>Bi, Francisco</t>
  </si>
  <si>
    <t>Francisco Bi</t>
  </si>
  <si>
    <t>…anuel Reina, secretario de S. M. y escribano de cámara del mismo certifica: Juan Mayans , Miguel Vallejo , D. Francisco Casares, Josef Lu- Por el presente edicto cito y emplazo al Sr. D. Francisco Bi incena, Gabriel Contreras , Josef García , Francisco Granado , Be gas, actual diputado por la provincia de Filipinas, comprendido nito García, Josef Ruiz, Josef Gran, Josef Arias, Manuel en ía causa que se está siguiendo á dicho Sr. diputado y otros., que Per…</t>
  </si>
  <si>
    <t>Bi, Gómez</t>
  </si>
  <si>
    <t>Gómez Bi</t>
  </si>
  <si>
    <t>…so a la Nación, ó mas bien proporcionarle lo mismo lendez, Florez Calderón, Gómez Becerra y Sr. presidente. que deseaba. En esta observación nunca quieren entrar nuestros enemi El Sr. Gómez Bi cerra: Yo pido í ¡as Cortes acuerden que la sesión gos ; : y cómo no temen al habier de esto que ¡lechando mano de ta de hoy se imprima a la mayor brevedad posible, y se circule á todos historia no se les jipe la boca demostrando que todos los. Gobiernos lo»…</t>
  </si>
  <si>
    <t>…ión sobre la totalidad del dictamen de Ja com puesta del Sr. preopinante; pero es preciso que se tenga presente que cuan sion de Diputaciones provinciales sobre Ja proposición del Sr. Gómez Bi do se verifique la invasión, todos los pueblas de una provincn , excepto la cerra, relativa á la formación de un decreto, concediendo facultades extra-</t>
  </si>
  <si>
    <t>Bibcto, Antonio</t>
  </si>
  <si>
    <t>Antonio Bibcto</t>
  </si>
  <si>
    <t>…se ñus de sus casas para entre la Rusia y estas diversas tr.bus, todas tan opuestas cutre cuando ocurra citarles. sí por sus miras ¿ intereses políticos. No serla tampoco mas pro D. Antonio Bibcto. __D. Gregorio Machín.—D- Ga bable que un ejercito regular, arrastrando á su retaguardia enjam briel Fernandez.__D. Felipe Coll____D. Benito Proti----- Don bres de cosacos y calmucos indisciplinados , pueda abrirse paso á Joscf de Camps, v.va fuerza por medio…</t>
  </si>
  <si>
    <t>Bicerra</t>
  </si>
  <si>
    <t>…administración, táctica y servicio. Habiendo vuelto la diputación que había ido á palac'-&gt;,dijo su pre Art. 7.0 » Para qu; la junta de inspectores pueda proceder con la sidente el Sr. Bicerra que S. M. la habia recibido con el agrado que exactitud y solidez qu; exigen los importantes asuntes que se confian á acostumbra , y que hab.a dicho que tomaría en consideración el decre su examen y cuidado, t ndrá facultad para pedir los conocimientos, i ■ t…</t>
  </si>
  <si>
    <t>…s las corporaciones é in tamente en ia adición que se habia hecho; y que en cuanto á la pri dividuos españoles para que en donativo ó en calidad de empréstito mera observación del Sr. Bicerra sobre la fecha del decreto , no podía reintegrable suministren al Gobierno las cantidades que les dicte sil expresarse asi en el de que se traía, porque variaban mucho las cir patriotismo y su deseo de sostener ilesas las libertades públicas, so cunstancias ,…</t>
  </si>
  <si>
    <t>Bicerra, Gom-z</t>
  </si>
  <si>
    <t>Gom-z Bicerra</t>
  </si>
  <si>
    <t>…fuego. 1): varios ciudadanos hacendados , comerciantes y artesanos de es En este estado marché por el entro con el objeto de ganar el pueblo ta capital , presentada y leída por el Sr. Gom-z Bicerra. i la havonrta con ei resto de la columna, coi.-.pu. sta de los de Be- De ia sociedad patriótica de Avila , presentada y leída por el se lanzr s y .Salamanca, los pr.m ros por el capitán D. Jostf María Gasé, ñor Guevara. D. Antonio Miranda de '.astro, tenient…</t>
  </si>
  <si>
    <t>Bieddes, Antonio</t>
  </si>
  <si>
    <t>Antonio Bieddes</t>
  </si>
  <si>
    <t>…pasaron varios La misma comisión opinaba que no debía accederse á la soli expedientes remitidos por el Gobierno, relativos á las dificulta citud de Doña Josefa Almendros, viuda de D. Antonio Bieddes c ue ha ofrecido el cumplimiento de varios artículos del plan ana, sobre que se le abonen las mesadas que le correspondieron de beneficencia ¡ y á ía necesidad que hay de aclarar algunos por ci tiempo que estuvo suspenso del empleo que ejerció duran de ellos.…</t>
  </si>
  <si>
    <t>Bigodct</t>
  </si>
  <si>
    <t>…vistos de todos ios medios que conservan lega!men trario al nombramiento de la Regencia provisional te la organización social, ahora cuando se aproxima el momento Entró á jurar el señor Bigodct, nombrado individuo de la de ver nuevamente' r-n medio de vosotros á un Monarca que os Regencia. promete tantos beneficios, y que protesta desea evitar todo; Jos Se aprobó una proposición del Sr. Canga para que se nombre males, conservaos en este estado de bu…</t>
  </si>
  <si>
    <t>Biico</t>
  </si>
  <si>
    <t>…ón del pueblo ds Caspueñas se coloco en lla, á las órdenes de! comandarte Don .¡esef Mea:.-, y U columna orcen de batalla toda nuest.a pequeña división, situar do la pulida de del coronel Biico caía sobre los de Buron. En -este dia me situé mi tarso i la izqui rda ds a linea como á tiro de fusil, marchando en en él como con el objeto ds arrriguar los movimientrs de ¡os este orden hasta dar vista á la pob'acion, que ocupaban los enemigos, facciosos y…</t>
  </si>
  <si>
    <t>Bimnida, Pedro</t>
  </si>
  <si>
    <t>Pedro Bimnida</t>
  </si>
  <si>
    <t>…de Zapadores , P. Juan Cid. cedieren para los seis últimos meses completará el presupuesto del ATct.i. En la salida se hallaron tamlren los bizarros D. An año civil. drés Bceoña y D. Pedro Bimnida , milicianos voluntarios de Ro A.*l. 2o El Gobierno tomará las providencias oportunas sales. Línea de! Trocadero 22 de Agosto de iBcg.—Josef Grasses.s: para la ejecución del ait cuío anterior. Cádiz 30 de Jubo de Es copia. “Burriel. i'Cq.— Pedro Juan de Zulue…</t>
  </si>
  <si>
    <t>Bimof, Josef Antorio</t>
  </si>
  <si>
    <t>Josef Antorio Bimof</t>
  </si>
  <si>
    <t>…sco Jimé llería j siete de á pie, incluso el gefe. nez; Doña Antonia Jiménez; D. Manuel Belticnate , con su rspo^c, Murcia 17 de Marzo. una h’’B y ani criada; D. Ver-tura Alisas , D. Josef Antorio Bimof D. Juan Antonio Loredo , D. Josef de la Cámaro , D. Manuel Ra El espíritu público cada día va mas en aumento; y pocos son los mos, D. Juan Orcullo , D. Josef Fernandez , D. Antonio Sola , Pon que se manifiestan indiferentes. Los partidos liberales se van aumentan Vicente y D…</t>
  </si>
  <si>
    <t>Bírg</t>
  </si>
  <si>
    <t>…personas sospechosas disfrazadas n Algunas granadas arrojadas í propósito desde Jorba , bajo en tra'ge de-marineros , y fu .ron llevadas á la cárcel del P-uertt» la dirección del general Bírg*, comandante en gefe de la arti de Santa Mlría; entre ellas nn tal Argentioficial que fue da llería, han producido los mas f licr-s resuda dos. Guardias; otro compañero suyo; un oficial de Guadalajara&gt; ede » Desalojado asi el enemigo de todas sus posiciones,…</t>
  </si>
  <si>
    <t>Birge</t>
  </si>
  <si>
    <t>…io que hay .eqtre. Riera y el camino .Real. El mando del barón de Eróles marcharon.hacia ia Madona de Lo escuadrón del a3.? de cazadores estaba»! retaguardiade,esta linea. ólo. Kl general Birge y la brigada Aehard siguieron la misma La reserva consistía en dos barbones del 3.0 de línea del dirección. El general Montgardé marchó con su división por el general Taulin. , camino real. El resultado de la acción fue desalojar al enemigo ■ El ataque'fue mu…</t>
  </si>
  <si>
    <t>Bisadre, Diego</t>
  </si>
  <si>
    <t>Diego Bisadre</t>
  </si>
  <si>
    <t>…ia de todos ó alguno de ellos,ron senterdos O. Sebastian de la Cuesta , D. Ramón Ibafiez , D. Bese servirá avisarlo en la casa y calle del Sacramento, rúna. 3 , cuarton 10 santos, D. Diego Bisadre , D. Gregorio Moreno del Molino, D. Jcnef Ar-as Carvajal', D. Pedro Santisteban, D. Benito Sama- bajo de la izquierda. nieto y D, Josrf de did’- . y previas lis formalidades que previene ha ■ Se halla vacante el magisterio de primeras letras del Picazo (Cuen…</t>
  </si>
  <si>
    <t>Bjcerra, Gómez</t>
  </si>
  <si>
    <t>Gómez Bjcerra</t>
  </si>
  <si>
    <t>JC-Í Se iry-.-'on a petición del Sr. Gómez Bjcerra los arts. 34a y 343 vos gastos pata que las Cort:s vean los verdaderos que se van á origi de h Ccnstitucivn. nar y puedan decretarlos con toda seguridad? ¿Con qué conocimientos K. Sr. Carica preguntó si en el pago de las contribuciones estaban han de proceder…</t>
  </si>
  <si>
    <t>Bla-, Agustín</t>
  </si>
  <si>
    <t>Agustín Bla-</t>
  </si>
  <si>
    <t>…vedad. El capitán Don de estado mayor Francisco Javier Cavancs.” Vicente Ruiz, los alféreces D. fausto García y D. Miguel Nue ras , de Alcántara, y el de igual clase de artillería D. Agustín Bla- __En la provincia de Madrid y en Ja de Ciudad-Real se han ke con dos cabos y un soldado siguieron á Bessieres hasta Mon- levantado ya veinte y dos guerrillas debidamente autorizadas por teagudo, no habiendo podido acompañarlos el resto de las dos las juntas y…</t>
  </si>
  <si>
    <t>Blake</t>
  </si>
  <si>
    <t>…eñores que lo impugnen deben pro había tomado las disposiciones mas activas para trasladarse á la bar que no lo es. Isla Gaditana. El mismo medio del barco de vapor fue también El Sr. Blake: Desde la primera lectura de la proposición del un recurso dejado de antemano por el Gobierno para que verifi Sr. Canga me pareció que era inoportuna, ilegal y perjudicial. casen los empleados su viage , y auxilió algunos hasta con pre La consideré inoportuna…</t>
  </si>
  <si>
    <t>Blanco, Antonio</t>
  </si>
  <si>
    <t>Antonio Blanco</t>
  </si>
  <si>
    <t>…Campon , de Rivadeo. . .. ,s Don Joaquín García, D. Vicente García, hermanos, y ej uno gobernador de Marín. . .. . . - . El Monitor de 5 de Agosto copia una. cprto escrita por 111 Don Antonio Blanco, D. Matías Blanco, Francisco Va capitán.,,ayudante tic campo dei general la Rochejaqu'elcin, á lladares , de igual destino. . , j;o .otro general;residente eu Taris , fecha delanj^ideiia Coiuña-el \j Don Domingo Basso, D. Isidro Astorga, D. Dionisio de Julio…</t>
  </si>
  <si>
    <t>Blanco, Gaspar</t>
  </si>
  <si>
    <t>Gaspar Blanco</t>
  </si>
  <si>
    <t>…ona para acordar lo mas conveniente, desde otro sistema. donde dice se dirigirá hasta Tordera , donde se halla el general Después de una larga discusión quedó desaprobada Ja propo D. Gaspar Blanco con 1400 hombres. sición por 142 rotos contra 48. Según cartas de Marsella parece que los fondos españoles des fíe habia recibido en Londres una carta de Bayona, en la cual de la invasión han subido un 10 por 100. se aseguraba como cosa cierta que el duque de…</t>
  </si>
  <si>
    <t>Blanco, Jos-f</t>
  </si>
  <si>
    <t>Jos-f Blanco</t>
  </si>
  <si>
    <t>…o de hombres libres pudiera txieitss Caspueftas los milicianos de la cuarta del segundo D. Vicente García y esperarse tanto sacrificio y tanta constancia. Madrid 3 dé Febrero de y D. Jos-f Blanco , y el agregado á la quinta D. N. Robledo. Fu-ron i8i3.=rRodrigo de Arand3. hec1 os prisioneros ry milicianos y dos cornetas de ios que escoltaban El ayuntamiento ha acordado noticiarlo al público para su inteli el convoy de la columna al mando de dicho gener…</t>
  </si>
  <si>
    <t>Blanco, Manuel</t>
  </si>
  <si>
    <t>Manuel Blanco</t>
  </si>
  <si>
    <t>…i89 , y los de la cuarta i69,- opina División provisional. Ministerio principal. 'El comisario de ba que las Cortes podían servirse'aprobarlo asi; aunque con su guerra habilitado D. Manuel Blanco., jeción á los'descuentos de h escala aprobada por las Cortes. División de caballería. Ministerio prihcipal el comisario de Aprobado. ' guerra D. Pablo Enales; director guardaalmacen de víveres y La misma com'ision , en vista de la solicitud del ayuntamien "p…</t>
  </si>
  <si>
    <t>Blanco, Matías</t>
  </si>
  <si>
    <t>Matías Blanco</t>
  </si>
  <si>
    <t>…. .. ,s Don Joaquín García, D. Vicente García, hermanos, y ej uno gobernador de Marín. . .. . . - . El Monitor de 5 de Agosto copia una. cprto escrita por 111 Don Antonio Blanco, D. Matías Blanco, Francisco Va capitán.,,ayudante tic campo dei general la Rochejaqu'elcin, á lladares , de igual destino. . , j;o .otro general;residente eu Taris , fecha delanj^ideiia Coiuña-el \j Don Domingo Basso, D. Isidro Astorga, D. Dionisio de Julio último, por llevar…</t>
  </si>
  <si>
    <t>Blas</t>
  </si>
  <si>
    <t>…emch, D. Lorenzo Martínez, escribano, D. Matías An hará impracticable» muchas disposiciones da este proyecto. A este Es tonio Herdara , D. Andrés'Martí ,'escribano, conde Parsen , D. Blas contestado el Sr. Varda que á todos ios casos ae ha ocurrido én él, Madalenes, D. Josef Chisbett, D. Cefírino Pellicer, Vicente Bañue- y con la delicad»- iu posición ha añadido que'si bb se admitiese los. P. Josef Am“is, S. Francisco, P. Lorenzo de Valencia,…</t>
  </si>
  <si>
    <t>…e este artículo quedó aprobado, re vio D. Blas de Salcedo, pidiendo que en atención á haber muer dactándose la última cláusula en estos t mimos: «y cualquiera" to en campaña dicho D. Blas y 4 cuatro hijos , quedándole en el que por esta razón atropelle sus personas, las de sus familias; día solamente uno que ha seguido por 10 años la carrera de las sus bienes y fortunas.’’ armas, y ha tenido que dejar el servicio por imposibilidad tísica, Art.…</t>
  </si>
  <si>
    <t>…nte como un león , y nos aseguran haber muerto ascendiendo los herido» al subteniente de la compaira de Alcamz á un oficial francés : quisiéramos tener mas d úos sobre este hecho; D. Blas zVinza y nueve soldados de los cuerpos de la Union , Va- Jo cierto es que la espada de o&gt;t,e getc esta ¡lena de coi ladina». lencev , compañías de zVstunas, Alcañiz y escuadrón ligcio y de Nos informan igualmente que en este día se d.si.neuto el cap.tan lance…</t>
  </si>
  <si>
    <t>Blasco, Gavino</t>
  </si>
  <si>
    <t>Gavino Blasco</t>
  </si>
  <si>
    <t>…Ramón Aldao, marchando Ntra. Sra. de la villa de Cifuentes: si alguno supiere su paradero sa at mismo tiempo con dos columnas por el centro y derecha á ia bayo servirá avisarlo á D. Gavino Blasco, calle de las Fuentes, núm. 3, neta, una á su mando y la otra al del teniente D. Nicolás Rodríguez cuarto a.”, quien dará el correspondiente hallazgo. de M-jorada , y quedándose el resto de reserva encargado al espitan Ley para el Gobierno econónnco-politico…</t>
  </si>
  <si>
    <t>Blau</t>
  </si>
  <si>
    <t>…marques de Lauriston, comandante en gefe del y á.;.varios oficiales, sargentos, cabos-y. soldados , entre otros segundo cuerpo ds reserva , tendrá el mando superior de las pro al sargento Blau? que no quiso dejar el campo de batalla vincias de Guipúzcoa, Navarra, Aragón, del Ebro bajo, su hasta después de haber quemado todos sus cartuchos; al cabo cuartel geners! fin TolosSa El tcnisnís gsnsjül conde Molitor^ Fíandin que volvió-al combate después d…</t>
  </si>
  <si>
    <t>Blazquez, Pedro Montero</t>
  </si>
  <si>
    <t>Pedro Montero Blazquez</t>
  </si>
  <si>
    <t>…el Go acción de guerra, bernador dpi',, plaza de Cádiz, se le concedan las mas amplías ANUNCIOS. facultades paila que pueda tomar cuantas medidas crea contenien Por providencia de D. Pedro Montero Blazquez, Alcalde tes para la defensa de la Isla gaditana.” del lugar de Puebla Nueva, se emplaza á todos los parientes Habiéndose declarado que esta proposición se hallaba com y demas personas que se crean con derecho á los bienes quedaprendida en el artículo loo del…</t>
  </si>
  <si>
    <t>…iados del siglo 18, y hace 40 años que se esfuerza deses pretendientes dirigirán sus memoriales por medio del Sr. Alcalde peradamente en inficionar á todo el género humano con sus D. Pedro Montero Blazquez, los que se admitirán hasta el dia ideas de exterminio. Fanatizados con ellas hasta un extremo in go del presente mes de Octubre. creíble, ni los arredra la multitud, que se sacrifica de sus propias Se hallan vacantes cuatro cátedras de latinidad, pertenecien…</t>
  </si>
  <si>
    <t>Bmdon, Miguel</t>
  </si>
  <si>
    <t>Miguel Bmdon</t>
  </si>
  <si>
    <t>…soli nia libertad. citudes de D. F use be Vail térra, de Fr. Miguel Marti , lego profeso El Sr. Pretéxtalo habló largamente para manifestar que habiendo de un convento de Coria, y D. Miguel Bmdon , médico director de pretendido l.t Reina d'rnbar del trono á su augusto esposo por rio, ve aguas mine;ales, para que se les eximiese de! sorteo, añadiendo el ctaces, t il vez esta s*ria la tercera qu: lo intentase , y que no se sabia có do BanHon se exórnese…</t>
  </si>
  <si>
    <t>Bnr-</t>
  </si>
  <si>
    <t>…des Bustos y Florez Calde se dio , cuando fue necesario^ añadir dos puntales pa rón. ra sostenerla. ¡Vías no- fueron estos solamente tus ma Se aprobó la siguiente proposición «leí Sr. Bnr- les que se originaron y estamos palpando : otros sen nngu : ,, Bido á las Górtes qne dispense n el reglamen ios que háu dado lugax á esas leyes adicionales que to interior de las mismas para el sólo efecto de so - ahora se presentan. iemnizar la traslación de…</t>
  </si>
  <si>
    <t>Bnruaga</t>
  </si>
  <si>
    <t>…n patrañas, aprobando el dictamen hombres no se arraigasen por medio de la propiedad no debía de la comisión. exigirse aquella circunstancia para poder ser elegidos diputados á El Sr. Bnruaga: Estoy plenamente convencido de que para Curtes. Esta adquisición de bienes ó de la propiedad no se ha ve- decidir sobre esta materia no necesitamos el informe de Gobier r/ücadp aun , y no puede lograrse sino en un período largo de no ninguno , aunque confio…</t>
  </si>
  <si>
    <t>Boado, Nicasib Sánchez'</t>
  </si>
  <si>
    <t>Nicasib Sánchez' Boado</t>
  </si>
  <si>
    <t>…________ de• Já/RcmL.Doña‘ 1 ' ’ ' ' -' ■ '1 de Jlt general-‘de csrado mayor príiriernyüdánre D. Josef s Güerrtro : Torres ¿ él áir¿«z dé cabállcríizy ayudante de ctinpo dL S. E., D. Nicasib Sánchez' Boado y; el iprimér ajaidantó :deli fegímietito EN LA IMPRENTA NAClONzLL</t>
  </si>
  <si>
    <t>Boafo, Josef Sánchez</t>
  </si>
  <si>
    <t>Josef Sánchez Boafo</t>
  </si>
  <si>
    <t>…e la Torre par la da Vizcaya, yor el brigadier D. Felipe Montes. — Frimer ayudante general y y D. Francisco de Paula ce Seria por la de Granada.” segundo gefe del estado mayor, el coronel D. Josef Sánchez Boafo oficial jubilado de la secretaría dei Despacho de la Gobernación de lí El R-y ha expedido el decreto siguientr : Península___Primer ayudante general D. Lino Lavina-----Primer ayu. Don Fernando vu por :a gracia da Dio» y por la Constitución de dante general el…</t>
  </si>
  <si>
    <t>Boarlaciones</t>
  </si>
  <si>
    <t>…ha influido tanto la magnánima resolución que ha tomado bloqueo de Cádiz. V. M. con respecto á la España, se apresura á renovar las re Ayer se hizo consejo de guerra por orden del general Boarlaciones , bien contra su gusto interrumpidas, entra las dos au mont al teniente coronel D. Nicolás Enrile, que fus aprehen gustas cortes de Francia y Portugal. dido por la columna de Ayamonte con pliegos de Casteldos’&gt; En la elección que el Rey ha hecho de mi en esta…</t>
  </si>
  <si>
    <t>Bocanegra, Manuel</t>
  </si>
  <si>
    <t>Manuel Bocanegra</t>
  </si>
  <si>
    <t>…nunció por cí pronto á su d paño , por cuyo relato se impondrá de ia desgrac'a aducida al sign o; pero tuvo la resolución de enviar a d.cir ai Papi que no voluntario de la primera D. Manuel Bocanegra, que le fue que le concedería la paz hasta que hubiese pedido perdón al Rey su brada una pierna. Este benemérito ciudadano , aunque en la ac amo por haber tratado con tan poco niiiamiento á su aucusto tualidad se encuentra en el hospital, se halla muy bien as…</t>
  </si>
  <si>
    <t>Bogotá, Curial Santafe de</t>
  </si>
  <si>
    <t>Curial Santafe de Bogotá</t>
  </si>
  <si>
    <t>…la plaza, conde Curial Estas son las tropas que el 4 se adelantaron Inicia no tenia consigo masque 2000. El presidente Bolívar está en Mataró, á consecuencia de cuyo movimiento el conde Curial Santafe de Bogotá , y tiene salud. En Caracas mandaba el general evacuó este pueblo , reconcentrándose en Granollers. Soublcte. Se dice que el Gobierno de Colombia tiene mucho di nero y paga con puntualidad su ejército y marina. Los frutos Idem 11. estaban muy caros á causa de…</t>
  </si>
  <si>
    <t>Boígues, Pedro</t>
  </si>
  <si>
    <t>Pedro Boígues</t>
  </si>
  <si>
    <t>…ré yo mi opinion cuando las Cor Solo, Dr. Domingo Pitalua, D. Rafael Seguí, D. Josef González, tes se ocupen de ella. Se trata ahora únicamente de dar un proyectó D. Joaquín Gil , D. Pedro Boígues, abogado, Mariano Teruel, An de instrucción para el gobierno ccooómico-político de lat propináis ds drés Ferrer, P. Hurtado, D. Josef Dolz, capitán ds artillería, P. Sal Ultramar, porque el decretado para la Península no está adecuado'I'.Iá vador Boira, de S.…</t>
  </si>
  <si>
    <t>Bois.o, J.</t>
  </si>
  <si>
    <t>J. Bois.o</t>
  </si>
  <si>
    <t>…, tro cuartas cio , los capitanes Bartolomé Paoileila, y Graziani, el teniente Leratin parte, de ia r.ac.on qu eren ia guerra , como la votan a^iso sin ouvr.-rla las ¿e Auria , e! coronel J. Bois.o y el mayor P.sa , lian sido declarados -eos tres cuarta, paite, de esta Cimara: En esu ocision podemos ... 'arar con de complicidad en primer grado; y todos lian sido condenados á pena ca mas certeza qu. nunca que Ja Accón del poder absoluto, que en -este mo…</t>
  </si>
  <si>
    <t>Boisar, Jaime Fabregucs</t>
  </si>
  <si>
    <t>Jaime Fabregucs Boisar</t>
  </si>
  <si>
    <t>…e ellos, El primero, que contiene los Santos eoan. Dionisio PerezGü'rra, D. Francisco Vcrgara , D. Francisco ¿elios y los Hechos de los Afistoles, esta ya impreso, y puede García, D. Jaime Fabregucs Boisar, D. Francisco Juárez Val- servir como de maestra para los que gusten suscribirse al tomo dés, D. Santiago Fontaines , D. Josef Antonio Jiménez, Don 2.1, que se está imprimiendo, y contendrá lo restante del Nue Pedro Angel de Zt bala, Doña Rosa Joaquina y Dona…</t>
  </si>
  <si>
    <t>Bolinee</t>
  </si>
  <si>
    <t>…, y proclamando ideas contrarias a ¡as que expreso el sas y haciendo promociones , publicándolo todo en su bolet n : al Rey I.uis xvill. El reconocí m cuto de la junta cava entena general Bolinee le hizo comendador de S. Luis: nombro cuatro con las intencione» man Estadas por los Gub int.s si ajwaban caballeros de la misma orden , y. Ja condecoración de la Legión los principios que aquella ha p’oclanuelo. he s La la becada á de Honor de Boriapartc fue…</t>
  </si>
  <si>
    <t>Bolívar</t>
  </si>
  <si>
    <t>…españoles. Si recoidamos __ Cartas de Caracas del £ de Julio anuncian que según las no bien ias noticias oficíales publicarlas en LV.ndres, nos parece que ticias mas recientes el general Bolívar estaba en Guayaquil, de ei Gobierno francés había pensado que los medios mas propios donde había enviado 63 hombres en socorro.de la república del para terminar las. inquietudes de la España serian quizá conceder Paú, y se miraba como probable que aceptarla l…</t>
  </si>
  <si>
    <t>Boltri, Miguel</t>
  </si>
  <si>
    <t>Miguel Boltri</t>
  </si>
  <si>
    <t>…su satisfacción. exactitud la citada Real instrucción de 28 de Junio de 1794, y. la Real cédula de 11 de Febrero de 1815 en la parte en que El intendente de la provincia de Soria D. Miguel Boltri, apanda que ios pliego, intermedios de toda especie de escrituras, ha acudido á la Regencia del reino en solicitud de que se sirva compulsas, ejecutorias, certificaciones, testimonios, copias ó admitirle el donativo que hacia i favor del Real erario, de 149 t…</t>
  </si>
  <si>
    <t>Bon-</t>
  </si>
  <si>
    <t>…tan fatiga ótras castró compifiías llegaron i apoderarse de estas casas, y da , después de haber caminado ocho leguas españolas. desdé él fas'sostenían un vivo tiroteo mientras el general Bon- El Sr. Lauriston recomienda con preferencia en el 9.0 de ca fíeméins ir ocupaba en ordenar la recomposición de las esclusas zadores al coronel d’Hautpoul, quien con su valor decidió desde destruidas para poder pasar el Jucar á vado. Este trabajo dura un principio e…</t>
  </si>
  <si>
    <t>Bonavia, Bernardo</t>
  </si>
  <si>
    <t>Bernardo Bonavia</t>
  </si>
  <si>
    <t>…s al mando de Portatnbú. Los D. Josef Cienfuegos, príncipe de Anglona y D. Ramón Pirez; los acometieron, y echaron del pueblo; mas se rehicieron, y precisaron á mariscaos de campo D. Bernardo Bonavia y D. Francisco Suazo se me que se introdujesen en el granero de la Decimaria, que es casa fueitr, presrniaron , como todos los demas generales existentes en Madrid,pi donde quedaron anoche. Esto me ha referido un propio vecino de diendo se hiciese uso de su buena voluntad. Aguila…</t>
  </si>
  <si>
    <t>Boneville, D- Gregorio López de</t>
  </si>
  <si>
    <t>D- Gregorio López de Boneville</t>
  </si>
  <si>
    <t>…D. Josef Tejeiro, ba con el dictamen del Gobierno. Aprobado. D. Antonio Tejeiro, D. Josef María Doncel, D. Josef Curten. La misma comisión, en vista de la exposición de D. N. ZaEl teniente D- Gregorio López de Boneville. los subtenientes vala , para que se le continúe el pago de la pensión de 4© reales D. Sancho Conejo, D. Mateo Baca, D. Vicente Suarez. El ca que se le habia concedido anteriormente, opinaba que no se está pitán de M. A. D- Valentin de Toro. El subteniente de…</t>
  </si>
  <si>
    <t>Bonifacio</t>
  </si>
  <si>
    <t>Gaceta de Madrid n.º 393</t>
  </si>
  <si>
    <t>…la cos mero , se cita, llama y emplazad los parientes y demas inte tosa y bien meditada expedición al Rio de la Plata no hubiera resados á los bienes quedados por fallecimiento de D. Bonifacio sido destruida por los gefes y oficiales que debian ir en ella, ven de Olivencia, vecino que fue de esta corte, para que dentro diéndose al oto y plata de los de Buenos-Aires, y á las intri del término preciso y perentorio de 20 dias, contados desde es gas y…</t>
  </si>
  <si>
    <t>Bonifaz, Josef</t>
  </si>
  <si>
    <t>Josef Bonifaz</t>
  </si>
  <si>
    <t>…fue de los pri Los que quieran pretenderlas lo harán por memorial al ayunta maros que se arrojaron sobre esta masa ; al brigada Broun que se miento de dicha,villa, que dirijirán á D. Josef Bonifaz ó í echó sobre un destacamento , despreciando su fn-go, é hizo D. Josef Muerza, procuradores síndicos de ia misma, que los prisionero al oficial que le mandaba; al de igual clase Parrat, que admitirán hasta el dia 20 del corriente mes. llegó el primero sobre…</t>
  </si>
  <si>
    <t>Bonnald, Henrique de</t>
  </si>
  <si>
    <t>Henrique de Bonnald</t>
  </si>
  <si>
    <t>…rpiñan , donde s; le ha señalado su resi El dia 4 hubo fuego en el palacio de las Tullerías, pero se apagó dencia. _ ‘ en breve sin que tuviese consecuencias. Parir 6 de Enero. El Sr. Henrique de Bonnald no quiere de ningún modo que la Fran (1) Visitas nocturnas que hacen los jóvenes á sus novias con con cia conserve la paz con España, y ha estampado hoy en un periódico sentimiento de los parientes mucho tiempo antes de casarse con ellas. sus bélicos aforismo…</t>
  </si>
  <si>
    <t>Bonnemain</t>
  </si>
  <si>
    <t>…zquierda adonde: se hallaba el conde Molitor llos, que acababan de hacer una marcha de 1 a horas; sin em intentó elemmigpjjlcfendet las avenidas del pueblo; pero el ge„ bargo , ei general Bonnemain, que mandaba esu vanguardia, no setal Su Chaman»,, ai frente del 4,0 y 2o,0 de cazadoresdió mu comenzar el ataque. chas cargas brillantes, acuchilló y arrolló cuanto quiso oponér los escuadrones españoles situados.delante del pueblo,, y los sele á mi..paso ,…</t>
  </si>
  <si>
    <t>Bonnemain, Vizconde</t>
  </si>
  <si>
    <t>Vizconde Bonnemain</t>
  </si>
  <si>
    <t>Gaceta de Madrid n.º 1093 (extraordinaria)</t>
  </si>
  <si>
    <t>…S. M., ha sido ocupada en’ la mañana de hoy por las tropas aliadas; y yo en el mismo acto he toma do posesión de la misma en nombre del Rey' nuestro Señor &gt; acompañado del Excmo. Sr. Vizconde Bonnemain, Teniente General del ejército de SV M. Cristianísima.” EN LA IMPRENTA REAL.</t>
  </si>
  <si>
    <t>…Mátías Rcdriguez:—.Mateo Borrego l.opez.=Por mandado mediatos. Mañana se tomará posesión por un acompañado da' de E. M. N. y M.' L‘. 'ciudad de Bujalance, Joaquín. Muñoz, Teniente general Vizconde Bonnemain y de las tropas de su man Escribanóde cabildo;’1 {; &gt; do del castillo de Sta. Bárbara y fuerte de S. Fernando, y en el dia siguiente se verificará la'entrega de la plaza. ,,Señor: El Corregidor V Ayuntamiento de la vuestra ciudad de Ve!.z-Málsva , que ha teñó…</t>
  </si>
  <si>
    <t>Bonnemainle</t>
  </si>
  <si>
    <t>…t jnmy considerables El fuego era txtrtmamuertos, y dos oficiales ¡ ocho sargentos, cabos y soldados. heri danptBte v^vc sobw..to&lt;io* tas puntos, .pticcipaimetita de parta dos. Ál general Bonnemainle hirieron su caballo. Nuestro* re de fa*;trppas(revolucionarias, que tenían ,ia ventaja de ocupar gimientos tuvieron también muchos caballos muertos ó heridos; ' lavcqmUfs de los montes...Nuestros.soldados al escalar estas 10peto fueron inmediatamente reemplaz…</t>
  </si>
  <si>
    <t>Bonnemains</t>
  </si>
  <si>
    <t>…de Obert. surgente de 22 cañones construida en el norte de América. Mar scales rfe campo. El vizconde Corsin , el conde de la Roche- Consejo Je EstaJo. Aimond , el barón Bruny, el barón Bonnemains, el conde Grundler, Por renuncia que ha hecho D. Josef Matías Cablera de la judica el barón Gressot, el vizconde Vallin, el vizconde Toussaint , ei viz tura de primera instancia del partido de S. Julián de Poulo ha queda conde Pedeport , el vizconde jamin, el…</t>
  </si>
  <si>
    <t>…do la llegada de la vanguar El conde Molitór da parte í S- A. R. que la vanguardia' dia francesa le hizo retirar sobre Ronda, en donde ha sido aban -2é tu ejército, pandada por el general Bonnemains, que llegó donado de toda su tropa, de la cual mucha parte se ha reunido él 13 á Silla, habiendo marchado una parte de ia noche alean* al cuerpo del general Bordsisoulles. López Baños salió de Sevilla íó la retaguardia de Ballesteros el 16 en Algemesi, y habi…</t>
  </si>
  <si>
    <t>…eza por un golpe de golpes de mano, de que ofrecen pocos ejemplos l.os anales de la mano de los mas arriesgados. guerra. EL próximo boletín dará los pormenores de estas dos ultiEl general Bonnemains, comandante de la vanguardia, a¡ ^ Cuartel °genéral de Madrid 21 de Julio de 1823. De orden momento que llegó á Lorca hizo embestir la ciudad por la ca ballera , y empleó todo el dia 12 en reconocer bien las cerca de S.A.R.=E1 mayor general conde Guillemiaot.…</t>
  </si>
  <si>
    <t>…tonio Monet, los co no causan mas que danos y vejaciones á sus pacíficos habitantes, roneles D. Josef Carratalá y D. Juan Loriga, y el particular podr í entenderse con el teniente general Bonnemains, por cuyo mérito que han contraído por sus disposiciones y valor en las ac conducto dirijo A V. S. este oficio , en la inteligencia que dlsfrutaciones parciales-que bap dirigido ; exijen el mayor grado de reco -rán- esas tropas de igual beneficio que las del…</t>
  </si>
  <si>
    <t>Bonnemaíns</t>
  </si>
  <si>
    <t>…en Málaga , y habla-reemplazado á Zayas en el man do, se ejecutaron estas- dos r operaciones con el mas feliz suceso. La Regencia del Reino , teniendo en consideración ia larga El general Bonnemaíns llegó el a-5 de Agosto á Gador, carrera de servicios , los padecimientos por su lealtad al Ruy donde halló un parlamentario del brigadier Guenduleia, co nu stro Señor, y los conocimientos de D. Ramón García Va*- mandante de un destacamento'de las tropas de IL…</t>
  </si>
  <si>
    <t>…era casi imposible arranca' su Malaga, esperando sin duda llegar por este camino á Cartage quimérico sistema constitucional, ninguna mira, ninguna difi na ; pero el movimiento del general Bonnemains le precisó, á re cultad-tenían la mayor pane de ellos en manifestar á los pro/a» tirarse á las montañas, tomando el conde Molitor las mas acti tíos, asi en conversaciones como en escritos, los misterios mu vas disposiciones para perseguirle.en.ellas. recóndit…</t>
  </si>
  <si>
    <t>Bonnemains, Teniente General Vizconde de</t>
  </si>
  <si>
    <t>Teniente General Vizconde de Bonnemains</t>
  </si>
  <si>
    <t>…ete de la tarde.znjosef María de Torrijos.= orden de la media Luna Otomana, nombrados y encargados a este Vicente Sancho.—Es copia.—El Gefe de Estado mayorcr Aguado. efecto por el Sr. Teniente General Vizconde de Bonnemains, Co mandante de dicha sexta división; y por la otra D. Pedro de — El Sermo. Sr. Duque de Angulema al partir para Francia ha Aguado, Coronel, gefe de Estado mayor del octavo distrito, ca nombrado General en Gefe de todas las tropas francesas que ballero de seg…</t>
  </si>
  <si>
    <t>Bonnemaius</t>
  </si>
  <si>
    <t>…ambién nos han muerto ao caballos, qu« haa Córdoba, y el Teniente General Vallin llegó con su división á sido luego reemplazados con los que «o les ban cogido. licija. El teniente general Bonnemaius, que por su parte perseguía El Coronel d’Argout ha continuado: está operación con el vivamente al enemigo , logró alcanzarlo el 13 en Jaén , a tiem mayor vigor y actividad. La conducta del teniente coronel Mr po que se hallaba ocupado en exigir contribuciones…</t>
  </si>
  <si>
    <t>Bonnetnaim</t>
  </si>
  <si>
    <t>…en tu ejército 149 hombres, con que trató de esta de se ha encontrado cantidad de artillería y munic ones, salió blecerse sólidamente en el reino de Valencia: tenia en la AIco- el general Bonnetnaim en persecución del cnem ^o-. un desta ra de 1500 i »9 hombres, ¿ igual número ocupaba á Teruel. camento que se dirij'ó i la orilla del mar tomó 16 piezas de » El general Molitor, después de haber pasado el Ebro, sa artillería y muchas municiones, que el enemi…</t>
  </si>
  <si>
    <t>Bonselle</t>
  </si>
  <si>
    <t>…conde terado el Rey de la carta de V. E. de este dia, en que manifies Guilleminot.” ' ta que para arreglar su ulterior comportamiento en el mando del 2.0 » Las tropas al mando del general Bonselle ocupan las altu ejército de reserva convendría se le dijese si en V. E. resid.n ias ras que dominan á S. Sebastian----El Príncipe duerme hoy 11 mismas facultades que en los demas generales en gefe de ios ejér en Tolosa__ La vanguardia del primer cuevpo, ai ma…</t>
  </si>
  <si>
    <t>Bor</t>
  </si>
  <si>
    <t>…jió su van ¿nCárcagente, eligiendo 1800 infantes, 150 dragones y dos guardia el 19 sobre Ssnlúcar la Mayor, al mando del general ptezaV de artillería para la defensa de Alcira. El general Bor«- Lauriston: alcanzó al enemigo, hizo 350 prisioneros, entre ellos nemains Colocó aU momento dos compañías de cazadores del 4.° a a oficiales y un brigadier general; se apoderó de 400 caballos, Jíjero en las caifas qké estaban délante del frente de ataque, de…</t>
  </si>
  <si>
    <t>Borbon, Cardenal de</t>
  </si>
  <si>
    <t>Cardenal de Borbon</t>
  </si>
  <si>
    <t>…os interesados nombrados para el D. Nicolás Or- brea, griega y árabe , y que ademas ds su aprobación mereció tiZ en su testamento, bajo del que falleció. últimamente la del Emino. Sr. Cardenal de Borbon, arzobispo Los herederos fideicomisarios de Doña Juana deSoto y San de Toledo, previa censura de una nueva junta. A pesar de tojo tander , rectora que fue del Real colegio de niñas de Ntra. Se eso , penetrado el traductor de Ja delicadeza é importancia de /a…</t>
  </si>
  <si>
    <t>Borbon, Duque de</t>
  </si>
  <si>
    <t>Duque de Borbon</t>
  </si>
  <si>
    <t>…Rebelles Debellavit, HíV- terino de la Guardia, que S. Al. ac ha dignado.conferirle. fetrdae Liberatos, Ferdinandum .-Regen Restituit. JÉ cija 2¿¡. dé'Octubre. Idem 17. El Sermo. Sr. Duque de Borbon sigue muy aliviado de Ja A las siete de esta mañana salieron de Carmona los Reyes fractura que se hizo en el muslo por !a caída de su caballo en nuestros Señores y los Sres. Infantes, y llegaron á la una á co una cacería, y hoy ha pasado un dia mas tranquilo,…</t>
  </si>
  <si>
    <t>Borbon, Febps de</t>
  </si>
  <si>
    <t>Febps de Borbon</t>
  </si>
  <si>
    <t>664</t>
  </si>
  <si>
    <t>…Pontífices contra Carlos 111 con motivo de un montero lanzado en 30 de Enero los hereges y los cismáticos , diciendo que esta providencia habia de 1768 contra el infante de España D. Febps de Borbon , du llegado á ser necesaria desde que se le habia informado que la he- que de Parnu; en fin apenas se podrin c tar un Rey, especial regia hacia cada dia nuevos progresos , y por consiguiente le en mente de ia dinastía austríaca, que no haya experimentado las…</t>
  </si>
  <si>
    <t>Borbon, Josef</t>
  </si>
  <si>
    <t>Josef Borbon</t>
  </si>
  <si>
    <t>…á V S. el mérito garon á la bayoneta: el teniente coronel graduado capitán de la de gefes, oficiales y tropa en este día, pues habiendo presenciado primera compañía de preferencia D. Josef Borbon, cuyos gra V. S. en lo mas fuerte de la acción su extraordinaria bravura, naderos habían sido en gran parte por la mañana muertos ó heri estoy seguro de que les hará la justicia que se merecen, tanto en dos , sostuvo en flanco con el resto de ellos el ataque.…</t>
  </si>
  <si>
    <t>Bordcssoufic</t>
  </si>
  <si>
    <t>…oo á 1500 infante*, marchó sobre el molino de ridos , entre los que se cuentan cinco oficiales.' Ocio , atrincherado, atronerado y ocupado por una compañía d.s El teniente general conde Bordcssoufic hace á S. A. R. el cazadores. La quinta columna, de cerca de á 1200 hombres, mayor elogio del teniente general vizconde Obeit , á quien hi 12Íió de la Carraca para caer sobre el reducto Ruffin; y por úl rieron su caballo , asi como de los. mariscales de campo…</t>
  </si>
  <si>
    <t>Bordesoulle</t>
  </si>
  <si>
    <t>…ia ha muertos y gran número de heridos.3’ producido la revolución de Portugal. Madrid 23 de Julio. NOTICIAS DE ESPAÑA. Boletín 23.0 Molins de Rey i&lt;) de Julio. El teniente general conde Bordesoulle comunica i S. A. R* Parte oficial del msrispi^ Moncey al ministro de la Guerra., el Sermo. Sr. Duque de Angulema que el xó, á las cinco de la » Excmo. Sr.: La* primeras operaciones del bloqueo de Bar mañana, de 8 á 9© hombres, apoyados por el fuego de mas de…</t>
  </si>
  <si>
    <t>Bordesoult</t>
  </si>
  <si>
    <t>…España, el general More gaceta extraordinaria de Madrid: hoy la han copiado todos los no , lina caja con su retrato guarnecido de diamantes, con motivo periódicos, y el parte del general Bordesoult, que también ha de haber recibido S. M. la investidura de la orden del Toison salido hoy de oficio en el Monitor, nos hace saber que el cuerpo de Oro. de constitucionales, á quien según la Estrella y los noticieros INGLATERRA. de Ja bolsa, se han hecho z'J pr…</t>
  </si>
  <si>
    <t>…comunicaron al Sr. conde de Borde- punto,-cuyos aproches acababan de reconocerse por «u dispostsoult, comandante en ge fe del ejército de reseiva, y contenían cion. Mandó pués al conde Bordesoult hiciese marchar a! las sigurentes disposiciones: - r 1 tt» al tercer batallón del gó.ft y al regimientó gq.0 de línea, . ; Debían reunirse 14 compañías escogidas para formar el prl-í quiso’S. AvR. fuesen-apoVados pot ufl haiaílIon de la guardií; mer escalón;…</t>
  </si>
  <si>
    <t>…icios singulares; Se dirigió en 10 de Setiembre nueva nota á Sir Eduardo para pero aun cuando no se pueda prever el mal muy fácilmente, darle parte del memorándum entregado por el general Bordesoult cuando es muy absurdo nadie se compromete mucho si no le y Guillemiuot al General Alava (1). El Gobierno español se cree. La disolución de la Cámara actual hecha por el Ministerio extendía sobre la moderación de las bases que había propuesto, para huir, si se…</t>
  </si>
  <si>
    <t>Bordessc-ulle</t>
  </si>
  <si>
    <t>…á y rs. la libra, y escasa, el pan bueno a 6 rs. , la Morena, y servir de reserva á las tropas d: Andalucía. libra de carbón á 9 cuartos. A todos los milicianos locales foras- El conde Bordessc-ulle , habiendo formado el b.oqueo da aeros los habían mandado a la Isla, porque con solos los de Ma Cádiz cubriendo la cost3 desde Rota hasta Conil , se ocupa sin drid parecía que en Cádiz babia entrado el infierno. Sus papeles descanso en organizar , tamo en Sev…</t>
  </si>
  <si>
    <t>BordessouHe</t>
  </si>
  <si>
    <t>…ran condu del Bonillo para las Peñas de S. Pedro, se dice si estará hacia cidos allá para trabajar en las obras públicas. aquella parte. (Carta f articular). Habiendo anunciado al general BordessouHe los habitante* de la serranía de Ronda qu:. esta ciudad acababa de ser ocupada Madrid 14 de Julio. por un batallen de infantería revolucionaria, á las 1 rdrncs del El Gobierno ba recibido parte de que SS. MM. y AA. con coronel D. Bernardo Aserio, ei cual se m…</t>
  </si>
  <si>
    <t>Bordessoulle</t>
  </si>
  <si>
    <t>…s, se hallaba en vísperas de rendirse: la esperanza cia , y la retirada forzosa del ejército enemigo mas numeroso. en fin de alcanzar al enemigo hizo avanzar nuestras tropas i »El conde Bordessoulle se hallaba el 13 en Córdoba, don marchas forzadas, y el 1 x ya habia llegado á Segotve la divi de se habia manifestado ya , tanto allí como en Jam, un movi sión Loverdo. Instruido Ballesteros de la rapidez de esta mar miento en favor del Rey antes de llegar l…</t>
  </si>
  <si>
    <t>…migo, y alejarlo del alcance de la me tenido necesidad délas tropas que estaban dispuestas para sostener tralla de su artillería , el general Eordesoulle, entre otras dispo le. El conde Bordessoulle recomienda particularmente en el ío.° siciones que habia tomado de antemano , mandó que se retira de línea al coronel de Mo^xalm, ai teniente coronel Horric , á sen sus tropas, í excepción de las que estaban en los puestos ios comandantes de batallón Lachapet…</t>
  </si>
  <si>
    <t>…o de reserva, que les han ocasionado" tantos inales, y entonces ¿quien podrá con acompañando las contestaciones que han mediado entre dicho se tener su justa indignación’ ñor y el general Bordessoulle, y una Real resolución comunica Las noticias que traen dichos periódicos del general Balleste da al expresado Sr. general en gefe por el ministerio de la Guer ros se reducen á lo siguiente : ra, al cual habia dirigido el citado oficio y copia de las comuni ,,…</t>
  </si>
  <si>
    <t>Bordsisoulles</t>
  </si>
  <si>
    <t>…dada por el general Bonnemains, que llegó donado de toda su tropa, de la cual mucha parte se ha reunido él 13 á Silla, habiendo marchado una parte de ia noche alean* al cuerpo del general Bordsisoulles. López Baños salió de Sevilla íó la retaguardia de Ballesteros el 16 en Algemesi, y habién al mismo tiempo el dia 18 por la mañana tomando la dirección dola batido llegó á Isis ochó dé la mañana delante de Alcira so de Hualva, donde pensaba embarcarse para :r…</t>
  </si>
  <si>
    <t>Borei, Francisco de Paula</t>
  </si>
  <si>
    <t>Francisco de Paula Borei</t>
  </si>
  <si>
    <t>…6840 D. Rafael Aguilar. D- Joaquín de la Torre.................... D. Josef Justiniani............................ D- Antonio Anguiano Ramos. D. Félix Valdés. D. L uis Zaforteza. D. Francisco de Paula Borei. D. Francisco Brú de Salas. D. Federico Roncali. Cadetes...................... - Alféreces, 6coo D. Josef Allende. D. Joaquín Roca. D. Josef Moreno y Sopranis. D. Josef Alfaro y Sandoval. D. Pedro Eenavide............................ j Cádiz 20 ríe Julio de 1…</t>
  </si>
  <si>
    <t>Borgo, Pozzo di</t>
  </si>
  <si>
    <t>Pozzo di Borgo</t>
  </si>
  <si>
    <t>…res del Emperador vuestro Amo. Concluido el besamanos se presentó á S. M. en audiencia pú ,, La parte que ha tomado S. M. I. y sus augustos Aliados en blica el Excmo. Sr. Teniente general Pozzo di Borgo, Embaja la redención de la España, ha abreviado sus desastres. dor extraordinario del Emperador de Rusia; y dirigió á S. M. ,, El interes que el Emperador vuestro Amo manifiesta por la el siguiente discurso: felicidad de mis pueblos, no puede dejar de serme m…</t>
  </si>
  <si>
    <t>Borgofia</t>
  </si>
  <si>
    <t>…hacia que los dichos gefes del ccntto se acercaion al general Arenales para negociar su consentimiento : este , el mayor- Se dice que el duque de Angulema ha publicado el decreta general Borgofia y varios gefes se negaron abiertamente: se em siguiente: pleó la fuerza del convencimiento; pero el general contestó , que i. Nos Luis Antonia de Artois, hijo de Francia, duque de para revoluciones no se contase con él jamas.—Rehusó aceptar el Angulema, coman…</t>
  </si>
  <si>
    <t>Bori, Pedro</t>
  </si>
  <si>
    <t>Pedro Bori</t>
  </si>
  <si>
    <t>…de la gran nación que ha 'puesto en nuestras Juan Pablo Ferrer, D. Narciso Viver y D. Josef Pinell. manos sus destinos. Aqui verán una y otra vez disueltas sus in Idem de S. Juan: D. Pedro Bori. 1 trigas las mas finas, sin oponerles, mas que nuestra característica Idem de la catedral: D. Valentín García y D. Manuel Pró, probidad y energía.” capellán de artillería. Los espectadores de las galerías dieron algunas ipuestras de Empleados: comandante D.…</t>
  </si>
  <si>
    <t>Borrego, Rafael</t>
  </si>
  <si>
    <t>Rafael Borrego</t>
  </si>
  <si>
    <t>…senta rán todos ¡os que existan en esta ciudad, mañana ú las cinco de Ja operaciones. Art. 26. En adelante no se hará pago alguno en las tesorc- Mi de en el psique de artillería á D. Rafael Borrego , comandante 1 ias de provincia ni en las depositarías da partido sin orden pre accidental de dicho cuerpo, para que se proceda al alistamiento. via, que en virtud de las del Gobierno, generales en gefe ó au Espero que tan beneméritos ciudadanos se prestarán…</t>
  </si>
  <si>
    <t>Borrei, Pedro</t>
  </si>
  <si>
    <t>Pedro Borrei</t>
  </si>
  <si>
    <t>…...................................f D- Leocadio San Clemente. D- Manuel de Zayas. Idem Idem Idem............................ 8400 D. Luis Fricirich............................... D. Pedro Borrei................................. D- Vicente Reinoso........................ } Alféreces tenientes. .. Tenientes.................................................. 7200 I). Tomas Vclda.............................. D- Eduardo Sentmanat. D. Juan Chinchilla. D. A…</t>
  </si>
  <si>
    <t>Borunda, Pedro Garcii de</t>
  </si>
  <si>
    <t>Pedro Garcii de Borunda</t>
  </si>
  <si>
    <t>…Yo quisiera que se aclarase mejor es honor del general en gefe con destino a! estado nv.v.x del ecercito , y entonces no me opondría al artículo. to al miliciano local voluntario D. Pedro Garcii de Borunda, Él Sr. Falcó: No tengo mas que decir que esforzar los argu que sirve en el ejercito á su» expensas, v por auxiliar del mismo mentos de los señores preopinantes, pites creo que no debe decirse estado mayor al capitán retirado 1). Josef María de Crespo. copia…</t>
  </si>
  <si>
    <t>Bos-</t>
  </si>
  <si>
    <t>…re parque de artillería para Burgos, á donde va á mandar una di volucionarios - para oir tranquilamente levantar un 131*0 testi visión del parque general del ejército. El teniente coronel Bos- monio tan atroz. quette está en Madrid con otro mando igual; el comandante de « Dónde están las 449 personas encarceladas por asuntos po~ batallón caballero OufFroy ha quedado en Bayona cerca del co Uticos? Puede que no ¡leguen á tanto número todos los españo…</t>
  </si>
  <si>
    <t>Bosch, Pedro Figuerola y</t>
  </si>
  <si>
    <t>Pedro Figuerola y Bosch</t>
  </si>
  <si>
    <t>…general del segundo distrito militar eíExcmo. Sr.=: Mix mo de ia Pardina; y para la del de Sta. Coioma de Farnés á El coronel D. Josef Fermín Conget, comandante de las tropas des» D. Pedro Figuerola y Bosch. ¿ lanadas i la persecución de los facciosos de Fuensagrada y Hurón , coa 2 del actual me dice io siguiente.—Excmo. Sr.=E¡ teniente co- S. M. se ha servido ascender á la clase de alféreces de fragata á ].'&gt;s üpHeí P. Pedro del Barco, que según ái parte á V. E…</t>
  </si>
  <si>
    <t>Botas, Juan Bautista</t>
  </si>
  <si>
    <t>Juan Bautista Botas</t>
  </si>
  <si>
    <t>…n obligados á entre de las Palmas, en la Gran Canaria, por no haberse presentado gar todos los ejemplares de las obras de que habla el artículo an en tiempo hábil á tomar posesión D. Juan Bautista Botas, que terior , pasando por cada uno de los que se retuvieren de veinte había sido nombrado para él. y cinco -i cuarenta duros de multa. Se admiten memoriales por término de un mes, que princi Art. 18. Las obras de escritores españoles, impresas en ti pia el dí…</t>
  </si>
  <si>
    <t>Botíftéméiñs</t>
  </si>
  <si>
    <t>…eina la mayor confusión retiííhdose en las dos direcciónéé dé Mógénté y Alcoy. Conti- én los réstos del ejército revolucionario ,&lt; que se han refugiado en nuahdó éh perseguirle el general Botíftéméiñs avanzó el 17 a' dichos puntos en número dé f i 89 hombres, sin tener nada Mogénte, y el 18 4 Fufthté-Lahiguera, sostenido por él tenien preparado para su defensa. te general conde Lovérdó, qüe lleva consigo la mayor parte dé Cuando López Baños se presentó del…</t>
  </si>
  <si>
    <t>Bou, Conde de</t>
  </si>
  <si>
    <t>Conde de Bou</t>
  </si>
  <si>
    <t>…e previene di ría Villavicenció, Capitán general de ia Real Armada; Alarques ga á V. É. que está muy satisfecho del zcío, prudencia y juicio de Talarú, Embajador de S. M. Cma.; eL Sr. Conde de Bou— con que en circunstancias tan críticas ha gobernado la nación á tourlin, Ayudante de S. M. el Emperador de todas las Rusias; nombre de S. AI.; y que se lo haga igualmente presente, dándola el clero y ayuntamiento de esta ciudad , con otros personages de las…</t>
  </si>
  <si>
    <t>Boucaul</t>
  </si>
  <si>
    <t>…utar este movimiento de retirada, del cual quería y Blanc, al tenienteGrenier, al subteniente de granaderos Cazeau aprovecharse su general para impedir después que pudiese el y al sargento Boucaul. En el 37.0 de línea al coronel O’neill y esemigo volverse á sus atrincheramientos. al comandante da batallón Barrn. En el 34.a al coronel de FaEn Puerto Real una compañía de granaderos y otra de ca rincourt, al capitán de cazadores Barbette , á los tenientes…</t>
  </si>
  <si>
    <t>Bouilíé, Arturo de</t>
  </si>
  <si>
    <t>Arturo de Bouilíé</t>
  </si>
  <si>
    <t>…a de los triunfe s que mas honor han dado ¿ nuestras armas. cruz de S. Luis al dia siguiente de la batalla de Taiavera al Se «El Rey de Francia, animado del mismo deseo que la ñor conde Arturo de Bouilíé. generosa y valiente Nación española, y uniendo con ella sus También ha concedido la cruz de la legión de honor á Clau esfuerzos para lograr la libertad de su cautivo Monarca, quiero dio Dumont , soldado del 9.0 regimiento de infantería de línea, que se borre…</t>
  </si>
  <si>
    <t>Bouligni, Teófilo</t>
  </si>
  <si>
    <t>Teófilo Bouligni</t>
  </si>
  <si>
    <t>…, 200prenta , que á pesar de la guerra que la hace la Santa Alianza la D. Die go Colon, primer .secretario. . . 3°considero como el baluarte de la libertad de Inglaterra, y espero D. Teófilo Bouligni, segundo secretario. 5que mientras aquella exista y se celebren jumas como la presente, D. Wenceslao Sierra , id............................ Slos amigos de la libertad no tendrán nada que temer, Mr. Denntan se presentó después, y dijo : Vengo á propo D. Antan…</t>
  </si>
  <si>
    <t>Bourác</t>
  </si>
  <si>
    <t>…e perjuicio dei servicio publico. Los Primera d:v sion mand da por el conde D’Autichaxnp. cabacos que produzca la requisición deben reunirse en ei punto de la ¡Segunda idem por el conde Bourác. provincia en que se halle ia mayor fuerza militar, para desde el ser con T.rceia ídem por el conde (Jbeit. ducidos i esta capital ó donde »c señale; y co dudo que conociendo 10* Pr mira de dragón; 5 por ei biron Castei. 3 res. diputados ia importancia de mon…</t>
  </si>
  <si>
    <t>Bourck</t>
  </si>
  <si>
    <t>…pe de Hohenlohe, el conde Curial, el vizconde Roussel de Hurbal, metrópoli , como también que había entrado di el puerto de-su salid* el vizconde Tirlet : el conde Guilleminot, el conde Bourck , el viz una fragata con bandera americana cargada de toda ciase de p- rtrechoi conde Castex , el vizconde Domon , el conde de Autichamp , el barón de guerra, apresada por un corsario armado en dicha isla; dando final Dode de la Brunerie, el barón de Damas, e…</t>
  </si>
  <si>
    <t>BourdcssorUc.r, Conde de</t>
  </si>
  <si>
    <t>Conde de BourdcssorUc.r</t>
  </si>
  <si>
    <t>Gaceta de Madrid n.º 943 (extraordinaria)</t>
  </si>
  <si>
    <t>…ificado con la ma yor tranquilidad, y todo el mundo parece contento. Tengo el honor de ser con la mas alta consideración de V. B., su mas humilde y obediente servid ot=E1 Teniente general Conde de BourdcssorUc.r^Al Excmo. Sr. Se cretario de Estado y del Despacho.” JDf LA IMPRENTA REAL.</t>
  </si>
  <si>
    <t>Bourdessoulle, Conde de</t>
  </si>
  <si>
    <t>Conde de Bourdessoulle</t>
  </si>
  <si>
    <t>…ez, con fecha de 4 del corriente, dice al Sr. Secretario del Despacho de la Guerra lo que sigue: ’• '. - ... " „ A las siete de la mañana de hoy he recibido una carta del Teniente general Conde de Bourdessoulle, enque me comunica que las tropas de S. M. Cma. han tomado posesión de las plazas de Cádiz y S. Fernando en nombre del Rxnr nuestro Señor, como. V. E. verá por la adjunta copia, traducida literalmente , que acompaño/ De Real orden lo comunico á V.E. r-rs» su…</t>
  </si>
  <si>
    <t>Bourdet, Julián Victor</t>
  </si>
  <si>
    <t>Julián Victor Bourdet</t>
  </si>
  <si>
    <t>…esta villa, refrendada del escribano dei número D. Manuel Mejía, se ha'señalado para una junta gene Convente,hecho entre el Mariscal de Campo D. Gregorio Lagu ral de acreedores de D. Julián Victor Bourdet, vecino y del na, Capitón general nombrado por S. M. de la provincia Je Ex-, comercio de esta corte, el dia 7 de.Diciembre próximo á laá tremadura, y el Teniente Coronel, Gefe de estado mayor del ejér misve en punto de su mañana en la posad-a de dicho Sr. jue…</t>
  </si>
  <si>
    <t>Bourit</t>
  </si>
  <si>
    <t>…tiempo que verificaban la invasión de Galicia , é intentaban k Posteriormente intentaron algunos jesuítas y dominicos introdu ocupación de esta plaza. El 13 llegó la división del general Bourit cirse allí disfrazados de varios modos; pero el suplicio de uno de á Bctanzos; el 14 capituló el Ferrol, y los enemigos hicieron ellos, que se verificó en 1748 , manifestó b.cn claramente el odio noche en el Bingo , distante una legua de esta , por lo que hic…</t>
  </si>
  <si>
    <t>Bourk</t>
  </si>
  <si>
    <t>…e Mayo del mes próximo pasado se hicieron en herido. También recomienda particularmente á Mr. Jeofroy de tre otros ios decretos siguientes". Astier, ayuda de campo del Sr. general conde Bourk, que le Junta general del dia 1 ¿ de Mayo, acompañaba. Habiendo propuesto varios señores apoderados que debían — El señor O-Donell, capitán general de Castilla la Vieja, declararse nulos los poderes conferidos i los diputados de las ha dado parte á S. A. R. d…</t>
  </si>
  <si>
    <t>…te Archias, el subteniente Brette, el sargento Pourpart, el cabo Durand, y el soldado Toucet. El general español Valero animó á Jas tropas con su ejemplo é intrepidez. El teniente general Bourk ha emprendido sus movimientos hacia la Galicia, des pués de haber dado fin í las expediciones de Astúrias; y su vanguardia, mandada por Mr. de la Rochejaquelein, estaba ya en Astorga. Una de sus descubiertas se encontró el 26 en Mansanale y Torre, sobre el ca…</t>
  </si>
  <si>
    <t>…Cádiz parece que rema Por esta y por otras causas el partido revolucionario iba des la mayor fermentación. mayando, al paso que los realistas cobraban cada día nías aliento. _ El conde Bourk ha entrado en Galicia; el 7 estaba en Vi» El 7 entraron en el Puerto de Santa María 40 milicianos llafranca del Vierzo, y ha debido ¡legar ei jo á Lugo con to d:í provincial de Ronda, que el dia anterior habían sido apre das sus tropas: todo da lugar á creer…</t>
  </si>
  <si>
    <t>…los Abruzo? de la vista de los austríacos. de su* alrededores, El gmeral Morillo , que hacia algunos d:as le habia manifestado que cumpliría las bases sebre las cuales el FRANCIA. conde Bourk estiba autorizado para recibir sus proposiciones, le París 10 de Julio. esperaba en Lugo, a fin da entenderse con é¡ sobre las medidas El Rey se ha servido nombrar al consejero de Estado, é in que se deberían tomar para que sus tropas pudiesen obrar a una div…</t>
  </si>
  <si>
    <t>…e es importantísima para de línea ha muerto cerca de los barcos. nuestras comunicaciones con el reino de Murcia. Rn esta jornada, en que las tropas dieron tantas pruebas de ,__F.i general Bourk da parte á S. A. R, de haber embestido ía su valor y decisión por el Rby , luz arrollado el enemigo por plaza de la Coruña el día 16 del corriente. Las tropas de su di todas partes, á pesar de su ¡mu:risa ventaja en art.Hería y en visión , después de . haber…</t>
  </si>
  <si>
    <t>…o ooupar con gran Boletín 24.° silencio todos los puntos favorables al ataque que pensaba dar el dia siguiente con el 4.0 ligero , como también dispuso que ocu El teniente general conde Bourk ha dado parte-a S. A. R. da pasen las alturas inmediatas los paisanos armados que se habían los pormenores siguientes sobre las últimas operaciones milita reunido á nuestras tropas. res en Galicia. Habiendo partido de Lugo el 13, tomó posición El 13 , habiend…</t>
  </si>
  <si>
    <t>…se por entonces en los pueblos de Coreses y Trano, y ros: en Mondoñedo de 3 a 40, y asi sucesivamente. Morillo se donde se unieron con ellos 150 caballos montados del regi pasó al general Bourk con mas de 29 hombres, y el general miento de Farnesio, con su coronel al frente. Este refuerzo y el Castañon siguió también su ejemplo. Con ellos y con la fuerza hallarse los rebeldes en mayor número, y de esta otra parte del de su división iba á ponerse en…</t>
  </si>
  <si>
    <t>…bres con las mismas disposiciones que el 18; pero le hace Ejército de los Pirineos.—Boletín 25.0 guardar cierta circunspección el recibimiento que ha tenido, y El teniente general conde Bourk comunica á S. A. R. que se ha pasado el dia observándose unos á otros. el general Huber entró en el Ferrol el 15 de Julio á las 10 de Cuartel general de Madrid 26 de Julio de 1823. Por orden la mañana en virtud de capitulación. La guarnición, compuesta de S.…</t>
  </si>
  <si>
    <t>…os de la revolución son en tan corto número,.que no el bloqueo d : Cádiz: y quedando en parte disponible la división puedo menos de sorprenderme cómo esta facción ha dom inado del general Bourk., podrá'libremente dirigirse adonde la neccé la España por espacio da tres años. sidad la llamare. » La guarnición de la Coruña se compone de 3500 á 4© La artillería formidable que estaba reunida en Narbona y en hombres, inclusos los milicianos nacionales. Qu…</t>
  </si>
  <si>
    <t>Nfini. 64 (3 cuartos.) 241 GACETA EXTRAORDINARIA DE MADRID DEL LUNES a5 DE AGOSTO DE i8a3. ARTICULO DE OFICIO. Entre el Sr. teniente general conde Bourk, comandante en Coruña a las ordenes del conde de Cartagena; y el artículo 3.0 gefe de las tropas francesas en Galicia, y el teniente general Don estaoiece que el mismo conde ha de estipular los intereses de los Francisco Novel la , gobernador de la plaza de l…</t>
  </si>
  <si>
    <t>Bourk, J.</t>
  </si>
  <si>
    <t>J. Bourk</t>
  </si>
  <si>
    <t>…nte de la plaza de la t'oru'.a, ac tente convención en el campo delante de la Coruña 13 de Agos cede á todas las condiciones que quedan expresadas.=Ca:vipo de to i8j3.=EI teniente general J. Bourk.=Es copia.= Francisco lante de la Coruña 20 de Agosto de 1823 rrEl conde htui k.." Novella. Y en virtud de esta capitulación , ñ las nueve de ¡3 mañana Posteriormente se ha celebrado entre el expresado general del 21 el conde de Cartagena temo poarsion de ‘a…</t>
  </si>
  <si>
    <t>Bourke</t>
  </si>
  <si>
    <t>…nerados Primera división el conde general Molitor: 2.a d.visión el barón de para librarse de las calamidades que les causasen. Pero se hallaron. iB Damas: 3.1 división el temiente general Bourke : 4.a división el tenien algún embarazo cuando ios ministros de S. M. Brit .nica tes declararon te general vizconde Obeit. División de caballería el teniente general que si la Francia se empeñaba en ía agresión contra la España, el r suivizconde Castex. Artil…</t>
  </si>
  <si>
    <t>…rnador que senda que aquellos le indicaron. de esta circunstancia se fiabian sacado ventajas para avanzar, le » Para suplente ha sido elegido D. Josef María Medina An manifestó el general Bourke nuestra buena fe y su doblez, ha dino , que existe en la Península en la ciudad de Granada. ciendo retroceder inmediatamente á sus tropas unos 200 pasos. « El martes 11 se procedió á las elecciones de diputados pro Vuelto el parlamentario, las tropas de S. M.…</t>
  </si>
  <si>
    <t>Bourmont</t>
  </si>
  <si>
    <t>…tantas menti rado tres bombas con los morteros cónicos que montan , ha sa ras como palabras; pero esta es la táctica principal de los her lido todo perfectamente y á gusto del Sr. conde Bourmont. manos; y á la verdad es menester ser bien tontos para creer que Por disposición del mismo, y en cumplimiento de ¡as órde los pueblos lo son tanto que se dejen alucinar con continuos nes del Sermo. Sr. Duque de Angulema, se ha celebrado hoyjrn embrollos y men…</t>
  </si>
  <si>
    <t>…el General d’Ambrugeac, minot. y la del segundo cuerpo mandada por el General Ordoneau, Por copia conforme. = El Teniente General Comandante de ambas bajo las órdenes de! Teniente general Bourmont. Las fuer la i o.* división militar=Earon de Barbot. zas navales mandadas por el contra-Almirante Duperre, debían" efectuar el desembarco de estas tropas y favorecer sus operacio nes. También estaban reunidos ios materiales del puente que se ANUNCIOS. habia d…</t>
  </si>
  <si>
    <t>Bourmont, Conde de</t>
  </si>
  <si>
    <t>Conde de Bourmont</t>
  </si>
  <si>
    <t>…ircular del Ministerio de Hacienda. Al capitán general de Granada digo con esta fécha lo siguiente: He dado cuenta al Ruy nuestro Señor del oficio que V. E. Con esta fecha digo ai Sr. Conde de Bourmont, General en gefe del me dirigió en 19 de Octubre último, y de los tres documentos ejercito auxiliar, lo que sigue: que á él acompañaba, manifestando que el Teniente de Rey de He dado cuenta at Rey nuestro Señor de la exposición de la plaza de Granada ha dado…</t>
  </si>
  <si>
    <t>BourR</t>
  </si>
  <si>
    <t>…mbres de bien; y aun cuando algunas fuesen crimína simo Sr. Duque de Angulema el parte oficial dei teniente gene le^ , las protegía Sa'iey: no me que otra vez pisen su hermoso ra! conde BourR. sobre la rendición de la Corufia. £ii;ío ¡os fugados sicarios; / espera que sus satélite* desaparezcan Se habían tomado ya todas las medidas p'ra atacar vigoro- espantados de esta hermosa y pacífica población, que en el largo süménle esta plaza , cuando el H…</t>
  </si>
  <si>
    <t>Boutk</t>
  </si>
  <si>
    <t>…se les concederá sus pasaportes , ó que len.mEl coronel de estado mayor, encargado de los poderes de darán prisioneros de guerra según les conviniese. Monsieur el teniente general conde Boutk. Coruña 13 de Agos Cuartel general de Vigo 17 de Agosto de x82;.!.=rF.l conde to de i823.=Ratifico el presente convenio, el general en gefe, de Cartagena.=rhl Sr. teniente general comandante de ¡as tropas gobernador de la plaza , Francisco Novella. Yo ratific…</t>
  </si>
  <si>
    <t>Bóveda, Alejandro</t>
  </si>
  <si>
    <t>Alejandro Bóveda</t>
  </si>
  <si>
    <t>…uadrón de cazadores de ia Reina Ama Sin embargo de que: la fuerza di los constitucionales era da infantes, 900 caballos y dos piezas, evitó el empeñarse, lilia á las órdenes da »u comandante D. Alejandro Bóveda, y de mitándose á tomar posición en la altura inmediata, de dondelas tres compañías dt cazadores de Guipúzcoa, A¡ava y Guías á las órdenes dei segundo comandante de este cuerpo Lí. Pedio destacó) gruesas guerrillas de observación bajo el tiro d* la mis ma : i…</t>
  </si>
  <si>
    <t>Bóveda, Gabriel</t>
  </si>
  <si>
    <t>Gabriel Bóveda</t>
  </si>
  <si>
    <t>…ue co portamiento de dicho ayudante que cargu á la cabeza de una mi gieron dos piezas de artillería, que hicieron pv.s.oneros , y que tad , el de los tenientes coroneles graduados D. Gabriel Bóveda, hubieran conseguido las mayores ventajas si hubiesen tenido '--'ba y D. Tomas Gómez, ayudante de dragones del Rey D Felipe llena. Durante esta acción, que empezó por la fortaleza de Opio, Nearon , v el de los Sres. coronel de mibcas de Acar- D Juan hizo Mina…</t>
  </si>
  <si>
    <t>Boyero, Josef</t>
  </si>
  <si>
    <t>Josef Boyero</t>
  </si>
  <si>
    <t>…idado de mercenarios el cargo de Jas suyas propias: y ciales cC Ciudad Rodrigo , 8 volantes, 3 muertos, entre el.cw soííc.í:- la Regencia, como protectora del santo Concilio de ei sargento Josef Boyero, y la mayor parte heridos. Trento duranto el cautiverio de S. M., de remediar los malea En el Soto-Serrano han hecho prisioneros un sargento, dos que pudieran provnir de esta piáctica desconocida en las igle soldados y un oficial que se estaban disfrazando pa…</t>
  </si>
  <si>
    <t>Bozaris</t>
  </si>
  <si>
    <t>…allará en el despacho de la Imprenta Nacional, plaza ses el sitio de Misolonghi contra Omcr—Uríone, bajá de Alba de la Constitución, portal dei Estanco, á 8 rs. en rústica y 10 ca general Bozaris derrotó las fuerzas de este bajá, y le per en pasta. siguió hasta Urachori. Todas las noticias que ¡legan del teatro de Nota. En la gaceta del 20 del corriente, columna r.% la guerra citan contestes en que alguna} débiles reliquias del ejér pág- 39 &gt; donde di…</t>
  </si>
  <si>
    <t>Bqlanzut</t>
  </si>
  <si>
    <t>…á la sanción de caballería á Cascante, y otro numeroso de infantería á Malón. S. Al. con arreglo á la Constitución, y se publicó como Jey. „A esta fecha se hallará ya en Daroca el general Bqlanzut con Volvió la diputación que habia ido á poner en manos de las tropas que ha extraído de Zaragoza, debiendo encontrarse S. M. el mensage de las Cortes, y di ó cuenta de haber cumplido en (parcha sobre Teruel las que hayan quedado sobrantes á 1¿ su encargo. iz…</t>
  </si>
  <si>
    <t>Brancas</t>
  </si>
  <si>
    <t>…lo ó entregarlos á D. Manuel b.ero se qu-dan por ahora *n Narbona. de Andrés, apoderado de los inlcr-sados a quienes pirteu-.ccii , calle de Infantería- Él z.° de tres batallones, coronel Brancas. El 3.0 ídem. Panaderos, á ¡a de Hortalcza, núm. 14, cuarto i.° EN LA IMPRENTA NACIONAL.</t>
  </si>
  <si>
    <t>Branco, Castello</t>
  </si>
  <si>
    <t>Castello Branco</t>
  </si>
  <si>
    <t>…oura, No pudo contenerse el entusiasmo de ios Sres. diputados y ,-F que era como sigue (véase la gaceta del 3). los espectadores: los vivas á la Constitución, al Rey const.nicioEl Sr. Castello Branco habló en un largo discurso contra el nal, y á los portugueses que prefieren la muerte á la esclavitud , re dictamen, y el Sr. Sá Pinto lo aprobó como resultado de la sonaron largo rato por las vastas bóvedas del salón : se descubrió el opinión pública. retrat…</t>
  </si>
  <si>
    <t>Braunch, Carlos</t>
  </si>
  <si>
    <t>Carlos Braunch</t>
  </si>
  <si>
    <t>…cree que niente D. Fernando Loada , por mí y mis ayudantes D. Francisco Lasauca, antes de cumplirse el mes quedará cumplida la orden que para el efecto se L&gt;. .Mariano Gironella y D. Carlos Braunch, dado el terrible grito de le lia comunicado. Iguales avisos se han dado al Gobierno por los gefes poz Constitución ó muerte , se emprendió la carrera á tiempo que el enemigo, Eticos de Toledo, Salamanca , Oviedo , Valladolid , Lc-on , Segovia , Avilocando pa…</t>
  </si>
  <si>
    <t>Bravo</t>
  </si>
  <si>
    <t>…e 1c mató de « el acto por la tropa que destinaré á éste como á los demás un pistoletazo. Dicho Guerrero está ya en Jalapa con 48 hom « puntos para mantener el orden.” . bres.__El general Bravo ha insurreccionado á Oajaca-----Gua Lo que anuncio á este heroico vecindario de orden de S. E. dalupe Victoria se halla en Puente del Rey___Negreta ha aban para su conocimiento. Madrid 26 de Abril de 1823. =2EL al donado también á Itúrbide, marchándose al Baj…</t>
  </si>
  <si>
    <t>Gaceta de Madrid n.º 263</t>
  </si>
  <si>
    <t>…o quien dispu la Regencia á la aprobación del Congreso, excepto en lo que siese de su suerte. concierne al general engefe, y hasta que se haga otro arreglo 2.a Que le escoltase el general Bravo, y que se le permitie mas adaptable á las actuales circunstancias. se ir i "lulancingo donde tomaría sus disposiciones á fin de Méjico 31 de Marzo.=Fmnado=EI presidente y secretarios embarcarse con su familia y efectos para la jamaica. del Congreso. 3.a Que t…</t>
  </si>
  <si>
    <t>…l es la vincial de Veracruz , el ayuntamiento y consulado han nombra cuenta de cada uno , cuándo debe cobrar, y cuánto &amp;c. , de cu do comisionados para que salgan á cumplimentara! general Bravo. jas noticias carece la Tesorería; y por consiguiente , seria mucho También se dice que algunas provincias no están conformes con mas sencillo que Ja Nación tomase de los fondos del Crédito pú el Gobierno republicano, que tiene mas partidarios en Méjico; y bl…</t>
  </si>
  <si>
    <t>Bravo, Lestnes</t>
  </si>
  <si>
    <t>Lestnes Bravo</t>
  </si>
  <si>
    <t>…eron, y no pudieron entrar; pero á la puerta y vidrieras le familia se quedará en esta por ahora.=Pedro Surrá y Rull. soplaiian 50 tiros; habiéndose salvado él y su familia por la Sr. D. Lestnes Bravo —I'rujllio—Badajoz Junio 7 de 18 ag. azotea: también fueron á otras casas, una de ellss la de un di » Aquí no hay otra cosa que haber puesto al Sr. Aiontema- putado de la diputación provincial: todo esto se hizo impune yor en lugar de Bárcena para. mandar la…</t>
  </si>
  <si>
    <t>Bray, Antonio</t>
  </si>
  <si>
    <t>Antonio Bray</t>
  </si>
  <si>
    <t>…e qu: sus brazos no sean bastante robustos MartoreU 4 de Enero. para emplearlos en defensa de la libertad é independencia nacional. Le Habiendo dispuesto el comandante de la línea D. Antonio Bray que yóse también dicha exposición, y las Cortes resolvieron tehra cada saliese ayer por Ja tarde la compañía de cazadores de Marma para soste una de ellas que las habían oído con agrado , y que se inser: 3»sn en el ner las de voluntarios de Padilla, !a facció…</t>
  </si>
  <si>
    <t>Brcwn</t>
  </si>
  <si>
    <t>…su expedición , que ios dos egércitos á la- vista esperándose por momentos una batalla. mando la choza de la aduana española en su fuga. Ha intimado á Q'.te Por la goleta Tártaro, capitán Brcwn , se han recibido papeles de sada que si alguno d: su tropa hiciese el menor movimiento sin su Curazao del 11 y 18 último. La fragata americana Congreso salió de orden, le mandaría fusilar inmediatamente. Lo que ha pasado con ia alü el ia. Según caitas de Cor…</t>
  </si>
  <si>
    <t>Bremont</t>
  </si>
  <si>
    <t>…nuevo obstáculo, subiendo sobre los traveses y do constantemente á la cabeza del 7.0 de infantería ligera; del repechos, y consiguen hacer caer el puente levadizo; al mis teniente coronel Bremont, del 21.° de linea , el cual, exponién mo tiempo son sostenidos por nuevas tropas: el enemigo se ve dose con el mayor valor, hizo cortar los conductos que llevan obligado á huir y á retirarse al recinto superior, donde al fin las aguas á la ciudad; y finalmen…</t>
  </si>
  <si>
    <t>Breson</t>
  </si>
  <si>
    <t>Gaceta de Madrid n.º 423 (extraordinaria)</t>
  </si>
  <si>
    <t>…miento»ofreciéndose i todo género de sacrificios para la libertad de S. M. y Real Familia, y para bien del reino. Por noticias fidedigna* de la misma ciudad de Lugo se sabe que el general Breson había sido hecho prisionero, y Palarea nuevamente der rotado; y que e! general Morillo, en combinación con el ejército francés, marchaba sobre la Corufia y Vigo. . Por la correspondencia interceptada de algunos gefe* de marinade! de partamento de Cartagena, d…</t>
  </si>
  <si>
    <t>…e las banderas de los Constitucional, el Espectador , la Gaceta española y el Diario revolucionarios de Galicia es completa , y de todas partes acu de la corte. den desertores. El general Breson , comandante del tercer distri Ei menester mucha serenidad y sangre muy fría para ir le to militar, y el coronel Villanueva se presentaron al general yendo en estos papeles el cúmulo de mentiras rateras é insulsas Huber, y se han sometido. Lo mismo ha sucedid…</t>
  </si>
  <si>
    <t>…defensores, como también para impedir que el nencia, que llegó hasta el extremo de hacerse fuego unos á otros. enemigo se aprovechase de ella, ó inutilizase en caso de pasar el El general Breson , que quedó á tres cuartos de legua de esta, Duero por algunos de los vados ó barca de Villalazan, que aun me ha avisado hoy que se me rinde,prisionero de guerra , y ha que salió inmediatamente una partida de ó hombres de a caba biendo enviado por él, se hall…</t>
  </si>
  <si>
    <t>Bretón, Manuel</t>
  </si>
  <si>
    <t>Manuel Bretón</t>
  </si>
  <si>
    <t>…yudante el te para inteligencia y cumplimiento de la sala. Madrid n de Agos niente coronel D. Clemente Madraza, y con singularidad el to de i8í3 =Josef María de la Torre. teniente coronel D. Manuel Bretón, gobernador de Manresa, Deseando la Regencia del Reino manifestar lo satisfactorio que habiéndome pedido por gracia asistir á ¡a acción, ha car gado con mis ordenanzas con tal arrojo y decisión, que ha me que le es el servicio á que se hau prestado el deán y…</t>
  </si>
  <si>
    <t>Brett, Eduardo</t>
  </si>
  <si>
    <t>Eduardo Brett</t>
  </si>
  <si>
    <t>…l articulo 8.° del citado decreto.............. J 1&gt;. Antonio Torres..................... D. Bruno Antonio Gayoso. . . D. -Marcos Antonio Menczo. IX Juan Castriilon. D. Juan Vidi. D. Eduardo Brett. j Segundos tenientes. . . Idem ídem ídem. io8qoD. Manuel Alaria de la Calle. D. Ramón Fabregues. D. Antonio Perez de Barragas. D. Josef Joaquín de OJaciregui D. Joaquín Martínez de Mcdinilla.-1 D. Josef Zar ibrano..........................., „ ■. , Capitanes…</t>
  </si>
  <si>
    <t>Brice</t>
  </si>
  <si>
    <t>…rotección del fuego de dos lanchas cañoneras y de las ba moreney, su oficial de ordenanza; al capitán Rousselet, edecán rrías de la Carraca. del general príncipe de Carignan, y al teniente Brice, edecán La columna que salió á atacar el molino de Ocio, apoyada del general Goujon. por una lancha cañonera , fue recibida por la compañía de ca El coronel da estado mayor marques de Confiaos , enviado zadores del regimiento 34.0, que ocupaba este atrinchera…</t>
  </si>
  <si>
    <t>Brigadier</t>
  </si>
  <si>
    <t>…20. El 2 1 al amanecer Ñapóles 6 Je Agosto. las tropas nacionales se pusieron en marcha en dirección de ’vJoEl telégrafo de Gaeta y el de.Ischia anunciaron ayer por la quegua : el Sr. Brigadier D. Gerónimo Valdés tomo ¡a vanguar mañana, que el navio ie Capri que trae á bordo á nuestro sobe dia con los batallones de Gerona y centro, 2.0 escuadrón de rano; la fragata ¿a Amelia , la corbeta real la (jaiatra y el brick dragones de la Union y dos piezas de artillería: á es…</t>
  </si>
  <si>
    <t>…nte á la España y á 1a. riscal de Campo D. Josef María Torrijos, Comandante general Europa, para que no se haya interesado nuestro deseo en averi del octavo distrito miliiar, y el Sr. Brigadier D. Vicente e,an guar su conducta política y militar; y lo mismo desearán saber cho, Gobernador de la plaza de Cartagena, conforme á los ar sm duda todos los españoles amantes de su Rey; aunque ya te tículos siguientes: nemos algunas muestras de ella durante su corta res…</t>
  </si>
  <si>
    <t>Bringas</t>
  </si>
  <si>
    <t>…tado resulta acreedor á dicha testamentaría. otra habia largas distancias, y pasaban á veces ríos caudalosos. La comisión de Biblioteca era de dictamen que antes de verificaría El Sr. Bringas propuso que en atención á la situación local de m ula traslación del Gobierno se le mandase efectuar la entrega de loa in chas poblaciones piquiñas de Ultramar, hubiese ayuntamiento solo en ventarios de libros del monasterio de Monserrat de esta corte. Apro l…</t>
  </si>
  <si>
    <t>…pre cio do. lo dornas a que hubiere lugar. Aglobado. sión de pósitos. La misma comisión habiendo examinado la soli Las Cortes recibieron con aprecio lina esposiciou citud. del Sr, diputado Bringas pava que si' le con de los alumnos de la clase de Constitución del co ceda permiso para residir por dos meses Inora de legio nacional de S. Carlos de la Habana, manifes esta ciudad por exigirlo asi su salud ; atendiendo á tando sus senliinienlos pati¡óticos.…</t>
  </si>
  <si>
    <t>Bringas, Francisco</t>
  </si>
  <si>
    <t>Francisco Bringas</t>
  </si>
  <si>
    <t>…uia defendiéndose con heroísmo; niente D. Josef de Záyas ; á!D. Antonio Masoni, teniente de que la división de Martin , que habia sufrido un pequeño des la M. N. A. de Toledo, y á D. Francisco Bringas, teniente de calabro, se habia reunido; y que ia noticia del auxilio de Ca la M. N. L. de caballería de Madrid. Se reconocerán por em taluña ,se confirmaba desde Vinaroz. Bertrán de Lis se hallaba pleados á las inmediatas órdenes del general comandante de la…</t>
  </si>
  <si>
    <t>Briz, Juan</t>
  </si>
  <si>
    <t>Juan Briz</t>
  </si>
  <si>
    <t>…avor de la conservación de la paz. En vn — González, D. Bernardo García Pelayo , D. Josef Francisco de ¡a Pera, virtud de la que había hecho el comercio de Burdeos se decia ya que D. Juan Briz , D. Julián Arias Rabanal , D. Antonio Rodríguez, S. A. R. la duquesa de Angulema suspendería su premeditado viage á es D. Marcelino Garrido , D. Josef Cepeda del Rio, D. Sancho Sanabria, ta ciudad. D. Juan Martin Carnes, D. Jacinto de las Heras, D. Francisco…</t>
  </si>
  <si>
    <t>Brizuela, Josef</t>
  </si>
  <si>
    <t>Josef Brizuela</t>
  </si>
  <si>
    <t>…Francia. y Burgos: estas al cargo del digno Sr. brigadier Monet, acompaña No obstante el 16 iba siempre de aumento la debilidad del do de su ayudante el teniente coronel graduado D. Josef Brizuela. augusto enfermo, y se declaraba por diversos síntomas melancó Marché con pausa por el camino real dando t empo al movi licos: le acometió una especie de delirio, y le parecía hallarse ya miento de nuestra izquierda, y llegado á tiro de cañón de los en Savor.…</t>
  </si>
  <si>
    <t>Brobeque</t>
  </si>
  <si>
    <t>…titulares de tomar la bandera en medio de 40 hombres que la custodiaban, la: villa de Aranda de Duero, dotadas cada una con pQ rs. haciendo prisionero al oficial que la tenia : al capitán Brobeque, vellón anuales, que se pagan en metálico y por tercios do año. comandante de la vanguardia, que con intrepidez fue de los pri Los que quieran pretenderlas lo harán por memorial al ayunta maros que se arrojaron sobre esta masa ; al brigada Broun que se miento…</t>
  </si>
  <si>
    <t>Broca, Pedro</t>
  </si>
  <si>
    <t>Pedro Broca</t>
  </si>
  <si>
    <t>…unos 20 caballos en ga, como i los capitanes de alias D. Joeef Cebrian y D. Anto el lugar de Plaienzuela, los que observaron muy luego que loe nio Mombiela, y ai teniente de Guias D. Pedro Broca. enemigos , en número de 400 caballos.salidos de Torremocíu, » Los enemigos ocupan hoy los pueblo* da Sta. Cruz y el del ranian i atacar nuestra vanguardia ; I® que se defendió con vi pusrto de Sta. Cruz/" sor; f'r'o tuvo que irse retirando por la superiorida…</t>
  </si>
  <si>
    <t>Bros, Felipe</t>
  </si>
  <si>
    <t>Felipe Bros</t>
  </si>
  <si>
    <t>…ra, consultando si debía repartirse una dehe r.ts D. Fernando Rubín de éelis, y por ayudantes de campo sa que se le concedió en 1448 por los motivos que expresaba, á los coroneles D. Felipe Bros, D. Ignacio Hacha y D. Do opinaba que debía repartirse. Aprobado. mingo Mateos, al teniente coronel D. Pedro Nogues, y á los ca La comisión primera de Legislación, en vista de una solicitud pitanes D. Francisco Palacios y D. Félix Combé, y á los tenien de Doñ…</t>
  </si>
  <si>
    <t>Broussais</t>
  </si>
  <si>
    <t>…s de medicina y cirugía prácticas , el cual contiene : 1.° La con Dios guarde. á,V.'E. muchos años. Cuartel general de Vitoria 34 de tinuación déla clínica ó medicina práctica dei catedrático Broussais: 2.a Enero de i S^.ccExcmo Sr.rrjosrf María de Torrijas.—Excmo. Sr. «e- el análisis de los diarios de medicina ingleses: 3.“ reflexiones sobre la fu cretario de Estado y del Despacho de la Guerra." tura suerte de los facultativos de los pueblos, consiguientes…</t>
  </si>
  <si>
    <t>Brrtozz</t>
  </si>
  <si>
    <t>…id*. J, que durar.ts la cautividad Papa el domulgar durante la octava de la Asunción. del Rey nos disputan sus enemigos, que lo son igualmente dq El 18 á las cinco de ia mañana el cardenal Brrtozz di le Dios, del orden púbiicq y de ia existencia, de la sociedad hu^ administró el viático. Jj. S. conocía el peligro en que se hallaba: mana. Él terrible escarmiento de los inmensos males que esto3 le ofrecieron algunos cordiales para reanimarlo, y respondió…</t>
  </si>
  <si>
    <t>Brugada, Jos.f de</t>
  </si>
  <si>
    <t>Jos.f de Brugada</t>
  </si>
  <si>
    <t>…se reunido el dia ant s varios mi Samaniego y D. Fernando Palacio de Azana, conde de Mon es licianos de Madrid y otros pueblos, y que d.rigiéndose á un mo Claros__En la calogtafia D. Jos.f de Brugada , accésit D. Jo lino inmediato á Chiclana, echaron á correr los gabachos como sef de castro—En la de R.ipaida y Flcun D Manuel Mtresqui. gamos, abandonando á merced de los libres 38 sacos de harina.” __En las clases de historia sagrada y ciernen :os de gramát…</t>
  </si>
  <si>
    <t>Bruguera, Pedro</t>
  </si>
  <si>
    <t>Pedro Bruguera</t>
  </si>
  <si>
    <t>…o hasta las 3 de la tarde en San para comandante de la primera reserva al teniente coronel, gefe Adriá y Santa Coloma. Se han dirigido por el Besos arriba ha del batallón núm. 54, D. Pedro Bruguera; de la segunda al te cia Moneada, con su artillería y tropas de todas armas. En este niente coronel D. Josef Portell, y de la tercera al coronel Don último pueblo había esta tarde de 300 á 400 caballos y tres pie Juan Serralde. zas de artillería: de los citad…</t>
  </si>
  <si>
    <t>Bruny</t>
  </si>
  <si>
    <t>…nchy y el vizconde Obert. surgente de 22 cañones construida en el norte de América. Mar scales rfe campo. El vizconde Corsin , el conde de la Roche- Consejo Je EstaJo. Aimond , el barón Bruny, el barón Bonnemains, el conde Grundler, Por renuncia que ha hecho D. Josef Matías Cablera de la judica el barón Gressot, el vizconde Vallin, el vizconde Toussaint , ei viz tura de primera instancia del partido de S. Julián de Poulo ha queda conde Pedeport ,…</t>
  </si>
  <si>
    <t>…s , debe sin embargo haber una diferencia' El importante punto de Bilbao está cubierto por el maris en el modo de castigar sus faltas y delitos; pues de lo contrario, cal de campo barón Bruny. se destruiría la armonía que d.be reinar en ei orden social y le El cuarto cuerpo, después He haber conseguido en muchos gal , asi como el Supremo Hacedor la ba establecido admirable encuentros las mejores ventajas sobre las tropas revolucionarias, mente en…</t>
  </si>
  <si>
    <t>Brusi, Emana</t>
  </si>
  <si>
    <t>Emana Brusi</t>
  </si>
  <si>
    <t>…, y nos parece que llena En la 91. Loa infrascritos jueces de hecho , habiendo examinado completamente el objeto que se ha propuesto. Este tratado supone á la denuncia firmada por Doña Emana Brusi, y el artículo comunicado los alumnos que lo han de estudiar instruidos en todos los ramos de que acusa inserto en el Indicador catatan del día 25 del corriente, matemáticas puras , como lo deben estar los de la casa de educación de han declarado por unanimid…</t>
  </si>
  <si>
    <t>Bsnjum-.'da, Josef</t>
  </si>
  <si>
    <t>Josef Bsnjum-.'da</t>
  </si>
  <si>
    <t>…lo con grande cantidad de áci ñores D. Agustín Cintel, D. Agustín de Lanza, D. Prudencio Her do sulfúrico y un poco di ácido muriático. Esta muestra contenía tam nández Sla.*Cruz, D. Josef Bsnjum-.'da, D. Juan González, D. An bién una sustancia rojiza, que parece *er deutoxido de hierro unido al tonio Cortes y Coíl, D. Juan Josef del Cubillo , D. Pedro Josef Paul sílex y al muríate de sosa. y D. josef Diez Imbtechs, declaró por unanimidad haber lugar á la…</t>
  </si>
  <si>
    <t>Bspi-, Pedro</t>
  </si>
  <si>
    <t>Pedro Bspi-</t>
  </si>
  <si>
    <t>…__ Otro , cuarto medio por 100 , de Mérida , dicho monasterio, de 85,346 mrs—Otro , millones de Galicia , dicha priora y religio de 140,51 2 mrs__Otro, medio por 100 , de Málaga , D. Pedro Bspi- sas, de 4.725,000 mis. EN LA IMPRENTA NACIONAL.</t>
  </si>
  <si>
    <t>Btilov</t>
  </si>
  <si>
    <t>…ndenc.¡i de su Na Sres. Gottum, Kulow y Klewitz. El primero ha sido nombrado agre ción y la libertad de sus Jiab.ULt s : gado al Sr. BernstoilF para los negocios extrangeros; y el Sr. Btilov, ¿Qué seria de Portugal y ,te su Constitución ¡i el ¡soder disolutoque fue en otro tiempo ministro de Hacienda en el rHno de Weslfa- subyugase la Constitución tsfañJa : Los ultras saben muy Isifii lo que lia, ha sido nombrado ministro de Prusia en París. seri…</t>
  </si>
  <si>
    <t>Bu</t>
  </si>
  <si>
    <t>…si tículos s:an eXt-nsivos á los bataUon.-s de Ja M. N. A. deración cuanto artu, á 6n de que sufriese el condigno castigo el gefe Se mandó insertar en ei acta e¡ voto pamcuiar del Sr. Bu?)’ , con post ro de Cidiz , ó ¡os que firmaban la qu.ja, si era falso Jo que ex trario á lo resuelto por las Corles, dirogaedo el decreto d; 13 d; presaban. Marzo de 1822. El Sr. ZtiUrta pidió que pasase con urgencia á la comisión de Ca Se procedió á discutir…</t>
  </si>
  <si>
    <t>Bu, Josef</t>
  </si>
  <si>
    <t>Josef Bu</t>
  </si>
  <si>
    <t>…ue según ái parte á V. E. persígala con su guardias marina» siguientes: D. Josef Baldasano, P. Matiano Pardo v k' los restos del cabecilla Albuin por el valle de Fequin, me Manso, D. Josef Bu:trago, D. Juan Vibavicencio y Pareja , D. Josef de que aquel s: dirigía a pasar el Navia por el Sena , por lo Seidel y Aurrich, D. Juan Martínez y León , D. Santiago Perez y encontrarlo á Fomria: aili supe que el enemigo contramar- Camino, D. Fernando Mergeli…</t>
  </si>
  <si>
    <t>Bu, Rafael</t>
  </si>
  <si>
    <t>Rafael Bu</t>
  </si>
  <si>
    <t>…osa; seamos Viriaios, vencedores, entre los últimos un pretendido capitán , y el consejero y faltos del genio que al francés hizo soldado , combatiremos des director del cabecilla D. Rafael Bu rao na , ex-coronel graduado y truyendo á esas hordas de esclavos. No deis oidos á infames fran bien conocido por sus aventuras. Los dispersos deben perecer á ceses que pretenden nuestra esclavitud. Siempre Constitución y manos de las tropas que los buscan en…</t>
  </si>
  <si>
    <t>Bu-</t>
  </si>
  <si>
    <t>…modo de se insertase íntegra en el diario de sus sesiones. ver estriba únicamente en el concepto de que la causa de la de— Se hizo la segunda lectura de las dos proposiciones de! Sr. Bu- «erc.on son los pueblos ó los ayuntamientos: este ts un defecto ruaga sobre la confirmación de los obispos electos, y para que se esencial del proyecto, porque ia causa principal io será, mas concediesen las dispensas matrimoniales por los M. RR. ar la única…</t>
  </si>
  <si>
    <t>Buasil, Juan</t>
  </si>
  <si>
    <t>Juan Buasil</t>
  </si>
  <si>
    <t>…tima reliquia de esta venenosa y sanguinaria hidra. =Por JoRetrato del Rey nuestro Señor D. Fernando v»t, dibuja sef I.uii Coelho Montciio, sustituto en ia Real academia da do por D. Juan Buasil, pintor de Cámara de S. M. , y grabado Oporto. por un profesor francés llamado Valmon. Se hallará en las li El dia i.° de Octubre próximo te abre al cuno de estudios brerías de Quirós y de Villa: su precio 3 reales. EN LA IMPRENTA REAL.</t>
  </si>
  <si>
    <t>Bubna</t>
  </si>
  <si>
    <t>…acían parte del egército de Frimont. Los demás que talen de Ita España.* Es varonil, ya lo sabemos, ybien pronto será r.eróica; pno bas lia.correspondían al cuerpo de egército del general Bubna, y al que ta entonces debe estar á la defensiva al Jrente de un ministerio que r.o está apostado en Lombaidía y el pais Véneto. quiere la guerra , ni puede rehusársela al partido que le ha elevado al INGLATERRA- poder. Todo se halla todavía entre las olas; no…</t>
  </si>
  <si>
    <t>Bucheli, Francisco</t>
  </si>
  <si>
    <t>Francisco Bucheli</t>
  </si>
  <si>
    <t>…y cautivo, original. En esta dis Javier Castaños; para ias plazas de generales de ejército al ma posición hallaron á esta villa las tropas Libertadoras, que fueron riscal de campo D. Francisco Bucheli, y i los tenientes genera recibidas en ella con las mas numerosas y f-stivas aclamaciones, les D. Manuel Zappino, D. Joaquín María Veiarde y D. Gre y ni antes ni después manchó ei menor desorden su patriótico gorio Rodríguez; para las de feos de marina á los…</t>
  </si>
  <si>
    <t>Bueno, Francisco Qucvedo y</t>
  </si>
  <si>
    <t>Francisco Qucvedo y Bueno</t>
  </si>
  <si>
    <t>…que nuestra sanca religión re gas, D. Juan Miguel Pa-z de la Cadena, D. Diego Marta Va- prueba ias venganzas, y de que seria ofender a! Rby en su mas ditlos, D. Joaquín Sistemes, D. Francisco Qucvedo y Bueno y. apreciable prerogativa el tomarse la justicia por su mino , y pri D. Josef Salvador López del Pan; para la de fiscal militar al var á S. M. del derecho de castigar á los que hayan delinquido. mariscal de campo D. Antonio Benavides; para la de togado á Tale…</t>
  </si>
  <si>
    <t>Bueno, Juan Perez</t>
  </si>
  <si>
    <t>Juan Perez Bueno</t>
  </si>
  <si>
    <t>…u exaltado patriotismo y ze’o por su Rey; en cuyos brazos, por su adhesión á los revolucionarios , con una orden del excomo padre, descansó y todos los pueblos de la Península has intendente D. Juan Perez Bueno , pnra cx.gir contribuciones ta el mes de Marzo de 1820, que volvieron á renovarse las agi que á la fuerza quisieron extraer de dicho pueblo, de cuyes re taciones y convulsiones por pérfidos españoles, que' han conspi sultas, y por la oposcion que encuntiaron…</t>
  </si>
  <si>
    <t>Bueno, Martin</t>
  </si>
  <si>
    <t>Martin Bueno</t>
  </si>
  <si>
    <t>…no de Velez-Málaga, en solicitud de que se declare si pueden obtener tierras baldías los vecinos ca Crédito público. sados que no teniéndolas propias poseen sin embargo las de sus D. Martin Bueno , presbítero secularizado , vecino de la villa mugeres, mas bien como administradores que como propietarios, de Alburquerque , provincia de Badajoz, considerando Jas ur se han servido resolver, que los vecinos que administran tierras gentes necesidades de la…</t>
  </si>
  <si>
    <t>Bueréns, Josef</t>
  </si>
  <si>
    <t>Josef Bueréns</t>
  </si>
  <si>
    <t>…s, primeros comandantesD. Josef Ramón Solís. ^ Primeros tenientes. . supernumerarios. ...................................................IX Pedro Morell. 16000D. Josef Maria Rcat. D. Josef Bueréns. . D Josef María Craywinckel. D. Juan Cortes...................................J Idem con distino á un cuerpo que esté en D. Pedro Carrillo ele Albornoz. Primer ayudante. ■J campaña, según el artículo 5.0 del expresado deícreto. ..............................…</t>
  </si>
  <si>
    <t>Buey</t>
  </si>
  <si>
    <t>…se conforman entre sí , ó bien el Gobier inconveniente én aprobarle. no mismo, sin perjuicio de que si este viese que no estaba en sus atri Después de hábsr apoyado el artículo el Sr. Buey, se declaró el pun buciones el decidir sobre ello, le pasase á las Cortes; y si todavía ocur to suficientemente discutido; y habiéndose votado por partes el artícu riese la duda de que podía haber casos urgentes en ocasic.o que no estu lo , quedó aprobado en…</t>
  </si>
  <si>
    <t>…ró .-«raímente Después di una ligera discusión se mandó volver á la comisión en los suplementos í las gacetas de Madrid d.: 25 de Enero y *4 de Ju este dictamen. nio de 18 17. Del Sr. Buey al art. 17: «Los cuates sin embargo presentarán las « Despijes del cange di las ratificaciones del tratado comenzaron sus cuentas i los ayuntamientos antes de remitirlas ¿ las diputaciones pro trabajos las respectivas comisiones, y sucesivam-nte se liquidaron…</t>
  </si>
  <si>
    <t>…s como crimen. Sin embargo , á cualquiera parte que vaya dios , resultando un atraso en todas las ciencias.esta señora lieva consigo I» cat-dsd de hija de Carlos iv, hermana de El Sr. Buey contestó que .as observaciones del Sr. preopinanteFernando vir, esposa de nuestro bu -n Rey , y madre d i que ha de ocu eran sobre determinados artículos , y que por io mismo podría hacerlaspar e! trono lusitano; p&gt;r tanto es indispensable qu: se ia señale co…</t>
  </si>
  <si>
    <t>…ependiente del ex comisión , con la aprobación ó reforma que baga la nueva comisión de pediente general sobre loa acreedores de la junta de reemplazos. que trata el articulo 4.*El Sr. Buey se opuso á la creación de la comisión compuesta de loa Art. 16. » Dichas inscripciones se reconocerán por el Crédito fi-</t>
  </si>
  <si>
    <t>…qué fue Despuea d* haber hecho variaa observaciones el Sr. Royere contra mu rápido, si el toque de le generala ó la iluminación general y espon el dict'imen, á las que contestó el Sr. Buey , se declaró no haber lugar tánea da todas las casas, y la concurrencia da tod&gt;s los militaros, á vot .r sobre él. milicianos y ciudadano* con las armas en la mano á derramar basta la En su consecuencia se puso á votación U adición del Sr. Castejon, última go…</t>
  </si>
  <si>
    <t>…o Gobierno se ha antici lativo á Gracia y Justicia, Gobernación y Propuestas. pado, y que circulan por todas partes dentro y fuera de España muchos Se mandaron agregar el voto del Sr. Buey, contrario á la aproba miles de copias impresas; las cuales harán sin duda en ¡os paises ex ción del art. 54 de ordenanzas sobre reemplazos , y el de los Sres. OI i— tranjeros una impresión semejante é la que han hecho en ia Península. ver , Sálvalo , Veiatco…</t>
  </si>
  <si>
    <t>…c.n él; pero el Sr. preopidad de Almería, por el Sr. Liilo. rii.te no me negará que hay muchos, r.uchos, y ojalá no hubiera tan» De la «Jip.Trscion provincial de Pa'iencla, por el Sr. Buey. 1. s , que en estas materias, en que ordinariamente hav interese» de conDel ayuntamiento constitucional de Lores. Jid.vac.on , son capaces de faltar á la verdiri: y del modo que lo propo ■ Del r.dmimstrador y demas empleados de la Hacienda pública en ne ahor…</t>
  </si>
  <si>
    <t>…as moderada , asi en la'forma como en el Del batallón de milicia activa da Falencia , presentada y luida por fondo, y aun se encuentra en ella un pasage que parece que descubre el Sr. Buey. todo su pensamiento ; y es que si los inconvenientes que ella ve en el Df milic’c nacional de la ciudad de Vitoria. sistema actual de España pudiesen reconcentrarse en el interior de la Del ayuntamiento constitucional de Medina del Campo, y de la Península,…</t>
  </si>
  <si>
    <t>…en que no deba De la milicia nacional de Patencia, del juez de primera instancia aprobarse lo que propone la comisión. y demas dependientes del juzgado de...., y otras que leyó ti Sr. Buey, Ei Sr. Zulueta: El Sr. preopinante se ha dirigido mas particular y no pudieron entenderse. mente á uno de los puntos del proyecto , manifestando que á la sombra Del escuadrón de artillería de Valencia, por el Sr. Marau. de esta habilitación se introducirían…</t>
  </si>
  <si>
    <t>…uniformidad en el manejo y orden superior de estos estableci minas de Almadén. mientos; si la figura ó coste de las prendas está arreglada i los modelos Después de haber hechq el Sr. Buey vaxias observaciones en favor que se hallen aprobados por el Gobierno ; ti lo» géneros que se invier de dicho dictamen, la comisión le retiró , manifestando que admitía en ten en el vestuario son iguales y de la misma calidad para todas las ar su lugar las id…</t>
  </si>
  <si>
    <t>…entarlo de nuevo, y asi „ La Francia debe á la Europa -I egemplo de una prosperidad , que mismo el art. 33. no pueden obtener íos pueblos sino volviendo al seno de Ja religión, El Sr. Buey leyó una exposición del ayuntamiento constitucional, de la legitimidad , del orden y de la verdadera libc.tad. No ha cesado milicia nacional voluntaria 7 iunti de beneficencia de la villa de Frc— de ofrecer tan saludable egemplo; pero la justicia d.vira ha p.…</t>
  </si>
  <si>
    <t>…contra de ella varios se el reglamento de medicina militar, opinaba que se debia poner entre ñores diputados. el i.u y 2.0 artículo del mismo otro relativo á que el Gobierno pu El Sr. Buey manifestó que habiendo concedido lis Cortes aquella diese formar hospitales militares donde fuese necesario , destinando á autorización al Gobierno , no había ua motivo pata derogarla, pues ellos ios facultativos convenientes á propuesta del primer médico del…</t>
  </si>
  <si>
    <t>…nstitución ó En quinto lugar quedó elegido el Sr. Lillo por 63 votos, teniendo muerte. Gaditanos: sin unión no puede sostenerse la libertad , y sin li y el Sr. Valdés Bustos, 3 el Sr. Buey, 2 cada uno de los ores. Bauza, bertad vale mas no existir. Yo miro con dolor el estado de discordia en Becerra y Pedralvez, y uno cada uno de ios Sres. Prado , Laque, Bus. que os hallz-s, provocado por unos pocos, al paso que advierto gustoso timante , Tomas…</t>
  </si>
  <si>
    <t>…a aprobarse el artí res , relativa al modo de proveer las vacantes de los capitanes del cuerpo de culo tal como lo presentaba la comisión. artillería que pasen al estado mayor. El Sr. Buey dijo que el dictamen era diminuto, pues solo trataba del Se procedió -á discutir el dictamen de la comisión de Guerra acerca de caso en que un pueblo se viese invadido de enemigos exteriores, y no de la proposición del Sr. Gómez Becerra sobre los auxilios que…</t>
  </si>
  <si>
    <t>…s del ejército; y como la formación de esta legión no esta pronta á admitir las modificaciones que sean necesarias. es otra cosa'mas que un convenio ó contrato, debe dejarse al El Sr. Buey: El proyecto de decreto que se discute me pare Gobierno como negocio privativo suyo todo lo demas que concierna ce impolítico y peligroso Es impolítico, porque levantamos con á esta legión • y asi yo quisiera que el proyecto se limitase solo á él una legión e…</t>
  </si>
  <si>
    <t>…tamientos respectivos, espera y moratoria por lo sabe muy bien el pueblo español por qué se ha puesto. cono tiempo , que no pasará de un año, para el pago de deudas A petición del Sr. Buey se leyeron los artículos 134 y 135 á favor de los propios y arbitrios de los pueblos, sin que puedan de la Constitución. conceder perdón por sí; pero cuando alguno solicitare gracia de Ei Sr. Sunu: Me parece que el Sr. Buey estará satisfecho con esta 11 uu ra…</t>
  </si>
  <si>
    <t>…asar con ur juez competente. gencia a ia comisión de Hacienda. Quedó aprobado este artículo, sustituyéndose a propuesta del La misma comisión , en vsta de nna exposición del coman Sr. Buey en lugar de la palabra reos las siguientes »estas per dante del resguardo de la provincia de Extremadura , manifestan sonas.” do sus sentimientos patri i eos , y que se considera n comprendi Alt. 161. Cuidarán bajo su mas estrecha responsabilidad dos aquellos…</t>
  </si>
  <si>
    <t>…ulueta hizo presente que había un decreto de las Cor tomado en su vista. tes ¿obre la inteligencia del que citaban los corredores de Eiuceiona Se leyó la siguiente proposición del Sr. Buey: » Habiendo los en apoyo de su solicitud , el cual había sido dado á consecuencia abusos de libertad de imprenta demostrado la insuficiencia de la de una exposición de ¡os corredores de Cádiz; y pidió que unién ley, según han dicho la junta de libertad de imp…</t>
  </si>
  <si>
    <t>…n de ladrones y malhechores, de que estaba infestada que haya tomado en su vista. la provincia, contaba ya con mas de 50 ladrones presos en la Se leyó la siguiente proposición del Señor Buey •• ,,Habiendo cárcel; pero que se le habia quitado el conocimiento de las cau los abusos de libertad de imprenta demostrado la insuficiencia sas de estos reos con grave perjuicio de la vindicta publica, y de la ley , según han dicho la junta de libertad de im…</t>
  </si>
  <si>
    <t>…se, t&gt;.n olvidar culos aprobados de los Sres. Arellano, Oliver, Rico y Somoza. las Cortes que de unas cosas en otras el tiempo corre, las nece Se mandó agregar al acta el voto del Sr. Buey, contrario á sidades urgen, y es preciso hacer la guerra al enemigo. la «probación de los artículos 4,y 5 del, dictamen que acaba de El Sr. Adan: El tiempo corre, las necesidades urgen &amp;c. ha discutirse. dicho el Sr. Canga, y por lo mismo que el tiempo corre…</t>
  </si>
  <si>
    <t>…corhision propondría lo acerca de las recompensas;! que juzga acreedores á la viuda ael conveniente para las demas. segundo comandante del resguardo de Cádiz que falleció en un El Sr. Buey impugnó el proyecto, manifestardo que en sü Combate contra 1:na polacra francesa ; y asimismo el patrón y ma concepto contenía disposiciones que no eran conformes con lo rineros que también se portaron en aquella ocasión, y que salie que prevenía la Constituc…</t>
  </si>
  <si>
    <t>…ó desecharle enteramente; asi es dís.” que á ¡a coimsion 110 al Gobierno es a quien debe impugnarse Art. 3.* &lt;V, e.-tc asunto, pues en el hecho de aprobar la propuesta del Go- El Sr. Buey: Por mi parte estoy convencido de que el pap*l b: :: ;¡o la adopta como suya. sellado es un gran mal que ataca directamente á la prosperidad Las reflexiones de! Sr. Alonso sqn tan exactas que difícilmente de los ciudadanos; pero ya que esta decidido que s:oa…</t>
  </si>
  <si>
    <t>…o ,y siguió la Se leyó y quedó aprobada el acta de la anterior, mandándo discusión habí ande, los Sres. Margiochi y Sousa-Castteibranco en se agregar á ella el voto particular del Sr. Buey, sobre ia api li contra del dictamen, y el Sr. Abad de Medroes apoyándole con bación del dictamen de la comisión de Hacienda en la parte rela muchos argumentos, opinando que lo primero era la salvación tiva á la dotación del clero. de la patria A la comisión…</t>
  </si>
  <si>
    <t>…elativa á los bie ba , previos los requisitos y derechos señalados en los decretos vi nes del clero, con lo cual levantó la sesión. gentes. Odm de la plaza ¡id 6 al y de Junio. El Sr. Buey dijo : Yo no mt opongo al dictamen de la co Gefe de dia el comandante accidental del Infante D. Cirios misión en cuanto á que se le admita á este interesado en la matri D. Joaquin González__Servicio á palacio la Reina y la milic.a cula como pide; pero no esto…</t>
  </si>
  <si>
    <t>…lico pra la indem recomiende al Gobierno por.sus servicios en el . restablecimiento nización de los participes legos. de la Constitución, y dd informe del Gobierno, opinaba que EL Sr. Buey hizo varias observaciones en contra de ote provolviese:al . uiísmo Gobierno esta solicitud parí que premie los yecto , manifestando que por él se deja al clero sin subsistencia, serviciosIdé¡este interesado de.la-manera que juzgue conveniente. se falta á lo p…</t>
  </si>
  <si>
    <t>…e al favor de esta ley de asilos no puedan introdu liminar que resultaba en perjuicio de la libertad de imprenta. cirse personas que con la manera y disfraz que han sabido y sa El Sr. Buey contestó que debía hacerse una distinción entre ben representar hagan una guerra á esta misma ley de asilos, es de Una licencia y una aprobación de una autoridad pública consti cir, á h nación que la ha otorgado y que ia sostiene! };'» una tris tuida por la l…</t>
  </si>
  <si>
    <t>…oportar 1 os riesgos de la navegación : y lo digo porque dos Se mando pasar a la comisión de Legislador: una adidon del buques venidos últimamente de Ultramar teman alia cargamen— Sr. Buey para que de,pues de las palabras del art culo del montos de plata y frutos, y renunciaron al i.° por el temor de provecto sobre suspensión de' tas formalidades del art.cu,o goS ser apresado*. No hace muchos días que estaba preparado en San de ¡a Constitución…</t>
  </si>
  <si>
    <t>…desde entonces todo el sueldo. Leida y aprobada el acta de la anterior se mandó agregar á 11. Las disposiciones de este decreto tendrán efecto hasta la ella el voto particular del Sr. Buey, contrario á la aprobación próxima legislatura ordinaria, á no ser que las Cortes acorten del decreto sobre habilitación de bandera. antes este plazo. A la comisión de Legislación se mandaron pasar dos exposi Declarado haber lugar á votar sobre la totalidad,…</t>
  </si>
  <si>
    <t>…S. examinase con calma el y que yo he visto, confiesa que no tenia ni culpa ni delito por proyecto de la comisión. la que tuviese remordimientos de conciencia. Dejó de existir El Sr. Buey impugnó el proyecto porque lo creyó ageno de por no poder resistir su físico los efectos del trabajo y de su po las facultades de lili Cortes. ca salud, como á mí me lo dijo mas de una vez. fie hallaba con El Sr. Buruaga contestó qua en nada se oponía este pr…</t>
  </si>
  <si>
    <t>…ese concedida sin limitación de ria destruidos todos sus ardides por la rápida violencia del fanatis tiempo. mo; y á pesar de los esfuerzos délos realistas y de la Santa-Alian- El Sr. Buey se opuso á este dictamen por considerar que le 23, la España seria envuelta por muchos años en arroyos desan jos de traer beneficios podia reportar perjuicios. gre y en guerra civil.” El Sr. Varela manifestó algunas de las razones que le habían movido á hacer…</t>
  </si>
  <si>
    <t>…e al virey, no creyendo la Leida y aprobada el acta de la anterior , se mandó agregar á comisión que esta deuda esté comprendida en el deerttd de 91 de ella el voto particular del Sr. Buey, contrario á la aprobación de Noviembre de 1820. Aprobado. dos dictámenes de la comisión de Libertad de imprenta , relativos Se dió cuenta de una exposición de D. Josef Santana, reli á dos adiciones hechas á la ley adicional por los señores Castejon gioso sec…</t>
  </si>
  <si>
    <t>…uelva á las Cortes el decreto de 29 de Jimio úl personales y pecuniarios de los patronos y todos sus efectos. timo , sobre el destino que debe darse á los bienes de las capella El Sr. Buey expuso que aprobándose este artículo no se con nías de sangre, por tener el disgusto de no poder dar su sanción á seguía lo que prevenia la Constitución, relativo al caso en que .algunos de sus artículos , á pesar de que convenia en lo principal puede tomarse…</t>
  </si>
  <si>
    <t>Buhara</t>
  </si>
  <si>
    <t>…on. nada Se dió cumia de los siguientes dictámenes de la comisión primera mas tengo que thc.r smo que mi »n.u,o no ña sido poner en t.__a el de Hacienda. Uno sobre la solicitud de Doña Buhara de la Hoz, viu ccnccido zelo da ¡es res. s.crcUrics. da de D. Pedro Baño, teniente de ios egércitos nacionales, pidiendo Se leyó por segunda "rz, y s: mandó pasar i la comisión de Guer j; le continúe el pago de ci-rta pensión que se la había concedido. La ra,…</t>
  </si>
  <si>
    <t>Buk, Antonio</t>
  </si>
  <si>
    <t>Antonio Buk</t>
  </si>
  <si>
    <t>…n parar por toda la costa hasta dentro de Asturias. bernador D. Josef Spuig, teniente coronel; al comandante de n El día 12 el gefe Realista D. Ramón Chambo se apode artillería el coronel D. Antonio Buk; al comandante de la ciu ró del castillo de Tortosa; y espera en pocos días hacerse dueño dad D. Manuel Montesinos; al teniente de Rey D. Manuel de toda (a plaza. Esto ha sido de la mayor importancia pan Vidal, y á D. Antonio Urillas, gefe de batallón , coman…</t>
  </si>
  <si>
    <t>Bulgary</t>
  </si>
  <si>
    <t>…, diputado -rcr etano. — Por los Estados , en B rlin mismo, en Viena y en Pelersburgo , ; se atreve tanto mandamos i todos los tribunales , justicias , gefes, gobernadores y rá el Sr. Bulgary á expresarse en aquellos términos sin menoscabo de demás autoridades, asi civiles como militare» y eclesiásticas , de cual su veracidad , sin petjuício de su deber y de su honor i ; Desde qué pun quiera clase y dignidad, que guarden y hagan guardar, cumplir y…</t>
  </si>
  <si>
    <t>Burdeos, Duque de</t>
  </si>
  <si>
    <t>Duque de Burdeos</t>
  </si>
  <si>
    <t>…dad dió anoche en las casas á las cinco de la mañana á los habitantes de la capital el naci consistoriales un lucido baile, al cual concurrieron las persona» miento de S. A. R- el Sr. Duque de Burdeos. Este feliz aniver de mas distinción r W sirvió una abundante cena, y la'alegría sario se ha celebrado por !á tercera vez, y siempre con el mismo de todos los’ concurrentes hizo muy gr^to este sincero y festivo entusiasmo. Ayer , como lo habíamos anunciado, n…</t>
  </si>
  <si>
    <t>Burgo, Pozzo di</t>
  </si>
  <si>
    <t>Pozzo di Burgo</t>
  </si>
  <si>
    <t>…arquía que nuestro negociador en Verona no hsbia previsto que pudiese haber debe entenderse también con la Reina: 2.1 : A quién corresponde ti dificultad alguna en esto , y que el Sr. Pozzo di Burgo no habla Ido á hacer jurar esta ley; al Gobierno, ó ai poder judicial: Y 5.' ¿El Go Paris para concurrir 4 un nuevo congreso , sino para acelerar las medi bierno en la egecuciou de la lev se ha ceñido exactamente a lo que das á que habían de obligar la negati…</t>
  </si>
  <si>
    <t>Burgos, Chaleco Desde</t>
  </si>
  <si>
    <t>Chaleco Desde Burgos</t>
  </si>
  <si>
    <t>…......... 600 intimación de esta especie á un pueblo de un vecindario numero En Soria........................................ 250 so como es Infantes , y mucho mero» haciéndola ci Sr. Chaleco Desde Burgos á Madrid...,........ . 200 50 (como es de presumir) con ánimo de que no sea una varia ame En Falencia y León....................... 15001500 20 naza. En Valladolid................................. 300 40 ( 2 ) De tal manera abusan estos hombres del nombre san…</t>
  </si>
  <si>
    <t>Burgos, Miguel</t>
  </si>
  <si>
    <t>Miguel Burgos</t>
  </si>
  <si>
    <t>…ro para recibirlas, lian agitado tanto las por su orden dada en Andújar, en la cual se le trata peor que ¿ pasiones, y excitado de tal modo los partidos, que de ello han Napoleón. D. Miguel Burgos había reimpreso Ja exposición, y el resultado las mas funestas consecuencias: toda forma de Gobierno dia 28 los franceses le deshicieron los moldes y le quitaron 600 en que intervienen individuos de clases diferentes con representa ejemplares. El número ele l…</t>
  </si>
  <si>
    <t>Burriel, Antonio</t>
  </si>
  <si>
    <t>Antonio Burriel</t>
  </si>
  <si>
    <t>…o fijo de ¡os movimientos de Quesada, y que las General se acantonará también en Madrid , encargándose de su cartas de las provincias Vascongadas aseguraban todas que los mando el brigadier D. Antonio Burriel. Quedan agregados pro francés no pasarían el Ebro hasta la contestación de nuestro visionalmente á esta brigada las compañías de Guias. La misma Gobierno. Por último , respecto de Palencia asegura que no está división establecerá un destacamento de 100 hombre…</t>
  </si>
  <si>
    <t>…nunciado negocio, pues no saben po.r qué conducto han de Art. i.a Se reconocerá por ayudante de campo det brigadier encaminar su solicitud. Si se hubiera suspendido la publicación D. Antonio Burriel, al teniente de ia M. A. de Trujdio de la gaceta de Madrid, seria lo mismo enviar dicha razón á D. Francisco Romero. la tedacc.on de la gaceta espartóla que se publica en Sevilla. Art. 2.a El general-en gefe ha visto con mucho sentimien ' A los poseedores ó a…</t>
  </si>
  <si>
    <t>Gaceta Española n.º 98 (extraordinaria)</t>
  </si>
  <si>
    <t>…lumna; pero el fue‘go de nuestra infantería y algunos disparos de han quedado con gloria las armas nacionales. El mariscal de cam las cañoneras le pusieron en precipitada fuga. po D. Antonio Burriel, general en gefe interino de este ejército, La columna del mariscal de campo D. Carlos Espinosa se dice al ministro de la Guerra que los franceses han visto con adelantó hasta la inmediación del molino del Ocio, habiendo sido asombro v con terror que los vali…</t>
  </si>
  <si>
    <t>…ción el de muertos de i 5 á 20. El parte del resumen de dichas operaciones que da el general Articulo i.° El cultivo, venta y fabricación del tabaco que en ge fe de dicho ejército D. Antonio Burriel, se leerá si las Cor da en plena libertad desde primero de Julio próximo, según ius reglas que se establecen en el presente decreto.tes lo tienen á bien. Leyó en efecto dicho Sr. secretario el parte que se cita (véase Art. 2.0 Queda absolutamente prohibida la…</t>
  </si>
  <si>
    <t>Burrlel, Antonio</t>
  </si>
  <si>
    <t>Antonio Burrlel</t>
  </si>
  <si>
    <t>…e Madrid 04 de Abril, de 18 aj. Extracto de dos avisos ai público que hemos recibido de Murcia, ORDEN GENERAX. . El día 15 á las cinco de la mañana fueron atacados los Art. i.° El brigadier D. Antonio Burrlel, gefe del E. M. nuestros por los facciosos entre Torrente y Picasent. El número de este tercer egército de operaciones, ha hecho presente al de estos era de 69, y el de los constitucionales ascendería á Excmo. Sr. general en gefe que no podía desempeñar ias f…</t>
  </si>
  <si>
    <t>Buruaga</t>
  </si>
  <si>
    <t>…l Rey con lo que cedido lo mismo con el que ahora se nos presenta! Yo creo que hu corresponde á las Cortes. biéramos aoefaniado mucho con tener pr-^enies en la discusión ias ob El Sr. Buruaga: Las impugnaciones que hasta ahora se han hecho servaciones hechas por los interesados é inteligentes en la materia. al dictamen de la comisión Eclesiástica son de ningún valor. En efec Esto era tanto ír.a: natural, cuanto que en todos tiempos se ha consul to…</t>
  </si>
  <si>
    <t>…uebrantas Del ayuntamiento y M. N. V. de Calera, y de la M. N. V. de que por sí tiene, ocasiooa.algunos fraudes en el manejo de ellos, y &lt;ja Azv.tan , provincia de Toledo , por el Sr. Buruaga. consiguiente el erario sufre gfaves pérdidas con perjuicio de las atencio. De varios ciudadanos de la Corulla, presentada por el Sr. Pumarejo. nes que tiene que cubrir. Por otra parte no puedo menos de repetir í0 Del ayuntamiento y milicia nacional voluntari…</t>
  </si>
  <si>
    <t>…resuelto en el día 9 en la sesión de las Cortes, A petición del Sr. Velasco se volvió á leer el dictamen. y la insertamos integra er. el artículo de Barcelona con unas hermosísiEl Sr. Buruaga le apoyó, manifestando que si se atendía al carácter maa quintillas, que vienen á continuación, y merecen ei aprecio de loa déla discusión en la que habia vertido el Sr. Moreno Guerra aquellas patriotas y de las musas. proposiciones contra el intendente Eliza…</t>
  </si>
  <si>
    <t>…sive, y de libertad d: imprenta sen cuando se trate mas ad-lante de! código di Londres hasta ei 4. ptocídimirntos. Es general en toda la Francia el clamor por 'a paz, r muy fre El Sr. Buruaga; Alabo la serenidad del Sr. preopinant*; pero su se- cuentes las exposiciones que de todas partes se rem.ten á las Cimaras liona me liará ei favor de cr::r que no tengo ningún r-mor al papel ds con este motivo; sin embargo el partido guerrero se halla todavía…</t>
  </si>
  <si>
    <t>…« este dia se declaren las Cortes en sesión permanente , á fin de que había verificado la invasión de aquel punto. la Europa entera se convenza que estamos decididos á mantener El Sr. Buruaga, de: pues de hacer varias reflexiones sobre el esta lucha. estado actual de la España, y sobre ia necesidad que hay de to El Sr. secretario de la Gobernación de la Península. Ningu mar medidas enérgicas sin respeto alguno, puesto que algunas na declaración po…</t>
  </si>
  <si>
    <t>…y entusiasmo por la libertad que ani Se leyeron y r.i trataron p sir a la com sion de Guerra dos mará á los habitantes de esta provinchi, considere ai mismo tiem propos-c enes de] Sr. Buruaga: reducida la primera a que se de—</t>
  </si>
  <si>
    <t>…de su'infame asesino, para jJ.el decreto de S- M- declarando la guerra á la Francia (véase el jquy lá impunidad no autorice semejantes atentados, que insul articulo.de Madrid). El Sr. Buruaga hizo proposición para que tan alas íeyc* y siembran el luto y la desolación en .familias se exigiesen del Qpb’terpo los documentos sobre que se había enteras que por ellos pierden su apoyo y sus esperanzas.' fundado ^licha declaración de guerra, y admitida á…</t>
  </si>
  <si>
    <t>…a S. M. el testimonio de su constante adhesión nifestaba que no había necesidad de la aclaración que so.iciuba al trono constitucional; y que reunido en torno de él, junta- el Sr. diputado Buruaga sobre los militares que residiesen en m me con la Nación que representa , está pronto á sacrificarlo Francia quince dias después de publicada la guerra, por estar todo en defensa de la causa sagrada de la Constitución, de la ya previsto esto en la ordenanza.…</t>
  </si>
  <si>
    <t>…ta privada de un individuo ; yen fin También se declaro ser primera lectura la que se din á una podría recaer esta calificación sobre cualquier acto que no tuviese proposición del Sr. Buruaga relativa á varios puntos de policía. ninguna relación con el buen desempeño de un empleo; y por lo El Sr. isturiz: Los diputados de la Nación por la provincia mismo no debe aprobarse el artículo. de Cádiz tienen el honor de presentar una exposic.on que dirice…</t>
  </si>
  <si>
    <t>…reales, ó un pobre artesano que le cuesta la casa los mismos cin soy de opinión que debe aprobarse el artículo. co reales que al labrador del pueblo, ó seis ú ocho. Los que tie El Sr. Buruaga impugnó este artículo, manifestando que aun nen tienda, por ejemplo, necesitan un edificio grande para dar sa que convenía en que la séptima parte de los bienes del clero bas lida á sus efectos. Un comerciante tampoco paga tanto arriendo tarían para hipoteca…</t>
  </si>
  <si>
    <t>…n todos con entusiasmo á alis tas. La carta de Cork añade que se creía que aquella expedición tarse entre los defensores de la patria. estriba destinada contra la isla de Cuba. El Sr. Buruaga fue de opinión de que el Gobierno debí» — E11 ks agitas de Málaga se ha visto una goleta francesa cru dar el manifiesto ofrecido. zando. Se declaró no haber lugar á votar sobre'k preposición. Sevilla 4 de Mayo. Tampoco se admitió á discusión por 63 votos cont…</t>
  </si>
  <si>
    <t>…s por la diferente autoridad que ejercen los primeros ó si lo tienen, deben tenerlo también los exclaustrados. entre sí, y por el distinto modo con que se siguen los pleitos en El Sr. Buruaga: Los ex-frailes y ex-monges exclaustrados no d.chos tribunales. pueden pensar que quedan anulados los votos solemnes que tienen Después de haberse desecho alitimas equise^s^iones pv.. .os hechos. La potestad temporal en uso de sus prerogativas y del de Sres.…</t>
  </si>
  <si>
    <t>…fecto. Se declaró haber lugar á votar soore la totalidad de este dic - El Sr. 'N'avarro Tejeiro insistió en lo propuesto por el señor tamen. Sotos Puesto á discusión el art. i.°el Sr. Buruaga se opuso á él, • JElSr. González Alonso manifestó que en los casos en que manifestando que era muy limitada la pena que se imponía á los se-declaran los d putados indignos de la confianza nacional no" se españoles que hubiesen obtenido condecoración del Gobie…</t>
  </si>
  <si>
    <t>…nde se consiga mejor la utilidad Nuestras relaciones anteriores con la Francia ha llevado a muchos al Estado. españoles á aquel país sin haber renunciado a la naturaleza. En Ja El Sr. Buruaga: La obligación de todo buen español es de clase comercial y artística habrá muchos que tengan allí estable defender su patria en todos los peligros: el que en estos casos se cimientos. En Bayona, por ejemplo, existe una casa de españoles muestra indiferente e…</t>
  </si>
  <si>
    <t>…eros legítimamente introducirlos por tas aduanas, Después de haber hecho algunas observaciones sobre este ar podrán remitirse en buque de bandera amiga desde ios puertos tículo el Sr. Buruaga , y á las que satisfizo el Sr. Olivcr, se de que se hallen libres de las tropas enemigas a ios ocu paco» por claró el punto suficiente discutido, y hubo lugar á votar sobre la citas. Art- 3.0 Igualmente podran trasportarse en dichos buques totalidad del dicta…</t>
  </si>
  <si>
    <t>…eiro, sino también el artículo 308 votos, habiendo obtenido 4 et Sr. Sonroza, 4 el Sr. Cano, 3 el de la Constitución. Pueden suspenderse formalidades para el ar Sr. Melendez, 3 el Sr. Buruaga , 3 el Sr. Pedralvez, y uno cada resto de los delincuentes, pero no formalidades posteriores al ar uno de los Sres. Belmontc , Posadas, Varela, Rojo , Galiano, resto , y la comisión no solamente propone esto sino también que Alvarez (D. Elias), López del Baño…</t>
  </si>
  <si>
    <t>…creyó ageno de por no poder resistir su físico los efectos del trabajo y de su po las facultades de lili Cortes. ca salud, como á mí me lo dijo mas de una vez. fie hallaba con El Sr. Buruaga contestó qua en nada se oponía este proyec un dolor casi contúiuo dé cabeza , una llaga abierta cu una pier-</t>
  </si>
  <si>
    <t>…ra de 22 de Octubre de 1820 , han sido censuradas primera y se usar de todas las facultades que les competen. gunda vez por las juntas de censura, cuya última calificación está El Sr. Buruaga apoyó el dictamen, manifestando que no ha pendiente, deben ser consideradas como si el jurado de acusación bía necesidad de oir al Gobierno sobre el particular, cuando en hubiese declarado haber lugar á la formación d* causa, y pasa la memoria leída á las Cor…</t>
  </si>
  <si>
    <t>Busana</t>
  </si>
  <si>
    <t>…e este asunto hasta la sesión pró caso de no haber adquirido alguna excepción , con los demas mozos xima. del pueblo que deban entras en suerte , disponga el reemplazo de dicha El Sr. Busana presentó una exposición de los individuo; que com sexta parte; en el concepto de que no se han de expedir las licencias ponen el batallón de la milicsi r.zrionat activa de esta muy heroica vi hasta que tí reemplazo quede filiado en el cuerpo. Art. En las pro…</t>
  </si>
  <si>
    <t>Busquéis, Joaquín</t>
  </si>
  <si>
    <t>Joaquín Busquéis</t>
  </si>
  <si>
    <t>…a En la 92. Los intrasentos jueces de hecho, habiendo examinado la miento ha hecho el sacrificio voluntario de su persona , alistándose denuncia firmada por el procurador síndico' D. Joaquín Busquéis del ñor los seis años de ordenanza, para que no tuviera que ir nin6un ca folleto titulado « Extracto del Monitor del 9 de Enero de 1823,” que sado, lo cual debiera haber verificado, porque en ei pueblo no había concluye al fin con una proclama á los catalanes…</t>
  </si>
  <si>
    <t>Bustaman, García</t>
  </si>
  <si>
    <t>García Bustaman</t>
  </si>
  <si>
    <t>…cia y en el par ha de proceder á la elección de nuevo diputado por aquella provin lamento británico; y de estos puntos es di donde veremos salir la oi cia , por haber fallecido el Sr. García Bustaman e. rá de la paz ó la incendiaria tea de la guerra. IX- las discusiones ds Se leyeron varios artículos sobre las ordenanzas del egército, los estas asambleas han de resu tir ¡os efeaos pacíficos ó suerteros; y hastaquales se mandaron quedar sobre la mesa. la é…</t>
  </si>
  <si>
    <t>Bustamante, García</t>
  </si>
  <si>
    <t>García Bustamante</t>
  </si>
  <si>
    <t>…o á las Cortes por las medidas adoptadas para el exter deles sobre si la provincia de Almería debe nombrar nuevo diputado á minio de ios facciosos. Cortes por el fallecimiento del Sr. García Bustamante. Hallándose en el salón los Sres. secretarios del Despacho , tomó la E&gt; Sr. presidente anunció que mañana se discutiría este dictamen palabra el de la Gobernación, y dijo: El Rey ha encargado al Gobier» y los que habían quedado pendientes. Se levantó la sesió…</t>
  </si>
  <si>
    <t>Bustamsnte, Andrés García</t>
  </si>
  <si>
    <t>Andrés García Bustamsnte</t>
  </si>
  <si>
    <t>…ula de reo á tíoo diputación permanente , relativo al fallecimiento del Sr. diputado por hembras , muertos de hambre, y entran cu los pueblos para aumentar la piovincia de Granada D. Andrés García Bustamsnte , el último de se. Como van vestidos de modo que pueden equivocarse con la tropa, los suplentes que fue elegido de dicha provincia ; y observando que al acercarse i las poblaciones van gritando viva Riego, y preguntan si aquella no había elegido todo el númer…</t>
  </si>
  <si>
    <t>Bustes, Pedro</t>
  </si>
  <si>
    <t>Pedro Bustes</t>
  </si>
  <si>
    <t>…voluntad general, sin la cual mal pudieran haber llevado á ca D. Arias Gonzalo de Mendoza. D. Mariano Goycoechea. bo su loable empresa una porción de hombres valientes sobre toda D. Pedro Bustes. D. Juan Rodríguez Guillen. ponderación , pero en corto íiúmevu y desgraciados hasta entonce* , tanto D . Baltasar Joaquín Perez. D. Josef Alvarez Crespo. como reiucitos ; asi como son vanos é impotentes ahora cuantos es fuerzos hacen esas facciones mucho mas…</t>
  </si>
  <si>
    <t>Bustos, Antonio Perezde</t>
  </si>
  <si>
    <t>Antonio Perezde Bustos</t>
  </si>
  <si>
    <t>…orial do uno el Sr. Saivedra. de Castilla la Nueva, fecha 27 de Febrero último, se manda citar al li En la 30.a votación fue electo el Sr. Fernandez Cid por 85 votos , te cenciado D. Antonio Perezde Bustos, para que en el preciso término de niendo el Sr. Saavedra uno. 2 3 dias , contados desde el en que se anuncie en la gaceta de esta corte, Se leyeron los artículos 54 y 53 de reglamento, y con arreglo á ellos comparezca, en la misma por k escribanía de Cámara…</t>
  </si>
  <si>
    <t>Bustos, Va des</t>
  </si>
  <si>
    <t>Va des Bustos</t>
  </si>
  <si>
    <t>…; pero yo contestaré á S. S. coa un hecho. Des des toma lis providencias oportunas para su cumplimiento. de la época en que las Cortes dieron el último decreto sobre el arreglo El Sr. Va des Bustos después de manifestar que el Sr. Canga había del Crédito público han producido las fincas aplicadas á este estable incurrido ert una equivocación con respecto á lo que ayer había dicho cimiento 113 millones , y el total de ia suma de bienes enagenadoi sobre e…</t>
  </si>
  <si>
    <t>Bustos, Valdés</t>
  </si>
  <si>
    <t>Valdés Bustos</t>
  </si>
  <si>
    <t>…en nuestros votos de Constitución ó En quinto lugar quedó elegido el Sr. Lillo por 63 votos, teniendo muerte. Gaditanos: sin unión no puede sostenerse la libertad , y sin li y el Sr. Valdés Bustos, 3 el Sr. Buey, 2 cada uno de los ores. Bauza, bertad vale mas no existir. Yo miro con dolor el estado de discordia en Becerra y Pedralvez, y uno cada uno de ios Sres. Prado , Laque, Bus. que os hallz-s, provocado por unos pocos, al paso que advierto gustoso…</t>
  </si>
  <si>
    <t>…solamente en los espacio» imaginarios. En la votación para vice-presidente salió» electo en primer e&gt;ciuti- » El lenguaje que han usado et, Madrid las cortes de Austria, Ru nio el Sr. Valdés Bustos por 111 votos del toiai 127 ; tsnier.de 3 el sia y Prusia puede ser desconocido por un frenesí revolucionario , y Sr. Pedr.iivez , 3 el hr. Pacheco, y uno cada uno de los Srer. Falcó, puede desaprobarlo una política superficial: peto una política prokinóA Toi…</t>
  </si>
  <si>
    <t>Butrón</t>
  </si>
  <si>
    <t>…chos que asi de la legión liberal de Blanes; otra del comandante de Ja línea de lo esperan, y que confian en que este ministro sabrá conducir los nego Marlorell ; una proclama del general Butrón , nombrado segundo co cios políticos de una manera que no desdiga de la celebridad que ha ad mandante del general Mina; un parte drl comandante militar de Ja pro quirido como literato; y que siendo acérrimo d?f*v,or del Rey f.ufs xvnr, vincia de Lérida ; una…</t>
  </si>
  <si>
    <t>…e la rapacidad de piratas y corsarios insurgen cunstancias. . tes. ¡Descendientes de S. Luis, comparad y avergonzaos!:::: Igualmente se leyó y mandó imprimir con este dictamen _El general Butrón ha publicado con. fecha \6 de Abril una otro de la misma comisión acerca de las proposiciones del señor proclama á los barceloneses, aconsejándoles la unión &amp;c. » Te Gómez Becerra, leídas en la sesión del 2 sobre los recursos ex med mas, les dice, á esos .emi…</t>
  </si>
  <si>
    <t>Butrón, Fernando</t>
  </si>
  <si>
    <t>Fernando Butrón</t>
  </si>
  <si>
    <t>…ado. Quien quiera Puente Mayor , disponiéndose para entrar en aquella capital. valerse de él le dirigirá las cartas francas de porte á la 4.a com Con fecha del 1.° del presente el general D. Fernando Butrón pañía dei primar batallón del cuerpo á que tiene el honor de participa á la diputación provincial de Barcelona desde Areñs de pertenecer. EN LA IMPRENTA NACIONAL.</t>
  </si>
  <si>
    <t>Butrón, Fernando de</t>
  </si>
  <si>
    <t>Fernando de Butrón</t>
  </si>
  <si>
    <t>…istrito se dividía « Dios guarde á V. S. muchos años. Semanal 11 de Enero de 1833. la comisión, creyendo la mayoría de ella que habia cometido una falta ^Francisco de Paula Vida!.=Sr. D. Fernando de Butrón, gefe superior en admitir el mando de los cuerpos de Guardias que se habian suble político de la provincia de Barcelona.” vado, y que habia manifestado poca energía y decisión en no haber da do las providencial oportunas, ni como tal gefe ni como comandante M…</t>
  </si>
  <si>
    <t>Bvanco, Castillo</t>
  </si>
  <si>
    <t>Castillo Bvanco</t>
  </si>
  <si>
    <t>…sión de Visita del Crédito publico, en vista de la instancia lutíi t viv.t l;t Ke/'/.r, v l.i Ccnst'tuslon. de D. Antonio Fardo, coronel de artillería, era de parecer se le exi El Sr. Castillo Bvanco propuso en 1* sVon del 5 un provecto ds miese del pago de las cantidades que solicitaba , por ser un gravamen decreto pira que se declare: 1." Que Ir?» ayuntamientos constituí.cor incompatible con las facultades de un militar. Aprobado. les de Opertn , Pcñafi…</t>
  </si>
  <si>
    <t>C, Ignacio de</t>
  </si>
  <si>
    <t>Ignacio de C</t>
  </si>
  <si>
    <t>…a sido jo; yen efeclo he recibido un oficio fecha de ay r en Tendilla del interceptado en Piedra-Fita por unos lío facciosos , habiéndose llevado a'férez del regimiento de Sazunto D. Ignacio de C inchilla , por el que mucha correspondcnc a y la mayor parte de los cenílU idos. veo que este oficial ha correspondido dignamente á las esperanzas que Lo que se avisa al público para su conocimiento. 2N LA IMPRENTA NACIONAL.</t>
  </si>
  <si>
    <t>C, J. M. de</t>
  </si>
  <si>
    <t>J. M. de C</t>
  </si>
  <si>
    <t>…siempre constantemente en el de la deseada y conseguida libertad del Rey nuestro Señor y la país ocupado por el enemigo, atacando sus convoyes, envene de toda la Real Familia; por D. J. M. de C., y representada en nando sus comestibles, matando sus rezagados, despeñando sus el coliseo del Príncipe en presencia de SS. MM. y AA. en la heridos..... En una palabra i aprovechando toda acción de exter función teatral, que con tan plausible motivo dispuso e…</t>
  </si>
  <si>
    <t>C, Juan Rodríguez</t>
  </si>
  <si>
    <t>Juan Rodríguez C</t>
  </si>
  <si>
    <t>…de aquellas &gt;e ha »ubClérigos y frailes: E¡ obispo de Léridu.rsEl cinonigo de id, dividido el ejército de mi mando , formaran v rcuvtirán lo mi» D. Juan Mana Tegui,=CapeU.m de id. D. Juan Rodríguez C¡- breve que sea posible al Estado mayor del mismo lista» circuí» fuenics. lanciada» en que se expíese:</t>
  </si>
  <si>
    <t>C, R.</t>
  </si>
  <si>
    <t>R. C</t>
  </si>
  <si>
    <t>…salmados, cu minada por la batalla de Mont-Saint-Jean , llamada también de Waya situación , cuyos crímenes y cuyos sentimientos distan mucho de terloo: traducida al castellano por D. R. C.: un tomo en 8.° con dos poderos ofr.cr la mas pequeña garantía. planos, de los cuales el uno presenta el conjunto áe las operaciones, y « Patriotas valencianos, vosotros que ante las aras de la patria pro el otro las disposiciones particulares de la batalla.…</t>
  </si>
  <si>
    <t>C-Daly</t>
  </si>
  <si>
    <t>…d a de ayer se les ha muerto ó cogido 40 hombres sin ninguna pérdida por de la Madrid, segundo alcalde constitucional. nuestra parte. Juicios de jurado. » La columna del mando del general C-Daly se dirige por Aguilar y En la muy heroica villa y corte de Madrid, reunidos en jurado de ca Agreda para procurar cortarles en caso de que su intención sea la de fal lificación los Sres. D. Josef Antonio Ponzoa , D. Antonio Puigblanch, dear el Moncayo y pasar…</t>
  </si>
  <si>
    <t>Ca</t>
  </si>
  <si>
    <t>…emo de Justicia á 16 de Abril de 1823 , reunidos en ju la ignorancia y la bajeza de los esclavos, triunfaremos de los que rado de calificación los señores D. Josef Alvarez Crespo, D. Ca quieren imponernos un yugo vergonzoso, mas insoportable que yetano Rubio, D. Nicolás Alonso, D. Aquilino Palomino , Don ia misma muerte, y la Nación española ocupará el primer lugar lorenzo Lambea, D. josef Perez Morales, D. Marcelino Lorio, entre todos los p…</t>
  </si>
  <si>
    <t>…Diez: La comisión está pronta á proponer á las Cor expresa. tes todas las gracias que crea convenientes; pero no ha podido me El Sr. Arguelles: Me levanto para dar las gracias al Sr. Ca nos de negar esta, porque considerada 1a. cuesten como ella es en sas por haberse anticipado en manifestar una idea que&gt;está confor sí, es muy otra de la que ha presentado el Sr. Gómez Becerra. Bajo me con mi opimon , esto es, que las Cortes no deben tratar d…</t>
  </si>
  <si>
    <t>…misión de Cor los Sres. Vega, Infanzón y Romero, y la apoyaron rección de estilo. los Síes.- Arguelles y Oliver. Se declaró el punto su Hallándose presentes los dos Sres. Regentes D. Ca ficientemente discutido , bobo logar á votar sobre la yetano Valdes y D. Gabriel de Ciscar para prestar proposición , y quedó aprobada. el juramento, se leyeron los artículos de la Consti Igualmente se aprobó la siguiente proposición deL tución que tratan de…</t>
  </si>
  <si>
    <t>Ca, Conde de</t>
  </si>
  <si>
    <t>Conde de Ca</t>
  </si>
  <si>
    <t>…incau Rusia, se despidió de S. M. en audiencia pública, habiendo sido tos de las impresiones que por lo regular causa la novedad en presentado con las ceremonias de estilo por el Sr. Conde de Ca materias políticas. nillas , primer introductor de Embajadores; y ayer 14 salió de „La ciudad de Veracruz y las villas de Jalapa , Córboba y esta capital. Orizaba son testigos presenciales de la vil y baja adulación de que se valió Santana para recomendarse c…</t>
  </si>
  <si>
    <t>Ca, Josef</t>
  </si>
  <si>
    <t>Josef Ca</t>
  </si>
  <si>
    <t>98</t>
  </si>
  <si>
    <t>…salido de los fuertes, y se hallaban en Castelvó, dis Está ocupada afanosamente en cortar de raíz los abusos que la hacían puse que el capitán de cazadores del batallón de Zamora D. Josef Ca consumirse de inanición, y que ya no podia tolerar por mas tiempo, bréis saliese á perseguirlos con toda la tropa libre de servicio y 10 porque todas las cosas humanas'tienen, su término en la naturaleza. Es hombres de Laredo, que en todo componían too hombre…</t>
  </si>
  <si>
    <t>Ca, La Gardet</t>
  </si>
  <si>
    <t>La Gardet Ca</t>
  </si>
  <si>
    <t>…rcito de los Pirineos. : Apostemos á que dentro de 15 da de cxam.nar la segunda parte de la proposición de-¡ Sr. Surrá, relati dias será falso el discurso de Luis xvm y la nota al conde La Gardet Ca va á ios m-hc.anos voluntarios de esta corte que acompañen al Gobierno, mino de esto llevan las cosas, aunque Ja fistrella dice que el duque de An y sobre el cual se declaró en la sesión de ayer haber luaar á votar en su to gulema tendrá á su lado y presidirá…</t>
  </si>
  <si>
    <t>Ca, Tadeo</t>
  </si>
  <si>
    <t>Tadeo Ca</t>
  </si>
  <si>
    <t>…a servido el Rey Alt. 2.0 Las disposiciones del artículo precedente son exten expedir el decreto siguiente, con fecha n del actual. sivas en iguales términos a D. Fernando Ortafá, D. Tadeo Ca« En la amargura que aflige mi Real ánimo al contemplar lomarde, D. Víctor Damian Saez presbítero, D. Juan Bautista el cúmulo de males que el maquiavelismo sin egemplo del Go Erro, D. Josef García de la Torre, D. Luis María Salazar, D. bierno francés ha traído…</t>
  </si>
  <si>
    <t>Ca-, Francisco Ladeo</t>
  </si>
  <si>
    <t>Francisco Ladeo Ca-</t>
  </si>
  <si>
    <t>…y del'Despacho de la ción á no encontrarse en el oía en la Prnínsuia.=Esiá lubrica Guerra , previniendo al mismo tiempo que deberá presentarse do. =Palacio 27 de Mayo de 1823. =sA D. Francisco Ladeo Ca- inmediatamente al desempeño de las atribuciones anejas á aquel lomnrde.” encargo, lendreislo entendido, y lo comunicareis á quien cor responda para su mas puntual y exacto cumplimiento. — Está » La Regencia del reino ha tenido á bien por decreto de este rubri…</t>
  </si>
  <si>
    <t>Ca-, Manuel</t>
  </si>
  <si>
    <t>Manuel Ca-</t>
  </si>
  <si>
    <t>…. (Gaceta de¿ 7.) Cuenca: D. Joaquin Fuentes del Rio por la de Sevilla: D. Fé Decreto de las Córtes aboliendo el derecho de décima en las lix María Manso , D Manuel Ruiz del Rio y D. Manuel Ca- ejecuciones. ( Gaceta aei 7.) sildo González por la de Soria: D. Antonio Ferrer y D. An Resolución de las Córtes sobre un expediente promovido tonio Roig por las Islas Baleares: D. Josef Sangenís, D. Juan con motivo de un juicio de jurados en Córdoba. (Gaceta…</t>
  </si>
  <si>
    <t>Ca.ho, Fernando</t>
  </si>
  <si>
    <t>Fernando Ca.ho</t>
  </si>
  <si>
    <t>fía, pues la una solo sírvs en i0 interior di palacio, y los otros hacían ralis d« artillería é ingenieros, los coroneles D. Fernando Ca.ho j Don todo el servicio exterior. y fiambren ei úi aigu.io» puntos de ¡a capital. Migueí Atero. j)i corsigui mts las observaciones del Sr. OI i ver qi.dan en toda su o Uria marcha r-pida ezecutsda con orden y entus'asc o nos h zo íurrr» &gt; puesto que los alabar…</t>
  </si>
  <si>
    <t>Caballer, Manuel</t>
  </si>
  <si>
    <t>Manuel Caballer</t>
  </si>
  <si>
    <t>…en consejo de guerra , y la pena podrá extenderse hasta La milicia nacional de ambas armas de Navalcarnejro. la privación de empleo, si no hubiese circunstancias que les hagan me D. Manuel Caballer, secretario de Cámara y escribano del supremo recedores de otra mayor. tribunal de Justicia. Aru 11. o Las reales órdenes y artículos citados de las ordenanzas</t>
  </si>
  <si>
    <t>Caballero, Antanio</t>
  </si>
  <si>
    <t>Antanio Caballero</t>
  </si>
  <si>
    <t>…omo la presente, D. Wenceslao Sierra , id............................ Slos amigos de la libertad no tendrán nada que temer, Mr. Denntan se presentó después, y dijo : Vengo á propo D. Antanio Caballero, id. - .................. . S ner una resolución para reprobar el ataque atroz cometido con D. Justo Machado, id, . ............................ 5° tra España, no solo por la Francia sino también por todos los des. El teniente coronel Sierra..................…</t>
  </si>
  <si>
    <t>Caballero, Dionisio González</t>
  </si>
  <si>
    <t>Dionisio González Caballero</t>
  </si>
  <si>
    <t>…l orden lo comunico á V. para su puntual y exac Francisco Gas. = Francisco de Alba. = Rafael María Rivas.cz to cumplimiento én la parte que le toca; dándome desde luego Licenciado D. Dionisio González Caballero.=juan Fel:x Anoiavisó de su recibo, y de quedar en ejecutarlo. Dios guarde &amp;c. ño.zzAnlonio Zarzuela.zzjosef Carrillo —Josef de Prado Toledano.rzF rancheo Dominguez.zzjuan Moron.=Pedro Caballero. Madrid 24 de Noviembre de 1823.rc.U1an de Erro. —Alonso López.z…</t>
  </si>
  <si>
    <t>Caballero, Manuel</t>
  </si>
  <si>
    <t>Manuel Caballero</t>
  </si>
  <si>
    <t>…larar que la d puucion contóme con el mayor ?e!o y La comisión de Legislación , en vsta de las exposiciones de actividad dando las pr-.iv.dcnc'its convenientes para que se lleve á D. Manuel Caballero, comandante que fue de infantería, para efeelo el decreto de ;y de Junio de 18:: sobv repartimiento de que se Je admita la justificación de su conducta durante el tiempo terrenos de propos v baldos, y en consecuencia disponga que se que estuvo en Francia , co…</t>
  </si>
  <si>
    <t>Cabañas, Isidoro Franees</t>
  </si>
  <si>
    <t>Isidoro Franees Cabañas</t>
  </si>
  <si>
    <t>…s. tos de las Cortes de 5 de Eneio y 8 de Febrero últimos, que tratan ds D. Martin de Navas. £&gt;. Sandalio Arias. la formación de la milicia nacional activa y del segundo reemplazo D. Isidoro Franees Cabañas. D. Josef Segundo Moodejar. extraordinario del egército, ha tomado todas las disposiciones conve D. Juan Paz. D. Josef Escarano. nientes para que uno y otro servicio se verifique con ia brevedad que D. Manuel Ledesma. D. Tonbio Roldan. exige su importancia; y…</t>
  </si>
  <si>
    <t>Cabanes</t>
  </si>
  <si>
    <t>…tan postizo que ración. La lucha de la libertad con el despotismo tiene raíces mas no es extraño tuviera una aversión decidida á los defensores de la profundas que las que cree el Sr. Cabanes, porque está irrevoca libertad. Sin embargo , nadie podía imaginarse que su perfidia lle blemente determinada en los decretos de] tiempo. El género hu gase hasta el punto que hemos visto..Todo el mundo creyó en mano camina hacia un nuevo orden de cosas, y 4 p…</t>
  </si>
  <si>
    <t>Cabello, Francisco Antonio de</t>
  </si>
  <si>
    <t>Francisco Antonio de Cabello</t>
  </si>
  <si>
    <t>…la el perjuicio que haya lugar. tente el nuevo orden de cosas. Gramática sinóptica francesa-castellana, compuesta por el En las noticias de la Coruña le dan el primer papel al Don brigadier D. Francisco Antonio de Cabello. Con gusto nos de Quijote britano , Wilson. Este se queja de que el general Mo tendríamos á h.cer el elogio qus merece esta obra tan útil en el rillo no ha hecho caso para volveise á unir á los constituciona día para aprender con facilidad la lengua francesa,…</t>
  </si>
  <si>
    <t>Cabezas, Rifad</t>
  </si>
  <si>
    <t>Rifad Cabezas</t>
  </si>
  <si>
    <t>…la Junquera el gi rie-al }\no , itaLan.» cu; forma de consulados. servia á la Francia en te meo Ce Ñapo ven, ' que estuvo cv. el »tro ce AI Gobernosa mando pasar una exposición de D. Rifad Cabezas, Gerona. Se ha pus ido ,1 1a E-pca pira defender Ja Con»; tuc.or.: y s».u.n presbítero y ex-monge secularizado, capellán que ha sido de vanos regi mentó» , p'd.iqnuo se le permita unirse á los milicianos nacionales volunta se expl.ca Jc.segu v.: otros d. sU p…</t>
  </si>
  <si>
    <t>Cablera, Josef Matías</t>
  </si>
  <si>
    <t>Josef Matías Cablera</t>
  </si>
  <si>
    <t>…ica. Mar scales rfe campo. El vizconde Corsin , el conde de la Roche- Consejo Je EstaJo. Aimond , el barón Bruny, el barón Bonnemains, el conde Grundler, Por renuncia que ha hecho D. Josef Matías Cablera de la judica el barón Gressot, el vizconde Vallin, el vizconde Toussaint , ei viz tura de primera instancia del partido de S. Julián de Poulo ha queda conde Pedeport , el vizconde jamin, el vizconde Vasserot , el barón do vacante esta plaza, y para su provisi…</t>
  </si>
  <si>
    <t>Caboticario, Juan Fernandez</t>
  </si>
  <si>
    <t>Juan Fernandez Caboticario</t>
  </si>
  <si>
    <t>…ndrés de Aloya Luzuriaga , D. Josef Antonio Ponzoa , el conde tiendo visto la cau:a seguida á instancia de D. Agustín Josef Mestre, ' de Floridablanca , D. Nicolás Cano de Luquo , D. Juan Fernandez Caboticario mayor de S. M., contra D. Josef Antonio Oñez , boticario sartego y D. Manuel González del Campo. Habida la conferencia, se en esta corte , por las proposiciones que vertió y estampó' dicho Oñez declaró por unanimidad n haber lugar á la formacionde causa.” con…</t>
  </si>
  <si>
    <t>Cabrera</t>
  </si>
  <si>
    <t>…ptores por las bulas que re López, y un destacamento de la milicia voluntaria del Abisbal y O'ot, ciban de estos para su expendieron , se extiendan en papel del sello al mando del capitán Cabrera: otro destacamento de la milicia activa cuarto; y los que faciliten los indicados rcc-ptores ú otros encargados de Murcia seguía los movimientos del batallón de Africa. A las de la rrcaudacion al año inmediato por valores procedentes de la venta tres de la ta…</t>
  </si>
  <si>
    <t>Cabrera, Josef</t>
  </si>
  <si>
    <t>Josef Cabrera</t>
  </si>
  <si>
    <t>…paban granadero! —rlicia de Tordtsillat,__El ayuntamiento de Talavera la Real—Lj y cazadores. milicia de Cádiz—La milicia de Valladolid—La diputación provin ’&gt; El capitán de estos D. Josef Cabrera, según se lo habia preveni cial de Salamanca—Las autoridades de Barcelona__ La milicia de Tado, y viendo la necesidad de hacerlo, cargó con bastante prontitud á lavera la Real.—La diputación provincial de Cádiz__ Cincuenta y nn Ja bayoneta con parte de las do…</t>
  </si>
  <si>
    <t>Cabrera, Ramón</t>
  </si>
  <si>
    <t>Ramón Cabrera</t>
  </si>
  <si>
    <t>…leyes; esperando ademas que V. M. tendrá i S. M. se ha servido mandar que en su Real nombre se den bien acordar aquellas providencias que estime necesarias púa que las gracias al comandante D. Ramón Cabrera y á los milicianos los justos deseos de la milicia tengan su entero cumpliufento. Si nacionales que obraron á sus órdenes en la acciou sostenida en ia milicia ha hecho alguna vez servicios agradables a ¡a Nación y las inmediaciones del pueblo de Pineda contra…</t>
  </si>
  <si>
    <t>Cabrio, Francisco</t>
  </si>
  <si>
    <t>Francisco Cabrio</t>
  </si>
  <si>
    <t>…están dispuestas á sepultarse bajo las rui Beneficiados de Sta Marta: D. Lorenzo Mas. = Dr. B’á. nas de la patria observando la Constitución, o á triunfar con ella. Idem del Pino: D. Francisco Cabrio!, z: D. Juan Sala. = Lí Sr. Marau manifestó, que por su parte no tenia inconve D. Josef Garriga. = D. Francisco Samper.= D. Pedro Ber niente en subrurar en lugar dei término de las 48 lloras las si nardo Ala. — D. Juan Pablo Ferrer. =D. Narciso Vivar. = guien…</t>
  </si>
  <si>
    <t>Cabriol, Francisco</t>
  </si>
  <si>
    <t>Francisco Cabriol</t>
  </si>
  <si>
    <t>…nio Feu y P. Salvador Plá. los mas sagrados derechos. Beneficiados de Sta. Maria: D. Lorenzo..Mas y Dr.Bli. » Aqui volverán á experimentar que nunca transigimos con Idem del Pino: D. Francisco Cabriol, D. Juan Sala, D. Joséf la iniquidad ni con nada de cuanto pueda comprometer nuestro: Garriga, D. Francisco Sampere, D. Pedro Bernardo Ala, Don honor ni el decoro de la gran nación que ha 'puesto en nuestras Juan Pablo Ferrer, D. Narciso Viver y D. Josef Pine…</t>
  </si>
  <si>
    <t>Cadalso, Josef</t>
  </si>
  <si>
    <t>Josef Cadalso</t>
  </si>
  <si>
    <t>…rará el perjuicio á que ¡vaya sa del autor , botica Corredera de S. Pablo, en la librería de Perez, y en lugar. las principales ciudades del reino, á 26 rs. á k rústica.. Obras de D. Josef Cadalso , comandante de escuadrón del regimien El dia 8 de Febrero último se botó» al agua en Malvón la goleta de la to de Eorbon , y caballero del habito de Santiago: tres tomos en 8.u ma armada nacional Mahonesa, á cuyo acto concurrieron el contra-almirante yor. Es…</t>
  </si>
  <si>
    <t>…pública y de oficio para América. gunda vez os hemos visto dar 4 la patria nuevo dia de gloria y ANUNCIOS. regocijo. Vuestro entusiasmo y constancia en sostener las liber Obras de D. Josef Cadalso, comandante de escuadrón del tades patrias«1 igual al patriotismo que os anima, y vuestro he- regimiento de líorbon, y caballero del orden de Santiago : tres róico valor el objeto de la esperanza y bendiciones de los buenos. lomos en 8.” mayor---- Esta nueva…</t>
  </si>
  <si>
    <t>CaDespués, Manuel</t>
  </si>
  <si>
    <t>Manuel CaDespués</t>
  </si>
  <si>
    <t>…o. Viene con poderes del Gobierno de Li Cuenca: D. Joaquín Fuentes del Rife por la de Sevilla: D. Fé ma para pedir auxilios al de Chile. lix María Manso , D, Manuel Rulz del Rio y D. Manuel CaDespués de copiarse en el número del 7 de Mayo del mis sildo González por la de Soria: D. Antonio Ferrer y D. An ino periódico el discurso de Luis xvur en la apertura de las tonio Roig por las Islas Baleares: D- Josef Sangcnís, D. Juan últimas Cámaras, anunciando que…</t>
  </si>
  <si>
    <t>Cádiz, Loren</t>
  </si>
  <si>
    <t>Loren Cádiz</t>
  </si>
  <si>
    <t>…se halla identificado con el siste altera la tranquilidad en ninguna parte. ma que felizmente nos rige. Dios guarde i V. E. muchos años. El 31 de Marzo desembarcó en Cartagena el Sr. D. Loren Cádiz 4 de Abril de 1823 , año 4.0 de la restauración de la li zo Villanueva, ministro nombrado cerca de la corte de Roma, bertad de las Españas.—Ésemo. Sr.“Miguel Azopardo—Ma y procedente de Barcelona. Varias diputaciones le salieron á re nuel Reina.reCárlos Azopa…</t>
  </si>
  <si>
    <t>Cadolino</t>
  </si>
  <si>
    <t>Gaceta de Madrid n.º 973</t>
  </si>
  <si>
    <t>…Rey nuestro Se primer Secretario de Estado y del Despacho, y Confesor del ñor en el Puerto de Sta. María dirigió á S. M. el discurso si Rey nuestro Señor; Monseñor Nuncio, con e, Sr. Cadolino, su guiente : Secretario; el Excmo. Sr. Marques de Taiarú, Embajador de ,,Señor: Los votos del Rey mi amo se han colmado va' Francia, con.uno de sus Secretarios, el caballero Vielcastel; los V. Al. se halla vuelto al amor de sus pueblos; la España ve Srcsi Co…</t>
  </si>
  <si>
    <t>Cadolino, Ignacio</t>
  </si>
  <si>
    <t>Ignacio Cadolino</t>
  </si>
  <si>
    <t>Jeria Carretería y el refrendatario del imperio) para tratar con Srcs. D. Ignacio Cadolino, Secretario de la Nunciatura; Con *1 drogman del lord ÍTrangford sobre tos' medios de hacer cesar de Cabria*,“Secretario de embajada de Francia; Boatur^in, Co ¿estos abusos. El tschaouthbachi no tendrá, derecho {. visitar los; ronel y Edecán del Emperador de…</t>
  </si>
  <si>
    <t>Cafiga</t>
  </si>
  <si>
    <t>…nar el territorio sagrado didos por el Gobierno constitucional; debiendo este por lo que de Madrid.” resulte de aquellas expedir las ordenes correspondientes para la En seguida el Sr. Cafiga, como autor de esta proposición, ocupación de todos los bienes que posean en el territorio libre, tomóla palabra, y la amplió, manifestando entre otras cosas sin perjuicio de los demas procedimiento* según el resultado de’ ue su objeto principal era el evitar…</t>
  </si>
  <si>
    <t>Caibonell, Josef</t>
  </si>
  <si>
    <t>Josef Caibonell</t>
  </si>
  <si>
    <t>…stitución, en donde se hallaban reunidos la mayor parte ds inspirado la mayor confianza á toda la tropa. Una columna del resgnar- ios vecinos del pueblo, i presencia de los cuales D. Josef Caibonell, xnilitar , escopeteros y milicias de Lena, Grado y Miercs, al mando del alcalde i.°, pronunció la siguiente alocución: » Amados conciudada comandante de la milicia activa de Salas D. Ramón Carrciío , se dirige nos : Las Cortes determinaron que en el día de h…</t>
  </si>
  <si>
    <t>Caico, Pedro del</t>
  </si>
  <si>
    <t>Pedro del Caico</t>
  </si>
  <si>
    <t>…ínsula dsl Paraguana , isla de cionados ; y d resto de la fuerzi, al mando del teniente coronel de ar Oiua y los Monges, con objeto de guardar la entrada di- aquel golfo, tillería D. Pedro del Caico se situase en la Fontaneíra para proteger y é impedir á ia escuadrilla enemiga intentase interrumpir las cperacicnei contribuir á los molimientos de aquel.” marítimas por parte de nuestras fui.reís en la barra del mismo sirio; En c.ie dia el coroiiíl Conget m…</t>
  </si>
  <si>
    <t>Cáiiós</t>
  </si>
  <si>
    <t>…stos cuerpos en disposición de operar, y se Teatro esta noche á las siete y media la Reina._E1 batallón del organizan de un modo análogo á este objeto las divisiones y bri Infante D. Cáiiós nombrará un cabo y cuatro soldados, que á las gadas , los comandantes generales de los distritos noveno y déci cuatro de -esta tarde se bailarán en la plaza junto al Pópulo para mo ejercerán las funciones de comandantes generales de las di el buen orden duran…</t>
  </si>
  <si>
    <t>Cainp, Antonio</t>
  </si>
  <si>
    <t>Antonio Cainp</t>
  </si>
  <si>
    <t>…misión de Legislación era de opinión que las Cortes po za mutua, que no había podido plantear por falta de medios: de dían conceder carta de ciudadano á D. Pedro Piñuesqui, vecino D. Antonio Cainp, solicitando una jubilación por servir 40 años de Vclez-Málaga, en vista de los buenos informes que hay en fa hace un magisterio de primeras letras: de D. Antonio Círculo vor del interesado. Aprobado. para que se le admita á examen para servir una plaza’de ma…</t>
  </si>
  <si>
    <t>Caite, Jossf</t>
  </si>
  <si>
    <t>Jossf Caite</t>
  </si>
  <si>
    <t>…se esta solicitud al Gobierno, para que con En su vista se reunió el jurado, compuesto de los Sres. siguientes: arreglo i lo que tienen las Corte» acordado les dé colocación en el D. Jossf Caite 1, D. Zoilo Gómez Casero, D. Joaquín Huerta Ceegército. _ rallos, D. Luis de Mata Araujo , D. Saturnino Lozano, D. Juan An Se mandó pasar i la comisión de Guerra una propuesta remitida por tonio López, D, Joaquín de la Vega y Quintana, D. Juan Isidoro •1 Sr.…</t>
  </si>
  <si>
    <t>Cai’os</t>
  </si>
  <si>
    <t>…dispondréis se imprima , publique y circule. “Ru Hospital y provisiones Xum.tnc'.a. bricado de ia Real mano. = En Valdepeñas á 27 de Marzo de Teatro esta noche á la» - e! L-finte D. Cai’os. 1813. = A D. Miguel López de Baños. Mañana debe celebrarse consejo de gur- .r udnai-'o en R* ■casas del coronel y teniente de Rey de ¡.&gt;u D P.;b ' ^"aDon Fernando vrr por la gracia de Dios y por la Consti Jiñatii, para juzgar at soldado del regio-, rnv o i.i…</t>
  </si>
  <si>
    <t>Cajas</t>
  </si>
  <si>
    <t>42</t>
  </si>
  <si>
    <t>…se ¡imitan solo del infame Pendencias , que le cuesta 84 doblones , ha podido es al estrecho círculo de las discusiones de ¡a tribuna, han podido capar de mi tropa incansable. P. D. Cajas de guerra son cuatro, y calcular la importancia de las desavenencias que entre la Rusia y 14 prisioneros mas que entran en esta hora. Lo que traslado á la Inglaterra originó la ocupación de las costas occidentales de Ja V. E. para que se sirva elevarlo á S. M…</t>
  </si>
  <si>
    <t>Cal, Manuel</t>
  </si>
  <si>
    <t>Manuel Cal</t>
  </si>
  <si>
    <t>…olvió fuese llama Real , opmaba no se estaba en el caso de exieirse la responsabi do d'dio general, é inmediatamente d.chos Sres. secretarios le in lidad al citado Serrano, y si á D. Manuel Cal v ¡che , juez de San trodujeron en el salón, y tomando asiento en el lugar convenien Fernando. Habiéndose pedirlo la lectura de la fecha de este dic te el Sr. presidente le dirigió la palabra, invitándole';! que diese tamen , y visto que era de Jumo anterior,…</t>
  </si>
  <si>
    <t>Calafell, Mariano</t>
  </si>
  <si>
    <t>Mariano Calafell</t>
  </si>
  <si>
    <t>…para que todo» sepan ei mot vo del alarma de este dia, Solano, el captan D. Pedro Cenarruza , y el teniente coronel hace saber a los cuerpos, que un olleta! subalterno del estado D. Mariano Calafell, pasasen á ocupar el mencionado pueblo de mayor francés con una ordenanza y un tromp.ta se lian presen S. Antón, lo que venticu ;í pesar de hallarse el enemigo posesio tado al frente de la avanzada de S. Antón , en la cual han sido nado de las casas inmediata…</t>
  </si>
  <si>
    <t>…el lunes , col A 5.*, línea 46, donde dice su cap tan D Pedro Cenarruza; y Alcañiz, á las de su cap’tin Vstiacos, léase Ostiacos ; línea 47 donde diccVby, léase Oby ,y el teniente coronel D. Mariano Calafell, me dirigí hacia el bar línea , donde dice Chcremescs, léase Cheremiscs. EN LA IMPRENTA NACIONAL.</t>
  </si>
  <si>
    <t>Calalrava, Josef María</t>
  </si>
  <si>
    <t>Josef María Calalrava</t>
  </si>
  <si>
    <t>…por la extracción para el Despacho del ministerio de la Gobernación de la Penín de sal de la Península para los puertos de Ultramar, i Gaceta sula hasta la llegada del propietario D. Josef María Calalrava. del J7 ) (Gaceta de’ 7.) Guerra. Decreto de S. M. habilitando á D. Santiago Usoz y Mor,- pa Decreto de S. M. para proporcionar á las familias de los cera el Despacho del ministerio de Estado. (Ga.ei.i dei y.') fes y oficiales que estén en campaña, el alivio…</t>
  </si>
  <si>
    <t>Calatratallado, Josef Alaria</t>
  </si>
  <si>
    <t>Josef Alaria Calatratallado</t>
  </si>
  <si>
    <t>…cia ac ma, para el despacho de los negocios de ella , hasta que se presen tiva y la nacional de Sevilla; el demas servicio y patrullas lo de te á servirla el nombrado en propiedad D. Josef Alaria Calatratallado—Guardia al Congreso y archivo Ja milicia nacional local va. Tendreislo entendido , y dispondréis lo correspondiente á su de Sevilla—Hospital y provisiones la milicia activa__ Teatro es cumplimiento.—Está rubricado de la Real mano—En el Alcata noche á las y y…</t>
  </si>
  <si>
    <t>Calatrava</t>
  </si>
  <si>
    <t>…ara que puedan formar idea nuestros lectores. » (Qué hacemos ahora ? ¡Qué debemos hacer, españoles in victos, para rechazar una agVesion tan pérfida y atroz, una Nos consta que el Sr. Calatrava ha admitido el encargo de agresión que es 1a mengua de nuestro honor y de la bien me ministro de la Gobernación de la Península. recida reputación española ? ?No os sentís como yo ardiendo en sed de venganza del ultrage que un Gobierno maquiavélico se TRIBUNA…</t>
  </si>
  <si>
    <t>…varios artículos, y se mandó qíre volvieran ticipando i las Gorte» el nombramiento de D. Francisco Javier otros á la coiúrsioti. PiniJla para -que desempeñe, hasta la llegada del Sr. Calatrava, Se levantó la sesión. el encargo de ministro de la Gobernación de la Península. Sesión ordenaría del 7. Se aprobaron 23 artículos de la ordenanza para el gobierno Se abrió la sesión á las once menos cuarto, y leída el acta político-económico de las provincia…</t>
  </si>
  <si>
    <t>Calatrava, An</t>
  </si>
  <si>
    <t>An Calatrava</t>
  </si>
  <si>
    <t>…le. = Está que por dos lanchas cañoneras, todo á las órdenes del coronel rubricado de la Real mano. = Cádiz 21 de Junio de 1823.=: D. Antonio Cavan, acompañado del adicto al E. M. D. An Calatrava. tonio Tovar, verificasen una salida por el arrecife, que fuesen Gobernación de la Península. =: El Rey con fecha de ayer se con esta tropa algunos zapadores y un oficial de ingenieros para ha servido dirigirme el decreto siguiente: demoler la venta situada e…</t>
  </si>
  <si>
    <t>Calatrava, Antonio</t>
  </si>
  <si>
    <t>Antonio Calatrava</t>
  </si>
  <si>
    <t>…a sección del coronsl J'urek’ui y dándome parte que se hallaban en tres casas fuertes, dispuse que el al columna del mando d:l de igual clase D. Alonso Sierra, y aquel" gefe férez D. Antonio Calatrava se colocase con .0 soldados en una ca'le, m? repitió los partes (por haberse extraviado los primeros) de las ac el capitán D. Francisco Torres con 20 en la plaza , mandándole echar ciones que sostuvo el 7 sobre el puente y pueblo de M.iniain, y en ia pie á ti…</t>
  </si>
  <si>
    <t>Calatrava, Josef María</t>
  </si>
  <si>
    <t>Josef María Calatrava</t>
  </si>
  <si>
    <t>…4 y el 25 último?, cia Srl Bailes^,‘ ministro nombrado del Despacho de Gracia procedentes de Cjorfú’ y otras islas Jónicas , se sabe qué,él 15 &lt;je M Justicia; y el nombramiento de D. Josef María Calatrava pa Fabrero lomaron los griegos á Patrás por ¿salto: dtcése. tuvie ya ql "ministerio Be lá Gobernación de ia Península, y ¿Don ron 800 mpertps y 400 heridos , y que la guarnición tvtycá j.fus Mariano Zórraqiiin piara él de Guerra. pasada i cuchillo._E1 6 de Ma…</t>
  </si>
  <si>
    <t>…gues, alcoholes y plomos’de su pertenencia, con la Real mano, = Real Alcázar de Sevilla 23 de Mayo de 1823.' el sobrante de las existencias de granos y efectos que tuviere des — A D. Josef María Calatrava. pués de satisfecha la anualidad de los vitalicios , y con los créditos activos que tiene á su favor procedentes délos atrasos de arbitrios El Pcey se ha servido dirigirme para su circulación la ley si del Crédito público, y de las rentas de los conventos sup…</t>
  </si>
  <si>
    <t>…, está muy próximo á convertirse en responda/=:Está rubricado de la Real &gt;t&gt;ano.=En Cádiz á 13.de un desierto. La desembocadura del Nilo en Roseta está lóela tan Julio de i823.rsA D. Josef María Calatrava. ocupada de bancos de arena, que hasta los barcos pequeños varan -j con mucha frecuencia ; y no pudiéndola atravesar sino con el au El Rey se ha servido dirigirme para su circulación la ley si xilio de un viento favorable , se ven precisados á esperar sema gu…</t>
  </si>
  <si>
    <t>Gaceta Española n.º 128</t>
  </si>
  <si>
    <t>…se supiere que entre blique y circule. r= Está rubricado de la Real mano. = En Cádiz tanto han fallado ó contravenido á sus obligaciones. Art. 4.0 El á 10 de Agosto de 1823. == A D. Josef María Calatrava. Gobierno ocupará á los cesantes que le hayan seguido ó huido El Rey se ha servido dirigirme para su circulación la ley si de la dominación extrangera, y no abonará sus haberes á los que guiente : permanecieren en país ocupado por el enemigo , mientras no ha…</t>
  </si>
  <si>
    <t>Caldas, Francisco</t>
  </si>
  <si>
    <t>Francisco Caldas</t>
  </si>
  <si>
    <t>…sa de Angulema suspendería su premeditado viage á es D. Marcelino Garrido , D. Josef Cepeda del Rio, D. Sancho Sanabria, ta ciudad. D. Juan Martin Carnes, D. Jacinto de las Heras, D. Francisco Caldas y Los nceocios políticos de la Alemania meridional no acaban de ada D. Pedro Duran Vera Campo , han dirigido al Rey una exposición, en tarse : se entreve sin embargo que Jos Gobiernos absolutos del Norte, co que manifiestan su amor á la Constitución y á las leyes q…</t>
  </si>
  <si>
    <t>Calde, Florez</t>
  </si>
  <si>
    <t>Florez Calde</t>
  </si>
  <si>
    <t>…o su responsabilidad, cualquier abuso que en el ejercicio por qué año.” de las funciones eclesiásticas pueda cometerse en detrimento de la También se aprobó la siguiente del mismo Sr. Florez Calde tranquilidad y orden público, acordando al efecto el Gobierno rón: «Pido á k* Cortes se sirvan determinar que el Gobierno las providencias oportunas, quien ademas propondrá á las Cortes informe si de resultas de la declaración de guerra el 9.0 y 10.® las medi…</t>
  </si>
  <si>
    <t>Calderón</t>
  </si>
  <si>
    <t>…os de inunte- padecido el Sr. preop nante. ría ligera y de línea. El Sr. Aibon pidió que se leyese el dictamen. Por otra orden del 4 de D ciem’ore s; manda la reorgcniracion di El Sr. Calderón: trata de qué autoridad ba de decidir sobre las ocho escuadronas de; tren de artillería d; lin a, dando por motivo competencias que se susciten entre funcionarios que pertenezcan al po que la fuera : efect va de estos ocho escuadrone, no esf en proporc en der…</t>
  </si>
  <si>
    <t>…os re Para presidente qu-dó elegido el Sr. Isturiz por 61 votos de sao, sultados de lo que se había deliberado en el congreso de Verona. Aun habiendo tenido 43 el Sr. Jener, 13 el Sr. Calderón, y uno cada uno no existía un documento que nos diese luz para saber cuál habla sido de ios señores Munaniz, Infante y Marchámalo. la suprema voluntad de los diplomáticos de Verona, Todo cuanto sa Para vice-presidente fue elegido el Sr. Seprien por 69 votos d…</t>
  </si>
  <si>
    <t>…l G-obiemo filmada por los De la miLcia voluntjiía, patriotas y cura párroco de Fuente del ccnttrciaiues , solicitando el estableeimienio de buques [¿.¡artes entre Fresno , por el Sr. Calderón</t>
  </si>
  <si>
    <t>…rjudique á es E! Sr. Oliver dqo que la i ave del ar! culo que se d sci-fa no tos interesados, resulta la necesidad de hacer esta aclaración, era equivocada corno había supuesto el Sr. Calderón , porque la pues de otra manera se les ocasionarla algún perjuicio. ley de 27 de Setiembre de 1820 no estaba clero acia, puesto que La otra observación es respecto al cuarto grado: me parece la ley no estaña sane.rain.ia , y que S. S. solo se apo. toa en un q…</t>
  </si>
  <si>
    <t>…Arcllano para que los oficiales que se hallan en Entró» Ja diputación que había salido poco antes, y su presi el depósito de Medinasidoma sean destinados ai ejército para dente el Sr. Calderón dijo que S. M. la habla recibido con su ser útiles á la patria , opinaba que debía aprobarse. Aprobado. acostumbrada afabilidad , y manifestado que S. M. tomaría en La comisión de Diputaciones provinciales, en vista de la so consideración los proyectos que se…</t>
  </si>
  <si>
    <t>…ncipio proclamado por nuestro augusto auxiliador. representa , y se halla revestido interinamente de su autoridad.” El Rey Cristianísimo ha penetrado muy bien ci corazón de lo* El Sr. Calderón contestó asi: » La Junta ha oido con la españoles: estos son sus densos; y cuando tan precioso objeto se mayor satisfacción los nobles y generosos sentimientos de que se haya conseguido, se dictarán providencias enérgicas para asegurar hallan animados los mil…</t>
  </si>
  <si>
    <t>Calderón, Amonio Gómez</t>
  </si>
  <si>
    <t>Amonio Gómez Calderón</t>
  </si>
  <si>
    <t>…ca los documentos siguientes: tes: el duque del Infantado, el duque tic .Montemar , el barón »Señor: en la correspondencia han venido dos cartas, que de Eróles, el obispo de Osmu, D. Amonio Gómez Calderón;</t>
  </si>
  <si>
    <t>Calderón, Antonio Gómez</t>
  </si>
  <si>
    <t>Antonio Gómez Calderón</t>
  </si>
  <si>
    <t>…e Montemar. y su mejor garantía la palabra siempre sagrada de los Soberanos El barón de Eróles. aliados. El obispo de Osma. Nuestro Gobierno pues aun en medio de su interinidad es D. Antonio Gómez Calderón. esencialmente español, es libre , es independiente , es el único Declaramos en nombre de S. M. el Rey de Francia , nuestro en fin capaz de interpretar y de suplir la voluntad de nuestro Señor y Tío, que reconocemos como que componen la Regencia adorado Monar…</t>
  </si>
  <si>
    <t>…V. S. para su inteligencia y el duque del Infantado , el de Montetnar, D. Juan de Cavia cumplimiento, y á fin de que para el mismo efecto 1® traslade á González obispo de Osma, y D. Antonio Gómez Calderón, quien corresponda. Dios guarde á V. S. muchos años. Cádiz a que respectivamente han compuesto y componen las llamadas re de Julio de i823~Salvador Manzanares. gencias del reino y junta provisional de gobierno por nombra miento y á las órdenes del enemigo. Po…</t>
  </si>
  <si>
    <t>Núm. 120. ( 6 cuartos. ) 447 GACETA DE MADRID. JUEVES 4 DE DICIEMBRE DE 1823. Í-Ow ARTICULO DE OFICIO. D. Antonio Gómez Calderón, á D. Juan Bautista de Erro, á D. Josef García de la Torre, á D. Juan Antonio Rojas, Ca El Rey nuestro Se?7or se ha servido expedir los Reales decretos nónigo de la iglesia metropolitana de la capital de Caracas. Los siguientes: Secretarios del Despacho serán…</t>
  </si>
  <si>
    <t>Calderón, Den Antonio Gómez</t>
  </si>
  <si>
    <t>Den Antonio Gómez Calderón</t>
  </si>
  <si>
    <t>…se compone, que lo son los Excelentísimos Señores Duque del Infantado , Presidente; Duque de Montemar, Barón de Eróles, el Ilustrísimo Señor Z). Juan de Cavia, Obispo de Osma,y el Señor Den Antonio Gómez Calderón, del Consejo de S. Af., y su Fiscal en el supremo de las Indias; dieron principio al egercicio de sus augustas funciones en el mismo instante de su instalación; y hallándose ya solemnemente reconocidos por S. A. R. el Serenísimo Señor Duque de Angulema, como…</t>
  </si>
  <si>
    <t>Calderón, Florcz</t>
  </si>
  <si>
    <t>Florcz Calderón</t>
  </si>
  <si>
    <t>…Rey por la secretaría de Estado de les negocios de sometiéndose al yugo de un atroz despotismo. Justicia participar al corregidor de la comarca de Castdlo Tran En seguida hablo ti Sr. Florcz Calderón, cuyo discurso re-: co, que por el ministerio de la’Guerra se previno a los generales muimos también á otro número por las mismas razones que el de las provincias limítrofes de España diesen orden á las autori anterior. Su señoría se opuso al dictamen de la c…</t>
  </si>
  <si>
    <t>…(L&gt;. Josef Alaria), Vaísles (L&gt;. Dionisio) y le de que uno vela por ellos: Mariib. Ello es , Señor, que estamos rodeados de enemigos que con sus Acto continuo pidió la palabra el Sr. Florcz Calderón , y intrigas procuran inlioducir el desaliento y el terror, para lograr dijo: Subido es, señor, qué de males luí ocasionado á la infeliz ios planes que se han propuesto. El Gobierno se halla revestido España y á la causa ele sus libertades públicas esa especi…</t>
  </si>
  <si>
    <t>Calderón, Flores</t>
  </si>
  <si>
    <t>Flores Calderón</t>
  </si>
  <si>
    <t>…eros.__Parece que reina el rnejoz pronto y cumplido efecto dé éstas disposiciones. .................... écpii.iu en todos los pueblos del partido de Mar.n aa , aun en' aquello* El Sr. Flores Calderón: Los alumnos de la übivsiiidád cenlial acá que mas se lian.distinguido hasta el du á favor de la facción. El de Arbanda proporcionarme el bohordo presentar al Congreso una representa tjs, por egémplo , que guarnece solo una pequeña partida de 10 hombre* ción…</t>
  </si>
  <si>
    <t>…odemos concebir que el conde de XnselroDe la secretaría de la dirección general de estudios, presentada por de haya querido desacreditarse y desacreditar á su amo á ¡os ojos ds el Sr. Flores Calderón. toda Europa, sin proponerse alguna ventaja extraordinaria que pueda De la oficialidad del batallón de la milicia nacional activa de Al- recompensarle de la quiebra de su bu-na fe, única base de la zsedadera coy, presentada por el Sr. Seída. política, y de la…</t>
  </si>
  <si>
    <t>…s de Malaga , presentada y letoa pot v &lt;m calentando el tiempo será otra cosa. Se dice que en Bilbao ingen iaron ios facciosos lo que en Zaragoza , y fueron rechazados ¡ tgno«p •1 Sr. Flores Calderón. . De la diputación provincial de Teruel. presentada y leída por el mos los pormenores. Síy López Cuevas. Común i.a de Febrero. De los alumnos de la universidad de Osuna , presrntada y leída por Nuestro Diario conjtltuehn.il publica lo siguiente : *1 Sr. Rrtr…</t>
  </si>
  <si>
    <t>…....... 1000........................ En ídem. y uno cada uno de los Sres. Alonso, y Villaboa. i8¿5..... »ooo........................ En Sevilla. En quinta votac on salió electo el Sr. Flores Calderón , por 72 votos de 75 de total, habiendo tenido 3 el Sr. Marchámalo. Én sexta votación salió electo el Sr. Adan por 80 votos del total 84, El comandante general del octavo distrito (Valencia) da parte al Go habiendo tenido 4 el Sr. Marchámalo. bierno con fecha…</t>
  </si>
  <si>
    <t>…as procurarán im Sr. Canga y se aprobó la proposición con la adición referida. pedir bajo su responsabilidad cualquiera abuso que en el cgerciIgualmente se aprobó la siguiente del Sr. Flores Calderón: cio de las funciones eclesiásticas pueda cometerse en detrimen ,,Pido á las Cortes se sirvan mandar que el Gobierno informe a to de la tranquilidad y- orden público; acordando al efecto las la mayor brevedad cuáles son las provincias atrasadas en el pago pro…</t>
  </si>
  <si>
    <t>…s Continué) el Sr. Prado; A pesar de todo eso . nichos que suplico á las Cortes aprueben el arl ciño en discusión. dudan todavía sobre este punto, y hay una razón especial para El Sr. Flores Calderón dijo: La comisión parte de un supues que esta, orden no iqa en ei caso pr.sente , es decir, cuando las to falso cuando dice; „ Estando legal mente imposibilitadas las m inos muertas designadas para suceder han sido declaradas inca manos muertas.de adquirir &amp;c…</t>
  </si>
  <si>
    <t>…la indi Se mand¿&gt; pasar á la comisión de Milicias nacionales después gencia : : Ks posible que el clero, k justicia que reconoce en sí de admitida á discusión una proposición del Sr. Flores Calderón, mismo para ser bien dotado , no la reconozca en los partícipes para que las Cortes se sirviesen autorizar al Gobierno para que legos’ Ciertamente , señores , que cuando he oido á algunos seño pueda reunir la milicia nacional local de todas armas de los dis r…</t>
  </si>
  <si>
    <t>…creído inexpug ñor Alaran , expuso que no tenia la menor repugnancia en sus nable , carece de medios para conservarse, y debe ser presa del cribir al espíritu de la solic'tuil del Sr. Flores Calderón ; antes enemigo. EJ mas espantoso terror pretenden introducir en los por el contrario estaba Un de acueulo con sus principios , que si ánimos de los incautos, y como si ya tuviéramos *1 caball» 4 las Córtcs les fuese dado sin comprometerse, desearía que pu-</t>
  </si>
  <si>
    <t>…de la proposición del mo cia maligna de la facción destructora, que deseosa de sacar alaun co que he indicado. partido, procura é insiste aun en modificar accidentalmente "sus El Sr. Flores Calderón manifestó que su ánimo no había sido planes inicuos para lograr sus fatales intentos. otro que el pedir lo que había anunciado el Sr. Arguelles, y en No es el ánimo del batallón ilustrar a V. A. S. que camina este concepto varió la proposición en ¡os términos…</t>
  </si>
  <si>
    <t>Calderón, Florez</t>
  </si>
  <si>
    <t>Florez Calderón</t>
  </si>
  <si>
    <t>…sentados1 mas sagrados, de los de nuestros hijos y descendientes: se trata en fin por el ayuntamiento. de si hemos de ser el juguete y escarnio de las potencias extranjeras , ó El Sr. Florez Calderón se opuso al dictamen , manifestando entre hemos de conservar nuestra dignidad, la honra que hemos heredado de otras cosas que las Cortes no podían en ningún caso egercer la facultad nuestros padres, el decoro de nuestro país, y la memoria de los triunfos de p…</t>
  </si>
  <si>
    <t>…propiedad Sr. Canga en esta adición, se aprobó la proposición con ella. suficiente á sus alimentos, la que se señalará á los predios rústicos Igualmente se aprobó la siguiente del Sr. Florez Calderón: que están á disposición de la Nación, y para lo que se formarán ” Pido á las Cortes se sirvan mandar que el Gobierno informe á reglamentos que eviten el entorpecimiento de estas concesiones. Ja mayor brevedad de cuáles son las provincias atrasadas en el 9. a…</t>
  </si>
  <si>
    <t>…n:ncun título. El obje su memoria, que se mando pasar á una comisión especial. to de esta disposición tue el de facultar la uteal.Uüm de estos Se leyó la siguiente proposición del Sr. Florez Calderón. *&gt;Pi. bienes, é impedir la amortización que tantos Jai os ha causado á ,a elo á las Cortes se sirvan determinar que todas las dispensas de ley prosperidad pública; y como este objeto es tan grand.oso, por que se pidan sobre materias de instrucción pública, y…</t>
  </si>
  <si>
    <t>Calderon, Flotes</t>
  </si>
  <si>
    <t>Flotes Calderon</t>
  </si>
  <si>
    <t>…terarse de su contenido, pues se iba ¿discu quedando autorizado él Gobierno-para ejecutar los apremios militares tir á la, dos. ¡ ’ det qne hablaba'él1 Uécf'dtó de 29 de Junio. El Sr. Flotes Calderon preséntó loó ejemplares del discurso pro Ajrt.^,0' «.•Quemó pódisn admitirse las propuestas 5.a, ó.* y 7.*, nunciado en la apertufá de la universidad central , y se acordó por las porque ton ellas sé quebrantaría el a/t. .331 de ia Constitución , y se Cortes…</t>
  </si>
  <si>
    <t>CALDERON, G-omez PRESIDENCIA DEL SEÑOR FLORES</t>
  </si>
  <si>
    <t>G-omez PRESIDENCIA DEL SEÑOR FLORES CALDERON</t>
  </si>
  <si>
    <t>…a comisión de Guerra presentó su dictamen sobre las adi CORTES. ciones hechas al proyecto que trata de evitar la deserción de quintos; siendo de opinión que debia aprobarse la del Sr. G-omez PRESIDENCIA DEL SEÑOR FLORES CALDERON. Becerra, reducida á que á los individuos que se hallen en actual Exiracto.de la sesión del $0 de Abril. servicio, y que lo esten en lo sucesivo, se les lea dentro de 24 Leída y aprobada el acta de ¡a anterior, 'dijo el Sr. Adan que horas la ley de desercione…</t>
  </si>
  <si>
    <t>Calderón, Mar.uel Flores</t>
  </si>
  <si>
    <t>Mar.uel Flores Calderón</t>
  </si>
  <si>
    <t>…cotonci D. Francisco Velarrle período de su legislatura ordinaria ; y iian elegido paia su presidente al Secretario del general en gefe, el teniente coronel Id. Gaspar He,,c. hr. D. Mar.uel Flores Calderón , diputado por la piovin-ta de Bur ros, oficial cesante ds la secretaría d- Guerra----.Ayudantes dd tenicc:* go»; para sU-VÍce- presidente al br. D. Rodiigo A'aidé» Lustos , que lo general D. Martin González ds A4er.cF.aca , d espitan de ¡a M. N. ¿¡¡ es por l…</t>
  </si>
  <si>
    <t>Calderón, Mores</t>
  </si>
  <si>
    <t>Mores Calderón</t>
  </si>
  <si>
    <t>…comandantes , oficiales y sargentos del batallón de la milicia délas relegantes prendas que les adornan, y porque tienen bastantes activa de la misma, presentadas y leídas por el Sr. Mores Calderón. luces para conocer sus obligaciones , sus facultades y sus derechos; y la De los gefes , oficiales y sargentos de la milicia activa de Vitoria. Iglesia española se halla privada de les benéfic os que s: prometía de Ja Del comandante general, gefes y oficiale…</t>
  </si>
  <si>
    <t>Calderón, Tomas López</t>
  </si>
  <si>
    <t>Tomas López Calderón</t>
  </si>
  <si>
    <t>…los cafres empiezan por su parte á formar Félix de Aguirre , D. J osef de Resusta , D. Francisco Antonio mejor concepto de los europeos, y van conociendo que no todos de tarraza, D. Tomas López Calderón , D. Josef Diez Imbrecht, son seres violentos , sanguinarios, codiciosos que atraviesan los D. Pedro Antonio Carrera , D. Joaquín María González, Don mares en edificios flotantes en busca dei oro, y con el objeto de Francisco FernandíZ del Castillo y D. Juan…</t>
  </si>
  <si>
    <t>Calin, Josef</t>
  </si>
  <si>
    <t>Josef Calin</t>
  </si>
  <si>
    <t>…ijarla en Búrgos, y Schavarri corriese en los tiros. tusen un asilo entre sus fieles castellanos. Estas voces vertidas diestra- 11. Supuso, y creyeron sus cómplices , que su yerno D. Josef Calin:-.*e r.o tolo produjeron la agitación de los espíritus, sino que exci tina tenia á tu disposición un gran número de caballos. tando las pasiones y acalorando la sensibilidad de los pueblos sencillos, rz. Aun después de desbaratado el plan por lo respectivo á…</t>
  </si>
  <si>
    <t>Calleja</t>
  </si>
  <si>
    <t>Gaceta de Madrid n.º 1183</t>
  </si>
  <si>
    <t>…provincia. Su entusiasmo llega á tal ex desembarcado por alguno de los puertos de aquella provincia. tremo, que les parece que con solo presentarse volvía á reducir \Ah si el Amo, Sr. Calleja, volviese por acal suelen decir al la este reino á sus deberes, y no dudo que á millares se le reunirían mentarse dei mal estado en que los han puesto los gobiernos de (gentes de armas tomar) en el momento que supiesen que habia Itúrbide y el actual. EN LA IM…</t>
  </si>
  <si>
    <t>Calleja, Julián</t>
  </si>
  <si>
    <t>Julián Calleja</t>
  </si>
  <si>
    <t>…el goce su instalación año de 1820 fueran en paite ineficaces sin el im de la percepción de todas las rentas, prestaciones, emolumentos pulso y cooperación de su presidente el Dr. D. Julián Calleja, y derechos de sus señoríos territoriales y solariegos, según lo te alcalde mayor que era entonces de esta villa y su tierra; y cuya man en la época anterior al y de Marzo de 1820, ó le debían instrucción , probidad y zelo por la justicia ha merecido «i tener…</t>
  </si>
  <si>
    <t>Callejo, Agustín</t>
  </si>
  <si>
    <t>Agustín Callejo</t>
  </si>
  <si>
    <t>…l árbol de la liber cipo á V. para su inteligencia y satisfacción. Madrid 10 de Marzo de tad que ha insultado, y acallarará los manes ds aquel patriota esclareci 18a3.exEgea.esSr. D. Agustín Callejo, oficial de la administración de do. También han quedado en poder de las tropas nacionales algunos equi- Estancadas de ta provincia de Soria. pages, la oficina del que denominan segundo batallón de Navarra , y ei Dirección general de papel sellado y penas de…</t>
  </si>
  <si>
    <t>…la oscuridad de iiomb". (Gaceta del tí.) Decreto de S. M.,en que manda que se den hs gracias en su nom los cargos hechos á cada reo. La causa contra Baso descubre cuáles fue bre á D. Agustín Callejo por su desprendimiento patriótico. (Gaceta ros los autores y cómplices de la conspiración; y la formada contra Barrio manifiesta uno de los medios adoptados para la egecucion. Se ha del jj.) Circular del ministerio en que se adoptan algunas disposiciones pa h…</t>
  </si>
  <si>
    <t>Callo, Ramón</t>
  </si>
  <si>
    <t>Ramón Callo</t>
  </si>
  <si>
    <t>…24 de l823.=Serapio Josef de Arteaga &amp;c. = de Tucuman revestida de virtudes sociales que desconoce el dés pota, no hace sino quejarse, publicando sus procedimientos antesSr. “^Stl D. Ramón Callo. de echar mano del poder de la fuerza armada, que tiene d.spomen la^que^hace mención de otros robos hechos por los facciosos, ble y pronta, para escarmentar á sus enemigos. Todo lo dicho se y capitaneados por Josef Ignacio Helguero , asegurando que estos ve c…</t>
  </si>
  <si>
    <t>Calmaría, Baltasar</t>
  </si>
  <si>
    <t>Baltasar Calmaría</t>
  </si>
  <si>
    <t>…ército francés » Con dable satisfacción anuncio á V. S. que el teniente de la tomaba posiciones en las fronteras, y que era muy probable la compañía de cazadores de esta provincia D. Baltasar Calmaría invasión. con unos 20 individuos de ella alcanzó una partida de facciosos El Sr. secretario de laGobernacion Je la Península dijo que en el bosque de la granja de Algongrcn, compuesta de 8 caba no habla precedido ninguna declaración por patte de la Francia ll…</t>
  </si>
  <si>
    <t>Calomarde, Francisco Ladeo</t>
  </si>
  <si>
    <t>Francisco Ladeo Calomarde</t>
  </si>
  <si>
    <t>…o, y lo comunicareis á quien corresponda para lo necesario á su cumplimiento =Esti rubricado.=P¿ acto i6de su cumplimiento. — Está rubricado. = Palacio 27 de Mayo Mayo de i8j3-=:A D. Francisco Ladeo Calomarde.” de i8í3.:=A D. Francisco Tadeo Calomarde.” » La Regencia del reino ha tenido á bien nombrar para la se » La Regencia del reino ha tenido í bien nombrar para la cretaría de Estado y del Despacho á D. Antonio de Vargas y secretaría de Estado y del Despacho de…</t>
  </si>
  <si>
    <t>Calomarde, Francisco Tadeo</t>
  </si>
  <si>
    <t>Francisco Tadeo Calomarde</t>
  </si>
  <si>
    <t>…ra lo necesario á su cumplimiento =Esti rubricado.=P¿ acto i6de su cumplimiento. — Está rubricado. = Palacio 27 de Mayo Mayo de i8j3-=:A D. Francisco Ladeo Calomarde.” de i8í3.:=A D. Francisco Tadeo Calomarde.” » La Regencia del reino ha tenido á bien nombrar para la se » La Regencia del reino ha tenido í bien nombrar para la cretaría de Estado y del Despacho á D. Antonio de Vargas y secretaría de Estado y del Despacho de Marina á D. Luis de Laguna; no habiendo po…</t>
  </si>
  <si>
    <t>Calomarde, Francisco Tadeo de</t>
  </si>
  <si>
    <t>Francisco Tadeo de Calomarde</t>
  </si>
  <si>
    <t>…ndo el orden mas exacto propor del encargo que se le confiete.=:Esti rubricado. = Pa-acio 27 cione los recursos que tan perentoriamente txigen las críticas cir de Mayo cíe 1823.=A D. Francisco Tadeo de Calomarde.” cunstancias del día; no dudando que los conocimientos que po see en aquel D. Juan Bautista de Erro son los ^prescindibles » Teniendo en consideración la Regencia del reino los mé para que puedan verse cumplidas en un todo las justas inten ritos y servicios…</t>
  </si>
  <si>
    <t>Gaceta Española n.º 55</t>
  </si>
  <si>
    <t>…l de la fe de los tratados. duque de Angulema. Xos avisos necesarios para comunicar este » Desvió á la revolución política mas legítima é incruenta que suceso debían pasatse por . D. Francisco Tadeo de Calomarde, á ofrecen los anales de los pueblos del curso tranquilo que em • quien el duque eligió para el acto de la instalación. (Extracto prendiera , asalariando viles escritores para desacreditar la virtud, de la gaceta extraordinaria de Madrid de] 2.7 de Mayo.) sem…</t>
  </si>
  <si>
    <t>Calomarde, Tadeo</t>
  </si>
  <si>
    <t>Tadeo Calomarde</t>
  </si>
  <si>
    <t>…Está » La Regencia del reino ha tenido á bien por decreto de este rubricado.—Palacio 27 de Mayo de 1823. =:A D. Francisco día nombiar para la secretaría de Estado y del Despacho á Don Tadeo Calomarde.” Amonio de Vargas y Laguna ; pero sabedora la Regencia de que este no se liada en el día en la Península, y sí en país tx- »* Teniendo en consideración la Regencia del reino los mé Irangt-ro, ha resuelto nombrar para que sirva la misma secreta ritos y servic…</t>
  </si>
  <si>
    <t>Calomardesecretario, Francisco Tadeo de</t>
  </si>
  <si>
    <t>Francisco Tadeo de Calomardesecretario</t>
  </si>
  <si>
    <t>…e le son subsiguientes: que se comunique sin péndida de momento al corregidor y ayuntamiento de esta heróica capital para el mismo fin; debiéndose pasar los avisos ne cesarios por Don Francisco Tadeo de Calomardesecretario de $. M. con egercício de decretosy á quien S. A. ha elegido para el acto so lemne de su instalación. Palacio 26 de Mayo de 1823. MADRID EN LA IMPRENTA REAI.</t>
  </si>
  <si>
    <t>Calomatde, Francisco Tadeo de</t>
  </si>
  <si>
    <t>Francisco Tadeo de Calomatde</t>
  </si>
  <si>
    <t>…, se extingan, y los individuos que \er, compon lo necesario á su cumplimiento. Paiacio 26 de Mayo de xS23.cs gan, si fuesen de algún cuerpo del egército, sean destinados á.los A. D. Francisco Tadeo de Calomatde.” que hubiere en la jnisma provincia, y, si perteneciesen á algu na de as paitidas levantadas antes de la citada fecha , serán in Con fecha da 27 del actúa' me comunica D. Francisco Ta corporados en la. sjpya respectiva, siempre que estuviesen filia deo de Ca…</t>
  </si>
  <si>
    <t>Calsina, Josef</t>
  </si>
  <si>
    <t>Josef Calsina</t>
  </si>
  <si>
    <t>…s, y exhortándolos á defender con el denuedo y valor pro disimular. pio de españoles sus libertades, intereses y honor contra los enemigos 8.° En su paso por Arando, se avistó con D. Josef Calsina, yerno de nuestra felicidad. D. Juan Abasca! , administrador de correos de fa de Baso. misma ciudad, y nombrado por S. M. gefe político interino de aque 9.0 En vez de irse íTolosa se marchó áPortugalete, continuará.') lla provincia, ha publicado erra proclama…</t>
  </si>
  <si>
    <t>…r la compañía de miendo que no le dieran el dinero para pagarla. cazadores de Siviiebza: al verse los enemigos con Unta intrepidez ata 3. ° Pasando por Aranda habló del proyecto á D. Josef Calsina, cad, s empezaron á huir despavoridos; de modo que ya vi yo que les yerno de Baso, que s-gun este contaba con -oj á 800 caballos. s ría impos ble el alcanzarlos á las citadas compañías y guerrilla de m¡- 4. " Llevó consigo dos borradores de proclama que sacó…</t>
  </si>
  <si>
    <t>Calsini, Josef</t>
  </si>
  <si>
    <t>Josef Calsini</t>
  </si>
  <si>
    <t>…; la cual se manda anunciar al en el proyecto mucha mas parte que ía qus aparece ■ Siles son Agus público por termino de 30 días, qu? principiarán 3 corrrer y contar tin Escudero; D. Josef Calsini; D. Pedro Mariano Baso , cura de Cas- se desde el 11 de Marco: ia persona que quisiere hacer postura á ella til-Tierra, aquel yerno, y este hermano de D. Domingo ; D. Ramón lo eg-cutará mi , .3 cho :-r. y citada escribanía dentro del término reHernández Tirso…</t>
  </si>
  <si>
    <t>Calvez, Teodoro</t>
  </si>
  <si>
    <t>Teodoro Calvez</t>
  </si>
  <si>
    <t>…l D. Pablo Valiñani , teniente de Rey interino tiguo de los cuerpos que la componen, que lo es en la actualidad de esta plaza; y al efecto á las cinco y media de la tarde se ha el brigadier D. Teodoro Calvez. llarán Jos expresados batallones formados en la alameda interior Estado mayor. El primer ayudante general D. Josef Azpi- de la ciudad. roz , que lo es de la división ; el segundo ayudante general D. To Mañana á las seis de ella ha dispuesto el Excmo. Sr. gen…</t>
  </si>
  <si>
    <t>Calviño, Francisco</t>
  </si>
  <si>
    <t>Francisco Calviño</t>
  </si>
  <si>
    <t>Gaceta de Madrid n.º 101</t>
  </si>
  <si>
    <t>…atallón coronel vivo de la misma arma D. Francisco Javier baravia, el co de Cantabria , ídem de la Princesa, regimiento de infantería de Málaga, mandante de voluntarios nacionales D. Francisco Calviño, el subrebatallón de la M. A. de Orense y el ligero de llostalrich. nienie D. Josef María Patino y otros retirados en esta villa. Los se Tercera división , al mando del mariscal de campo D. Antonio Ro ñores oficiales y tropa del cuerpo nada me han dejado que…</t>
  </si>
  <si>
    <t>Calvo, Manuel Fernandez</t>
  </si>
  <si>
    <t>Manuel Fernandez Calvo</t>
  </si>
  <si>
    <t>…por su vasta erudición como por c.on del Callao de Lima cuando se hallaba sti.ida por io* irisar- otro su talento d-plomát co , no puede menos ue ser útil, no solamente á los por D. Manuel Fernandez Calvo, para que se L runtecrc ot:a suma que intereses de Wurtemberg , sino de toda la Alemania constitucional. presto al egercito espa, oí del Perú y otro por Don Teresa Rrcz , sol c — SUIZA. tando una viudedad, tn atención á los sérveos ue su d.funro manco tñ nna…</t>
  </si>
  <si>
    <t>Calzada</t>
  </si>
  <si>
    <t>…na. _ oyeron con agrado , y mandaron se insertasen íntegras en el diario de Aye entró de Puerto-Rico una goleta americana en poces días de sus sesiones. navegación : dícese que el general Calzada salió de allí con 400 hom Se dió cuenta de una exposición del ciudadano Minutria , acompa bres , y qu: llegando felizmente 3 Puerto-Cabello logró apoderarse del ñando un egemplardd tratado sobre beneficios eclesiásticos del célebre fuerte de La-Vigía que guar…</t>
  </si>
  <si>
    <t>Cam, Josef Ignacio Alvarez</t>
  </si>
  <si>
    <t>Josef Ignacio Alvarez Cam</t>
  </si>
  <si>
    <t>…rvadores del orden social^ do conceder la Gran Cruz de la Real y distinguida orden de Se veían vender los bienes eclesiásticos, es cierto; pero caso Garlos ni al Mariscal de Campo D. Josef Ignacio Alvarez Cam que esta medida hubiese sido útil, lo seria hecha por el poder le pana, Capitán general de! reino y costa de Granada; y la Gran gítimo y supuesta la sanción eclesiástica, no atropellando estos Cruz de la Real y militar orden de S. Fernando al Mariscal de medi…</t>
  </si>
  <si>
    <t>Cam-, Josef</t>
  </si>
  <si>
    <t>Josef Cam-</t>
  </si>
  <si>
    <t>…eral Roten con fecha de 26 de Febrero último de la re ros y libertades; y sí no, no: con lo cu a! se ponían á cubierto de la tirada que hizo con alguna precipitación la columna de D. Josef Cam- anarquía y del despotismo. En este punto estamos conformes con el Sr. brubí, de.resultas de una acción que se trabó entre dicha columna y de Chateaubriand; pero ie conocemos la intención. Quisiera que los tsunos 700 facciosos en el puente de Revemí. Dicho cor…</t>
  </si>
  <si>
    <t>Cama</t>
  </si>
  <si>
    <t>…que he leído las razones que el Gob.erno presenta , ni por les y soldarlos que se habían mantenido fieles á sus juramentos, se mas que me he hecho cargo de las que ha expuesto el Sr. Cama, recomendase á los primeros á los generales del 2.uejércitode ope puedo convenir en que sea conveniente la suspensión del de raciones para los ascensos á que se luyan hecho acreedores, y ,i los creto de las Cortes sobre esta materia. Como ha dicho muv Leen se…</t>
  </si>
  <si>
    <t>Camaño, Rafael</t>
  </si>
  <si>
    <t>Rafael Camaño</t>
  </si>
  <si>
    <t>…legos deban acreditar previamente can la pre La comisión de Casos de responsabilidad, en v,sta de la ex sentación de títulos la legitimidad det derecho que íes asista. posición de D. Rafael Camaño, capitán de fragata de la arma- Se mando pasar a la comisión de Hacienda una ex pos.c ion de 0:1 nacional , para que se exija Ja responsabilidad al Dr. D. Josef D. Josef Alava Giménez , solicitando la liquidación para cubrir Fernandez de Losarla, primer alcai…</t>
  </si>
  <si>
    <t>Cámaras, Manuel Esteban</t>
  </si>
  <si>
    <t>Manuel Esteban Cámaras</t>
  </si>
  <si>
    <t>…ca. D. Antonio Sandalio de Arias, D. Juan Manuel de Aréjula , D. Fe _E1 Monitor del 31 publica ya el decreto de la convocatoria de las lipe López Valdenioros, D. Gonzalo Cárdenas, D. Manuel Esteban Cámaras para el 18 de Enero. Gatalá , D. Nicolás Cano Luque, D. Zoilo Gom:z Cisero , D. Joscf __La libertad nunca ha sido vencida por ¡as armas extrangeras; y tan Larreategi-.i y D. Francisco Bauza.. to las naciones antiguas como lai modernas nos presentan en sus ana…</t>
  </si>
  <si>
    <t>Camareio, Antonio</t>
  </si>
  <si>
    <t>Antonio Camareio</t>
  </si>
  <si>
    <t>…ilencio el s rvic o tan importante que están haciendo ¡os in dividuos de dicha milicia que me acompañan, hab.ejido sido el pome «n oro dei tesoro publico al ejército de España. lo D. Antonio Camareio, voluntar o de ella, qu: entró en el puente Se asegura haberse construido en París s s;S&gt; uniformes para el egerymoo nombrado de puntilla--- Tambi-n hago mención y son dignos cito de !a fe; pero no se dice quién ha tenido la empresa de este ves d: recom-iníac…</t>
  </si>
  <si>
    <t>Camargo, León Rodríguez de</t>
  </si>
  <si>
    <t>León Rodríguez de Camargo</t>
  </si>
  <si>
    <t>…jercito- Sevilla 29 de Abril. Art. 2.0 Se reconocerá por encargado de la secretaría de la comandancia general del primer distrito militar al capitán adicto CORTES. al estado mayor D. León Rodríguez de Camargo. Se reconoce PRESIDENCIA DEl SEÑOR FLORES CALDERON.rán por ayudantes de campo del Excmo. Sr. teniente general Don Josef de Zayas , comandante de la primera división de este ejér Si.'hn Jd .Sia 59. cito, á D. Lorenzo Somera , capitán de ia M. N. A. de Madrid,…</t>
  </si>
  <si>
    <t>Camarlengo</t>
  </si>
  <si>
    <t>…contra los partidos medios Inmediatamente que espira el Sumo Pontífice, se presenta á en las revoluciones. La recta razón ios califica de absurdos , y la la puerta de su cuarto el cardenal Camarlengo, y toca en ella experiencia los repugna como impracticables. por tres veces con un martillo de oro , i amando al Papa cor. el Y en efecto , ;qué es una revolución í Es una guerra mas ó nombre que se le puso en el bautismo, cor. el tic su familia y el menos la…</t>
  </si>
  <si>
    <t>Gaceta Española n.º 166</t>
  </si>
  <si>
    <t>…zarían continuamente las exor Inmediatamente que espira el Sumo Pontífice se presenta á bitantes pretensiones y la impericia de los que ahora no saben ni la puerta de su cuarto el cardenal Camarlengo, y toca en ella por er.mstearse el afecto de sus enemigos, ni merecer el aprecio de sus tres veces con un martillo de oro , llamando al Papa con el nom aliados. Solo un régimen constitucional puede disipar las inquie bre que se le puso en el bautismo, con el…</t>
  </si>
  <si>
    <t>Camarlot, Josef</t>
  </si>
  <si>
    <t>Josef Camarlot</t>
  </si>
  <si>
    <t>…sional de Gobierno instalada próximo bienio, que con arreglo á fuero principia en 31 do Ju en Oyarzun, lio. Estos nombramientos, que antes han solido hacerse por.los » Sermo. Sr.: D. Josef Camarlot y de Macía, teniente co electores ante la diputación secretamente, he dispuesto que por ronel de los Reales ejércitos, gobernador y correjidor militar esta vez se hicieran públicamente ante toda la junta y á puerta y político de la villa y partido de Talara,…</t>
  </si>
  <si>
    <t>Camba, Andrés García</t>
  </si>
  <si>
    <t>Andrés García Camba</t>
  </si>
  <si>
    <t>…E. M. G. del ejército brigadier L&gt;. Josd ( /airatalá se me tener los dragones, y el gde del E. M. G. con el 2.0 ayudante reunió en la marcha, y también me acompañaron los comandan general D. Andrés García Camba pasa 4-.mover la infantería. tes generales de Artillería é Ingenieros, los coroneles D. Fernan Coloqué inmediatamente después del primer glorioso: suceso los do Cacho y D- Miguel Atero. dos destacamentos del regimiento del -imperial en una ai tura á Una march…</t>
  </si>
  <si>
    <t>…durante la octava de la Asunción. y comunicando siempre mis órdenes en la acción el cefe de esta El 18 á las cinco de la mañana el cardenal Bertozoli le ad do mayor de la división coronel D. Andrés García Camba, ayu ministró el viático. S. S. conocia el peligro en que se hallaba: le dantes de estado mayor general tenientes coroneles D. Miguel de ofrecieron algunos cordiales para reanimarlo , y respondió: &lt;&gt; No Araoz, D. Vicente Garni , secretario mió , y cap tan D.…</t>
  </si>
  <si>
    <t>Camba, Andrés Garda</t>
  </si>
  <si>
    <t>Andrés Garda Camba</t>
  </si>
  <si>
    <t>…coronel dian las ventajas que no tienen valer vara proporcionarse por D. Mateo Ramirez, los Sres. oficiales de E. M. tenientes coro medio de una aplicación constante....... neles D. Andrés Garda Camba, nii secretario D V.cente Ga- Para juzgar del carácter moral de itv. «aii~*..-r» americanos es nn, D. Antonro García , cap tan D. Ramón Gascón y teniente preciso considerar ios principios de su conducta. Se !&lt;s cree pro D- Mariano Herreros; y m.s ayudantes de…</t>
  </si>
  <si>
    <t>Camba, García</t>
  </si>
  <si>
    <t>García Camba</t>
  </si>
  <si>
    <t>…obligar al gefe er-ti\:o uniera sobre aquel valle, y Moquegua , pacto que yo ocupabalos Andes íüíj. luyo. con el resto "de la d v.sion, con el fin también de atraer al ene El Sr. coronel García Camba a! mismo Sr. v'rey. migo á un punto ventajoso, y de pronta reunon con las tropas que V. S. tiene á sus inmed.aciones. Ha»t.i ahora todo ha salido Nuestra campana desde 1.° del presente no podrá menos de á medida de mis deseos, y el enzm .0 s n advertirlo marc…</t>
  </si>
  <si>
    <t>Cambrubí, Josef</t>
  </si>
  <si>
    <t>Josef Cambrubí</t>
  </si>
  <si>
    <t>…ad en nombre de la patria las augus el coronel de Miguel había recibido el dia Je la fecha , la retirada le tas Cortes elegidas por el mismo pueblo de quien os separasteis; corred D. Josef Cambrubí habia sido muy prudente, por cuyo medio frustró al campo de la gloria; empuñadlas armas, y castigad con ellas á un in los intentos que el J-p y algún otro cabecilla habían formado para der fractor de las sagradas é inmutables leyes de las naciones , corred, s…</t>
  </si>
  <si>
    <t>Camello, Borges</t>
  </si>
  <si>
    <t>Borges Camello</t>
  </si>
  <si>
    <t>El Sr. Borges Camello: Et que dude del principio establecido en este por una autoridad de k Havana pov el conducto del Sr. secretario del Des primer art'culo traiga á' la memoria la profesión de fe que lucieron los pacho de Ultramar , para que en túrnese presente en k discusión so…</t>
  </si>
  <si>
    <t>Camino, Juan</t>
  </si>
  <si>
    <t>Juan Camino</t>
  </si>
  <si>
    <t>…se con las tropas nacionales que puede haber por aquellos te D. Josef Mensndez Valdés. Vicario castrense D. Juan puntos.=í;r. gefe político de la Coruña. Miet CastaSon. Canónigos: D. Juan Camino, D. Manuel Bin- Dios guarde á V. S. muchos años. León 24 de Abril de ioi. Vicario de $. Pelayo D. Manuel Coelio. Ex-monge Don 1823.—Antonio Ayarza. Tomas Mariño. Presbíteros : D- Justo Quirós, D. B nito Gobierno político de la provincia de Oviedo. Alonso Abla…</t>
  </si>
  <si>
    <t>Campana, Josef Ignacio Aívarez</t>
  </si>
  <si>
    <t>Josef Ignacio Aívarez Campana</t>
  </si>
  <si>
    <t>…ban suspendidas las hostilidades, y se espe— tado y del Despacho, el limo, Sr. Obispo de Córdoba,.el. Ma raba el resultado del Real decreto remitido directamente á riscal de Campo D. Josef Ignacio Aívarez Campana, Capitán Mina. general de Granada , las diputaciones del Ayuntamiento cié Sevi lla, y la del de Montoro, la diputación del cabildo de Córdoba, Cari!¡ilación concluida entre el Sr. Mariscal de Campo Barón de y otras varias y muchas personas de distinción. Hare…</t>
  </si>
  <si>
    <t>Campes</t>
  </si>
  <si>
    <t>…rrespondiente i la milicia. la imprenta de Davila. Al Sr. García de la Madrid, los presos y la policía urbana. Ebota. En la gaceta del 10 , col. 3.', Un. 3(5 , donde dice dtbut Al Sr. Campes, las denuncias del campo en el cuartel bajo y le autorizársele , léase Jebe autorizársele__ En la m sma , lo* 4.J, Un de empleados. donde dice ¡os frutos experimenten, léase los /rulos 110 experimenten. EN LA IMPRENTA NACIONAL.</t>
  </si>
  <si>
    <t>Campillo</t>
  </si>
  <si>
    <t>…diera jamas echar en cara que había estimulado á la dulles se halla á la vista á todas horas. España á la resistencia, prometiéndola,auxilios que no podía ,,Se ha asegurado que el coronel Campillo ha entrado en realizar.” , Vitoria, Jáuregui en Bilbao y Arana en Logroño; mas lo que Con respecto á Portugal dice Mr. Canning lo siguiente: i.10 t¡cn¿ Ja es que el hermano del Empecinado entró en Bui- „Con permiso de la Cámara diré unas pocas palabras con tr…</t>
  </si>
  <si>
    <t>…línea de Colam forzar á los españoles á que admitan do nuevo linas bres desdé la fecha del correo último, que la m.oinstituciones, no solo injuriosas v hostiles á su inde cita del coronel Campillo acia Comillas . Cabuerniga pendencia y libertad sino degradantes á la iiuslraeion v Cabezón de la Sai , emprendida ayer por la maña riel siglo, v conoce ademas qne la conducta tiránica na con las fuerzas de su mando, escep'o los volun del actual Gobierno de F…</t>
  </si>
  <si>
    <t>Campillo, JL Juan López</t>
  </si>
  <si>
    <t>JL Juan López Campillo</t>
  </si>
  <si>
    <t>…ra gadas de enemigos con unos ion hombres da escolta las tropas que b!o&gt;; man á Sanloña. En este supuesto procedentes de Manees. 1 , eun dirección á Main ó en pensaba al ararlos e coronel JL Juan López Campillo, busca de víveres; y para protegen los parece que lian ó menos que el nú-mero do franceses v facciosos no lirelio alítmi movimiento los del punto de Granosea superior con deuue-iado eseeso al de la fuerza que llers. \Sc vont itiuard tiene ¡i sus órdenes. Agua…</t>
  </si>
  <si>
    <t>Campillo, Josef</t>
  </si>
  <si>
    <t>Josef Campillo</t>
  </si>
  <si>
    <t>…sensible ma tarde el general Milans. pérdida del cazador D. Josef Iban, y herido gravemente el vo Las noticias de Barcelona del 28 confirman la intención de luntario de caballería D. Josef Campillo, y levemente el segun los enemigos de invadir á Gerona aquella misma noche ó á la do comandante de cazadores D. Vicente Rodríguez, el cabo se madrugada siguiente, y que el gefe político y el gobernador de gundo del mismo cuerpo D. Miguel Soriauo , el sargento…</t>
  </si>
  <si>
    <t>Campissano, Josef</t>
  </si>
  <si>
    <t>Josef Campissano</t>
  </si>
  <si>
    <t>…Este, luchó solo por espacio de mas de un mes de Sto. Cristo del Rey, donde está alojado el guardia alabarde con las nuevas fuerzas que Jos turcos querian dirigir contra el Pe- ro D. Josef Campissano, el que dará razón ai interesado dei pa loponeso , y atrajo á los desfiladeros de la Beoda á Mehemed-Ba- radero de dichos equipages. já, quien después de la muerte de Churschid habia tomado pro Poesías de D. Eugenio Tapia, individuo de número de U visionalmen…</t>
  </si>
  <si>
    <t>Campo, Josef</t>
  </si>
  <si>
    <t>Josef Campo</t>
  </si>
  <si>
    <t>…las dirección general de estudios para la resolución conveniente Jas exposicio relacione» de la Francia Ce la España, á causa de algunas &lt;¡1 «instancias nes de D. Joaquín Vázquez, D. Josef Campo y D. IRafacl Mendoza. espcc ales y recientes. Aprobado. El innques de Lansdosvn, que había interpelado al conde de Liver Se mandaron quedar sobre la mesa varios dictámenes de comisiones. pool sobre este particular , contesto hallarse satisfecho con saber por el si Se aprobó la si…</t>
  </si>
  <si>
    <t>Campo, Josef María</t>
  </si>
  <si>
    <t>Josef María Campo</t>
  </si>
  <si>
    <t>…penas que corresponden á de D. Manuel Trinidad Moreno, acerca de la causa secunda por los desertores y encubridores: lo que se trata ahora es de que si D. Francisco Mallon contra D. Josef María Campo; y otra de se desea que la Nación tenga ioo9 hombres los tenga en reali un miliciano de caballería de Toledo, sobre ¡a causa seguida á va dad; para que esto se verifique no hay otro medio que ci que se rios individuos de la gavilla de la facción de Batanero,…</t>
  </si>
  <si>
    <t>Campo, Juan Manuel del</t>
  </si>
  <si>
    <t>Juan Manuel del Campo</t>
  </si>
  <si>
    <t>…ue se reúnan las Cortes en extraordinarias; autorizando A la comisión de Legislación se mandaron pasar una solicitud competentemente á la diputación permanente que se nombrare, de D. Juan Manuel del Campo, pidiendo dispensa de edad para para que en este intermedio pueda suspender dichas medidas si Jo administrar sus bienes, y otra de D. Bernardo Josef de Regó, creyese conveniente á la causa pública. pidiendo la abolición del derecho de décima. Continuó la disc…</t>
  </si>
  <si>
    <t>Campo, Lino</t>
  </si>
  <si>
    <t>Lino Campo</t>
  </si>
  <si>
    <t>…dt jurados. para que la ilustrasen con tus conocimiento* lo* Sres. Larramendi y El Sr. juez de primera instancia D. Benito Romero denunció ai Subercase. Sr. alcalde constitucional D. Lino Campo» un papel impreso, que em Se aprobó el dictamen de la comisión de Guerra, la cual, en vista de pieza : He aquí ¡a acusación dt un magistrado, «n concepto de inju la exposición de vatios individuos del extinguido cuerpo de Guardias rioso y calumnioso. de Corps…</t>
  </si>
  <si>
    <t>Campo, Mantel Fernandez</t>
  </si>
  <si>
    <t>Mantel Fernandez Campo</t>
  </si>
  <si>
    <t>…a hecha poro! car men sobre la exposición de D. Francesco Julián de Madrid. Se denal I). Dionisio BarJai&lt; V Azirt v los auJitores de la Rot.a mando .un.lar sobre ].; mesa. de Roma D. Mantel Fernandez Campo v D. -Francisco Marco. 1 lab;end:&gt; .murciado el Sr. presidente que se procedía .i la dirijida á manifestar que las prebendas qi¡. .hsfrunban na estaban discusión del d'Uamen de la coin.sion de .Milicias nacionales ccmpretid d.¡- en el decret&gt;» de e de Rt- mbr…</t>
  </si>
  <si>
    <t>Campo, Manuel</t>
  </si>
  <si>
    <t>Manuel Campo</t>
  </si>
  <si>
    <t>…e las aplicaciones tópicas ó la operación manual.” Al mismo se mando pasar el proyecto presentado por e! clu- Ei Sr. Trujólo hablo en contra de este dictamen; y Jos señe&lt;ji.lau.-i D. Manuel Campo sobre formación de un batallón con res Seoane y Pcdralvez en pío , y en seguida se suspendió esta ti «ubre de beneficencia militar. discusión. •La comisión de Legislación, en vista de una consulta del se- Aja comisión de Guerra se pasó una instancia de D. Jos…</t>
  </si>
  <si>
    <t>Campo, Manuel González del</t>
  </si>
  <si>
    <t>Manuel González del Campo</t>
  </si>
  <si>
    <t>…tancia de D. Agustín Josef Mestre, ' de Floridablanca , D. Nicolás Cano de Luquo , D. Juan Fernandez Caboticario mayor de S. M., contra D. Josef Antonio Oñez , boticario sartego y D. Manuel González del Campo. Habida la conferencia, se en esta corte , por las proposiciones que vertió y estampó' dicho Oñez declaró por unanimidad n haber lugar á la formacionde causa.” contra el D. Agustín Josef Mestre et. el periódico titulado el Consti- ' ' c¿ltM0S f)J ,, Ma íU Fch…</t>
  </si>
  <si>
    <t>…o , con el resto de Coraposte- Tomas Torresano, D. Valentín Recio, D. Lorenzo Lam'oea , D. Jai la, siguió por la derecha á flanquearlos sufriendo un fuego terrible, me Ruiz Abreu, D. Manuel González del Campo, D. Luis de Mata se les persiguió vivamente, y solo faltó media hora de dia para que Atauio, D. Joaquín Manrique y Manrique, D. Andrés Navarro. lodos hubiesen sido prisioneros; pero se ocultaron en las asperezas de . Habida la conferencia se decidió por unani…</t>
  </si>
  <si>
    <t>…minos positivos D. Juan de Cortes, D. Simón González Yilste, D. Juñan de Fuen para la tierra luja y Mcqumci.:-:*: *&lt;•, el momento de mi llegada dispuse sa tes, D. Matías Pinilla , D. Manuel González del Campo,D. Manuel Me liesen tres partidas fuertes de ¡nfanv-ría y caballería con las instrucciones rino, D. Lorenzo Lambca, D. Josef RivesyD. Manuel Carnicero. Ha y ira la persecución y aprehcii'-.i-n de otos infames: igualmente procederé, bida la conferencia se decl…</t>
  </si>
  <si>
    <t>…anifieste al público este raigo para que se entere de la inversión que D. Aquilino Palomino. D. Ramón Llord. se da á los fondos de la suscripción voluntaria, y sirva de estímulo í D. Manuel González del Campo. D. Antonio Soliva. los patriotas para continuar sus donativos en favor de la libertad é D. Josef Valla y Roca. D Ramón Queraltó. independencia de la Nacioa. D. Joaquín déla Vega y Quintana. D. Cayetano Rubio. D. Luis de Mata y Araujo. D. Bei nardo Asen jo. _…</t>
  </si>
  <si>
    <t>Campo, Pedro Duran Vera</t>
  </si>
  <si>
    <t>Pedro Duran Vera Campo</t>
  </si>
  <si>
    <t>…eda del Rio, D. Sancho Sanabria, ta ciudad. D. Juan Martin Carnes, D. Jacinto de las Heras, D. Francisco Caldas y Los nceocios políticos de la Alemania meridional no acaban de ada D. Pedro Duran Vera Campo , han dirigido al Rey una exposición, en tarse : se entreve sin embargo que Jos Gobiernos absolutos del Norte, co que manifiestan su amor á la Constitución y á las leyes que emanan de mo fuertes , tienen algunas miras contra los Gobiernos constitucionales, el…</t>
  </si>
  <si>
    <t>Campo, Sebastian</t>
  </si>
  <si>
    <t>Sebastian Campo</t>
  </si>
  <si>
    <t>…erablemente en su quinta de Ramaihau, ó en La comisión de Visita de tribunales, en viste de la exposición de países extranjeros: ¡Consentiremos en que los santos aliados tengan la D. Sebastian Campo sobre si era él ú otro r\ que con e! nombre da satisfacción de sustentar con escasas sumas á laque fue Reina del Reino- D. Sebastian Martínez Campo se seña aba para viiitador de la audien lindo de Portugal , Brasil y Algaibes! ¡Será compatible con la digni ci…</t>
  </si>
  <si>
    <t>Campo, Sebastian Martínez</t>
  </si>
  <si>
    <t>Sebastian Martínez Campo</t>
  </si>
  <si>
    <t>…emos en que los santos aliados tengan la D. Sebastian Campo sobre si era él ú otro r\ que con e! nombre da satisfacción de sustentar con escasas sumas á laque fue Reina del Reino- D. Sebastian Martínez Campo se seña aba para viiitador de la audien lindo de Portugal , Brasil y Algaibes! ¡Será compatible con la digni cia de Navarra, manifestaba que en efecto eta ¿1 mismo ; lo que debía dad nocional que nuestro gran Rey , que tantas veces ha manifestado ponerse en n…</t>
  </si>
  <si>
    <t>Campon, Ramón</t>
  </si>
  <si>
    <t>Ramón Campon</t>
  </si>
  <si>
    <t>…■ ;• r . raba en Pontearlas, que dista .dos leguas d$aa}u$slia raya ; Tomas Pita , condenado á dos meses.de prisión, y cumplido; últimas noticias lo daban ca Redondel*.....nM‘¡, , Don Ramón Campon , de Rivadeo. . .. ,s Don Joaquín García, D. Vicente García, hermanos, y ej uno gobernador de Marín. . .. . . - . El Monitor de 5 de Agosto copia una. cprto escrita por 111 Don Antonio Blanco, D. Matías Blanco, Francisco Va capitán.,,ayudante tic campo dei ge…</t>
  </si>
  <si>
    <t>Campos, Diego Melend.z y Pedio Alvarez de</t>
  </si>
  <si>
    <t>Diego Melend.z y Pedio Alvarez de Campos</t>
  </si>
  <si>
    <t>…o l-ernauaez Tinoco y Doña Ana María Ti balai de Jaén , Diego de Segura , dé 8500 mrs__ Otro , salinas de Za noco , su mugir, de 140,091 mrs—Otro , diezmo» de la mar de Cas mora , D. Diego Melend.z y Pedio Alvarez de Campos , ds 53.548 tilla, monasterio de Sta. Isabel, recoletas de Madrid, de 47,500 mrs—Otro , m llones de Toledo, dicha priora y religiosas, de 11 2,530 mrs__ Otro, pimienta del reino, dicho monasterio, de 37,648 mrs— mrs__Otro , alcabalas de Vitoria , dicha priora…</t>
  </si>
  <si>
    <t>Campos, Lino</t>
  </si>
  <si>
    <t>Lino Campos</t>
  </si>
  <si>
    <t>…ico, re D. Pedro Sánchez Trapero y D. Josef Sánchez Ballesteros denun mitiendo un duplicado de estas certificaciones á la dirección general ciaron al primer alcalde constitucional D. Lino Campos , un testimo de directas para que abone su importe á las contribuciones de cada pro nio inserto en el número 6.“ del Procurador genera1 de! Jiey al folio vincia. 26, en concepto de injurioso. En su vista se reunió el jurado, com ro. Si á juicio de los intende…</t>
  </si>
  <si>
    <t>…sto de la división. Si la Hab ¡endose denunciado por el Sr. fiscal de imprenta al Sr. alcalde facción cambiase de nuevo á la: derecha será alcanzada por la división constitucional D. Lino Campos el núm. 7 del Procurador general ¡itl del genera! O-Dali , qus de Villacicrvos salió esta mañana sobre So Rey, en concepto de s.dicioso en primer grado, se reunió el jurado ria para tomar el flanco al enemigo ó anteponérsele en su marcha ; y compuesto de los…</t>
  </si>
  <si>
    <t>…. = Josef de Torres. sExcmo. Sr. conde del Ábisbal.= formación de causa.” Es copia ,=Abisbal." __Habiéndose denunciado por el Sr. fiscal de imprenta al Sr. alcalde cons titucional D. Lino Campos el num. 3.0 dei folleto titulado el Bu por con La corbeta de la armada nacional nombrada Marta Isabel, que con tener proposiciones sediciosas, se reunió el jurado, compuesto de los seño motivo de la expedición que algunos aventureros intentaron contra Puerto—…</t>
  </si>
  <si>
    <t>…ción de causa. que se decretan. — El Sr. fiscal de libertad de imprenta denunció al Sr. alcalde corteIgualmente lo quedaron de otro oficio del mismo Sr. secretario , co titucionaí D. Lino Campos el número 8 del Procurador general del municándolas que b. M. había resuelto ponerse en camino mañana á las Rey, en concepto de sedicioso en primer grado. ocho del dia , ó antes si era posible. En su vista se reunió el jurado, compuesto de lo» Sres. siguiente…</t>
  </si>
  <si>
    <t>…comparable! ¡pueblo sublime! Tú bas sido criado para las D. Nicolás de Isidro, denunció al Sr* alcalde constitucional empresas extraordinarias; á tu valor y denuedo ha confiado el D. Lino Campos un artículo inserto en el diario Nuevo, r.úOmnipotente el desenlace de las grandes crisis del género huma mero 95 , en concepto de injurioso. no; en tus virtudes y firmeza sé afianza la causa de los hombres En su vista se reunió el jurado, compuesto de los se…</t>
  </si>
  <si>
    <t>Campos, Lirio</t>
  </si>
  <si>
    <t>Lirio Campos</t>
  </si>
  <si>
    <t>…-jj e!0,t de causa. os uituS ciu a anos. . ^ — Don Pedro Sánchez Trapero denunció al Sr. alcalde constitucional, Debiéndose construir para el servicio de la factoría principal de D. Lirio Campos un'artículo inserto en el núm. 6.a del Piocurador tabacos de esta corte 40S) botes de lata de la cabida de á media libra general del Rey, en concepto de calumnioso é injurioso. En su virtud de tapé , y jo3 de la de i una, se anuncia 3l público par3 que los ma…</t>
  </si>
  <si>
    <t>Campos, Manuel</t>
  </si>
  <si>
    <t>Manuel Campos</t>
  </si>
  <si>
    <t>…ores. dirigían á las Cortes los individuos de la dirección de correos, incluso Art. 3." nuevamente redactado por la comisión, refundiendo en él el director de este establecimiento D. Manuel Campos. el 4.0 »Lis diputaciones provinciales cuidarán déla admisión de los Se leyó una exposición de los taquígrafos de la redacción del Diario individuos que se ofrezcan i servir en estas compañías , y harán la de Cortes, en que manifestaban á las mismas sus deseo…</t>
  </si>
  <si>
    <t>Camprubí, Josef</t>
  </si>
  <si>
    <t>Josef Camprubí</t>
  </si>
  <si>
    <t>270</t>
  </si>
  <si>
    <t>…las instrucciones de V. £, me dirigí ayer ¿ Perafita, donde encontré la compañía de cazado » Excnio. Sr.: Conseguido el objeto de proporcionar algún res de provincia, al mando de D. Josef Camprubí, que salió á descanso en las tropas y racionarlas durante el dia de hoy , he sa poco r^to de mi llegada hacia Caserras. A las cinco de la mañana is ¡00 ai anocnecer que ci enemigo , obligarlo da mi contramarcha, del dia siguiente seguí la marcha en la misma d…</t>
  </si>
  <si>
    <t>Campuzano, Antonio</t>
  </si>
  <si>
    <t>Antonio Campuzano</t>
  </si>
  <si>
    <t>…verla debía creerse que de los ioo3 hombres había nombrado interinamente para la secretaría de Alarma al ofi que señalaron para la invasión sobraban los No es fácil con cial mavor D. Antonio Campuzano. ciliar toda esta jactancia con la prontitud con que acuden á una A las comisiones de Hacienda y Comercio se pasó un expe nueva contribución de sangre humana. El 24 de Abril se aprobó diente promovido por una casa de comercio de Bilbao sobre quo en Ja Cámara…</t>
  </si>
  <si>
    <t>Campuzano, Francisco de</t>
  </si>
  <si>
    <t>Francisco de Campuzano</t>
  </si>
  <si>
    <t>…á socorrer las embarcaciones que que cotí todos sus honores y sueldos concedió la Junta provisio corrian peligro, y observaba una policía activa contra la intro nal de Gobierno á D. Francisco de Campuzano; y al mismo ducción de la peste en Europa. Nadie se. acuerda sin enterneci tiempo ha tenido á bien S. M. nombrar Gobernador de las miento de esta asociación tan benéfica como heroica , cuyos in aduanas de Cantabria al Brigadier D. Juan Bautista Guergué con di…</t>
  </si>
  <si>
    <t>Camuñas, Manuel</t>
  </si>
  <si>
    <t>Manuel Camuñas</t>
  </si>
  <si>
    <t>…e artículo separado formará parte integrante del tra Los señores que la declararon sediciosa en tercer grado fue tado de amistad y alianza firmado en 5 de Julio, y tendrá la ron : D. Manuel Camuñas, D. Manuel Díaz Zapata, D. Juan misma fuerza y valor que si se hallase inserto en él palabra por Sucramper, D. Vicente González, D- Josef Guerrero, D. Jopalabra, y sera ratificado; y las ratificaciones se cangearán en e! ccí Lopéz de Castro, D. Antonio Josef…</t>
  </si>
  <si>
    <t>Can</t>
  </si>
  <si>
    <t>…d, y de consiguiente de responsabilidad que pc-r noticias que deban llamar la atención qu; las de Ultramar que publi parte de la Hacienda pública puedan instaurarse, y la otra del Sr. Can camos en artículo de Cádiz—El periódico El grito dt Riego va tenien ga r otros Sres. dioutados para que se oficie al Gobierno, á fin de que do mucha aceptación , pues nos ha faltado el núm. 4.' que dicen los los visitadores d' la audiencia de Madrid examinen…</t>
  </si>
  <si>
    <t>…endida en el art. roo del reglamento, se admi que no ha sido posible absolutamente rectificar el movimiento ; y á pe tió á discusión y quedó aprobada la siguiente proposición, del Sr. Can sar de la oportunidad con que llegaron los 1700 pares de zapatos, hu ga : » Habiéndose acordado en ia sesión de ayer no haber Jugar á vo biera quedado sin un infame, y ni los caballos hubieran podido pene lar sobre el proyecto de arreglo definitivo del clero,…</t>
  </si>
  <si>
    <t>…de su domicilio, en el pucho de su ve cindad. A los que habitan en casas de su propiedad se íes graduapresado .Sr. Lapuerta. ^ Se leyeron por primera vez varias proposiciones del Sr. Can rá por los ayuntamientos según las demas de igual clase". De cual ga, relativas á que la comisión de Guerra presente un proyecto quiera arriendo qtte se aparente menor se exigirá la muirá de una de reglamento para conceder la gloriosa orden dé $. Fernando á a…</t>
  </si>
  <si>
    <t>…y egér- .Jaime Lapuerta, diputado por la provincia de Aragón. citos que hayan de sos tener la causa de la libertad de la patria Se leyeron por primera vez varias proposiciones del Sr. Can en la actual guerra.” ga , relativas á la orden de S. Fernando , y a que iean preferidos Art. 3.0 „E1 Gobierno limitará este permiso á los determi para los empleos de la Nación los militares y milicianos volun nados puntos que crea necesario, prohibiendo al p…</t>
  </si>
  <si>
    <t>…vocac on mat r.ai que liubiesc, con 10 cual dicho repare m.er.io. estaba pronto .; npiobar ¡a e tuda propwSie.on. La com.s on ele Legisiac on , en vista de ia exposición de Dea El Sr. Can a eontesi" que la cuims.on no pod a de manera Josel Deieaao , op naba que- este interesíeio podr.i Jnci:se' juotiabana hacer la rea AaJo» que so. ./.taba ei Sr. preop.narutf, de corresponda . y por :o itt sino 1.0 bel .a 1 _l.r .u. c: a de-..¡ erar. pues care…</t>
  </si>
  <si>
    <t>…yo efecto se leyó de nuevo, y tomando la palabra el Sr. Oli-j autoridad militar, quien por otra parte entregada á negocios de ver, dijo: Aprobada por las Cortes la proposición del Sr. Can mucha entidad , no está en el caso de examinar los pormenores ga , parece indudable que el Congreso conceptúe preciso que an que están al alcance de aquellas personas cuyo único encargo se tes de dar la comisión su dictamen'viniese el expediente , en vir redu…</t>
  </si>
  <si>
    <t>Cana, Antonio</t>
  </si>
  <si>
    <t>Antonio Cana</t>
  </si>
  <si>
    <t>…s López Caide.-sn , D. Salvador Garzón de Salazar, D. Francisco mado coronel Lorenzo I.abarra y otro oficia! , con 8 hombres muertos, Antonio de Fuentes, D. Pedro Antonio Carrera, D. Antonio Cana8; cabaih-s, todas las lanzas, fusiles, tercerolas y sables que quedaron dril, D. Rafael María de Gataicochea , D. Pedro Antonio de Aguiren mi pedir; podiendo asegurar á Ü. que ;sia facción quedo entera» re , D. Juan Josef del Cubillo y D. Francisco de Puga ,…</t>
  </si>
  <si>
    <t>Canadeü, Antonio</t>
  </si>
  <si>
    <t>Antonio Canadeü</t>
  </si>
  <si>
    <t>…en de sus pueblos para hacer mer grado; y reunido el jurado, compuesto de los Sr». O. Lope Ma la guerra del mismo modo que á los soldados del egéicito permanente. nuel de Luengas, D. Antonio Canadeü, D. Luis Igartuburu , Don Alt. 2.0 Los oficiales, sargentos y cabás de la rifer da milicia tendrán Joaquín María Goñi, D. Juan Bautista Carrera , D. Josef María la los mismos haberes que en sus respectivas provincias esten señalados á los Arroyo, D. Josef Per…</t>
  </si>
  <si>
    <t>Canal, Francisco</t>
  </si>
  <si>
    <t>Francisco Canal</t>
  </si>
  <si>
    <t>…4 o El comandante del bloqueo nombrará igualmente bierno de que el dia 25 del corriente se le había presentado los oficiales y ccmisarics necesarios para recibir la entrega de los D. Francisco Canal, patrón de una de las tres trincaduras del efectos correspondientes á los parques de artillería é ingenieros, puetto de Santoña, quien voluntariamente se rindió y entregó y á los almacenes de víveres. á discreción con dicha trincadura, su tripularon, orno sol…</t>
  </si>
  <si>
    <t>Cañamá, Josef</t>
  </si>
  <si>
    <t>Josef Cañamá</t>
  </si>
  <si>
    <t>…destruido la En que brillando hazaña sobre hazaña, lápida y proc!amado al Rey nuestro Señor, recojí las llaves del En Jucha desigual , en lid extraña, castillo y se las entregué á D. Josef Cañamá, que ha quedado de Resistimos los Reyes extranjeros. comandante interino de la partida de aquella villa y del castillo, Hoy que son una ya las dos Naciones, en concepto á que me acompañó en las acciones del 25 y 26. Y las glorias de- Francia y sus laureles -…</t>
  </si>
  <si>
    <t>Cañas, Manuel de</t>
  </si>
  <si>
    <t>Manuel de Cañas</t>
  </si>
  <si>
    <t>…Juan Luqui:, D. Joaquín Manrique , Don puerto ei 14 dei siguiente mes; y enterado su comandante el capúan de Juan Fernandez Casariego, D. Valentín Recio y D. Juan Castel. fiaeara D. Manuel de Cañas de la tranquilidad que gozaba la isla, y suer Habida la conferencia, se decidió por mayoría »haber lugar á la forma te desastrosa que había tenido la indicada expedición, propuso á las autori ción de causahabiendo disentido los Sres. Romero, Alonso y Recio. d…</t>
  </si>
  <si>
    <t>Canciller</t>
  </si>
  <si>
    <t>…ribo de municiones navales com Hoy ha sido prorogado el Parlamento. Los comisarios que pradas en Londres sobre los fondos del empréstito. Estas muni el Rey había nomb.ado son : el lord Canciller , el conde ciones seián de grande utilidad , no solo para nuestra marina, Wetsmoreland , el conde Liverpool, el conde Hanowi y el sino también para la del Perú. cond Batursr. _D*spues de las noticias recibidas de Maracaibo por la via de El lord Canciller ha l…</t>
  </si>
  <si>
    <t>Cancio, Juan María</t>
  </si>
  <si>
    <t>Juan María Cancio</t>
  </si>
  <si>
    <t>…e—Bernardo Perís.z=Pascual María Alonso.” alguno ó. algunos con cualquiera autoridad, sabiéndolo ó igno— rindplo. Sin que obsten en cuánto ¿ fuete, necesario. las constitu „Señor; D. Juan María Cancio, Guardia de V.R. Persona, ciones del Papa Clemente* y, de feliz .recordación, predecesor, con el mas-profundo respetó ofrece á los píes del trono de V. M. nuestro, ni las demás constituciones y disposiciones apostólicas, la sincera y leal expresión de los sen…</t>
  </si>
  <si>
    <t>Canea</t>
  </si>
  <si>
    <t>…aría después a la cotu.s.on de este opinión que debe darse cuenta de ias memorias por el orden que ramo , y esta sacaría de eila todo io concerniente á Guerra, y ha manifestado el Sr. Canea, sin perjuicio de que si después en presentarla á las Cortes su dictamen. De este modo pues se ob el análisis de ellas el Congreso creyese oportuno ocuparse con servaría ¡o prescrito en la Const.tucion , v se lograría sutn nistrar preferencia en facilitar al…</t>
  </si>
  <si>
    <t>…Se mandaron pasar á la comisión dos adiciones de los señores to Ac. Por todas estas razones me opongo al proyecto. Montesinos y Seoane; otra del Sr. Pedralvez, y otra de! señor £! Sr. Canea: Yo en otra ocasión me he opuesto á que los Moure. . cuerpos de extrangeros se establezcan en España; pero era porque El Sr. secretarlo del Despacho de la Guerra concluyó la lec los cuerpos de que se trataba se componían generalmente de hom tura de la nirmor&lt;…</t>
  </si>
  <si>
    <t>…dad de la madre al sugeto blico que soliciten la reposición de los diezmos , monasterios, de que se hablaba. conventos , oficinas , establecimientos y exacciones suprimidas por El Sr. Canea apoyó esta opinión, y en seguida retiró la co la Constitución. Quedó aprobado. misión este dictamen. Art. 6-° Cualquiera individuo de diputación provincial que La comisión de Casos de responsabilidad, en vista de una ex abandone cobardemente su puesto se decl…</t>
  </si>
  <si>
    <t>…onso y id el se esta furnia: n v el de los testimonios .le las sentencias de los tri ñor Cano. bunales especiales.” En la votación para vice-presidente quedó elegido el Sr. Se til Sr. Canea: I.a comisión se conforma con esta modificado a deño por 67 del total 12 r .habiendo tenido 14 el Sr. Pachc-co, El Sr. Dice: Ale he opuesto á la totalidad del proyecto que 11 cada uno de los Sres. Falcó y Alcántara , 3 el Sr. Nuñez se discute, poique estoy pe…</t>
  </si>
  <si>
    <t>…movimientos ce &lt;!c que la diputación provincial de Cádiz dé su informe sobre es esre ejército , después de haber tenido la gloria de batirse con te punto. el ejército enemigo. El Sr. Canea; No hay necesidad de pedir esc informe, pues Se leyeron en seguida dichos partes , que decían asi • Je tengo en mi poder (lo levó). «Exento. Sr. : Ésta mañana á las siete hallándome en Taia-</t>
  </si>
  <si>
    <t>…cuando la situación de España artillería, pidiendo se le abone la viudedad que le corresponde. era mucho mas lisonjera. La comisión especial, encargada de la formación del pro El Sr. Canea contestó que las Cortes no podían menos de yecto sobre establecimiento de tribunales especiales en vista de las aprobar este dictamen , por cuanto no pod .: variarse la consigna adiciones que se habían panado á las mismas de los Sres. Oiiver ción &lt;lc b. M. si…</t>
  </si>
  <si>
    <t>…Honduras el documento de Alava: pero á este no le sentó bien la chanza , e .nmediaiamenu que se trata, encargó á su consignatario darle en este país toda la se lo hizo entender al Sr. Canea arrimándole una Luíetaej que le publicidad que fuese posible, y en su contexto original expresa arrancó dos o tres dientes ( 1 ).” evidentemente que hace referencia á estos Estados-Unidos. En él se expresa el número de ios habitantes que vendrá a haber en la…</t>
  </si>
  <si>
    <t>…patria y de las fortu pata que nos despedacen Jas entrañas. Por ventura un cabo de nas de hombres beneméritos. una guardia avanzada ú quien se tratase de persuadir que se halla El Sr. Canea, sin oponerse á una elección tan acortada en su ba cercado de cncm go» por todas partes , y que el momento de concepto, y conociendo que el Sr. Zuluaa mejor que otro algu ser acometido sena rt de su destrucción , porque le era imposible no desempeñaría una co…</t>
  </si>
  <si>
    <t>Cañedo, Cristóbal de</t>
  </si>
  <si>
    <t>Cristóbal de Cañedo</t>
  </si>
  <si>
    <t>…de iÜ23.c=Excmo. Sr.=Mariano de S. M. Traslado de la fundación del patronato de lego» y capellanía Breson.e=Excmo. Sr. secretario de Estado y del Despacho de la Guerra.” que fundó D. Cristóbal de Cañedo, y la posesión .que se dió á D. Jo Crédito público. sef de Tarasena y Herrera y su muger Doña Ana Antonia Viteri y ji rón. Si algún descendiente quiere hacers* con tan interesantes piezas, Los interesados que han presentado vales de Enero de 1821 en la acudir…</t>
  </si>
  <si>
    <t>Cañeta, Julián Mirazabal y D Francisco</t>
  </si>
  <si>
    <t>Julián Mirazabal y D Francisco Cañeta</t>
  </si>
  <si>
    <t>…uey, quedó aprobado este dic ñor comandante general como está prevenido. =cLcghsa. tamen. DOS DE MAYO. A la comisión de Visita del Crédito público se mandó pasar una exposición de D. Julián Mirazabal y D Francisco Cañeta, Si es inste y uolorosa 5a memoria de este dia por las vícti vocales de la junta del Crédito público . haciendo preseuíc á las Cor mas que sacrificó en Aíadrid la perfidia y crueldad de un bdrLv.ro tes no haberse dado orden ninguna para llevar á efecto el de…</t>
  </si>
  <si>
    <t>Cang</t>
  </si>
  <si>
    <t>…manifestó , dijo que no El Sr. Secretario de Gracia y Justicia: El Gobierno tomó debía aprobarse el proyecto. todas las providencias necesarias para verificar la traslación, y El Sr. Cang3: Debo decir al Sr. Blake que aqui no se trata da entonces y después pudieron todos los empleados transportarse. vulnerar honras agenas, y que no es afan de empleos el que ha No puedo menos de decir que he oido con mucho disgusto motivado este dictamen. Por l…</t>
  </si>
  <si>
    <t>Canga</t>
  </si>
  <si>
    <t>…te negocio pasase á la Diputación permanente, debo de hacit-ndo constar la utilidad ó conveniencia de que se verifique la ena cir que no ha sido por miedo. jenación.” Aprobado. El Sr. Canga contestó que él insistía en que este negocio no debía hn &gt;trl ,irí. 93 ir .r.'.t.óV.í a! Jin del art,</t>
  </si>
  <si>
    <t>…Meló , Buey y Arias , contrarios á la que he tenido el honor de exponer 4 la consideración-del Congreso. resolución de las Cortes, por la que se acordó que sean públicas las se El Sr. Canga: El Sr. Alonso ha dado ideas muy luminosas sobre siones de Jos ayuntamientos; y de los Sres, Seoarie y Alix, contrario á este asunto; pero i pesar de süs argumento» no se destruye la propuesta lo resüe'to por las Cortes sobre la adición del Sr. Gómez (D. Ma d…</t>
  </si>
  <si>
    <t>…cia que se notaba 4 lo que manda la comisión de hacer votos por la Constitución y por la libertad de mi patria. Viota, no pudo menos de tomarlo en consideración. La comisión de El Sr. Canga: Los individuos de la comisión sienten que su dicta be hacer presente a las Cortes que entre las exposiciones que se le han men se haya mirado como lo ha hecho el Sr. preopinante: ella conoce presentado h .y una de un R. obispo, quien, habiéndosete invitado e…</t>
  </si>
  <si>
    <t>…junta naciotas, bastaría solo para aprobar la proposición la idea de que d-ntro cional del Cradito público. de pocos días van á ocupaise tas Cortes del arregio del clero. En el El Sr. Canga : Ño existía ya esta junta , y por eso hizo la comisión proyecto que va á presentar ia comisión á la de.iberacico de las Cor las funciones de junta directiva hasta qu; se instaló esta. tes se fija la suerte del clero, y se aclara ¡a oscuridad de algunos arf'-…</t>
  </si>
  <si>
    <t>…les una pérdida considerable; hasta que teniendo mi se le diese esta satisfacción. _ licia del ataque que sufría reforze aquel punto con la compañía dri regi Habiendo a pe yado el Sr. Canga lt propuesta de! S¡, (.sal ;r;o . o...o miento de liona al mando del capitán D. Antomo Laccrda , que ss me el Sr. presid-.niei be imprimirán los discutes pror.tsrc.auc* en la se-</t>
  </si>
  <si>
    <t>…de Hacienda. Los iros. Valdés Bustos y Prado deshicieron algunas equivocacio Continuó la discusión del dictamen de la comisión de Visita de nes , en que dij ron había incurrido el Sr. Canga. Crédito público sobre la proposición de varios Síes, diputados. El Sr. Pacheco: Si todos los empleados públicos hiciesen lo que el El Sr.-Viilanueva: Uno de los argumentos mas fuertes que se han clero quiere que se haga con él, es decir, que se le dé lo abso…</t>
  </si>
  <si>
    <t>…uso de todos los es atacan á la libertad, sean cualesquiera las bases sobre qu: este esmblec.da; pectadores.) porque &lt;qué facultad tienen los Gobiernos extranjeros para entrome El Sr. Canga: Me he levantado para manifestar lo» fundamenta* terse en nuestros negocios particulares! Ninguna. ¡De qué se quejan. que he t undo para apoyar &gt;1 mensage; y 4 pesar de que nada- pued# Señor, esos Gobiernos! De que hemo; cstab codo las ieyc-s mas anilo- añadi…</t>
  </si>
  <si>
    <t>…llevar a cabo su idea. Yo probaré hasta Iz sufrió su nación hace algunos años; comparación, que como ha dicho evidencia esta aserción , demostrando también que les españoles no el Sr. Canga , no puede hacerse sin faitat á la verdad. se someterán jamas al rugo de ninguna pot nc-a extrangera, y que Fn ‘a revolución de Francia se advierte poca firmeza de carácter, imitarán si es necesario la heroica conducta de Numancia por sostener como lo prueba…</t>
  </si>
  <si>
    <t>…o concertado con el difunto lord London- el art. 147 de la Constitución, y varios del arregid de tesorería. ' derry, el Congreso de Viena debía reunirse lo mas pronto que fuera El Sr. Canga contestó que ios negocios de Hacienda tune podían posible, y se esperaba que el noble lord concurriese á éi en el mes de ventilar sino por las mismas autoridades de Hacienda, como prevenía Agosto en caso de que lo permitiesen sus funciones parlamentarias y la…</t>
  </si>
  <si>
    <t>…cuarta parte del tiempo que sirven en la milicia en caso míen tos que demuestra esta represeotteion. decaberles la suerte de reemplazar al egército, siendo asi que estos están El Sr. Canga: Me levanto á apoyar ta representación de esos digní expuestos á iguales peligros que los que pueden correr las compañías dsimos ciudadanos milicianos, no solamente por los sentimientos que en que se trata , las cuales disfrutan de un sueldo por ¡a provincia,…</t>
  </si>
  <si>
    <t>…este artículo.cía nacional voluntaria de Badajoz. El Sr. Becerra leyó otra del cuerpo de inválidos de Madrid. Art. 21. » Sí la diputación provincial hallase que se puede resol El Sr. Canga leyó otra de los directores generales de i. Hacienda ver sobre la reclamación sin dar mas instrucción al expediente, lo ha pública, gefes, oficiales y demas dependientes de las mismas direccio rá desde luego ; pero cuando se necesite mayor instrucción , preve…</t>
  </si>
  <si>
    <t>…Escovedo leyó otra de los alcaldes y ayuntamiento constitu bachi a Larisa á buscar la cabeza de Chourschid-bajá. cional de Toledo 3cerca del mismo obj-to. NOTICIAS D B ESPAÑA. El Sr. Canga leyó otra d± los individuos que componen la conta duría general de distribución de la Hacienda nacional. Cádiz re Je Entro. El Sr. Valdés (D. Cayetano) leyó otra de los vocales de la unta Total Je los navios V Jemas enCtarnuionet ./»e han entrado en esta ba d…</t>
  </si>
  <si>
    <t>…uevo , y se sus mayor cuidado , pur.-za y diligenca, y en ella se expresarán los nom pendió esta discusión. bres de los mozos según vayan saliendo , y el númeio que correspondí El Sr. Canga leyó una exposición de ios individuos de la tesorería á cada uno. gtneral, felicitando al Congreso por su decisión en las sesiones del 9 y El Sr. Pedralvez : Para evitar toda equivocación en estos actos, qui 11 del corriente. siera que los números se inscribi…</t>
  </si>
  <si>
    <t>…rse por el tículo siguiesen los 53, 54, 55 y ¡,6. Oédilo público como á todos los demas acreedores del Estado. Art. 53. », Los ayuntamientos y aun los particulares podrán recla Eí Sr. Canga: Es preciso idve.tir que íd este asunto se procede ba mar en las diputaciones provinciales cualquier fraude que se haya come jo un supuesto equivocado. Aquí no hay mas que resolver si deba pa tido , ocultando la verdadera población ; pero sin que por estas re…</t>
  </si>
  <si>
    <t>…guerrilla compuesta de 14 sol Del intendente y demas empleados de la Hacienda públ.-is. de Ma dados, 18 miqusletes y 8 milicianos de esta villa, la cual se dirigió á drid, por el Sr. Canga.. Sanahuja, y cogió al cabecilla Moltó, que era teniente coronel y go Se procedió á la lectura del informe de la comisión de Medidas bernador de Btlaguer. Se halla preso en esta villa hasta que el Gobier acerca de las ocurrencias del 7 de Julio anterior. La c…</t>
  </si>
  <si>
    <t>…a continuar porque se Oriente. Pero no se díga, señor, que nos tendrán por cismáticos si sentía indispuesto. aprobamos este proyecto, porque exsmtnándole se verá que en nada se El Sr. Canga r Cuando he tomado la palabra en contra de este opone á la verdadera religión. La comisión sabe que puede haber Pon proyecto no es con el objeto de ímpugt lirio, sino únicamente para fi tífice romano considerado como cib:za de la Iglesia y centro de la uni ja…</t>
  </si>
  <si>
    <t>…decir que á esta le ha parecido muy conveniente la división y orden de en nuestros negocios eclesiásticos, como se Invisto no ha muchos discusión del proyecto que ha propuesto el Sr. Canga. dias por parte del nuncio de S. S., el cual ha tratado de introducir el lil Sr. presidente suspendió la discusión de este asunto. cisma en la Iglesia de España. Pero se quiere fascinar al Congieso Se mandaron repartir los cgemplares que remida rl ísr. secret…</t>
  </si>
  <si>
    <t>…ef.nJiendo unos que es. oportuno sostener el que d-bia aclararla , por ser el que había dado el decreto. el negocio presente con arregio á curtas y deterinimdssr do.tr,na, , al El Sr. Canga contestó que siendo el asunto sumamente delicado, la paso qne los otros afiiman que es inopo-tuno y .xtemooratiro : advirt comisión había visto que no estaba en sus facultades el hacer ninguna ió que no todos los individuas del clero español llenen la ilustra…</t>
  </si>
  <si>
    <t>…me opongo mas de fuego y blancas que usen las tropas de los diferentes cuerpos al dictamen de la comisión. del egército, los que sean concernientes á la pólvora , y lo» que ten Ei Sr. Canga manif-sló que no se trataba de que el Congreso falta gan conexión con las municiones ; teniendo especialísimo cuidado de se á lo que hab a acordado con relación á la respetable clase de labra que no se varíe en lo mas mínimo lo que esté aprobado , asi por las…</t>
  </si>
  <si>
    <t>…generales, debiendo aquellas presentar el cupo que guelles. corresponde á sus provincias vestido y simado dentro del preciso térmi De varios ciudadanos de Castro*Urdíales, por el Sr. Canga. no de un mes desde la publicación de este decreto, echando mano para Del ayuntamiento y M. N. de Fernan-Nuñez, provincia de Cór ello de los fondos de propios, arbitrios y pósitos de los pueblos, de atra doba , por el Sr. Melendez. sos y adelantos de contribu…</t>
  </si>
  <si>
    <t>…dos los individuos que de inmediatos á la frontera amenazada , y ttasíadailas á otros mas seguros. jo indicados. De consiguiente oponiéndome, como me opongo, i varios de ios ar El Sr. Canga : Las dos impugnaciones del Sr. preopinante se redu tículos que contiene el proyecto, desearla que la comisión los modi cen á que se fije un dia para el sorteo del reemplazo, y á que no se ficase. exceptúen los hijos de padre impedido ó madre viuda. Por mi pa…</t>
  </si>
  <si>
    <t>…salir de io* apuros de! momento. Por di su coche para atender á las urgentísimas necesidades d:l Estado. esta d.sposicion te permite si Gobierno tomar aiit c paciones, y el re El Sr. Canga: Siento mucho quí'el zelo ardiente de algunos señores sultado di esto será quisa la legislatura ordinaria debírsn arreglarse diputados haga que esta discusión tome el giro que no debía tomar. estas á ios presupuestos de ¡os gastos, los cuales sufrirán un aume…</t>
  </si>
  <si>
    <t>…nero que no se anote en el mmifiesto; Del ayuntamiento constitucional y milicia nacional de Benicarló, y para la salida se presentará otro en la misma forma que el de entra por el Sr. Canga. da , procediéndose á detener el buque en caso de sospecha para la com Del intendente de 5a provincia de Orense. petente averiguación. Del consulado de Viga. La gaceta ministerial de Chile del 7 de Agosto contiene un decreto De la universidad de Oviedo. exped…</t>
  </si>
  <si>
    <t>…os servicios que se hagan llas personas que habían manifestado alguna pequeña discordancia en su 4-la patria. SliOuO de pensar relativamente 4 puntos muy subalternos. El amor á El Sr. Canga manifestó que las objeciones que había hecho el señor la patria se ba sentado sobre sú trono, y domina exclusivamente en el Arguelles quedaban desvanecidas con solo leer el oficio con que ei corazón de los españoles. Las demas pasiones han desaparecido por ah…</t>
  </si>
  <si>
    <t>…nstan glaterra, el cual se pondría en egecucion caso de una declaración d-s cia , hechas por el consejo de Estado. guerra por parte de la Francia contra la España.” A petición del Sr. Canga se leyó el dictamen de dicha comisión, y Idem l.r‘ de Friura. ae mandó imprimir junto con e! oficio del Gobierno. Algunos de nuestros periódicos manifiestan la mayor indignación Las Cortes oyeron con agtado , y mandaron se insertasen en el dia al ver el modo…</t>
  </si>
  <si>
    <t>Gaceta de Madrid n.º 54</t>
  </si>
  <si>
    <t>…tes exposiciones, felicitando i las mis FOltTUOAl. mas por tas süiones de 9 y ti del corriente. Del ayuntamiento constitucional de Rivadeo, presentada por el Lijkoa ii Je Febrero. Sr. Canga. En la sesión de Cortes dei día xo tomó la palabra el diputado De los empleados de las oficinas de Hacienda de la provincia de Moma y dijo, que iba á poner sobre la tr.esa una proposición, que Vigu , presentada por el, Sr. Gil Orduña. creía ser de a mayor imp…</t>
  </si>
  <si>
    <t>…la memoria que el secretario eleí Despacho de Estado tendrá el honor de leer a las Cortes si gusta o.ría. veo una emisp racion organizada; y añado que estoy convencido, y creo El Sr. Canga: Lo que el Congreso desea sjber del Gobierno r.o es que todo el mundo lo está también, de que esta conspiración existe en el centro del palacio. Hablo de esta manera, porque cuando se trata de salvar precisamente las relaciones diplomáticas entre la nuc.on es…</t>
  </si>
  <si>
    <t>…que las Cortes no tienen mi cargo para que evacuase la consulta; pero hasta ahora no lo ha verificado. un medio legal para hacer retrocederías disposiciones de S. M.,suponiendo El Sr. Canga: El Sr. preopinante tendrá muy presente lo que acaba de que fuesen inoportunas , creo están en el caso de decir á S. AI. que ffie. Ia* decir el Gobierno de que para vi día 15 tiene noticias que deben estar esos estabilidad del Gobierno con quien las Cortea se…</t>
  </si>
  <si>
    <t>…o echar mano, no dejarán de seguir observando-la misma conducta.- resultado de sus instancias. . . j qtie hasta el presente, y aprovecharse de nuestros descuidos. No dejarán de El Sr. Canga: Yo soy franco, señor. Veo que el. Sr. secretario del adormecernos , para que tomándonos un tiempo imprudente ó indiscreto- Despacho con mucha delicadeza da i entender que S. M. tendrá una es pe- . caigamos en el lazo que nos arman, y del cual debemos, alejam…</t>
  </si>
  <si>
    <t>…de ia Grecia , clv la ‘Grecia, que Del resguardo militar de la provincia de Barcelona, presentada por el profesa como ellos- la misma religión.... ¡Qué congregación de santos! Por Sr. Canga. íin declaran qne ¡a insurrección de Espa'a es un alentado contra las Se leyeron otras muchas exposiciones sobre el mismo objeto que habí» leyes eterna; del mundo moral, como si estas leyes prescribiesen que un recibido k secretaría. Rey sea un Señor despótic…</t>
  </si>
  <si>
    <t>…nto, y se admitió á de guerra: que los arrestos y castigos correccionales se arreglen á ordenan discusión. za, y que la uniformidad sea tan exacta, que en nada se diferencie un £1 Sr. Canga dijo: Yo creo que no hay necesidad de esta proposición, cuerpo de otro. Los inspectores serán responsables de que asi suceda, y para por cuanto en h guerra de la independencia se dieron reglas sobre este par su logro tienen facultad de reconvenir, reprender ,…</t>
  </si>
  <si>
    <t>…ue señala; en su consecuencia se previene á todas do upo el Sr. Varela. las personas que se consideren con derecho á ellos acudan á deducirle 3 En la 27.a votación salió electo el Sr. Canga por 85 votos, habiendo los nominados juzgado y escribanía dentro de cuatro meses y 20 dias, por tenido uno el Sr. Seoane. que se ha fijado el primer edicto; apercibidos que pasados sin haberlo he En la 28.a votación fue elegido el Sr. Valdés (D. Dionisio) por…</t>
  </si>
  <si>
    <t>…bada ya la necesi de! clero. . . .. dad de fijar ta suerte del clero, puesto que las Cortes adeptaion h El Sr..Varda impugnó el dictamen en cuestión, porque muchos proposición del Sr. Canga sobre esto mismo, la cual se pasó á «tu de sus artículos, é mi entender, son vagos é indeterminados. En uno comisión especial. Esta ha tenido presóles todas las dificultades que se de el los se dice que las dotaciones de los eclesiásticos sean según las cir o…</t>
  </si>
  <si>
    <t>…ngamos á parar en que dentro de dos ó tres Se mandó pasar á la comisión de Legislación una proposición del meses se toque á rebato en todas partes, y arda la guerra en loshlcuatro Sr. Canga, que decía: » Debiendo celebrarse en el presente año la ángulos y en el centro de la Eiuropa á un mismo tiempo. Esta hipóte elección de diputados á Cortes, pido se tomín en consideración Jas sis, sobre no ser imposible, no dt ja d¡ tener algunos grados d« tem…</t>
  </si>
  <si>
    <t>…n nada las dispoco'oneles di infantería con sue do de tales , y los restantes serán tí- iic.cms de las leyes. mrnt 's coroneles con sueldo de tales. Los primeros comandantes te El Sr. Canga: La comisión no dice qu: quede extinguida la junti nantes coroneles optarán 3 primeros comandantes coroneles, dos por directiva, s:no que cese en sus funciones pot ahot3. El motivo qus elección y uno por antigüedad. Cuando dicha terc-ra paite no sea para esto…</t>
  </si>
  <si>
    <t>…á Navarro parece que suministran muchos inteligentes, á fin de corregir los defectos que tuviese el plan. dato* acerca de lo» individuos comprometidos en la facción, la cual ha El Sr. Canga : Como de la comisión del Crédito público apoyo que quedado deshecha. *e den á la dputacion los terrenos que pide; pero quisiera se dijese qui Madrid Viernes ir de Marzo, quedasen á disposición de aquel establecimiento el hierro, ¡a madera y Jos escombros de…</t>
  </si>
  <si>
    <t>…mismo pi esta guerra sobre el Congreso, suponiendo que se le han hecho do que se dé cuenta de dicha proposición. proposiciones no" contrarías á nuestro sistema, que á haberlas EJ Sr. Canga: Yo creo que podríamos ahorrar mucho tiem admitido se hubiera evitado la guerra ; y de este modo se ve des po , y conseguirse los deseos de las Cortes de proporcionar con la mentida esta aserción. mayor prontitud al Gobierno los recursos que necesita para rep…</t>
  </si>
  <si>
    <t>…se ■de Canarias y ayuntamiento de Santa Cruz de Tenerife ,-presen ñores secretarios del Despacho. tadas por el Sr. Murfi. Se mandaron pasar á la comisión de Poderes los presen El Sr. Canga pidió la palabra-para hacer .presente á las Cor tados por D. Jooef María González, diputado electo por la pro tes lo oportuno que seria que estas se sirviesen mandar que se vincia de Granada. imprimiese inmediatamente y remitiese á las provincias el discur El…</t>
  </si>
  <si>
    <t>…dia 14 habian como una de ellas que se declarase indigno del nombre español, y entrado ioS&gt; franceses en Vitoria. privado de los bienes, rentas y empleo á todo militar que resi El Sr. Canga: Una vez que consta ya que el sagrado territo diendo en Francia permaneciere en esta nación ij dias después rio de las Españas está invadido por una porción de hombres en de la invasión , exceptuándose el caso de que no pudiese verifi gañados , que quieren se…</t>
  </si>
  <si>
    <t>…roduciría un vacío en el examen de las memorias y Ei Sr. Sánchez convino en adarar su propoJciun según la de ios presupuestos; pero el motivo que he t.n.do para presentar idea del Sr. Canga , y en seguida tomó la palabra en contra el esta propos.cion ha sido el de creer que el Gobierno se bailaría Sr. Salva, el cují dijo: Cualqu.erj variación que se haca en esa tal vez en algún contiicto por falta de recursos para sost.ner la proposición tendrá…</t>
  </si>
  <si>
    <t>…os. delegado quedando retirado lo restante por ios Sres. de la Fueron nombrados para la comisión especial encargada de comisión. dar su dictamen soUe las proposiciones que hizo el Sr. Canga en El i.° art. quedó aprobado. Ja sesión de ayer á los Sres. Gil de ia Cuadra , Galiano, Canga, Se tuvo por de primera lectura la siguiente proposición deí Infante , Saravia , Herrera, IBustanunte y Benito. Sr. JELico: » Pido que la resolución que las Cortes…</t>
  </si>
  <si>
    <t>…hireponer en sus destinos, ó en otros para que sean mas aptos, á ciese Ja comisión determinación csplíc.ta.cuantos oficiales del ejercito se retiraron y estén en disposición de El Sr. Canga: Hablaré en f..vor de este art'culo solo en la volver al servicio. parte económica: yo creo que hay necesidael de dar Jéis pasapor Se declaró ser primera lectura la que se hizo de dos proposi tes de que se trata , porque me acuerdo de' lo que suceda en lacion…</t>
  </si>
  <si>
    <t>…mplazos del ejercito como el de y media ia M. N. I___ Esra tarde se hallaran en la Cruz del la milicia activa. Campo á las 4 de ella un piquete de la milicia activa de Sevilla, El Sr. Canga leyó Ja memoria de la comisión de Visita del compuesto de un oficial y io hombres, con el objeto de la tranCrédito publico relativa ,i este establecí mentó. qu.iidad pública en la concurrencia de la feria , dando auxilio al Se suspendió la lectura de esia mem…</t>
  </si>
  <si>
    <t>…eva , Moure , Trujillo , Rnbinat, Sánchez , Gil Orduña, pues será un lenitivo muy oportuno á una resolución tan fuerte. Canga, Montesinos, Vizmanos, duque del Parque, Biisar.a, El Sr. Canga: El conocimiento práctico que tengo en el Seoane, Silva, Ncíra, Sierra, Soberao , Muro, bepticn, Luasunto que se discute me ha obligado á tomar la palabra para que, Avellano, Busutil, Bel monte , Adan, Gaiiano , González consignar mi voto sobre él. Alonso , S…</t>
  </si>
  <si>
    <t>…barse este artículo y los demas del no , ni los poseedores del domin o utd tendrán obligac.on á satis proyecto. facer mayor laudenuo en adelante, cualesquiera que »ean los usos El Sr. Canga deshizo algunas equivocaciones que dijo había ó establecimientos en contrario. Tampoco la tendrán de pagar padecido el Sr. Prado. cosa alguna en lo sucesivo por razón de ¡a.iif.i ó derecho de tan El Sr. Becerra pidió que se leyese la ley 13, tít. 10, Iib, j t…</t>
  </si>
  <si>
    <t>…os de ignorar los males que podría acarrear á en el parage que se crea mas oportuno. la Nación y á la causa de la libertad la falta de un ministerio im Se leyó una proposición del Sr. Canga, en que pedia que la puesto en el estado de los negocios del reino , y la falta de un comisión á quien corresponda disponga inmediatamente la for ministerio sabio , enérgico y patriota; pero la causa de la Cons mación de un proyecto de reglamento de sanidad.…</t>
  </si>
  <si>
    <t>…ró, probidad y energía.” capellán de artillería. Los espectadores de las galerías dieron algunas ipuestras de Empleados: comandante D. Juan Biutista Rullo, D. Josef aprobación. El Sr. Canga pidió que se imprimiera dicho ais-, Fábregas, alcaide de la aduana, y D. Magín Vidal. curso, y asi se acordó. Sabemos que son otros los detenidos, cuyos nombres no he Se leyeion varios oficios relativos á la invasión de los fran mos aun podido indagar, y publ…</t>
  </si>
  <si>
    <t>…parado pudiesen reunirse, á fin de proponer las El'Sr. Sánchez convino en aclarar su proposición según la . medidas legislativas necesarias, para dar acción al .Gobierno, idea del Sr. Canga , á lo.quc se opusieron los Sres. Salva y Nsiy'pone» en movimiento las fuerzas íi.icas de la nación , ente- várro Tejeiro y por último declarado el punto suficientemente rindo al mismo tiémpo á ¡as Cortes del estado de nuestras reía* discutido, hubo lugar á v…</t>
  </si>
  <si>
    <t>…asan de buena ó mala fe; el medio se reduce á que ra oponerme á que haya una legión extrangera, porque como ha se forme una comisión de 3 individuos extrangeros que hagan dicho el Sr. Canga las circunstancias han variado ya, sino porque esta clasificaron: el inconveniente está en que siendo estos 3 in el proyecto que se discute no Llena el objeto que la comisión se dividuos interesados en que se aumente el número de gentes en la ha propuesto y t…</t>
  </si>
  <si>
    <t>…talezas de Corinto ,'Ácarnapia y Tesa!ija. SatabLai Herrera Bustamante y Benito para examinar las pro Fondos en Lóndres el 3: 3 por roo reducidos, ferrados; posiciones qué hizo el Sr. Canga en la sesión anterior. Jd. consolidados 74F*; id. imperial cerrado y gf id.; ,4 id. ¡ 4 ‘Lá comisión primera de'Legislación, informando sobre una 'ior' igo huevo 94-Jf i ; accionM del banco cerrado; 4* consulta del tribunal supremo de Justicia , propuso Jos d…</t>
  </si>
  <si>
    <t>102</t>
  </si>
  <si>
    <t>…a darles de comer y vestirlos; y si no hay medios ¡cómo ha de posible &amp;c. En este sentido apruebo la proposición. hacerlo! Creo pues, señor, que si queremos salvar la patria es El Sr. Canga: En primer lugar no puedo menos de hacer preciso que salgamos de este paso de tortuga, y dándolos de gi presente al Congreso que la comisión de Hacienda no tiene la gante marcharemos á la gloria , y á asegurar nuestra independen iniciativa en asunto como este…</t>
  </si>
  <si>
    <t>…en r! expediente, Creo que la justicia de esta solicitud es asuntos de hacienda y mas en tales circunstancias. ba t inte ev,di nte, y que las Cortes no podrán desentenderse de El Sr. Canga: En la secretar .a existe un gran legajo de pape ciar ia protección debida á los establecimientos de tnstrucc'on pil les 1 que son los presupuestos. ló.ca , en especial á los de esta cate &gt;oría, que hasta ahora han sido fu Sr- Marau: Sm duda el señor preopina…</t>
  </si>
  <si>
    <t>…ores, regidores perpetuos, eclesiásti reglamento, y se admitió á discusión. cos seculares y regulares, y colegiales mayores que respectiva El Sr. Castcjon : Aplaudo los deseos del Sr. Canga; pero mente pidan, acepten ó sirvan los destinos de dichos consejos, sentiría en extremo que al pueblo de Madrid se le diese el senti tribunales y ayuntamientos perpetuos; asi como ia reposición de miento de sustraer de aquella capital las cenizas de estos hé…</t>
  </si>
  <si>
    <t>…estado de los reemplazos del egército y milicia „ Españoles: Cuando Napoleón, después de haber reducido activa. í la sumisión y ai silencio el continente de Europa , os presen El Sr. Canga empezó á leer la memoria de la comisión de tó la alternativa cruel de la desolación ó la ignominia, voso Visita del Crédito público, relativa al estado de este estable tros sin titubear un momento os abrazasteis con la adversidad, cimiento. y por el áspero se…</t>
  </si>
  <si>
    <t>…habrán observado que la deuda total del Estado de las fincas que poseía el monasterio de S. Millán. no es ni por asomo Ja que se Calculó en él año 10. Pide el señor A petición del Sr. Canga se leyó la orden de las Corts? de preopinante en sus proposiciones que se imponga un gravamen á 30 de Mayo de 1822 que habia citado el Sr. Diez eñ su-díjeestos nuevos propietarios. Ciertamente señor que seria muy ex curso.traño que habiendo las Cortes por el…</t>
  </si>
  <si>
    <t>…s de aquellos.” brica de fusiles en el parage que se crea mas oporruno. Ait. 5.0 «El oficial ú oficiales encargados de la caja de quin Se leyó y quedó aprobada una proposición del Sr. Canga, tos ó de conducirlos, que permitan su separación, sufrirán dos reducida á que ¡a comisión respectiva disponga la formación de meses de arresto.” un proyecto de sanidad. El Sr. secretario del Despecho de la Guerra concluyó la Se leyó una proposición del Sr. R…</t>
  </si>
  <si>
    <t>…ecto , el cual no que se decreten servicios ext.aordmar.os; p.ro vo estov ten dis debe tomarse en consideración. tante de considerarme en esta posición, que coná .!•&gt; en ou? el El Sr. Canga: Me veo á la verdad en una situación muy amar pueblo español ama su libertad, y desea defenderla por su m.sma ga y terrible , pues que veo á un digno compañero mió atacar las felicidad, creo que contribu.rá gustoso „ io* _a*:.¡* que exice ¡a propuestas de la…</t>
  </si>
  <si>
    <t>…ir este negocio , y el Sr. presidente dijo que se con cluiría esta noche, para cuyo efecto habian pedido algunos seño ANUNCIOS. res diputados que hubiese sesión extraordinaria. El Sr. Canga pidió) que estas medidas se comunicasen al Go El puesto en que se vendía la gaceta española, y que se ha bierno á proporción que se fuesen acordando , y el Sr. presidente llaba en la plaza de la Constitución, portal del Estanco, se ha dijo que asi se haría. m…</t>
  </si>
  <si>
    <t>…iputado; pa- tren á los quintos lo necesario, pase á lá comisión de Racíeftra que se fueran enterando de ellas. ' 1 ’ da; siendo de opinión al mismo tiempo que las de los demas El Sr. Canga contestó que la comisión se iba á reunir aque señores no son necesarias. Aprobado. lla misma noche para tratar de este;asunto, La misma comisión presentó refoí mado-el art. 4.0 del pro Las Cortes quedaron enteradas de un ofícid del Sr. secreta yecto sobre la…</t>
  </si>
  <si>
    <t>137</t>
  </si>
  <si>
    <t>…minaciones para que no se abuse de no se había hecho la explicación de este artículo, que después he este papel. oído; y de consiguiente ya no diré nada , pues nn objeto era el El Sr. Canga: Yo no encuentro inconveniente en que 1 :s car oponerme a que se entendiesen aprobadas las bases del decreto en tas de pago sean endosables: aqui se trata de tener caudales de la aprobación del artículo. pronto, y es menester que nos desengañemos, el tomar di…</t>
  </si>
  <si>
    <t>…s bienes del clero siempre comisión ú otro cualquiera, pues S. S. ha girado sobre principios que lo crea necesario. que no existen en él. Voy á ver si nri memoria me permite re El Sr. Canga contestó que las observaciones del Sr. Somoza, cordar las impugnaciones de S. S. para contestarlas; pero antes de aunque las creia oportunas, podían ser objeto de adiciones, que Iá todo diré que no puedo menos de extrañar que un señor diputado comisión tomarí…</t>
  </si>
  <si>
    <t>…rancia, ora en las de Inglaterra, ó ya en las Habiéndose preguntado si volvería á la comisión el articulo, Cortes de España han sido impugnadas por gravosas las contri manifestó d Sr. Canga que la comisión, desaprobada la base, no buciones. solamente retiraba los demás artículos, sino qu • no tenia nada Nosotros calculamos ahora los males gravísimos que va á cau que proponer ya, y que á los Sres. diputados que hablan impug sar esta contribuc.on:…</t>
  </si>
  <si>
    <t>…y administrados repartan á los pueblos , y los ayuntamientos á los vecinos. por el Estado los bienes sitos en país Ubre de los españoles y exSe aprobó la siguiente proposición del Sr. Canga: &gt;5 Pido que trangeros que se hallen en el ocupado por los enemigos, con tal el Gobierno proponga cuál es la cantidad que necesita para salir que se manifiesten adictos, de modo que produzca prueba, al Go de las urgencias actuales, y fije la base de contribuc…</t>
  </si>
  <si>
    <t>…e añadiese ,, que la traslación de estas concesiones. aquellos restos se entendiera en calidad de depósito, convino el 9. a Las autoridades políticas y eclesiásticas procurarán im Sr. Canga y se aprobó la proposición con la adición referida. pedir bajo su responsabilidad cualquiera abuso que en el cgerciIgualmente se aprobó la siguiente del Sr. Flores Calderón: cio de las funciones eclesiásticas pueda cometerse en detrimen ,,Pido á las Cortes se…</t>
  </si>
  <si>
    <t>…una ¡nstrucc.on á de’rse á su solicitud. Aprobado. los pueblos, no debia accederse á esta solicitud. La misma comisión en vista de la exposición de Doña An Habiendo manifestado el Sr. Canga que este expediente tenia tonia Apodaca, viuda dé D. Francisco Sicnz, solicitando una relación con un punto de la memoria de Hacienda, manifestó el pens'on , y teniendo presente el informe del Gobierno , opinaba Sr. presidente que quedaba sobre la mesa este d…</t>
  </si>
  <si>
    <t>…tien, Alix, Afcnzo, Vilianueva, Neira, Rojo, Liiio, Ovalie, de lo contrario no quedaría un cáliz para celebrar. Lagasca y otros, leida por primera vez en ia sesión de 8 del cor El Sr. Canga contesto que aqui se trataba de salvar de la ra riente, pidiendo á las Cortes que en atención á las urgencias del pacidad de los enemigos todas las alhajas de que puedan aprove erario se apliquen íntegras á los gastos de ia Nación todas las charse como se hiz…</t>
  </si>
  <si>
    <t>…Los periódicos de la Península han publicado que el 27 de La comisión de Salud pública, en vista de la proposición del. Abril entró en Vigo un paquete ingles, que traía n comisio Sr. Canga, para que á la mayor brevedad proponga un proyectonado con pliegos de Londres remitidos por el ininis. español de decreto sobre sanidad, opinaba se dijese al Gobierno remitie Sr. Jabat para el Gobierno, y se anadia que el objeto del comi se los trabajos que t…</t>
  </si>
  <si>
    <t>…e la que no podrán pagar ni una uno ó lo otro, se pasará por el alcalde aviso á la diputación: Jal quinta parte. ¿nal, recogiendo el valor en los documentos referidos, expedirá El Sr. Canga: Estamos en el caso de decretar arbitrios ex el título al comprador, con el cual se le pondrá en posesión por traordinarios , y el pueblo está también en la sagrada obligación el alcalde dentro de tercero dia. de hacer grandes sacrificios, pues ya no se trata…</t>
  </si>
  <si>
    <t>…cia. blicado en Bilbao por los facciosos, de que hablaremos en uno A petición del Sr. Reillo se leyó el art. 4.0 del título primero de los próximos números. de la Constituc:on. El Sr. Canga manifestó que deseaba saber sí el cj.n y io.° dis Ejército de reserva: Profanado nuestro territorio por las tro trito estaban declarados en estado de guerra. pas francesas, atropellado el derecho de gentes, reconocido has El Sr. presidente dijo que era públic…</t>
  </si>
  <si>
    <t>…volvería a la comisión el articulo, líquido de los azogues, alcoholes y plomos" de su pertenencia, con el sobrante de Tas existencias de granos y-efectos que tuviere manifestó el Sr. Canga que la comisión, desaprobada la base, después de satisfecha' la anualidad de las vitalicias., y con los cré no solamente retiraba los demas artículos , sino que no tenia ditos activos que tiene á sú favor, procedentes de atrasos de ar nada que proponer ya; y…</t>
  </si>
  <si>
    <t>…por el Estado los bienes sitos en pais libre de los ayuntamientos á los vecinos. españoles y extrangeros que se hallen en el ocupado por los Se aprobó la siguiente proposición del Sr. Canga: „Pido que enemigos con tal que se manifiesten adictos, de modo que pro el Gobierno proponga la cantidad que necesita para salir de las duzca prueba al Gobierno francés ó cualquiera que usurpe el le urgencias actuales, y fije la base de contribución ó préstam…</t>
  </si>
  <si>
    <t>…o el expediente tendría una opinión Se puso á discusión el art. i.° spbre este asunto diferente de la que ha manifestado. El Sr. Adan: La comisión dice que no habiendo cumplido El Sr. Canga; El Sr. Falco ha manifestado que se trata de la casa de Bernales el contrato que tenia hecho se autoriza al favorecer á unos acreedpres con perjuicio de otros; pero aunque Gobierno para anular las inscripciones hechas sobre el gran libro; unos y otros son acr…</t>
  </si>
  <si>
    <t>…llos deí cx12 han entrado en este puerto los buques siguientes: trangero: opinaba debía pasar al Gobierno. Aprobado. De Torrevieia no lacra Ccncepion , capitán Mores, con sal y El Sr. Canga leyó el dictamen de la comisión primera de otros efectos para Vigo__ Este buque fue detenido el dia 9 como Hacienda sobre ia memoria del ministerio de este ramo, ei cual 30 leguas al S. del cabo de Sta. María por un bergantín insur se mandó imprimir. gente" q…</t>
  </si>
  <si>
    <t>…os; y por lo mismo soy de parecer que territorial , de consumos y de casas. debe accederse á los deseos del Sr. Diez. La comisión, al paso que observa con placer que el sistema El Sr. Canga: Los señores preopinantes se han empeñado en adoptado en ia anterior legislatura no hubiese producido las que querer convencer á la comisión de una co,a de la que esta bien jas que los anteriormente seguidos , lo cual prueba que vamos ca convencida. La comisi…</t>
  </si>
  <si>
    <t>…noble y leal comportamiento, y por Jo que esta ha bitrios municipales. Aprobado. hecho para salvar al Gobierno.’'1 Se aprobaron varios dictámenes de la comisión de Legislación El Sr. Canga: Iil pueblo de Madrid desde el año ele 8 lia da sobre dispensas de edad para administrar bienes y recibirse de do las pruebas mas positivas de valor y heroísmo; pero en este escribanos , solicitadas por varios ciudadanos. último mes, á pesar de las intrigas y…</t>
  </si>
  <si>
    <t>…len los alimentos necesarios á la familia del delincuente que exista se leyó á petición de un Sr. diputado. en pais libre, y que se les entreguen los bienes si se hallan defen EL Sr. Canga preguntó si firmaba el interesado ó algún apo diendo la causa de la patria-, que es cuanto se puede desean. derado, y el Sr. Soria contestó que firmaba un Félix Megía. En cuanto á la objeción del Sr. Romero diré que aqui tam El Sr. Alonso pid 10 que se de (as…</t>
  </si>
  <si>
    <t>…ue les coligó á ello , v decon— ción á.los pueblos, no debía ac'cederse á esta solicitud. siguiente en este caso son verdaderamente seculares, por cuanto . Habiendo manifestado el Sr. Canga que este expediente tenia- se les ha quitado la obligación que renian antes como reculares. relación con un punto de-la memoria de Hacienda, manifestó El Sr. Rico: He extrañado mucho algunos de los principios «L Sr. presidente que quedaba sobreda mesa este di…</t>
  </si>
  <si>
    <t>…el ar La misma cornis ón , en vista de la exposición de la dirección tículo del decreto de 28 de Octubre de i8n. de aduanas, y los informes de los vistas, administrador é inten El Sr. Canga: Me es muy sensible que se esto perdiendo el dente de Cádiz, para que se permita la introducción de cuchillos tiempo en asunto de tan poca importancia, pues que se esta en del extrangero, llamados riamenccs, por no fullearse en el ru un debate lugo soto por l…</t>
  </si>
  <si>
    <t>…tamen que sé verá que no es tanta como se supone, pues sateá 1014 almas por 'discute, no puedo votar sobre él. legua cuadrada , que es menos de la que tienen Granada , Valen • El 'Sr. Canga: El Sr. preopinante dice qtre no entiende ni á cia , Guipúzcoa y Navarra. Siendo pues de menos riqueza que la comisión ni al Gobierno: esto á mi parecer solo prueba que otras en territorio , población y productos , es claro que no debe la comisión no ha sabid…</t>
  </si>
  <si>
    <t>…preciso hacer la guerra al enemigo. la «probación de los artículos 4,y 5 del, dictamen que acaba de El Sr. Adan: El tiempo corre, las necesidades urgen &amp;c. ha discutirse. dicho el Sr. Canga, y por lo mismo que el tiempo corre y las Se procedió á la discusión .del dictamen de la comisión de necesidades urgen no debe aprobarse el proyecto , porque pidien Hacienda sobre la cantidad; que instantáneamente necesita el do el Gobierno estos 160 millones…</t>
  </si>
  <si>
    <t>…entos que requerían fas operaciones Se procedió á discutir el dictamen de la comisión especial so dd gran libro. bre fas proposiciones 5.a y 7.a del Sr. González Alonso y otros E! Sr. Canga apoyó está idea, manifestando que la deuda ex- señores diputados. trangera no podía nunca mezclarse con el Crédito piibhco; y Leido dicho proyecto, el Sr. secretario del Despacho de Gra que supuesto que existia el gran libro debia considerarse que no cia y Ju…</t>
  </si>
  <si>
    <t>…e 110 puede F1 Sr. Falcó pidió que se incluyese su nombre entre los que aprobarse el artículo. firmaban la proposición. El Sr. Alonso: La comisión no tiene inconveniente en que El Sr. Canga apoyó la proposición, manifestando cuanto ha en vez de reintegrados se diga restituidos; pero no puedo menos bía sufrido aquella heroica ciudad en este sitio, y con cuanta de de decir que su dictamen no da lugar á pleitos largos como dice cisión habían concur…</t>
  </si>
  <si>
    <t>…proyecto ele decreto recaía sobre el primer sitio lación circunstanciada de las multas recaudadas, poniendo á su de Valencia ó sobre el segundo. disposición las sumas efectivas El Sr. Canga contestó que sobre el segunde , pues para esto _ 5.0 Los intendentes pasarán dichas relaciones á Ja oficina cor estaba autorizada la comisión nada mas. Añadió sobre lo que ha respondiente para su cotejo con los avisos de- que habla el artí bía dicho el Sr. G…</t>
  </si>
  <si>
    <t>…imprima esta discusión ea senstones domesticas, demostraba en el Gobierno romano un’de el momento misino en que se cor.c’íuva. seo de concurrir á aumentar nuestras aflicciones. El Sr. Canga: Es preciso que se tenga presente que la ;mLa comisión , después di haber considerado la situación de pres-on se debe hacer á medida 'que se va va verificando la discur España atendidas sus relaciones con las demás -potencias, ve que sien, pues no puede hacer…</t>
  </si>
  <si>
    <t>…obado. continuó negociando, y se decidió todo. Otro sobre la exposición de D. Juan Crispini de Berruza; opinaba no debía accederse á su solicitud. Aprobado. NOTICIAS DE ESPAÑA. El Sr. Canga leyó dos dictámenes de la comisión de Hacien da sobre hacer varias reformas en los resguardos militares. S« Sevilla jo de Mayo. mandaron imprimir. CORTES. Fueron nombrados pira individuos de la comisión especial presidencia del seSor ferrer (don Joaquín). que…</t>
  </si>
  <si>
    <t>…so de la andaluza Art. ip. Los trasportes por mar de unos puertos á otros de] porque esta rompe todo el pescado. reino se permitirán en la misma clase de buques que esté autori El Sr. Canga contestó que la comisión no proponia nada de zada para los demas frutos nacionales. La extracción al extranje nuevo ni cosa que no fuese aprobada por las Cortes; pues que ro se hará en toda clase de bandera: pero será libre del derecho la sal de Portugal entr…</t>
  </si>
  <si>
    <t>…, Aguirre, Valdés (D. Dionisio), Cano y redores que negocien letras no selladas, comprendiendo las cartasSantafé. órdenes, ofreciendo á los denunciadores un aliciente proporcio El Sr. Canga leyó dos dictámenes de la comisión de Hacien nado exigible del pagador de la letra no sellada. da sobre los presupuestos de la Casa Real y del ministerio de 4.0 Autorizar al Gobierno para que gire las visitas que ten la Gobernación de la Península , y se mand…</t>
  </si>
  <si>
    <t>Nú ir.. cíj. [r CMrfoí-3 íjj GACETA ESPAÑOLA. SEVILLA LUNES 2 DE JUNIO DE 1823. NOTICIAS DE ESPAÑA. propone c! Gobierno con las modificaciones de la comisión. El Sr. Canga contestó que el Sr, presidente podía establecer S¿villa t.° de Junio, el orden de la discusión. Se declaro hallarse suficientemente di-cutido este asunto, y CORTES. que.había lugar á votar sobre su totalidad. Art. r.° Aprobado. PRESIDENCIA DEL SEítOR FERftER…</t>
  </si>
  <si>
    <t>…to yo deseo que no se apruebe uno del toial, se procedió á tercer escrutinio entre los Sres. Lillo este artículo. y Diez con arreglo al art. 123 del reglamento que previene que Ei Sr. Canga: Unicamente tomo la palabra para rebatir lo en el caso de no haber elección en 2.u escrutinio se proceda á 3.0 dicho por el Sr. preopinante , á saber, que este proyecto no es mas entre los dos que reúnan mayor número de votos, y resultó ele que el del derecho…</t>
  </si>
  <si>
    <t>…rta el r para tomar posesión, y para administrar bienes; pero no las de inc¡t,s:oe oíros asuntos de menos entidad. En una memoria presentada en la sesión de aquellas Cortes el F.i Sr. Canga: La comisión ha dicho ya que admitirá cual d:n 23 por el ministerio de Guerra se hace una pintura bien poco quiera aclaración sobre los artículos. lisonjera de los progresos que ha hechoel reemplazo : por los partes Se declaró el punto suficientemente discuti…</t>
  </si>
  <si>
    <t>…oportuno se ríen las circunstancias. Aprobado. pidiese informe d la diputación de Cádiz; pero como ia ha le id o So leyeron y ¡vallaron conformes con1 lo acordado varias mi ya el Sr. Canga no tiene inconveniente en separar esta -pe. Le de nutas de decretos. su dictamen. La comisión de ¡Diputaciones provinciales en vista de la expo • El Sr. R-atfúréz Ardlario ; Estoy cdnforme don la comisión sicion del ayuntamiento de Brillas, provincia de Logro…</t>
  </si>
  <si>
    <t>…chos brazos, y dichas operaciones no dan treguas para dejarlas á liares y curiales, en cuyo sentido quedó aprobado. otro día. El Gobierno ba hecho la rebaja de íiy individuos, Eli Sr. Canga manifestó que los informes relativos á la bula cuyos sueldos importaban mas de 500O rs.; y por lo tanto la de la santa cruzada y Jas otras no olrecian motivo de discusión. comisión 710 ha tenido reparo en adoptar lo propuesto por el Ccntrilucian iif! cifro» G…</t>
  </si>
  <si>
    <t>…ón será Pase al sargento mayor de la plaza para su cumplimiento. = El entonces bien pagada , y asi me opongo al dictamen. gobernador interino Josef Lopez.zzcEs copia.=Legiisa. Fái Sr. Canga: El zelo de la casa del Señor ha llevado á al DIRECCION GENERAL DE LOTERIAS NACIONALES. guno de ¡os Sres. preopinantes hasta el extremo de inculpar al Crédito público de los muchos empleados que mantiene, del mu Noticia de los pueblos donde han cabido los pre…</t>
  </si>
  <si>
    <t>…e la imprenta nacional ha hecho considerables fon- I tre de que no tenemos otro interes que el bien de la patria. dos desde su creación, me parece que no es solo peculiar de k Ei .Sr. Canga: Yo Creo que el Sr. preopinante hará á la comi imprenta sino de cualquier otro cuerpo que tenga los privilegios sión la justicia de creer que no tiene interes en que se den los em exclusivos que tiene la imprenta nacional ; que no solo tenia la i pleos por un…</t>
  </si>
  <si>
    <t>…dividuo de la de ver nuevamente' r-n medio de vosotros á un Monarca que os Regencia. promete tantos beneficios, y que protesta desea evitar todo; Jos Se aprobó una proposición del Sr. Canga para que se nombre males, conservaos en este estado de buen orden y tranquilidad una comisión especial que se entienda con el Gobierno en los en que hasta ahora habéis permanecido , y que ciertamer.Ee liará medios de tratación. la admiración de la Europa, y c…</t>
  </si>
  <si>
    <t>…después El Sr. Simal impugnó los discursos de los Sres. del despacho se discutirían los asuntos señalados, y Gomcz-Uecerra y González Alonso; y apoyando el del levantó la sesión. Sr. Canga, se propuso demostrar Ja necesidad de conservar rl ministerio de la Gobernación, cmicluvando que d-bia aprobarse el dictamen. Cádiz 20 de junio. El Sr. Oliver apoyó las impugnaciones del Sr. Orden- de t, a plaza.=Guardia del Congreso y archi González Alonso,…</t>
  </si>
  <si>
    <t>Gaceta Española n.º 70</t>
  </si>
  <si>
    <t>…. queza pública ni al erario; por todo lo cual no * Se leyó una preposición del Sr. Euruaga, relati día aprobar el dictamen. va a qite el Sr. secretario de Marina se presentase El Sr. Canga en apovo del dictamen de ia ei-:-: eu esta sesión a contestar á las preguntas que se le sion manifestó que la Diputación provincial de hiciesen sobre el estado de la Armada. Admitida á estrechada por tas circunstancias v en uso de las discusión por 4&amp; votos c…</t>
  </si>
  <si>
    <t>…e hizo cargo de la secretaria no se atrevía á con Sr. secretario de la Gobernación de la Península ma testar afirmativamente. nifestando que inmediatamente que recibió el acuer El Sr. Canga, después de haber manifestado que do respectivo sobre conservación de la s, bul pública la comisión se babia visto precisada á proponer lo lo comunicó á la Junta suprema de .S.oiiil d v ,¡l gcie mismo que el Gobierno, por estar convencida que político para qu…</t>
  </si>
  <si>
    <t>…olicitud. Quedó aprobado. A las comisiones de Guerra y Marina se mandó La comisión de Hacienda en vista de la proposi .pasar mía exposición de los profesores médicos v ci ción del Sr. Canga para que se señalen .¡o :) rs. por rujanos de ¡a Armada pidiendo que se les considere indemnización en clase de dietas \i los Síes, diputa en el mismo caso que á los dpi ejercito. dos ilc la legislatura venidera ; opinaba qr,e debía Las Corles quedaron entera…</t>
  </si>
  <si>
    <t>…n Entró ¿ jurar el Sr. líigodet, nombrado indivi el juramento prevenido en la Constitución los Regeu- duo de la Regencia. tes que se habían nombrado. Se aprobó una proposición del Sr. Canga para que se El Sr. Galiauo observó que Jos Sres Valdes y Cis nombrase una comisión especial que se enliendiesa con car podrían prestarle inmediatamente, y que luego el Gobierno acerca de los medios de traslación. podría verilicarlo el Sr. Vigodet, pues en la…</t>
  </si>
  <si>
    <t>…&lt; &gt; 1 &gt; a (1 o. dictamen, creía ser conveniente se suspendiese está Se nombró para la comisión de Guerra en lugar disensión. «¡ó los Sres. Grasos é Infante á los Srcs. Ayllon y El Sr. Canga convino también en esto, y habien &lt; -nnraléas ( O. José María ). do manifestado el Sr. Vdlanucvá (otro de los indi A la Comisión da Legislación- se mandaron pasar viduos de la comisión) que no convenía en que se sus varias adiciones de ios .Síes, Solivien y A…</t>
  </si>
  <si>
    <t>…edida propuesta por el Gob.erno, Habiendo anunciado el Sr. presidente que se suspendía esta relativa á la suspensión de la ley orgánica del ejército, sobre lo dl'cu, on , pidió el Sr. Canga que se continuase esta noche en se cual opinaba la comisión debía dar su dictamen Ja de Guerra. sión extraordinaria; y habiendo contestado el Sr. presidente las Aprobado. dificultades que se presentaban para haber sesión esta noche, se Tusóse á votación el di…</t>
  </si>
  <si>
    <t>…eneral en gefe la dirección que piensa to comisión Especial , á la cuai se había mandado pasar la proposi mar, sin embargo c!e que el titulado ejército de Boyacá, estacio ción del Sr. Canga , relativa á que se autorizase al Gobierno para nado en Cúcuta , después de hacer varias morisquetas, parece está proveer las vacantes que resultaren por Ja defección de los em reti'O.iradar.do sobre Ocaña: no se observa cosa que no manifieste picados que deb…</t>
  </si>
  <si>
    <t>…e Ma del estado, el derecho de eleccon que reside en el pueblo, el de rina , Estado y Gobernación de Ultramar. hacer las leyes en sus representantes; la libertad de la imprenta El Sr. Canga hizo presente que aunque se habían perdido los y la seguridad de las personas y de las propiedades; la abolición papeles de la comisión primera de Hacienda , sus individuos aca de las confiscaciones, de las penas degradantes, de las funciones baban de present…</t>
  </si>
  <si>
    <t>…so de que un inocente contribuya á esconder Ultramar nó 'se suspendiesen las formalidades de que se trataba. dentro de su easa las pruebas de una ■ conspiración sin que. terrea El Sr. Canga hizo una observación acerca de ia dirima parte •de.ella ia. menor sospecha, y de consiguiente sino hay algún trá del artículo , y habiendo sido contestada por el Sr.-Nuñez ( Don mite que evite en un-caso semejante que su casa pueda ser allana Toribio) se decl…</t>
  </si>
  <si>
    <t>…l mérito de los que lian debido seguir algunos. Pero pues que las Cortes tuvieron á bien admitir la al Gobierno, y en efecto le han seguido hasta Cádiz , se les de proposición del Sr. Canga, forzoso ha sido informarla por la clarará desde luego un solo ascenso de los que por escala les cor comisión respondan , teniéndoles muy presentes, asi como á los militares Do* sen los fines importantes que se propuso su autor, el del ejército y armada, y k…</t>
  </si>
  <si>
    <t>…or lo mis en que se hallarían de emprender su viage. Ademas se sabe como mo pido que no se apruebe este proyecto. salió de Sevilla el general López Baños, cuya circunstancia no El Sr. Canga pidió que se leyese el decreto que habia citado daría tiempo á los empleados para vertirse, y también se saba el Sr. Marau. que el secretario del Despacho de la Guerra , aquel valiente v El Sr. Isturiz; La impugnación del Sr. Marau es tan sencilla desgraciado…</t>
  </si>
  <si>
    <t>…o á V. E. tres ejemplares del anuncio El Sr. Istuviz contestó que la comisión se había ceñido á la que ha dirigido á los pueblos de esta provincia el coronel coman proposición del Sr. Canga, y que esta disposición era sin perjui dante de la columna volante D. Rafael de Ceballos Escalera de cio de las demas á que hubiese lugar. resultas de haberse procedido militarmente á la quema del pueblo El Sr. secretario de Gracia y Justicia añadió que este…</t>
  </si>
  <si>
    <t>…ue quedo debiendo el virey de lo cual creía estaban las Corte» en el cjsu de entrar i discutir el Pisco. reglamento. Las Cortes quedaron enteradas y mandaron se repartiesen 203 El Sr. Canga manifestó que era tan minucioso este reglamen ejemplares del decreto de las mismas de 26 de Mayó último, to que no debía aprobarse; que ademas las circunstancias actuales mandándose liquidar la deuda con la casa de Gordon y Muríi de eran tales que no debía tr…</t>
  </si>
  <si>
    <t>…an corrientes para los efectos que se debe estar sujeta á algunas reglas. ñala el decreto de 29 de Junio de 1822 las certificaciones de li El orador concluyó diciendo, que solo el Sr. Canga habia he quidaciones de suministros libradas por ¡os contadores de ejército, cho algunas observaciones en contra del dictamen; pero que las siempre que no hubiere sospechas sobre la legitimidad de Jas fir observaciones de su señoría se reducían é artículos de…</t>
  </si>
  <si>
    <t>…alló conforme con lo aprobado por las Cortes la Se leyó y mandó pasar á la comisión de Guerra una propo minuta de decreto sobre las fábricas de salitre y pólvora que hansición del Sr. Canga, para que se declaren beneméritos de la de quedar por cuenta de la Hacienda pública.Patria á los individuos que componían el primer ejército de reser El Sr. presidente anunció que mañana continuaría la discuva , que permanecieron en sus cuerpos después de obs…</t>
  </si>
  <si>
    <t>…militares que se pagaban por tesorería , y en el dia qué pedían se les señalase alguna pensión. ton las mas interesantes. También se aprobó el dictamen de la comisión de Diputa El Sr. Canga contestó que el Crédito público no tema fon ciones provinciales, en que opinaba debía pasar á la diputación dos porque todos entraban en tesorería , y que habiendo pedido provincial de Iiuelva un expediente promovido por la villa de los secularizados como es…</t>
  </si>
  <si>
    <t>…opinó habiendo un medio mas adecuado para que las Cortes viesen el no debia aprobarse el dictamen de la comisión. estado de ios establecimientos de instrucción; y por lo mismo El Sr. Canga contestó que se trataba de los secularizados que que debia aprobarse el artículo.habían quedado en pais libre. El Sr. secretario de la Gobernación de la Península manifestó El Sr. Surrá apoyó el dictamen de la comisión, y en segui que el objeto de este artícu…</t>
  </si>
  <si>
    <t>…en cuerpo tendrá el tratamiento de ex fuerzas , y á la fecha los insurgentes habrán pagado bien caro sus celencia. lo eos atrevimientos. El 17 del próximo pasado levantaron los El Sr. Canga manifestó que en las circunstancias en que enemigos el sitio de Puerto-Cabello, retirándose con su artillería nos hallamos no debia tratarse de tratamientos; pero que si se y demas para Valencia, dejando enterradas en Paso-Real 2 cu aprobaba que tuviese algun…</t>
  </si>
  <si>
    <t>…ellos. Desgraciadamente c» lo poco que he visto se co Se mandó pasar ai Gobierno una exposición presentada por mete un y^rro , que como tal lo califico ; pero que al tenor suyo el Sr. Canga, de Dora María de los Dolores N., viuda de un puede -haber otros varios. Tal es el decir que los monaster.os teniente coronel muerto en una acción contra los facciosos, ma de la provincia de Badajoz eran los mas ricos. nifestando que aun no habar podido conse…</t>
  </si>
  <si>
    <t>…las Córtes , se quiere que puntas que se están disputando entre los dos Imperios, la cual de esta pague las pensiones de que se trata. cidirá la cuestión de la paz ó la guerra. El Sr. Canga dijo que en el dia constaba haber entrado cu Tesorería nacional del Crédito público nueve millones desde que NOTICIAS DE ESPAÑA. se dió el decreto de las Córtes. El Sr. Isturiz como individuo de la comisión después de ma Cádiz, a / de Julio. nifestar que el d…</t>
  </si>
  <si>
    <t>EL Sr. Canga rogó al Sr. Presidente que tuviese la bondad de F.1 Sr. Vuldés (D. Dionisio) manifestó que puesto que el poner á discusión á la mayor brevedad la solicitud de los indivi Sr. Gómez no había impugnado la totalidad del dictamen, y sí al duos de la comisión de Vi…</t>
  </si>
  <si>
    <t>…esidente contestó que las Cortes quedaban ente haber hecho mas impresión en el público ha sido el del Sr. Be radas. cerra cuando dijo que la comisión habia cometido un yerro en El Sr. Canga dijo que deseaba saber si el Gobierno tenia no decir que los dos monasterios de la provincia de Badajoz eran ticias positivas del estado en que se encontraba el ejército. los mas ricos que habia, sin atender á que en la citada provincia El Sr. secretario del…</t>
  </si>
  <si>
    <t>…que antecede, mitida v. discusión se mandó pasar á la comisión de Diputaciones ha tenido el disgusto de ver que todos svó individuos no convienen provinciales con una adición del Sr. Canga para que de los fondos en una misma opinión; por lo que ia mayoría de ella es de pare de beneficencia se atienda al socorro de los milicianos voluntarios cer , que en atención á que en dicha proposición se trata de un que hacen la guerra en defensa de las lib…</t>
  </si>
  <si>
    <t>…esta reducción. En ramo yo no puedo ¡a oble acón de atender al pago de las pensiones de los seculariza aprobar el artículo. dos; con cuya proposición se conformaba la comisión. El Sr. Canga: No hay la menor duda que la posición en Igualmente se mandaron quedar sobre la mesa otros dos dic- que se presenta la comis.on en este debate es desventajos'sima pa támen.s de la comisión de Comercio , uno sobre la protección de ra esta; sin embargo contesta…</t>
  </si>
  <si>
    <t>…demas de esto se presenta á los ojos de la comisión gefe de la oficina de Renovación. una dificultad grande, y es, que decretando las contribuciones Se leyó el voto particular del Sr. Canga, y después de haber para diez y ocho meses, vienen á decretarse todas las dd primer impugnado el dictamen este Sr. diputado, y contestado el Sr. Isaño de la legislatura venidera ; y como la Constitución dice que turiz, se declaró el punto suficientemente disc…</t>
  </si>
  <si>
    <t>…nte existentes de las primeras en Rota. En el extracto de la sesión de ayer, columna 3.a , en Algeciras, debiendo verificarse dicha extracción antes del día i.° la proposición del Sr. Canga , reducida á que se recompense pol de Noviembre próximo. la munificencia nacional á los individuos del ejército y AL N. V. 3.° Que dichas cortezas pagarán e! derecho de un 10 por que se halla prestando servicios á la causa de la patria, se omitió ci.nto sobre…</t>
  </si>
  <si>
    <t>…la votación, y modificación ni de nacionales ni de extrangeros , hasta que pase st acordó la negativa. el tiempo prescrito por la Constitución; y siendo yo diputado A petición del Sr. Canga se leyó el artículo 11 de la solo hasta el mes de Marzo, claro es que es redundante el vol-Constitución. ver á prestar otra vez el mismo juramento; y desde ahora para Se declaró haber lugar á votar sobre el dictamen por 64 siempre digo que cualquiera que sea…</t>
  </si>
  <si>
    <t>…a dad acerca dé una proposición de los Sres. Salva, Muro, Somo aclaración que se solicitaba en la proposición. za , Orduilez y Prat, para que se exija la del conde de Cartagena El Sr. Canga hizo algunas rctlexiones en apoyo de la-proposi- :por la conducta que ha observado en Galicia. cion, y declarado el asunto suficientemente discutido se aprobó por Las Curtes quedaron enteradas de un oficio del Sr. secretario 57 votos contra 40. del Despacho d…</t>
  </si>
  <si>
    <t>…iendo de parecer que vale mas abrir Jdxtracto de la sesión extraordinaria del día J'I de Julio. ^ un nuevo empréstto. Se abrió la sesión á las ocho y media, y en seguida se d‘° El Sr. Canga contestó que hubiera deseado que el Sr. Marau cuenta de un oficio del Sr, secretario de la Guerra, acompañan hubiese demostrado por qué era gravoso el dictamen en discusión, do un expediente promovido por D. Juan María Zarco, guar y que de no haberlo hecho Je…</t>
  </si>
  <si>
    <t>que la comisión propone, no ha indicado un medio para reem Se declaró ei punto suficientemente discutido, y haber lugar plazarlos. á votar sobre la totalidad del dictamen. El Sr. Canga ha contestado ya victoriosamente.á las. impug Se votó este por partes-, y quedó aprobado en todas ellas. naciones que ha hecho el Sr. Marau, y ha manifestado las razo Se leyó y se mandó quedar sobre la mesa el dictamen de la nes que ha tenido la comisión para…</t>
  </si>
  <si>
    <t>…eta del 20.) parle de las Cortes que estas cerraban sus sesiones el dia 5 del cor Decreto de las Cortes sobre cómo deben ejercer su profesión riente , y vuelto de palacio, dijo el Sr. Canga como presidente de los eclesiásticos abogados. (Gaceta del 20.) ella: » La diputación ha hecho presente á S. M. que debiendo las Decreto de Jas Cortes sobre los recursos de segunda suplica Cortes terminar sus tarcas el d;a 5 del corriente se lo participa ción…</t>
  </si>
  <si>
    <t>…unto suficientemente discutido; y La comisión especial encargada de presentar su dictamen acer habiéndose procedido á la votación quedó empalada por 37 vo ca de la proposición del Sr. Canga sobre recompensas á Jos mili tos contra 37. tares que se distingan en la actual guerra, era de dictamen que las La comisión de Legislación habiendo examinado de nuevo la Córtcs podían aprobar los 10 artículos que presentaba. proposición del Sr. isiarau, y hab…</t>
  </si>
  <si>
    <t>…¡as lincas, opinaba que La comisión. Especial encargada de proponer lo conven.ente no debe hacerse novedad en lo acordado por las Cortes sobre este acerca de La» proposiciones d.l Sr. Canga sobre recompensas a punto. Aprobado. ¡os militares que se hallan defendiendo la causa de la. patria , des La comisión de Comercio en vista de una proposición del se pués de haber oido al Gob.enio, opinaba que debían aprobarse lo» ñor Santos Suarez, sobre habi…</t>
  </si>
  <si>
    <t>…la lista de los Sres. diputados que componen la comisión, dirigién en nuestras manos elegir otra regla de nuestra conducta, y no dose á palacio, y restituida al Congreso expuso el Sr. Canga, que debí amos olvidarnos de los sagrados juramentos que tuvimos que la diputación había puesto en noticia de S. M. hallarse instaladas prestar. ias Cortes extraordinarias, convocadas en virtud de su orden, ha Cualquiera que sea la suerte á que estamos destin…</t>
  </si>
  <si>
    <t>…empo pera ias pro daba origen a la convocatoria; y que las Cortes, con arreglo á videncias que se odoptaren. las mismas facultades , deliberarían si después de leerse en sesión El Sr. Canga habló en el mismo sentido, recomendando ex secreta debería tratarse del pirtlcular en público; y en su virtud traordinariamente los servicios contraídos por otra i cual junta en levantó la sesión, quedando ias Cortes en secreta. la guerra de la independencia…</t>
  </si>
  <si>
    <t>…o el las mismas ¡deas: después, ocupado c) temtor.o esp.u o! por ios tratar de este particular con el Gobernó. encúbeos , no lia podioo ¡a Nación declarar su voluntad; .y en el El Sr. Canga extraño que el Gobierno exija que la comi extremo caso de admitirse la hip&lt; tesis de que ella hubiese vana sión ó las Cortes detallasen los arbitrios de que podría usar p ira do para manifestarse asi de un modo auténtico, sena prte.so que ocurrir á las urgenc…</t>
  </si>
  <si>
    <t>…ue los traidores la Mar y Llano estaban de Se leyó y declaró comprendida en el art. 100 del reglamen acuerdo con los revolucionarios. to, y admitida á di-cusion, .a proporción de! Sr. Canga, que di » La escandalosa deserción que empezó por los oficiales, obli ce asi: w Que se p da al Gobierno el expediente en cuya virtud gó al general á variar enteramente de plan ; según él mismo ase se ha pedido al comandante militar el informe sobre ¡as facult…</t>
  </si>
  <si>
    <t>…ajesen también Jas actas de la junta , para tomar conocimiento Lo mas importante que se ha hecho para los Abisinios en los de los acuerdos que hubiese tenido ; álo que se opuso el Sr. Canga, tiempos modernos, es traducir la biblia en lengua Ambara, que diciendo que esto, seria una especie de pesquisa agena del caso , y es la de las principales castas. Mr. Asselin , agregando al cónsul que podria traer males y entorpecimientos de consecuencia. ge…</t>
  </si>
  <si>
    <t>…la existencia de una au daño que beneficios : los hechos son los que me convencen, y toridad militar responsalt. mientras no haya uno por donde se pruebe que las facultades han El Sr. Canga: Yo prescindo de personas , y de calificar ks de ser perjudiciales en la junta , jamas convendré en que dejen de que componen la junta. He tomado la palabra para manifestar la conferírsele. Si semejante teoría se llevase al extremo , seria in extrañc/j que me…</t>
  </si>
  <si>
    <t>…Señores : El Rey ha tenido por conveniente y aun n^|&gt; H que se;dirigió á Palacio, y restituida al congreso expuso.eí isrio que se congreguen las-.Cortes extraordinarias , para que Sr. Canga, que la diputación había puesto en noticia de S. M. Jibtren sobre una exposición que presentará el Gobierno de hallarse instaladas las cortes ¡extraordinarias, convocadas en vir S. M. acerca del estado actual de la Nación. N.o puedo hablaros tud de su orden•;…</t>
  </si>
  <si>
    <t>…o pata las pro4 las mismas facultades ,. deliberarían si después- de leerse en se vitíencias que se adoptasen. sión secreta debería tratarse del particular en público; y en su. Et Sr. Canga habió en el mismo sentido, recomendando ex virtud levantó la sesión h quedando laucones en secreta*. traordinariamente los servicios contraídos por otra igual junta Sesión pública* en la guerra de la independencia-, y haciendo presente la justa El Sr. preside…</t>
  </si>
  <si>
    <t>Canga'extrañó</t>
  </si>
  <si>
    <t>…as mismas ideas: después ocupado el territorio es modo’se habia rehusado el tratar este particular con el gobierno. pañol por los enemigos no ha podido la Nación declarar su vo El Sr. Canga'extrañó que el gobierno exigiese que la comi luntad. Y en el extremo caso de admitirse la hipótesis de que sión ó las cortes detallasen los aibitrios de que podría usar pan ella hubiese variado para manifestarse asi de un modo auténtico, ocurrir á las urgencias del m…</t>
  </si>
  <si>
    <t>Canga, El Sr-</t>
  </si>
  <si>
    <t>El Sr- Canga</t>
  </si>
  <si>
    <t>…las Cortes decretasen los recursos extraordinarios que El ¡Se. Arguelles preguntó nuevamente si por lo menos se necesitaba. habían hecho proposiciones indirectas: i lo que el Sr. ministro El Sr- Canga dijo que todo podía concillarse, pues leyéndo de Estado contestó negativamente. se la memoria de Hacienda, pasaría después i la comisión de esté El Sr. Galíano, después de hablar de la poca utilidad de estas ramo, y esta sacaría de 'ella todo lo concerniente…</t>
  </si>
  <si>
    <t>Caninghan, Francisco</t>
  </si>
  <si>
    <t>Francisco Caninghan</t>
  </si>
  <si>
    <t>…en diez días despucs de haber sido robado cérea de Se Augsburgo.') villa. S c lZA« Despacho del Sun á las dos__ Después de mediodía han sa Friburgo 31 de Julio. lido Mr. Canmng y lord Francisco Caninghan para Windsor La dieta se ocupó el 29 de este mes en el reconocimiento a fin de someter á la decisión de S. M. e¡ resultado de las deli de la Regencia de Madrid, y la reconoció en efecto. beraciones del cons jo de Gabinete celebrado ayer. Sir Tomas Lirwhill pa…</t>
  </si>
  <si>
    <t>Cañizares, Fernando</t>
  </si>
  <si>
    <t>Fernando Cañizares</t>
  </si>
  <si>
    <t>…rimer remate se que asistían coma Ules D. Angel Arteiga; D. Antonio Ordoñez , mú verificará ante dichos intendentes, en cantidad cada uno de 33,400 sicos ambos de ia Real capilla; D. Fernando Cañizares, presbítero ira.eos ea los cuatro años, ó 8,350 anuales, expresando que el primer manchego (prófugo); D. Josef Manuel Erroz, capellán de altar y rímale se verificará el 1 5 de Abril próximo venidero , y ei último en canónigo da Búrgos; Jorge Crespo; Agustín E…</t>
  </si>
  <si>
    <t>…uel acto, y ademas se les 3-° Le acompañó Francisco Ramirez, cufiado de Dolores Tolosa, exigirá una multa proporcionada á sus facu'tadis , que se hara extensiva ama del presbítero D. Fernando Cañizares (prófugo) , uno de los reos á todas ias personas que hayan contribuido'directa o indirectamente i principales. su ocultación ; aplicándose la tercera-paite de su valor i favor del que &lt;f-° El mismo Cañizares proporcionó dicho criado, y le ¡presentó la denunci…</t>
  </si>
  <si>
    <t>Canning</t>
  </si>
  <si>
    <t>…do despotismo, como lo han expe— como bases que dirijan 1.1 política de S. M. [ rimentado vuestros hermanos de armas de Burgos, Vitoria , ’io- Ntirc. 3.0 El duque de Wellington ai Sr. Canning , secreta j losa y otros puntos, que coníiando débilmente en el enemigo ex- rio del Despacho----Recibido en 7 de Nov.err.bre.yExl;vao.):=r t peri mentaron sus rigores. Habéis visto el aire marcial de los he— Verona 29 de Octubre de rbaa.rzrMe opondré á todo,…</t>
  </si>
  <si>
    <t>…al Parla* no les hizo presente V. E. en oficio de 5 de Marzo último, re mentó de Inglaterra. lativo á que D. Pedro de la Puente, hermanos y compañía, del Fra&gt;'d&gt;. Núm. i.° El Sr. secretario Canning ai Sr. Car comercio de Cádiz, han cargado en ía salina particular de Don los Stuart. (Extracto.)—Secretaría de Estado Marzo 31 de 1823. lucas Zuluaga 88 cahíces de sal con destino al puerto de la Ha— srEl artículo de que incluyo copia se halla contenido en el…</t>
  </si>
  <si>
    <t>…ballos se adelantó seábamos no ver interrumpidas nuestras relaciones con ella. hasta el rio Fluviá , y reconoció el vado; lo que , según la cos Núm. 5.0 Sir Carlos Stuart al señor secretario Canning. Reci tumbre que han observado los enemigos desde que han tenido la bido en 20 de Abril. rsParis 17 de Abril de Jt82 3.srExcmo. Sr.rr osadía de pisar nuestro territorio, da lugar á sospechar que su El encargado de Negocios de Portugal en esta corte ha dirigid…</t>
  </si>
  <si>
    <t>…a que les es tan propia , á fin puedo menos de presentar antes á los señores de la comisión Jas ■ de que reunida la discusión con el dictamen presente un todo -palabras con que el ministro Canning habla á la Cámara de los completo, cual yo me lo prometía, y en verdad y de todo mi co- Comunes de Inglaterra. Debo decir que cuando los Soberanos .razón lo deseaba. aliados (son expresiones del ministro ingles) manifestaron sil in Tenemos á la Europa ente ra…</t>
  </si>
  <si>
    <t>…V. E. Ia alta consideración con que &amp;c. 2= indispuesto. Firmado = Víctor Saez.=A S. E. Mr. Canning &amp;c. &amp;c. &amp;c. Discurso de los Lores comisionados por S. M. pura hablar á su El Sr. secretario Canning á D. Víctor Saez. nombre á las Cámaras del Parlamento el sábado 19 de Negocios extrangeros, Junio 19 de 18 23.= Señor : Tengo la Julio. honra de acusar el recibo de la carta que V. E. me hizo la hon ?&gt; Milorcs y señores: ra de dirigirme con fecha 7 del que ri…</t>
  </si>
  <si>
    <t>Canning.rrRe-</t>
  </si>
  <si>
    <t>…en tercer grado, •w j Zl jüv*. uc jjuiiivitt uioi.UU.ia íuuuii v ¡tu;ud wumu.no, áw. —sari. jst-r-i uuque1 utJ. o.C 11e.*— CAj U \,V&lt;“lUoU.r1^,. Núm. 2.0 Sir Carlos Stuart al Sr. secretario Canning.rrRe- gun prescribe la ley, á D. Félix Raraon Beaudot responsable cibido en 10 de Abril. = ( Extracto.)= París 7 de Abril de de aquel escrito, á la pena de dos años de prisión , que sufrirá étt 1823.=;Mr de Chateaubriand me ha asegurado que el Gobier el castillo de…</t>
  </si>
  <si>
    <t>Canninq</t>
  </si>
  <si>
    <t>…e aun ¿ mas de lo últimas comunicaciones entre los Gobiernos francés y portugués. que dejamos dicho, pues los hay también acerca de las operacio Núm.0 2.0 Sir Cários Stuart al Sr. secretario Canninq__IRe nes de S. A. R.” la duquesa de Angulema, de la que dice un cibido en 15 de Diciembre. ( Extracto ). = París 12 de Diciem periodista ingles que es el único varón de su familia. He aqui bre de 1822.=:En contestación á los informes que V. E. me lia una prue…</t>
  </si>
  <si>
    <t>Canninü</t>
  </si>
  <si>
    <t>…ión de estas bases todos los sacrificios son nulos. relativo á la conducta de Espa. a comunicado por el Sr. Jabat al Yo me lisonjeo de que los dignos gefes y oficiales que lenco á Sr. Canninü en Febrero último. Todos los hechos asentados en mis órdenes no desconocerán la fuerza de este axioma m.litar. este documento son curiosos; pero el contraste que en él mismo Convencido yo de esta verdad, cuanto tienda á cimentar en los se demuestra que existe…</t>
  </si>
  <si>
    <t>Cano</t>
  </si>
  <si>
    <t>…perjuicio de las refor cios í ia causa pública, como militares retirados; y asi en mi concepto mas i que pueda dar lugar la discusión por artículos. el artículo debe aprobarse. Ei Sr. Cano: Si hubiera una mina inagotable de oro y plata adon El Sr. Rico impugnó el artículo manifestando que estos sueldos no de se recurriese cuando fuese necesario, con mucho gusto aprobaría el guardaban ninguna proporción con las circunstancias en qus se encon dic…</t>
  </si>
  <si>
    <t>…n necesitarse provisiones; no se dice gene lo mismo creo que debe admitirse el dictamen de las comisiones. ralmente á toda la Península, pues se contrae únicamente á las plazas El Sr. Cano manifestó que el artículo de que se trataba era inútil, que hayan de proveerse y puntos donde haya de haber fuerzas militares, injusto'é impolítico; lo primero porque aunque se diere la facultad al en donde el Gobierno tendria que proveerse , no de otro modo…</t>
  </si>
  <si>
    <t>…dor general, en concepto de subversivo. En 16.0 el Sr. Nuñez (D. Toribio) por 79 votos, habiendo tenido En su vista se reunió el jurado , compuesto de los Sres. siguientes: dos el Sr. Cano. D. Juan Antonio López, D. Vicente Segurado, D. Zoilo Gómez En 17.0 el Sr. González Aguirre por 79 votos, habiendo tenido uno Casero , D. Juan Paz , D. Antonio Diaz del Moral, D. Francisco Cocada uno de los Sres. Valdés, Bustos y Cano. Jombo, D. Juan Manuel d…</t>
  </si>
  <si>
    <t>…ales por varias razones qu» A la comisión de Diputaciones provinciales se mandó pasar una expo expuso. sición deba de Almería acere:* de varias dudas relativas á los límites de El Sr. Cano dijo que las diputaciones provinciales no tenían fondoi aquella provincia. para pagar estas cargas, y que siéndoles imposible en caso de una invasión A la comisión de G: :rra una consulta de la ¡unta general de inspecto en su provincia de verificar ningún rep…</t>
  </si>
  <si>
    <t>…recurrir á una nueva energía.... (Un gran número de voces á la que debe aprobarse el proyecto. derecha: eso ha dicho...... Si, sí!.... Eso es horrible!....... Al orden , al or El Sr. Cano dijo que no se oponía á que las diputaciones provinciales den!..... Quitarle la palabra.) tuviesen la facultad de imponer repart.núcnto, vecinales , tino á que se di Presidente: Desde entonces ya no me era posible guardar silencio, y jese que serian indemniza…</t>
  </si>
  <si>
    <t>…o la sufririan los arredren medidas por fuertes que sean si queremos ser libres, y padres sino los coherederos. evitar que volvamos á ver en España inquisición, jesuítas, y los El Sr. Cano contestó que lo que el padre pagase por el hijo demás bienes que trae consigo el despotismo. no resultaría en perjuicio de Jos coherederos, porque estos lo des El Sr. Velasco pidió se leyese el art. 305 de la Constitución. contarían de la parte que tocase al…</t>
  </si>
  <si>
    <t>…cusión de los artículos del mismo pro efectos, ■ r ' yecto. Después de haber hablado los Sres. Maraii é Isturiz, dijo el Art. i.° La Nación hará un servicio extraordinario para la Sr. Cano que después de las palabras h de capitanes generales de presente guerra á. que nos obliga la invasión del egército fran egercitos de operaciones” debian añadirse las de „de los gene cés. Todos los españoles y todos los extrangeros avecindados en rales de rese…</t>
  </si>
  <si>
    <t>…se mantengan necesarias para intervenir el reparto , reuniéndose inmediatamen sobre todo / rmes r dure i.os. te, caso de no estarlo al recibo de este, y no disolviéndose hasta El Sr. Cano: El Sr. preopinante no ha negado la utilidad dar aprobado, y decididas y resueltas las reclamaciones de los que resultana de que los ofic:os de que se trata recayeran en per agraviados. sonas que tuviesen arraigo; y vo digo no solo esto , s:no que es Art. 5,.…</t>
  </si>
  <si>
    <t>i86 El Sr. Cano : No puedo aprobar el artículo por los términos El Sr. -Arguelles propuso que se añadiese en,el artículo des vacos en que está concebido, á pesar de que veo que la comisión pués de las palabras de lucho las siguientes, establecimiento ó desde luego hace exclu…</t>
  </si>
  <si>
    <t>…spectiva , y este llamamiento no’podia ve biendo tenido 51 votos el Sr. Jener, 20 el Sr. González Alon rificarse , según lo prevenido en la Constitución, sino en el caso so, 10 el Sr. Cano , y hasta el Iota! 1 r6 entre ios Sres. Pacheco, de una incapacidad absoluta del propietario, ó de una causa per ístiñez f IX Tonino) , Tsturiz , Saavedra , Garoz , Kscovedo , Se petua que le impidiese acudir al cumplimiento de su encargo; por deéis , Somoza…</t>
  </si>
  <si>
    <t>…de otro modo pudiera te rificara , entonces podrian abolirse los pusitos ;- pero no mientras ner esta medida. esto no se verifique. Los pósitos serán malos , serán nocivos á la El Sr. Cano manifestó) que si los pueblos ocupados por los agricultura; pero entre tant© que no haya un equivalente me enemigos recibian mal esta medida , como había expresado el opongo á su abolición. Sr. Becerra , también asistirían el pago de las contribuciones; El Sr…</t>
  </si>
  <si>
    <t>…la Para secretario resultó elegido el Sr. Navarro Tejeiro por 56 proposición del Sr. Navarro Tejeiro, sino también el artículo 308 votos, habiendo obtenido 4 et Sr. Sonroza, 4 el Sr. Cano, 3 el de la Constitución. Pueden suspenderse formalidades para el ar Sr. Melendez, 3 el Sr. Buruaga , 3 el Sr. Pedralvez, y uno cada resto de los delincuentes, pero no formalidades posteriores al ar uno de los Sres. Belmontc , Posadas, Varela, Rojo , Galiano,…</t>
  </si>
  <si>
    <t>Cano, Josef</t>
  </si>
  <si>
    <t>Josef Cano</t>
  </si>
  <si>
    <t>…aís ocupado ó que sigan en sus destinos Gómez Villaboa por la de León: D. Fermín Alvarez Enlata con licencia expresa dd Gobierno legítimo, y las personas de que por la de Navarra: D. Josef Cano y D. Leandro Ladrón de hablan los artículos 4.0 y J.° del decreto de veinte y uno de Se Guevara por la de Ávila: D. Manuel Pío de Arias por la de tiembre ele mil ochocientos doce, en que se dieron varias medidas Cuenca: D. Joaquin Fuentes del Rio por la de Sevilla : D. Fe para a…</t>
  </si>
  <si>
    <t>Canoing</t>
  </si>
  <si>
    <t>…sucedido en su comandancia de la Morca Tcheleddin , bajá pliegos de nuestro ministro en Madrid volvió á salir el domingo con de Bosnia y hechura de los genízaros. la respuesta del ministro Canoing. Después de la revolución del ministerio ha cesado toda comunica Habiendo sido veucido en Francia el partido de la guerra , se ha ción con los embajador?* cristianos. Lord Stranglbrd hallará grandes conservado en su puesto al partido de la paz. Se dirá acaso…</t>
  </si>
  <si>
    <t>Canos</t>
  </si>
  <si>
    <t>…e de D. Juan A:itomo Giba don de las" Corte 2 de Jumo de *823* — Siguen~ las firmas ue' 01' y tendero—La de Yecla, por haber sido promovido á gefe po diputados. lítico de Alicante D. Canos de la Cruz Pujalte. Se admiten memoriales para cada una de ellas por término ARTICULO DE OFICIO. de 30 días en la secretaría del Consejo da Estado, por lo respec El gefe político de la provincia de Cuenca con fecha del tivo á los negocios de Gracia y Justicia…</t>
  </si>
  <si>
    <t>CansaO</t>
  </si>
  <si>
    <t>…r. Oliver dijo que i fin de que esta renta fuese im, pro bierno , pues esto o; mas prop.o del mi.mo t U-b e-1 o. ductiva quisiera que el papel de pobres lo Usasen solamente ¡o» El Sr. CansaO : La .0111. on isla de act.-rd.- »or&gt; «1 ‘i; te:í-</t>
  </si>
  <si>
    <t>Canseco, Benito Diez</t>
  </si>
  <si>
    <t>Benito Diez Canseco</t>
  </si>
  <si>
    <t>…avanzar á la caballería de !a Reina al mando del hordas infames, que han atraído sobre vuestro suelo ios horrores de la subteniente D. Pedro Góngora, con los oficiales de guardias D. Benito Diez Canseco y D. Francisco Garoz, de la plana mayor, y el teniente guerra y de la desolación. Vitoria i.° de Febrero de 18ig.=Gre¿orio del regimiento de na¡ cargo D. Joseí Osorio , sostenidos por la compa Piquero Argiielles. ñía de cazadores del mismo cuerpo, á las órdenes ríe! teniente D. M…</t>
  </si>
  <si>
    <t>Canseco, Manuel</t>
  </si>
  <si>
    <t>Manuel Canseco</t>
  </si>
  <si>
    <t>…patria, como puede verse por las dispo corresponde, y no puede dejar de ser asi, porque k imprenta siciones siguientes: nacional, como todas las demás empresas por cuenta de k Na D. Manuel Canseco, intendente de Aragón por el llamado ción tiene nn director con rs. y algo mas , un tesorero, un Gobierno de la que fue llamada junta provisional de Espafa é contador, y muchos empleados con grandes sueldos ,. y trabajan Indias, ha publicado un edicto en Zara…</t>
  </si>
  <si>
    <t>Canta</t>
  </si>
  <si>
    <t>…e los servicios y aptitud de este interesado, por las Cortes acerca de los bienes de lo» traidores á ¡a patria. los cuales veía haber desempeñado perlectamente su destino en la El Sr. Canta satisfizo á estas observaciones, manifestando que secretaría de las Cortes, asi como en laM. N. V. de Madrid, me ademas de no ser la hipoteca solamente ¡a que habla citado el se reciendo la confianza de sus compañeros como se demuestra por ñor preopinante , p…</t>
  </si>
  <si>
    <t>Cantalicio, Félix</t>
  </si>
  <si>
    <t>Félix Cantalicio</t>
  </si>
  <si>
    <t>385</t>
  </si>
  <si>
    <t>…e cidati el escrito que sigue: ñor D. Fernando vn ; es adelantarse todavía mucho mas. Napo «D. Bernardo Valdés Hevia, diputado provincial de Oviedo, león no se atrevió) á tanto. y D. Félix Cantalicio de la Ballina , alcalde 2.0 constitucional de »Se toma por pretexto para tales novedades tumultuarias y esta ciudad , me escriben cada uno su carta respectiva desde Luararbitrarias, que acercándose las tropas francesas á Sevilla , dispu ca con fecha de 30 de…</t>
  </si>
  <si>
    <t>Cantcrac</t>
  </si>
  <si>
    <t>…a paso se aicuentiau te los fraternales sentimientos de los españoles de ambos mundos. iglesias, conventos y capillas; pero los sacerdotes , negros ó mu Asi lo espera y desea = El general Cantcrac. latos por la mayor parte, son crasamente ignorantes, y el pueblo está sumergido en la superstición mas vergonzosa. NOTICIAS DF. LA PENINSULA. El Africa con sus ricas minas de oro , de cobre, v de dia Cádiz /o de Setiembre. mantes , con sus especerías, y con…</t>
  </si>
  <si>
    <t>Cantera, Josef</t>
  </si>
  <si>
    <t>Josef Cantera</t>
  </si>
  <si>
    <t>…ra del que se oponga á esta ¡dea , que nos consta no d sta de todo» vosotros. hadado en los campos de la Macacona. De este modo solo se pueden F.l arnera! en gete mariscal decampo D. Josef Cantera: a nombre del anunciar á un público tan sensato como el de Lima tamañas contra Excmo. Sr. virey ha indultado en lea 2 rodos ios que se le prts ota dicciones. ron , aun de. los mismos que antes habían abandonado nuestras fi as. » Ya sabéis que siempre he habla…</t>
  </si>
  <si>
    <t>Canterac</t>
  </si>
  <si>
    <t>…corsarios ú otros en persecución , ó dando caza de la cuesta del cerro- = En este estado, puesto ya el general á otro buque cualquiera. Valdés en derrota, llega con su ejército el general Canterac , y 7-° Pondréis la mayor vigilancia en que los buques que lle emprende un segundo ataque sobre nuestras columnas que ocupa ven bandera de Rey , y carguen mercancías para los puertos de las ban sus posiciones. potencias beligerantes, no embarquen armas ni mun…</t>
  </si>
  <si>
    <t>Gaceta Española n.º 86</t>
  </si>
  <si>
    <t>303</t>
  </si>
  <si>
    <t>…me prometo no ción del ejército insurgente del Sur de aquella capital por las di será necesario hacer sentir el peso de la autoridad con medidas de visiones españolas al mando del general Canterac y el coronel una severa y absoluta justicia, sino por el contrario, que la auto Val des. ridad se presentará en ei curso de su carrera cual si fuese un as __Lima 8 de Febrero.mLi» suprima junta gubernativa del Perú tro benigno derramando copiosamente todo gen…</t>
  </si>
  <si>
    <t>…tan vergonzosa, y una ingrati de apuro en que' se hallaban los disidentes del Perú á consecuencia tud tan negra, desdijeran siempre de los hombres mas ínfimos de las victorias del general Canterac y del coronel Valdes , apuros cíe i.» plebe , cuanto mas de proceres de Ciis-iií. PLsx desdice que les obligaban á echar mano de aquellos rigurosos decretos, y igualmente y se hace tan increíble como absurdo que personas á valerse de todos los medios que les…</t>
  </si>
  <si>
    <t>…aría en su poder. Por otra parte el medio comandante de Arequipa; de cuyas resultas dispuso el virey La que propone la comisión producirá una complicación en las cuen Serna que el general Canterac se aproximase á Lima con la di tas , v por lo misino soy de opinión que -no debe adoptarse lo visión de su mando. que propone. El 7 fondeó en Acapulco la fragata mercante inglesa Janus El Sr. Canga: Este mal de no pagarse las pensiones de Jos Scot, procedente…</t>
  </si>
  <si>
    <t>…y el gene siguió también, de los griegos para muchos musulmanes, mugeres ral Santa—Cruz enOlica, para donde pide prontos refuerzos, por y niños que se hallaban en su poder. que el general Canterac parece que tiene fuerzas suficientes para La escuadrilla francesa ha conseguido con esta conducta ali sitiar el Callao, y batir á este general revolucionario. viar los males de una guerra demasiado cruel. Los beligerantes se La nave la Arabe, de Boston, fleta…</t>
  </si>
  <si>
    <t>Canterac, Ioseí</t>
  </si>
  <si>
    <t>Ioseí Canterac</t>
  </si>
  <si>
    <t>…entan cerca de 40, construidos de — El brigadier general de la caballeríacrjuan Loriga. = i&gt;r. ina- un modo maravilloso y digno de llamar la atención de los viaje r.'.cal de campo D. Ioseí Canterac, general en gefe. ros. Algunos obeliscos cortados cerca de aquel sitio tienen varias inscripciones que denotan la riqueza , el poder y la extensión del Otro del general en oefe á S. E. imperio de aquellos Monarcas , el cual comprendía la Emitía, la Evcmo. Sr.…</t>
  </si>
  <si>
    <t>Canterac, Jos-f</t>
  </si>
  <si>
    <t>Jos-f Canterac</t>
  </si>
  <si>
    <t>…a posi-:¡on , qu: tomaba en rianco el canvno Ihmcaxo bo de jdlril de i.Vee. Parte que ca ci mariscal de campo dirección del enemigo P, a nu de sostener nuestras tr pas t-n caso de D. Jos-f Canterac ai Iíxcmo. v. Vtrey. s-r rechazadas , y qurdó mandando esta impurtarte reserva e! brizadier ” Exente. Sr. 1 D: vu-Ira en n día» ¡1 este punto desde mi salida pa Monct. Dispuse que ios destacamentos de Cántabr a y del Infante () ta la rxperlicon sobre leí, ten…</t>
  </si>
  <si>
    <t>Canterac, Joscf</t>
  </si>
  <si>
    <t>Joscf Canterac</t>
  </si>
  <si>
    <t>…se d.spuesto á ai Caiiao desde el valle de Jauja , y mandada por el general en seAiir el impulso del Austria. A pesar de la oposición de Mr. gefe de este ejército mariscal decampo D. Joscf Canterac, he "Wangenheim, el partido austríaco ha obtenido grandes ventajas mos creído conveniente Ja reimpresión del parte impreso en ia en lo» seis meses últimos. E11 primer lugar impuso silencio á los gaceta del Gobierno legítimo del Perú dei 5 de Noviembre periódi…</t>
  </si>
  <si>
    <t>Canterac, Josef</t>
  </si>
  <si>
    <t>Josef Canterac</t>
  </si>
  <si>
    <t>…ia la b:b‘ a tradu el glorioso resultado de lea, por efecto de haberse adelantado muy cida en lengua rusa , armenia , calmuca , trus:n a v per: • : ;a sa atinado felizmente el Sr. general D. Josef Canterac con tropa su ciedad de las misiones de Edimburgo ha enviado saces1 vumer.te ficiente para batir por sí solo á los enemigos de lea , sin esperar misioneros á Raras , que es un lugar tártaro s ruado en la falda mi reunión: á cuya determinación, á la rapidez y b…</t>
  </si>
  <si>
    <t>…á operar ofensivamente, hu día hacen las siguientes reflexiones á continuación del parte del biera sido batido ó) le hubiera costado arroyos de sangre la victo Sr. general en gefe D. Josef Canterac,. que hemos publicado en ria ; mas él conocia que no consiste el vencer solo en el núme las gacetas de los dias 5 y 6. ro, y que si bien detras de las innumerables*tapias que le servían » L is fuerzas del general en gefe D. Josef Canterac consistían de otros…</t>
  </si>
  <si>
    <t>Canterac, Jostf</t>
  </si>
  <si>
    <t>Jostf Canterac</t>
  </si>
  <si>
    <t>…l Sr. brigadier D. Gerónimo Va des, vuá V. E. ti movi EL Excmo. Sr. virey acaba de recibir del Sr. general en ge- miento que hacen los enemigos sobre .Moqutgua; y por r i parte fe D. Jostf Canterac el paite siguiente: del Sr. coronel de Gerona D. llayaano Amelar se alterará Excmo. Sr.: Ei 19 á ias tres Je la tarde llegué á las inme V E. del bizarro comportania to de este d e 10 gefe , de tus co diaciones de Torcía á t empo que la división del brigadier…</t>
  </si>
  <si>
    <t>Canteretc, Josef</t>
  </si>
  <si>
    <t>Josef Canteretc</t>
  </si>
  <si>
    <t>…acción que describe. batalla el primer escuadrón de dragones, cuando rompió el fue go el enemigo: contestó el Imperial con una acertada descarca, Parte que ¡la el mariscal decampo D. Josef Canteretc al Ex y mande cargar los valientes dragones de la Union , que lo ejecu celentísimo s-.iior Viref. taron con toda intrepidez. Dejaron de existir ¡as compañías cabe Exento. Sr.: De vuelta en 2 1 días á este punto desde mi sa za dei enemigo. El núm. i de Chile l…</t>
  </si>
  <si>
    <t>Cantero, Francisco</t>
  </si>
  <si>
    <t>Francisco Cantero</t>
  </si>
  <si>
    <t>…sible que haya guerra; nosotros diríamos lo mis A la de Instrucción pública se pasó el expediente promovido por mo si estuviésemos tan seguros como algunos creen estarlo de qu# en D. Francisco Cantero para que se le conceda jubilación con todos loa efecto la Inglaterra está decidida á usar de su preponderar.cia^iaia ase derechos de catedrático de la universidad de Salamanca. Igualmente se gurar la paz á costa de los ultras, asi como hace pocos días se quer…</t>
  </si>
  <si>
    <t>…tación provincial de Sevilla , nCativa al repar La comisión de Instrucción pública, en vista de la exposi timiento de propios v bald os de esta prov r.c.a , v pidiendo cur ción de D. Francisco Cantero , opinaba se le concediese la tercera tas aclaraciones á aquel decido, era de opinión que Lis Lorles parte del sueldo que había disfrutado. Aprobado. podían declarar que la d puucion contóme con el mayor ?e!o y La comisión de Legislación , en vsta de las expo…</t>
  </si>
  <si>
    <t>Cantevac</t>
  </si>
  <si>
    <t>…se infiere que se han enviado so nición de Lima y Callao__ El virey Laserna segu.a eu Cuzco corros á Valencia, de Los cuales ya tenia yo algunas noticias; pe con 3500 hombres__ El general Cantevac en Arequipa , er. lu ro como la malignidad se complace en asestar sus tiros contra gar del Sr. Ramírez, que se retiró á España, riene __En hombres decididos á sostener la libertad , quisiera que el. Sr. se Jauja hay 2 goo de excelente trop3, y el cuerpo de va…</t>
  </si>
  <si>
    <t>Canuel</t>
  </si>
  <si>
    <t>…n aranas partidas sueltas brados por el Rey el 29 de Enero para el egército de España. de patriotas españoles que molestaban bastante á tes &lt;gentes : tjlle Tenientes generales. El barón Canuel, el conde Molitor , el prín en la Nueva-Valencia y coro era et guto general por su unión á la cipe de Hohenlohe, el conde Curial, el vizconde Roussel de Hurbal, metrópoli , como también que había entrado di el puerto de-su salid* el vizconde Tirlet : el conde…</t>
  </si>
  <si>
    <t>Cap, Dionis'o</t>
  </si>
  <si>
    <t>Dionis'o Cap</t>
  </si>
  <si>
    <t>…u’.o a ios reglamento. otros, impidiéndola localidad que mutuamente se descubriesen. Los Sres. Sánchez y Canga contestaron que la expresada jun Hace honorífica mención del Exento. Sr. D. Dionis'o Cap..z, ta de Monte pío militar no existia de hecho ni de derecho, pues mayor general de la escuadra , que asistió á la acción por la parte estaba derogada por decreto de las Curtes de 26 de Junio de 1823. del Trocadero, y por ia acertada dirección que dió á ¡as…</t>
  </si>
  <si>
    <t>Cap-rubí, Josef</t>
  </si>
  <si>
    <t>Josef Cap-rubí</t>
  </si>
  <si>
    <t>…., y que para ello se saquen á pública otro sistema que el de sus delitos: para el efecto di el cargo al subasta por los trámites de la ley; debiendo celebrarse el primer capítar. D. Josef Cap-rubí, quien con sus cerdancs cazadores del remate el jueves i.° de Mayo próximo á las doce de la mañana. partido verificó la operación, cuyo resultado es el que manifiesta Los que quieran hacer proposición se presentarán en las casas ca el parte que me lia dado, y…</t>
  </si>
  <si>
    <t>Capacete, Fernando</t>
  </si>
  <si>
    <t>Fernando Capacete</t>
  </si>
  <si>
    <t>…tos. encontraban el ejército , la marina y las rentas de España bajo El m¡smo dia 26 fue nombrado Gobernador político y mi el antiyuo régimen? litar de dicho puerto ds Santa María D. Fernando Capacete, co ai.4" ; No tenia en pie el antiguo Gobierno español un ejér ronel que fue del batallón de la Lealtad, que se hallaba preso en cito de' 1503 hombres ? el castillo de las cuatro Torres de la Catraca, y hacia cuatro dial aa.4 &lt; Y con la mitad de estas fuerza…</t>
  </si>
  <si>
    <t>Capaoé, Joaquín</t>
  </si>
  <si>
    <t>Joaquín Capaoé</t>
  </si>
  <si>
    <t>…osas, que á las seis de la tarde de dicho dia se des—, El Comandante general del cantón de Chica , Mariscal de cubrió una pequeña" columna’ de caballería por el camino de lá Campo D. Joaquín Capaoé, desde el pueblo de Sari¡lena en ojicio- Lueza, contra la que inmediatamente salió el citado Miradas, y. de 9 del actual me dice lo siguiente: (i) cogió ro soldados de caballería prisioneros con sus caballos, ar ,,Excmo. Sr.: Ayer á las siete de la noche-me v…</t>
  </si>
  <si>
    <t>Capapé, Joaquín</t>
  </si>
  <si>
    <t>Joaquín Capapé</t>
  </si>
  <si>
    <t>…as armas de los pueblos de la capiianíji gene rem t:.al Ministerio de la Guerra copia del parte que le ha diri ral de su cargo les pasen las oportunas noticias de cuantos ofi gido D. Joaquín Capapé, que á la letra es como sigue: ciales residan”en ellos , con inclusión de los retirados y dipersos. Exctno. Sr.: Ayer á ¡as siete de su tarde salí de esta ciudad 3.0 Los oficiales que hubiesen extraviado sus Reales despa al frente de 300 infantes y 1 20 cabal…</t>
  </si>
  <si>
    <t>Capapé, Joaquín de</t>
  </si>
  <si>
    <t>Joaquín de Capapé</t>
  </si>
  <si>
    <t>Gaceta de Madrid n.º 223</t>
  </si>
  <si>
    <t>…ia,sum siony respeto ala Regenciaque} durante la ansiada restitución de S. M. ó la plenitud de sus de mr.o que se acaba de recibir, lo siguiente : Excmo. Sr.-. El mariscal decampo D. Joaquín de Capapé rechos, ha tomado á su cargo el restablecimiento del orden pú me dice desde Tortosa con fecha de «s del actual i las seis de blico tan desgraciadamente alterada en estos últimbs años; ha biendo prestado igual juramenta el colejio de abogados y todos su tarde…</t>
  </si>
  <si>
    <t>Capaz</t>
  </si>
  <si>
    <t>…ción por haberse declarado contra ella, ca de Rota dos buques constitucionales de bastante ínteres. refujiandose'i Gibraltar, en cuyo puerto se embarcaron para El ex-diputado y ex-ministro Capaz había desaparecido de Marsella con el objeto de dirijirse adonde los llama ia voz del Cádiz; y lo mismo se decía de D. Evaristo San Miguel, tam honor. bién ex-diputado y ex-ministro revolucionario , llevándose al __Del 8 ai i» a’ci mes próximo llegarán i esta…</t>
  </si>
  <si>
    <t>…otros pueblos. Hizo alto después de haber pasad fluencia de la cortadura y cano de Puerto-Real, ■ dirigidas por el la revuelta de S. Dieco, y desde allí observó que los enemigó 1 Sr. Capaz, y la artillería de las baterías hicieron mucho daño' al estaban fortificados en número de 400 ', próximamente en el mo enemigo, cuya pérdida debe haber sido grande. lino de Osio y su estancia, teniendo ademas adelantada una giier-■ El coronel D. Francisco Fe…</t>
  </si>
  <si>
    <t>Capaz, Dionisio</t>
  </si>
  <si>
    <t>Dionisio Capaz</t>
  </si>
  <si>
    <t>…eben impo imprima , publique y c:rcule.=Rubrlcado de la mano de S. M.=En nerse en virtud de lo que se dispone en el art. 5.0 que antecede, de- Palacio i s de Febrero de 18 23.2= A D. Dionisio Capaz. Credito publico. Mrs de Enero de l8oef. La comisión especial c . incorporación y venta de fincas del Crédito público ha recibido, desde 1.° hasta 31 de Enero último, avisos de loa jas ces de primen instancia de los diversos juzgado; del reino de haberse veri…</t>
  </si>
  <si>
    <t>…es el pan, conso cumplimiento, y dispondréis se imprima, publique y cuculí. Palacio larles...... Basta, Excmo. Sr., un cuadro semejante es mejor para pre 16 de Pobrero de 1823-=:A D. Dionisio Capaz.” senciado que para descrito por mi pluma. He mandado recoger toda? estas ¡utilices víctimas, y trasladadas i este cuartel general se les pro Ei Rey, para premiar el mérito que han contraido últimamente en porcionan los auxilios que dicta la humanidad en favo…</t>
  </si>
  <si>
    <t>…s de Europa su d.nastia rancia, caduca y diso cado de la mano de S. M~En palacio á 11 de Febrero de 1823. = A nante con la ilustración del siglo, como lo está demostrando su falaz D. Dionisio Capaz. conducta,” en concepto de subv&lt;rsiva y sediciosa. En su vista se reunió el jurado compuesto de Ies señores siguientes: El Gobierno ha recibido los partes siguientes- D. Josef Luis de Amandi, D._ Josef Demetrio Rodríguez, D. Fran «Cuerpo de tropas exp-dic'ona…</t>
  </si>
  <si>
    <t>…l ministerio de su cargo, la que fus cumplimiento, = Está rubricado de la Real mano. = Alcázar, de ■ suspendida por haber llegado la diputación. Sevilla á 29 de Abril de 1823. = A D. Dionisio Capaz.” ' El Sr. Oliver, presidente de la diputación, manifestó que es ta habia puesto en rítanos del Rey el decreto sobre señoríos, y El Gobierno ha recibido el parte siguiente. que S. M. la habia recibida con su natural agrado; á lo que el Con fecha de 15 del act…</t>
  </si>
  <si>
    <t>…sde el día de mañana miércoles se despachará un parte ó de la Real mano—Alcázar de Scvilia á 12 de Mayo de 1823.= correo diario á Badajoz, que saldrá á media noche como salen pa A D. Dionisio Capaz.” ra Madrid y Cádiz, y se recibirá la correspondencia hasta las once de la noche. Los Sres. diputados secretarios de las Cortes me dicen, con Instrucción púb'.iect. fecha 2 1 de Marzo último lo que sigue: Siendo, tan evidente el poderoso influjo que las cienc…</t>
  </si>
  <si>
    <t>…recibir á la diputación de las Cortes que La comisión de Visita del Crédito público, en vista de la debía pasar á felicitar á S. M. per ser el dia del santo de su nom solicitud de D. Dionisio Capaz para que se le capitalice el bre. Las Cortes quedaron enteradas. sueldo que disfruta como secretario del almirantazgo, que era La comisión de Guerra presentó de nuevo los artículos 17, a rites de serlo del Despacho de Marina, y del informe favorable 18,19, 20…</t>
  </si>
  <si>
    <t>Capdevila, Diego María</t>
  </si>
  <si>
    <t>Diego María Capdevila</t>
  </si>
  <si>
    <t>…aron todos los Sr. Villanueva. Abrió la sesión el presidente D. Pedro Chacón,, partidos, terminó toda animosidad , y Jos patriotas de todas las gefe político, y subió á la tribuna D. Diego María Capdevila, opiniones mezclados entre sí, y confundidos con todos tos aman diputado provincial, quien á nombré de la sociedad- y de todos tes de Ja libertad ,• se reunieron en I» sociedad patriótica, en los concimentes arengó al Sr. Villanueva , manifestándole cuya trib…</t>
  </si>
  <si>
    <t>CapExtracto</t>
  </si>
  <si>
    <t>…o prestado en la época á que hacia referencia el oficio del Gobierno, que tanto elogiaba les ERESÍDENCTA DEl SEÑOR ZU1UETA. sacrificios y celo admirable del filantrópico médico el Sr. CapExtracto de i a sesión del dia 2 de Agosto. many. Este se encerró con los apestados en el lazareto de BarSe leyó y quedó aprobada el acta de la anterior. ña , y sufrió todas las privaciones que son de suponer, y por lo A la comisión de Guerra se mandó pasar con urgenc…</t>
  </si>
  <si>
    <t>Capinany, Salvador</t>
  </si>
  <si>
    <t>Salvador Capinany</t>
  </si>
  <si>
    <t>…tener en la obediencia por el miedo á la stenera— adelante dicha determinación. Aprobado. cíon presente, de cuya conversión desconfia, y dirige por otra Otro sobre la solicitud de D. Salvador Capinany, médico que parte sus esfuerzos á formar en el molde de la esclavitud la ge fue del lazareto en tiempo de la epidemia que sufrió la dudad de neración venidera. Ahora empieza el reinado de la ignorancia, y Barcelona, y cuya solicitud recomendaba el Gobierno; p…</t>
  </si>
  <si>
    <t>Capitán</t>
  </si>
  <si>
    <t>…. vergonzoso y cruel. muchos años. Cuartel general de Fraga ao de Setie mbre de 1823. Esta nación, falta absolutamente de medios, de armas y de Exento. Sr.=Joaqu.n Capapé.esExcmo. Sr. Capitán general de gefes, confió su victoria á los impulsos de su religión y de su este ejército y reino de Aragón. valor. Los decretos impenetrables de la Providencia fijaron ya la hora en que reciban el castigo sus enemigos; porque vemos con Continúan las exposicio…</t>
  </si>
  <si>
    <t>…nvenga. Suiza de Francia que hito á'S. M. la primera guardia en el Puer Art. 6.° LaS tropas se acantonarán ó pasarán á los destinos to de Santa María. que tenga por conveniente el Sr. Capitán reneral nombrado • . También se ha servido S. M. nombrar Ministro residente cer por S. M. ca de los Cantones suizos al Coronel D. Luis Fernando Mon, Art. 7.0 Al Comandante general D. Francisco Plasencia, sus en atención á sus distinguidos méritos, acreditados…</t>
  </si>
  <si>
    <t>…digne aceptar estos sentimientos ds muchos años. Pilma / de Noviembre de i Excino. S r. — amor y lealtad, que ha tenido, tiene y tend'.i oernetuantente la. Josef Taberner.c=Excmo. Sr. Capitán general de los reinos ele ciudad de Bujalance-a V. R. P., cuya preciosa é importante Valencia y -Murcia. vida dilate y prospere'muchos años para bien de esta Monar quía el Señor de los ejércitos , qiie bendiga los de V. M. v alia Ei mismo Sr. Capitán general…</t>
  </si>
  <si>
    <t>…a Persona de V. M.; por la que piden al Todopoderoso que en su consecuencia me ha prevenido con fecha 6 del actual conserve los mas dilatados años para bien de esta monarquía y el Sr. Capitán general interino de este ejército y reino; quedando felicidad de sús vasallos. Marbella 30 de Octubre de i823.=Se desde ahora abolido el llamado sistema constitucional , y susti ñor.rrA L. R, P. de V. M.rrManuet Artola.rr:Joaquín Millan.rz tuido en todas sus…</t>
  </si>
  <si>
    <t>Capitán, Barón de Eróles</t>
  </si>
  <si>
    <t>Barón de Eróles Capitán</t>
  </si>
  <si>
    <t>…asta 15 de Diciembre próximo. con entrada, Intendente de ejército, y Director interino del Cré Plano de la bahía y ciudad de Cádiz con todos sus puntos y dito público. Al Teniente general Barón de Eróles Capitán ge plazas adyacentes, nuevamente retocado, y aumentadas Jas cor neral dél Principado de Cataluña; al de igual clase D. Felipe San taduras y fortificaciones hechas posteriormente en algunos de es Marcq para la capitanía general de Valencia, y para la de Cas to…</t>
  </si>
  <si>
    <t>Capitán, El</t>
  </si>
  <si>
    <t>El Capitán</t>
  </si>
  <si>
    <t>…uya tripulación D. Josef Manuel de Arjona, del Consejo Real, y Honorario de se ha salvado, ha sido quemada por los insurgentes. ¡a Cámara de! Supremo de ¡a Guerra, Superintendente general El Capitán bajá ha entrado en el golfo de Salónica con su de Vigilancia pública del Reino &amp;c. división á fin de hacer agua y provisiones, y dirigirse después Uno de los objetos que al encargarme de la Superintendencia hacia Negroponto , donde los insurgentes han hecho u…</t>
  </si>
  <si>
    <t>Capo</t>
  </si>
  <si>
    <t>…andes esperanzas, Mr.to mas cuanto tenían en C1 aun de la espantosa catástrofe de icio, nos ponderaba el Observador aus ministerio de St. Petersburgo un apoyo poderoso, que era el Sr. Capo de tríaco la demencia y 1* humanidad de los turcos. A todos los que se lasti Istria, íntimo confidente del Monarca. maban de las desgracias de la Grecia, y que le buscaban defensores entre Consideradas todas estas circunstancias , parecia que ia justicia debi…</t>
  </si>
  <si>
    <t>Car</t>
  </si>
  <si>
    <t>…este motivo he dispuesto que esta larde salga para aquel punto el resguardo de AstCirias y liradcr.-sa! mando Primer distrito militar. (Madrid.) Véase el artículo de oficio. de su comandante Car reno , y yo con el resto de la columna , después de —Se han recibido en esta capital periódicos de París nista ei 1 a inc'urecibir esta tarde en Parada ¿ella los zapatos que me remite ei coman sive, y con relación á ellos publica uno de los periódicos de esta…</t>
  </si>
  <si>
    <t>…rlos . "Segundo ejército de operaciones; primera división: Tengo la Eott.i de la nnitr culi de Palma .(..M-ibcrca ) , que he satisfacción de incluir á V. S. el parte del • bizarro coronel Car pondeiicia p.ibiica pura aquella da naufi.Mo'cn las cestas «le Cor, rot'.-.' , ca-rera; por el se enterara V. S. de la completa derrota de Ja [ac ceca, perdiendo «; bar.o , la cor;cipo, d,i\ a', dln.ro ción de Adán Trujillo en los limites de hsp;r a y Franc.a…</t>
  </si>
  <si>
    <t>Gaceta Española n.º 11</t>
  </si>
  <si>
    <t>…icio á palacio Infante D, Carlos y la M. N. L. de Ma continuar siendo árbitro del destino de ia pen.nsula ¡tabana,'y sin drid , á las órdenes del comandante accidental del Infante D. Car exponerse á cor.vuls.ones, cuyo ritmo resultado pod.a serie muy los D. Joaquin González. bien tan funesto, como á los franceses io fue el queier mandar Parada milicia act.va, Reina y la M. N. L. de Madrid, el dirtetamente en España Todo cuanto se presenta com…</t>
  </si>
  <si>
    <t>…ue no Gefe de dia el comandante, accidental del Infante D. Carlos se observen (3); que no deja al Monarca nt aun la facultad de D. Joaquín González___Servicio á palacio el Infante D. Car elegirse una esposa (4), y que disemina, per decirlo asi, el po los , y primer batallón de la milicia nacional local de Madrid, á der público entre las manos de autoridades sin número institui las órdenes del comandante del segundo batallón de la nacional das…</t>
  </si>
  <si>
    <t>…presente V. E. en oficio de 5 de Marzo último, re mentó de Inglaterra. lativo á que D. Pedro de la Puente, hermanos y compañía, del Fra&gt;'d&gt;. Núm. i.° El Sr. secretario Canning ai Sr. Car comercio de Cádiz, han cargado en ía salina particular de Don los Stuart. (Extracto.)—Secretaría de Estado Marzo 31 de 1823. lucas Zuluaga 88 cahíces de sal con destino al puerto de la Ha— srEl artículo de que incluyo copia se halla contenido en el tra vana,…</t>
  </si>
  <si>
    <t>…el modo siguiente*: Cádiz 12 de Setiembre. » El conn-jíT /ó-,¿«.i, ingerta un documento muy singular, CORTES EXTRAORDINARIAS. expedido por un personaje de mucho inlUijo, el famoso D. Car los de España, virey, general y capitán general del reino de- Na J'K.ESIDKNCIA JJE1 SEÑOR BECERRA. varra, el cual en un.011 con el conde Aquiles de Jouffroy Extracto de la sesión del d’a 12 de S&lt;titmbre de 1S2J. hizo un papel importante en las negociaciones d…</t>
  </si>
  <si>
    <t>Car-, Josef</t>
  </si>
  <si>
    <t>Josef Car-</t>
  </si>
  <si>
    <t>…tártaras y gún los avisos que V. E. se habia servido comunicarme debía inongoks con el fin de que en lo succes’vo ¡e sirviesen de nrsiollegar alli aquel día á las órdenes del Sr. brigadier D. Josef Car- neros. Alejandro , siguiendo sus huellas ha multiplicado en su im ratalá, continué mis marchas sobre aquel punto adonde llegué el perio los seminarios; y las sociedades bíb'dcas formaJ■&gt; en Rus a, 11 á medio día , no obstante que en el pueblo de Santiago supe…</t>
  </si>
  <si>
    <t>Car.tel, Josef</t>
  </si>
  <si>
    <t>Josef Car.tel</t>
  </si>
  <si>
    <t>…lto, tanta calumnia, y tanta ignorancia; y En su vista se reunió el jurado, compuesto de los Sres. siguientes: mas imposible parecía que á fuerza de querer perpetuar la esclavitud D. Josef Car.tel; D. Juan Isidoro Perez; D. Simón González Yusíe; de lo: pueblos, se les diesen lecciones tan claras pata que aceleren su D. Josef Radon; D. Sebastian Andrés; D. Ramón Llord; D. Francis libertad. co Martinez Marina; D. Josef Luis de Amandi, y D. Manuei Esteban…</t>
  </si>
  <si>
    <t>Car.terac, Joref</t>
  </si>
  <si>
    <t>Joref Car.terac</t>
  </si>
  <si>
    <t>…'*' GACETA ESPAÑOLA. CADIZ MARTES 16 DE SETIEMBRE DE 1823. ----------- —J "" I NOTICIAS DE ULTRAMAR. Idem 28 Je Febrero. Cuzco 24 tic Febrero Je 18 Oficio del Sr. general en srfe D. Joref Car.terac al Excmo. stñor lir.y ¡i,, r ico. Por gaceta extraordinaria se han publicado los documentos N.ím. 37. Excmo. Sr.: Por ¡os adjuntos oficios núms. 8 y 10 siguientes: del Sr. brigadier D. Gerónimo Va des, vuá V. E. ti movi EL Excmo. Sr. virey acaba de recibir de…</t>
  </si>
  <si>
    <t>Carasa, Eduardo Rodríguez</t>
  </si>
  <si>
    <t>Eduardo Rodríguez Carasa</t>
  </si>
  <si>
    <t>…e último obsequio al UyCi milita te» que.- bita'-infame codicia- Íes ha hecho vio-arU granciPió •o-n -, cayó elogio fúnebre pronunció con grande elo ^NOntlAS DE ESPAÑA. cuencia el Sr. D. Eduardo Rodríguez Carasa=, , . c-■r. :Httanzos 25 de Jfgosto. ■ ... r . ■ .— E! Constitucional Trances en str número ¿de a del corriente, . . ün. la; jurisdicción de esta ciudad y feligresía efe S. Julián de -con el candor propio de un liberal, introduce un artículo, que Jlafldago-,…</t>
  </si>
  <si>
    <t>Carbajal, Josef</t>
  </si>
  <si>
    <t>Josef Carbajal</t>
  </si>
  <si>
    <t>…orma y las veces que quisieren. Pero si al tiempo de la muerte del autor, traductor ¿cc. no hubiese aun salido á luz su La comisión segunda de Hacienda en vista de la solicitud de D. Josef Carbajal, empleado en la aduana de Barcelona, y ac obra , los veinte años concedidos á los herederos empezarán á con tualmente separado de su empleo por hallarse en estado de de tarse desde la fecha de la primera edición que hlchren. mencia, opinaba que debía abonárse…</t>
  </si>
  <si>
    <t>Carballido, Antonio</t>
  </si>
  <si>
    <t>Antonio Carballido</t>
  </si>
  <si>
    <t>…hijo menor que tenia de su primer matrimonio; opinaba que no Josef Mena, á los capitanes D.' Miguel Porcel y D. Manuel de. debía accederse á ella. Aprobado. Zayas, á los tenientes D. Antonio Carballido y D. Agustin Mi La misma opinaba que debia declararse no haber lugar á de ró , y al subteniente D. Benito Tuñon , y por ayudante de órde- liberar sobre Ja solicitud del marques de la Torre, vecino de denes del E. M. de este ejército al subteniente D. Rafael Hu Murcia, relativa…</t>
  </si>
  <si>
    <t>Carbode, Nicolás</t>
  </si>
  <si>
    <t>Nicolás Carbode</t>
  </si>
  <si>
    <t>…Agustín Berard ; en Cádiz en la de D. Diego Zaragoza; en Bidaacompañan, ha visto S. M. con la mayor satisfacción el generoso rasgo joz en la de D. Juan Patrón, y en Palma en la de D. Nicolás Carbode amor patrio con que Doña Josefa Diez de la Cortina ha demostra nell. Su precio es á 20 rs. sin iluminar la estampa de los uniformes, do su heroico desprendimiento al ofrecer á V. E. para defender los in y i ai rs. iluminada. destructibles derechos de la indep…</t>
  </si>
  <si>
    <t>Carbonell, Francisco</t>
  </si>
  <si>
    <t>Francisco Carbonell</t>
  </si>
  <si>
    <t>…dentro de dé-la mañana del dia de hoy llegué á las inmediaciones del pue una servilleta 1a famosa canción de ios Misiona o: de Berenrusr. blo , desde donde dispuse que el alférez D. Francisco Carbonell En el teatro reinó 1a misma frialdad y silencio; en una palabra.' con 15 hombres se introdujese con el mayor sigilo dentro del hemos temido un verdadero dia de difunto]. ¡ Qué presagio' mismo pueblo, y se cerrase en la casa que le indiqué para darme Yo me inclin…</t>
  </si>
  <si>
    <t>Carbouell, Antonio</t>
  </si>
  <si>
    <t>Antonio Carbouell</t>
  </si>
  <si>
    <t>…ficio siguie»te: tase en su diario. A las seis de la mañana de hoy, viniendo á esta capital con la corres Igualmente leyó ia segunda, que decía asi: pondencia general el conductor D. Antonio Carbouell , lo han deteni A las Cortes extraordinarias: do dos horas 8 facciosos de á caballo en la inmediación de la venta de » Los milicianos nacionales voluntarios ds Madrid, que tuvieron el S. Antonio y cortijo de Mardusnda, una legua mas aca de la casa de honor de…</t>
  </si>
  <si>
    <t>Carcer, Gerónimo Argentó IX Antonio</t>
  </si>
  <si>
    <t>Gerónimo Argentó IX Antonio Carcer</t>
  </si>
  <si>
    <t>…......................... nD. Miguel Oset. ¡ l,Idcm idem según el artículo 9.0....................... 8400 D. F rancisco Garoz y Zayai D. Agustin del Rio. Alféreces, capitanes. ’J D. Gerónimo Argentó IX Antonio Carcer. IX Agustin Maria de Várgas. Tenientes efectivos. 7200 D. Francisco Oset.................. Jdem teniente } Sargento primero con} D. Luis Torcellinos. . .....................Jgrado de capitán y sueldos Teniente supernumerario, según el art. 13. 6840 Idc tenien…</t>
  </si>
  <si>
    <t>Cardenal</t>
  </si>
  <si>
    <t>…onalmente en trago cardenalicio al palacio quitina! cavar la huesa do nuestros enemigos, porque cada paso que ellos ¿saber del Sto. Padre. adelantan, ahondan la nuestra.** El Emo. Sr. Cardenal de la Genga, vicario de Roma, orde ¡ Y á este hombre se cuenta en el número de los grandes nó inmediatamente que se expusiese el Smo. Sacramento en las oradores de la cauta popular! ¡y no se han avergonzado de eri iglesias patriarcales Lateranense, Vaticana y…</t>
  </si>
  <si>
    <t>…á la tranquilidad su traslación á menzaron el 24 del corriente , y celebra ia misa en cada uno de otro punto, presentarán la causa al Corregidor para que entera los nueve días un Sr. Cardenal con asistencia de todos ios demas. do se resuelva. {Echo du Midi.y Se han tenido varias congregaciones tanto particulares como Idem 17. generales para preparar la celebración del cónclave y para otros Extracto de un parte dado por el general barón de Rcttembo…</t>
  </si>
  <si>
    <t>Cárdenas, Beatriz de</t>
  </si>
  <si>
    <t>Beatriz de Cárdenas</t>
  </si>
  <si>
    <t>…ficando á su capricho cuanto hay da de 39,210 mrs. vn.: otro ¡d. en señoríos de la misma ciudad, y en ca mas sagrado en el mando. Luis xviu no puede estar en libertad cuan beza de Doña Beatriz de Cárdenas , de 118,421 mrs. vn. Se suplica í do le hacen decir que sus inteteses exigen que se encienda una guerra la persona que sapa el paradero de dichos juros lo avise en la calle de que puede enderse á toda la Europa, y acarrear un nuevo trastorno S. Onofre, núm,…</t>
  </si>
  <si>
    <t>Cárdenas, Francisco López</t>
  </si>
  <si>
    <t>Francisco López Cárdenas</t>
  </si>
  <si>
    <t>…e su Nación con los se le lian extrav ado los juros siguientes: uno sobre alcabalas de Sevilla, peculiares de ciertos hombres de partido , que en nada reparan con tal en cíbeza de D. Francisco López Cárdenas y Doña Beatriz de Cárdenas, que puedan salir con su tema, sacrificando á su capricho cuanto hay da de 39,210 mrs. vn.: otro ¡d. en señoríos de la misma ciudad, y en ca mas sagrado en el mando. Luis xviu no puede estar en libertad cuan beza de Doña Beatriz de Cárdenas , de 118,421 mrs.…</t>
  </si>
  <si>
    <t>Cárdenas, Gonza'o</t>
  </si>
  <si>
    <t>Gonza'o Cárdenas</t>
  </si>
  <si>
    <t>…ilitar con los empleados mingo Villamil, D. Santiago Delgado, D. Szbzst-an Andrés, Don necesarios.si no estuviese por contrata. F.n escaso de que los ramos de Zoií , G m z Casero, D. Gonza'o Cárdenas, D. Juan Fernandez Cjvivires, utensilios y otros se administren por la Hacienda pública , que jariego, D. Juan Manuel de Aiéjulay D. Valentín Recio, declaman será solo cuando tío se hayan presentado l.Citado/es - contrata con p.o- por uniíi,mid.id haber lu¿ar…</t>
  </si>
  <si>
    <t>Cárdenas, Gonzalo</t>
  </si>
  <si>
    <t>Gonzalo Cárdenas</t>
  </si>
  <si>
    <t>…e Rotvley ea Ja Jamaica. D. Antonio Sandalio de Arias, D. Juan Manuel de Aréjula , D. Fe _E1 Monitor del 31 publica ya el decreto de la convocatoria de las lipe López Valdenioros, D. Gonzalo Cárdenas, D. Manuel Esteban Cámaras para el 18 de Enero. Gatalá , D. Nicolás Cano Luque, D. Zoilo Gom:z Cisero , D. Joscf __La libertad nunca ha sido vencida por ¡as armas extrangeras; y tan Larreategi-.i y D. Francisco Bauza.. to las naciones antiguas como lai modern…</t>
  </si>
  <si>
    <t>…primer egército de re- Travesedo, D. Domingo Villami!, D. Manuel josef Gallego, Don serva. 4.0 Se formará otro egército , que tendrá la denominación de se- Juan Manuel de Aréjuta, D. Gonzalo Cárdenas. ■ ■ ■ gundo egército de reserva, cuyo mando ha tenido á bien confiar S. M. Habida la conferencia , resultó por unanimidad haber, lugar á la al teniente general conde de Cartagena , que desempeñará igualmente formación Je causa. el mando de los distritos a.°…</t>
  </si>
  <si>
    <t>…(D. Casitdo) , González Rom , Ru.zdtl Ro, cuarta del segundo y de cazadores, y quinta del tercero , y del ayu Rodríguez Paterna , 'Otos, Tomas , Cubas , Cano , Guevara, Mar dante D. Gonzalo Cárdenas y el brigada D. Rafael Duende, á fin de chámalo, Prado , Eulate, Munarnz, Vega Infanzón, Lapuerta , Ro- que con conocimiento de todo se persuada del mériio singular que han rn -ro, Sangeuis, López Cuevas, Lasaos Quiñones , Alvarez ( Don coi-.traido los indivi…</t>
  </si>
  <si>
    <t>…Ademas y en este intermedio ha organizado la diputación com D. Tadeo Parras Hermosilla. D. Domingo García. pletamente y en estado de servicio dos compañías de infantería y una de D. Gonzalo Cárdenas. D. Marcos Izquierdo. caballería de cazadores constitucionales, que deberán destinarse al mo D. Francisco Sainz de Rozas. D. Francisco Luciano Domínguez mento á recorrer la provincia con el objeto que expresa el decreto ds D. Nicolás Cano de Luque- Villanueva…</t>
  </si>
  <si>
    <t>Cárdenas, Gonzalo de</t>
  </si>
  <si>
    <t>Gonzalo de Cárdenas</t>
  </si>
  <si>
    <t>…istrará jus formación de causa los sefiores jueces de hecho D. Josef Rtves, Don ticia ; apercibido que pasado sin haberlo verificado , sin mas citarle si Marcos Antonio de Mcnero, D. Gonzalo de Cárdenas, D. Juan Ma emplazarle se continuará y substanciará por su ausencia y rebeldía con nuel Aréjula, D. Juan Antonio López, D. Gaspar Aguilera, D. Luis los estrados. de Mata y Araujo, D. Joaquín ds Vega y Quintana y D. Juan Isidro Por el presente se cita á los qu…</t>
  </si>
  <si>
    <t>…los con los testimonios, justificación Calvo de Hozas, D. Celestino de Olozaga , D. Antonio Sandatio de y notas, los retengan, abonen á los pueblos su importe (incluso como Arias, D. Gonzalo de Cárdenas. va dicho el coste de la conducción.) , carguen á los encargados en las Habida la conferencia , declararon por unanimidad » haber lugar ¿ cuentas qlie han de abrirles los frutos y el mismo importe , y expi la formación de causa.” dan á los pueblos para su res…</t>
  </si>
  <si>
    <t>…mi sueldo, cediéndolo para las urgencias de Señores que declararon dicho impreso sedicioso en tercer grado: la Nación durante la guerra extrangeia. Dígnese V. E. inclinar el Uta! D. Gonzalo de Cárdenas, D. Antonio de Alcázar, D. Ramón Llord, ánimo de S- M. i admitir esta pequeña ofrenda, que hago gustosí.imo D. Francisco López de Olavarrieta, D. Joaquín de Ce"-! os, P. Ju en i» aras de a libertad , ai mismo tiempo que renuevo el juramento lián de Fuentes, D…</t>
  </si>
  <si>
    <t>Cardera, Josef Martínez</t>
  </si>
  <si>
    <t>Josef Martínez Cardera</t>
  </si>
  <si>
    <t>…ndulto. Por mi parte, ña contra Bonapatte. Se vende en la librería de D. Atanasio Divila; sin comprometer la dignidad ds mi autoridad, he hecho que lleguen á en la Coruña en la de D. Josef Martínez Cardera; en Valladolid en sus manos algunos egemplsres del decreto de Cortes en que se concede, la de D. Manuel Aparicio ; en Búrgos en la de D. Rosendo Revilla; y avisaré á V. E. de cualquier resultado. Acompaña á Bessieres el ex en Vitoria en la de D. Pedro Barrio…</t>
  </si>
  <si>
    <t>Cardona, Juan</t>
  </si>
  <si>
    <t>Juan Cardona</t>
  </si>
  <si>
    <t>…el decreto siguiente: Guiso fue á ocupar la salida del pueblo hacia Orista; el segundo, Por cuanto el territorio español ha sido invadido por las tro á las órdenes del subteniente D. Juan Cardona, ocupó la salida pas del Gobierno francés sin declaración de guerra, y sin ningu del pueblo hácia Llusá, y yo con el resto me dirigí á la taberna, na de aquellas formalidades que el uso ha consagrado; y por punto en que sabia acostumbraban á hallarse reunidos…</t>
  </si>
  <si>
    <t>Cardona, Martin de</t>
  </si>
  <si>
    <t>Martin de Cardona</t>
  </si>
  <si>
    <t>…gefe político de Játiva con fecha 16 del actual me dice Abril de 1823. = E1 conde del Abisbal. lo que sigue: » El Capitán de la M. N. V. de artillería de Dcma Sevilla 26 de Abril. D. Martin de Cardona acaba de comunicarme por extraordina rio un oficio, que á la letra dice asi: A la una hora de esta tar CORTES. de ha llegado uno de mis patrones, procedente de Tarragona , con la- noticia de que el dia r 2 á las cuatro horas de la tarde entró el PRESIDENCIA D…</t>
  </si>
  <si>
    <t>Caree-, Fernando</t>
  </si>
  <si>
    <t>Fernando Caree-</t>
  </si>
  <si>
    <t>…de Ponga y Amicha. Se colocan á su frente , entre oíros cabeci pañoles.” Se pasó en seguida asacar des suertes de los muchacho! llas, el administrador de rentas de Cangas de Onís D. Fernando Caree- apuntados, los cuales fueron premiados con un sombrero cada uno, do, quien ya se ha acogido al indulto, y el teniente cura de Viilauue- guarnecidos ambos de rosas naturales, habiendo recaído estos premios va: cometen mil horrores en Onís, y creen de nuevo dev…</t>
  </si>
  <si>
    <t>Carica</t>
  </si>
  <si>
    <t>…los arts. 34a y 343 vos gastos pata que las Cort:s vean los verdaderos que se van á origi de h Ccnstitucivn. nar y puedan decretarlos con toda seguridad? ¿Con qué conocimientos K. Sr. Carica preguntó si en el pago de las contribuciones estaban han de proceder estas si no saben las cantidades que se necesitan? Por mas atrasadas ias provincias ricas que ias pobres. estas razones me opongo al dictamen , en el cual se mezclan cosas in Ei Sr. secretar…</t>
  </si>
  <si>
    <t>Carie</t>
  </si>
  <si>
    <t>…anifestar orgullosos su posesión ; p*.ro una columna del regimiento de Extremadura y una compañía del In n División expedicionaria del primer distrito militar. = Excmo. Sr.i fante D. Carie:, mandada esta per cí comandante del mismo D. NT. Por mi oficio fecha 28 del actual «uve el honor de manifestar á V. E. Rcig , y aquellas por el capitán D. Manuel Perez , en número de 200 que ¡i pesar de recelar que las órdenes del Gobierno , relativas á la d…</t>
  </si>
  <si>
    <t>Carignan, Príncipe de</t>
  </si>
  <si>
    <t>Príncipe de Carignan</t>
  </si>
  <si>
    <t>…mo el escuadrón de lanceros del Señor manifestar á S. A. R. el Sr. Duque de Angulema, su au Infante D. Carlos, los provinciales á que da nombre la plaza, gusto Primo, y á S. A. el Sr. Príncipe de Carignan el aprecio, cuyo número, según tengo entendido, no excede de 150 hom bres, y unos 40 artilleros que hay en ella, en unión con otros que hace de sus personas, y la consideración con que mira los tantos de mi división. Verificada la entrega de almacenes y per e…</t>
  </si>
  <si>
    <t>…aliente regimiento de línea ha hecho prodigios: en de Guadaira al Sr. Duque de Angulema, que se dirige á Carmoesta acción han perecido mas tránsfugas franceses que en todas na. El Sr. Príncipe de Carignan los acompañó un rato á su las demas que se han dado en España, por el motivo de hallarse regreso. casi todos en Cataluña, Idem 72. En este momento entran nuestros valientes de su expedición SS. MM. y AA. continúan sin novedad en su importante cubiertos de her…</t>
  </si>
  <si>
    <t>Carino, Pereira do</t>
  </si>
  <si>
    <t>Pereira do Carino</t>
  </si>
  <si>
    <t>…fieles y hon videncias para proveer de subsistencias á Cartagena, y ios tastillos rados hasta la última extremidad. de Carayaca, Loica y Aguilas: ademas de-haber cumplido con F.l Sr. Pereira do Carino pidió que la protesta fuese firmada armar y vestir i 537 soldados de infantería , con vestir á 51 ti« por todos losd put.ldos presentes; y habiendo habladootrosseñorcj caballería de linca, á 61 id. de ligera, á 22 de ait&gt;¡leria y za todos unánimes en que se d…</t>
  </si>
  <si>
    <t>Cario</t>
  </si>
  <si>
    <t>…do noticia el gefe político de la provincia de Murcia El olor muriático del vapor que salia de esta lava indicaba segu de la patriótica oferta que ha hecho el benemérito ciudadano D. Cario* ramente que había en ella sal marina, y confirmaban esta conjetura Mazon , vecino de Bullas, de prestarse voluntariamente á servir en la las sublimaciones que se advertían sobre la materia, luego que esta se indicia nacional activa de aquella provincia v;»ti…</t>
  </si>
  <si>
    <t>…allos, una muía, algunas armas y tres cargas de ropa nel de Mallorca D. Jo"f Joaquín Márquez Donado. que la tarde anterior habían robado á unos comerciantes de For Fuerza. Infante D. Cario» tí. Mallorca tí?. BujaUace 8co. Total aSoo. tuna y Algezares en el puerto de la Mata muger.</t>
  </si>
  <si>
    <t>…ion al supremo tribu lo que equívocamente se dijo en el extracto de d eha sesión, .M r e ' ».n te .1 j / M.tvc. nal de Justicia. f.&lt; Gete de dia el comandante interino del luíante D. Cario» El Sr. Romero se opuso a este dictamen, manifestando que</t>
  </si>
  <si>
    <t>Cariota, Joaquina</t>
  </si>
  <si>
    <t>Joaquina Cariota</t>
  </si>
  <si>
    <t>…iguel de Llama; en mas bien habar hacho lo que hizo en Diciembre de 1821 su la inteligencia que pasados sin hacerlo les parará el perjuicio que augusta Hermana la Runa de Portugal Doña Joaquina Cariota baya lugar. - de Boiboní No. Conversaciones primara, segunda, tareera y En Tugar de concurrir los acreedores ¿ interesados de ia Ex cuarta de dos amigos. Se vende en la imprenta que fue ds Gar-1 celentísima Sra. duquesa vinda de Rivas el dia 25 del corrien cí…</t>
  </si>
  <si>
    <t>CárJos.z</t>
  </si>
  <si>
    <t>…y patrullas Jo mismo__ Hospital y provisiones la milicia activa. á que no preceda el aviso, á ia autoridad local, con noticia del —Teatro esta noche á las siete y media el lofánte Don CárJos.z^ motivo de la reunión, quedando. Ja misma autoridad facultada Leglisa. para asistir á ella por sí o persona que delegue. Al t. 2.0 Los infractores de la anterior resolución serán cas Por un conducto de teda confianza hemos recibido como au-» tigados con una m…</t>
  </si>
  <si>
    <t>Carlo</t>
  </si>
  <si>
    <t>…y proclamado 12 cardenales de la iglesia ro dirá á Jas nueve en el convento de S. Pablo mana que son los Sres. Frosini, Rario, Bertuzzoli, Pallota , Odes- El batallón del Infante D. Carlo9 nombrará un sargento, un calchi , Turiozzi , Falza-Cappá , Serlüpi, Pedisini, Pandolfi ,D.'ii- cabo y ocho soldados , á disposición del consejo, cuya fuerza .se dini, Orfini, reservándose otros 11 &lt;n (tetare. hallará á las nueve de la mañana en las tasas del…</t>
  </si>
  <si>
    <t>Cárlo, Sermones del P.</t>
  </si>
  <si>
    <t>Sermones del P. Cárlo</t>
  </si>
  <si>
    <t>…s del burro á 3 rs. iluminadas, y no desea la guerra. Din» guarde á V. r.. muchos años Lugo 5 de Fe las del Trépense á 5 rs. brero de r82g.=Excmo. ír.xzAntomo Qurroga.asExcmo. Si- secretario Sermones del P. Cárlo» Frey de Neuville, predicador de Luis xv, de Estado y del Despacho de la Güera.” Rey de Francia, dedicadas á Luis xvr 1 traducidos del francés al caitellano por D. Juan Antonio Pellicer. Estos sermones fueron recibidos ” Comandancia general del 7.' distrito.x…</t>
  </si>
  <si>
    <t>Carlos</t>
  </si>
  <si>
    <t>…, y entonces reren los que los ’&gt; Debo recomendar en particular al subteniente de roiqueletes de esperan, y al parecer salen á incorporárseles, cómo les va por esta parte Cervera D. Carlos l’osiils , quien con su vigilancia y disposiciones de Irun, Bastan , Cinco Villas y hantisteban , donde bajo el apoyo de acertadas hizo arrostrar todos los .peligros, y defendió Iqs principies nuestras columnas, .que también saben atravesar sierras pata perse…</t>
  </si>
  <si>
    <t>…oceders- á impo cual no sabemos cuándo se verificará , ni sí se aprobará, al paso ner las penas á ciertos delitos, por cuanto muchas de las leyes de nues ■ que desde el tiempo del Sr. D. Carlos m se ha estado siempre reco tros códigos antiguos son contrarias á la Constitución. Pero S. b. no se nociendo la necesidad que habia de un código penal. lia hecho caigo de que no se observarán dichas leyes en esta parle de! Xas Cortes pasadas después del rest…</t>
  </si>
  <si>
    <t>…e en un sargento del Infante D. Cirios ocuparla llave déla posición, que cubría una compañía de cazadores muerto, un cabo del mismo herido, y un tambor y un soldado de del Infante D. Carlos, y al efecto la atacó vigorosamente con un ba Extremadura heridos igualmente—L3 del enemigo aun no la sé de po tallón , que en pocos minutos fue arrollado á la bayoneta, arrojando sitivo, pues están recogiendo los muertos, que son bastantes, prisione las arma…</t>
  </si>
  <si>
    <t>…da obligaciones: esto es sumamente esencial, pues en todos tiempos se ocasión á que se cometan muchos pecados; no se me venga rearguyen ha conocido la necesidad de demarcarlas. El Sr. D. Carlos rv en el do con que Benedicto xiv dice que se guarden todas las que hay estable año de 1794 dijo que había visto con dolor que se confundía el dere cidas , pues respondería que era necesario que viniese a ser cura párro cho divino con ei de reserva : que se p…</t>
  </si>
  <si>
    <t>…e y de sus soldados.” » En la acción de las guerrillas de aquella tarde ha sido herido el Para manifestar el aprecio que merecen 1er. argumentos del citado subteniente del Infante D. Carlos D. Josef Curallé y un sargento , cu periodista basta notar que sienta como hechos conocidos que no sola yo nombre expresaré á V. E. en el primer parte. Todo lo que espero mente la revolución de Ñapóles y d:i Piamonte , sino también la de ¡a que V. E. se sirva poner en noticia…</t>
  </si>
  <si>
    <t>…a hacer una confesión general ,asi para jos donde yo había pernoctado; pero el segundo batallón del Infanta - alivio, y expedición de los confesores, como de los penitentes en exa Don Carlos, que aun no te había reunido con el convoy, y quedaba minarse y hacerla ; cotí -varias orach-ncs para el examen , para anus y dos leguas i retaguardia, llegó inmediatamente , hizo algunos prisio dtrpuetdala confesión ycomuhion , ofrecimiento de tas obras , y…</t>
  </si>
  <si>
    <t>…tan honoríficos- destinos , y habiendo acreditado en acompañando á V. E. copia de su contenido , y tan luego como reciba el ellos su saber , prudencia y zelo del bien público, t! Sr. D. Carlos m, jus detall circunstanciado que ofrece , le rem’tiré igualmente sm p.rder intH to apreciador del mérito, le envió al Perú con encargos de la mayor im mentó. Las penalidades que habían cxpei .mentado las tropas que tengo el portancia , y con amplias facultad…</t>
  </si>
  <si>
    <t>…i ha prepaiado. En cuanto a la sol icitando una pensión para un menor cadete del regimiento del In disposición en que cst , la España, en vano nos diréis que en lug-u de ver fante D. Carlos , de cuya tutoría está encargado. en vosotros unos opresores como los de ios egercitos de Napoleón, os es Se leyó un oficio del Sr. secretario del Despacho de Gracia y Jus pera como amigos y aliados. La independencia de los pueblos no entra en ticia , partici…</t>
  </si>
  <si>
    <t>Cárlos</t>
  </si>
  <si>
    <t>…drían anuos de debilitar las fuer gendró una convención; i por qué no ha de pfoduor también la suya zas de la monarquía francesa. la España revolucionaria! El juezqtie sentenció á D. Cárlos á presidio ” Antes de la revolución (dijo) la Francia no ttaia mas que un» srría un miembio digno de este tribunal (3). la revolución española frontera que defender, pues estaba guardada por el Mediterráneo al ¿ no ha tomado la nu/stra por modelo ! ¡ Ño la co…</t>
  </si>
  <si>
    <t>…sa de México coro das que corrian en Castilla en tiempo de D. H.-nrique iv , y su corres nando í Bolívar. También habla de muchas atrocidades que cometió pondencia con las del 8r. D. Carlos ív: un tomo en 4.0 marquida___ el padre Toir-.-Urs m Coro al -bandonar aquella ciudad, hicia la cual Ensayo sobre los alfabetos ds las letras desconocidas que se encuentran se dirigía nuestro gen -ai Morales d sde Maracaibo , y que esta última en las antiguas…</t>
  </si>
  <si>
    <t>…mer batallón de la mili retentará ..i mina: Ja mecha toca ya á la pt.lvora, y quizá á cia nacional local D. Manuel Zapata. estas horas.... en PariiJ..., Servicio á parado, Infante D. Carlos y segundo batallón de (Asi concluye la carta de nuestro corresponsal : nosotros la milicia tocal de Sevilla á las órdenes del comandante acciden creemos que efectivamente la mina va á rebentar, y que la tal del Infante D. Carlos D. Juan González. I'rancia va…</t>
  </si>
  <si>
    <t>…España han subido uno de ladrones en cuadrilla, á que asistirán como vocales un capitán y medio por ciento, pues al medio dia estaban á 27 y medio, y de la Reina, otro del Infante D. Carlos, dos de la milicia acti se habían abierto á 26 y cuartillo. va, y dos del cuerpo de .artillería. La misa del Espíritu Santo se S. S. ha creado y proclamado 12 cardenales de la iglesia ro dirá á Jas nueve en el convento de S. Pablo mana que son los Sres. Frosi…</t>
  </si>
  <si>
    <t>…rtos. Valladolid 9 de Abril de 1823.” Orden de la plaza del r6 al ¡ 7 de Abril, Cuarto distrito militar. El general Espinosa desde Burgos con Gefe de dia el comandante del Infante D. Carlos D. Joaquín fecha del 8 comunica el parte siguiente: González. «Excelentísimo Señor: Tengo el placer de anunciar á _ Servicio á Palacio Reina y 2.0 batallón de milicia de Ma-. V. E. que la facción de Bessíeres, compuesta de 400 infan drid, á las órdenes de su comandante.…</t>
  </si>
  <si>
    <t>…rancisco Perrichini, D. Josef Márquez y D. zVntonio Ve- L. de Madrid D. Benito Marrad. lazquez , que fueren los mas digno* modelos de la decisión con Servicio á palacio el Infante D. Carlos y primer batallón de que se portó su tropa. En la caballería de Lusitania no son me la M. Né L. de Sevilla , .í la» órdenes del teniente coronel mayor nos acreedores á todo elogio el capitán D. Josef Arcos, el te de la Reina D. Manuel Frías. niente D. Mariano…</t>
  </si>
  <si>
    <t>…gaceta de Lis drid, á las órdenes del comandante interino de la Reina Don boa fueron extrañados del reino como sospechosos. Francisco Castelló. Madrid 16 dt Abril. Parada Infante D. Carlos, milicia activa y la nacional lo Se ha publicado en esta capital el aviso siguiente : cal de Madrid; el demas servicio y patrullas lo detallado. El conde del Abisbal, comandante general del primer distri Hospital y provisiones Ja Reina. to militar, y gefe pol…</t>
  </si>
  <si>
    <t>…ara la composición de Orden de la plaza de! 2,y al 24 de sibril. las leyes llama solamente á la única clase interesada &lt;-n que no Gefe de dia el comandante, accidental del Infante D. Carlos se observen (3); que no deja al Monarca nt aun la facultad de D. Joaquín González___Servicio á palacio el Infante D. Car elegirse una esposa (4), y que disemina, per decirlo asi, el po los , y primer batallón de la milicia nacional local de Madrid, á der públ…</t>
  </si>
  <si>
    <t>…rrillas; se leeria la memoria de de batallón interino de la Reina D. Francisco Castellón___Pa la comisión de Visita del Crédito público, y si quedaba tiempo rada la Reina, Infante D. Carlos y milicia nacional local, cuyos k del ministerio de Hacienda. cuerpos cubrirán los puestos que expresa ia nota que se entreva á cada uno; el demas servicio y patrullas lo detallado___ Hospi— Hemos recibido periódicos de Logroño hasta el 12 , de Bar pital y Pr…</t>
  </si>
  <si>
    <t>…a el comandante del z.° batallón de la .VL N. L. mática. de Svvitl. |). Antonio Perez Duran---- Servicio á palacio In Quedaron aprobadas dos proposiciones del Sr. Romero, la fante D. Carlos y la M. N. L. , á las ordenes del comandan una para que las diputaciones provinciales de la península remitan te accidental del Infante D. Carlos D. Joaquín González___Pa en el término de ocho d as el estado que debieron haber enviado rada la Reina , Infante…</t>
  </si>
  <si>
    <t>…se puede sacar de ciertos pueblos que desde muy anti znancia D. Manuel Diez Taravilla__Servicio á palacio el Infan guo están ministrando pruebas de acendrada lealtad__ El gober te D. Carlos y la milicia nacionaL local á las órdenes del coman nador insurgente de Sta. Marta se embarcó pava Jamaica, y los dante interino de la Reina D. Manuel Frías__ Parada la Reina, múñales del país, se asegura, hicieron un completo destrozo en Infante D. Carlos y…</t>
  </si>
  <si>
    <t>…lecimientos. gundo batallón de la milicia nacional local de Sevilla D. Anto A la de Diputaciones provinciales se pasó una exposición de nio Perez Duran__ Parada la Reina , Infante D. Carlos y mili la de Sevilla sobre el estado de repartimiento de baldíos, y las cia nacional local; el demas servicio y patrullas lo detallado.™ causas que han impedido su entera ejecución. Hospital y provisiones la Reír.*—Guardia al Congreso v ar A la de Guerra se p…</t>
  </si>
  <si>
    <t>…aria» me Guardia al Congreso y archivo la M. N. L. de Madrid----lea- didas muy diversas de las que han regido basta aquí, ordeno y tro principal esta noche ;í las siete el Infante D. Carlos—Guar mancTo • dia á S. Pablo para el consejo de señores oficiales generales maña Art. i.° El bando expedido por mí donde fue Castdifolüt na á las siete un oficial, un sargento, un cabo y 12 soldados de con fecha 24 de Octubre de 1822 queda sin efecto desde la…</t>
  </si>
  <si>
    <t>…ores de la liber O’-.i, n J■ I pltiza ,if ¡ a a¡ ,5 &gt;¡e TW.o’o. tad , ya prodigando sus caudales para subvenir a Las necesidades y Gefe de dia el comandante accidental del Infante D. Carlos gastos de la guerra. Si al fin ella tiene efecto la Nac o» triunfará D. Joaquín González.__Servicio á palacio la M. A. y AI. N. L. sin duda, y V. M., ocupando después tranquilamente el trono de Sevilla á las órdenes del teniente coronel mayor interino de la c…</t>
  </si>
  <si>
    <t>…drid___ zar de Sevilla á 4 de Aíayo de 1823. — A D. Felipe Benicio Na Esta tarde á las 3 y media se hallará en la plaza contigua al Pó varro. pulo un cabo y 6 soldados del Infante D. Carlos, para mantener el buen orden durante la función de caballos, la que concluida se De orden del Gobierno saldrá parte diario para Cádiz, y de retirarán á su cuartel. aquel punto para este, á media noche de los días que no hay Consecuente 4 orden del Sr. goberna…</t>
  </si>
  <si>
    <t>…mitir su cesión en beneficio del Erario nacio cal de Sevilla, á las órdenes del comandante interino del In nal. S. M. ha tenido á bien admitir la generosa oferta de este ciu fante D. Carlos D. Joaquín González__ Parada la Reina, mi dadano , y ha mandado que se anuncie en los papeles públicos es licia activa y la milicia nacional local de Sevilla: el demas servi te acto de patriotismo. cio y patrullas lo detallado__ Guardia al Congreso y archivo la milicia nacional…</t>
  </si>
  <si>
    <t>…ismo el Domingo 11 ha de revistar S. E. el batallón fantería de la Corona. Segundo batallón del regimiento Infante de la Reina, el que á las seis de la tarde se hallará formado al D. Carlos. Batallón de la milicia activa de Osuna. Batallón de la efecto en dicho parage de la Alameda. milicia activa de Huelva. Dos escuadrones del regimiento caballe Habiéndose observado que en la noche de ayer no asistió nin ría de Numancia. Otro ídem de Sagunto. U…</t>
  </si>
  <si>
    <t>…la base mismo cuerpo. Segundo batallón dd regimiento infantería de ia de¡ provecto; y yo no me extenderé á contestar al examen pro Corona. Segundo batallón del regimiento Infante D. Carlos. lijo que lia hecho de él S. S., porque cuando se discutan los ar Batallón de la milicia activa de Osuna., Batallón de la milicia ac tículos podrán hacerse las observaciones que se crean convenientes. tiva de Huelva. Dos escuadrones de caballería del regimien…</t>
  </si>
  <si>
    <t>…ficaciones que ha la Reina y la milicia nacional local de Madrid , á las órdenes del cer de un ano á otro, en la de consumos no sucede asi, pues ra comandante interino del Infante D. Carlos D. Joaquín Gonzá ro es el vecino de un pueblo cuya riqueza no varía de un año á lez----Congreso y archivo de Cortes la milicia nacional local de otro, y por consiguiente su consumo ; y si los ayuntamientos han Madrid. —Parada la Reina, Infante D. Carlos, milicia activa y de e…</t>
  </si>
  <si>
    <t>…l dara una idea de la manía en que han Sevilla, á las órdenes del coronel de la Reina D. Francisco Fer dado los franceses sobre este punto. nandez GolGn__ Parada la Reina, Infante D. Carlos, milicia «S. A. R. el duque de Angulema sigue bien.__Nuestras activa y la nacional local de Sevilla: el demás servicio y patru operaciones van grandemente.” llas lo detallado__ Hospital y provisiones la Rema__^Congreso y En los boletines y demas noticias se h…</t>
  </si>
  <si>
    <t>…, según un artículo aprobado , debe empezar desde que espi na D. Manuel Frías___Congreso y archivo la milicia nacional re aquel termino. local de Madrid___Parada la Reina, Infante D. Carlos, milicia. Ei Sr. González Alonso: El artículo ha sufrido efectivamen activa y Ja nacional local de Madrid t el demás servicio y patru te alguna equivocac.on en su redacción. La idea de la comis on es llas lo detallado.__Hospital y provisiones la Reina___ Teat…</t>
  </si>
  <si>
    <t>…ntra un cabo de dicha arma y con presos de la causa dcí 7 de J ulio. sortes , opinaba que correspondía al cuerpo de artillería. Apro Los brigadieres D. Juan de la Porte Despierne, D. Carlos bado. conde de Aíoy, D. Gaspar Rocabruna, D. Manuel del Mazo. La comisión segunda de Hacienda , en vista de la exposición Los coroneles D. Francisco Marimon, D. Fernando Salamanca, de la viuda de un soldado del resguardo militar de Barcelona* * D. Juan Linan,…</t>
  </si>
  <si>
    <t>…traslada D. Francisco Castelló __Congreso y archivo.la milicia nacional ron á la de Salamanca en medio de ios riesgos y privaciones de local de Sevilla___Parada la Reina , Infante D. Carlos, milicia una precipitada emigración; habiendo instalado en ella el tribu activa y la nacional local de Sevilla-, el demas servicio y patru nal el dia 3 del presente mes. Su notorio zelo y patriotismo y su llas lo detallado___Hospital y provisiones Infante D.…</t>
  </si>
  <si>
    <t>…tas por la Cons Or.ten d' la plaza del ig al ¡2o de Mayo de 18ay. titución, han decretado lo siguiente: Articulo i.°Para evitar du-rGefe de dia d comandante accidental del Infante D. Carlos das en Ja inteligencia del decreto de las Cortes generales y extraor D- Joaquín González. — Servicio á Palacio la Reina y la mili dinarias de seis de Agosto de 1811 se declara que por él cia nacional local de Madrid á las órdenes del comandante del quedaron a…</t>
  </si>
  <si>
    <t>…ver á los dueños de ., ta.—Congreso y archivo la milicia nacional iocal de Sevilla._ las fincas se evita con el art 2.0., con el cual se aclara mas el que Parada la Reina, Infante D. Carlos, milicia activa y la nacional ahora discutimos. Respecto de las indemnizaciones se ha mani local de Sevilla; el. demas servicio y patrullas lo detallado__ Hos festado ya que esta es la idea de la comisión; por consiguiente na pital y provisiones ia milicia ac…</t>
  </si>
  <si>
    <t>…migos ¡nti.ifiores y au go Surga.__Congreso y archivo la milicia nacional local de Ma nares , que han de regir provisionalmente hasta que el Gobier drid.__Parada la Reina, Infante D. Carlos, milicia activa y Ja. no de S. Af. disponga lo conveniente. nacional local de Madrid; el demas servicio y patrullas lo deta i.° Se formarán compañías ce infantería de á loo hombres llado__ Hospital y provisiones la milicia activa.znLeghsa. con sus correspondi…</t>
  </si>
  <si>
    <t>…sado á V. E. hasta aquí, me atrevo á suplicarle tenga á bien fa cilitarme las cajas de guerra correspondientes á los 6600 hombres Gefe de dia el comandante accidental del Infante D. Carlos de que debe constar mi división , y si le fuese posible algún ves D. Jbaquin González---- - Servicio á palacio la Reina y la milicia tuario para entusiasmar al paisano á que tome con gusto las armas: nacional local de Madrid á las órdenes del comandante inter…</t>
  </si>
  <si>
    <t>…que se sirvan acerca de si deberá satisfacerse á la univerudad de Sevilla una tenerla presente, y recompensar de aque'ia manera que corres pcns.on de 15Q rs. anuales que concedió D. Carlos ni para pa ponde al pundonor español , á los individuos que componen la go de dos cátedras de economía política y de matemáticas, Jas brigada de que he hablado que arrollo a los ene mico» .nt»r lores cuales están agregadas en el día á la expresada universidad…</t>
  </si>
  <si>
    <t>…iagazjs: i’orque desen Reina y Ja milicia nacional local de Sevilla, a las ordenes del gañémonos, sei ores, no hay un solo documento de oncio que comandante accidental del infante D. Carlos D. Jc-mum Gonpresente' tales propos.c oncs. IJ.ce .Mr. Ce Chateaubr.and ejue es za.ez.__Con.reso v archivo la mil.cía nacional local de Se\ iila. probable que nuestras concesiones satisfcícsen ai Gobierno fran — Parada iodos los cuerpos según Jo detallado. __Patrullas las cés; v el…</t>
  </si>
  <si>
    <t>…do también todas la, fun | Sevilla—Función de caballos esta tarde á las cuatro un cabo y ó ciones de mi cargo, y por tanto dejo hoy la secretaría y la direc ¡ soldados del Infante D. Carlos. = Leglisa. ción de los negocios. Lo que tengo la honra de elevar á noticia de V. Al. con los mas sinceros votos por la v¡.-hi do V\ Al. y fe licidad de sus súbditos. Lisboa i.° de Junio de 1823. =2 josef El T)i:trio del Gobierno de Lisboa del 3 de Junio publ…</t>
  </si>
  <si>
    <t>…tadas las ce suído para nosotros el decir entonces: st hubiera yo nizas, una compañía del batallón número 10 de linea, procurado se corr&amp;esen estos ctbusos se habría sal- (infante D. Carlos) con bandera que pondrá arrolla ,/(l/,-, la /&gt;ntrin ? T"es, señores, euakpiiera nación da y con corbata negra, la que servirá de guardia, aliada de mustia enemiga, podrá mui bien pagar v ef capitán que ta mande practicará lo que previe hombres recales, que po…</t>
  </si>
  <si>
    <t>…licas, piado Inglaterra, la tutela dal ducado de Btunsw ck cesaiá desde el 30 sas y Realistas, sin mezcla de tantos libros prohibidos por sub de Octubre. En esta ¿poca S. A. S. «1 duque Carlos tomará ia* versivos y contrarios á las dichas. riendas dal Gobierno.</t>
  </si>
  <si>
    <t>…medios hay para ev.iarla. Un pa.sano, ¿quien hacia esta ciones, El augusto padre del mismo Sr. Infante obtuvo del Señor pregunta un capitán, le contestó que marcharse ó ir á tomar D. Cárlos iv una licencia ilimitada para residir en Portugal, media oncita de plomo á las avanzadas de la Isla__Los edito adonde no ha perdido los derechos de sucesión al referido ma res advierten que si la enfermedad que padecemos hubiera de aca yorazgo.__La llegada d…</t>
  </si>
  <si>
    <t>…(si es que hubiese algunos antecedentes costosa esta nueva versión en conformidad de las piadosas in ju riciales) cuales sean estos , y en qué juzgado panden, aperci tenciones del Sr. D. Cárlos tv , solamente se han puesto en el.a bidos que pasado dicho término sin haberlo verificado, les pa las notas mas precisas. Finalmente manifiesta ei traductor como rará el peíju'&gt;cio que haya lugar, y se declarará por libra la ci en virtud de Real orden de 13…</t>
  </si>
  <si>
    <t>…ncia del Reino ha expedida (os decretos siguientes: » La Regencia del Reino se ha servido determinar que las Lándrts 5 de Julio. encomiendas y rentas de los Sermos. Sres. Infantes D. Carlos El brick francés llegó el miércoles í Liverpool f viniendo María y D. Francisco de Paula queden sujetas á la contribu de Buenos-Aires, de donde salió el 24 de Abril: trae las noti ción general del reino y subsidio eclesiástico, conforme te dig cias siguientes: n…</t>
  </si>
  <si>
    <t>…su aíra dig por el fuerte del Principe, pero fue igualmente rechazado hasta nidad y por el carácter de un libertador magnánimo, que ha ve ci glacis por el regimiento del Infante .D. Carlos. Habiendo el nido á restituirnos la tranquilidad y el orden ¿ costa de tamas fuego de metralla: y de fusilería del reducto dado á conocer á fatigas y sacrificios. estos valientes que se habían adelantado demasiado, se retiraron A la salida de S. A. R. se ha p…</t>
  </si>
  <si>
    <t>Gaceta Española n.º 148</t>
  </si>
  <si>
    <t>…conde de hsfaña, que se titula I ¡rey y la venganza no pueden líegar á mas. A un sugeto que v-no de dt _Y.iv.irrn. Cádiz de resultas del bando en que se invitaba á los emigrados » D. Carlos de España, gobernador y capitán general del rei para que volvieran, y que tuvo que salir a salto de imita porque no de Navaira, general en ge le del ejercito dcc. &lt;Sic. zr Encarga lo iban á prender, le han vendido los bienes suyos y no suyos; do con arrecio a la circul…</t>
  </si>
  <si>
    <t>…una en la siempre de esta orden á la- dos de la mañana me hice dueño con el re fiel Pamplona , y debió sus principios i los valientes milicianos gimiento de infantería del Infante D. Carlos del fuerte del Prín- de esta, que desarmados por orden de las Coites y del Gobier pe, y las tropas francesas de la casa llamada de la Rochapca.” no constitucional en castigo de su coustante adhesión i la Peal Persona.de S. M. (que Dios guarde), corrieron en g…</t>
  </si>
  <si>
    <t>…n el término de un mes después de su la elevación dd poder á cuyo favor trabajan los que tienen las publicación á los generales en gefe , ó comandantes militares, mismas ideas que D. Carlos de España. si se hubiesen dispersado por los acontecimientos de la guerra, se La satisfacción que les causó el ver que los constitucionales Jes contará doble d tiempo de servicio que hayan hecho desde el no tenian habilidad para conservar el terreno y d prom simo que d…</t>
  </si>
  <si>
    <t>…ica y canciones patrióticas al objeto de la función , atra han sido acordados en el Puerto de Sta. Matía con el Infanta jeron un inmenso concurso , no oyéndose en él mas que viva» D. Carlos, dos ..diputados y un general francés autorizado con á nuestros Soberanos, á la augusta dinastía de. los Üorbones y al plenos poderes: Primero: alianza ofensiva y defensiva entre la Scimc. Sr. Duque di Angulema. España, Portugal, Francia é Inglaterra (1). Sec…</t>
  </si>
  <si>
    <t>…Pagaduría é intervención del ministerio........ 217,000Gastos de la Cámara de la Serma. Sra. Do ña Luisa, su esposa...........................• • • 600,000 Consignación del Sermo. Sr. D. Carlos i-33fr585 Luis, hijo de S. M. la duquesa de Lúea. 71,000 2.° Total............................... 45.212,000 Gobierno político y económico del reino. Sueldas de los 52 gefes políticos hechas las &gt; II. bajas de escala...........................................…</t>
  </si>
  <si>
    <t>…mpo Fernig Masones , son Judaicos; y hasta las palabras que usan son de la con el, regimiento 4o.0 y la compañía do granaderos del Infante lengua hebrea, quo era la de los Judíos. D. Carlos se apoderó del reducto del Príncipe, y arrojado 2.0 La historia alegórica que refieren de sil maestro Hirarn ei enemigo de todas sus posiciones, se vió piecisado á retirarse ó Adoniram, que lo fue de las obras del templo da Salomón, á la plaza. . &gt; está toda…</t>
  </si>
  <si>
    <t>Gaceta de Madrid n.º 823 (extraordinaria)</t>
  </si>
  <si>
    <t>…ra abierta, los batallones 4° y 5 ° de voluntarios de Navarra, y del se vió enarbolar ea la ciudadela á las cinco y media de la tarde regimiento de infantería de línea del Infante D. Cárlos, han ri del día de ayer la bandera blanca en señal de parlamento, que valizado con las tropas del ejército aliado en los peligros y fati ha terminado con la capitulación concedida por el Excmo. Se gas del sitio. ñor Mariscal de Francia, Marques de Lauriston ,…</t>
  </si>
  <si>
    <t>Gaceta Española n.º 167</t>
  </si>
  <si>
    <t>…errillas constitucionales. (4) Toda España , y acaso toda Europa , t eñe noticia de la pendencia , la gloria y la libertad de la patria. No tendrán segu proclama feroz del traidor D. Carlos España: y para que se co ramente los franceses muchas tuerzas sobrantes cuando- se ua nozca mejor el carácter de aquel face 0,0 deben saber nuestros precisados á sacarlas de un punió tan interesante para ¡leva::.:» a lectores que firmó el documento indicado poniendo…</t>
  </si>
  <si>
    <t>Gaceta Española n.º 168</t>
  </si>
  <si>
    <t>…iencias de poder reclutar mas que una tercera parte, no obstante las gran Se ha extrañado sobremanera que el Monitor haya inserta do , sin comentario alguno, la famosa proclama de D. Carlos d*des esperanzas que se hacen concebir; y asi será preciso buscar re España, que dispone confiscaciones, y declara culpados á cuantosclutas en la Suavia y el Tirol aleman. han contribuido al armamento y equipo de los milicianos, y í INGLATERRA. todos los que…</t>
  </si>
  <si>
    <t>…A las cuatro y cuarto dé la madrugada de ayer pasó k mejor - Art,'g.9 Las armas de la guarnición serán depositadas» antes vida la joven Priaceáit: Luisa, Hija de este. Sr, Infante D. Carlos de su salida, en la ciudadelá.-Los oficial» conservarán,sus espa? luis, y Nieta de esta Soberana, después de cuatro dias de e utr- das, caballos y equipages , y los soldadós sus mochilas. atiedád de calentura pútrida, á los. 2,2 .meses de su edad. Usté Art. 4…</t>
  </si>
  <si>
    <t>…villa me dice lo que sigue: ,,Deseando el Rey nuestro Mariano Novoa, como asimismo el escuadrón de lanceros del Señor manifestar á S. A. R. el Sr. Duque de Angulema, su au Infante D. Carlos, los provinciales á que da nombre la plaza, gusto Primo, y á S. A. el Sr. Príncipe de Carignan el aprecio, cuyo número, según tengo entendido, no excede de 150 hom bres, y unos 40 artilleros que hay en ella, en unión con otros que hace de sus personas, y la c…</t>
  </si>
  <si>
    <t>…te. por medio del1 Consejo; de Gabinete-que: formó'con susiMiñisfros =F.l Teniente Coronel y Gobernador del cuartel general, Antopor resolución de 30 de’ Noviembre:-.de: 1714,.* y D. Carlos u* ítio'de la T-orre'.AÉI Coronei primer Comandante del batallón por el establecimiento de Já suprema. Junta de. Estado, creada ligero de guias, Josef Darquines,—F.l primer Comandante del en decreto de 8. de.Julio-de.1787:'he,-venida-.en resolver, que priiUét…</t>
  </si>
  <si>
    <t>…. E. de orden- de S. M. para su cumplimien ta cerarquía á los hijos que Dios concediese en su matrimonio á to. De la misma Real orden lo traslado á VV. SS. para que in íosTnfantes D. Carlos y Doña María Francisca, mis queridos mediatamente pasen. las roas terminantes á los Intendentes y Sub Hermano y Sobrina , he venido en resolver que se haga lo mis delegados de las provincias marítimas, á fin de que al paso que mo con los hijos tenidos ó que tuviesen en su matrimoni…</t>
  </si>
  <si>
    <t>…osa es menester cerrarlas. Todos los pueblos de vuestros bones. dominios, Señor, fijan hoy los ojos sobre ese Trono, desde el París 26 de Noviembre. cual vuestro augusto Abuelo el Sr. D. Carlos ni infundió respe Un periódico refiere el hecho siguiente, comunicndo por una to y amor i la Europa. Desde él derramará sin duda V. M. un persona fidedigna: copioso raudal de beneficios sobre las vastas y ricas regiones que „E1 notario de cierto pueblecillo d…</t>
  </si>
  <si>
    <t>Carlos, Duque de S.</t>
  </si>
  <si>
    <t>Duque de S. Carlos</t>
  </si>
  <si>
    <t>…las in cio de Francia. dagaciones necesarias para resolver la cuestión qué propone S. E. __El Conde de Bernalh ,-Embajador de Dinamarca cerca de la __ Ayer antes de misa el Exemú. Sr. Duque de S. Carlos, corte de Madrid, se prepara á salir de Berlin,-donde se halla Embajador dé España, presentó al Rey en audiencia particular actualmente, para ir á su destino. las credenciales de Embajador cerca de S. M.; y fue conducido _El Sun aseguraba ayer que se trata de…</t>
  </si>
  <si>
    <t>Carlos-Espinosa</t>
  </si>
  <si>
    <t>…respuesta! ¡Y que mi pluma no pueda presentar al trito militar, y gefe político de esta provincia.'' vivo el sublimé cuadro de tía magestuosa escena! Pero permi Hago saber que el general D. Carlos-Espinosa me comuni tidme, ciudadanos, que cuando menos con una tierna emoción ca con fecha de ayer lo que sigue : 1 . de gratitud que siente el alma pague en algún tanto el justo tri &gt;» Varios arrieros qae vienen de las provincias con pescado buto que merecen tan dist…</t>
  </si>
  <si>
    <t>Carlota</t>
  </si>
  <si>
    <t>…el impreso titulado: Reflexiones imparciales de un español acerca del hacer presente ¡i V. E qiu íi gr ’.-. nación de los gefes que la mandan le extrañamiento de S. M. F. ¡a Reina Doña Carlota, denunciado por el dan á esta persecuc on una r.: ;c’‘ que no merece ni su fuerza ni su Sr. fiscal de imprenta; en cuya consecuencia la ley absolvió á D. Félix Ramón de Alvarado y Velaustcgui responsable de dicho impreso; y el se actual absoluta impot ocia Ac…</t>
  </si>
  <si>
    <t>Carlota, Luisa</t>
  </si>
  <si>
    <t>Luisa Carlota</t>
  </si>
  <si>
    <t>…erráneo por el canal de Constantittopla. Aun conced.do m Habiendo- dado felizmente á luz en esta ciudad la Infanta el permiso por la Turquía , le faltaría á la Rusia otra licencia Doña Luisa Carlota, esposa &lt;ie mi muy caro hermano el Infanta mas difícil de obtenír, qLie: es la de ios ingleses. • D. Francisco de Paula, un niño, k qn ca se han puesto en el No es necesario tener mucha penetración para conocer la pos- bautismo ¡os-nombres de Enrique María be…</t>
  </si>
  <si>
    <t>…que nunca han debido olvidar, y de las que encuentran nifestando que habiendo dado felizmente á luz la ,Sra. Infanta tantos monumentos como pasos dan en el sagrado .territorio que Doña Luisa Carlota un niño en el dia 18 del corriente, se le ha se han atrevido por desgracia suya á profanar. Vengan, pues que blan puesto.los -.nombres de Enrique. María Fernando v otros , v asi .place á ia tiránica ambición de esos hombres , para quienes que con tan plausibl…</t>
  </si>
  <si>
    <t>…n. oficios del mismo general, que se titula del egército nacional, Sevilla 16 de Abril. al brigadier D. Antonio López Santa Ana, noticiándole haber S. A. R. la Serma. ára. Infanta Doña Luisa Carlota, espo se recibido el acta eon el mayor júbilo y satisfacción en Alva- sa del Sr. Infante D. Francisco de Paula, ha dado á luz un ro rado , Orizaba y Córdoba; á los que contesta dicho brigadier, busto niño con toda-felicidad , al cual se ie ha puesto por nom m…</t>
  </si>
  <si>
    <t>Carmelitas, Josef de</t>
  </si>
  <si>
    <t>Josef de Carmelitas</t>
  </si>
  <si>
    <t>…bad.” dor‘de la Merced calzada.rerFr. Vicente Perez Reinante, presi dente en'S. Francisco el Grande.esi'r. Josef Aranguren , prior „ Sermo. Sr.: El coronel de los Reales ejércitos D. Josef de Carmelitas calzados.eeiFr. Manuel de S. Antonio , comendade Uranga, como órgano fiel de todas las clases que componen dor de Staí Barbara.seFr. Tomas Escobar de S. Fulgencio, priorel primer batallón infantería de Alava, que tiene e! honor dé do íbeccletos.—Fr. Ildefonso…</t>
  </si>
  <si>
    <t>Carmen, María del</t>
  </si>
  <si>
    <t>María del Carmen</t>
  </si>
  <si>
    <t>…ner de generales de confianza! causa de la N'cion , cupo en la suerte del primer extracto de la de este En cuanto á Jos auxilios de ias tropas del Norte , planes de la santa día á Doña María del Carmen, hija del corone! D. Juan Porta, muerto alianza ¿a Troppau , Laybach y Verona... También hay alianza de pue en el campo del honor. blos, y el plan de estos es niu.ho mas s. nenio y lacil de egecutar, ARTICULO DE OFICIO. porque han d-cho: no queremos ser escla…</t>
  </si>
  <si>
    <t>Carmo, Pereira do</t>
  </si>
  <si>
    <t>Pereira do Carmo</t>
  </si>
  <si>
    <t>…rden del dia, Sr. presidente , es salvar la patria tuguesa, sin admitir en ella la mas pequeña mudanza ó alteración, ó morir con honor víctima de una causa inmortal: esto es lo el Sr. Pereira do Carmo pidió que atendida la premura de las que nos debemos á nosotros misnios, á la grande nación de que circunstancias se pusiesen á votación las tres proposiciones que somos representantes , á la Europa, que tiene fija la vista en la acababa de hacer , las cuales…</t>
  </si>
  <si>
    <t>Carneiro, Borgcs</t>
  </si>
  <si>
    <t>Borgcs Carneiro</t>
  </si>
  <si>
    <t>…r .on p. emanen te , v que lodo» sus cok gas tes, no solo es anticonstitucional , c no también anárquico. -podran atestiguar , est : era ¡a carta d -1 br.»ad er Soc-u ai ge. e— El Sr. Borgcs Carneiro dijo qu.: el Infante D- Miguel se ha ral Sepiilveda : que en ci.a te decía que no había rcnted.o , si: o se bía unido con los antiguos aristócratas para seguir el pártalo dei de-pon .a al. actual mui st-río, se restada su dignidad ai Re\ . v infame Silveira ,…</t>
  </si>
  <si>
    <t>…Milansse hab.'a re será el mas expresivo comentario; nuestras reflexiones solo deben tirado can la primera brigadá de su división,, ¿Ja cual el ¡9 se girar sobre la indicación del Sr. Borgcs Carneiro que ya han apo habita ya unido el brigadier LJ9bcra._c.El fy se publicó la guer yado otros. Esta se reduce á dos puntos: que declaremos en el ra contra Francia en Barcelona con toda solemnidad, y el gene acta que solo por !a fuerza suspendemos nuestras funcio…</t>
  </si>
  <si>
    <t>Carneiro, Borges</t>
  </si>
  <si>
    <t>Borges Carneiro</t>
  </si>
  <si>
    <t>…«pañoles. y montada á su costa para perseguir á los enemigos de la lib rtad. tas ( Api-vado , apoyado.) ... Cortes lo oyeron con particular agrado, y mandaron que pasase al Go Ei Sr. Borges Carneiro, despu-s de liab'ar sobre la proporción que debía guardar el egército con la población , dijo: » ¡Pera estamos noso- bierno. . . . ",. ’' , El Sr. Grases presentó una obra intitulada- Resista ñuto uta am« tri : dtora en estado de adoptar est3 medida? No r Aho…</t>
  </si>
  <si>
    <t>…n y ¡a tranquilidad pública. Por fortuna tengo hoy la sa hallarse encargado de la defensa del puente de Alcántara. tisfacción de participar á V. E. que todo está en el mejor or El Sr. Borges Carneiro leyó) una indicación, en que proponía den posible , y que el espíritu público se ha reanimado alta que las CorUs interrumpiesen sus sesiones hasta que la diputación mente , á pesar del empeño con qiie algunos enemigos de la permanente ¡as convoque otra vez ,…</t>
  </si>
  <si>
    <t>Carnerero</t>
  </si>
  <si>
    <t>…e ve eb. gado de ií¡, ty, 20, 21 y : i de este mes, traídos por último extraordinai io. a yuaidar todavía en los a.tos de oficio. Hablamos con esta segunda ¡, PrsióMpos dtl iH. El Sr. Carnerero, encargado de Negocios de hi poique es hija de nuestro propio convencimiento , y no lo haríamos tn pa." a en Viena, y que se hallaba en París desde el dia 6 de este mes, materia tirv delicada, si las razones que tenemos para hacer.o asi no salió el tq para Ma…</t>
  </si>
  <si>
    <t>Carneruno, Leonardo Miguel</t>
  </si>
  <si>
    <t>Leonardo Miguel Carneruno</t>
  </si>
  <si>
    <t>…sas , que pudiera tenerse por una con D. Joseí María '/¡Baranda, D. Josef Juan de Pujada, D. Francisco creción amoniacal; pero que en realidad no era sino muríate de sosa. Robles, D. Leonardo Miguel Carneruno y D. Tomas López Calderón, y declararon per unanimidad haber lagar á la formación de cauta. TP.IEUX.VLES. _ El procurador síndico tercero de! Hscmo. ayuntamiento constitu Hallándome formando causa contra lo* sediciosos que en Aranjuez cional de ia ciudad de Cádiz denunció por…</t>
  </si>
  <si>
    <t>Carnes, Juan Martin</t>
  </si>
  <si>
    <t>Juan Martin Carnes</t>
  </si>
  <si>
    <t>…abanal , D. Antonio Rodríguez, S. A. R. la duquesa de Angulema suspendería su premeditado viage á es D. Marcelino Garrido , D. Josef Cepeda del Rio, D. Sancho Sanabria, ta ciudad. D. Juan Martin Carnes, D. Jacinto de las Heras, D. Francisco Caldas y Los nceocios políticos de la Alemania meridional no acaban de ada D. Pedro Duran Vera Campo , han dirigido al Rey una exposición, en tarse : se entreve sin embargo que Jos Gobiernos absolutos del Norte, co que m…</t>
  </si>
  <si>
    <t>Carnicera, Manuel</t>
  </si>
  <si>
    <t>Manuel Carnicera</t>
  </si>
  <si>
    <t>…declararon subversivos: D. Francisco Luciano Do mínguez Villanueva, el conde de Floridabianca, D. Isidro Merino, Los Sr??. j^cret-rics de Us Cq’tes extraordinarias comunican al de D. Manuel Carnicera , D. Josef Rives Queraltó, el conde de la Tone Estado y drl Despacho de Gracia y Justicia con fecha de 7 del corrien el F resn.» y D. Gregorio Miguel de Mendivil. te lo que sigue : Señores que los absolvieron en esta parte 1 D. Antonio Puigblanch, s&gt; Habiendo…</t>
  </si>
  <si>
    <t>Carnicero, Manuel</t>
  </si>
  <si>
    <t>Manuel Carnicero</t>
  </si>
  <si>
    <t>…pueblos ds la provincia , ha visto con satis D. Fusebic María Balbi. D Antonio Palacios. facción que hasta el dia de hoy quedan filiados en el batallón de Alca IX Ramón Casellas. D. Manuel Carnicero. lá de Henares 600 milicianos, y entregados en la caja del egército D. Fernando Plaza. D. Felipe Arguelles. permanente 240 quintos, continuando las entregas con la mayor acti D. Andrés Fernandez. D. Saturnino Lozano'. vidad en estos días. D. Miguel Ripa. D. A…</t>
  </si>
  <si>
    <t>…mprenta nacional Aguii.:ra, D- Antonio Gamonal, D. Francisco Barra, D. Nicolás de esta capital, como en la misma en Sevilla, é igualmente que en to Hered.ro Mayoral, D. Juan Paz , D. Manuel Carnicero , D. Valentin das las principales administraciones de correos, de las de partido y es Recio y D. Tomas Torresano, calificaron con la fórmula de absueltos tafetas, á los precios siguientes: los períodos del número 5.0 del periódico titulado el Patriota cipa’ S…</t>
  </si>
  <si>
    <t>Carnot</t>
  </si>
  <si>
    <t>…glaterra, donde ha llegado ya, según aseguran los úitimus dinario, obligándole á retroceder en muchos puntos. periódicos de Londres. Las dos piezas de artillería á las órdenes del teniente Carnot (3) Eso quisiera S. S., que los alucinados soldados perdiesen avanzaron sobre el camino del mar hasta medio tiro de canon, sus vidas por conservarle la categoría de héroe postizo con sus haciendo fuego con éxito constante sobre la artillería, caballería adher…</t>
  </si>
  <si>
    <t>…está en España. Viva el Rey , vira la paz. &gt;3 Cuartel general de Vitoria á 1 r de Agosto de 1823.—Luis, príncipe de Hohenlohe. == Por S. A. S. "el general en gefe.—E.l El célebre general Carnot ha muerto en Magdeburgo, en donde había fijado su residencia , y en donde había vivido apre general gefe del estado mayor general del tercer cuerpo, el conde ciado de los extrangeros por su amor á ¡a libertad y su firmeza de Meintdier.” ¡ Qué español habrá qu…</t>
  </si>
  <si>
    <t>Caro</t>
  </si>
  <si>
    <t>…bre. por mas calumn:as y viles arterias que usen. Son muchas las tropas que marchan para Málaga por varios Desengáñense de una vez los malvados y sus ilusos prosélitos. puntos. El general Caro se halla en Cartama con su división de 5 El augusto Principa y nuestro justo Gobierno, establecido bajo, i 69 realistas. Riego sigue cometiendo las mayores atrocidades sus auspicios, podrán llegar alguna vez como hombres, á discordar en aquella ciudad*. ha ac…</t>
  </si>
  <si>
    <t>…onvoy se debe á la actividad y zslo del maus.izeFirmadoerJoscf Ruiz de Porras .sr Anrc-bado=ccnde de tímente del R-al resguardo antiguo D. Antonio de Luque,y Lobjrdo.=Sr. teniente general Caro, comandante de las tropas a D. Josef Rodríguez, comandante de una de ias paTtidas rea de S. M. Católica, en el alojamiento del Sr. Ordoñez. listas de caballería, quien con 20 de los suyos se irn-t ó á bor Cuyo contenido traducido del original se hace sab.r á…</t>
  </si>
  <si>
    <t>Caro, Juan</t>
  </si>
  <si>
    <t>Juan Caro</t>
  </si>
  <si>
    <t>…rques de San,Felices, conde de Aleó D. Francisco Gómez había pasado á Clasatabond3, en donde se le*, grande de España, y vecino de la ciudad de Vallado!,d , s« hallaba el teniente general D. Juan Caro, á quien habian con halla penetrado del mas vivo y profundo dolor , y al mismo ducido á Ronda á fin de que tomase el mando de las armas, tiempo de la mayor indignación , por los atentados y crímenes respecto á la confianza que les raerecia. En este día manifi…</t>
  </si>
  <si>
    <t>Níim. 76 C3 cuartos.) a83 GACETA EXTRAORDINARIA DE MADRID DEL IUEVES 11 DE SETIEMBRE DE i8a3. ARTICULO DE OFICIO. El teniente gene,al D. Juan Caro con fecha de 6 de Setiem verificó con tal entusiasmo y actividad, que á los seis días tenia bre escribe desde Málaga al secretario de Estado y del Descacho 200 hombres de fuerza, con la que no ha cesado de atacar é in de la Guerra lo que sigue: comodar al ene…</t>
  </si>
  <si>
    <t>…ubilación; y enterada la Regencia del Rei político.y militar de la plaza de Málaga, vacante por ascenso no, y de lo informado en su razón por el tesorero general, se del precitado general D. Juan Caro. ha servido resolver: Continúan íat exposiciones dirigidas á S. A S. la RegehcTd 4¿¡ i.° Que restituidas en general las cosas al ser y ettado que Reino. tenian en 7 de Marzo de t8zo, los retirados, cesantes y jubila » Scrmo. Sr: tos ayuntamientos de las villa…</t>
  </si>
  <si>
    <t>…re ia araña de cristal y el púlpito del evangelio una riente mes de Setiembre, dice entre otras cosas al Excmo. Señor colunita de fuego, y al mismo tiempo oimos un chasquido, si-; D. Juan Caro, Gobernador militar y político que era de la', guiándose á muy poco tiempo un formidable trueno mas recio, plaza de Málaga , ls siguiente: que los que habían precedido desde el principio del nublado, qué fue á las dos y media, y al momento desapareció el fueg…</t>
  </si>
  <si>
    <t>…a-dignidad del Gobierno, otomano. . Garyajalt^Capilan general interino de Andalucía; para aquella Ademas de estas concesiones, la Puerta reconoce que los vacante al de igual clase D. Juan Caro, Capitán general interi .asuntos d¡e la Grecia serán objeto de 11 na negociación separada, no de Granada j, y para este'empleo al Marital de Campo Don -para la que se halla-autorizado-ya el iord Strangford con plenos Josef Ignacio Alvarez Campana; nombrando C…</t>
  </si>
  <si>
    <t>Carondelet</t>
  </si>
  <si>
    <t>…e el brigadier Manso ha batido á los facciosos en las inmediaciones Real orden en que se declara que todos tos secularizados de uno y ce Toriosa , cuya noticia me ha comunicado el barón Carondelet. A ■otro tero están habilitados para disponer libremente de su peculio par este gefe le he dado las instrucciones arregladas á lo que S. M. ha te- ticular, y de cuanto hayan podido adquirir en virtud del decreto de 26 n.do á bien resolver, y que V. E. se ha s…</t>
  </si>
  <si>
    <t>Carra, Joscf</t>
  </si>
  <si>
    <t>Joscf Carra</t>
  </si>
  <si>
    <t>…y sata!.tes, el cual el coronel D. Gerónimo Valdés, ios comandantes de división el ha de celebrarse en. V.cua el mes de Octubre Se dice que el es brigadier D. Juan Antonio Monet ; coronel D. Joscf Carra tala, tado que presentan las cosas de España ha inspirado este proyecto. y ia infantería por el camino de los Altos que conduce á ia en Parece que se c.ta para apocar esta nueva reunión de los despotas trada de la quebrada de S. Mateo; y habiendo var ado de d…</t>
  </si>
  <si>
    <t>Carra, Vícente</t>
  </si>
  <si>
    <t>Vícente Carra</t>
  </si>
  <si>
    <t>…e caballería de cita ciudad, Desde mañana se romperá la retreta á las nueve con arreglo al mando de su cap tan D. N. Faure, y por ocupación de este al á ordenanza =Leglisa. &lt;3e su teniente D. Vícente Carra, deseosa de manifestar su grati —A la» diez y media de ia mañana de hoy se ha». trasladado tud á la valiente división catalana, al mando del caroncl Buzan y SS. AIM. y A A. á la iglesia metropolitana con el objeto de vi comandante Baices, dió anteanoche un su…</t>
  </si>
  <si>
    <t>Carra-, Joscf</t>
  </si>
  <si>
    <t>Joscf Carra-</t>
  </si>
  <si>
    <t>5</t>
  </si>
  <si>
    <t>…n la mejo dados por su comandante teniente coronel D Valentín Ferras, y ra del estado moral de aquel país, donde con los auxilios del Go dos piezas de artillería á las órdenes del coronel D. Joscf Carra- bierno han fundado ya 200 escuelas y una academia destinada á talá, mientras el resto de las tropas verificaban sobre la izquier la enseñanza de las ciencias. Los misioneros ingleses recorren la da el movimiento con dirección á S. Agustín, pasando el rio isla…</t>
  </si>
  <si>
    <t>Carrafa</t>
  </si>
  <si>
    <t>…habiéndose declarado Portu ¿al R cy su amo habia cometido un gran yerro, y que si él hubiera en rebelión, este príncipe nombró obispo» para las sillas vacan i do Rey de España, el cardenal Carrafa hubiera ido á Bruselas á tes. El duque de Bragauza nombró para los mismos obispados á hacer á íos p.ts de Felipe u lo que acababa de hacer él mismo á otros sugetos aunque todavía no huhiuoe sido reconocido por So ios del papa. berano legítimo , y el Papa se n…</t>
  </si>
  <si>
    <t>Carranza, Francisco</t>
  </si>
  <si>
    <t>Francisco Carranza</t>
  </si>
  <si>
    <t>…ulo , y para abreviar do , compuesto de los Sres. D. Juan Bautista Vea Murguia; D. Bernar su duración. Solo la enipniuJcié para conquistar la paz que el estado do de la Peña Díaz; D. Francisco Carranza; D. Luis Igartu.butu; Don actuatde la España hace imposible.” Fernando Gargollo: D. Josef Carreño; D. Pablo Mateu; D. Matías La guerra puede evitarse ; para ello no se necesita mas que los go üiave, y D Cayetano Rodríguez Moran; después de tenida (a conferen…</t>
  </si>
  <si>
    <t>Carrasa, Eduardo</t>
  </si>
  <si>
    <t>Eduardo Carrasa</t>
  </si>
  <si>
    <t>…ulterior, con expresa condición de que ¡os Oración fúnebre que en las exequias celebradas por el alma Algarbes pertenecerían á la Bética-citerior. de D. Matías Vinuesa dijo el Dr. D. Eduardo Carrasa. Se ha La nación portuguesa no debe de manera alguna encargarse llará en las librerías de Quirós, Paz, Villa, S. Plácido, y en de las exequias de Fernandez Tomas ni de su viuda, ni de la la de Hernández en Toledo. EN LA IMPRENTA REAL.</t>
  </si>
  <si>
    <t>Carrasco, María Jacmta</t>
  </si>
  <si>
    <t>María Jacmta Carrasco</t>
  </si>
  <si>
    <t>…us bie y perseguían Jos enemigos puesto el sol, se quitó de la vista en la nes ; opinaba la comisión podía accederse á ello. Aprobado. ensenada de Sanlúcar. Sobre la exposición de Doña María Jacmta Carrasco opinaba Sevilla ig de Mayo. que esta interesada usase de su derecho con arreglo á Las leyes. Aprobado. CORTES. Sobre ¡a exposición de D. Joset Ramón Zaldivar, capitán PRESIDENCIA DEt SEÑOR. FERSBR (DON JOAQUIN). de infantería destinado á Ultramar, opinaba que…</t>
  </si>
  <si>
    <t>Carrasco, Santiago</t>
  </si>
  <si>
    <t>Santiago Carrasco</t>
  </si>
  <si>
    <t>…on dolor que e¡ Rey ha sufrido un nuevo forzosa y activa, mandándome con oportunidad los auxilios de ataque de gota „ lo que le ha obligado á suspender el viage ma ambas armas: el capitán D. Santiago Carrasco, que sostuvo mi rítimo que tenia proyectado. compañía después de pasar el puente; y en fin, fue tan igual el Idem 7. entusiasmo de los gefes, oficiales y tropa de ambas armas y di S. M. ha renunciado definitivamente á su proyecto de ex visiones , que todos so…</t>
  </si>
  <si>
    <t>Carrataia</t>
  </si>
  <si>
    <t>…y de hostilizar imevo destino dirigió todas sus miras á ganarse la confianza de los italianos refugiados, y de algunos suizos crédulos. Para dar buena nos; por tanto dispuse que 4 coronel Carrataia con los batallo nes x.° del Imperial y del primer regimiento , y los escua idea de si mismo, y ser admitido á sus secretos , hizo servicios im drones de draeones del Perú, al mando del comandante D- An portantes a varios piatnüntéses, y les procuró cartas de…</t>
  </si>
  <si>
    <t>Carrataiá, Josef</t>
  </si>
  <si>
    <t>Josef Carrataiá</t>
  </si>
  <si>
    <t>…mandadas por sus capitanes los bagage y la infantería, mandada por los comandantes de división tenientes coroneles graduados D. Pedro Asnar y D. Pedro Peña, D. Juan Antonio Monet, D. Josef Carrataiá y el gefe del Esta desalojaron con gallardía sobre la marcha. Hice venir el resto do M. G. D. Gerónimo Valdés, marchasen rápidamente á Bede infantería, caballería y artillería que quedaba en Late, y ha llavista por Santa Cruz , abriendo camino entre el mar y…</t>
  </si>
  <si>
    <t>Carratalá</t>
  </si>
  <si>
    <t>…las notas que pasaron los enviados de de las tropas del coronel Rodil , cayó en manos de (as que conducía el Francia , Austria, Rusia y Prusia, f manifiestan que tos individuos de brigadier Carratalá desde Córdoba con este objeto: sobre Ja misma cor este cuerpo, que en el año de j3i2 contribuyeron con sus esfuerzos á dillera de los Andes fue derrotado aquel caudillo, podiendo soio esca sostener la independencia de la Nación, los renovarán si necesario fue…</t>
  </si>
  <si>
    <t>529</t>
  </si>
  <si>
    <t>…za el Código fundamental , v expues que el caudillo Quita s que en los .Andes pudo escapar con algu to el estado á los fuertes vaivenes de la tirar, a extrangera , a todos nos de! Sr. Carratalá, y del bizarro comandante riel 2.0 batallón se presenta un campo de gloria donde brille a un mismo t orro ríei primer regimiente' D. francisco Narvaez, fue hecho prisione el honor y amor á la patria: invadida la península . v despeda ro con todos sus restos q…</t>
  </si>
  <si>
    <t>…on cuatro com su digno general en gefe. pañías escasas del primer regimiento saüeron sobre Vilcashuaman Peruanos, sean para vosotros un vivo escarmiento las lamen al mando dei Sr. brigadier Carratalá, el cual supongo habrá co tables escenas de vuestra capital, y ayudad con vuestra gratitud municado ya á V. E. la completa derrota de Quiros , sucedida el y vuestro deber al ejército nacional para aquella empresa, que 27 en los altos de Urancanclia. restituir…</t>
  </si>
  <si>
    <t>Carratalá, Josef</t>
  </si>
  <si>
    <t>Josef Carratalá</t>
  </si>
  <si>
    <t>…so descanso, guardia atacaEn á aquellos: esta brillante operación se efectuó cuando tiene que hacer e! servicio de armas, seria muy loable bajo las órdenes de los dignos coroneles D. Josef Carratalá y que los buenos ciudadanos ele S. Fernando la ayudasen en traba D. Gerónimo Valdés, distinguiéndose extraordinariamente la jos tan interesantes. Con este objeto me dirijo A V. S. manifes mitad de granaderos de la guardia, mandada por el esforzado tándole que…</t>
  </si>
  <si>
    <t>Carratalú, Josef</t>
  </si>
  <si>
    <t>Josef Carratalú</t>
  </si>
  <si>
    <t>…caron por el camino les y tropa de su compañía. Los Mrcs. Brigadieres D. Juan Anto en la llanura tas compañías enemigas de cazadores, las que al ver- nio Monet , 1). Juan Loriga y D. Josef Carratalú con la firmeza nos lucieron alto; mandé salir de su emboscada al r.° dej Imperial, y serenidad que Ies son propias, haciendo siempre mas de lo que y que se formas» d de dragones en batalla progresiva; el impe exigían sus debejes, lian contribuido mucho á tan…</t>
  </si>
  <si>
    <t>Carrciío, Ramón</t>
  </si>
  <si>
    <t>Ramón Carrciío</t>
  </si>
  <si>
    <t>…xnilitar , escopeteros y milicias de Lena, Grado y Miercs, al mando del alcalde i.°, pronunció la siguiente alocución: » Amados conciudada comandante de la milicia activa de Salas D. Ramón Carrciío , se dirige nos : Las Cortes determinaron que en el día de hoy se celebrase todos á Sama para obrar en combinación con la de lá hola : caen sobre Val- ios años una misa solemne y Te Deurn en todas las iglesias parroquia desoto, Langreo y Labiana : huyen los a…</t>
  </si>
  <si>
    <t>Carrefto, Fernando</t>
  </si>
  <si>
    <t>Fernando Carrefto</t>
  </si>
  <si>
    <t>…s y caballos; pero sin embargo se abrieron paso en Fuen sagrada , y tSo d.l resguardo miliar a las or de la situación en que nos hallábamos, caímos sobre Brihuega á las 9 denes de D. Fernando Carrefto ; y sabiendo que los malvados se hadéla noche, donde formados sobre el camino se trazo .-I plan de ata b'an reconcentrado en número de unos 8 13 a yoo, traté de sorpren que, esperando nos ayudas- I» columna del general O-Daly por el ca derlos, y i las di ce d…</t>
  </si>
  <si>
    <t>Carrel</t>
  </si>
  <si>
    <t>…a del pala cio de justicia de Perpiñan. Cuatro individuos franceses hechos Rtr-iA. prisioneros en España han comparecido sucesivamente. El pri Petersbmgo j de Octubre. mero era el Sr. Carrel, de Rouen, cx-oficial, acusado de haber Se aguarda la semana próxima en Gatschina á la Princesa tomado las armas contra la Francia. El defensor del acusado ha Carlota de Wurtemberg. Se preparan grandes fiestas con este ob sostenido una cuestión de derecho que…</t>
  </si>
  <si>
    <t>Carreño, Josef</t>
  </si>
  <si>
    <t>Josef Carreño</t>
  </si>
  <si>
    <t>…Solo la enipniuJcié para conquistar la paz que el estado do de la Peña Díaz; D. Francisco Carranza; D. Luis Igartu.butu; Don actuatde la España hace imposible.” Fernando Gargollo: D. Josef Carreño; D. Pablo Mateu; D. Matías La guerra puede evitarse ; para ello no se necesita mas que los go üiave, y D Cayetano Rodríguez Moran; después de tenida (a conferen bernantes de Francia reconozcan el derecho de gentes, y el ninguno cia de estilo declaró no haber…</t>
  </si>
  <si>
    <t>…de injurioso te estaban un capitán de la guardia nacional y ua comandante de ba • su autoridad , te reunió el jurado , compuesto de los Sres. D. Joaouia tallón de invslidos. Goñi, D. Josef Carreño, D. Felipe Echevarrí, D. Miguel Pino y A vista de la guardia nacional, que marchaba delante, todo el lado López, D. Bernardo ds la Peña Díaz, D. Juan Francisco Vídot, Don izquierdo se levanta por un movimi uto indeliberado, y exclama: Segismundo Moret, D. Jcs…</t>
  </si>
  <si>
    <t>Carreño, Ramón</t>
  </si>
  <si>
    <t>Ramón Carreño</t>
  </si>
  <si>
    <t>…onstitución, han decretado lo siguiente: Segunda división. __ Comandante general el brigadier D. Fran Artículo i.° Se establecerá y exigirá un derecho cosí el nombre cisco Moreda; D. Ramón Carreño , gefe interino ; D. Josef de servicio por la concesión de honores relativos í toda clase de Martínez Bernal auxiliar. empleos civiles. Art, Gobierno formará y remitirá á la Cuerpos de que se compone.__Batallones: Tuy, Astorga, aprobación de las Corres la tar…</t>
  </si>
  <si>
    <t>Carrera</t>
  </si>
  <si>
    <t>…ndo egército de operaciones—Primera división,__Tengo la han quitado la máscara los congresistas de Verona , y han encargado al satisfacción de incluir á V. S. el parte del bizarro coronel Carrera; por Gobierno francés la realización del plan de invadir La España con ioo3 él se enterará V. S. de la completa derrota de la facción de Adan Tiucombatientes bajo la invocación del Dios de S. Luis. jillo en los límites de España y Francia. Cumplo con uno de m…</t>
  </si>
  <si>
    <t>…debidas al sufrimiento, Litiga y valor de las tropas con itiir/i li a- .-.í:aih ducidas á la victoria por el /cío inteligente y extraordinaria activi Irl ladreador dice : dad del coronel Carrera. Cuando este geíe principio la persecu Nuestro corresponsal de Pci'pi'.m con fecha de! r.os escri ción el aq de Marzo llevaban los enemigos quince horas de ven be lo siyu ente : Cunde la tv. mentac-on en todos ¡os -i'-ii-ei d. 1.1 taja ; ¡i pesar de esto los…</t>
  </si>
  <si>
    <t>…isioneros , entre ellos 62 heridos, en conducidas á la victoria por el zelo inteligente y extraordinaria cuyo número se encuentran el ex-brigadier D. Pedro Eennin de actividad del coronel Carrera. Cuando este gefe principió la per Iliberri, capitán que fue de la extinguida brigada de Carabine secución el 13 de Marzo llevaban los enemigos quince horas de ros, y d ex—guardia D. Juan Martínez Davahllo», ayudante tic ventaja; á pesar de esto los alcanza e…</t>
  </si>
  <si>
    <t>…la Miralles de Cervera, y de hallarse su cabe puse el ataque, llevando la cabeza las referidas fuerzas del cargo za «n poder dei bizarro comandante de ¡a columna volante de la del coronel Carrera , y siempre sostenidas por el resto de las de provincia de Lérida , cuyo fausto acontecimiento me apresuro á Landáburu y la caballería, al mando del coronel D. Josef Ma elevarlo á V. S. asina.smo por expreso para su sat-slaecior., y que ría Cueto ■. se apoder…</t>
  </si>
  <si>
    <t>Carrera, Félix</t>
  </si>
  <si>
    <t>Félix Carrera</t>
  </si>
  <si>
    <t>…eniente D. Vicente Chumaccro , me pidió con ins ventajas deb.das á la actividad y bizarría del acreditado coronel tancia que se le emplease en la toma del puente con sus soidado», D. Félix Carrera, y las valientes tropas que se hallaron á su* y yo también me interesaba en proporcionarles ocasión de ven ordenes en dicha acción , recomendando con este motivo á V. E. gar sus ulrrages___Dispuesta ya la tropa, y poniéndose á su ca el m.rilo que c:¡ cFahan c…</t>
  </si>
  <si>
    <t>…cibido el Gobierno el sigu'tnte ejemplar imprc había tomado el camino de este pueblo, destaqué sobre él al co so del edicto publicado en Barcelona sobre la muerte dei cabeci ronel D. Félix Carrera con el primer batallón del regimiento in lla M.ralles y derrota de su cav-iia. fantería de Asturias de su mando, el batallón de zapadores , al Gob ernó poi tico de ¡a provincia de Barcelona.__Ciudada mando del teniente coronel D. Manuel Fuentes Toro, las com…</t>
  </si>
  <si>
    <t>Carrera, Juan Bautista</t>
  </si>
  <si>
    <t>Juan Bautista Carrera</t>
  </si>
  <si>
    <t>…del egéicito permanente. nuel de Luengas, D. Antonio Canadeü, D. Luis Igartuburu , Don Alt. 2.0 Los oficiales, sargentos y cabás de la rifer da milicia tendrán Joaquín María Goñi, D. Juan Bautista Carrera , D. Josef María la los mismos haberes que en sus respectivas provincias esten señalados á los Arroyo, D. Josef Perez Torroba, D. Ramón Míguez y D. Francisco de iguales clases de las compañías creadas en virtud del d creto de tas Antonio Larraza, por unanimid…</t>
  </si>
  <si>
    <t>Carrera, María Josefa Suarez</t>
  </si>
  <si>
    <t>María Josefa Suarez Carrera</t>
  </si>
  <si>
    <t>…n. Igualmente se aprobó e» dictamen de la misma comisión La comisión segunda de Hacienda, en vista de la solicitud de acerca de que se permita al ayuntamiento constitucional de Ca Doña María Josefa Suarez Carrera, en que pide se la exima del sares adoptar un impuesto en calidad de arbitrio por carecer de pago de la cantidad que quedó debiendo su difunto marido por propios para sus gastos. La comisión opinaba que este asunto era medias anatas , era de opinión que no de…</t>
  </si>
  <si>
    <t>Carrera, Pedro Antonio</t>
  </si>
  <si>
    <t>Pedro Antonio Carrera</t>
  </si>
  <si>
    <t>…cilla Ikjsr , el lla Tornas López Caide.-sn , D. Salvador Garzón de Salazar, D. Francisco mado coronel Lorenzo I.abarra y otro oficia! , con 8 hombres muertos, Antonio de Fuentes, D. Pedro Antonio Carrera, D. Antonio Cana8; cabaih-s, todas las lanzas, fusiles, tercerolas y sables que quedaron dril, D. Rafael María de Gataicochea , D. Pedro Antonio de Aguiren mi pedir; podiendo asegurar á Ü. que ;sia facción quedo entera» re , D. Juan Josef del Cubillo y D. Fra…</t>
  </si>
  <si>
    <t>…epto de los europeos, y van conociendo que no todos de tarraza, D. Tomas López Calderón , D. Josef Diez Imbrecht, son seres violentos , sanguinarios, codiciosos que atraviesan los D. Pedro Antonio Carrera , D. Joaquín María González, Don mares en edificios flotantes en busca dei oro, y con el objeto de Francisco FernandíZ del Castillo y D. Juan Bautista Alvarcda, EN LA IMPRENTA NACIONAL.</t>
  </si>
  <si>
    <t>Carrera, Salvador</t>
  </si>
  <si>
    <t>Salvador Carrera</t>
  </si>
  <si>
    <t>…eblos estaban envueltos en profundas tinie Los infrascritos jueces de hecho, habiendo examinado la "denun blas. Orgullosos como Napoleón , pero sin motivos para serlo; tan cia por D. Salvador Carrera y D. Jaime Esteve y Caries, como ignorantes como aquel de lo que es el carácter español, y con obreros de la parroquia de S. Francisco de Paula, de la parte menos medios y recursos para una temeraria empresa, intentan del artículo comunicado inserto en el diario de Brusi de 22 del dict…</t>
  </si>
  <si>
    <t>Carrera, Vicente Ecrrer</t>
  </si>
  <si>
    <t>Vicente Ecrrer Carrera</t>
  </si>
  <si>
    <t>…debía cienda. decidir definitivamente esie asunto. La comisión de Legislación, habiendo examinado la solicitud dé El br. Canga dijo que des.aria que los señores de la comisión ma D. Vicente Ecrrer Carrera, agenta da varios grandes propietarios y nifestasen si esta plaza debía hacerse sobre parte de la srea de un con partícipes legos, en la que se quejaba del retraso que experimentan es vento de capuchinos que existía allí, y que se haba cedido por ¡as Cor tos…</t>
  </si>
  <si>
    <t>Carreras, Félix'</t>
  </si>
  <si>
    <t>Félix' Carreras</t>
  </si>
  <si>
    <t>…gobierno, bevilla 14 de Abril de 1823.z=Fl V. E. para su debido conocimiento los adjunto» partes origínale* administrador principal de correos. dd brigadier barón de Carondelet y coronel D. Félix' Carreras, por los cuales se enterará V. E. de las ventajas logradas por el ANUNCIOS. último sohie la facción de Adar. Trujillo en los confines de Fran cia : á este dia de gloria que han dado á nuestra patria el men Se hallan vacantes las dos plazas de maestro de prime…</t>
  </si>
  <si>
    <t>Carrerto, Ramón</t>
  </si>
  <si>
    <t>Ramón Carrerto</t>
  </si>
  <si>
    <t>Núm. 8- [ 7 cuartos. 1 GACETA ESPAÑOLA. SEVILLA VIERNES 18 DE ABRIL DE 1823. NOTICIAS DE ESPAÑA. dante, de la milicia activa de Salas D. Ramón Carrerto, se dirige á Sama para obrar en combinación con la de la Pola: caen sobre Oviedo a. de Abril. Valdcsoto, Langrco y Labiana: huyen los amotinados con pérGobierno político de la provincia de Oviedo. d.da de algunos muertos, sin que por nuestra. parte hubiese ni…</t>
  </si>
  <si>
    <t>Carreta, Josef</t>
  </si>
  <si>
    <t>Josef Carreta</t>
  </si>
  <si>
    <t>…dibe hacer la conespondiente propuesta. al Gobierno con et objeto de fijar su atención sobre este punto ; y con efecto, el Gobierno ha tomado cuartas medidas estab-m á su alcance Don Josef Carreta!á , administrador interino de la aduana de Lepe, para proporcionar a aquella provincia los auxilios que necesitaba, y en la provincia d» Huelva , ha acudido á S. M. ofreciéndose i servir en mandó extraordinario al comandante del distrito de Aragón para que la…</t>
  </si>
  <si>
    <t>Carriles, Santos</t>
  </si>
  <si>
    <t>Santos Carriles</t>
  </si>
  <si>
    <t>…sensible á ios dulces afectos de la ge- ciller y registrador; y para una de portero de la misma audiencia á nrt j. ijd y de la bentficencia que no se enternezca al leer este rasgo D. Santos Carriles. incompatible de humanidad &gt; ¡Serviles! ¡Esclavos! porque asi es pre Igualmente se ha dignado S. M. nombrar, á propuesta de la au ciso llamaros, ¿seriáis vosotros capaces de semejante grandeza de alma? diencia de i'evilla, para la plaza de tasador y repartido…</t>
  </si>
  <si>
    <t>Carrillo, Cirilo</t>
  </si>
  <si>
    <t>Cirilo Carrillo</t>
  </si>
  <si>
    <t>…furor del pueblo, fue sacrificado á puñaladas. .Don Julián Galvez, presbítero, asociado de D. Francisco La guardia acudió al lugar del desorden , y quiso dispersar el Maicas y de D. Cirilo Carrillo, Racioneros de la santa Prima tropel: entonces se trabó una lucha, y el puebio hizo retirar la da iglesia de Toledo, tuvo el honor de felicitar á SS. MM. guardia á pedradas. Un soldado herido cayó -en manos del pue y AA. á nombre de su hermandad de Capellanes…</t>
  </si>
  <si>
    <t>Carrillo, Josef</t>
  </si>
  <si>
    <t>Josef Carrillo</t>
  </si>
  <si>
    <t>…erecha , que mandé sucesivamente re del Sr. Valdés, coronel D. Pedro Antonio Rolando, capitanes forzar con tTes,compañías de Gerona , previniendo al coronel D. Domingo Espinosa, y teniente D. Josef Carrillo; mi ayudante D. Cayetano Ameller que atacase sobre la marcha; este valiente de campo teniente coronel p, Ramón Nadal, y el ayudante dé a,i .'&lt;&gt; verificó, y los bizarros de,Gerona no se contentaron con re E. M. mi secretario D. Vicente Clarín , que llegaron co…</t>
  </si>
  <si>
    <t>…mando co ronel D. Pedro Rolando, capitanes D. Domingo Espinos.-?, NOTICIAS DE ULTRAMAR. D. Tiburcio Ortega, el adicto al E. M. D. Francisco Maria BATALLA DE MOQCF.GUA. Valle, y el teniente D. Josef Carrillo, quienes se ocuparon Parte Je! .SV. centra: en gefe. dignamente en su deber durante la acción , condujo sus tropas Excmo. Sr.: En el parte de la brillante victoria de Torata como acostumbra , y no obstante las dificultades de! terreno que tuve el honor de man…</t>
  </si>
  <si>
    <t>Carrillo, Pedro</t>
  </si>
  <si>
    <t>Pedro Carrillo</t>
  </si>
  <si>
    <t>…Pedro Morell. 16000D. Josef Maria Rcat. D. Josef Bueréns. . D Josef María Craywinckel. D. Juan Cortes...................................J Idem con distino á un cuerpo que esté en D. Pedro Carrillo ele Albornoz. Primer ayudante. ■J campaña, según el artículo 5.0 del expresado deícreto. ........................................................................ P- Antonio Merlo............. D Francisco Martínez. Capitanes supernumerarios, recomendados} D. S…</t>
  </si>
  <si>
    <t>Carro, Dionisio</t>
  </si>
  <si>
    <t>Dionisio Carro</t>
  </si>
  <si>
    <t>…sueldo , man arcipreste de Bíugos; D. Lorenzo Sainz, presbítero beneficiado del lu dando al mismo tiempo qua ss le dieran las gracias en su nombre. gar de Cazedo; D. Manuel Yoldi; D. Dionisio Carro; D. Isidro As(Gaceta eit! /y.) torga y Joige Crespo. Todos fueron condenados i muerte por el juez Decr. to de'las Cortes derogando el artículo 4.0 del decreto de 13 de primera instancia; y ya se ha visto qué pena impuso la sala á Car de Matzo del año pasado ,…</t>
  </si>
  <si>
    <t>Cartagena</t>
  </si>
  <si>
    <t>…depende del miedo de á Bcaucuire. la espada del Sr. duque ni de ninguno de su eje,oto: pende de la NOTICIAS NACIONALES. lealtad acendrada de los españoles que habrá visto S. A. el Sr. Cartagena 7 de Setiembre. duque bien comprobada. Cuando V. E. escribía la int.111a.ion era en el dia 24, día después en que ¡as armas francesas y las espa La falta de comuniciones deja campo abierto para que corran ñolas que estaban unida» á ellas hacían fue¿o sobre la…</t>
  </si>
  <si>
    <t>Cartasco, Juan Josef</t>
  </si>
  <si>
    <t>Juan Josef Cartasco</t>
  </si>
  <si>
    <t>…reemplazo extraordinario decretado ú tunamente por ¡as Cortes, y ge ^ d- ver la mayor parte de los hombres que se alistan en sus banderas. contrauque ha celebrado cou el ciudadano D. Juan Josef Cartasco par* Niegan primeramente , y rebaten como si fuese una calumnia ó una in vestirlos y unifoimarlos, y es la siguiente: * juria , lo que mas tarde deben preconizar y querer con fanatismo. Acor El equipo de cada individuo lo hará por el precia de 390 rs. , y s.…</t>
  </si>
  <si>
    <t>Cartel, Josef</t>
  </si>
  <si>
    <t>Josef Cartel</t>
  </si>
  <si>
    <t>…cripción. __Reunidos en' jurado de calificación los Sres. D. Martin Zarandia, Los que deseen suscribirse á la Gaceta de Madrid ó i la Gaceta es D. Joacuin Cevallos, D. Ramón Llord,D. Josef Cartel, D. Gaspar pañola , ó bien á Ies dos, podrán hacerlo tanto en la imprenta nacional Aguii.:ra, D- Antonio Gamonal, D. Francisco Barra, D. Nicolás de esta capital, como en la misma en Sevilla, é igualmente que en to Hered.ro Mayoral, D. Juan Paz , D. Manuel Car…</t>
  </si>
  <si>
    <t>Cartera, Vicente Ferrcr</t>
  </si>
  <si>
    <t>Vicente Ferrcr Cartera</t>
  </si>
  <si>
    <t>…r examinado el pian que se presentaba, lampuco la debían tener La misma comisión presentó su dictamen sobie otra exposición del ahora en acceder a lo que se solicitaba. mencionado D. Vicente Ferrcr Cartera , vu la que d-spucs de manifes Deciatado el punto suficiente mente discutido, se 3probó el dicta tar que muchos mayorazgo» tienen sobre si una iupouca , á la cual no men coa la modificación propuesta por el Si. Canga.</t>
  </si>
  <si>
    <t>Carvajal</t>
  </si>
  <si>
    <t>…l editor es pues que no tenemos este derecho. Ocupémonos entre tanto en francés. dictar las providencias que podamos para conservar el s siego y Se aseguraba que seria nombrado el general Carvajal para la tranquilidad de la capital. Si no nos fuese posible continuar ha capitanía general de Castilla la Nueva, y para la de Aragón i ciendo otras leyes, porque no hay quien ¡as haga ejecutar , haga D. Felipe Fleires. mos á lo menos este último bien á la nac…</t>
  </si>
  <si>
    <t>Carvajal', Jcnef Ar-as</t>
  </si>
  <si>
    <t>Jcnef Ar-as Carvajal'</t>
  </si>
  <si>
    <t>…astian de la Cuesta , D. Ramón Ibafiez , D. Bese servirá avisarlo en la casa y calle del Sacramento, rúna. 3 , cuarton 10 santos, D. Diego Bisadre , D. Gregorio Moreno del Molino, D. Jcnef Ar-as Carvajal', D. Pedro Santisteban, D. Benito Sama- bajo de la izquierda. nieto y D, Josrf de did’- . y previas lis formalidades que previene ha ■ Se halla vacante el magisterio de primeras letras del Picazo (Cuen l y di- ! heríaJ de imprenta, declararon por unanimidad ab…</t>
  </si>
  <si>
    <t>Carvajal, Francisco Perez</t>
  </si>
  <si>
    <t>Francisco Perez Carvajal</t>
  </si>
  <si>
    <t>…uir el movimiento con la vanguardia del de que acudan al Lie. D. Antonio Sánchez Pascual «n Sevilla, o ejército, que conservó á mi inmediación , y el cual emprendí des- en Ecija á D. Francisco Perez Carvajal. EN LA IMiTU TA NACIONAL.</t>
  </si>
  <si>
    <t>Carvajal, Jcsef María</t>
  </si>
  <si>
    <t>Jcsef María Carvajal</t>
  </si>
  <si>
    <t>…le anunció el tiempo los esperaban los Excmcs. Sres. D. Victor Saez, primer Societa de bonanza, disipa sus cuidados, y aun hiciera olvidar los crí— rio de Estado y del Despacho, y D. Jcsef María Carvajal, Ca menes dé sus enemigos, si estos no fueran tales", qué las profun pitán general de Andalucía, que habian anticipado su viage. Ei das heridas que.han abierto nO reclamaran hoy-y por muchos días imposible explicar el júbilo de estos habitantes, el numeroso c…</t>
  </si>
  <si>
    <t>Carvajal, Josef</t>
  </si>
  <si>
    <t>Josef Carvajal</t>
  </si>
  <si>
    <t>…del presente se considerarán abolidos. A la comisión segunda de Hacienda se njlndó pasar un ex Se declaró haber lugar a votar sobre la totalidad de este dic pediente promovido por D. Josef Carvajal, administrador cesan tamen , y fueron aprobados sus artículos. te de Rentas, y una exposición del director general de Aduanas, Continuó la discusión de la ley adicional ¿ la de libertad de haciendo observaciones sobre la de Cádiz. imprenta. La comisión de Leg…</t>
  </si>
  <si>
    <t>Carvajal, Josef María</t>
  </si>
  <si>
    <t>Josef María Carvajal</t>
  </si>
  <si>
    <t>…se enterará V. E. queS. M, Conde de la Puebla del Maestre; D. Victor Saez, primer Secre ha tomado las riendas del Gobierno, y ha dado los primeros tario de Estado y del Despacho; D. Josef María Carvajal, Ca pasos para su futura felicidad. Al encargarme S. M. lo participe pitán general de los cuatro Reinos de Andalucía; D. Juan Ma á V. E. para que lo haga presente á la Regencia, me previene di ría Villavicenció, Capitán general de ia Real Armada; Alarques ga…</t>
  </si>
  <si>
    <t>…res, Infantes las suyas contiguas á la de simos Sres. P. Víctor Saez, primer Secretario de Estado y del S. M.: al lado de la epístola estaban la de la Reina y las Seño Despacho, y D. Josef María Carvajal, con otras varias gentes ras Infantas en el propio orden. Se cantó el Te Deum á grande y personas de distinción. Todas las casas estaban colgadas , y orquesta; y concluida esta funciori, que ha sido magnífica por la la plaza toda cubierta de damascos, espejos…</t>
  </si>
  <si>
    <t>…orden desque se vol recibiéndolos en él como siempre los Excmos. Sres. D. Víctor viese en el término de cinco minutos, declarándole que en lo Saez, primer Secretario de Estado, y D. Josef María Carvajal, sucesivo no recibirla á otro parlamentario sino al mismo Rey. Gapítan general de Castilla la Nueva, con otros muchos sugetos Esta firme respuesta intimidó á los diputados; pero lo que mas de distinción. El camino ha estado todo cubierto de gentes de eco Ies…</t>
  </si>
  <si>
    <t>…ón será considerada en Francia como prisio beza se hallaba su Comandante el Brigadier D. Josef Arratibel. nera de guerra, y tratada como tal hasta que la guerra que exis El Excmo. Sr. D. Josef María Carvajal, Capitán general de esta te entre los dos Estados fuere terminada , en cuva época ningún provincia , acompañado de varios Sres. Generales y un lucido individuo de dicha guáfnicion podrá ser obligado á volver á en concurso de Oficiales españoles y franceses, q…</t>
  </si>
  <si>
    <t>Carvalhodijo, Sá</t>
  </si>
  <si>
    <t>Sá Carvalhodijo</t>
  </si>
  <si>
    <t>…; pero el Sr. Pato Moniz siguió el dictamen del señor guiente : Margiochi, apoyándole con otras nuevas observaciones. &gt;&gt; Autorizo á Guerreiro y á sus colegas para dar las provi Él Sr. Sá Carvalhodijo que sus comitentes le encargaron que dencias que juzguen necesarias en cuanto no mando lo contra guardase é hiciese guardar la Constitucion.de 1822 , y que á cos rio. r=Con una rúbrica de S. M. = Palacio de Villafvanca de ta de su vida ia defenderia , poique…</t>
  </si>
  <si>
    <t>Carvallar, Antonio Rodríguez</t>
  </si>
  <si>
    <t>Antonio Rodríguez Carvallar</t>
  </si>
  <si>
    <t>…aballería de este pueblo, á las órde cioa=Dcir*¡ngo Fontan, secretario. nes del teniente coronel retirado D. Agustin González de Verin. Oréase ti de Atril. y á las del subteniente D. Antonio Rodríguez Carvallar, se Gobierno político de ia proitncia de Orense. condujeron con la mayor bizarría, y los de infantería de Via- Sección de gobierno político.__La facción organizada de San fiá, á las órdenés de E&gt;. Josef Antonio Sanz Maldonado, con los Gregorio, pueblo de Port…</t>
  </si>
  <si>
    <t>Cas</t>
  </si>
  <si>
    <t>…culo. La aplicación de frutos de que habia d art. ó 0 del de Se habla mucho de los derechos que tienen todos los ciudada creto de 29 de Junio de 181 2 , y a la cual se refiere el Sr. Cas nos respecto de la Nación, al paso que nada se dice de los deberes tejon , ocasiona un perjuicio permanente á los interesados. Es que estos tienen para con la Nación, y mucho mas en las circuns preciso que á lo menos se exprese en el artículo que se reinte ta…</t>
  </si>
  <si>
    <t>Cas.m</t>
  </si>
  <si>
    <t>…hemos refrendada de D. Francisco Casado , escribano del número habi podido ver en este hecho, uno de aquellos golpes tan inesperados, litado para el despacho de ladeí cargo del Sr D. Cas.m?ro ny tan vivamente dolorosos para nuestra alma, que tanto se repi tonio Gómez, se sacan í pública subasta, en virtud de Real fa ten ahora en ese reino contra las cosas de la Iglesia. cultad concedida per S. M. en 1815 al Excmo. Sr. Conde da Nuestro corazón n…</t>
  </si>
  <si>
    <t>Casa, María Arguer y</t>
  </si>
  <si>
    <t>María Arguer y Casa</t>
  </si>
  <si>
    <t>…ra y otro no cuello , y recayeron dichas suertes en las ciudadanas Doña Merced Forminado Morillo, en número de 200 hombres de infantería y caballería, naguera, Doña Dolores Frons, Doña María Arguer y Casa, Doña Jo viene de Peñamelíera, y se apodera de Llanes, y en «odas partes despe sefa Medir y Carnesoltas , Doña Francisca Grau, Doña Bárbara Riera, dazan el precioso signo de nuestras instituciones; dan íobre ellos las Doña María Cata, Doña Teresa Miser y Catá…</t>
  </si>
  <si>
    <t>Casa-Flores, Conde de</t>
  </si>
  <si>
    <t>Conde de Casa-Flores</t>
  </si>
  <si>
    <t>…illeros retirados , f aquellói, y en la plaza de la catedral hicieron jada de Paris al Excmo. Sr. Duque de S. Cirios; para el Minis salva pór todo el diá. terio de Viena al Excmo. Sr. Conde de Casa-Flores, y para el Él Sr. Intendente, aunque se hallaba postrado en cama, no ,de Rusia al Conde de la Alcudia. Para Mayordomo mayor de pudiendd cónteñér el júbilo dé su corazón, mandó que por todo su Real Casa al Excmo. Sr. Conde de Miranda, y para la Pre el mt» se s…</t>
  </si>
  <si>
    <t>Casa-Flores, Duque de</t>
  </si>
  <si>
    <t>Duque de Casa-Flores</t>
  </si>
  <si>
    <t>…, y á D, Joa '«AVIERA. quín Lorenzo Mozo, que lo servia interinamente, para que , Augsburgo 37 de Setiembre. sirva en los mismos términos la plaza del Consejo supremo de la :. El Sr. Duque de Casa-Flores, Ministro de la Regencia de Guerra. jEspafia en la corte.de.; yie^íz, pasó pipr aquí hace algunos \dias Madrid ij de Octubre. con dirección á su destino. (Monitor.') El Rey nuestro Señor ha tenido á bien reponer en sus etnr ' FRANCIA. píeos de Cirujano mayor…</t>
  </si>
  <si>
    <t>Casado, Francisco</t>
  </si>
  <si>
    <t>Francisco Casado</t>
  </si>
  <si>
    <t>…tantos motivos de nuestro justo dolor por verla ex Por providencia del Sr. D.^Joaquin d« 'Almazan y Jimeno, cluida de los dominios del Rey Católico.-Demasiado'hemos refrendada de D. Francisco Casado , escribano del número habi podido ver en este hecho, uno de aquellos golpes tan inesperados, litado para el despacho de ladeí cargo del Sr D. Cas.m?ro ny tan vivamente dolorosos para nuestra alma, que tanto se repi tonio Gómez, se sacan í pública subasta, en…</t>
  </si>
  <si>
    <t>Casafía, Luis</t>
  </si>
  <si>
    <t>Luis Casafía</t>
  </si>
  <si>
    <t>…scos y rocas, desgajaos de repente y caed con sado todo en 779,793 rs. y 17 mrs. vn., propia de los herede-; fracaso sobre las huestes enemigas , que profanan el territorio ros de D. Luis Casafía, para hacer pago á la compañía de fonarmado con vosotros para tan justa venganza! gistas de esta corte de la cantidad que ia deben. Quien quisiere « !p dulce patria tnia! ¡Tú allanada y violada por extrange hacer postura acuda i dicho juzgado y escribanía, en…</t>
  </si>
  <si>
    <t>Casajus, Andrés</t>
  </si>
  <si>
    <t>Andrés Casajus</t>
  </si>
  <si>
    <t>…ucedía parte de una la Constitución , haciendo mención honorífica en este número del juez compañía de Toledo echando el puente levadizo sale del fuerte de las de primera instancia D. Andrés Casajus y su promotor fiscal D. Josef Descalzas y y habiéndosele unido algunos patriotas, ocuparon al instan- Veiea , de los empleados públicos de Hacienda, los de la diputación tante la puerta de Alcántara : sorprendidos los enemigos , el desorden provincial, y en f…</t>
  </si>
  <si>
    <t>Casamayor, Josef</t>
  </si>
  <si>
    <t>Josef Casamayor</t>
  </si>
  <si>
    <t>…ción. En la acc on tuve En e;te tetado se presentó V. S. con el gefe de E. AI. Don á mis órdenes á los oficiales del E. M el teniente coronel Don Ramón Galí, y su ayúdame de campo D. Josef Casamayor, Juan de Arsabe , al caphun D. Félix Domcnech., que ccn la ma v determinó adelantásemos ¡a línea, situada con arreglo á las or yor celeridad comunicaron mis ordenes, y de&lt;de ei mcm¡ r.fo en denes de V. S., en el sitio referido arriba: en su consecuencia que a…</t>
  </si>
  <si>
    <t>Casano</t>
  </si>
  <si>
    <t>…Perú; y por lo mismo no dudo que él narro , cubriendo el camino de Saccdon, por donde esperaba la colum mundo entero conocerá la importancia de las glorias de las armas na na del coronel Casano que viene de Madrid , y está detenida en Aucionales en lea, pues que en los sucesos políticos de Ultramar tienen fion por haber inundado el Tajo el camino cerca ya de Sacedon , y que una influencia tal, que, repito, han Jijado la suerte del Perú. Esto, había…</t>
  </si>
  <si>
    <t>…a Albuhera y S. Marcial. Los atrincheramientos y Cuando el general en gefe tuvo aviso de que se hallaba herido parapetos de la primera línea de los sitiadores han sido ocupados el coronel Casano, dió orden al subinspector de infantería Don á viva fuerza por nuestros soldados, y la resistencia del enemigo Facundo Infante de que marchase inmediatamente á tomar el para no ser desalojado le lia sido tan infructuosa como cara, pues mando de aquella column…</t>
  </si>
  <si>
    <t>…formejpedido al Gobier Resumen general. ........................ 650,000,000 no , acompañando la información hecha acerca de la muerte del Valor presupuesto de las rentas y contri coronel Casano, á cuya familia consideraba el Gobierno muy buciones........................... 56r.927,4o5,.g2 digna.de que se le recompensase. Idem de los medios extraordinarios. ..... 650.000,000 Se leyó y aprobó una proposición del'Sr. Marau, en que pe dia que se nombras…</t>
  </si>
  <si>
    <t>…número de la ciudad de Sevilla, ayudantes de campo, entre los cuales el marques del Barro mar y emigrado á esta Isla Gaditana por su amor á la Constitución, chó de su orden con el coronel Casano , y se mantuvo á su lado para que se le conceda el destino de corredor que antes tenia, hasta estar muy cerca de los franceses. El brigadier D Teodoro opinaba que podía accederse á lo que este interesado solicita. Galvez Cañedo permaneció en el centro de la f…</t>
  </si>
  <si>
    <t>…efiere; y svgiin el cual resulta que en la madrugada del mando de la pequeña columna que por haber sido herido el del 16 salió por aquella parte con las compañías de cazadores del coronel Casano habia dejado este de mandar , pasó al camino que 2 j de línea y g.° ¿L voluntarios de Madrid , la de granaderos del media entre la barca y la venta de Chichina, en donde tuvo oca primer batallón del mismo cuerpo, y un'destacamento de caba sión de saber cuál h…</t>
  </si>
  <si>
    <t>enemigos el coronel Casano y varios soldados. en seguida, quedándose á retaguardia de todos el valiente oficial Su primer cuidado fue observar á aquellos. que con infante- de E. M. el capitin adicto D. Josef Andrés , quien ai pasar ei lia y caballería ocupaban la venta: en seguida con…</t>
  </si>
  <si>
    <t>Casano, Antonio</t>
  </si>
  <si>
    <t>Antonio Casano</t>
  </si>
  <si>
    <t>…ó esta operación con el mayor orden y serenidad De la columna del camino real se destacó otra desde el por cuando vio que lo hacían ks tropas de! Trocadero. tazgo á ks ordenes del coronel D. Antonio Casano , teniente co El general en gefe hace el mas ensalzado elogio déla bizarría, ronel de la artillería nacional , compuesta de 400 á 500 hombres orden y disciplina que han observado todas sus tropas. Los ger.ey 20 caballos. Por el caño del Zurraque navegaban cua…</t>
  </si>
  <si>
    <t>…ctamen sobre la propo el proyecto que se discutía. sición del Sr. Aillon, relativa al modo de premiar los servicios del En seguida expuso el orador otras razones por las cuales no coronel D. Antonio Casano, siendo de parecer que debia infor pudo aprobar el dictamen. mar el Gobierno. Aprobado. El Sr. Ferrer (D. Joaquín) dijo que no veia contradicción Habiéndose anunciado que continuaba la discus'011 del regla ni diferencia alguna entre este, proyecto y la ley ci…</t>
  </si>
  <si>
    <t>Casanova, Salvado'-</t>
  </si>
  <si>
    <t>Salvado'- Casanova</t>
  </si>
  <si>
    <t>…lleva la alegría, si es vivo ó muerto. Por lo que se suplica á quien tenga alguna Cuando en él sube un Borbon. noticia sobre el particular tenga la bondad de avisarlo por carta á D. Salvado'- Casanova,del comercio de la misma ciudad de Ceres. Valencia. Pagad tributo á los Reyes, En virtud de providencia del Sr. D. Manuel Josef Rubio, Guardad al campo sus leyes, por la escribanía de D. Manuel Megía, se llama á los parientes Premiad del pobre el sudor; y per…</t>
  </si>
  <si>
    <t>Casanovas, Matías</t>
  </si>
  <si>
    <t>Matías Casanovas</t>
  </si>
  <si>
    <t>…is riera: el cabecilla abandonó su caballo , que á la mañana del día si putas entre los oficiales y los vecinos; pero que habiéndose interpuesto guiente fue recogido en la casa de D. Matías Casanovas , y del que se la autoridad había restablecido prontamente el orden con sus buenas hicieron luego cargo los oficiales D. Pedro Mártir Gasol y D. Remigio providencias. Antes de salir de Cataluña habian depuesto i Romanillos, Barea que se presentaron con 14 vol…</t>
  </si>
  <si>
    <t>Casares, Francisco</t>
  </si>
  <si>
    <t>Francisco Casares</t>
  </si>
  <si>
    <t>…s , de que el infrascrito Barranco, Francisco Marin, Francisco Naranjo, Manuel Reina, secretario de S. M. y escribano de cámara del mismo certifica: Juan Mayans , Miguel Vallejo , D. Francisco Casares, Josef Lu- Por el presente edicto cito y emplazo al Sr. D. Francisco Bi incena, Gabriel Contreras , Josef García , Francisco Granado , Be gas, actual diputado por la provincia de Filipinas, comprendido nito García, Josef Ruiz, Josef Gran, Josef Arias, Manuel…</t>
  </si>
  <si>
    <t>Casariego, Juan Fernandez</t>
  </si>
  <si>
    <t>Juan Fernandez Casariego</t>
  </si>
  <si>
    <t>…u cargo se das, pueden acudir desde el luces 13 del presente á verificar sus pagos expidan las órdenes convenientes i los gefes políticos de las provincias al suplente de tesorero D. Juan Fernandez Casariego, que vive calle de para que activen cuanto esté de su parte la prescniacio' :n las respecti la Cruz , núm 5, manz, 114, almacén de paños, desde las 8de la ma vas capitales dé los reemplazos pertenecientes a los antiguos batallones; ñana i Jas 2 de la tarde.Ma…</t>
  </si>
  <si>
    <t>…s y dignos de toda merced por llego , D. Simón González Yuste, D. Jaime Ruiz Abren , D. Joa lo muy fieles que somos a la corona de nuestro amado Monarca. quín Manrique y Manrique, D. Juan Fernandez Casariego , D. Benito n Los vecinos de esta ciudad ofrecen todos unánimes perder la últi Ortega Romanillos, D. Manuel M-rino, D. Domingo Fernand a An ma pota de sangre en defensa de la legítima y justa causa-, esperando gulo y D. Lucas de Mata Araujo. Declararon por un…</t>
  </si>
  <si>
    <t>…a de fal lificación los Sres. D. Josef Antonio Ponzoa , D. Antonio Puigblanch, dear el Moncayo y pasar por Frasno para acercarse á su guarida, y el co D. Nicolás Heredero Mayoral, D. Juan Fernandez Casariego, D. Juan Isidoro Perez, D. Antonio María Espejo, D. Julián de Fuentes, D. Gre ronel Depablo talonea su fuga. n Hoy se lia incorporado ■ ia división el destacamento que proceden gorio Mendivil, D. Joaquín Ruiz, D. Manuel Merino, D. Luis de Ma te de esa corte v…</t>
  </si>
  <si>
    <t>…l 60 en pasta. jurado, compuesto de los señores siguientes; D. BenitoOrtcga Romanillos, Práctica de vida cristiana y ejercicios de devoción : segunda edición D. Gregorio Mendivil, D. Juan Fernandez Casariego , D- Manuel Carni en un tomo en 8.°, adornado ton 1 j láminas finas. En esle nuevo ejerci cero, D. Antonio Puigblar ch , D. Pedro Alvaro Delgado , D, Cayetano cio cotidiano se han recopilado todas las mas principales oraciones , por lo Romero , D. Tomas Torre…</t>
  </si>
  <si>
    <t>Casas</t>
  </si>
  <si>
    <t>…a eterna la mtmor.a del dia de que se había reunido en la Girrigi con las facciones íc.endas ia de de zy.-r. Mosen Antón, envié por la matírugadu dei 16 ia vouipaiv.i de caz.co Éi Sr. Casas: Que s* imprima y se circule á todos les p; ebios ds les del batallón de emigrados italianos, al muido de su cap.tan L&gt;. Cu- la monarquía. los Chiachino, la piintcia del batallen de la IguaWad al mando ds su El Sr. dsnch z: En mi opinión d-berian publicarse l…</t>
  </si>
  <si>
    <t>…onstitucional de Salamanca. Del gefe político de Segovia. XSANCTA. De la pagaduría general de Marina. Parts 7 sil Entro. Del cabildo de S. Isidro de esta corte , presentada por el Sr. Casas. Nuestras cartas de Bayona dicen que son tantos los desertores do la Del regimiento infantería de línea de Granada, por el Sr. Ruiz do fe que van llegando, que el Gobierno francés se ha convencido en fin la Vega. de la necesidad de tomar medidas para conserva…</t>
  </si>
  <si>
    <t>…con la guarnición entre sus tad! I liego que divisamos la caballería de nuestro benemérito padre y manos, y dejaron para el momento de su rendición ei poner en practi protector el coronel Casas, hisimos una salida, con la.cual intentába ca un plan que habían trazado.de sangre y de horror, tanto contra la . mos picar la retaguardia é-1» facción-, y solamente i las inmediaciones tropa nacional como contra el vecindario; sin embargo, en el ínterin de F…</t>
  </si>
  <si>
    <t>…amente El Sr. Isturiz: La comisión sabia que este artículo habia de por la comisión , sino aqnel ú cualquier otro. sufrir una grande impugnación ; y por cierto que no creyó que El Sr. Casas dijo que este negocio pedia mas examen : que la tuviese por parte delSr. preopinante: su señoría ha manifestado presentándose en este momento un decreto, y acordándolo luego, sus rezelos y temores de que la hipoteca sea vana; en contesta podría cometerse algú…</t>
  </si>
  <si>
    <t>…otro Sr. diputado la orden de por la comisión de Corrección de estilo, autorizando del modo 2a de Agosto de 1820. mas amplío al Gobierno para que los generales en gefe , oyendo El Sr. Casas: Las personas de que habíala proposición no son á Jas diputaciones provinciales , y dando cuenta al Gobierno, pro las mismas de que habla el decreto que ha hecho leer el Sr. Gó porcionen los auxilios extraordinarios para la manutención de las mez Becerra , y…</t>
  </si>
  <si>
    <t>…ero estos acto del pago, á fin de que sin pérdida de tiempo puedan em bienes; por lo tanto desapruebo el dictamen. plearlo en la compra de fincas, conservando las matrices para El Sr. Casas: No encuentro en este proyecto ni justicia ni acreditar la legitimidad. equidad: ademas se observa en él una gran confusión de ideas, ro. Estos documentos serán admitidos sola y exclusiva porque ¿ quién duda que los gastos extraordinarios que se necesi mente…</t>
  </si>
  <si>
    <t>…otro Sr. diputado la orden El br. Prado: Antes que las Cortes declarasen que los regu de 2 1 de Agosto de 1820. lares secularizados tuviesen voto activa y pasivo, mi Opinión • El Sr. Casas: Las personas ds • que habla la proposición no era que ni regalares secularizados ni regulares ex-claustrados; son ias mismas de que había el decreto que ha hecho leer el Señor pero una vez que las Cortes han resuelto que los regulares se Gómez Becerra, y de…</t>
  </si>
  <si>
    <t>…este caso, y no en el de aprobar el dic-t Por consiguiente no sé qué razones pueden haber movido á ¡a co umen. misión : lo mas que podía haber dicho , si no quería que fuese pa El Sr. Casas: Para mi este negocio es de tal naturaleza, que gada esta pensión por la Nación, que se pagase por los fondos las Cortes no deben ocuparse de él, y mucho mer.os en las cir municipales; mas sin embargo en mi op&gt;nion solamente deberá cunstancias actuales. Si lo…</t>
  </si>
  <si>
    <t>…votar sobre ella , quedó aprobada. 820; el proyecto de ley sobre propiedad da obras literarias, y Se leyó una proposición de los Sí es. Romero, Aillon , Sán el voto particular del Sr. Casas, con el cuai se conformaba el se chez, fuentes del Rio y Amurre, para que ei proyecto de con ñor Reiilo, todos los que se mandaron imprimir. tribución territorial de consumos y de casas presentado por el El Sr. Galiano expresó que se había separado del dictam…</t>
  </si>
  <si>
    <t>…orridas en el término de una y media, habían dedo fuera de! rano. Palacio 6 de Agosto de i823.=cViclor Saez. cuenta de toda la columna , sin que s« haya salvado de ella mas que el coronel Casas, que mandaba, con 12 caballos, que han El encargado de negocios de S. M. el F.ey de Cerdefia en huido á escape , y algunos dispersos que probablemente encon «sta corte ha hecho presente á la Regencia do! Reino, por me- trarán la muerte en medio de los bosques…</t>
  </si>
  <si>
    <t>Casas, Aliguel Sánchez</t>
  </si>
  <si>
    <t>Aliguel Sánchez Casas</t>
  </si>
  <si>
    <t>…obligar las leyes. (Gaceta del j.) - ausentes D. Manuel Aivarez por la provincia de Zamora : Don Resolución de las Córtes sobre el modo de constituir por Rafael Casimiro Lodarcs y D. Aliguel Sánchez Casas por la de ahora lasala de tercera instancia de la audiencia territorial con la Mancha: D. Josef Apoita por la de Vizcaya: D. Domingo los ministros del tribunal Especial de Guerra y Marina, y si es Cortés, D. Francisco Enriquez, D. josef Alcaide y D. Ramón tos…</t>
  </si>
  <si>
    <t>Casas, Josef</t>
  </si>
  <si>
    <t>Josef Casas</t>
  </si>
  <si>
    <t>…á dicha oficina, pues en ello se interesa la » Egérc’to de operaciones del séptimo distrito.=Excmo. 5¡\:~E1 co verdadera distribución de los caudales de la Hacienda pública. ronel D. Josef Casas, comandante de armas de Calaf, con f.cha 16 r « del corriente me dice lo siguiente: El cap.tan comandante de ¡a indi La junta de ganaderos establecida en esta heroica villa ha acorda cia voluntaria de Tori con fecha de 16 del corriente medica ío que do congre…</t>
  </si>
  <si>
    <t>Casas, Miguel Sánchez</t>
  </si>
  <si>
    <t>Miguel Sánchez Casas</t>
  </si>
  <si>
    <t>…multa equivalente al de un ausentes D. Manuel Alvarez por ia provincia de Zamora : Don año, y en caso de no poder satisfacer su importe, sufrirán las pe Rafael Casimiro Lodares y D. Miguel Sánchez Casas por la de nas que proporcionalmente señala el código penal. la Mancha: D. Josef Apoita por la de Vizcaya: D. Domingo Art. 9." Cualquiera que á la sombra del ejército invasor ó Cortés, D. Francisco Tlenriquez, D. Josef Alcalde y D. Ra de las partidas de faccio…</t>
  </si>
  <si>
    <t>…inistros de Estado os pna- ausentes D. Manuel Alvurcz por la provincia de Zamora: Don r¿ín la correspondencia seguida entre la junta y el general Freire. Rafael Casimiro Lodares y D. Miguel Sánchez Casas por la de En ella encontrareis que este general ha declarado formalmente la Manchal: D. Josef z\poita por la de Vizcaya: D. Dominco que ni él ni el ejército están sujetos á ia junta , y que no reco Cortés, D. Francisco Enriquez, D. Josef Alcaide y D. Ramón no…</t>
  </si>
  <si>
    <t>Casero, Zoilo Gómez</t>
  </si>
  <si>
    <t>Zoilo Gómez Casero</t>
  </si>
  <si>
    <t>…erno ia recibido el parte siguiente. res siguientes: D. Joaquín Manrique y Manrique , D. Domingo í&gt;rF! segundo comandante general del quinto distrito militar , con nandez Angulo , D. Zoilo Gómez Casero, D. Bernardo Asenjo, Don íecla de 9 del actual, dice entre otras cosas al Excmo. Sr. secretario Juan Isidoro Persz, D. Cayetano Romero, D. Juan Manuel de Ale da Estado y del Despacho de la Guerra So siguiente; ■» En el monten- jula, D. Juan Antonio López y D.…</t>
  </si>
  <si>
    <t>…rrer (D. Joaquín ) y D. Carlos Romeral, D. Juan Antonio Marcos, D. Josef Rives Garmenclia: ..Pedimos á las Cortes que en atención á las circunstancias Queraltó, D. Matías Piniila, D. Zoilo Gómez Casero, D. Juan Anto en que se halla la provincia de S. Sebastian, la cual confina con Francia, nio López, D. Gaspar Aguilera, D. Bernardo Aser,jo, D. Nicolás He se observe lo que en otras guerras se ha observado , relativo á la forma redero Mayoral: habida la confe…</t>
  </si>
  <si>
    <t>…al Gobierno, para que con En su vista se reunió el jurado, compuesto de los Sres. siguientes: arreglo i lo que tienen las Corte» acordado les dé colocación en el D. Jossf Caite 1, D. Zoilo Gómez Casero, D. Joaquín Huerta Ceegército. _ rallos, D. Luis de Mata Araujo , D. Saturnino Lozano, D. Juan An Se mandó pasar i la comisión de Guerra una propuesta remitida por tonio López, D, Joaquín de la Vega y Quintana, D. Juan Isidoro •1 Sr. secretario de este ramo,…</t>
  </si>
  <si>
    <t>Casildo</t>
  </si>
  <si>
    <t>…i'O D petar , a Poderes. Sres. Silva , G sbert, Cuevas, Alcaide, l’errer ( D. Anto un anecio en la tesorería de Us Cortes y en la on.re ía.. .,1 nio), Fuentes del Rio , González ( D. Casildo) , Arias y Falcó. Diario, &gt; las providencias que había dado sobre interiore- ce - » Legislación. Sres. Ruiz de la Vega, Domeneclt, Castejon , Marau, Cortes, Jiasta que se nombro la comisión de Gobierno .nteror «n la, v Santafé , Ladrón de Guevara, Oliver , Ro…</t>
  </si>
  <si>
    <t>Casildo, Manuel</t>
  </si>
  <si>
    <t>Manuel Casildo</t>
  </si>
  <si>
    <t>…. presidente nombró para componer dicha diputación tien, y en pro los Sres. Alvarez (D. Elias) , Salva, González á los Sres. Canga Arguelles , l'lorez Calderón , Salva , Lagasca, (D. Manuel Casildo ), Soria y Gómez Becerra , se declaró el Moure, Sequera, OÍver, Ferrer, Valdés Bustos, Solieron, punto suficientemente disentido-, y habiéndose preguntado si ha Saavedra, Sierra, Alonso, Adán, Gómez Becerra, Nuñez bia lugar á votar sobre el dictamen , resultó…</t>
  </si>
  <si>
    <t>Casilereagh</t>
  </si>
  <si>
    <t>…stema de política exterior ó Rossini&amp;c. mucho mas que 4 los ministros de Estado. Asi esquí si no inte-ior que favoreciese ¿1 menoscabo de las propiedades. hubiéramos visto aqui al lord Casilereagh y a su hermano , tendríamos Pero cualesquiera que stap.iis esperanzas y temores de ambas partes, las mismas noticias de Inglaterra que del Perú. Pero lo que pfihcifváU ello es que ni el conocimiento de los documentos diplomáticos de les mente exalta y llena d…</t>
  </si>
  <si>
    <t>Casis</t>
  </si>
  <si>
    <t>…49, 750, 751 , 752' 753 &gt; 754 &gt;755&gt; Art. 4.° Aprobado. 7*¡6 y 757 del código penal. Art. 5.0 ................... 11. De las estafas y engaños , de que tratan los artículos 766, El Sr. Casis ion: Nada se dice en este artículo acerca de! modo 767, 768,7Ó9, 770," 771 y 772 del código penal. de formarse estos tribunales especiales, creyendo yo muy opor 12. De la vacancia, holgazanería y mal entretenimiento, tuno que se formen á propuesta del Consejo…</t>
  </si>
  <si>
    <t>Casitdo</t>
  </si>
  <si>
    <t>…ten.do el hor.or ds R i lo , B rtrande Lis, Casas, Martí , Sárabsa, Pedralvez , Rey, Man mandar, compuesta de la sexta compañía del primer batallón , de I» so , Cortes, González (D. Casitdo) , González Rom , Ru.zdtl Ro, cuarta del segundo y de cazadores, y quinta del tercero , y del ayu Rodríguez Paterna , 'Otos, Tomas , Cubas , Cano , Guevara, Mar dante D. Gonzalo Cárdenas y el brigada D. Rafael Duende, á fin de chámalo, Prado , Eulate, Munarnz…</t>
  </si>
  <si>
    <t>Casqueiio, Banasar</t>
  </si>
  <si>
    <t>Banasar Casqueiio</t>
  </si>
  <si>
    <t>…Caballeros, de vecindario 400 vecinos1, y de dotación Continúa ei informe de ¡a causa contra D. Domingo Baso. 200 ducados por ahora pagados por tercios por la justicia , hasta que D. Banasar Casqueiio, relator cesante del consejo de Hacienda , y en el plan de dotaciones propuesto por la diputación al Gobierno de oriundo del reino de Galicia, parece olio emisario, que sai 10 de Ma ba adquirir la que le corresponde de 10 rs. diarios. El ayuntamiento drid poc…</t>
  </si>
  <si>
    <t>Casqueiro, Baltasar</t>
  </si>
  <si>
    <t>Baltasar Casqueiro</t>
  </si>
  <si>
    <t>…e interior, hay peque- en medio de la agitación y conmociones consiguientes á Ja fuga de las fios asientos con una tarimiiis -ntr.- uno y otro. No hab a lugar m3s personas Reales. D. Baltasar Casqueiro aseguró á los maestros de pos que para cuatro personas. En medio det techo habla pendientes unas tas de Babón que sá instalarían en ValUdolid; y como este paso ha grandes cadenas para sostener una especie de canasta de hierro , en la bía de suspender necesari…</t>
  </si>
  <si>
    <t>Casquero, Baltasar</t>
  </si>
  <si>
    <t>Baltasar Casquero</t>
  </si>
  <si>
    <t>…nía dentro del término reHernández Tirso; Pedro Josef Garviso , criado de D. Josef Ala,:u;l fericki , que se le admitirá siendo arreglada. Erroz; Francisco Ramírez, que acompañó á D. Baltasar Casquero , y ANUNCIOS. otros varios de ia misma ó menor entidad: muchos fueron compren didos en el indulto publicado en Agosto de 1820; y seria largo , fas Los Gabinetes y los pueblos desde el afio de 1815 hasta 1822, es tidioso é inútil referir menudamente los indici…</t>
  </si>
  <si>
    <t>Castañon, Federico</t>
  </si>
  <si>
    <t>Federico Castañon</t>
  </si>
  <si>
    <t>…icación de la importante plaza de Barcelona continúa sobre el hospicio de ella perteneciente á dicho cuadro ; el capitán y se aumenta de dia en dia de un modo verdaderamente prodi D. Federico Castañon, ayudante de esta columna, que se halló gioso. Las autoridades política , militar y municipal proceden con en primera línea obrando en la carga de que va hecho mérito ejem d mas laudable acuerdo para hacer de esta capital el mejor ba plarmente. Dios guarde á…</t>
  </si>
  <si>
    <t>Castaños</t>
  </si>
  <si>
    <t>…. Dumoneau. Dumoustier. Dupont, Madrid Lunes js de Marzo. pr sionero en Baiien con todo su egército en 19 de Julia de 1808 por Gobierno político de la provincia de Guadalajara. ei general Castaños. Duvernct. » Excmo. Sr.i Viva la Constitución. Según anuncié á V. E. en mi</t>
  </si>
  <si>
    <t>Gaceta Española n.º 126</t>
  </si>
  <si>
    <t>…es adonde no llegaron Según un artículo del darlo de los Debates , citado por di aquello» se hallaban exhaustos. Sin embargo Jos españoles tuvie cho Constitucional , parece que el general Castaños había llegado ron constancia, y triunfaron entonces de un poder diez veces á .Madrid , v había presentado á la Regencia intrusa al ex-.-fe tnajor que el que actualmente se ha dirigido contra ellos. polínco S. Martin. El día 4 de Julio se reunieron lo» ciudada…</t>
  </si>
  <si>
    <t>Castaños, Francisco Javier</t>
  </si>
  <si>
    <t>Francisco Javier Castaños</t>
  </si>
  <si>
    <t>…ia y sentimientos capitán retirado, diputado.” de estas corporaciones, que piden ai Todopoderoso conserve ia preciosa vida de V. A. S. en su mayor prosperidad y grandeza El Excmo. Sr. D. Francisco Javier Castaños, capítan gene para el bien de estos reinos. Montoro y Agosto 3 de 1813.” ral de los Reales ejércitos , comisionado por la villa de Monto- (Siguen las Jimias.} ro, en el reido de Córdoba , se presentó á S. A. S. la Regencia; del reino; y habiéndole manifestado…</t>
  </si>
  <si>
    <t>Castaños, Mariano</t>
  </si>
  <si>
    <t>Mariano Castaños</t>
  </si>
  <si>
    <t>…misión de Legislación se mandaron pasar dos representa guerra que no está hecha todavía, lista diferencia es tanto mas extraordi ciones , una de D. Sinforiatio Aguilera, y otra de D. Mariano Castaños, naria , cuanto entre los individuos de la Cámara electiva se distingue un pidiendo se les habilite para poder obtener destinos. considerable número de ilustres diputados que pertenecen al comerc;o y á A la de Guerre se mandó pasar una exposición de D. Doming…</t>
  </si>
  <si>
    <t>Castaños, Vicente</t>
  </si>
  <si>
    <t>Vicente Castaños</t>
  </si>
  <si>
    <t>Gaceta Española n.º 142</t>
  </si>
  <si>
    <t>…enta. Art. 27. Ha de entenderse nientes. Dios ¿ce. Cádiz 22 de Agosto de 1823. ia junta en derechura con la oficina de la redacción de la gaceta El Rey, accediendo á los deseos de D. Vicente Castaños, ca para hacer publicar en ella los fallos de los jurados. Art. 28. Si pitán de ejército y comandante de la compañía de infantería del estos recayesen sobre algún periódico , cuidará ademas de que se resguardo militar de Cáccves , lia tenido á bien destinarle…</t>
  </si>
  <si>
    <t>Castcjon</t>
  </si>
  <si>
    <t>…t. 100 del corregidores y alcaldes mayores, regidores perpetuos, eclesiásti reglamento, y se admitió á discusión. cos seculares y regulares, y colegiales mayores que respectiva El Sr. Castcjon : Aplaudo los deseos del Sr. Canga; pero mente pidan, acepten ó sirvan los destinos de dichos consejos, sentiría en extremo que al pueblo de Madrid se le diese el senti tribunales y ayuntamientos perpetuos; asi como ia reposición de miento de sustraer de aque…</t>
  </si>
  <si>
    <t>Castclló, Francisco</t>
  </si>
  <si>
    <t>Francisco Castclló</t>
  </si>
  <si>
    <t>…Viílacaxnpa. támenes que habian quedado sobre la mesa, y levantó la sesión á Orden ae la plaza riel 9 al jo ríe Maye. Jas tres menos cuarto. Gefe de día el comandante de la Reina D. Francisco Castclló.__Servicio á palacio la Reina y la milicia nacional local de Madrid , á las órdenes del coronel de la Reina D. Francisco Exigiendo las circunstancias que á la mayor brevedad se orga Fernandez Golfin__ Parada la milicia nacional activa y la nacio nicen , disci…</t>
  </si>
  <si>
    <t>Castdlo, Angel Díaz del</t>
  </si>
  <si>
    <t>Angel Díaz del Castdlo</t>
  </si>
  <si>
    <t>…dad. Su te—,r es como sigue: «Habitantes de Brest: La tar Taberné, D. Juan García Paredes , D. Joaquín de los Ríos. de de ayer se señaló con escenas lamentables. Varios ciudadanos D. Angel Díaz del Castdlo , y los coroneles D. Josef Saravia, han tenido que quejarse de ¡a violencia ejercida en sus personas. D. Joaquín Cavaleri y D. Bruno Josef de Prad.cr Villalba. = Con desprecio de la ley fue violado el asilo de un ciudadano, y Es copia. = Leglisa. lastimado es…</t>
  </si>
  <si>
    <t>Caste</t>
  </si>
  <si>
    <t>…el que se discute (lo leyó). Este art. 6.°, asi como artículo. los demas que se citan en el que discutimos , es preciso advertir El Sr. Argiielles: La dificultad presentada por el Sr. Caste— que hablan de determinados casos, y no tienen la generalidad que jon es indispensable removerla si se quiere que se vote ti artí S. S. ha creído. culo. La aplicación de frutos de que habia d art. ó 0 del de Se habla mucho de los derechos que tienen todos los…</t>
  </si>
  <si>
    <t>Castejon</t>
  </si>
  <si>
    <t>…s milicias voluntarias volar alegremente al La comisión opinaba no ser necesaria esta adición. Aprobado. peligro, y aclamar á la Constitución entre el silbido de las balas; he Del Sr. Castejon al art. 19a: „D:spucs de las palabras para imponer visto á la legal pedir armas con ansia , y conservarse en el puesto que le y exigir multas se añadirá que no pasen de goo ríalesLa comisión fue señalado; á toda cíate de ciudadanas incorporarse en las filas,…</t>
  </si>
  <si>
    <t>…e los demas de igual naturaleza, ficarse en defensa de la libertad da la patria. Se leyó dicha exposición. y por consiguiente no podía adoptarse el dictimen de la mayoría de la El Sr. Castejon leyó otra de los empleados en ta contaduría general comisión sino el del consejo de Estado. de Valores. El Sr. González Alonso dijo que el asunto de que se trataba no El Sr. Escovedo leyó otra del regimiento de caballería de Far- podía presentarse en las Cort…</t>
  </si>
  <si>
    <t>…jo llamarse D. Santos Fidalgo, De los jueces de primera instancia de esta capital, presentada y leí y el paisano , que es D. Josef Sánchez ( que fue ó es todavía cabo de da por el Sr. Castejon. hacheros del segundo batallón de milicia nacional voluntaria) fue Del ayuntamiento de Estepa, por el Sr. Romero. puesto en libertad por el mismo Sr. alcalde. Aun permanecía en este De los individuos que componen la dirección de Fomento general puesto S. S. c…</t>
  </si>
  <si>
    <t>…ica, puesto qui ma De la pagaduría é interv-ncion del ministerio de Gracia y Justicia, nifiesta ignorar el estado de Jas otras naciones. Un error de esta especie presentada por el Sr. Castejon. en asunto de tan alta importancia jamas tendrá disculpa razonable; y 'Del regimiento de caballería de Santiago, presentada por el señor la nota en cuestión solo podrá mirarse como una proclama incendiaria Galiano. dirigida á los facciosos, únicas personas ca…</t>
  </si>
  <si>
    <t>…. 27 del Código penal. al final del art'culo. Se votó este por partes, y quedó aprobado Se leyeron dichos artículos y título." ' ■ -.' todo el menos ia adición del Sr. Becerra. El Sr. Castejon: El Sr. López deMfefio-me ha precedido en Art. 5.0 El oficial ú oficiales encargados de la caja ce quin la impugnación que yo pensaba hacer: esta impugnación es tan tos, ó de conducirlos, que permitan su separación , sutraán dos Fuerte, que los individuos de…</t>
  </si>
  <si>
    <t>…s por la cornadura mayor de cuentas, se pasen á las Cortes Se leyó y aprobó el acta de la anterior , mandándose agregar para su aprobación. Aprobado. á ella el voto particular del Sr. Castejon, contrario á haberse Art. 124. Por ahora continuarán las diputaciones en el en aprobado el dictamen de ias comisiones de Visita y de Hacienda cargo de hacer examinar los que quieran ser agrimensores, arre sobre las proposiciones de los Sres. Alonso y Diez. gl…</t>
  </si>
  <si>
    <t>…entre secularizados y exclaustrados: Desengañémonos, que competía á las audiencias conocer de estos recursos. la secularización iniiuye solo en los efectos políticos, porque lo El Sr. Castejon manifestó que no podían aplicarse con res demas pertenece á la teología y no á la política ; y asi una de dos, pecto á los tribunales eclesiásticos las mismas reglas que respecto ó declárese que los secularizados no tienen voto activo ó pasivo, á los civiles…</t>
  </si>
  <si>
    <t>…ero respecto á que 7.a La comisión militar se establecerá en el edificio de cor competía á las audiencias conocer de estos recursos. reos. Madrid 15 de Mayo de 1813. = Abisval. El Sr. Castejon manifestó que no podían aplicarse con res _En la gaceta de las Dos Sicilias del 2 g de Marzo se dice pecto á los tribunales eclesiásticos las mismas reglas que respec que el 19 salió de vuelta para su pais la última columna de los to á los civiles por la dife…</t>
  </si>
  <si>
    <t>…se citan, me parece que que quién ha de hacer la aplicación de que-se trata bino solamente que da desvanecida completamente la objeción del Sr. Prado. se hará «sta aplicación. El Sr. Castejon: Sino estoy equivocado me parece que el ar El Sr. Soria: El artículo que se discute no ataca en manera tículo 6.a del decreto de 29 de Junio de 812 no solo habla del alguna los principios constitucionales ni los de notoria justicia, an secuestro de bienes, si…</t>
  </si>
  <si>
    <t>…e político con un extranjero El Sr. Soria: Yo renunciaría la palabra si no viese la resistencia respecto del cual supiese que conspiraba y minaba contra el siste que ha opuesto el Sr. Castejon al articulo; y yo pregunto ¡ignora ma: , Se contentará con-echarle de la plaza hasta que pueda con el Sr. Castejon las formalidades que se requieren para proceder sultar al Gobierno para saber su determinaron, y en cuyos pa contra un extranjero que conspire c…</t>
  </si>
  <si>
    <t>…de sus provincias como mas convenga á la causa pública, ción: y se inando imprimir junto con el voto particular del "Y cuando no sea posible ó conveniente que se reúnan los indivi Sr. Castejon , individuo de la misma. duos da las actuales diputaciones provinciales, pueden formar las Se mandó pasar á la comisión de Gobierno interior una expo jiinti, que deben nombrarse en virtud del decreto de 27 del cor— sición de D. Juan Antonio Iniesta y otros em…</t>
  </si>
  <si>
    <t>…bargo resolverán como siempre lomas acer ción de presidente , vice-presidente y un secretario. tado. En primer escrutinio para la elección de presidente obtuvo Voto particular del Sr. Castejon. 17 \ otos el Sr. Qaliano, 37 el Sr. Zulueta, 7 el Sr. Afonzo,_ 7 Con mucho sentimiento mió no puedo conformarme con el el Sr. Alonso, 4 el Sr. Escobedo, 2 el Sr. Munarriz, otros 1 dictamen de la comisión en la suspensión que propone del articu el Sr. Somoza,…</t>
  </si>
  <si>
    <t>…ó que no estaba declarada en estado de se retraerán de votar este ártículo por sola esta razón, y aun creo guerra toda la monarquía, sino algunos distritos-, y ques á la co que c! Sr. Castejon fundará su voto particular en ella misma. misión le habla parecido conveniente est! limitacionjlaraque en ■Puede suceder el caso de que un inocente contribuya á esconder Ultramar nó 'se suspendiesen las formalidades de que se trataba. dentro de su easa las pr…</t>
  </si>
  <si>
    <t>…a hayan de pagar al contado ¡os derechos que adeuden, na del estado; por consiguiente queda satisfecha la objeción del siendo asi que los nacionales tienen el plazo de tres meses. Sr. Castejon. Concluyo pues, manifestando que no tengo incon El Gobierno ha oido sobre este pur.to á los principal.:&lt;■ em veniente por mi parte en admitir la modificación propuesta por pleados de_ la Hacienda y á otros de la aduana de esta ciudad , y el Sr. secretario, añ…</t>
  </si>
  <si>
    <t>…l orador contestó i varías objeciones hechas en la sesión de clarar vacantes los empleos de los que no se presentase. ayer por elBlek, y concluyó pidiendo que se aprobase el ar El Sr. Castejon manifestó que según este artículo, pasado el tículo. término que en él se señala , no se dalia audiencia ni aun á El Sr. Romero dijo, que convencido por las razones que se aquellos empleados que justificasen haber estado detenidos por habían alegado, retiraba…</t>
  </si>
  <si>
    <t>…spañoles, v habla oido reprobar ia de Junio de 1822. Aprobado. tit ania de. sus invasores: pero jamas había oído la menor expresión Se mandó agregar al acta el voto particular del Sr. Castejon, contra los sentimientos generales del pueblo , aunque confesaba que contrario á lo resuelto por las Cortes, relativo á que ningún di habia algunos pocos cortesanos que estaban en oposición con estos. putado pueda salir de la Isla Gaditana concluidas las Cort…</t>
  </si>
  <si>
    <t>…ese el ar este dictamen era enteramente conforme con lo dispuesto en el ticulo 7.0 de la ley orgánica del ejército. Código penal, y que de ningún modo debían entender los consu El Sr. Castejon no dejará de conocer de que es de absoluta lados en las causas de que se trataba, por lo cuaL debía aprobar necesidad el que la inviolabilided de los diputados en sus opi se el dictamen. niones tenga un límite, y para esto se ha establecido el tribunal Declar…</t>
  </si>
  <si>
    <t>…cultades Sres. Salva y Navarró lejciro al informe de la misma comisión de Ja diputación permanente de Cintos. sobre el sueldo que deberán gozar los ex-ministros, y el segundo i El Sr. Castejon dijo que los artículos de la Constitución que sobre una adición de los Sres. Muro y Septicn al mismo dicta hablan de esta materia eran tan claros y terminantes que ninguna men ; y otro dictamen de la comisión de Casos de responsabili duda ofrecian, y que por…</t>
  </si>
  <si>
    <t>Castejon, Luis</t>
  </si>
  <si>
    <t>Luis Castejon</t>
  </si>
  <si>
    <t>…ires D. Francisco Javier Abalos, al de cazadores D. Josef María ción de que habla el art 6.°-, entendiéndose que los cirujanos han de Manglano, y á los tenientes D. Ramón Artegui, D. Luis Castejon y irner el tía licenciados en cirugía medica. Madrid 23 de Diciembre de D. Esteban Cereceda, á los cadetes D. Rufino Gil , D. León Manso, *Sa;.e=Juan Olivar y García , presidente.=cMartin Serrano , diputado y al pífano Ignacio Lotea, que sin embargo de tener…</t>
  </si>
  <si>
    <t>Castel</t>
  </si>
  <si>
    <t>…laS mibeias nacionales , todo el pue Se leyó y quedó aprobada la proclama dé que arriba se ha blo de esta gran capital, y sobre todo corazones libres, que son hecho mención; y el Sr. Castel branco, como orador de la di barreras invencibles contra las falanges de esclavos, aunque fue putación que habia ido á presentar á la sanción Real la ley de sen numerosas.” ' amnist'a para los desertores, hizo presente al Congreso, que des Dicho esto les entr…</t>
  </si>
  <si>
    <t>Castel, Josef</t>
  </si>
  <si>
    <t>Josef Castel</t>
  </si>
  <si>
    <t>…seguramente no asciende su número á 60 hom Conde de Floridablanca, D. Isidoro de Hoyos, D. Manuel Gallegos y bres , excepto la que fue sorprendida en Pozohondon, según á V. E. le D. Josef Castel. tengo dado parte. Dios &amp;c. Calamocha 19 de Febrero de 1823.=2 Ex- Habida la conferencia, se decidió por unanimidad n haber lugar á ¡a ceienpsitno. Sr. = Josef de Torres. sExcmo. Sr. conde del Ábisbal.= formación de causa.” Es copia ,=Abisbal." __Habiéndose d…</t>
  </si>
  <si>
    <t>…Fernandez Gaseo. En su vista se reunió el jurado, compuesto de los Sres. siguientes: D. Luis de Mata Araujo, D- Juan. Antonio Marco, D- Andrea Moya Luzuriaga, D- Saturnino Lozano, D. Josef Castel, D. Andrés (4) Los español» lo conocen ; y extrañan que el Sr. Chateaubriand Alcon, D. Domingo Vrllítnil’, D. Fiancisco López Olavarrieta y se meta en lo que no le toca, como él mismo confiesa.'Para conservar D- Gonzalo Cárdenas. el honor de su partido-es cap…</t>
  </si>
  <si>
    <t>…robado el remate celebra Señores que los calificaron de incitadores á la desob-diencia: Don do en 11 de Enero último de una casa sita en esta corte y su calle da Tomas Torresano , D. Josef Castel , D. Juan Paz, D. Martin Zarea- la Corredera Alta de S. Pablo , núms. ly y 20, mane. 449 , que tiene dia, D. Joaquin Ceballos, D. Karnou Liord y D Antonio Gamonal. de sitio 6288 pies y $ , tasada en 185,412 rs., quededucidos Ó941 rs. y Los demas los declararo…</t>
  </si>
  <si>
    <t>Castelao, Isidoro</t>
  </si>
  <si>
    <t>Isidoro Castelao</t>
  </si>
  <si>
    <t>…por Sos pueblos , ya de los gastos abonados directamente la Regencia del Reino ha expedido lo* decretos siguientes: por las teroreiías, y los pasen á la mayor brevedad a! Gobierno Don Isidoro Castelao, oficial primero, y como tal encar con las liquidaciones generales pata que se pueda solicitar su vegado de la contaduría principal de recaudación del crédito pú integro. blico, en oficio de 29 de Junio último manifestó al intenden De orden de S. A. S. lo com…</t>
  </si>
  <si>
    <t>Castellani, Josef María</t>
  </si>
  <si>
    <t>Josef María Castellani</t>
  </si>
  <si>
    <t>…derecho á esta casa de Legislación concedieron carta de naturaleza á D. Juan zVde— que á las resultas de la liquidación que debe hacerse de la tran cora , y de cudidano español á D. Josef María Castellani. sición celebrada en i.° de Abril de 11&gt; ió entre ella y el Go Igualmente concedieron las Cortes dispensa de edad para ad bierno de S. M., para cuyo solo efecto se declara válida y sub ministrar sus Sienes y para emanciparse , en conformidad con ei sistente.…</t>
  </si>
  <si>
    <t>Castellar</t>
  </si>
  <si>
    <t>…provincia ~\Tcta. Por un aviso particular del Sr. barón de Ca viembre de 1821; no se recibió en las provincias hasta Enero de 822, to: delrt t.-ngo entendido que á reclamación del Sr. Castellar, co y no ha mediado mas que un año ; por lo mismo no puede haberse he rnil ríante de la columna de operaciones que había dispersado los fac cho mas que un sorteo ; paro sea de esto lo que fuere, lo cierto es qua ciosos de Castellón, se ponía en marcha y en co…</t>
  </si>
  <si>
    <t>Castellar, Josef</t>
  </si>
  <si>
    <t>Josef Castellar</t>
  </si>
  <si>
    <t>…la. dad-Rodrigo logran dispersarle, y destinada esta últimamente en unión Valencia ay de Marzo. con aquellas milicias á su exterminio, no debe tardar mucho en desafie, Los Señores D. Josef Castellar, comandante general «fe* octavo dis recer este infame. trito militar, y D. Diego Garleo y Comines, comandante genera! da Ei extremo del poniente también experimentó alguna agitación: un la provincia de Játiva, segundo comandante general del octavo distri herm…</t>
  </si>
  <si>
    <t>…tes; ;y cuáles son lla ciudad; y que esta noticia agradable la comunicaban dicho ge estas; pregunto yo: sin duda serán las jud.dales; y de consiguien neral en gefe y el comandante general D. Josef Castellar, cuyos te los dueños van á verse envueltos en un pie to largo, y estas partes incluía. enagenaciones, que son ipso fado, nulas y de ningún valor, no Se leyeron dichos partes del general en gefe y del comandan podrán revocarse sino precediendo un pleito, que t…</t>
  </si>
  <si>
    <t>Castelldosrrius</t>
  </si>
  <si>
    <t>…rno y las Cortes: Estas dos cuestiones se dis vas contra nuestras tropas que ocupaban ei puente del Arzobispo. cutieron en junta presidida por el mismo ministerio , y todos los El general Castelldosrrius, y posteriormente el general López votos convinieron en la afirmativa de la primera , esto es, en que Baños procuraron saber la fuerza de estas tropas , y según sus no había probabilidad de poder resistir la invasión ; y en cuanto palies ascendería a s,0 homb…</t>
  </si>
  <si>
    <t>Castelliá, Francisco</t>
  </si>
  <si>
    <t>Francisco Castelliá</t>
  </si>
  <si>
    <t>…chos años. Secretaria de Es y l;i M. N. L. de Madrid, á las órdenes del convalidante de ba tado del mmisterio de Justicia. = Ilumo. Sr. = Agustín Josef tallón interino de la Reina D. Francisco Castelliá__ Congreso y Frene. =: Josef Antonio Gucrrelro. archivo la AI. N. L. de Madrid__ Parada todos los cuerpos, se Copia: Señor: alterado ei sistema de Gobierno en que S. M. rán lo detallado.__Patni!las las mismas__ Hospital y provisiones me tenia nombrado su secr…</t>
  </si>
  <si>
    <t>Castelló, Francisco</t>
  </si>
  <si>
    <t>Francisco Castelló</t>
  </si>
  <si>
    <t>…les D. Miguel Cornejo y D. Josef Rodríguez Busto sa de Sevilla, á las órdenes del comandante interino de la Reina lieron de aquella ciudad al acercarse los enemigos, y se traslada D. Francisco Castelló __Congreso y archivo.la milicia nacional ron á la de Salamanca en medio de ios riesgos y privaciones de local de Sevilla___Parada la Reina , Infante D. Carlos, milicia una precipitada emigración; habiendo instalado en ella el tribu activa y la nacional local…</t>
  </si>
  <si>
    <t>…paisano á que tome con gusto las armas: nacional local de Madrid á las órdenes del comandante interino nada mas me quedaría que desear si no el ser útil al Gobierno, á de la Reina D. Francisco Castelló___Congreso y archivo la mi S. A. R., á V. E., y de consiguiente á la cama que defendemos. licia nacional local de Madrid.__Parada todos los cuerpos según No puedo menos de hacer á V. E. presente la gloria que to lo detallado___Patrullas las mismas___ Hospital…</t>
  </si>
  <si>
    <t>Castellón, Feliz Ber</t>
  </si>
  <si>
    <t>Feliz Ber Castellón</t>
  </si>
  <si>
    <t>…7 657849-18 413á3&lt;5- quieran pretender estos destinos, presentarán sus solicitudes en Canarias...... 2 162962- 324077.. J41057.. la escribanía de cámara de sala plena, al cargo de D. Feliz Ber Castellón .... 1.760808..23 1.307H21..33 156289.. mas en el preciso término de cuatro dias, que principiarán á con •Ciudad-Real 2.666000.. j 6 1.220234..i&gt; 101474..27 tarse desde el de la fecha. Cid¡£ 21 de Julio de 1823. EN LA 1MPB-E' A NACIONAL.</t>
  </si>
  <si>
    <t>Castellón, Francisco</t>
  </si>
  <si>
    <t>Francisco Castellón</t>
  </si>
  <si>
    <t>…l cuartel general del duque de Angulema. Para mañana, por hallarse enfermo el que se nombró hoy, Se dice que S. A. R. está de mal humor; que ha tenido al el comandante de la Reina D. Francisco Castellón. tercados con el duque de Belluno, y que la invasión proyectada Servicio á Palacio milicia activa y primer batallón de la mi para el dia a se ha suspendido hasta el 10, y tal vez hasta el 15. licia local de Madrid , cuya guardia mandará el comandante del Tamb…</t>
  </si>
  <si>
    <t>…men de la comisión la Reina y milicia nacional ¡ocal, á las órdenes del comandante de Guerra sobre partidas de guerrillas; se leeria la memoria de de batallón interino de la Reina D. Francisco Castellón___Pa la comisión de Visita del Crédito público, y si quedaba tiempo rada la Reina, Infante D. Carlos y milicia nacional local, cuyos k del ministerio de Hacienda. cuerpos cubrirán los puestos que expresa ia nota que se entreva á cada uno; el demas servicio y…</t>
  </si>
  <si>
    <t>…levantó la sesión á las tres menos cuarto. Orden de la plaza del i.° al a de Mayo. El general Mina con fecha i.° de Abril desde su cuartel ge Gefe de dia el comandante de la Reina D. Francisco Castellón. neral de Vich ha publicado un bando, en que después de una __Servicio á palacio la Reina vM. N. L. de Madrid ,á las orde introducción dice ¡o siguiente: nes del coronel de la Reina D. Francisco Fernandez Golfín— En consecuencia de todo, habiendo variado tan…</t>
  </si>
  <si>
    <t>Castex</t>
  </si>
  <si>
    <t>…había entrado di el puerto de-su salid* el vizconde Tirlet : el conde Guilleminot, el conde Bourck , el viz una fragata con bandera americana cargada de toda ciase de p- rtrechoi conde Castex , el vizconde Domon , el conde de Autichamp , el barón de guerra, apresada por un corsario armado en dicha isla; dando final Dode de la Brunerie, el barón de Damas, el vizconde Donadieu, el mente por noticia que en el puerto ds la Guaira habia una corbeta in…</t>
  </si>
  <si>
    <t>Castic.tJi</t>
  </si>
  <si>
    <t>…ues aqui conocen muy poco sus principios políticas ni » • elocuencia,, mas lata significación. Cuando se disminuye el valor de estas propieda y mucho menos sus sarcasmos contra el lord Castic.tJi,j y cohlra los des , ¿rtr.biín la fortuna del Estado se disminuye: en la misma progrereformadores. Como no nos atrevemos á mezclarnos pa,los negocios sioVr ^or cuya causa debería ser desechado como incompatible coc la políticos, prestamos la mayor atención á…</t>
  </si>
  <si>
    <t>Castiglioni, Cardenal</t>
  </si>
  <si>
    <t>Cardenal Castiglioni</t>
  </si>
  <si>
    <t>…dé ella por obedecer; mas la enfermedad, y el 19 recibió Su Beatitud la extrema- se apoderan de sus personas; cuatro son degollados en la cálle tinción, que le administró el Emo. Sr. Cardenal Castiglioni, pe ctcl Del fin, y los demas conducidos á la Abadía, perecen pocos nitenciario mayor, hallándose presentes ¿esta función, asi como momentos después á golpes de los asesinos. lo estuvieron á la precedente dsl Sagrado Viático, ios tres Carde* La guadaña.de la…</t>
  </si>
  <si>
    <t>Castilla, Antonio N.</t>
  </si>
  <si>
    <t>Antonio N. Castilla</t>
  </si>
  <si>
    <t>…fe de E, M. dispondrá que á cada brigada de infantería Se mandó pasar á la comisión de Guerra una exposición del se le entreguen 12 cargas de cartuchos de fusil, los cuales se pon capitán D. Antonio N. Castilla, solicitando el grado de teniente drán al cargo de un oficial subalterno, y en caso de separarse los coronel que decía corresponderle por sus servicios. batallones llevará cada uno cuatro cargas de estas municiones, al A la comisión de Hacienda se mandó pasar…</t>
  </si>
  <si>
    <t>Castillo</t>
  </si>
  <si>
    <t>…los síntomas que la caracteri nido 1 este interesado pata que explayase su proyecto conforme se hi zan podrí mejorarse en algunos días; por lo cual opinaba que hasta qus zo con el coronel Castillo , á pesar de ser aquel proyecto mas vago, se termine sena exponer á S. M. á dolores crueles en ponerle en una y asi es mi opinión que se debe desechar el dictamen. larga m¡rcha, por lo qua no respondía de cualesquiera retroceso ; pero Ei Si. Canga: Ha citado…</t>
  </si>
  <si>
    <t>Castillo, Antonio del</t>
  </si>
  <si>
    <t>Antonio del Castillo</t>
  </si>
  <si>
    <t>…el modo de satisfacer ¡os gastos de escritorio y demás í las brar juma general de acreedores á los bienes quedados por filltc mien tesorerías de provincia. (Gaceta del 26.) to de D. Antonio del Castillo, comerciante &lt;je libros que fue en esta Decreto de las Cortes reconociendo por deuda de la Nación los cré corte ¡ lo que se hace saber para que por sí ó por medio de otra per ditos de los acreedores legítimos á la comisión di reemplazos que es sona con poder…</t>
  </si>
  <si>
    <t>Castillo, Bonifacio</t>
  </si>
  <si>
    <t>Bonifacio Castillo</t>
  </si>
  <si>
    <t>…D. Félix Mejía, D. Benito Morales, Aprobado. D. Leonardo Perez, D. Josef Spínola, D. Ramón Ceruti, Don Se leyó la siguiente proposición del Sr. Murfi : «Pido á Jas Ramón Sánchez y D. Bonifacio Castillo sean detenidos y trasla Córtes se sirvan habilitar el puerto de Arrecife en la Isla de dados á las Islas Canarias; y que D. Josef Moreno Guerra y Lanzarote, como de segunda clase." D. Josef Aricochea sean detenidos donde quiera que se hallen, No habiéndose de…</t>
  </si>
  <si>
    <t>Castillo, Francisco del</t>
  </si>
  <si>
    <t>Francisco del Castillo</t>
  </si>
  <si>
    <t>466</t>
  </si>
  <si>
    <t>…los gefes que TRIBUNALES. manejan el timón del Estado,se dispone con tanta decisión á rechazar vigorosamntc la injusta agresión con out 001 amenaza una facción Por providencia de D. Francisco del Castillo, juez de primera enemiga de la felicidad de los hombrea; donde reina la buena fe, la instancia de la ciudad de Logroño y su partido, se cita y emplaza á probidad y la noble franqueza; donde todo esto se verifica , como lo cualesquiera personas que se juzguen…</t>
  </si>
  <si>
    <t>Castillo, Joscf María del</t>
  </si>
  <si>
    <t>Joscf María del Castillo</t>
  </si>
  <si>
    <t>…a , par el Sr. López cl«j de cuatro meses y 20 dias que por primero se les señala comparezcan á Baño. deducirlo por dicho juzgado y escribanía ; con apercibimiento que de no ha De D. Joscf María del Castillo, vecino de Alcaudete, por el Sr. Gó cerlo se declarará vacante y procederá á Jo demás que haya lugar. mez (D. Manuel). ANUNCIOS. Del gefe político subalterno de Algeciras, por el Sr. Abreu. De la diputación provincial de Huesca y dependientes de su secretaría…</t>
  </si>
  <si>
    <t>Castillo, Manuel del</t>
  </si>
  <si>
    <t>Manuel del Castillo</t>
  </si>
  <si>
    <t>…ergucr. . . D- J uan Esteban Mancebo. D- Cárlos Sentmanat. Segundos tenantes.... Capitanes........................................... 12000 f D- Juan Vich y Arnan................. D. Manuel del Castillo.................... ....................................... Idem supernumerario........................................... D. Jesef de Fierra. .................................. • ... Idem para reemplazarlos por su antigüedad{. 9600 D- Ramón Monas. Alféreces…</t>
  </si>
  <si>
    <t>Castillo, Ramón Tomas del</t>
  </si>
  <si>
    <t>Ramón Tomas del Castillo</t>
  </si>
  <si>
    <t>…les y gloriosas tareas. Por lo la Bandera española núm. 15; en cuya consecuencia la ley condenó que hace i mí , Sr. Excnro. , seria una modestia afectada si dijera que al impresor D. Ramón Tomas del Castillo, responsable de dicho im renunciaba á una dist inción tan dulce para quien conoce lo que es patria. preso, en la pena de dos años de prisión en un castillo ó fortaleza, y En lugar de renunciar a lo que creo merecer renuncio á lo que puedo ne en las costas del…</t>
  </si>
  <si>
    <t>Castlercagh</t>
  </si>
  <si>
    <t>lió go (lord Castlercagh) á la primera de estas preguntas (en las cua mundo habría sido inducida á pedir á la España alterase ningún les parece se anticipa el considerar á la España como agresora), t tuío de su Constitución ó sistema de gobierno que el pueblo es fue análoga á las ins…</t>
  </si>
  <si>
    <t>Castlereagh</t>
  </si>
  <si>
    <t>…es personages; y aquí ios restos de ios individuos de nuestra di Según la Gaceta de Augsíurgo el Emperador de Rusia ha depuesto nastía reinante se entierran con los capuchinos. El lord Castlereagh co -al sefioi- de Pini, que era cónsul general ruso en la Moldavia y en la mo buen irlandés podría haberse hecho comprender por el Congreso; Valaquia, el cual reside en, Hermanstadt desde que empezaron los úl peto el lenguige de oa verdadero ministro ingles h…</t>
  </si>
  <si>
    <t>Casto</t>
  </si>
  <si>
    <t>…Antonio y del general, y á 13. Se reconocerá por oficial auxiliar del E. M. de este ejérlas 6 piezas dc*l 4.0 escuadrón de artillería, debiendo hallarse di to y teniente retirado D. Casto de la Rúa. chos cuerpos formados en la pradera del lado de allá del canal: 14. Se reconocerá por ayudante de órdenes al gefe de la se los batallones se presentarán con toda.su fuerza y la artillería con gunda brigada de la primera división al corone! D. Joaqu…</t>
  </si>
  <si>
    <t>Casto, Francisco</t>
  </si>
  <si>
    <t>Francisco Casto</t>
  </si>
  <si>
    <t>…r general del ejército ip compondrá» licia nacional local de Madrid á las órdenes del comandarte inte por ahora el primer ayudante general D. Josef de Hezcta, Iqs rino de la Reina D. Francisco Casto!ló—Parada la milicia acti segundos ayudantes generales D. Francisco Jaramillo y P. Fran va y la nacional local de Madrid: el demas servicio y patrullas cisco Ocaña, y los adictos D. Franciscp. Valiente y P. Manuel lódetallacfo__ Guardia al Congreso y*archivo…</t>
  </si>
  <si>
    <t>Castran</t>
  </si>
  <si>
    <t>…debiendo consultar én tan grave cuestión uso su propio jui bía decidido sobre Us de ios demas interesados. cio y su propia conciencia , han debido preguntarse si en un estado de E Sr. Castran dijo que la cuestión ert sumamente sencilla , pues cosas, que cada día promete ser mas cruel y mas alarmante, les era per ya no recita ni sobre la R*al orden que te babta citado, ni sobre'la mitido peimi tecer tranquilo! espectadores, y ana prestir el mentido…</t>
  </si>
  <si>
    <t>Castratándose</t>
  </si>
  <si>
    <t>…s i su can á arreglar algunos asuntos particulares. tendría inconveniente en aprobar el articulo; pero no siendo asi , y Se leyó y mandó insertar en el acta un voto particular del Sr. Castratándose en este artículo de que ei oficial que tenga justa causa pueda tejon , contrario 3 la aprobación de un articulo del proyecto sebre la ins retirarse, gozando del tercio de su sueldo, claro es que no debe apro trucción dei gobierno económico-político de las pro…</t>
  </si>
  <si>
    <t>Castro</t>
  </si>
  <si>
    <t>…milicia nacional de Totana. dado: sargento Masdeu, un balazo sobre un ojo y otro en el hombro Del ayuntamiento constitucional y juez de nrimera instancia de derecho; pero va bien; sargento Castro, un balazo y un bayonetazo, Huete. sigue bien: soldado de la i.a Tortosa, un balazo, sigue regular ; y de De los empicados en el hospital militar de Carta^cr,?. los restantes solo dos quederán inútiles por haber sido pasados por los Da los gefes y oficiales r…</t>
  </si>
  <si>
    <t>…dores Al que siempre han hallado las armas nacionales es obligar al ene Imperial, compañías de Cantabria, y á mas la de granadero', del migo á batirse. mismo cuerpo mandada por el capitán Castro , y cargados siem Di descanso á las tropas hasta el anochecer para ocultar mi pre de frente por los dragones de la Union, cedió al fin í las ar movimiento, y me dirigí á interponerme sobre el camino de lea mas nacionales la victoria inas completa. á Lima, á f…</t>
  </si>
  <si>
    <t>Castro, Antonio María de</t>
  </si>
  <si>
    <t>Antonio María de Castro</t>
  </si>
  <si>
    <t>…e honor que ie ha dante general’D. Román Chambo, que ení¡¿ en sus miras, y concedido el Sermo. Sr. Duque de Angulema. convino en apoyar su proyecto de entregar la plaza. Rodeado A D. Antonio María de Castro, c-.pu.in del mismo cuerpo, de espías constitucionales , convencido de que la menor indis se le declara captlan vivo de infantería, conced endure grauc. de creción podíacostarle su existencia, nada le arredra; escribe mi teniente coronel, nuciosamente el plan…</t>
  </si>
  <si>
    <t>Castro, D Antonio María de</t>
  </si>
  <si>
    <t>D Antonio María de Castro</t>
  </si>
  <si>
    <t>…grado de teniente corone: ríe infantería. cisión por la causa dei Rey, y á todos los sargentas y cabos de Al teniente coronel graduado D. Manuel de la 5 erra, capi su batallón: el capitán D Antonio María de Castro y tí subte tán d-Jl propio cuerpo, gtado de corone de infantería. niente D. Joséf Rey fueron depositarios del secieto y coa y*r- Al teniente D. Manuel de la Sierra se le dec ara tenientí varon espontáneamente i su éxito. Mientras tanto coutínuaban efectivo de…</t>
  </si>
  <si>
    <t>Castro, Francisco Javier</t>
  </si>
  <si>
    <t>Francisco Javier Castro</t>
  </si>
  <si>
    <t>…del Despacho de G racia y Justicia ; Me ha La propia comisión era de parecer que podía accederse á la ocurrido una ad.cion: puede haber ciertas obligaciones que se ex solicitud de D. Francisco Javier Castro, vecino de Puerto-Rico, tiendan á otras personas que á los padres , madres o hermanos; sobre dispensa da cursos para cgercer la medie na. Aprobado. por lo mismo me parece que en el articulo poma añadirse des La referida comisión en vista de una solicitud de l…</t>
  </si>
  <si>
    <t>Castro, Josef</t>
  </si>
  <si>
    <t>Josef Castro</t>
  </si>
  <si>
    <t>…mbres ha repasado precipitadamente los Pirineos.” tellana , baile , esgr mi y mitología D. Vemura García Loigctrí, m Diario de la corte del En capítulo de Cádiz se observa accésit D. Josef Castro cr matemáticas y mitología._En la de francés D Francisco Ram rrz , accésit D. Ventura García Loi (4) Ya sabíamos que S. M. se conformaría en esto como *0 gorri. _En la de baile D. Manuel G lon..„En la de dibuje Don otras cosas con el dictamen del consejo de E…</t>
  </si>
  <si>
    <t>Castro, Josef de</t>
  </si>
  <si>
    <t>Josef de Castro</t>
  </si>
  <si>
    <t>…M. se conformaría en esto como *0 gorri. _En la de baile D. Manuel G lon..„En la de dibuje Don otras cosas con el dictamen del consejo de Estado. Facundo d« Lara y Gómez, accésit D. Josef de Castro—En la</t>
  </si>
  <si>
    <t>Castro, Juan Begis de</t>
  </si>
  <si>
    <t>Juan Begis de Castro</t>
  </si>
  <si>
    <t>…dores y demas autoridades , asi Nombrados por la E\ :a. diputación provincial. civiles como militares y eclesiásticas , de cualquiera clase y dignidad, que D Simón González Yuste. D. Juan Begis de Castro. guarden y hagan guardar, cumplir y ejecutar el presente decreto en co D Nicolás Heredero y Mayoral. D. Antonio Lariz. das sus pattes.=Tendreislo entendido para su cumplimiento , y dispon D. Ramón Escrichs. D. Rodrigo Aracda. dréis se imprima, publique y circ…</t>
  </si>
  <si>
    <t>Castro, Luis López de</t>
  </si>
  <si>
    <t>Luis López de Castro</t>
  </si>
  <si>
    <t>…jador de constituciones, pues son los mismos que ello junto ó separado, ¡o ejecutará en la audiencia de dicho Sefiot el 106 y 107 de la finada. y por ia escribanía de provincia de D. Luis López de Castro, donde (Ój Aquí estaba ia ganancia de los jacobinos y tragalones, se le admitirá siendo arregladas en moneda metálica. Cuyos efectos porque residiendo en el Rey la autoridad ejecutiva, y estando estarán visibles i los lidiadores desde las.nueve ds la mafiani…</t>
  </si>
  <si>
    <t>Castro, Manuel de</t>
  </si>
  <si>
    <t>Manuel de Castro</t>
  </si>
  <si>
    <t>…a,’y dominada actual el sábado para Madrid hasta pasat Cruzul. mente por un partido aristocrático que no transige con su siglo , so — El 20 sufrió la pena de garrote el ex-capitan D. Manuel de Castro prepara á echarnos de nuevo las cadenas que habmmcs roto. Sabe que conocid» con el título de barón de Sancti Ji.anni, que recibió de la 1 a España privada de eu Constitución no será nubea n.«s que un vasto llamada Junta apostólica, adoptando título y denomina…</t>
  </si>
  <si>
    <t>Castro, María Ana Gaivcz de</t>
  </si>
  <si>
    <t>María Ana Gaivcz de Castro</t>
  </si>
  <si>
    <t>…pectora del.mismo, y para esto entra diciendo que la La misma Coin'rion opinaba debía acceder*: á, la solicitud de junta directiva no está enarmona con los comisionados especiales Doña María Ana Gaivcz de Castro sobre la aplicación de una del Crédito público; mas para mí esto á lo que se reduce es í dehesa por indemnizac.011 de las cantidades que la Nación le adeu hacer á los comisionados independientes de la junta directiva. La daba. Aprobado. comisión añade que la…</t>
  </si>
  <si>
    <t>Castro, Mariano Tiburcio de</t>
  </si>
  <si>
    <t>Mariano Tiburcio de Castro</t>
  </si>
  <si>
    <t>…cusión le hubiera ocas o1 ambien opinaba la misma comisión debía concederse la', nado , pues se han hecho tales argumentos, que es indispensable re dispensa de edad que solicitaba D. Mariano Tiburcio de Castro, caiga una resolución terminante de las Corte» para ev.ur las du miliciano voluntario de esta ciudad. Aprobado. das que pueden ocurrir. El Sr. Tsturiz leyó el dictamen de la convsion de Hacienda Entrando en lo principal de la cuest.on d.r-e que solo cr. tres…</t>
  </si>
  <si>
    <t>Castro, Nicolás de</t>
  </si>
  <si>
    <t>Nicolás de Castro</t>
  </si>
  <si>
    <t>Gaceta Española n.º 162</t>
  </si>
  <si>
    <t>605</t>
  </si>
  <si>
    <t>…s que si bien tuvieron alguna pequeña pérdida, destroza inmediatas una guerrilla que les da mucho cuidado, mandada por ron completamente y aniquilaron la división de los rebeldes. Don Nicolás de Castro , secretario del Gobierno político de Lugo. El que haya cogido el tono y estilo de los periodistas fanáti Barros, que sin duda será el gefe político de la Coruña, ha cos , entre los cuales se cuenta el editor del que va citado, cono reunido muchos catalanes,…</t>
  </si>
  <si>
    <t>Casulá, Ramón</t>
  </si>
  <si>
    <t>Ramón Casulá</t>
  </si>
  <si>
    <t>…n primera de Legislación, en vista de una solicitud pitanes D. Francisco Palacios y D. Félix Combé, y á los tenien de Doña Ana Ortiz , casada en segundas nupcias, vecina de Ba tes D. Ramón Casulá y D. Josef Vidal; á las inmediatas ór za , pidiendo que se le permitiese continuar en la tutoría de ut* denes de S. E. los tenientes coroneles D. Vicente Dasder y Don hijo menor que tenia de su primer matrimonio; opinaba que no Josef Mena, á los capitanes D.' Miguel Porcel y…</t>
  </si>
  <si>
    <t>Cata, María</t>
  </si>
  <si>
    <t>María Cata</t>
  </si>
  <si>
    <t>…odera de Llanes, y en «odas partes despe sefa Medir y Carnesoltas , Doña Francisca Grau, Doña Bárbara Riera, dazan el precioso signo de nuestras instituciones; dan íobre ellos las Doña María Cata, Doña Teresa Miser y Catá , Doña María Torras, mismas milicias , les matan 9 hombres, les hacen 3 prisioneros y les Doña Rita Jovanet, Doña Manuela Piqueras y Doña Agustina Pir. cogen 13 cabillos, sin que en todos estos encuentros y en tan diversos Después de…</t>
  </si>
  <si>
    <t>Catá, Teresa Miser y</t>
  </si>
  <si>
    <t>Teresa Miser y Catá</t>
  </si>
  <si>
    <t>…y en «odas partes despe sefa Medir y Carnesoltas , Doña Francisca Grau, Doña Bárbara Riera, dazan el precioso signo de nuestras instituciones; dan íobre ellos las Doña María Cata, Doña Teresa Miser y Catá , Doña María Torras, mismas milicias , les matan 9 hombres, les hacen 3 prisioneros y les Doña Rita Jovanet, Doña Manuela Piqueras y Doña Agustina Pir. cogen 13 cabillos, sin que en todos estos encuentros y en tan diversos Después de varios vivas á la Constit…</t>
  </si>
  <si>
    <t>Catalá, Antonio</t>
  </si>
  <si>
    <t>Antonio Catalá</t>
  </si>
  <si>
    <t>…vación es relativa á las copias de la Rocha: por ayudante del gobernador del cuartel general al poderes, pues se especifican ciertos y determinados poderes y capitán de infantería D. Antonio Catalá; y por ordenanza de después se incluyen todos. Yo quisiera que se aclarase mejor es honor del general en gefe con destino a! estado nv.v.x del ecercito , y entonces no me opondría al artículo. to al miliciano local voluntario D. Pedro Garcii de Borunda, Él Sr…</t>
  </si>
  <si>
    <t>Catalá, Manuel Esteban</t>
  </si>
  <si>
    <t>Manuel Esteban Catalá</t>
  </si>
  <si>
    <t>…' 75,970-27 D. Sebastian Andrés, D. Saturnino Lozano, D. Isidoro Hoyos, D. Juan; Contribución corriente del clero...... 534&gt;93^"25 Antonio López, D. Joaquin Ruiz , O. Josef Rives, D. Manuel Esteban Catalá , D. Manuel Merino y D. Lorenzo Lanrbea. Lo declararon subver Total..................... 20.201,808. .20 sivo en tercer grado D. Nicolás Heredero, y ab.uelto D. Francisco Xravesedo y el conde de Floridablanca. ~ El Gobierno ha recibido el parte siguiente. TXI…</t>
  </si>
  <si>
    <t>Catalan</t>
  </si>
  <si>
    <t>…tículo que les per quisiere hacer postura á dichas fincas, que se han de subastar mite su reelección, porque nada hay para ellos mas odioso que juntas, acuda al juzgado de! citado Sr. Catalan y referida escriba verse condenados á volverse ñ sentar en esos' durísimos asientos nía dentro del término de 30 días, contados desde esta publi de! dorado salón, que se llama augusto. Méjico no es señora, ni cación. ' ’ permitiríamos que lo fuese. La mayor p…</t>
  </si>
  <si>
    <t>Catalan, Dionisio</t>
  </si>
  <si>
    <t>Dionisio Catalan</t>
  </si>
  <si>
    <t>…estas tropas y favorecer sus operacio nes. También estaban reunidos ios materiales del puente que se ANUNCIOS. habia de echar sobre el rio Sancti-Petri para proporcionar el pa El Sr. D. Dionisio Catalan, del Consejo de S. M., Teniente so de las tropas á la Isla: se habían concluido las baterías levan Corregidor de.esta villa, ha señalado el dia 28 del corriente alas tadas, asi en este punto, como en el TrocaJero y delante del nueve de ia mañana para celebrar…</t>
  </si>
  <si>
    <t>…apitán ge neral de* Cataluña. La plaza y los castillos serán entregados el ANUNCIO. dia 30, y desde este rqpmentjo hay suspensión de hostilidades. En virtud de providencia del Si. D. Dionisio Catalan, Te EL cpnyeqio se ha' ratificado, por mí.” niente de Corregidor de esta villa, refrendada del escribano dei número D. Manuel Mejía, se ha'señalado para una junta gene Convente,hecho entre el Mariscal de Campo D. Gregorio Lagu ral de acreedores de D. Julián V…</t>
  </si>
  <si>
    <t>…dalajara, esto es, se ha avanzado mas á la cima; ella dió su decreto para arruinar el ANUNCIOS. único centro de unidad, llamando á sus diputados, sin hacerles _Por providencia del Sr. D. Dionisio Catalan , Teniente Cor siquiera una caravana. Estoy cierto de que el Congreso en nada regidor , por la escribanía de D. Manuel Mejía, se venden ;í pú ha pecado, y la historia nos hará justicia. ¿Dónde están esos blica subasta para hacer pago a un acreedor dos solares…</t>
  </si>
  <si>
    <t>…imer cantor del Trágala. También por desgra ANUNCIOS. cia tenemos entre nosotros muchos que tienen por tontos á to dos cuantos no han pensado ni pueden pensar como ellos, y Por el Sr. D. Dionisio Catalan, Teniente Corregidor en Ma porque se burlaron siempre de sus luces, de sus regeneraciones y drid, se ha mandado convocar á junta á los acreedores de la tes de su ilustración. tamentaría de D. Saturio Angel de Velasco, radicada en la es cribanía vacante de Mon…</t>
  </si>
  <si>
    <t>…ría ilustrada de los Monarcas, y de los estadistas que se han eas se venden para hacer pago á un acreedor. • reunido hoy para salvar la sociedad europea de la ruina de que Ante el Sr. D. Dionisio Catalan, del Consejo de S. M., Te »e ve amenazada por el torrente de las doctrinas modernas y por niente Corregidor de esta villa, y escribanía de D. Antonio Vi la irrupción de las ideas democráticas. Añadimos que el medio lla, penden autos sobre la presentación de l…</t>
  </si>
  <si>
    <t>Catalan, Juan Francisco Marcó y</t>
  </si>
  <si>
    <t>Juan Francisco Marcó y Catalan</t>
  </si>
  <si>
    <t>…l Puerto del Pico y Junio 2 de i823.=s Simón López, obispo de Orihuela ( víctima ilustre de la facción Sermo. Sr.=A L. P. de V. A. S.c= Cesáreo Cantero.= Lorenzo revolucionada), y D. Juan Francisco Marcó y Catalan, auditor Nino.= Práxedes Méndez. =s Benito Carra.co. = Ramón Blaz* de Rota por la corona d« Aragón, D. Salvador de Ferrau, maes quez. = Manuel Carrasco, secretario. = Sermo. Sr. presidente y treescuela de Ciudad Rodrigo, el cónsul de S■ M. Cato».va «-a vnr*lí…</t>
  </si>
  <si>
    <t>Catalatr, Dionisio</t>
  </si>
  <si>
    <t>Dionisio Catalatr</t>
  </si>
  <si>
    <t>…iqs-de esta di— cia se invita á todas las personas que puedan dar alguna razón vinaRelígion, y un terreno feamd© por iurnaturaleza ha venido, de ella acudan á manifestarla ante el Sr. D. Dionisio Catalatr, á scr , no sólamente árido ^.ingrato conel -cultivo- mismo, sino Teniente Corregidor de esta villa, por la escribanía de D. Clau también 'cóntagifisp por. la fetidez de los inmundos,, arroyos que dio Sanz, á fin de que conste en la causa que sobré el asunto…</t>
  </si>
  <si>
    <t>Catalina, Joaquín</t>
  </si>
  <si>
    <t>Joaquín Catalina</t>
  </si>
  <si>
    <t>…spreciando triotismo de estos voluntarios .y milicianos de Ateca , dignamente el fuego vivo que se les hacia desde el convento de dominicos, cargan mandados por D. Josef Heredia , D. Joaquín Catalina y barón de Krsobre una avanzada , hacen dos prisioneros, y el valiente patriota in ruz, de los cazadores d: Calatayud y sus tres comandantes, de los ofi tendente interino D. Bsltasar Pallete se apoderó de cinco ó seis fusiles ciales retirados y patriotas que…</t>
  </si>
  <si>
    <t>Caters, Juan Salomón y</t>
  </si>
  <si>
    <t>Juan Salomón y Caters</t>
  </si>
  <si>
    <t>…pital y habiendo lomado D. Vicente Jiménez y Pinairo, D. Juan Nepomuceno Baizola , Don Sr XqueiUrdtTeccion se me reunió Barco en Villamayor, que también iba Josef Albar González y D. Juan Salomón y Caters. siguiendo sus huellas, y juntos continuamos hasta las alturas del Hos Juúio de jurados. pital, desde donde divisamos algunos que salían i hs alturas de Padorne» Habiéndose denunciado por el fiscal de imprenta al Sr. alcalde los. Bajamos á Parada ve lia, y de…</t>
  </si>
  <si>
    <t>Catn-iro, Borges</t>
  </si>
  <si>
    <t>Borges Catn-iro</t>
  </si>
  <si>
    <t>…Diciembre. Nuestro rni-nd-ni' ;niu s- r. - &gt;íe i reconocer :-s?^ ' j'.t Concluye la sesión de Cotíes del 24. que prrs nt.i u na «L t rrn n¿; on de est? espr,.1. (&gt;up c v-. &gt; 3 El Sr. Borges Catn-iro dijo: Se hi querido d mostrar que la futr c.eru ), v no pu d- menos d- m rn: en eíía c dm* rnrtina :.i iente discusión es tan difícil como importante. Es impertan!si : p ro pendencia d*' to»-*u as nací- r. s de! n.unds. » l hono*- d: fes n:,.jor en cuanto a d…</t>
  </si>
  <si>
    <t>Católicos, Isabel los</t>
  </si>
  <si>
    <t>Isabel los Católicos</t>
  </si>
  <si>
    <t>…Sr. Songeour, Sub-intendente militar de una ÍO file su establecimiento en el reinado de los Sres. Reyes Don parte, vD.Rafael Cornejo, comisario de guerra de la otra, ha Fernando y Doña Isabel los Católicos, por las frecuentes aposrán igualmente el inventario de.los cajones y almacenes de todo; tasías que en aquella época se advertían y experimentaban por género pertenecientes al Estado. Este inventario y los de que Se el trato de los cristianos con los moros y…</t>
  </si>
  <si>
    <t>Caturla, Francisco</t>
  </si>
  <si>
    <t>Francisco Caturla</t>
  </si>
  <si>
    <t>…voluntarios y algunos otros veo.nos que día 30 de Junio , conduciendo á su bordo 89 presos, entre ellos no lo son, y se persiguen los ausentes hasta que por V. A. S. los coroneles D. Francisco Caturla y D. Pedro de Florez , todos se prevenga cuanto sobre este punto deba ejecutarse. los cuales iban destinados á Mallorca bajo la escolta de un sar » La junta y ayuntamiento no pued'n menos de felicitar á gento, un cabo y 10 soldados de Marina. Navegaron sin nove V. A. S. con las i…</t>
  </si>
  <si>
    <t>Caux, Roger de</t>
  </si>
  <si>
    <t>Roger de Caux</t>
  </si>
  <si>
    <t>…nombre de Fernando vxi, no dejaron de xiliar , por los caballeros de Martünc , consejero de Estado y resonar durante la marcha á Vitoria. comisario regio del Rey Cristianísimo , y conde Roger de Caux, Habiendo llegado el Gobierno á Bctoño, se empezaron á oir encargado de negocios del mismo Soberano cerca de S. A- la los cohetes y titos que anunciaban el contento que enagenaba á Junta, como por todos los individuos que componen el cuartel la ciudad. El ayu…</t>
  </si>
  <si>
    <t>…sus proclamadores modernos , resucitan el Excmo. Sr. de Martinac, consejero de Estado de S. M. Cris do este antiguo error , y presentándolo con aire de triunfo, han tianísima , el conde Roger de Caux su encargado de Nego creído haber hallado en política la cuadratura del círculo y 1$ cios en España, y otras muchísimas de las diferentes clases del piedra filosofal, y han llegado á envanecerse tanto con él, que se Estado. La Regencia del reino recibió en cu…</t>
  </si>
  <si>
    <t>Cavaleri, Joaquín</t>
  </si>
  <si>
    <t>Joaquín Cavaleri</t>
  </si>
  <si>
    <t>…e señaló con escenas lamentables. Varios ciudadanos D. Angel Díaz del Castdlo , y los coroneles D. Josef Saravia, han tenido que quejarse de ¡a violencia ejercida en sus personas. D. Joaquín Cavaleri y D. Bruno Josef de Prad.cr Villalba. = Con desprecio de la ley fue violado el asilo de un ciudadano, y Es copia. = Leglisa. lastimado este en su ín.smn casa por la fuerza armada encargada Servicio de los ayudantes de plaza para la semana próxima. de protejerle. Vuestros magistrados pro…</t>
  </si>
  <si>
    <t>Cavaller</t>
  </si>
  <si>
    <t>…eneral Pelleport, á quien seguían, los dragones riores de todos los cuerpos; á su primer ayudante de campo el del general Dumont, y se dirigió por la izquierda para envol teniente coronel Cavaller, como también á sus demas ayudan ver al enemigo. , tes de campo y oficiales de estado mayor, tanto dsi cuerpo del Después de una hora de marcha encontró el general Moli ejército como de las divisiones. . , tor una descubierta de 150 caballos, que situados sob…</t>
  </si>
  <si>
    <t>Cavan, Antonio</t>
  </si>
  <si>
    <t>Antonio Cavan</t>
  </si>
  <si>
    <t>…ento, y dispondréis se imprima , publique y circule. = Está que por dos lanchas cañoneras, todo á las órdenes del coronel rubricado de la Real mano. = Cádiz 21 de Junio de 1823.=: D. Antonio Cavan, acompañado del adicto al E. M. D. An Calatrava. tonio Tovar, verificasen una salida por el arrecife, que fuesen Gobernación de la Península. =: El Rey con fecha de ayer se con esta tropa algunos zapadores y un oficial de ingenieros para ha servido dirigirme…</t>
  </si>
  <si>
    <t>Cavánir</t>
  </si>
  <si>
    <t>…que continuará los lunes , miércoles y viernes de cada semana, ¿ las Cortes, espera que las mismas , acogiendo esta manifesta y seguirá en ella los elementos ds dicha ciencia del Sr. Cavánir ción conforme á su inalterable disposición de velar por los inte lies. La matrícula está abierta en la secretaría de la misma uni reses de los españoles, y preservarlos de todo peligro por cuan versidad hasta el dia 10 de Junio. tos medios esten á su alcance,…</t>
  </si>
  <si>
    <t>Cavetano</t>
  </si>
  <si>
    <t>…rmar bata odiosa la determinación que contiene , me parece al m.smo tiem llón. po que servirá de obstáculo ¡i las facultades de los comandantes Habiendo manifestado el Sr. Valdés (D. Cavetano) que se generales. Yo creo que en este punto debe estarse mas á los infor ria mas conveniente el decir que se procediese a L formación de mes del comandante general, por ser persona á quien mas que na segunda compaña cuando la primera tuviese dos tere os de s…</t>
  </si>
  <si>
    <t>…s Coi tes deben api ci sen ser forzadlos á desempeñarlos contra teda su voluntad; ni liar el artículo. tampoco pílcelo convenir en que se imponga una milita tan mez El Sr. Valdés (D. Cavetano ) : 1 le pedido !a palabra solo pa quina á un hombre que recaba sueldo del enemigo, pu.s no po ra exiliar explicación.s sobre el s.o’! dn del aírenlo; porque un drá decirse que ha sido obligado a servir un destino; y asi creo moheo o un catedrático que esta e…</t>
  </si>
  <si>
    <t>Cavia, Alfonso de</t>
  </si>
  <si>
    <t>Alfonso de Cavia</t>
  </si>
  <si>
    <t>…el perjuicio que haya es mantener con brazo fuerte el estado restablecido i la Europa, lugar. y el bienestar de las naciones, todo el Congreso diplomático ‘ . Por providencia del Sr. D. Alfonso de Cavia, alcalde de la de Verona vió claramente que era llegado el lampo de agotar en Real casa y corte, se llama á los acreedores ausentes é ignora su origen un manantial que desde el occidente de ia Europa ame dos de la casa comercio de está corte de D. Manuel Fran…</t>
  </si>
  <si>
    <t>…eros que vienen sin cesar á participar de tanta ANUNCIOS. ventura. Tendrán todavía mañana ia de no carecer de la pre sencia de tan ilustres viageros. El Sr. Duque de Guiche, Ma El Sr. D. Alfonso de Cavia, alcalde de la Real casa y corte, riscal de Campo de los. Reales ejércitos de S. M. Cma., y pri ha mandado convocar á junta general á los acredores de la tes mer Ayudante de Campo del Sermo. Sr. Duque de Angulema, tamentaría de Doña Antonia Ramona de Saldaman…</t>
  </si>
  <si>
    <t>Cavia, Juan de</t>
  </si>
  <si>
    <t>Juan de Cavia</t>
  </si>
  <si>
    <t>…ación pacifi . que del Infantado , presidente; del duque de Mortemar, del barón ca, su .vecina, amiga y aliada , los tizones de la discordia civil; . de Eróles, del obispo de Osma D. Juan de Cavia y de D Anto creó facciones, amparó á asesinos y traidores, con infracción nio Gómez Calderón: fueron reconocidos solemnemente por el de la fe de los tratados. duque de Angulema. Xos avisos necesarios para comunicar este » Desvió á la revolución política mas l…</t>
  </si>
  <si>
    <t>…se publicaría y circularía con la brevedad posible á la Católica , y también de la del Toisón de oto: el limo. Señor toda la Nación por el conducto de las autoridades competentes, D. Juan de Cavia , obispo de Osma; y el Sr. D. Anton¡o Go- noticiándolo también á los Gobiernos extrangeros por los mi m-z Calderón , del consejo de S. M., y su fiscal togado en el su nistros , embajadores ó agentes diplomáticos que pudiesen re premo de las Indias; y el ya ex…</t>
  </si>
  <si>
    <t>…ado de la Real mano. nardo Mozo Rosales, el barón de Eróles, D. Francisco Eguia, De Real orden lo comunico á V. S. para su inteligencia y el duque del Infantado , el de Montetnar, D. Juan de Cavia cumplimiento, y á fin de que para el mismo efecto 1® traslade á González obispo de Osma, y D. Antonio Gómez Calderón, quien corresponda. Dios guarde á V. S. muchos años. Cádiz a que respectivamente han compuesto y componen las llamadas re de Julio de i823~Sal…</t>
  </si>
  <si>
    <t>Cay</t>
  </si>
  <si>
    <t>…e leyó y aprobó el acta de la anterior. sentase este proyecto , á fin de que se consiguiese abreviaría. El Sr. Romero dijo: Los ¡ndbriduos que componen el regimiento El Sr.Vaidés (D. Cay taño) apoyo igualmente este proyecto , ma de caballería da Alcántara, tan célebre por sus glorias militares como nifestando que no dbia Haber dificultad en cuanto á si las vüorte, spor su adhesión al sistema constitucional, presenta al Congreso una fe taban a…</t>
  </si>
  <si>
    <t>Cay-</t>
  </si>
  <si>
    <t>…uiere que se L03 Síes, que opinaron no d bia pisará la comisión especial fueron sigan los trámites que prescribe la Constitución ; esto es , que pace '■» los siguientes r Va’dés ( D. Cay-, uno ) , Argtielles, Cuadra, 1'aboad.l, txpes»'ion riel Sr. Moreno Gu-rr.i á la D putacion p-rnianmf, para A ava , Merced, liaau , Bale-, Auínnat, Alca'.!-, Toro ir, Mirtí, que esta del modo qu-. ¡ocrea mas conveniente, y conforme á la misma Ben-to, Balda, Su…</t>
  </si>
  <si>
    <t>Cay-tarso</t>
  </si>
  <si>
    <t>…amente, quedando sujetas Ja cr-mision se s rv -á modificar el a'tfculo con arreglo á ella. estos últmios otra v,z al sorteo conforme lo previene el articulo, a fin Kl Sr. Vcídés ( D. Cay-tarso): E* artículo que se discute está redu de qu: todos quedasen sujetos á s.rv r seis años. cido á que debiéndose licenciar uní sexta part: lodos los años , en los El Sr. Infante confitó que la otra vez que se trató de este asunto pueblos ha de hacerse ei sorteo…</t>
  </si>
  <si>
    <t>Caye</t>
  </si>
  <si>
    <t>…r los cabos a la tropa.” Después de haber impugnado este articulo los Sres. Oiiver, Nuñez, Madriít Martis 21 de dinero. Falcon y Pedralvez , y de haberle apoyado los Sres. Valdés (D. Caye » S. M. el Rey continúa aliviado de su indisposición. S. M. la Reina tano), Muro y Vega Infanzón, se declaró &lt;1 punto suficientementejigüe mejor. Só. A A. no tienen novedad en su importante salud.’' discutido; se votó por partes el artículo, y no se apiobó ia…</t>
  </si>
  <si>
    <t>…V. A. S. los hemenanel'djj-mismo cuerpo D. Joaquín Góngora s y para el mismo ges de reconocimiento y obediencia que son tan d-bidos, pro destilo en el Real cuerpo de ingenieros al brigadier D. Caye metiéndose que bajo los auspicios de su gobi-.ino justo y pater nal conseguirán estos habitantes enjugar las lágrimas que la pertano, Zapmo. - .Igualmentjs fia resuelto se encargue interinamente del des fidia les ha causado. pacho de la inspección general de…</t>
  </si>
  <si>
    <t>Cayet.no</t>
  </si>
  <si>
    <t>…r en noticia de S. M.=Dios guarde á V. E, Del departamento de marina de Cartagena , presentada por el muchos años. Garcinario 2 de Febrero de 1823. = Excmo. Sr. seEI Sr. Valdés (_ D. Cayet.no). conde del Abisbal.xsExtmo. Si. secretario de Estado y del Despache El Sr. presidente anunció que mañana se dhcatiria el dictamen de de la Guerra." la comisión de Visita del Crédito público sobre mi',.as de Almadén y el arreglo de la secretaría de Corles, y…</t>
  </si>
  <si>
    <t>Cayeta</t>
  </si>
  <si>
    <t>…a, se nombró para componer la comisión que ha de enten ra persuadirle que aun tenian mas fuerza; á pesar de tener solo 24 der en la proposición del Sr. Galano á los Sres. Valdés ( D. Cayeta hombres dejó con los prisioneros un cabo y dos soldados, y con los no ), Galiano, Pedralvez, López del Baño, Alix, Montesinos , óeoa- restantes, despreciando el fuego vivo de su infantería y las amenazas de £5 , Lagasca 7 Salvé. sus lanceros, se arrojó sobre…</t>
  </si>
  <si>
    <t>…do de las facultades que le concedía la Cons tir vivamente los efectos del sistema ministerial actual. Las opiniones de es titución : por todo era de Opinión que los Sres. Valdés (D. Cayeta tos dos diputados parecía que debian haber sido de algún peso en una cues no), Quillones, Castejon, Romero, Benito, Calderón y Nuii.z tión que tan ligada está con los intereses del comercio y de la industria, y (D. ToriLio), que han compuesto dicha Diputación…</t>
  </si>
  <si>
    <t>…do el pleito Quedó aprobada por unanimidad la proposición, y se nom está reducido á acudir al juez competente, y probar que antes bró para componer la comisión á los Sres. Valdés (D. Cayeta de la invasión se poseia tal ó cual finca, y ser reintegrado en ella no) , Salva , Canga , Domenech é Infante. con arreglo á la ley dicha, sin admitir al comprador la alegación Se mandó pasar á esta comisión la siguiente proposición del del derecho de posesió…</t>
  </si>
  <si>
    <t>…Arguelles y Oliver. Se su encargo. Salió en efecto dicha diputación. declaró el punto suficientemente discutido, hubo lugar á votar Habiendo vuelto esta de palacio el Sr. Valdes ( D. Cayeta sobre la proposición , y quedó aprobada. no como presidente de ella dijo: Señor, la diputación de las Cor Igualmente se aprobó la siguiente proposición del mismo tes se ha presentado á S. M. Le ha hecho presente que las Cortes Sr. Galiano. «Pido á las Cortes…</t>
  </si>
  <si>
    <t>Cayetana</t>
  </si>
  <si>
    <t>…los y una pequeña colntmpi de infantería, que por estar á lar Parece que lia sido nombrado comandante gene ga distancia no puede calcularse el número de es ral de este distrito el Sr. D. Cayetana Y.rldes; que tos últimos, la que, según sus movimientos, em los Sres. diputados á Córtes Infante v Riego tam prende su retirada hacia IJldecona. « bién están destinados al servio i a activo militar; y Lo que traslado i Y. E. para su superior cono que el coronel…</t>
  </si>
  <si>
    <t>Cayetano</t>
  </si>
  <si>
    <t>…s pueblos, y estos no se ha traba el Estado, y con los muchos acreedores que pesaban sobreé!. llan en disposición de sufrir muchos gravámenes , la justicia exige se El Sr. Valdés (D. Cayetano): Este artículo debe aprobarse , porque hagan cuantas reformas sean necesarias para irlos descargando dM peso no debe perderse de v.sta que los oficiales de la secretaría de Cortes no de las contribuciones; reforma que dcb.n sufrir los sueíd s d: que trata ti…</t>
  </si>
  <si>
    <t>…porque en ¿1 no se especifica desde qué época de que previene el art. v.° de este proyecto. berá obligar este’ decreto , 'lo cnal causara muchos perjuicios, pues , Él Sr. Valdés ( D. Cayetano )'• El proyecto en su totalidad no es muchos individuos en las provincias te casan de biiena fe sin tener no mas que una cons:, nencíz de Lo que las Coi tes acoidaron ia otra vez ticia de ios decretos sobre el reemplazo , mucho mas en las provincias que se tr…</t>
  </si>
  <si>
    <t>…ultracismo, por su odio i las instituciones liberales, rece que no debe aprobarse este artículo. por su profunda aversión á todo Gobierno que no sra el absoluto,/ El Sr. Valdés ( D. Cayetano): La comisión en este punto no ha muy particularmente por los dicterios y por las calumnias que ha vomi tratado de formar un sistema ni ha podido hacer alteración ninguna en tado contra el Gobierno español y contra las Cortes. Este periódico lo que ya está ma…</t>
  </si>
  <si>
    <t>…suerte otra vez , se les abonará todo perjuicio, y por lo misino no debe aprobarse esté artículo. el tiempo que hubiesen servido, sea año y medio , dos años y medio El Sr. Valdés £D. Cayetano) : En este artículo no se altera de nin-</t>
  </si>
  <si>
    <t>…dica y no debe daba un poder muy grande sobre eí egecutivo, poder que está fuera del círculo de sus atribuciones : ds consiguiente , desentrañando las fa aprobarse. El Sr. Valdés (D. Cayetano): El Sr. preopinante no se ha hecho cultades del supremo tribunal de Justicia, vemos que no le competen las que la comisión le quiere dar por este dictamen , que, como he di- cargó dr&lt; abono de tiempo que aquí se hace á los milicianos activos. Se c' o, no tie…</t>
  </si>
  <si>
    <t>…en casos de semejante naturaleza , por cuanto seria Gobierna lo estime conveniente , para cuyo fin queda plenamente au hacer una c~eepc m en contrario. torizado. Ei br. Valrlés ( D. Cayetano) , después de haber explicado los trá Art. 2.0 i) Se faculta igualmente al Gobierno para que por sí ó por mites que había tenido la contrata de que se trataba , los sacrificios he medio de áibitros nombrados por su pane y por el Gobierno británi chos por el i…</t>
  </si>
  <si>
    <t>…Art. tgó reformado. »» El gef; povtico superior podrá pedir é la podía aprobar el artículo. diputación provincial , y esta deberá darle su informe, parecer y conse Kl I t. Valdés ^D. Cayetano) manifestó que el artículo le aprobaba, jo en los negocio, grave» de las atribuciones de aquí1: pero s n embar aunque contta todo su gusto, porque estaba concebido ea uno» lertiu- go la resnonsabiudad por 1* resolución seta de dicho geíe. También terá</t>
  </si>
  <si>
    <t>…cosas: * Cuando sentes, y eran los que siguen: Zulueta, Grases, Valdés (D, Dionisio), en el mee ríe Marzo de iSao algunos soldados perjuros vo'vieron sus Seoane, Surrá , Valdés ( D. Cayetano), Arguelle» , Gil de la Cua armas contra su Soberano y su patria para imponer á la España unas le dra, Albear , Alava, Tabeada, Nuñ¿z , Falcon , Farrer ( D. Anto yes que la raábn pública de la Europa ilustrada por ia experiencia de nio ) , Apoitia, Buruaga, D…</t>
  </si>
  <si>
    <t>mo tenor. las tres pcttncias se han obligado» según parece, á mantener Le; Sres. CXiver, Buey , Meló y Vatdés ( D. Cayetano ) impug la dignidad y ti reposo dt la Francia en casa necesario ( esto caso no naron varios de los artículos en que-se subdivide , á cuyas impugna ha llegado, ni es de cerner de i» cordura española y del majestuoso te- ciones contestaron los Sres. Becerra San…</t>
  </si>
  <si>
    <t>…ña ; pero la vigilancia de los periódicos y la unanimidad de pasar A la comisión de Liquidación. los patriotas españoles inutilizaron por muebu tiempo este plan. El El Sr. Valdés (D. Cayetano) manifestó que sobre los artículos da partido de la guerra en Francia , irritado de tanta dilación , quería este dictamen podría haber alguna discusión ¡ pero que sobre la totali obrar con mas prontitud, y tanto mayor cuanto la revolución de los dad drl proye…</t>
  </si>
  <si>
    <t>…asi soy de parecer que deba de caballería” las siguientes «silo creen conveniente las diputaciones aprobarse el proyecto. provinciales según las circunstancias.” ' El Sr. Valdés (D. Cayetano): El proyecto que sobre este mismo Ei Sr. Rico manifestó que abundaba en los mismos principios que ol o desecharon las Cortes ponía por base que estas compañías habian el Sr. preopinante, y qu: debiaexpresarse en el artículo que se crea de &gt; - ~e 40 hombres p…</t>
  </si>
  <si>
    <t>…a palabra testimonio la d : certificado. Tampoco le halla en mozo ei dia 1/ de Enero del año. que el certificado comprenda los particulares que señale el ayuntamien El Sr. Valdés (D. Cayetano) Impugnó el artícuto, man Estando to , el síndico y la parte interesada; pero en lo que no puede conve que daría lujar á much3s dudas y d.spulas, siendo muy itnpfop o ade nir es en que te exijan derecho» por estos documentos, porque de cual mas el que se some…</t>
  </si>
  <si>
    <t>…bj-to. NOTICIAS D B ESPAÑA. El Sr. Canga leyó otra d± los individuos que componen la conta duría general de distribución de la Hacienda nacional. Cádiz re Je Entro. El Sr. Valdés (D. Cayetano) leyó otra de los vocales de la unta Total Je los navios V Jemas enCtarnuionet ./»e han entrado en esta ba del almirantazgo ; y tas Cortes resolvieron sobre cada una de d ebas ex hía en t 'da el año pnívimo pasado Je rúa a. posiciones que las hablan oido con…</t>
  </si>
  <si>
    <t>…cio de la 7 biza, llena todos sus de servaciones en contra de este artículo, á las que contestó el Sr. Valúes beres mientras que sus hermanos están al frente del eoeaiigo: esta iu(D. Cayetano). v-.-mud es la gloria de la patria y el apoyo mas firme de la libertad. L* Después de una breve discusión quedó aprobado este artículo , é España toda se da el parabién de tener tales hijos. igualmente los siguientes: Art. 2.0 » El servicio ordinario de camp…</t>
  </si>
  <si>
    <t>…titucional , que felizmente Del ayuntamiento de Olmedo, presentada y leída por el Sr. Seoane. nos rige, no acabe de mejorar las costumbres públicas, perfeccionando Ei Sr. Vaidés f D. Cayetano ) presentó á las Con... -na exposición la educación de ia clase indigente, facilitando la adquisición de la pro de', clu laJano D. Juan Gaya , del comercio de Alicante , en que pi piedad, asegurando su libre y pleno goza , y fomentando el amor al tra de se di…</t>
  </si>
  <si>
    <t>…extrangeroi continúa en una los Sres. que dijeron no haber lugar á votar fueron los siguientes: progresión espantosa, lo que aumenta extraordinariamente el descon Surra , Vaidé» (D. Cayetano), Arguelles, Cuadia, Tabaada , Ala tento , pues no hay francés que no vea qus nuestros opresores , no con. va, Ferrer (D. Antonio), Bustos, Alvarez (D, Elias), Torre, Al tentos con haber comprometido los intereses morales y políticos de la cántara, Meló , Var…</t>
  </si>
  <si>
    <t>…ro •obre el dictamen de la comisión , y que volviese i la misma. comercio marítimo necesita tu protección. Se dispondrán cruc ros en Se nombró á los Sres. Infante, Qliver, Valdés (D. Cayetano), todos aquellos puntos en que nuestras costas puedan ser amenazadas de Canea, Marau, Eerrer (D. Joaquín) y Benito, para formar la comi algún peligro. lón que ha de examinar las propuestas del Gobierno. *, Si la guerra es inevitable , pondré todo mi conato en…</t>
  </si>
  <si>
    <t>…azo» mas de Jo fuerza del egéro to permanente i fines del año 21 era de ji3 hombres,_¡ conveniente. Las Cortes anterio'es decretaron un reemplazo de 73 hombres, que Ei Sr, Valdés (D. Cayetano): Me parece que el Sr. Romero no ha reunidos aquellos forman la suma de 57 ó 583 hombres. Las actuales entendido bien ¡o que Ja comisión propone- La ilación espineta, coma Cortes han acordado, en virtud de propuesta del Gobierno, un au todas las denla? del mu…</t>
  </si>
  <si>
    <t>…nuarla la discusión de lo* Después de haber hecho varias observaciones el Sr. Jaimes , á que asuntos pendientes , y levantó la sesión á las cinco y media. contestó el Sr. Valdés ( D. Cayetano), quedó aprobado el artículo 4.0 __El discurso de S. M. Luis xvm acaba de manifestarnos que el Ptevia una ligera discusión entre ios Sres. Bel da y Oliver, queda partido guerrero de los ultras ha conseguido el triunfo que tanto desea» ron aprobados los artícu…</t>
  </si>
  <si>
    <t>…de Francia, Austria ,Prusia y Rusia decla en la ciudad de S. Fernando, presentada y leída por el Sr. Valdéa ró la cu-rra á Castilla; se brbieron sendos tragos; y el mismo Gorgo- ( D. Cayetano ). Del administrador de correos de Valencia y demas dependiente;, nio , después de haber apurado media cántara de Peralta .ofreció su me diación para con aquellos Soberanos á los que dentro de tres dias se presentada y leída por el Sr. Salva. Del ayuntimiento…</t>
  </si>
  <si>
    <t>…ue ¡os d siacamu tos de ¡os por el Sr. Arlan, ampliando algunas datas razones dadas por ei sm-or cuatro bataih.-n-ts B , G, D , E formasen rn batalla paral: lana. nte y á Valriés (D. Cayetano), mar.ücstó que no había duda ninzuna en que la derecha del omino rea!, a distancia d; este unas 1 qo varas , v arrílas Cc*!-s extraord.r,cries pod'an &gt; •! bóm tratar de este asm «« por ha inados á unos zúzales muy aitos, entre cuyos reíros s; ocultaban. El b…</t>
  </si>
  <si>
    <t>…video, en el supuesto de hallarse DeL cuerpo nacional de attillerta de marina del departamento de las dos cortes de Madrid y Lisboa en la mejor armonía.” Cádiz, por el Sr. Valdés (D. Cayetano). __£on fecha del 26 de Diciembre avisan de Nueva-Yorck haberse Del ayuntamiento constitucional , M. N. V., sociedad pitriótict¿ ■ probado en el senado un bilí relativo al exterminio de los piratas, y y varios ciudadanos de Tarifa, presentada y leída por el S…</t>
  </si>
  <si>
    <t>…ombró el Sr. presidente á los Sres. Gil de la Cuadra, Ar i vosotros toca Vengar este último ultrage Sois valientes, y connc • s guelles , Florez Calderón, González Alonso, Valdés (D. Cayetano), tiempo há el camino de l/r gloria: afilad bien vuestras bayonetas y .salde:: baavedr». Canga, Senano ) Matau. 15 Campaña del Perú debe concluirse este año; vuestro antis.uo ,'etieral</t>
  </si>
  <si>
    <t>…acompañado de los principales em dez. Los Sres. Arguelles , Marau , Saavcdra , Calderón , Alonso y Valpleados de su legación, á la sesión de Cortes del 9 de este mes , en la dés (D. Cayetano) como individuos de la comisión ¡a pidieron tam que el Gobierno español les "dió parte de las respuestas que había dado bién en pro. i las notas de la santa alianza; El Sr. Romero: Hs leído detenidamente el dictamen que se presen Ayer noche tuvo el embajador…</t>
  </si>
  <si>
    <t>…s creo que nos hallamos en el caso de aprobar en su tota aprobar el dictamen de la comisión. lidad el dictamen de la comisión , sin perjuicio de hacer en sus artícu El br. Vaides (D. Cayetano): Los Sres. diputados que han impug los las variaciones que se tengan por oportunas. nado el dictamen de la comisión *e han fundado para ello en lo que be dcciató en seguida este asunto suficientemente discutido, y que se dice a! principio de él; pero no en l…</t>
  </si>
  <si>
    <t>…te anunció que mañana se continuaría ia discusión Grases, Valdés (D. Dionisio), Seoane, Muro, Surrá, Valdés ds las ordenanzas militares, y se continuaría la lectura del código da (D. Cayetano), Arguelles , Cuadra , Albear , Tabeada, Alava, Do- procedimientos , y levantó la sesión á las cuatro y cuarto. menecb, Posad», Somoza, Murfi, Infante, Litio, Rojo, Valdés (Bustos), Alvarez (D. Elias), Trujillo , Alcántara, Bauza, Gil Or- Primer riistrito mil…</t>
  </si>
  <si>
    <t>…de unos pocos han encadenado i fa.enorme mayoría honra de la celebración Je esta ¡unta. da y pacífica. Respetad pues este país destrozado : estos restos de propie El Sr. Valdés ( D. Cayetano ), presidente de la Diputación per dades qué venís á conservar: estas vidas tatt'ap'reciables como desgraciamanente , pronunció el siguiente discurso: di *. Soldados , subordinación, disciplina, valor y constancia: ved aquí ” Señores diputados: En este dia ta…</t>
  </si>
  <si>
    <t>…para componer la comisión que debía proponer la contes Los fondos públicos en Lór.drcs estaban el 15 de Febrero como s erie: tación í dicho discurso á los Sres. Arguelles, Valdés (D. Cayetano), Sal— 3 por IOO reducidos yq^: Ídem consolidados ídem á cuenta 74:3 Y vato, Prado é Isturiz; y el Sr. presidente levantó la sesión entre las mas medio por 100 87: 4 por 100 938 : ídem (nuevos) 93ij: 3 por 100 espa vivas aclamaciones de los espectadores que c…</t>
  </si>
  <si>
    <t>…los auxilios que había dad,* .; .Ucuno» Si.-^d-piit . » 11o y Rogriguez Paterna. lo que había dispuesto pura rrempla.’ar -1 '-'» Sres. 1 ,:t ; o » Gx-. . - 1 Marina. Sres. Valdés (D. Cayetano), Nuñez Balcón, Pumarejo, mame; y por ultimo manifestaba que hab-endo -.-bdo u« o¡-, o c t, Vega Infanzón, Ücner, Robinar y Abrcu. bierno sobre la ucee».dad y la cor.eenicnc.a &gt;u f. as.i.i, ou ■ v ’ . ¿jet oí ¡vi edetiáiticos. Sres. Nuñez y D. Toribio ) , Val…</t>
  </si>
  <si>
    <t>…orción del Sr. Surrá acerca de los nniícianos voluntarios que quieran villa de Madrid, y del conocimiento de los autos formados con motivo seguir ai Gobierno, á tos Sres. Váleles (D. Cayetano), Canga, Castejon, de haberse denunciado en concepto de vacante por no tener dueño conoci Romero, Infante, Ntifiez y Escovedo. do una casa sita en la calle de la Palma alta, manz. 479 , núm. io, Las Cortes oyeron con particular -agrado las siguientes exposici…</t>
  </si>
  <si>
    <t>…uieran perder el carácter de taita, y can;, nes de las Cortes cuando salen de.sus provincias. biar cíe posición con tanta facilidad ; pao creo que serán muy pocos. El”Sr. Vaidés ( D. Cayetano) • En esta discusión se ha olvidado la Se ha dicho que es preciso que los voluntar os que fuesen á b^v.lla és parte esencial de ella; á saber, que á nadie se compromete i acompañar eL ten bajo la absoluta dependencia del Gobierno; pero tengase presente qut Go…</t>
  </si>
  <si>
    <t>…s cuales Después de algunas observaciones hechas por el Sr. Aillo:], a las que no les resulta ese beneficio de que habla el artículo. Ultimamente creo qu; contest - el Sr. Vaidés (D. Cayetano), se declaró ei asunto sadexnteno debe aprobarse el artículo, tanto porque es menester tener en esta oca tneirt; discutido, y quedo aprobado e! articulo. sión ciertas consideraciones de política, cuanto porque choca con lo mas Se suspendió esta discusión, y s…</t>
  </si>
  <si>
    <t>…ación nacional está obligada á guardar y ha ramente desenvuelta la idea de mi proposición. cer guardar la Constitución política de la Monarquía española; pero i ’jí El Sr. Valdcs (D. Cayetano): El Sr. Becerra quiere que se admita Cortes extraordinarias, cuando aprobáronla segunda parte de este juramento, á los milicianos donde se presenten; pero debe S. S. hacerse cargo que si no les fue posible señalar los medios con que los diputados en particul…</t>
  </si>
  <si>
    <t>…usión se aprobó el att ano poniéndose en vez de mento, el cual no-debe variarse sin que se sigan las formas necesarias....... amenazada próxima á serlo, a petición del br. Maúles (D. Cayetano.) (Voces á la derecha: :Y por qué no:...... Consúltese i la Cámara....... Art. A csie fin, y poniéndose de acuerdo con los generales en ¡Quitarle ia palabra3..-'.....) gffe o comandantes generales de distrito, liarán que se aumente cuanto sea Presidente : El…</t>
  </si>
  <si>
    <t>…o cn Jos Los que dij ron no Haber luvtar á votar fueron los Sres. Santo» arts. 8,°, 11 y 12 para fijar la dotación de los pirrccos, prebendados, Sua-ez, T'.n.-r , surta , baldés ( D. Cayetano ), Arguelle» , Cua-ira, beneficiados, fáhricas, catedrales y obispos. El orador hizo sobre estos A'.bear, T-boada, E-íleon , Alava , Bauza, Punmrjo , Infante , Bus art culos algunas observaciones ; y después de llamar la atención sobre tos , \ var-.z ( 1). El…</t>
  </si>
  <si>
    <t>…a, y juman por consiguiente los conoci Habiendo pedido la pa'abra algunos s:?.c:es diputados, el Sr. Valmientos propios de su facultad con las intenciones comunes á todos los dás £D. Cayetano) pidió se leyese el are. ici del reglamento , y en se Sres. diputados; y por lo mismo pudieron considerar esta cuestión por guida manifestó los trámu.-s por donde este asunto hab.a venido í Jai todos tos aspectos que presenta, y fundar su voto sobre datos mis…</t>
  </si>
  <si>
    <t>…timonio interno de nuestra Señores que aprobaron el dictamen: conciencia ; y por mi parte protesto que jamas me servirá de reg'a lo Santos, Suarez, Llórente, Torre, Soria, Valdés (D. Cayetano), qu: puedan decir de nosotros nuestros en-.migos , siendo infundado. Arguelles, Cuadra, A'ava , Buruaga, Posada, Dc-menecii, Muro, Por lo tanto yo apoyo á los señores preopinantes , en cuanto su pioMurfi , Lillo , Infante , Moreno , Somoza , Seoane , Rojo ,…</t>
  </si>
  <si>
    <t>…Habiendo vuelto la diputación que había llevad» í S, M. la con mutuos , mas de t3 prisioneros , banderas , cajas de guerra , toda la testación de las Cortes, dijo el Sr. Valdés ( D. Cayetano), como pre artiü ría, s.mim.'nto , pertrechos y municiones de boca y guerra. Dis sidente de ella: » La diputación cumpliendo con su encargo ha hecho pérsense enhorabuena sin ser batidas, como el resultado sea siempre presente á S. M. que podría demorar su sal…</t>
  </si>
  <si>
    <t>…aprobar este tido á este por el de Gracia y Justicia , en el que decis que S. M. ha dictamen. bía llegado ayer ú las 8 de la noche al sitio de Aranjuez, sin haber El Sr. Valdés f D. Cayetano) manifestó que él no tendría incon sufrido la menor alteración en su importante salud. Las Cortes queda veniente en aprobar la propuesta del ayuntamiento de Barcelona para ron enteradas. que se formase aquella plaza pública ; pero que si lo tenía en que las A…</t>
  </si>
  <si>
    <t>…e Poderes tn vista de los presentados por Don mandantes de las provincias para que fuesen reconocidas.Josef Mar a González, diputarlo electo por la provincia de Gra El Sr. Valdes (D. Cayetano ): Y’o creo que es necesario quenada , op:naba debían aprobarse. Aprobado. las partidas de guerrillas hagan el servicio público con la mayor La cornis ón de Diputaciones provinciales, en vista de la exregularidad pos.ble: creo indispensables los pasaportes, p…</t>
  </si>
  <si>
    <t>…o, é igualmente que se el proyecto de mensage que las Cortes han de dirigir á S. M. á tuviese presente que en las actuales Cortes hemos visto ejempla los Srcs. Argiielles, Valdés (D. Cayetano), Gaiiano, Ferrer res de haberse hecho excepciones muy semejantes á la que vo ( D. Joaquín ) y Salvato. solicito, como fue la que se hizo respecto al consejo de Estajo. El Sr. presidenta levantó Ja sesión á las once de la noche. El Sr* presidente: Hay que obs…</t>
  </si>
  <si>
    <t>…svanece. Otro de los inconvenientes que ofrece general, y que la hablan los de todas las naciones. el dictamen es c! medio que en él se propone para conocer si los El Sr. Valdés ( D. Cayetano) : Fie tomado la palabra no pa pasados se pasan de buena ó mala fe; el medio se reduce á que ra oponerme á que haya una legión extrangera, porque como ha se forme una comisión de 3 individuos extrangeros que hagan dicho el Sr. Canga las circunstancias han var…</t>
  </si>
  <si>
    <t>…de producá' embarazos producirá efectos muy bue Lid, Bel monte. Escudero , Cano , Guevara, Aiix . M.ca y 0.0» nos, debe aprobarse el articulo se. ores m'íretarios. El br. V¡*ldes (D. Cayetano): Me oponed á este articulo, La comisión encargad,1 de ioimar y presentar a ia» Ce.te» la</t>
  </si>
  <si>
    <t>…toda las recibieron de presidente. Señores que dijeron no haber lugar á votar: Torre, Murfi, sus representantes, y las juraron con la mayor libertad y con Roig, Taboada , Vaides (D. Cayetano), Arguelles, Cuadra, la mas dulce gratitud. Estas leyes, suspendidas desgraciadamen Alava, Bustos, Alvarez, Bustamcnt-., Falcon , Vargas, Beni te por seis años, ofrecían un asilo de tranquilidad y de reposo to , Casas, Bnugas , H nriquez, i’edra vtz, Ruiz del…</t>
  </si>
  <si>
    <t>…r sobre desertores de ia milicia nacional Se nombró para la comis.on que había de redactar el mensa activa; los cuales fueron aprobados. ge abordado a los Sres. Arguelles, Vaidés (D. Cayetano), Ga- Art. 3.0 » Los ayuntamientos que á los 15 dias de haber re iiano, Ferrer ( D. Joaquín) y Salvato. cibido el aviso de la deserción de algún individuo de la milicia Se leyó y halló conforme ia minuta de decreto con carácter nacional activa ó del egército…</t>
  </si>
  <si>
    <t>…an los del pabellón la forma que lo propone el interesado. Aprobado. Marsan , y que estos Sres. hallan en da guerra de España mas di La misma comisión, en vista de la solicitud de D. Cayetano ficultades que las que ellos se figuraron. Padilla , vecino de Puente Genil, para que se le permita enaje Se asegura que Jos facciosos han levantado el sitio de Valen nar parte desús bienes, opinaba 110 debía accedersea ella por per cia , V que se han retirad…</t>
  </si>
  <si>
    <t>…comprando Se leyó el art. 4.0 cara su osadía. Después de haberse hecho algunas explicaciones por los seño «Vosotros, valientes milicianos nacionales voluntarios, unió# res Valdés (D. Cayetano) y Canga sobre el sentido del artículo, á mí; os guardaré todas tas consideraciones á que sois acreedores, que exigieron los Sres. Melcndcz y Romero, se aprobó. premiando la virtud y el mérito: siempre sereis voluntarios, 'y no Se leyó el art. s.° soldados: f…</t>
  </si>
  <si>
    <t>to para el examen de farmacia, opinaba que no era atendible es El Sr. Valdés (D. Cayetano) propuso se suprimiese en 0 ar ta solicitud. Aprobado. tículo ia palabra . é c to poique una persona puede estar defen La misma comisión opinaba debía pasar al Gobierno una ex diendo la causa de la Nación s.n i.aliarse en e-i ejercito. posición de los individ…</t>
  </si>
  <si>
    <t>…que en Vaiiadoiid se ha: establecido la chancillena. En loterías &amp;c. Aprobado. Vitoria no han tenido inconveniente en hacer público-que las La comisión á propuesta del Sr. Valdés (D. Cayetano) mo gentes de los pueblos abandonan sus hogares , y han dado un de dificó el art. 3.0 en estos términos: » Las diputaciones provincia creto llamando á los fugados. La- famosa proclama- de los nue les harán el repartimiento á Jos pueblos, y los ayuntamientos á…</t>
  </si>
  <si>
    <t>…gado, á un juez ro , Posada , Rico , Murfi , Navarro Tcjeiro, González , Lillo, que no habiendo podido salir dei pueblo se vea acaso obligado Mourc , Albear , Roset, Surra,Valdés (D. Cayetano), Ar por el mismo pueblo á continuar administrando la justicia con guelles Cuadra, Alava , Buruaga , Canga , Seoanc , Muro , Soarreglo á nuestras leyes? Digo que este es un argumento especio moza , Sierra, Baiges, Salva , Prat, Infante, Rojo , Valdés Bus so,…</t>
  </si>
  <si>
    <t>…te debia volver al Gobierno para que sos solicite , acepte ó sirva algún mando ó empleo militar. lo resolviese con arreglo á la ley orgánica del ejército. Aprobado. El Sr. Vaidés (D. Cayetano} , después de haber expuesto la Art. 4.0 Los regidores perpetuos y los colegiales mayores situación á que se vería reducido el interesado cuando sucediese que pretendan los destinos que servían en los ayuntamientos per la muerte de su madre , que solo gozaba…</t>
  </si>
  <si>
    <t>…dida er_ ¿1 á todos los que contribuyeron a la salvación mesa Jiajta la última hora. de aquella ciudad. Se procedió á la discusión en su totalidad del siguiente pro EL Sr. Valdcs (D. Cayetano) contestó que la comisión no yecto de la comisión.primera de Hacienda sobre las penas de cá podia separarse del encargó que las Cortes;le habían hecho. ■' , mara» • El Sr.-Grases se opuso á este artículo , manifestando que exis i.°' La inmediata recaudación d…</t>
  </si>
  <si>
    <t>…misma comisión se mandó pasar una adición del señor co, Infante , Muríi, Moure, Luque , Pumarejo, Surca , Valdés Romero al dictamen que se acababa de aprobar , y decía asi: » Pi ( D. Cayetano) , ArgiieUes , Cuadra , Alava , Adancro , Muro, do se añada antes de la palabra profesores las de abogados ó n.t- Buruaga , Silva, Sierra , Posadas, Canga , Baiges, Somoza , Prat, Salva, Rojo , Bustos , Alvarez (D. Elias), Truiiilo , Rubi- dicos.” . , . La mi…</t>
  </si>
  <si>
    <t>…extrangera y de la que haya salido de nuestros puertos eon-desli- reclamante. Aprobado. no al extrangero. Art. 18. Los buques y las bestias-de trasporte y los demas El Sr. Valdés (D. Cayetano) se opuso á la primera parte efectos del dueño y capitán ó arriero, y no otros bienes algunos, del art culo , porque en España , particularmente en Galicia , se se declaran responsables al pago de la multa. Aprobado. necesita de sal extrangera por no poder ha…</t>
  </si>
  <si>
    <t>…la exposición del ayuntamiento consti cipales que ha tenido la comisión para proponer este dictamen. tucional de Ciudadeia, capital de Menorca , para que no se acce El Sr. Valdés (D. Cayetano): Conozco mucho la isla ds da á la petición del de Mahon. Igualmente habla examinado la Menorca, pues que me he visto allí bloqueado en la balda por consulta hecha al consejo de Estado, la cual produjo do, parece— Sos enemigos , y hallo tan necesario el estab…</t>
  </si>
  <si>
    <t>…los mismos cuerpos, bi , a revisada la comisión de Corrección de estilo. cada uno de aquellos cuerpos ( como ya muchas veces ¡o tenemos Hallándose presentes los dos Sres. Regentes D. Cayetano dicho, y no nos cansaremos de repetirlo) son cébidos los mayóte» Valdés y D. Gabriel de Ciscar para prestar el juramento , se le elogios, y todo ciudadano verdaderamente honrado se unirá i yeron los artículos de la Constitución que tratan de este acto, y noso…</t>
  </si>
  <si>
    <t>…a de un oficio del Sr. secretario interino del A breve rato salió esta diputación, compuesta de los seño Despacho de la Gobernación de la Península. fecha de hoy á las res Valdés (D. Cayetano), Becerra, Cald-ro-i , Abreu, Benito, siete de la tarde , en que manifestaba que habia tomado y Mome, Prst, Surrá, Aillon, Tomas, Trujillo, Montesinos, continuaba tomando todas las providencias necesarias para la Suarez, Llórente y dos secretarios. conservaci…</t>
  </si>
  <si>
    <t>…be padecido alguna equivocación. por la que se declaró haber llegado el caso de que El Sr. benito hizo algunas observaciones. trata el art. 5o8 de la Constitución. El Sr. Valúes (D. Cayetano) : Vio olvidaba decir .Se leyó el acta de la sesión permanente de los que S. M. dijo que como individuo p ..¡ ficuínr baria días i i y i2 del corriente. cualquier género de sacrificios-.' pero que cemo Rei Varios Síes, diputados manifestaron algunos er no pod…</t>
  </si>
  <si>
    <t>…rabijos d-*l rn¡.iisterin de la Gober nuta de decreto en que declaran las Cortes benemé nación de la Península , dijo, serán nulos en las ac rito de la Patria at teniente jeneral .D. Cayetano tuales circunstancias, y por lo mismo me parece inú Váides, individuo que fue de la Regencia provisio til este iniiii terio : creo, pues, seria mas conveniente nal, cuya minuta presentaba revisada la comisión de que todus estos ramos pa asen a un imprevisto g…</t>
  </si>
  <si>
    <t>…, lecha de boy á las siete de la tarde, cu que ten medidas enórgicas en las.circunstancias actuales. rpanifestaba que habla tomado y continuaba toman Se leyó un oficio del Fxeino. Sr. D. Cayetano do todas las providencias necesarias.para la conserva V aldes, presidente de la Regencia prov ifional del rei ción del orden y seguridad pública. Las Cortes que no , en que participaba á Jas Curtes haberse instalado daron enteradas. aquella a las once de esta…</t>
  </si>
  <si>
    <t>…nsre.0 sufrió igual suerte, y nada queda del sistema Se ¡u sión que había de llevar el mensaje era presidida por Valdét reconocido la Rancia de Madrid, y ornado un posta á la di. (Don Cayetano), se fue á vestir de gala, y luego fue á palacio: visión francesa que hay en Carrnona con una especie de capitu el Rey la recibió como i ¡as seis de la tarde, y á la exposición lación para su entrada. Paso el sábado 14 sm novedad, y !0 contestó que como Rey n…</t>
  </si>
  <si>
    <t>…de valerse de los ayuntamientos, para • da de proponer recompensas para varios pueblos en lugar de los saber por ejemplo el método que se siguiese en los csMblecimienSres. Valdés (D. Cayetano) é Infante a los Sres. Salvato y tos ; pero que no podia conformarse el Gobierno con que se 1* Prat. redujese á este solo conducto para tener su vigilancia sobre la en Se continuó la discusión del reglamento para la dirección de señanza pública; por todo lo c…</t>
  </si>
  <si>
    <t>…iempre que se atrevieron á acercarse, y despreciando altamente parecido conveniente establecerlas. á aquellos , que faltos de valor y de constancia, abandonaron con El Sr. Vaídés (D. Cayetano) expuso que le era indi infamia nuestras filas. Los militares todos no podrán menos de ferente lo público« secreto de la materia; pero que opinaba que conocer el mérito de estas marchas; y los conocedores del ter la junta no necesitaba semejante autorización,…</t>
  </si>
  <si>
    <t>Cayetanó</t>
  </si>
  <si>
    <t>…fidia de,sus inhuma- Pacheco, Santos Suarez, Ovalle, B:lda ,'Quifibns* , Gisbert^' 4K&gt;« «arc«i.a/ptj qqc siguen obligándole á que tea el Juguete de López Cuívás . JimeneZ, yV¡Adét(D. Cayetanó.) ; iu» inténtala* é inútiles maquinaciones,' al,mismo-tiempo que - Los señores nombrados Ocuparon sus respectivos asientos, y batallan ¡entre tí aobre quién ha de ser eí que descxrjidápiente te al Sr. presidente dijo; las corter-tttraordinarrai quedan instal…</t>
  </si>
  <si>
    <t>Cayuela, Joaquín</t>
  </si>
  <si>
    <t>Joaquín Cayuela</t>
  </si>
  <si>
    <t>…tirio el Sr. Don Primera división.__Comandante general el brigadier Don Pedro Lillo, que lo es por.la de Jaén. Juan'-.Palarea: estado mayor, gefe interino D.......; capitán adicto D. Joaquín Cayuela. El Rey ha expedido los decretos siguientes : Cuerpos de que se compone—Tropas del mando del coro Don Fernando vm por la gracia de Dios y por la Constitu nel Scoane, tropas del mando del coronel Jáuregui, resguardo ción de la Monarquía española, Rey de las Es…</t>
  </si>
  <si>
    <t>Cazan, Antonio</t>
  </si>
  <si>
    <t>Antonio Cazan</t>
  </si>
  <si>
    <t>Gaceta de Madrid n.º 100 (extraordinaria)</t>
  </si>
  <si>
    <t>…a la facción. se puede decir libre de la facción que la infestaba, pues el bizarro y » La acción &gt;e dió á las 9 de la mañana, y á las 8 de esta noche nunca bien ponderado valiente coronel D. Antonio Cazan, coman está dando la columna los gritos de Constitución 6 muerte debajo de la dante general interino de la provincia de Castellón , marchando de lápida constitucional de esta ciudad. Con singular júbilo comunico á aquel punto para esta capital, encomió entre…</t>
  </si>
  <si>
    <t>Cázlos</t>
  </si>
  <si>
    <t>…s tropas del ejército «liado «omo ca los voluntarios Reales de Navarra y el regimiento infantería da A los directores generales del Crédito público digo con esta línea del lnfante D. Cázlos es, gradas ! Dio», de poca Conside fécha lo siguiente: - ** * - * ’ • ración epando se atiende i los trabajos i arriesgados y i Jas gran He . dado cuenta ála Regencia del Reino del oficio de des fatiga* de un sitio *, desde mi último parte hemos perdidtrdoa V…</t>
  </si>
  <si>
    <t>Ccnd</t>
  </si>
  <si>
    <t>…. Cma.; y ha ron la actividad que aili rema en ios preparativos marítimos biendo manifestado iguales sentimientos de parce del K‘y Luis contra Csdiz bajo Us ótdcnes inmediatas del Sr. Ccnd. Ejurrvm , le contestó el Cardenal Decano en términos análogos. inoctVan llegando á Roma algunos de los Cardenales ausentes; Ha llegado á nuestras manos la siguiente proclama. entre otros los Emmos. iestaCrrata, Pallota, Pando!fi, Albani Navarra. Toda la Nava…</t>
  </si>
  <si>
    <t>CCTClf'dí</t>
  </si>
  <si>
    <t>…nstantemente em- PORTUGAL. , pieada jtót-el dinerólibétal con el cbfetd de arruinar á sus con» UibfíA 6 de Julio. trarios;'ctt'Js opinión* « • El conde de.Funchai ha sido nombrado embajador CCTClf'dí ; -CúaridO un gvrieral *6' un- hombre de Estado e* perjuro y to la Santa Sede. ■ - T nto las árrtíis contra SU ReT', «s un patriota, un carácter ñoble¿ El ir. Navarro de Andrade ha vuelto como enviado éxtraá ñn aniigb-de la- libmstd'ÓK. Las voces traición , r…</t>
  </si>
  <si>
    <t>Ce, Joaquín de</t>
  </si>
  <si>
    <t>Joaquín de Ce</t>
  </si>
  <si>
    <t>…linar el Uta! D. Gonzalo de Cárdenas, D. Antonio de Alcázar, D. Ramón Llord, ánimo de S- M. i admitir esta pequeña ofrenda, que hago gustosí.imo D. Francisco López de Olavarrieta, D. Joaquín de Ce"-! os, P. Ju en i» aras de a libertad , ai mismo tiempo que renuevo el juramento lián de Fuentes, D. Nicolás Cano de Luque, D. Juan de Cortes y -de defender la Constitución hasta mi última agonía en toda la provin D. Sebastian Andrés. cia que el Gobierno se b…</t>
  </si>
  <si>
    <t>Ce, Pedro</t>
  </si>
  <si>
    <t>Pedro Ce</t>
  </si>
  <si>
    <t>…El Soberano Congreso en su sesión de esta dia ha bertador. nombrado para componer el poder, ejecutivo los sugetos siguien Respuestas. tes: D. Nicola# Biavo, D. Guadalupe Vitoria, D. Pedro Ce 1.a No se puede dejaros ir a Tulancingo ni á !s Jamaica. lestino Negrtte. 2.a En el caso de que se os permita ir :á alguna parte os es Este nombramiento se comunicará inmediatamente á los su coltará el general Bravo y sus tropas. getos nombrados, á fin de que…</t>
  </si>
  <si>
    <t>Ceballos, Joaquin</t>
  </si>
  <si>
    <t>Joaquin Ceballos</t>
  </si>
  <si>
    <t>…a casa sita en esta corte y su calle da Tomas Torresano , D. Josef Castel , D. Juan Paz, D. Martin Zarea- la Corredera Alta de S. Pablo , núms. ly y 20, mane. 449 , que tiene dia, D. Joaquin Ceballos, D. Karnou Liord y D Antonio Gamonal. de sitio 6288 pies y $ , tasada en 185,412 rs., quededucidos Ó941 rs. y Los demas los declararon absueltos respectivamente en sus casos. 6 mrs. de cargas reales quedaban líquidos 178,470 rs. y 28mrs., y se re mató en 6oo3…</t>
  </si>
  <si>
    <t>Ceballos, Joaquín</t>
  </si>
  <si>
    <t>Joaquín Ceballos</t>
  </si>
  <si>
    <t>…de vuestra horrorizada vista semejante Josef Asuero, D. Juan Bautista Javat, D. Pelayo Zorrilla , Don cuadro de desolación; pero al ver i la puerta de vuestros hoga Josef Radon , D. Joaquín Ceballos, D. Francisco Palacios ,Don res los mismos invasores, al verlos disfrazados con la misma Miguel de Nájera y D. Pedro Sainz de Baranda. De estos, í máscara de hipocresía y política, al contemplar el misterioso excepción del Sr. Javat, que lo calificó de sedici…</t>
  </si>
  <si>
    <t>Cebriá, Joaquín</t>
  </si>
  <si>
    <t>Joaquín Cebriá</t>
  </si>
  <si>
    <t>…feliz de Octubre dí 18¿o , hibiendo disentido los Sres. D. Lorenzo Colleli, mente rige. S. M. observa con singular complacencia ti patru tico es D. Pedro Comes, D.Lorenzo Novel , D. Joaquín Cebriá y D. Antonio mero de- ¡os individuos que la componen , no solamente en el exacto Ferrer. Eucelona 10 de Diciembre, de íSxi.czGincs Quinina, Loren cumplimiento de las ley:s de su instituto, sino también en el ardor zo Colleli, Pedro Comes, Antonio Ferret, Lorenzo Novell, J…</t>
  </si>
  <si>
    <t>Cebrian, Joeef</t>
  </si>
  <si>
    <t>Joeef Cebrian</t>
  </si>
  <si>
    <t>…gua, habiendo vuelto buena dirección ds sus fuegos rechazaron á la caballería enemi las nuestras á su acantonamiento, dejando unos 20 caballos en ga, como i los capitanes de alias D. Joeef Cebrian y D. Anto el lugar de Plaienzuela, los que observaron muy luego que loe nio Mombiela, y ai teniente de Guias D. Pedro Broca. enemigos , en número de 400 caballos.salidos de Torremocíu, » Los enemigos ocupan hoy los pueblo* da Sta. Cruz y el del ranian i atacar nuestra…</t>
  </si>
  <si>
    <t>Ceegército, Joaquín Huerta</t>
  </si>
  <si>
    <t>Joaquín Huerta Ceegército</t>
  </si>
  <si>
    <t>…on En su vista se reunió el jurado, compuesto de los Sres. siguientes: arreglo i lo que tienen las Corte» acordado les dé colocación en el D. Jossf Caite 1, D. Zoilo Gómez Casero, D. Joaquín Huerta Ceegército. _ rallos, D. Luis de Mata Araujo , D. Saturnino Lozano, D. Juan An Se mandó pasar i la comisión de Guerra una propuesta remitida por tonio López, D, Joaquín de la Vega y Quintana, D. Juan Isidoro •1 Sr. secretario de este ramo, para que las Cortes acuerden l…</t>
  </si>
  <si>
    <t>Celada, Juan Sanz</t>
  </si>
  <si>
    <t>Juan Sanz Celada</t>
  </si>
  <si>
    <t>…sí ó por sus apoderados en el juzgado de primera instancia de Gua- colación de S. Andrés , albacea, tenedora de bienes y acreedores de dalajara, y por conducto de la escribanía de D. Juan Sanz Celada , den dicho señor, previniendo que esta testamentaría no tiene otros fondos tro del término preciso de ocho meses,que por segundo se señala, con que créditos contra la Hacienda nacional á causa de un ploito largo y tados desde 23 de Diciembre del año de 1812…</t>
  </si>
  <si>
    <t>Celedonio</t>
  </si>
  <si>
    <t>…te mes, for medio del limo. das, y de hacerlo elevar mas allá de la felicidad, no ha podido Sr. Decano de él, el Real decreto que dice asi: menos que comisionar especialmente á su alcalde D. Celedonio „Las continuas demostraciones dé amor y lealtad qué recibo Josef de Arpe, para qú¿ sea uno dé los primeros que postre á de mis pueblos, y la presencia de muchos de mis fieles -vasallos, L. R.' P. de V. 'M. los votos de's 23-almas que batí -gemido .si á quiene…</t>
  </si>
  <si>
    <t>Cenáis, Juan</t>
  </si>
  <si>
    <t>Juan Cenáis</t>
  </si>
  <si>
    <t>…para proveer la vacante qua resulta dores por sus tiientos y mérito sobresaliente. por la renuncia de D. Antonio Díaz del Moral. capitulo 11. A la ’Ecleiiástioeruna exposición de D. Juan Cenáis, apoderado da Art. 5.a » Para los ascensos en este cuerpo, calificación de hojts la villa de Reut, sobre el destino que debe darse á un edificio que los de servicio y propuestas se observará lo prevenido para los facultativos jesuítas de Tarragona poseían en…</t>
  </si>
  <si>
    <t>Cenarbe, Josef Jiménez de</t>
  </si>
  <si>
    <t>Josef Jiménez de Cenarbe</t>
  </si>
  <si>
    <t>…e que no extiendo el que he lorplana mayor *1 coronel vizconde de la Barthi, el coronel del mado acerca de la justa recomendación del general aliado, por Real cuerpo de artillería D. Josef Jiménez de Cenarbe , que ha- no haber recibido la filiación del.interesado y demas conocí-: hia ofrecido sus servicios á la causa del Rey desde el principio mientos que he pedido , ios que remitiré a V. E. tan pronto co del bloqueo, y el benemérito teniente coronal del Real cue…</t>
  </si>
  <si>
    <t>Cenarruza, Pedro</t>
  </si>
  <si>
    <t>Pedro Cenarruza</t>
  </si>
  <si>
    <t>…deseoso de hacer públicas sus ope órdenes de sus respectivos comandantes el coronel L&gt;. Ramón raciones , v para que todo» sepan ei mot vo del alarma de este dia, Solano, el captan D. Pedro Cenarruza , y el teniente coronel hace saber a los cuerpos, que un olleta! subalterno del estado D. Mariano Calafell, pasasen á ocupar el mencionado pueblo de mayor francés con una ordenanza y un tromp.ta se lian presen S. Antón, lo que venticu ;í pesar de hallarse el…</t>
  </si>
  <si>
    <t>Centurión, Vicente María</t>
  </si>
  <si>
    <t>Vicente María Centurión</t>
  </si>
  <si>
    <t>…Herrero?, secretario. Y que se publique en la gaceta rará el perjuicio que haya lugar. para su satisfacción. Igual declaración se ha hecho con los que compo Por muerte del Excmo. Sr. D. Vicente María Centurión , marques nen las de Málaga y Granada, por haber entrado ya en caja el cupo de Ariza y Estepa, mariscal de campo de los ejércitos nacionales, se respectivo que ¡e: ha correspondido en ei último reemplazo extraordi formaron autos de testamentaría en el juzgado…</t>
  </si>
  <si>
    <t>Cerdá, Jesef</t>
  </si>
  <si>
    <t>Jesef Cerdá</t>
  </si>
  <si>
    <t>…»l¡r i'» diferentes ataque» que en ■/ario, sentidos Je hac.a el enemigo , que contaba uun cu ¡,ILondres 21 de SIay o. tup!&gt;.» tuerzas que Llobera, emprendió »u ramada h..»-a Monea Don Jesef Cerdá, azcediano cíe lluamanga, y diputado á da secan ie tema prevenido. Cortó por aquella provincia, llegó últimamente a Burdeos ,pro No puedo menos ce manifestar á V- E. que el brizad,cr Lic cedente del Perú, con pliegos r«uy important.» de¡ Sr. cap.i.m hera ve h…</t>
  </si>
  <si>
    <t>Cerda, Josef</t>
  </si>
  <si>
    <t>Josef Cerda</t>
  </si>
  <si>
    <t>…diz.&lt;i( Julio. defectos que se notaban en aquella podían aprobarse, asi como los poderes del dicho Sr. Larrea ; y opinaba que cuando se pre CORTES. sente el otro diputado á Cortes D. Josef Cerda , debían oírsele los motivos por que no ha presentado sus poderes , y en su vista, rRKSlDENCIA I)EI. SliSOR JENER. y siendo justos y bastantes a juicio de las Cortes, dispensarle de Extracto de la sesión del ¡tía 3 de Julio. « esta formalidad. Le ida y aproba…</t>
  </si>
  <si>
    <t>Cere, Blas Joaquín de</t>
  </si>
  <si>
    <t>Blas Joaquín de Cere</t>
  </si>
  <si>
    <t>…es, para D. Victoiiano María Gallego, intendente; D. Ramón de Santiyan, que dentro del término de 30 días , comparezcan por si ó por medio diputado; D. Raimundo de Oria, diputado; D. Blas Joaquín de Cere de procurador con poder bastante á deducirle en dichos autos; con aper ceda , diputado; D. Salustiano Cabildo y Rebestido, diputado; Don cibimiento de que pasado dicho término sin haberlo verificado les pa Manuel Ramón Herrero?, secretario. Y que se publique…</t>
  </si>
  <si>
    <t>Cereceda, Esteban</t>
  </si>
  <si>
    <t>Esteban Cereceda</t>
  </si>
  <si>
    <t>…6.°-, entendiéndose que los cirujanos han de Manglano, y á los tenientes D. Ramón Artegui, D. Luis Castejon y irner el tía licenciados en cirugía medica. Madrid 23 de Diciembre de D. Esteban Cereceda, á los cadetes D. Rufino Gil , D. León Manso, *Sa;.e=Juan Olivar y García , presidente.=cMartin Serrano , diputado y al pífano Ignacio Lotea, que sin embargo de tener 13 años, y no secretario.=Pedro Juan de Zulueta, diputado, secretario.” hallarse con aúnas,…</t>
  </si>
  <si>
    <t>Cerezo</t>
  </si>
  <si>
    <t>…resto marchase por la cresta de la montaña á caer sobre el mon Por el ministerio de Hacienda con fecha 28 de Enero último s: me te Olívete. El gefe de la pinna mayor Saravia , el coronel Cerezo y yo ha comunicado la Real orcen siguiente: continuamos de frente con el batallón de Africa, al mando de su co ,,Conformándose ei Rey con lo propuesto por V S. en papel de 17 mandante Oliver , el de Córdoba , al de igual clase Mir , una sección del actual, se…</t>
  </si>
  <si>
    <t>Cerquero, Josef Sánchez</t>
  </si>
  <si>
    <t>Josef Sánchez Cerquero</t>
  </si>
  <si>
    <t>…sten ¿ vuestras clases á la España futura, mar por medio de dos alturas del sol, observadas fuera del me y haced su prosperidad, cuidando con una solicitud amorosa de ridiano, por D. Josef Sánchez Cerquero, Teniente de fragata que al paso que vais enriqueciendo con, conocimientos útiles el de k Real armada, y Director interino del observatorio, y un entendimiento tierno de vuestros discípulos, fortifiquéis su co- método fácil y breve para corregir las distancia…</t>
  </si>
  <si>
    <t>Certifico</t>
  </si>
  <si>
    <t>…de Soria, diputado por la provincia superior juzgado de Alzadas. de Granada; D. Vicente Salva , diputado por la de Valencia; Jó. Mateo Miguel Aillon, diputado por la de Sevilla, y Don Certifico, que por decreto de dicho tribunal de 27 del cor riente en autos núm. 54 de este año, que son de concurso de Gregorio Allonso , que Jo es por la de Canarias. acreedores á D. Juan Jiménez Cordido, se ha mandado citar y Continúa el decreto Ría! loíre la díiti ¡…</t>
  </si>
  <si>
    <t>Ceruti, Florencio</t>
  </si>
  <si>
    <t>Florencio Ceruti</t>
  </si>
  <si>
    <t>…erlanga , y la he dado ción y de ley en la que se siguió contra el brigadier D. Francisco orden para dob'ar la marcee cuanto sea posible. Dios guarde á V. E. Serrano , el teniente coronel D. Florencio Ceruti y e! capitán Don muchos años. Cuartel genera; de Osma 21 de Febrero de 1823.—Ex Agustin Chinchilla , por las ocurrencias del 18 de Setiembu de i8rt celentísimo .Sr.=EI conde del Abisbal.=Excmo. Sr. secretario de Esta en el cuartel de caballería de Sagunto: se…</t>
  </si>
  <si>
    <t>Ceruti, Ramón</t>
  </si>
  <si>
    <t>Ramón Ceruti</t>
  </si>
  <si>
    <t>…ago Rotalde, duo, para que con arreglo á sus méritos y aptitud le coloque. D. Domingo de la Vega, D. Félix Mejía, D. Benito Morales, Aprobado. D. Leonardo Perez, D. Josef Spínola, D. Ramón Ceruti, Don Se leyó la siguiente proposición del Sr. Murfi : «Pido á Jas Ramón Sánchez y D. Bonifacio Castillo sean detenidos y trasla Córtes se sirvan habilitar el puerto de Arrecife en la Isla de dados á las Islas Canarias; y que D. Josef Moreno Guerra y Lanzarote…</t>
  </si>
  <si>
    <t>Cervera, Francisco</t>
  </si>
  <si>
    <t>Francisco Cervera</t>
  </si>
  <si>
    <t>…habi nían muertos ó prisioneros por las cortas fuerzas del mando de tantes, están resueltos á exterminar a los enemigos de la patria. los bizarros comandantes de lanceros de Rioja D. Francisco Cervera os presenta un ejemplo de uno y otro. Conocen que la Ruiz, y teniente coronel D. Bernardino Marti, quienes también seducción es ¡a que lu engrosado las tilas de ios rebeldes , por lo se apoderaron del obús, carros de municiones, y poraon de ar mismo todos , y…</t>
  </si>
  <si>
    <t>Cervera, Juan Ignacio</t>
  </si>
  <si>
    <t>Juan Ignacio Cervera</t>
  </si>
  <si>
    <t>…os, pidiendo se le conceda Alta. Los tenientes coroneles D. Francisco Mon , D. Francisco la misma gracia que á las demas viudas que se hallan en el mis Vallarino, D. JosefBrodini, D. Juan Ignacio Cervera, Don. mo caso se Ira concedido, y del informe del Gobierno que Mauricio conde de Balbiani. Los capitanes D. Felipe Saint-March, apoya esta solicitud, es de parecer se le conceda; y se conforma D. Carlos Benbenuti . D. Josef Saint March, D. Josef Tejeiro, ba c…</t>
  </si>
  <si>
    <t>Cervrra, Reman Ceamá</t>
  </si>
  <si>
    <t>Reman Ceamá Cervrra</t>
  </si>
  <si>
    <t>…Reci Ax 29 de Junio. bid tos aplausos de un pueblo, que en los tiasportes de su gozo Mina salió de la Seu de Urgei el 19 del corriente, y llegó nos miran como sus libertadores. El general D. Reman Ceamá Cervrra el al , manifestando su atroz furor con mandar pren bó, zeloso defensor de nuestro Monarca , y cooperador en Ja der y fudlar á sangre fría á un cura respetable, llamado D. Ra empresa con su d cidida división, corona el triunfo, haciendo món Soler. Este digno…</t>
  </si>
  <si>
    <t>Céspedes, Aliguel de</t>
  </si>
  <si>
    <t>Aliguel de Céspedes</t>
  </si>
  <si>
    <t>…después tas desgracias. =: Manuel María.” que se conoce en el mundo este estado anti-iocial , cuando me Sobre. nos , metido clandestinamente en los estados de Europa, es cuan » A D. Aliguel de Céspedes, empleado en la secretaría de do hemos conocido las revoluciones y los grandes crímenes re Estado.__Parte.__ Sevilla. petidos á cada momento. » Madrid 22 de Aíayo. Ayer pensó entrar Bessleres en osla; (3) Es de advertirque en la lengua masónica las palabras j…</t>
  </si>
  <si>
    <t>Céspedes-, Miguel da</t>
  </si>
  <si>
    <t>Miguel da Céspedes-</t>
  </si>
  <si>
    <t>…ogiéndose al indulto, la facción que y tí presidiario! confinados a Ceuta. Pasaderos. D. Joaquín Seoenc, espitan graduada de teniente coronel, con su esposa y na asistente,mandaba D. Miguel da Céspedes-, compuesta da 35 hombres dií caba D. Juan Redondo, primer cirujano de la armada; Fr. Francisco Jimé llería j siete de á pie, incluso el gefe. nez; Doña Antonia Jiménez; D. Manuel Belticnate , con su rspo^c, Murcia 17 de Marzo. una h’’B y ani criada; D. Ver-tu…</t>
  </si>
  <si>
    <t>Cesta, Antonio</t>
  </si>
  <si>
    <t>Antonio Cesta</t>
  </si>
  <si>
    <t>…También había Legado a Perpiñan el general Gnnsai'st. quien sa vo borrón en nuestra historia. La sesión en que se decretó tal provi apresuró á ir j reC’b-r orden.sde la regi-ncii. D. Antonio Cesta ( Mi dencia presenta una de aquellas escenas, que no hará mucho favor á sas) había saiido d: aqueíta ciudad pu,u volver ¿ tr.tn.ir ti mando en nuestros contemporáneos. Cataluña. Los constitucionales , dice la Gaceta de Francia, no tico en Hoy á las tres de la…</t>
  </si>
  <si>
    <t>Ceuta, Al</t>
  </si>
  <si>
    <t>Al Ceuta</t>
  </si>
  <si>
    <t>…o Los individuos que suscriben este voto ptart cular han medi licitud del modo que proponia el gobernador de dicha plaza de tado detenidamente sobre la proposición antecedente de¡ Sr. Al Ceuta. A probado. bear , por la cual se suscitan cuestiones extraordinariamente de La misma comisión, en vista de la solicitud de D- Cayetano licadas ; pero consideran que á pesar de ello no debe espera i &gt;e pa ..................... capitán de infantería de Sevilla…</t>
  </si>
  <si>
    <t>Cevailo, Manuel Vivero y D Mariano</t>
  </si>
  <si>
    <t>Manuel Vivero y D Mariano Cevailo</t>
  </si>
  <si>
    <t>…mismos !a carta de pago que acredite la en mera clase de la misma Real orden para los subalternos Don trega en ia respectiva tesorería á los quince dias primeros si Juan de Cima, D. Manuel Vivero y D Mariano Cevailo, cuguientes de vencido el tercio; dando paite á los intendentes, en yas Reales cédulas pasaré á manos de V. E. luego que reciba caso de no verificarse asi, de los motivos que lo impidan, para Los documentos que quedan indicados para los de segunda clase. que…</t>
  </si>
  <si>
    <t>Cevallos</t>
  </si>
  <si>
    <t>…recÍo,6 rs, eri .-rústica y 8 en pasta. ilegales renuncias que son notorias;,,Antes hubiera arrostrado IA Nuevo método práctico simplificado para- aprender por,,sí muerte, dice el Sr. Cevallos pero no quiso. envol¡ver en'sú des-i solo yen poco tiempo á pronppciar el idioma ingles y áttasjthv gracia á muchos de su comitiva comprendidos, en, la amenaza.^! cirio al español. Se vende en Madrid en las librerías de Cruz, y „Yo lo vi, continúa el mismo; y…</t>
  </si>
  <si>
    <t>Cevallos, Joacuin</t>
  </si>
  <si>
    <t>Joacuin Cevallos</t>
  </si>
  <si>
    <t>…todo el tiempo que comprenda su suscripción. __Reunidos en' jurado de calificación los Sres. D. Martin Zarandia, Los que deseen suscribirse á la Gaceta de Madrid ó i la Gaceta es D. Joacuin Cevallos, D. Ramón Llord,D. Josef Cartel, D. Gaspar pañola , ó bien á Ies dos, podrán hacerlo tanto en la imprenta nacional Aguii.:ra, D- Antonio Gamonal, D. Francisco Barra, D. Nicolás de esta capital, como en la misma en Sevilla, é igualmente que en to Hered.ro Mayo…</t>
  </si>
  <si>
    <t>Cevallos, Joaquín</t>
  </si>
  <si>
    <t>Joaquín Cevallos</t>
  </si>
  <si>
    <t>…e la diputación contratados y prontos los 637 unifor D. Juan Antonio Marco. D. Bernardo de Borlas y Tarritfs- mes completos con armamento y fornituras para infantería ds línea: 55 D. Joaquín Cevallos. D. Josef Urrutia y Anatia. para caballería también de línea: 66 para idem ligera: 13 para artilfrI&gt;. Josef Brull. D. Juan Muguiro. lía , y otros 13 para zapadores, que en todo componen los 774 hom P&gt;. Juan Jabat. D. Antonio Lambea. bres de su cupo. D. Celedo…</t>
  </si>
  <si>
    <t>…cio en su re dirigirlos á la Gaceta española en Sevilla desde el dia 12 de Abril. putación. TRIBVNAIBS. Señores que calificaron de sediciosos dichos párrafos: D. Martin Zarandia , D. Joaquín Cevallos, D. Ramón Liord y D. Josef Castel. El Sr. intendente de esta provincia ha aprobado el remate celebra Señores que los calificaron de incitadores á la desob-diencia: Don do en 11 de Enero último de una casa sita en esta corte y su calle da Tomas Torresano , D.…</t>
  </si>
  <si>
    <t>Cevallos, Joaquín Huerta</t>
  </si>
  <si>
    <t>Joaquín Huerta Cevallos</t>
  </si>
  <si>
    <t>…folio vincia. 26, en concepto de injurioso. En su vista se reunió el jurado, com ro. Si á juicio de los intendentes hubiese necesidad de vender al puesto de los Sres. siguientes: D. Joaquín Huerta Cevallos, D. Josef gunos frutos, ó se considerase útil hacerlo , se verificará mediando su Antonio Ponzoa, conde de Floridablanca, D. Antonio Díaz del Mo orden y con todas las formalidades y precauciones que convengan a ral , D. Francisco Barra , D. Miguel Ripa , D. C…</t>
  </si>
  <si>
    <t>…único arbitrio para conseguir D. Antonio Puigblanch, D. Juan Antonio Luquc, D. Domingo Fer ventajas sobre esta canalla; que es mucho el número de partidas que ha pa nandez Angulo, D. Joaquín Huerta Cevallos, D. Luis de Mata Araujo, sado , pero en pequeñas, que seguramente no asciende su número á 60 hom Conde de Floridablanca, D. Isidoro de Hoyos, D. Manuel Gallegos y bres , excepto la que fue sorprendida en Pozohondon, según á V. E. le D. Josef Castel. tengo dad…</t>
  </si>
  <si>
    <t>…es varias proclamas subversivas, habiéndose salvado solo Bessteres con Josef Demetrio Rodríguez , D. Vicente Segurado, D. Bernardo Asenjo, 30 hombres.” D. Francisco Javier Barra , D. Joaquín Huerta Cevallos, D. Juan Isidoro Ministerio de Guerra. Pérez, D. Andrés Alcon, D. Amonio del Alcázar , D. Joaquín Manri El Rey se ha servido mandar que el regimiento número 37 de infan que y Manrique. tería ríe linea, que tiene el nombre de Imperial Alejandro, tome desde Hab…</t>
  </si>
  <si>
    <t>Cezat, Francisco</t>
  </si>
  <si>
    <t>Francisco Cezat</t>
  </si>
  <si>
    <t>…pueblo sufra los estragos En la 89 : los infrascritos jueces de hecho, habiendo examinado la que1 ocasiona la presencia délos rebeid: en. vados puntos ds ¡a Pe denuncia hecha por D. Francisco Cezat, apoderado del alcaide y ayun nínsula. El Rey está satisfecho de la act.t.uad y amor á la causa de la tamiento constitucional de Mataré, é impreso que acusa,, que es el su libertad que manifiestan de continuo los gtfes políticos encargados por plemento al Ind…</t>
  </si>
  <si>
    <t>Ch.iSano</t>
  </si>
  <si>
    <t>…del «lia. por medio del abuso de la libertad da impren Sé» Levantó la sesión. ta sino qne nosotros e-‘ M cometida la felicidad y *1 honor de imest ros comitentes; y a-i. porque el Sr. Ch.iSano tenga i» virtud T ínl'laleza necesaria para su Orden dku pi. vza.~-Gn.-míia del Congre-m y archi frir las ofensas personales que so íe hagan por medro vo : M. V. V. =r= Guardia de palacio: Pri'n- :s&amp; y «Jr- la imprenta , nuestro di ber cuino representantes M-…</t>
  </si>
  <si>
    <t>Chacón, Alvaro María</t>
  </si>
  <si>
    <t>Alvaro María Chacón</t>
  </si>
  <si>
    <t>…noticias verídicas , ; no los vimos misma tropa,que trataba de derribarla, y de despojar del man citar por norte y tener por maestros á los Universales, Espec do al gobernador el general D. Alvaro María Chacón, y darlo al tadores y Diarios nuevos3 ¡Pues qué mas se necesita para conogeneral D. Josef O-Donell. El citado gobernador reunió en su cer lo que pueden dar de sí tales hombres ? Y á la verdad si ennoche i los de la facción dominante, y el resultado de sus con…</t>
  </si>
  <si>
    <t>Chacón, Guillermo</t>
  </si>
  <si>
    <t>Guillermo Chacón</t>
  </si>
  <si>
    <t>…onando á merced de los libres 38 sacos de harina.” __En las clases de historia sagrada y ciernen :os de gramática cas h El Espectador del Al anunciar que éi 4 corrió en Cá tellana D. Guillermo Chacón, accésit D. Josef Rojo..__En ¿a diz la noticia de haberse sublevado la serranía de P.onda, se de latín D. Josef Negrete , accésit D. Manuel Arizcun.—1 n la observa que lo que parece cierto es que unos 4 ó 6 pueblos fue de aritmética D. Manuel Arizctin , accés…</t>
  </si>
  <si>
    <t>Chacón, Josef María</t>
  </si>
  <si>
    <t>Josef María Chacón</t>
  </si>
  <si>
    <t>…lla de Puerto-Rico con la fra en medio de ella no puede dejar de hacer particular mención del gata Constitución y corbeta Cercs, con ¡dea de sorprender la escua Capitán de fragata D. Josef María Chacón , á cuyo zelo, notoria drilla enemiga que bloqueaba á Puerto-Cabello, dirigiéndose á la inteligencia y desvelos se debe la disciplina militar y marinera isla Larga, donde suponía hallarse estacionada. en que se halla la fragata , garante el mas seguro de toda…</t>
  </si>
  <si>
    <t>Chacón, Juan</t>
  </si>
  <si>
    <t>Juan Chacón</t>
  </si>
  <si>
    <t>…s mismos la aproxima - S-rWtio de los ayudanta de plaza para la semana próxima. ción que cabe á los demas. Comandante general y consejo D. Antonio Warleta__ Go bernador y de orden D. Juan Chacón.__Causas D. Juan de Ro ARTICULO DE OFICIO. jas__ Teatro y demás funciones públicas D. Josef de los Reyes y D. Manuel Nuñez... Circular dirigida por el secretario del Despacho de Estado a Mañana hay corte, á cuyo efecto se hallarán en pala cío á las los agente…</t>
  </si>
  <si>
    <t>Chacón, Juan Manuel</t>
  </si>
  <si>
    <t>Juan Manuel Chacón</t>
  </si>
  <si>
    <t>…tener estos hermanos me Josef de los Reyes , que también estará de orden.__Causas Don nores de edad y en la segunda parte &gt;5 y en el caso que alguno Juan de Rojas.__Teatro y toros D. Juan Manuel Chacón y de los hijos, padres ó hermano» se halle Ore.” D. Antonio Éubaieta. El Sr. Oliver : Se me ofrecen tro dificultades. Se dice en el artículo que se señalarán por las autoridades los alimentos.-, mas, Hemos recibido periódicos de la Con:ña hasta el 7, de Eaza…</t>
  </si>
  <si>
    <t>Chacón, Juan Mauuel</t>
  </si>
  <si>
    <t>Juan Mauuel Chacón</t>
  </si>
  <si>
    <t>…r también no perder de vista, y rales D. Manuel Nuñez__ De causas D. Juan de Rojas—Tea que ias Cortes se convenzan, de que la mayor parte de los pue tro y demas funciones públicas D. Juan Mauuel Chacón y Don blos están penetrados de que ios pósitos solo han sido útiles á dos Manuel Nuñez. ó tres familias privilegiadas, las cuales desde ahora me atrevo á Mañana es día de corte, para cuyo efecto se bailarán en pa decir que son enemigas declaradas del sistema. El añ…</t>
  </si>
  <si>
    <t>Chacón, Julián</t>
  </si>
  <si>
    <t>Julián Chacón</t>
  </si>
  <si>
    <t>…nteres : pero que gane el 6 por too. Se aprobó el dictamen de la comisión de Legislación sobre que se con Art. 4.0 « Que los intereses estipulados y vencidos hasta 31 de Di ceda á D. Julián Chacón, hijo de D. Pablo, vecino ele Villacuñas, per ciembre de 13 21 se paguen en papel con interes; pero desde 1.“ de Enero miso para administrar sus bienes. de 1822 delscn pagarse del modo prevenido en el artículo 6° del decreto ele La comisión segunda da Haciend…</t>
  </si>
  <si>
    <t>Chacón, Nicolás</t>
  </si>
  <si>
    <t>Nicolás Chacón</t>
  </si>
  <si>
    <t>10</t>
  </si>
  <si>
    <t>…inamarca. Esta es una de aquellas potencias que parecen Gefe de dia el brigadier coronel de caballería de Numarlcia figurar mas en el mapa geográfico que en el político. Apenas se D. Nicolás Chacón. habla de ella; y reconcentrada en sí misma, y sin influjo alguno, Servicio. —Palacio ia Reina y 2." batallón de la milicia lo continúa hacieddo lo posible por la prosperidad de sus pueblos,, cal , á las ordenes del comandante del 2.0 batallón de dicha mi ent…</t>
  </si>
  <si>
    <t>…l número anterior hablamos de la primera acción que las Gefe de dia el brigadier coronel de caballería de Numancia tropas constitucionales han tenido contra los invasores cerca de D. Nicolás Chacón.__Servicio á palacio la Reina y M. N. L. á Arnedillo: no hicimos mas que indicar varias circunstancias por las órdenes del coronel de la Reina D. Francisco Golfín—Pa caracer de datos exactos; pero hoy vemos en otro periódico de rada la Reina, Infante D. Carlo…</t>
  </si>
  <si>
    <t>Chacón, Pedro</t>
  </si>
  <si>
    <t>Pedro Chacón</t>
  </si>
  <si>
    <t>presivos á la Constitución, á la libertad y al virtuoso y sabio época brillante en la historia de este pueblo. Cesaron todos los Sr. Villanueva. Abrió la sesión el presidente D. Pedro Chacón,, partidos, terminó toda animosidad , y Jos patriotas de todas las gefe político, y subió á la tribuna D. Diego María Capdevila, opiniones mezclados entre sí, y confundidos con todos tos aman diputado provincial, quien á nombré de la sociedad- y de todos tes…</t>
  </si>
  <si>
    <t>Chaleco</t>
  </si>
  <si>
    <t>…l nombre santo En Rioseco , Benavente , Torde- de la religión, que han de llegar á hacer incrédulos a lo» pueblos. silias y Toro............................... 16001600 15° 700 El coronel Chaleco dice que por respeto á la human dad no en Arévalo , Segovia y Avilan.......... 800 60 300 tra en la villa de Infantes á derramar sangre v á tomar medidas Barbastro, Zaragoza, Calatayud, de rigor para que no se insulte a! sistema constitucional, v el Sr. Terue…</t>
  </si>
  <si>
    <t>…creto de aquellas de 7 (3) E11 su vida ha dicho el Sr. D. Blas Argueta una verdad de Agosto de 1812 , se presentarán los interesados «1 los referi como esta. Seguramente que si el coronel Chaleco no tuviera al dos préstamos, con los documentos de sus créditos , cn la sección gunos compañeros (y serán mas de cuarenta, mal que le pese á preparatoria de liquidaciones de esta provincia, sita cn la calle la Cotidiana), saldrían los valerosos infanzones ó i…</t>
  </si>
  <si>
    <t>Chamans, Saint</t>
  </si>
  <si>
    <t>Saint Chamans</t>
  </si>
  <si>
    <t>…dida que ha sufrido «1 enemigo.¿CuaHel ge» El general Porras y su estado- mayor corrieron: la misma ñera!del Puerto de St». María rZ de Setiembie d* 1833.=De suerte; y habiendo el general Saint Chamans,ds*t«ado hícia orden de S. A-R.=E1 mayor general; conde Guillemiuot. -c Veliz-Málaga ei regimiento de cazadores núm. *O vi sostenido por un escuadrón -e dragones deli-o.f, cargór^íta caballería 4 la del enemigo, persiguiéndola-utias tees leguas,ty cogió al co…</t>
  </si>
  <si>
    <t>Chambea, Ramón</t>
  </si>
  <si>
    <t>Ramón Chambea</t>
  </si>
  <si>
    <t>Gaceta de Madrid n.º 603</t>
  </si>
  <si>
    <t>…istan á las familias á que pertene comandante de tropas ligeras D. Juan Prats con otros oficiales,cen , y á otras muchas con quien tienen relaciones de amistad y igualmente que el coronel D. Ramón Chambea con roo homde parentesco. bres se creó el batallón de Tsrad'jrc; del general. Eitas tropas „ El Rey , que desea cordialmente la unión de sus vasallos, b soñas desplegaron tanto valor y decisión per la justa causa,y que esta se consolide por el amor y respeto…</t>
  </si>
  <si>
    <t>Chambó</t>
  </si>
  <si>
    <t>…ha ¿o del corriente por el gefe de estado mayor D. Pedro García Mavairo, comandante del sitio de Mordía. Excmo. SeLa Regencia del Reino ha expedido el decretó siguiente: fior.crEl general Chambó habrá informado á V. E. del asalto Al tesorero general digo con esta fecha lo siguiente: que dimos á la piaza de Mordía en la noche del 17 del cor He dado cuenta á la Regencia del Reino de las dos consul riente : nuestras tropas se port ton con un valor sin i…</t>
  </si>
  <si>
    <t>Chambo</t>
  </si>
  <si>
    <t>…se le dec ara tenientí varon espontáneamente i su éxito. Mientras tanto coutínuaban efectivo de infantería, concediéndole grado de capitán. las vistas y la correspondencia con el general Chambo has A D. Francisco ¿loan y D. Aotonió Sotelcs, tenientes del ta ponerse perfectamente de acuerdo sobre los medios de Já eje mismo cuerpo , el grado de capitán. cución"; pero nunca pudo ser tanta la reserva, que no excitas; la Al subteniente D. Josef Rey se le…</t>
  </si>
  <si>
    <t>Chambo, Ramón</t>
  </si>
  <si>
    <t>Ramón Chambo</t>
  </si>
  <si>
    <t>…io el general Molitor al go persigue sin parar por toda la costa hasta dentro de Asturias. bernador D. Josef Spuig, teniente coronel; al comandante de n El día 12 el gefe Realista D. Ramón Chambo se apode artillería el coronel D. Antonio Buk; al comandante de la ciu ró del castillo de Tortosa; y espera en pocos días hacerse dueño dad D. Manuel Montesinos; al teniente de Rey D. Manuel de toda (a plaza. Esto ha sido de la mayor importancia pan Vidal, y…</t>
  </si>
  <si>
    <t>…anjeros , enviados y demas emplea Sevilla, se han dispersado, abandonando á sus genera'es. dos diplomáticos, conforme á ios tratados y estipulaciones de ■ El gefe Realista español D. Ramón Chambo, que ya d sde sas respectivas cortes. Tendreislo entendido , y dispondréis Jo el 13 se había apoderado del castillo de Tortosa, ha tomado conveniente á tu cumplimiento. Palacio 18 de Junio de 1823.” igualmente el día 15 los otros fuertes de la plaza, y la ha…</t>
  </si>
  <si>
    <t>Chambó, Ramón</t>
  </si>
  <si>
    <t>Ramón Chambó</t>
  </si>
  <si>
    <t>…one en noticia de S. A. R. que en con secuencia de las órdenes que se había servido dirijirle, el maris y por algunos convertidos, que no son dificiles de contar, que cal de campo D. Ramón Chambó después de dejar en Tortosa han llegado hasta á hacerse devotos, ó solamente hipócritas, al gefe realista el Royo, se apoderó de Vinaroz, pasando inme &lt; cuántos han apostatado y pasádose á los infieles! Esta es una diatamente á Peñíscola, en cuya plaza encerr…</t>
  </si>
  <si>
    <t>Chambo, Román</t>
  </si>
  <si>
    <t>Román Chambo</t>
  </si>
  <si>
    <t>…oponían armar y vestir la mayor parte deja puerta de la cabeza del puente para que entrase el resto de la difuerza reunida del regimiento á que da nombre aqueila ciudad, V'sion de D. Román Chambo. En ei mismo acto el teniente sin gravamen alguno dei erario; y S. A. S. a¡ ver la noble ge I&gt;. Manuel de ia Sierra y el sargento segundo Josef Martínez nerosidad con que el referido ayuntamiento prueba del modo abrieron ias puertas de Ja Tenaza, que fue ocup…</t>
  </si>
  <si>
    <t>Chambo, Rotnan</t>
  </si>
  <si>
    <t>Rotnan Chambo</t>
  </si>
  <si>
    <t>…religión: por este medio, Y otro escudo de distinción ha concedido á todos los que desengañados ios hombres juiciosos y sensatos, se extermina ds componían la división mandada por D. Rotnan Chambo,y au raíz el implacable odio de los irreligionarios y libertinos, em xiliaron la sormesa y ocupación de la plaza. peñados en la ruina de este castillo roquero de la santa verdad Continúan lat exposiciones dirigidas i S. A. S. la Regencia dei evangélica, el cu…</t>
  </si>
  <si>
    <t>Chandler</t>
  </si>
  <si>
    <t>…enviar algunas embarcaciones, y rambicn ir na , que ha venido de las islas de Sandwich, que el bergantín la ella misma á la costa, para hacer salir los buques que se encuen Perla, capitán Chandler,de Boston, habla fondeado en el mes tren dentro de los ¡nd.cados límites. Al mismo tiempo que la i1e Noviembre del afo próximo pasado en Woahou (una de las Rusia ejerce una especie de supremacía en la Europa, y man islas de Sandwich) después de una travesía d…</t>
  </si>
  <si>
    <t>Chapaiangarra</t>
  </si>
  <si>
    <t>…un cito. ( 3 ) instante á otro se le esperaba en Mataró. Varias personas que han llegado de Navarra nos aseguran que El bloqueo de la Seu es aun imperfecto, aunque se ha envia el coronel Chapaiangarra ocupaba á Soria y sus inmediaciones con do allá un batallón de refuerzo: la guarnición de esta plaza per 800 infanfes y 600 caballos, contra los cuales han salido tropas manece aun en posesión del campo , y hace mucho mal á nues francesas de las que bloquean…</t>
  </si>
  <si>
    <t>Chasco, Vicente</t>
  </si>
  <si>
    <t>Vicente Chasco</t>
  </si>
  <si>
    <t>…do déla mano de S. M. c=En de Francia, D. Juan Manuel Santiago , D. Francisco Javier Santa palacio á 25 de Febrero de i8z3.^=A I). Dion¡sio'Capaz.‘'’ Cruz, D. Juan Cruz Apellaniz, D. Vicente Chasco y D. Josef Andia , calificaron con la fórmula de absuelto el impreso titulado: secun El Gobierno hit recibido el parte siguiente. da conversación entre Pantorra y Tormenta, en cuy-a consecuencia se n Cuerpo de tropas expedicionario del primer distrito—Excmo. se- absolvió á Ig…</t>
  </si>
  <si>
    <t>Chateaubriand</t>
  </si>
  <si>
    <t>…e en mayor peligro ta vi- apura los Estados, y de esta situación podrían resudar las mayores des gracias. Sí , señores , las mayores desgracias , pites t.-ngo motivos par» (1) F.l Sr. Chateaubriand manifiesta aqui con bastante sinceridad hablar asi. La experiencia nos etineúa: ¡ por donde pa,aroñ los f'’é-cisu afición favorita a las novelas, y seguramente es una lastima que es tos que invadieron nuestro territorio! Por i» Suiza y por la E.paña, te bello…</t>
  </si>
  <si>
    <t>…tística» algún tiempo, y enire tanto trataremos de buscar nuevos documentos do .la academia de los amantes de la ilustración: núnri; Ii°_Di* 7 de para confirmar la proposición dei Sr. Chateaubriand. Julio en Madrid, be hallará en la librería de Datda y en,Ja de Urraca. .EN LA IMPRENTA NACIONAL.</t>
  </si>
  <si>
    <t>132</t>
  </si>
  <si>
    <t>…la comisión una reflexión que aquí le ocur tales ideas. El deseo de hacer la guerra popular en Francia ha mo re. Imposible es que el Gobierno y la nación inglesa no hagan vido al ministro Chateaubriand á descubrir á las Cámaras este un cotejo entre la perfidia de los ministros franceses, y la fran secreto de su política. queza y generosidad con que el Gobierno y las Cortes de España La guerra pues ha sido constantemente el objeto á que se en en la última ne…</t>
  </si>
  <si>
    <t>Chateauville, Ponchet de</t>
  </si>
  <si>
    <t>Ponchet de Chateauville</t>
  </si>
  <si>
    <t>…uis y de la legión de Honor de Francia, de Sta. Ana, S. Jorge y S. Waidomiro de Rusia y de Mérito militar de »&gt; La noche del 27 fue asesinado del modo mas vil, y solo Prusia, y el Sr. Ponchet de Chateauville, capitán de fragata del propio de los que se jactan de ilustrados, el teniente coronel Don cuerpo Real de la marina de Francia, caballero de S. Luis, de Lorenzo de Tejeira Coello de Limpo. Ja legión de Honor y de S. Fernando de las dos Sicilias, coman « Su de…</t>
  </si>
  <si>
    <t>Chelip, Pedro Josef</t>
  </si>
  <si>
    <t>Pedro Josef Chelip</t>
  </si>
  <si>
    <t>…A ESPAÑOLA. SEVILLA JUEVES 29 DE MAYO DE 1823. ----- ;----------- :--- ■ 11 ----------------------- —11 NOTICIAS DE ESPAÑA. Quedó aprobada el dictamen. Otro sobra la exposición de D. Pedro Josef Chelip, sobre , Sevilla 28 de Maye. se le abonen Jos años que le faltan para cumplir ios 30 de servi CORTES. cio en rentas , por otros que tenia en el servicio de las armas; opinaba se accediese á ello. Aprobado. TRElIDfVCIA DEL SEÑOR FERRER (DON JOAQUIN). El Sr. Su…</t>
  </si>
  <si>
    <t>Chesterfield</t>
  </si>
  <si>
    <t>…odo á su cerca de las puertas de 5. Fernando y S. Vicente, y se cree qua moderación, que aorrccucrda la que presidió en la administra- estaban mandadas por el Empecinado.” cien de lord Chesterfield. No se vería entonces una población «Qué tal, madrileños i «be figuró tanto D. Quijote en su de seis millones, hospitalaria, desarmada, nunca agresora, ofre destornillada cabeza, cuando veía tan numerosos ejercito* y cer et lastimoso cuadro de una sociedad su…</t>
  </si>
  <si>
    <t>Chicheri, Teodoro</t>
  </si>
  <si>
    <t>Teodoro Chicheri</t>
  </si>
  <si>
    <t>…e el Gobierno no perdía de vista las razones que se Trocadero á las ordenes del comandante de este último cuerpo alecaban sobre los perjuicios que se originarían á algunos particu D. Teodoro Chicheri; gefes todos bien conocidos por su valor y lares de no admitirse aquí los buques procedentes de pais sospe decisión: durante la noche mandó echar un puente de barcas sobre choso, y la de carecer de algunos efectos de América; pero que la cortadura, y ocultas…</t>
  </si>
  <si>
    <t>Chief</t>
  </si>
  <si>
    <t>…enta á ultrajará la sa suelo, para la felicidad del reino, para la salud de V. Al-, au grada persona del Monarca. gusta Esposa y toda la Real Familia, para el honor de los Bor- El lord Chief justice Abbot resumió lo dicho, y declaró que bones , para la unión de las potencias aliadas y paz general de mirando como un deber el manifestar su opinión particular, de la Europa. cía que es culpable el diarista de haber hecho una publicación. „ ¡Dígnese e…</t>
  </si>
  <si>
    <t>Chinchi, Ignacio</t>
  </si>
  <si>
    <t>Ignacio Chinchi</t>
  </si>
  <si>
    <t>…hácia Almiruete , camino de Valverde. Sin de dice que demuestra extractos históricos,«Se. : por Wiif.tm 'i". *tv. profesor jar descansar la tropa dispuse que el alférez de Sagunto D. Ignacio Chinchi que fue de idioma ingles en Mahon, Se hallatá de venta en la librería de lla con 24 caballos mar díase inmediatamente , por sí lograba cogerlos; y Fernandez y Arribas, EN LA IMPRENTA NACIONAL</t>
  </si>
  <si>
    <t>Chinchilla, Ignacio</t>
  </si>
  <si>
    <t>Ignacio Chinchilla</t>
  </si>
  <si>
    <t>…M. N. V. de Mahon. jo;y en seguida atravesaron á nado ias otras dos mitades de Sagunto, .mandadas por el capitán D. César Tournei, que mandaba la reserva, tribunales. y el alférez D. Ignacio Chinchilla, pasando yo al mismo tiempo con el _ Por providencia del Sr. D. Angel Fernandez de los Ríos, ministre alférez D. Andrés Gómez. Pisar la orilla -la primera mitad , y cargar togado honorario , juez de primera instancia de esta heróica villa , dada por los, fue…</t>
  </si>
  <si>
    <t>Chinchilla, Juan</t>
  </si>
  <si>
    <t>Juan Chinchilla</t>
  </si>
  <si>
    <t>….................... } Alféreces tenientes. .. Tenientes.................................................. 7200 I). Tomas Vclda.............................. D- Eduardo Sentmanat. D. Juan Chinchilla. D. Antonio González Estéfani. Alféreces tenigntes. . . Tenientes. 6840 D. Rafael Aguilar. D- Joaquín de la Torre.................... D. Josef Justiniani............................ D- Antonio Anguiano Ramos. D. Félix Valdés. D. L uis Zaforteza. D. Francisco…</t>
  </si>
  <si>
    <t>Chisbett, Josef</t>
  </si>
  <si>
    <t>Josef Chisbett</t>
  </si>
  <si>
    <t>…ones da este proyecto. A este Es tonio Herdara , D. Andrés'Martí ,'escribano, conde Parsen , D. Blas contestado el Sr. Varda que á todos ios casos ae ha ocurrido én él, Madalenes, D. Josef Chisbett, D. Cefírino Pellicer, Vicente Bañue- y con la delicad»- iu posición ha añadido que'si bb se admitiese los. P. Josef Am“is, S. Francisco, P. Lorenzo de Valencia, capu el proyecto, la 1 continuaría siendo gobernada:arbitrariamente: chino , Josef Madalenes , es…</t>
  </si>
  <si>
    <t>Choiseuí</t>
  </si>
  <si>
    <t>…sé lado una salida. hallaba ya el 4. En esta expedición ha dado nuevas pruebas de La compórtacion de las tropas de diversas armas es íúperiot tu zelo, y elogia particularmente al coronel Choiseuí, del 19. # 4 todo elogio; y el Sr. marques de Lauriston, designando á los que le ha protegido muy oportunamente. , . que mas se han Señalado, hace: presente 4 S. Ai R. que en nin En este tiempo el general Loverdo, que había salido de guna ocasión han manifest…</t>
  </si>
  <si>
    <t>Chumaccro, Vicente</t>
  </si>
  <si>
    <t>Vicente Chumaccro</t>
  </si>
  <si>
    <t>…cluyendo copia de los partes que ban va rescatados entre sus hermanos El comandante de esta citan, a íin de que se sirva elevar al conocimiento de b. M. la* tropa , el subteniente D. Vicente Chumaccro , me pidió con ins ventajas deb.das á la actividad y bizarría del acreditado coronel tancia que se le emplease en la toma del puente con sus soidado», D. Félix Carrera, y las valientes tropas que se hallaron á su* y yo también me interesaba en proporcionarles…</t>
  </si>
  <si>
    <t>Churcb</t>
  </si>
  <si>
    <t>…Ascoli.' que el general Nunciante será ministro de Guerra; el mos y fieles aliados los franceses, dirigiendo desde sus-dominios general Fardeila inspector de !a guardia Real, y el general Churcb, como sabio piloto esta nave política para que no fuese sumida y cuya conducta ha sido tan buena en tiempo de la rcbilion , imenvuelta entre sus ruinas. pector de tropa» ligeras. (Nen^Times.) » Gracias infinitas i la divina providencia qufr protegió tan Idem…</t>
  </si>
  <si>
    <t>Ci, Diego</t>
  </si>
  <si>
    <t>Diego Ci</t>
  </si>
  <si>
    <t>…rca , Murcia y Oriluicla , de cuyos puntos salieron ¡a noche No puedo menos de recomendar á V. ti. ai marisca! da del 6, combinando su movimiento para reunirse á legua y ine campo D. Diego Ci.!rke , qu: a pisar de su enfermedad se pre dia de esta piara. Asi lo realizaron , y su fuerza, total ascendía á sento en ia muralla para ser ur.picado. EstO£ tan sat.sfe-ciio dé 3500 ó 4000 infantes, 400 caballos y 3 piezas de artillería. la bizarría, serenid…</t>
  </si>
  <si>
    <t>Ci-, Juan Rodríguez</t>
  </si>
  <si>
    <t>Juan Rodríguez Ci-</t>
  </si>
  <si>
    <t>…cta de la sesión óltiClérigos y frailes: El obispo de.Lérida , el canónigo de id. ma, tomó la palabra, y pronunció un discurso sobre el estado D. Juan María Teguí, capellán dsríd..D. Juan Rodríguez Ci- de la nación, en el.que dijo entre otras cosas lo siguiente: fuentes. » Aquí es donde esperamos impávidos propuestas que nunca Criados del obispo: Julián Cabioli, Domingo Corvado, han hecho, pero que fingen hacer para seducir á ios meautos y Vicente López. al…</t>
  </si>
  <si>
    <t>Cibanon, CtpEaLs Libia</t>
  </si>
  <si>
    <t>CtpEaLs Libia Cibanon</t>
  </si>
  <si>
    <t>…erzas marítimas de la Turquía, y lo que han hecho hasta ahora En la junta secreta de 8 de Febrero, después de haber demostrado Mr. da ¡as mayores esperanzas de que io consigan. El capitán CtpEaLs Libia Cibanon bajo d:ferentes aspectos que la gucrraco ntra España es un con llegado á ii.dra con su cuerpo de suizos y alemanes, y el Senado le recibió trasentido , concluyó su discurso en estos términos: con el mayor aprecio por su ztlo. »Señores, no nos alucinemos; ¿no…</t>
  </si>
  <si>
    <t>Cid, Fernandez</t>
  </si>
  <si>
    <t>Fernandez Cid</t>
  </si>
  <si>
    <t>…ala segunda criminal de esta audiencia territorial do uno el Sr. Saivedra. de Castilla la Nueva, fecha 27 de Febrero último, se manda citar al li En la 30.a votación fue electo el Sr. Fernandez Cid por 85 votos , te cenciado D. Antonio Perezde Bustos, para que en el preciso término de niendo el Sr. Saavedra uno. 2 3 dias , contados desde el en que se anuncie en la gaceta de esta corte, Se leyeron los artículos 54 y 53 de reglamento, y con arreglo á ello…</t>
  </si>
  <si>
    <t>Cid, José Maria</t>
  </si>
  <si>
    <t>José Maria Cid</t>
  </si>
  <si>
    <t>…lo de Echever dar cuenta ;í Dios de mi larga vida.” ría, tenientes coroneles D. Ramón Nadal, D. Manuel SanjuaneEl 19 á lá una y media de la mañana recibió la extrema na, y espitan D. José Maria Cid, me dirigí de frente al centro unción , y luego después perdió el habla; únicamente se advertía del enemigo. En esta marcha fueron vivamente cañoneadas las por algunos sonidos de su voz mal articulados que estaba inte columnas, y á pesar eíe haber dado el ene…</t>
  </si>
  <si>
    <t>Cid, Josef Antonio</t>
  </si>
  <si>
    <t>Josef Antonio Cid</t>
  </si>
  <si>
    <t>…competentes órdenes para proceder desde luego con perderse. El pv.nc. pll autor de este ultimo frep ido parece ser los que quebranten la ley que prohíbe enganchar gente para servi D. Josef Antonio Cid: encima de la mesa de su casa se ha en cio extranjero.” contrado la correspondencia dd ex-et paita' Eróles, y en otros En el Evrn'mg—post de Dublin se lee: «Los horrores ad rincones de ella algunas carabinas, muchos paquetes de cartucho», quieren por la parte…</t>
  </si>
  <si>
    <t>Cid, Josef Mana</t>
  </si>
  <si>
    <t>Josef Mana Cid</t>
  </si>
  <si>
    <t>…nisterio de Hacienda , lie venido en nombrar de es uadron D. Ramón Nadal , y capitanes D- Juan Díaz de Rivcro le en propiedad secretario de Estado y del Despacha del mismo ramo. y D. Josef Mana Cid , con el valor y decisión que les caracteriza, se Lo tendréis entendido , y comunicareis á qui-.n corresponda para su arrojaron al peligro, común cando órdenes y dan do dirección á las tro cumplimiento.” El Gobierno ha recibido el faite siguiente. pas s.&gt;un s…</t>
  </si>
  <si>
    <t>Cid, Juan</t>
  </si>
  <si>
    <t>Juan Cid</t>
  </si>
  <si>
    <t>…J El Gobierno mandará formar el oportuno expe teta con un destacamento de 30 zapadores, al mando del .subte- diente, á linde que esta honorífica distinción recaiga precisa v mente D. Juan Cid para destruir los trabajos enemigos, y cons 'nominalmente .en los que se hayan hecho acreedores á ella. C ¡diz truir una obra de contra-ataque- El enemisto tenia ya guarnecida 4 de Agosto da i82g.=ePedro Juan de Zulueta, presidente. toda su paralela, y la sup…</t>
  </si>
  <si>
    <t>Cid, Julián</t>
  </si>
  <si>
    <t>Julián Cid</t>
  </si>
  <si>
    <t>…pensar de este modo la constancia blica, eximiéndole de la asistencia al Consejo; y a! mismo tiem é intrepidez que había acreditado en la gran ludia por la inde po ha resuelto que D. Julián Cid se restituya á servir su plaza pendencia y tranquilidad de la Europa. Pero como se ha mani de la sala de Alcaldes de casa y corte. festado después por sus discursos y por su conducta acérrimo partidario y defensor de los principios revolucionarios y anár En a…</t>
  </si>
  <si>
    <t>Cid, Ramón</t>
  </si>
  <si>
    <t>Ramón Cid</t>
  </si>
  <si>
    <t>…cureñage, sin que por esto bajase el agua tarios de caballería de la Coruña D. Josef Pita , D. Manuel Suarez, derioixi2 pulgadas , se La situó en la ensenada de losCocos, después D. Ramón Cid, D Félix Perez y D. Andrés Vales y Ponferrada se ha de haber sido reconocida por una junta de peritos, con el fin de evítat hecho acreedora al reconocimiento nacional. Como asimismo cl capi que se fuese á pique , perjudicando el puerto, y que se trataba de ex…</t>
  </si>
  <si>
    <t>Ciemenr</t>
  </si>
  <si>
    <t>…onio Puga, D. Pedro Ruiz de Lolzaga, D. Nicolás de Iraola cazadores y 20 caballos de los mismos cuerpos, ai cargo de D. Cirilo D. Josef Pascual ds Guillenca, D. Jostf ds Resusta y D. Ciemenr? da María Pascual , teniente del mencionado cuerpo , y el centro al dil co Zulueta, por unanidad declaró haber lugar á la formación de causa. mandante segundo del mismo D. Santiago ll.ro. En esta disposición so emprendió el ataque con la mayor bizarría, hacié…</t>
  </si>
  <si>
    <t>Cienfuegos, Josef</t>
  </si>
  <si>
    <t>Josef Cienfuegos</t>
  </si>
  <si>
    <t>…40 hombres de dicho regimiento 4 tiempo que es » El capitán general D. Pedro Mendinueta , los tenientes generales taban arrollando el pucb'o 110 hombres al mando de Portatnbú. Los D. Josef Cienfuegos, príncipe de Anglona y D. Ramón Pirez; los acometieron, y echaron del pueblo; mas se rehicieron, y precisaron á mariscaos de campo D. Bernardo Bonavia y D. Francisco Suazo se me que se introdujesen en el granero de la Decimaria, que es casa fueitr, presrniaro…</t>
  </si>
  <si>
    <t>…de Ministro*, se ha Estado político mercantil de la Nueva-Espaua, publicado en-el dignado nombrar Director general de Artillería al Ieniente ge-í Diario mercantil de Cádiz. jicral D. Josef Cienfuegos: Ingeniero general al Mariscal de Mis vlages por este vasto continente, después que calmó el Campo D. Ambrosio de la Cuadra: Inspector- general de Infan furor de los que habían pensado que la independencia consistía tería al Mariscal de Campo D. Josef Aimeric…</t>
  </si>
  <si>
    <t>Cienfuegos, Nicasio Alvarez de</t>
  </si>
  <si>
    <t>Nicasio Alvarez de Cienfuegos</t>
  </si>
  <si>
    <t>…dirección á S. Vicente mo en 8.° á 11 rs. en pasta—Elogio del Exento. Sr. marques de SatmMjí de Arana. Se particularizaron los lanceros de Rioja, y la partida de Cruz, escrito por D. Nicasio Alvarez de Cienfuegos, un tomo en 8 ¡ • Borbon, cargando los cazadores de Logroño y Soria sobre el enemigo á i* cuartos en rústica—Oración gratulatoria al Rey por haber juradíjíí’ á la carrera de media hora por la llanura, sin embargo de estar cubier la Constitución, escrita por D…</t>
  </si>
  <si>
    <t>Cilmenarcs, Manuel Antonio</t>
  </si>
  <si>
    <t>Manuel Antonio Cilmenarcs</t>
  </si>
  <si>
    <t>…ntactuz, propuesta c.: t. M. s .fcre que se conceda una amnistía 4 ios gef-.s de suplentes. tace.esos y cerne» rxcepluedc» tn í.-s decretos de 17 de Abril, 15 de Pur Huaneavelica. D. Manuel Antonio Cilmenarcs, Torihio M..;° y- 11] d: Ji.riio de 1821 , i3 de Enero y 1 1 de Noviembre de Alares , F.duardo Carrasco, propietarios—Melchor Cierres, suplente. 1 o2 . , lian aprobado L&gt; Siguiente: u-e c.sncede amnistía r. todos tos fac Postcrinrm-nte se ha sab;do que ios me…</t>
  </si>
  <si>
    <t>Cima, Josef</t>
  </si>
  <si>
    <t>Josef Cima</t>
  </si>
  <si>
    <t>…pasaron desde la Isla de León unos 100 hom tre muertos y heridos, y el teniente de lanceros del Infante Don bres que estaban trabajando en las obras de fortificación; y di Carlos D. Josef Cima, herido de alguna gravedad. Cuando lle jeron que aquellas tropas estaban disgustadas en extremo, espe gue á Salamanca , que será mañana, adonde voy para dar algún rando ocasión favorable para pasarse, y entregar sus armas al descanso á mis soldados y reparar…</t>
  </si>
  <si>
    <t>Cimba, Andrés García</t>
  </si>
  <si>
    <t>Andrés García Cimba</t>
  </si>
  <si>
    <t>…s ind-pendientes , y lo será N N para sost.-nrr io: dragones , v el g.'fe dei E. M. G. cen el s:r,untodo el Perú. Fiad en nu-stros esfuerzos', como luisones fiamos en tio ayudante general D. Andrés García Cimba pas3 a mover ¡a ir,‘an* vuestra constancia y energía. Pa’acio del supr.mo Gobierno en Lima á t. 1 .i. lióle que .nmediatamente riespu-.s riel pr.mer glorioso suc-so ¡os *3 de Abril de 1 E a ¡.erg/'man Martin—Torr.Tazle.” efos destacamentos del tegimíento del…</t>
  </si>
  <si>
    <t>Címbrelo, Francisco Javier Perez de</t>
  </si>
  <si>
    <t>Francisco Javier Perez de Címbrelo</t>
  </si>
  <si>
    <t>…rra, la libre é independiente nedor de 24 vales, 10 de 6ao pesos; nueve di 300 , y cinco d: ije, Inglaterra , ; no presenta, por ventura , en sus egércitos el egemplo de que lo es D. Francisco Javier Perez de Címbrelo, la reclamación hecha la disciplina y subordinación llevadas hasta el extremo? En todas las. de ellos en el juzgado de primera instanc.a de1 Sr. D. Ramón de Argos épocas y en todas las naciones la observancia de la subordinación y dis y escribanía cartu.aria…</t>
  </si>
  <si>
    <t>Cintel, Agustín</t>
  </si>
  <si>
    <t>Agustín Cintel</t>
  </si>
  <si>
    <t>…«Scc.por ducidas en esta erupción: incitador a la desobediencia i y reunido el jurado, compuesto de los se i.° Sulfate de hierro de color amarillo con grande cantidad de áci ñores D. Agustín Cintel, D. Agustín de Lanza, D. Prudencio Her do sulfúrico y un poco di ácido muriático. Esta muestra contenía tam nández Sla.*Cruz, D. Josef Bsnjum-.'da, D. Juan González, D. An bién una sustancia rojiza, que parece *er deutoxido de hierro unido al tonio Cortes y C…</t>
  </si>
  <si>
    <t>Cioneiiez</t>
  </si>
  <si>
    <t>…ira «le Seda v D. J«"ot So mandó pasar;! la comisión primvra de HicktuI.i la si ■ l.iM'nndo l'nrm trott voto sep irado . &gt;-p.n nido cu la* p e.';t'-t.¡' i een.ente pimpo-,:¡on dei Sr. Cioneiiez: a-las lories que f.r.d.i- no e-t.l’.va . mip:•■.lilis en aqs.# dec» lo . r"¡ «L '• '•* los eUldadauiJ- a quienes se ¡es dispensen !a&gt; pirabas par.» «ote- 1 &gt; «¿i \ J- ;*»- J .a : .1' c » Í'síAÍw • v ' • • 111 ' v fv 1 - - * *■ '</t>
  </si>
  <si>
    <t>Circular</t>
  </si>
  <si>
    <t>…. Anictto Moreno y D. Nicolás Cano de Luque, para calificar el impreso titulado ” Observaciones sobre ARTICULO DE OFICIO. Ja probable disolución del Estado &amp;c.,” denunciado por e! señor Circular de la Gobernación de ¡a Península. fiscal de imprenta como sedicioso, y declarado en jurado de acu Los Sres. diputados secretarios de las Cortes con fecha 16 del sación »&gt; haber lugar á formación de causa,” que á su consecuen mes último me dicen lo siguiente!…</t>
  </si>
  <si>
    <t>Círculo, Antonio</t>
  </si>
  <si>
    <t>Antonio Círculo</t>
  </si>
  <si>
    <t>…ui, vecino D. Antonio Cainp, solicitando una jubilación por servir 40 años de Vclez-Málaga, en vista de los buenos informes que hay en fa hace un magisterio de primeras letras: de D. Antonio Círculo vor del interesado. Aprobado. para que se le admita á examen para servir una plaza’de maestro Continuó la discusión del proyecto de decreto que quedó de primevas letras , dispensándole del depósito para obtener título. pendiente en la sesión de ayer. La misma…</t>
  </si>
  <si>
    <t>Cirilo</t>
  </si>
  <si>
    <t>…ancados por su capitán. La izquierda, ccn La compañía de D. Antonio Puga, D. Pedro Ruiz de Lolzaga, D. Nicolás de Iraola cazadores y 20 caballos de los mismos cuerpos, ai cargo de D. Cirilo D. Josef Pascual ds Guillenca, D. Jostf ds Resusta y D. Ciemenr? da María Pascual , teniente del mencionado cuerpo , y el centro al dil co Zulueta, por unanidad declaró haber lugar á la formación de causa. mandante segundo del mismo D. Santiago ll.ro. En esta disposición so e…</t>
  </si>
  <si>
    <t>Cirios</t>
  </si>
  <si>
    <t>…a , y dispersado el enemigo ocasión , merece una distinción muy particular la compañía de cazadopor el corto número de ios bravos que las componían, sin que diesen tes del Infante D. Cirios, y la columna de Extremadura con el bene mérito á esta acción , que no obstante debe merecer la atención de mérito y bizarro general O-Daly, que en medio de vivas 4 la Consti b. M. El enemigo, que no esperaba ser incomodado tan pronto en es tución han sabido…</t>
  </si>
  <si>
    <t>…ecino tratando con el digno comandante de armas D. Pedro Mártir Fcrrer, qu; fue de ia villa «!•* C,r.*vjti ras, y ú-t.mámente vecino d. ir c.udad de capitán del regimiento Infante D. Cirios, de disponer una pequeña.co Cuenca, de estado ca-a.io y nfic o z-iuat-ro , para que al término de ocho lumna que continúe la persecución de Bessieres, quien ha tomado el dias comparezca en la escribanía de Camara del crimen del cargo de Don rumbo hácia Aragón…</t>
  </si>
  <si>
    <t>…a razón no estaba dero Congreso y archivó de Cortes la milicia nacional local de gado lo dispuesto en la ley de vinculaciones acerca de los esta Sevilla. Parada la Reina , Infante D. Cirios , milicia activa y Ja blecimientos de que había hecho referencia el Sr. Prado; añadien nacional local de Scvida; el demas servicio y patrullas lo detalla do que este decreto no tenia la sanción Real porque no la nece do. Hospital y provisiones la Reina. sitab…</t>
  </si>
  <si>
    <t>…on lo cual levantó la sesión. gentes. Odm de la plaza ¡id 6 al y de Junio. El Sr. Buey dijo : Yo no mt opongo al dictamen de la co Gefe de dia el comandante accidental del Infante D. Cirios misión en cuanto á que se le admita á este interesado en la matri D. Joaquin González__Servicio á palacio la Reina y la milic.a cula como pide; pero no estoy conforme en que se le exija nin nacional local de Madrid, á las órdenes del coronel de la Reina gún d…</t>
  </si>
  <si>
    <t>…liados, teniéndose que regresar á Cádiz el Herodes habitantes por las murallas. de las Cabezas con el resto de las 50 que llevaba y unos 1500 No queda abierta mas puerta que la de D. Cirios. hombres de tropa reglamentada para hacer un desembarco. De Las tropas aliadas han cortado las aguas de ia ciudad ,y no esta no riehen confianza; y asi es que la han puesto á retaguar hay mas recurso para el consumo geneiat que ia de ios pozos, dia, y en los…</t>
  </si>
  <si>
    <t>…ue se, celebrará el último remate de El Visitador de la Dirección general del tabaco Usl, soltó un dichas fábricas, ya unidas ya separadas , en el mejor postor,á ];ij papel contra D. Cirios. Ayer se celebró el segundo juicio de ju once del dia 30 del presente mes, bajo la condición de anticipar rados con una inmensa asistencia, y López salió condenado á su renta cada medio ano, y las demas que serán presentes en di pagar tas costas, que me dicen…</t>
  </si>
  <si>
    <t>Cirios, Duque de S.</t>
  </si>
  <si>
    <t>Duque de S. Cirios</t>
  </si>
  <si>
    <t>…cuales se apoderaron los ar El Rey nuestro Señor se ha servido nombrar para la emba tilleros retirados , f aquellói, y en la plaza de la catedral hicieron jada de Paris al Excmo. Sr. Duque de S. Cirios; para el Minis salva pór todo el diá. terio de Viena al Excmo. Sr. Conde de Casa-Flores, y para el Él Sr. Intendente, aunque se hallaba postrado en cama, no ,de Rusia al Conde de la Alcudia. Para Mayordomo mayor de pudiendd cónteñér el júbilo dé su corazón, m…</t>
  </si>
  <si>
    <t>Cirlos</t>
  </si>
  <si>
    <t>…de ia - Ei Sr. conde de Bordescuüe participa i S. A. R. que el Señor Real orden d: la Ltj'on de Honor.” duque de-Dmó hace nuevamente los mayores elogios del coro Nota adjunta. El barón Cirlos d: Ceto, que ya sirvió con nel D’Arpout y de su excelerte rejimiemo: no menos.elogia.el gloria en lo* ejércitos franceses»,, se ha presentado en el cuartel ardor del deemo de infantería ligera , ,y recomienda á Monse general del .de España para estar i las in…</t>
  </si>
  <si>
    <t>Cirroz, Juan del Castillo y</t>
  </si>
  <si>
    <t>Juan del Castillo y Cirroz</t>
  </si>
  <si>
    <t>…de Borbon y lanceros de ia Rioja ANUNCIOS. ha hecho el 27 un movimiento sobií Cuevillas, Merino y otros, que aun permanecían en Puerto-Cabredo y valle de Sta, Cruz de Campezú, Al Sr. D. Juan del Castillo y Cirroz , marques de Vaíera , se han y según entiendo, es de esperar tengan algún encuentro: luego que lle extraviado tos siguientes privilegios de jures qn; le pertenecen: uno si gue á mi notic:a lo trasladaré á la de V. E. para conocimiento de S. M.” tuado en las r…</t>
  </si>
  <si>
    <t>Cis-</t>
  </si>
  <si>
    <t>…............ *¡92 8j9 5295- Afles y en S. Jenis se están preparando hospitales. Desde 1507 hasta 1517 » El mariscal ha mandado que vuelvan á Gerona todas las ofi siendo inquisidor general Cis- cinas de administración que hay en Mataró. Parece que en esta ñeros........................................ 35*54....... 2231 48059 última ciudad ha establecido su cuartel general. Esta orden , que Desde 1517 hasta 1521 fue malentendida, hizo creer que el mis…</t>
  </si>
  <si>
    <t>Ciscar, Gabriel</t>
  </si>
  <si>
    <t>Gabriel Ciscar</t>
  </si>
  <si>
    <t>…esta fiel Sr. di bernador de la plaza entregó las llaves de cuta ai Reí/ putado ;i notes D. Cayetano Valdes , presidente ; del y el Sr. D. Redro de La Puente, alea Lie constitucio Sr. D. Gabriel Ciscar, consejero tic listado; y del nal de Cádiz, dirigió á S. Ai la alocución siguiente: Sr. U. Gaspar Vigodet, también consejero de Esta ..Señor : El Ayuntamiento constitucional de, Cádiz tie do; la cual por el tiempo de la traslación de las ne la honra de tribut…</t>
  </si>
  <si>
    <t>…misma designados. Decreto de las Cortes declarando beneméritos de la patria en __A pesar del destrozo que sufrieron en Sevilla todos los efec grado eminente á D. Cayetano Valdés, D. Gabriel Ciscar y tos de la dirección general de Loterías cuando en ig de Junio íi&gt;. Gaspar de Vigodet, individuos de la Regencia provisional. último alzaron la cabeza en aquella ciudad el fanatismo, la estu (Guret , del 1 j. j pidez y la peí lidia, el Gobierno de S. M. ha c…</t>
  </si>
  <si>
    <t>Ciscar, Gabriel de</t>
  </si>
  <si>
    <t>Gabriel de Ciscar</t>
  </si>
  <si>
    <t>…endo en dase S. M. á un punto de seguridad como el que presentan los fuer su concepto nombrarse á los Sres. D. Cayetano YCildés, diputado tes muros de Cádiz. á Cortes, presidente: D. Gabriel de Ciscar, consejero de Estado, S. M. contesto que su conciencia y el interes de sus súbditos y D. Gaspar Vigodet, también consejero de Estado. no le permitían salir de aquí , y que como individuo particular Quedó aprobado este dictamen. no tendría inconveniente en tra…</t>
  </si>
  <si>
    <t>…quellos cuerpos ( como ya muchas veces ¡o tenemos Hallándose presentes los dos Sres. Regentes D. Cayetano dicho, y no nos cansaremos de repetirlo) son cébidos los mayóte» Valdés y D. Gabriel de Ciscar para prestar el juramento , se le elogios, y todo ciudadano verdaderamente honrado se unirá i yeron los artículos de la Constitución que tratan de este acto, y nosotros para tributárselos. Tan gran qmetud en circunstancias se nombró para acompañar á palacio a…</t>
  </si>
  <si>
    <t>…ilia, el Gobierno y las cortes. en su concepto nombrarse á los Sres. D. Cayetano Valdés, di Concluido el discurso del Sr. Galiano, se leyó una proposi putado á cortes, presidente; D. Gabriel de Ciscar, consejero de ción del mismo Sr. diputado , reducida á que se nombrase una Estado, y D. Gaspar de Vigodet, también consejero de Es diputación que pasase á hablar á S. M. sobre la necesidad de la tado. salida de esta capital. Quedó aprobada sin discusión. Qued…</t>
  </si>
  <si>
    <t>…tilo. los Síes.- Arguelles y Oliver. Se declaró el punto su Hallándose presentes los dos Sres. Regentes D. Ca ficientemente discutido , bobo logar á votar sobre la yetano Valdes y D. Gabriel de Ciscar para prestar proposición , y quedó aprobada. el juramento, se leyeron los artículos de la Consti Igualmente se aprobó la siguiente proposición deL tución que tratan de este acto , v se nominó para mismo Sr. Galiana : ,,Pido á las Corles que ínterin acompañar…</t>
  </si>
  <si>
    <t>Cisne-</t>
  </si>
  <si>
    <t>…piradas por los aconteci se reemplazarán por los tomados á los constitucionales. mientos, y que recomienda á sus compatriotas un corazón aman » He mandado á Ocaña para entregar al general Cisne- te de su religión, de su patria y de su Monarca. Se vende á 8 tos , comandante de las provincias de Toledo y la Mancha, cuartos en la librería de Quitos. todos los prisioneros, conducidos por el teniente coroneles- Han salido los núms. i.°, 2.0 y 3.0 del foll…</t>
  </si>
  <si>
    <t>Cisneros, Juan Sánchez</t>
  </si>
  <si>
    <t>Juan Sánchez Cisneros</t>
  </si>
  <si>
    <t>…eficio del cielo le hace de la provincia con motivo de la presentación del Excmo. Se- creer que no nos ha desamparado, y esperar que habiendo recaí f,or comandante general de ella D. Juan Sánchez Cisneros, que do este importante encargo por señalamiento de los dos prime ha tomado las mas enérgicas providencias para que se manten ros cuerpos de España é Indias en los sugetos de elevado carác ga dicha opinión y concepto público, y se promete esta villa ter y pre…</t>
  </si>
  <si>
    <t>Cisneros, Manuel</t>
  </si>
  <si>
    <t>Manuel Cisneros</t>
  </si>
  <si>
    <t>…ento, y ademas unas notas ¿enerales en forma de dic la Septiem, D. Manuel haenz López y Cabezón, O. Antonio cionario para inteligencia de varios pasages de la Escritura. St Ardil, D. Manuel Cisneros y el ciudadano Luis Cletnon. A reciben las suscripciones en la I brería de la viuda de Quiroga; todos los expresados, ó á quienes legítimamente representen sus en Barcelona en la de Sierra; en Valencia en la de Mallen; derechos y acciones, hay que instruirlos…</t>
  </si>
  <si>
    <t>Cisneros, Manuel de</t>
  </si>
  <si>
    <t>Manuel de Cisneros</t>
  </si>
  <si>
    <t>…nso y Gutiérrez , segundo piloto parti Gaona y Loeches, se llama á los parientes é interesados á los cular, y segundo capitán del bergantín mercante español nom bienes del difunto D. Manuel de Cisneros, para que dentro del brado el Triunfante, navegando del puerto de Ja Havana al de término de 15 dias .contados desde este de la fecha, comparez Cádiz, y hallándose en las proximidades de las islas de los can por sí ó por medio de procurador a deducir su derec…</t>
  </si>
  <si>
    <t>Cisneros, María del Carmen</t>
  </si>
  <si>
    <t>María del Carmen Cisneros</t>
  </si>
  <si>
    <t>…omo al SO. de la isla de Flores , que tuvo por juicio que haya lugar , y se sustanciará el expediente promovi la que señalan nuestras cartas de navegación por aquel parage; do por Doña María del Carmen Cisneros sobre entrega de cier y habiéndola marcado al NE. de la aguja, distancia de dos á. to crédito , que en favor del mismo resulta contra el c oncurso tres millas, deduce la estima hasti aquella hora desde la obser de D. Francisco Ontiveros. vada al medio dia , y…</t>
  </si>
  <si>
    <t>Cistes</t>
  </si>
  <si>
    <t>…ogroño , reunidos en jurado de calificación los gan guardar , cumplir y egecutar el presente decreto en todas sus par-, Sres. D. Cándido Crespo, D. Matías ürib-, D, Josef Pecina , D. Cistes. Tendreíslo entendido para.su cumplimiento , y dispondréis se im- tor de la Calle, D. Vicente Luco , D. Josef Jorge Saen , I). Joaquín prnia , publique y circule. = Está señalado déla mano de S. M. c=En de Francia, D. Juan Manuel Santiago , D. Francisco Javie…</t>
  </si>
  <si>
    <t>Ciu, Moreno</t>
  </si>
  <si>
    <t>Moreno Ciu</t>
  </si>
  <si>
    <t>…u cho, tratándose de li los d.rechos de ia represetiuoon nacería estaban ya mati-festacion no »: opone á U ¡r.vio'ab ! i da ! de ivarlrs» rp nioc-s, atacados en la ■•currencia del Sr. Moreno Ciu rra, y de v.ntóar ia du sino que es mu y conforme d derecho de po'icia ínt*r:or que todos los da qtre se presentaba sobre el modo de tomar en cotis'dtracíon este curraos representativos tgercen sobre sus inJ-viduos ¡ y leivs 4 i r un asunto. Yo dije que no po…</t>
  </si>
  <si>
    <t>Civit, Salvador</t>
  </si>
  <si>
    <t>Salvador Civit</t>
  </si>
  <si>
    <t>…r tugar á la forma Cortes de i.° de Febrero último. Art. 3." A las madres ancianas, muge- ción de causa res , hijos menores 6 hijas solteras de los milicianos locales que por su __D. Salvador Civit , capitán del regimiento infantería de la Corona, separación quedasen en la indigencia, se les auxiliará por los respectivos denunció en 19 de Octubre último un artículo comunicado inserto en ayuntamientos durante el tiempo que estuviesen sirviendo con una pe…</t>
  </si>
  <si>
    <t>Ciy, Je Gerona D</t>
  </si>
  <si>
    <t>Je Gerona D Ciy</t>
  </si>
  <si>
    <t>…l rtnter'r,'. 21 de 182311 las seis de la tarde.=Excmo. Sr.=josef Mante Núm. 17.cz El 13 del presente d'rigt sobre Locumba al Se nte.—Excmo. Sr. virey del Perú. ñor Coronel primer comandante Je Gerona D Ciy taño Ame— 11er con tres compañías de su batallón, y c n;o m tudas de caba El S'. brigadier VaLiéi al Excmo- Sr. virey. lla ú , y con ínstrucc oríes de internarse ba»u la si.i ra , asi que Moque?ua 22 Je Enero .ij 18sj. Mi amado general: Ya los enemigos en fue…</t>
  </si>
  <si>
    <t>Cjvivires, Juan Fernandez</t>
  </si>
  <si>
    <t>Juan Fernandez Cjvivires</t>
  </si>
  <si>
    <t>…dos mingo Villamil, D. Santiago Delgado, D. Szbzst-an Andrés, Don necesarios.si no estuviese por contrata. F.n escaso de que los ramos de Zoií , G m z Casero, D. Gonza'o Cárdenas, D. Juan Fernandez Cjvivires, utensilios y otros se administren por la Hacienda pública , que jariego, D. Juan Manuel de Aiéjulay D. Valentín Recio, declaman será solo cuando tío se hayan presentado l.Citado/es - contrata con p.o- por uniíi,mid.id haber lu¿ar á la Jorinadjn Je cauta. pue…</t>
  </si>
  <si>
    <t>Clara</t>
  </si>
  <si>
    <t>…efe con su división de Vi loria ; y se suplica á quien supiere su paradero tenga la bondd I y artillería para batir á írati, y me ordenó cubrirse su flanco y reta de comunicarlo á Doña Clara de t trunuca , que vive en Madrid ea h guardia, quedándome establecido en este punto de Ronc?»valles. Hoy caile de Calatrava , núm. ro , cuarto bajo, quien lo agradecerá. he sabido que el general $5 halla sobre Irati , y todo Jo participo á Pensamientos de J.…</t>
  </si>
  <si>
    <t>Clariapocas, Pedro Sánchez</t>
  </si>
  <si>
    <t>Pedro Sánchez Clariapocas</t>
  </si>
  <si>
    <t>212</t>
  </si>
  <si>
    <t>…e defendían el pueblo maniobrar, fue escarmentada por un escuadrón provisional de la de Murviedro al apoyo de algunas ligeras fortificaciones: fueron nuestra al mando del teniente coronel D. Pedro Sánchez Clariapocas las desgracias que ocasionó esta operación sin embargo de na. Este oficial que á un valor acreditado retine el ser un vetera que estreché tamo á los sitiados que las alas de cazadores llegaron no experimentado, sacó) la mayor ventaja del terreno: 700 caba á c…</t>
  </si>
  <si>
    <t>Clariatia, Pedro</t>
  </si>
  <si>
    <t>Pedro Clariatia</t>
  </si>
  <si>
    <t>…s de guerra que tullen adoptados los cuerpos del cho arrabal sostenido por ó: escuadrón de linea i las órdenes de ejército invasor , proh.be expresa y terminante-mente ei Sr. cosu comandante D. Pedro Clariatia , haciendo avanzar al misino mundinle general de este d.str.to , que todos los cuerpos que se tiempo todas las guerrillas de los llancos , sostenidas las de la iz hallan en el hagan uso bajo pretexte» alguno de ellos: debiendo quierda por el escuadrón de lanc…</t>
  </si>
  <si>
    <t>Clarín, Vicente</t>
  </si>
  <si>
    <t>Vicente Clarín</t>
  </si>
  <si>
    <t>…que atacase sobre la marcha; este valiente de campo teniente coronel p, Ramón Nadal, y el ayudante dé a,i .'&lt;&gt; verificó, y los bizarros de,Gerona no se contentaron con re E. M. mi secretario D. Vicente Clarín , que llegaron conmigo a X chazar a! enemigo; lo arrollan á la bayoneta , c ubi .rudo de cadá comunicaron igualmente que aquellos las necesarias órdenes á las veres el terreno, del'que' huye ríes pavorido. Cono, leudo que de columnas y guerrillas en lo vivo d…</t>
  </si>
  <si>
    <t>Clau</t>
  </si>
  <si>
    <t>…parte que contenia su oficio de 27 del mismo acerca de la bierno. Los infractores de esta resolución no podrán usar de las solicitud del juez de primera instancia de San Sebastian D. Clau que tengan concedidas por el Gobierno español, y quedan inhá dio Antón Luzuriaga, se han servido resolver en cuanto á la se biles para obtener otras. Art. 2.0 Todos los españoles que des gunda, que el Gobierno pueda también ocupar interinamente en pués de dic…</t>
  </si>
  <si>
    <t>…la acudan á manifestarla ante el Sr. D. Dionisio Catalatr, á scr , no sólamente árido ^.ingrato conel -cultivo- mismo, sino Teniente Corregidor de esta villa, por la escribanía de D. Clau también 'cóntagifisp por. la fetidez de los inmundos,, arroyos que dio Sanz, á fin de que conste en la causa que sobré el asunto se recoge ien-Aii seno. NO&gt;se&gt;abfi.eb..gener^ouaL.debÍa saberse laRo- ha formado, y poderla dar el curso correspondiente. ■ ligion…</t>
  </si>
  <si>
    <t>Claudio</t>
  </si>
  <si>
    <t>…o, que en todo el dia y noche ba sido ballería de Menasalbas ; su alcaide primero cons'.l'.ucíona!; el coronel grande hasia as euairo y media de ti-y , que sm duda lo suspendieron D. Claudio de ta Escalera, y el presbítero secularizado D. íniveno para emprender ;a marcha que verificaren h e.a Atirnza, según adqui- Aspírala, han sido vilmente asesinados en el día de ayer por et infa ueion m.i&gt; d.scub.cilas ue c-búiciia , que nica sa.ir ai momento…</t>
  </si>
  <si>
    <t>…ic Resolución de las Córtes acerca de la segunda parte de la so to , que por tercero y último término se les senala, comparez licitud del juez de primera instancia de S. Sebastian D. Claudio can en este tribunal, y por la escribanía de dicho infrascrito es Antón Luzuriaga. ( Gaceta del 1 s. ) ( Se continuará.) cribano de Cámara, á.dar.sus descargos de lo que resulte contra ellos , pues si lo hicieren se les oirá y administrará justicia en lo En e…</t>
  </si>
  <si>
    <t>Clemente</t>
  </si>
  <si>
    <t>…nel D. Josef Viliacampa me de Pontevedra D. Manuel Ventura Scquenos; y los 15 hombres acompaña en esta ¡ornada con el capitán D. Juan Maceda , y los del resguardo á las órdenes de D. Clemente basar rat que car .ja señores oficiales de los tres cuerpos de Aragón , Pontevedra y sen mas sobre la izquierda á reconocer el flanco de este lado de ¡a Burgos , de que se corírpone esta columna , disputan á porfía aco columna, y por la derecha los voluntario…</t>
  </si>
  <si>
    <t>Climent, Josef Noguera y</t>
  </si>
  <si>
    <t>Josef Noguera y Climent</t>
  </si>
  <si>
    <t>…el ministro do la Monarquía española , Rey de las España» r cuanto en virtud de Negocio» Extrangcros de S. M. Cristianísima, por el que' se obligó el plenos poderes que confeti á D. Josef Noguera y Climent, caballero Gobierno francés á pagar un millón de francos mi, de renta , ó a o mi de la Real y distinguida Orden española ds.Cirios nt , mi secretario llones de francos decapita! en inscripciones en el gran libro de !a deuda con egercicio dp decietoí, oficial…</t>
  </si>
  <si>
    <t>Climent, Vicente</t>
  </si>
  <si>
    <t>Vicente Climent</t>
  </si>
  <si>
    <t>…ola para que marche de acuer ton lo» siguiente»: el canónigc Soler, D. Miguel Francés, el vicario do con Ja España europea. De otro modo los Señorea qué han impug de Sta. Catalina D. Vicente Climent, D. Miguel Jordá y D. Vemu- nado el proyecto, sin quererlo anticipan la cuestión-de ai la Amé ra Besol, congregantes» Josef Torres, hermano de id., Pascual Perez, rica ba de quedar ó no emancipada de la Fspaña « cuestión qué’bte es Juan lázaro, D. Juan Franci…</t>
  </si>
  <si>
    <t>Clouet</t>
  </si>
  <si>
    <t>…ci-a Baza , donde ha debido llegar á esti bres escogidos, 18 piezas de artillería con gran cantidad de mu fecha. niciones, y por gobernador un oficial muy adicto á Ballesteros. El coronel Clouet, del 19.0 ligero r que manda provisional El general Molitor, que habia sacado ya de su ejército numerosos mente la brigada del segundo cuerpo de reserva, y ha reempla-</t>
  </si>
  <si>
    <t>…que el enemiga haya te estableciese en la torre de la Guia con el fin de que desalojase nido muertos y heridos* dichos cabañales, como asi se verificó. Cortado que fue el puen El coronel Clouet cita con el mayor elogio por su compor te, y habiéndose presentado la mayor parte de paisanos de esta tamiento en esta acción , en el 25.0 de línea al comandante di ciudad y arrabales todos armados al toque de la campana de la batallón Feitzamel, al capitán G…</t>
  </si>
  <si>
    <t>CMazina, Antonio de</t>
  </si>
  <si>
    <t>Antonio de CMazina</t>
  </si>
  <si>
    <t>…e pueden darse á la nación es» dencio Hetnar.'d.z Sta. Cruz , D. Félix Jos-f Reinoso, IX josef Juan paño'ri , no por el número con qu: combatieron, sino por las fatales de Puyad-, D. Antonio de CMazina, D. Rafael María Gataicochea y consecti-ncia, que s&gt;r pud; ran haber experimentado en este pais, si por IX Josef de Resust3, por unanimidad declaró no haber lugar á la for inas tiempo se hubiese d jado di destruir la mencionada facción. Los mación de causa. i…</t>
  </si>
  <si>
    <t>Cn</t>
  </si>
  <si>
    <t>…incluyan en ia de propios y arbitrios. Se mandó pasase á la co autoridad para hacer ejecutar, las leyes, dígase de una vez que ¡a misión de Ultramar. Península es un puerto franco general Cn donde no se exige ni A la comisión dé Guerra se mandó pasar una exposición de patentes, ni licencias, ni pasaportes;' pero dígase con la antici varios ciudadanos de Córdoba, en que pedían se autorice á los pación necesaria, y no se engañe á nadie. Los Sres. d…</t>
  </si>
  <si>
    <t>Cnartero, Miguel</t>
  </si>
  <si>
    <t>Miguel Cnartero</t>
  </si>
  <si>
    <t>…milicia nacionai local; todo recoger 1200 raciones que habían pedid» en Aya- lo que pensaba remitir á Algeciras.— Recomienda al ■moult; , y la voz común en toda aquella provincia teniente D. Miguel Cnartero y al cabo de escopete atribuye esta retirada á los movimientos del general ros Francisco Orefta. -Ballesteros. ARTÍCELO DE OFICIO. JJVTE-VDE.VCI A.Los Sres. secretarios de ¡as Curtes lian remitido al de Estado v del despacho de Gracia y Justicia ei Siendo var…</t>
  </si>
  <si>
    <t>Co</t>
  </si>
  <si>
    <t>…legislatura por un mes mas, á fin de que Dios guarde á V. S. muchos anos. Santiago junio pueda recaer resolución en los machos v gravísimos i.° de iS25.=Juan Iiernardino de Leyra.=Sr. Co negocios que se bailan pendientes, lian aprobado di mandante de las armas de esta ciudad.=Está confor cha propuesta, y en sn consecuencia decretaron en me.—Ovando. 25 del corriente que se proroguen las sesiones de las Cortes por el otro mes que permite el art…</t>
  </si>
  <si>
    <t>…rigió ¿este Príncipe, con tal ocasión rán igualmente presentarse al Alcalde de barrio respectivo coa el discurso siguiente: - persona que lo?- fie ó abone, y previo el V.s £.° del Señor Co &gt; • Sermo. Sr.: Encargado ppr S- M, el Emperador mi augusto misario de.cuartel, se despacharán como hasta aquí en la Secre -Amo de la honrosa comisión de felicitar en su nombre á taría de esta ; Superintendencia- general. V. A. R. , no podría desempeñarla mej…</t>
  </si>
  <si>
    <t>Cocada, Francisco</t>
  </si>
  <si>
    <t>Francisco Cocada</t>
  </si>
  <si>
    <t>…ano. D. Juan Antonio López, D. Vicente Segurado, D. Zoilo Gómez En 17.0 el Sr. González Aguirre por 79 votos, habiendo tenido uno Casero , D. Juan Paz , D. Antonio Diaz del Moral, D. Francisco Cocada uno de los Sres. Valdés, Bustos y Cano. Jombo, D. Juan Manuel de Aréjula, D. Casimiro Martin, D. Joaquín En la r8d votación quedó electo el Sr. Romero por 85 votos, ha Manrique y Manrique. biendo tenido uno el Sr. Isturiz. Habida la conferencia, se declaró po…</t>
  </si>
  <si>
    <t>Cochraae</t>
  </si>
  <si>
    <t>…que por espacio de mas de tres años — Rio-Janeiro 1,° de Julio. Sabemos de Bahía que el general nos tenia sumidos en la esclavitud mas vergonzosa. F.l cielo se Madeira propuso al lord Cochraae evacuaría la ciudad, con tal que dignó oir sus clamores, y en la feliz instalación de V. A. S. y se le permitiese volver á Europa con todos los buques de guer en los venturosos anuncios de la libertad de Sb. M.M. y A A. ra ; peto ha sido desechada esta parte…</t>
  </si>
  <si>
    <t>Cochrane</t>
  </si>
  <si>
    <t>…raban; y el resultado fue con el objeto de pagar la escuadra, y aun se decía que de li matarles 4 y herirles 2 ; en términos que los 37 restantes dejaron cenciarla á solicitud del lord Cochrane—En cartas de Valparaí las armas, y principiaron á clamar que se acogían al indulto, co so de 11 y 13 de Noviembre se lee: « Hálknse listos los buques mo se verifico asi en efecto. y' 300 caballos, esperando el primer aviso para conducirlos á los CalatavuJ i.°…</t>
  </si>
  <si>
    <t>…guo cuartel de INGLATERRA. los jenízaros , que desde un tiempo inmemorial ofrecía un asilo Londres jo de Junio. inviolable á todos los malhechores, y desde alli habia entablado El lord Cochrane ha publicado en Rio Janeiro un aviso con relaciones con algunos gobernadores de los castillos del Bosforo. vidando á todos los marineros que quieran enriquecerse, á acudir Habiendo llegado esto á noticia del Sultán el viernes próxi inmediatamente á bordo de s…</t>
  </si>
  <si>
    <t>…ue no habla ejemplo de haberse hecho mismo conducto sabemos que habiéndose reforzado pocos dias una mudanza tan radical con tanta moderación y decoro ; y que antes las fuerzas del lord Cochrane con unos 300 marineros ingle no solamente se habia respetado la vida del Rey , sino que con ses , la escuadra portuguesa se rindió á su señoría , siéndole impo servaba su corona; lo cual , atendidas todas las circuntancias, era sible salir forzando la bahía,…</t>
  </si>
  <si>
    <t>Cochrane.Estese</t>
  </si>
  <si>
    <t>…er la felicidad es con nadie, y se embarcó el t de Julio con la intención de atra piritual y temporal de toda esta católica y generosa Nación, vesar, como pudiera, la escuadra del almirante Cochrane.Estese con tas que se ha concillado el amor y respeto de todos los es preparó para perseguir ia escuadra portuguesa, y también á toda pañoles , sí se exceptúa un corto número de desnaturalizados nave que llevase bandera de esta nación: ya tenia 11 apresadas hijos de…</t>
  </si>
  <si>
    <t>Cocke, Wiiuain H.</t>
  </si>
  <si>
    <t>Wiiuain H. Cocke</t>
  </si>
  <si>
    <t>…en París «.orno en cia recibida en el día de hoy relativamente á la muerte del exce Pctersburgú , en Eiladellia como en l’cquin: todo lo Vst.u.r.a, to lente oficial y ciudadano el teniente Wiiuain H. Cocke por do lo ve, todo lo piensa, lo tice v ¡o ove como quiere. I .ure una bala disparada desde el castillo de S. Juan, nos ha llenado á personas , crea tiempo, y lugares a su arbiU.o , Mitre aconte..todos de pesar v del :n.rs profundo dolor. Si hubiese muelle en…</t>
  </si>
  <si>
    <t>Codée</t>
  </si>
  <si>
    <t>…las encuentra siempre a ia mano y siempre a mecida Muerte de Mr. Cocke. de su deseo «n ios desvanes ele su celebro. El se pre.unta y ei se Con motivo de Ja desgraciada muerte del teniente Codée , el responde, tan pronto en Sevilla como en Urgci, en Pampicr.a comodoro Poner dio la orden general siguiente : = La triste noti como en Ceuta , en Vatcr.c-a como en Cádiz , en París «.orno en cia recibida en el día de hoy relativamente á la muerte del exce…</t>
  </si>
  <si>
    <t>Coeet, Ferm.n</t>
  </si>
  <si>
    <t>Ferm.n Coeet</t>
  </si>
  <si>
    <t>…a caba dad, me puse en marcha para el Cereza!, ado-de hablan lie. ado 8o llería de Calatrava , una compañía de zapadores y algunos individuos hombres de Aragón á las órdenes de su coronel D. Ferm.n Coeet, cora de j M. N. L. de ambas armas de ia provecía de Guadalajar3. El ha el objeto de dar un golpe gen.ral á los insurr-cc onados, qur en aque llan.- estas tropas ya ancanas en aquel punto, impid.ó que los indivi lla fecha ascendían á unos 900 ó mas , unto de…</t>
  </si>
  <si>
    <t>Coelio, Manuel</t>
  </si>
  <si>
    <t>Manuel Coelio</t>
  </si>
  <si>
    <t>…an puntos.=í;r. gefe político de la Coruña. Miet CastaSon. Canónigos: D. Juan Camino, D. Manuel Bin- Dios guarde á V. S. muchos años. León 24 de Abril de ioi. Vicario de $. Pelayo D. Manuel Coelio. Ex-monge Don 1823.—Antonio Ayarza. Tomas Mariño. Presbíteros : D- Justo Quirós, D. B nito Gobierno político de la provincia de Oviedo. Alonso Ablanedo, D. Antonio García Arango. Abogado Don Sección de gobierno político—Después de estar esta ciudad Josef Ramó…</t>
  </si>
  <si>
    <t>Coello, Manuel de Velasco y</t>
  </si>
  <si>
    <t>Manuel de Velasco y Coello</t>
  </si>
  <si>
    <t>…e servia á los fac de esta provincia, para que no-molesten las operaciones del egército del ciosos de fuerte. ó.° distrito; de lo que resultare daré £ V. E. puntual aviso. Idem £. Don Manuel de Velasco y Coello , caballero de la nacional y militar El ayuntamiento de esta ciudad acaba de publicar la proclama si orden de S. Fernando de tercera dase, de la Real y militar orden guiente : de S. Hermenegildo &amp;c. » Barceloneses: La facción liberticida, deseosa de excitar á…</t>
  </si>
  <si>
    <t>Coi</t>
  </si>
  <si>
    <t>103</t>
  </si>
  <si>
    <t>…El baro n de Eróles permanece en Belver con su división. No depósito de Avifion , y los oficiales al de Bourges. se pueden concebir lo» motivos que han retardado hasta ahora __El brigadier Coi!, mas conocido con el nombre de Mosett el sitio de la Seo , que no tiene mas que una cotia guarnición. ^énlon , ha sido herido con un casco de granada en el sitio de El Tejimiento de Laredo se ha disminuido mucho, y los deser Hostaírch, y se le ha trasportado…</t>
  </si>
  <si>
    <t>Col, Antonio</t>
  </si>
  <si>
    <t>Antonio Col</t>
  </si>
  <si>
    <t>…les con la esca que se crean con derecho á los bienes quedados por fallecimien rapela nacional en la mano, declarando altamente que habian to de Doña María Teresa García, muger de D. Antonio Col sido engañados, y que dentro de poco derribarían el edificio que menar , de esta vecindad, para que al término de 15 dias, con han ayudado á levantar, y es el gobierno de Oporto. Que el tados desde esta fecha, acudan á deducir el que sea ante dicho general Pa…</t>
  </si>
  <si>
    <t>Colcmbo, Francisco</t>
  </si>
  <si>
    <t>Francisco Colcmbo</t>
  </si>
  <si>
    <t>…oyen estas enérgicas expresiones, viembre último, y cuya correspondencia quemó el Rojo de Valdcrai, i las que acompaña la voz de Mr. Lafayete, todos los soldados quedan remitió el coronel D. Francisco Colcmbo una certificación de crédito inmóviles y como embargados por el respeto : la mayor conmoción 1* de la deuda sin ínteres á favor de D. Josef de Cánido y Roldan, ex manifiesta en sus semblantes. pedida er, 2 de Octubre de 181a, señalada con el número 39,918, y…</t>
  </si>
  <si>
    <t>Coleta, Manuel</t>
  </si>
  <si>
    <t>Manuel Coleta</t>
  </si>
  <si>
    <t>…nes de amor y acendrada lealtad de su Consejo, nes del contrato, y dar proposiciones á él, podrá dirigirse al se en los cánticos de alabanza de su caro y virtuoso pueblo, y en ñor D. Manuel Coleta, Presidente de la junta de dirección Y la lisonjera esperanza de un nuevo orden de restauración, para gobierno de estas fábricas, que habita en Zaragoza, calle del cubrirlas profundas heridas que ha dejado el monstruo, ahora Coso, núm. 5, hasta el 30 de Enero…</t>
  </si>
  <si>
    <t>Coll, Felipe</t>
  </si>
  <si>
    <t>Felipe Coll</t>
  </si>
  <si>
    <t>…¿ intereses políticos. No serla tampoco mas pro D. Antonio Bibcto. __D. Gregorio Machín.—D- Ga bable que un ejercito regular, arrastrando á su retaguardia enjam briel Fernandez.__D. Felipe Coll____D. Benito Proti----- Don bres de cosacos y calmucos indisciplinados , pueda abrirse paso á Joscf de Camps, v.va fuerza por medio de tantas naciones enemigas, sin perder Intendencia lie i r provincia de Sevilla. á cada pulgada de terreno que seria preciso c…</t>
  </si>
  <si>
    <t>Coll, Isidro</t>
  </si>
  <si>
    <t>Isidro Coll</t>
  </si>
  <si>
    <t>…l parecer los habian enganchado madrugada una descubierta general, como la hicieron á las órdenes del de entre los mendigos de que hay gran número en España ; que entre benemérito D. Isidro Coll, y regresaron sin novedad. estos miserables había muchos muchachos de doce á quince años; que — Los partes que recibió el Sr. gobernador de los alcaldes de S. Feliu la mayor parte de dios iban descalzos de pie y pierna y con calzones y S. Gervasio decían en s…</t>
  </si>
  <si>
    <t>Collado, N.</t>
  </si>
  <si>
    <t>N. Collado</t>
  </si>
  <si>
    <t>…podía accc- yes. Aprobado. derse á ella. Aprobado. La misma com sion, en vista de la solicitud de D- Josef Va La comisión de Legislación , informando sobre la adición del liente y D. N. Collado, en que p den se exija la responsabilidad Sr. Aillon al dictamen de la misma sobre que el Crédito publico al gefe político de Santiago de Cuba , op naba que no había lugar debe pagar los derechos causados en la causa que seguia sobre á exigírsela con respecto…</t>
  </si>
  <si>
    <t>Collar, Silvestre</t>
  </si>
  <si>
    <t>Silvestre Collar</t>
  </si>
  <si>
    <t>…ado de rezaga; y como viesen una tribunal y por la escribanía de Cámara de D. Josef María Monedero y partida de voluntarios de Moradilio al mando de Ayuso, escondieron Ayala sigue D. Silvestre Collar, como marido de Doña Teresa Fer íes fusiles y retrocedieron: que son ias únicas noticias que hasta ahora nandez Llores, con D. Antonio Gutiérrez Pando y D. Joscf Fernan tenemos." Las noticias que contiene eí parte inserto se confirman con dez Flores sobre par…</t>
  </si>
  <si>
    <t>Colleli, Lorenzo</t>
  </si>
  <si>
    <t>Lorenzo Colleli</t>
  </si>
  <si>
    <t>…al declaración, con arreglo al articulo 43 de la ley de 22 ía milicia nacional local, salvaguardia preciosa del sistema qus feliz de Octubre dí 18¿o , hibiendo disentido los Sres. D. Lorenzo Colleli, mente rige. S. M. observa con singular complacencia ti patru tico es D. Pedro Comes, D.Lorenzo Novel , D. Joaquín Cebriá y D. Antonio mero de- ¡os individuos que la componen , no solamente en el exacto Ferrer. Eucelona 10 de Diciembre, de íSxi.czGincs Quinin…</t>
  </si>
  <si>
    <t>Colomarde, Francisco Tadeo de</t>
  </si>
  <si>
    <t>Francisco Tadeo de Colomarde</t>
  </si>
  <si>
    <t>…te, y sí en el egército de opera y acordando las providencias que consideró oportunas : de todo ciones de Cataluña el ya nombrado Barón de Eróles, habían io cual yo el ya nombrado D. Francisco Tadeo de Colomarde, convenido y resuelto, secundando las ideas y benéficas inten secretario del Rey nuestro Señor con egercicio de decretos, y ciones del Sermo. Sr. duque de Angulema, proceder sin pér notario mayor de los reinos, certifico.=:Madtid a ó de Mayo dida de momento á…</t>
  </si>
  <si>
    <t>Colombo</t>
  </si>
  <si>
    <t>…5 de Abril llegó 4 Valladolid , donde los fac tísimo de las disposiciones y de la conducta de los gobernantes. ciosos y franceses no entraron hasta el 28. Hizo algunas cscursíoEl coronel Colombo, hombre activo, inteligente y decidido es nes contra Silveira , retirándose después á León, después 4 Ascomandante militar de la provincia-, por temor de que no em torga , y de Astorgaaqui, donde en l.t actualidad permanece. peoren las cosas me ha nombrado su…</t>
  </si>
  <si>
    <t>Colon, Francisco</t>
  </si>
  <si>
    <t>Francisco Colon</t>
  </si>
  <si>
    <t>…ente mes acerca de si debe entregar los vales re D. Joaquin de Irazabal, D. Francisco de la Carrera , D. Ramón novados y documentos de liquidaciones hechas á los individuos Viton, D. Francisco Colon, D. Josef Manuel Aranalde, Don que se presentan, á recogerlos con los resguardos correspondientes, Miguel Mayora y D. Tomas de Urrutia, .para que compongan aunque pertenezcan á sugetos que se hallan en pueblos ocupados interinamente la junta directiva del Cré…</t>
  </si>
  <si>
    <t>Coloqué, Fernan</t>
  </si>
  <si>
    <t>Fernan Coloqué</t>
  </si>
  <si>
    <t>…ante reunió en la marcha, y también me acompañaron los comandan general D. Andrés García Camba pasa 4-.mover la infantería. tes generales de Artillería é Ingenieros, los coroneles D. Fernan Coloqué inmediatamente después del primer glorioso: suceso los do Cacho y D- Miguel Atero. dos destacamentos del regimiento del -imperial en una ai tura á Una marcha rápida ejecutada con orden y entusiasmo nos la derecha de nuestra primera posición, que tomaba en lla…</t>
  </si>
  <si>
    <t>Colubi, Josef</t>
  </si>
  <si>
    <t>Josef Colubi</t>
  </si>
  <si>
    <t>464</t>
  </si>
  <si>
    <t>…un sargento de Miquelctes ; contusos dos cabos y un corneta de la pieza, del gefe del estado mayor y ayudantes de campo de S. E., del referido Toledo. del coronel de la xM. N. A. D. Josef Colubi y otros oficiales de dis » No recomiendo á V. E. particularmente á ningún individuo de la tinguidos cuerpos y graduados, visitó las ruinas de los muros que tan columna de mi mando compuesta de 450 hombres de Toledo , segunda to honran i Gerona , leyendo en ca…</t>
  </si>
  <si>
    <t>Comal, Cardinal</t>
  </si>
  <si>
    <t>Cardinal Comal</t>
  </si>
  <si>
    <t>El Emo, Sr. Cardinal Comal vi, secretario de Estado ,1o a vi* po (O. no pata exhortar ¿ los ciudadanos a! trabajo por medio al Cardenal decano y al Cardenal vicario ; y-todo el Sacro Co de vanos discursos , sino para trabajar ellos mismos. Es preciso legio fue personalmente en trago ca…</t>
  </si>
  <si>
    <t>Coman</t>
  </si>
  <si>
    <t>…el trono. Ferrol, en persecución de facciosos. A ver r á las tres de su mañana salí de la CoEn la sesión del 20 de Abril se discutió y apro ruña por disposición del cscclentísiino señor Coman bó en la cámara do los diputados de Francia el pro- dante general interino, con tres oficiales y cien hom amito de lei autorizando al Gobierno para que veri bres del batallón del Ferrol para venir á las órdenes fique mi este año la conscripción correspondient…</t>
  </si>
  <si>
    <t>Comandante</t>
  </si>
  <si>
    <t>…se han dejado engañar neciamente por Don Juan Lasaña, gefe político de la provincia de Madrid. el Gabinete de las Tullirías, como dice Mr. Brougham.” Hago saber que por el Exento. Sr. Comandante general del __Los papeles de París del 15 dicen que se había resuelto por primero y undécimo distrito, generaren gefe del tercer egér una junta de generales el que las tropas francesas no pasasen el cito de operaciones, se me ha dirigido el oficio siguiente:…</t>
  </si>
  <si>
    <t>…al operación debe pos por mitades en columna por la derecha, y se retiraron á sus tener á su favor el lisonjero acontecimiento de la sublevación cuarteles, pasando por delante del Sr. Comandante general. de toda la provincia de Sta. Marta, que felizmente se ha verifi — Hoy ha entrado en esta capital el general Villacampa., cosa cado, y cuya confirmación tenemos por buque procedente de que con tanta ansia deseaban todos los patriotas. Nosotros con Rio…</t>
  </si>
  <si>
    <t>…ircunstancias, y á fin de que se viese el respeto que le Ruego á V. S. tenga la bondad de poner en conocimiento merecían las prerogativas del trono constitucional, debían acor del Sr. Comandante general de la 2.a división este escrito, pues dar se extendiesen otros ejemplares-de igual fecha , de la ley de que que mis débiles fuerzas no me permiten hacerlo directamente. se trataba, y que se devolviesen ambos para que S. M. usase de las Dios guarde á V…</t>
  </si>
  <si>
    <t>…re de Casas: el primero de cazadores de provine a avanzó soldados libres que salió de esta capital á la una del día. en masa, sosteniendo;! los cazadores va muy empeñados: dos com Sr. Comandante general en i.° del 7.0 distrito. pañías de Mataré apoyaron este moviente; el fuego era continua Prevenido por orden de V. S que debía mandar una columna do v muy vivo , y sin embargo que los franceses tenian sobre de itíoo hombres de las tres armas, compuesta…</t>
  </si>
  <si>
    <t>…arse al resultado de esta para comuni las designadas en el art. 4.0 conservarán sus mochilas. car las órdenes de cesación de los empleados que sean excluidos; Art. 6.° El Teniente general Comandante del bloqueo se ha tenido á bien resolver por la secretaría del Despacho de mi obliga á hacer conducir por mar hasta Bayona, bajo la protec eargo, con el fin de evitaT que se hagan interminables estos jui ción del pabellón francés, los equipages y familias de…</t>
  </si>
  <si>
    <t>…mo ejército, ...v -d.,, aquellas ricas posesiones, y"la conducta y medidas que conviene .... -’l, ■ ' • • adoptar; "se han tomado con la mayor celeridad é inteligencia Art. i.° El Sr. Comandante general, Gef es, ¡y tropas del las que se bam-creido Urgentes; se preparan Otras; y podemos ejército constitiicional, reconocen-la,.autoridad dei RÉv, y!.lt anunciar que las colonias vdlvérSh á su total tranquilidad, y prestan su obediencia, asimismo que á su…</t>
  </si>
  <si>
    <t>…e por hechosde quiénes son estos hombres.” (2) Si vosotros hubierais sido hombres menos adocenados, particulares de gravedad deba la justicia intervenir. También me ha ofrecido el Sr. Comandante de las fuerzas navales referidas,no os habríais dejado alucinar por los Espectadores y Universa les, únicos oráculos á quienes oíais; y leyendo también los pe que está pronto á dar acogida'y protección, y aun conducir í Francia á todo individuo que por el com…</t>
  </si>
  <si>
    <t>Comen, Josef</t>
  </si>
  <si>
    <t>Josef Comen</t>
  </si>
  <si>
    <t>…ódigo penal solo por el acto de intervenir o conocer no pueda eeercer la magistratura hasta la edad competente; y en las causas que se pretendan formar á los españoles por adictos D. Josef Comen , vecino de Barcelona, para desempeñar una es á la Constitución. cribanía , con tal que pague los correspondientes derechos. Queda El Sr. González Alonso: Cualquiera persona que juzgue á ron aprobados. los patriotas por motivo de opiniones políticas está comp…</t>
  </si>
  <si>
    <t>Comes, Pedro</t>
  </si>
  <si>
    <t>Pedro Comes</t>
  </si>
  <si>
    <t>…vaguardia preciosa del sistema qus feliz de Octubre dí 18¿o , hibiendo disentido los Sres. D. Lorenzo Colleli, mente rige. S. M. observa con singular complacencia ti patru tico es D. Pedro Comes, D.Lorenzo Novel , D. Joaquín Cebriá y D. Antonio mero de- ¡os individuos que la componen , no solamente en el exacto Ferrer. Eucelona 10 de Diciembre, de íSxi.czGincs Quinina, Loren cumplimiento de las ley:s de su instituto, sino también en el ardor zo Colle…</t>
  </si>
  <si>
    <t>Comines, Diego Garleo y</t>
  </si>
  <si>
    <t>Diego Garleo y Comines</t>
  </si>
  <si>
    <t>…rzo. con aquellas milicias á su exterminio, no debe tardar mucho en desafie, Los Señores D. Josef Castellar, comandante general «fe* octavo dis recer este infame. trito militar, y D. Diego Garleo y Comines, comandante genera! da Ei extremo del poniente también experimentó alguna agitación: un la provincia de Játiva, segundo comandante general del octavo distri hermano del escribano Abuirt, no escarmentado con el castigo que la to , y gobernador interino ds la p…</t>
  </si>
  <si>
    <t>Cominges, Gustavo de</t>
  </si>
  <si>
    <t>Gustavo de Cominges</t>
  </si>
  <si>
    <t>…rma* toda la tropa qua demas oficiales adictos á ella ,m¡s ayudantes de campo D. Miguel del regimiento provincial, á que da nombre, se reúna en aquella Porcell , D. Bernardo Elío, D. Gustavo de Cominges y Don capital , sin gravamen alguno del Real erario; y S. A. S., al sa Luis de Riviere merecen que ios nombre á V." E.: oficiales y ber ia loable generosidad con que .patentiza el citado ayunta soldados todos se han portado cual corresponde í soldados da miento su…</t>
  </si>
  <si>
    <t>Comisario</t>
  </si>
  <si>
    <t>Idemj¿. _ ‘ " - quien dará al interesado una papeleta impresa que lo acredite. Los consolidados ingleses abiertos á 83F estaban á 83!. Lo* 2.a Con esta papeleta se presentarán al Sr. Comisario del bonos de España de 1821 bajaron á las once á 23i, y una hora cuartel donde pertenezca la casa en que hayan ido á parar, para después 322$. Lósbonos de 1.823 estaban i 17 y no había quien su refrendación , en el caso de tener que continuar su viaze ó de .j…</t>
  </si>
  <si>
    <t>Comisionado</t>
  </si>
  <si>
    <t>386</t>
  </si>
  <si>
    <t>…s nombres de los soldados que se ven gra Dios guarde• á V. 9. muchos años.tCádiz -35 de Julio bados .en ellas, sin duda de-su propia mano. -Vimos después los de 1823:2= Yandiola. =Sr. Comisionado especial de liquidación dos teatros, de los cuales aun se conocian la escena, la-orquesta y de Ja deuda pública. Jos asientos, como también algunos fragmentos rotos de mármol ^—El-Rey se haservido dirigirme el decreto siguiente-. del pavimento. A poca distanc…</t>
  </si>
  <si>
    <t>Como, Joaquín</t>
  </si>
  <si>
    <t>Joaquín Como</t>
  </si>
  <si>
    <t>Gaceta Española n.º 127</t>
  </si>
  <si>
    <t>…devolvió á Jos sa cimiento para hacerse dueño á primer golpe de vista de todas las télites del tirano. dificultades que se presentan. La pérdida del batallón es la del subteniente D. Joaquín Como es necesaria mucha circunspección , es necesaria igual Alabau, pasado de un balazo en el pie, dos cabos y trece tirado mente mucha audacia en los medios de ejecución, gran intrepidez res heridos con tres contusos; y de la compañía de carabineros en Ja acción,…</t>
  </si>
  <si>
    <t>Como, Romero.-</t>
  </si>
  <si>
    <t>Romero.- Como</t>
  </si>
  <si>
    <t>…e Sevilla, en cuya asignación parece haber alguna del modo mas breve que le fuese posible. cquivocacVin ó inexactitud. Se procedió á la discusión del dictamen de la comisión de El Sr. Romero.- Como uno de los autores expuso las razo comercio sobre el expediente de la casa de Gordon y Muríi de nes que habían Mudo para formarla. Londres. La com sion , después de referir todos los trámites que Se declaro ser primera lectura. ha seguido este negocio, y del…</t>
  </si>
  <si>
    <t>Con</t>
  </si>
  <si>
    <t>…milicia nac onal leeal voluntaria de ambas armas de la c utiad de Lucrria, por ¿1 Sr. López del Baño. Cádiz 16 de Enero. Del ayuntamiento constitucional de Jaén,por el Sr. Gómez (Don Con el mayor sentimiento toni. mos hoy la pluma para denunciar £ Manuel). U autoridad á quien corresponda un at miado contra ias leyes que nos De! gefe político, intendente y empleados en la ciudad de Soria, por ngen , cuya repetición va haciéi dose harto escanda…</t>
  </si>
  <si>
    <t>Con, Tomas Mora</t>
  </si>
  <si>
    <t>Tomas Mora Con</t>
  </si>
  <si>
    <t>…inar la estampa de los uniformes, do su heroico desprendimiento al ofrecer á V. E. para defender los in y i ai rs. iluminada. destructibles derechos de la independencia nacional á D. Tomas Mora Con fecha de 10 de Agosto próximo pasado remitió D. Miguel de les , único hijo que le quedaba bajo su patria potestad , equipado á sus Zavaleta , del comercio de Zaragoza , á los Srcs. Doña Ramona Legar expensas; y al mismo tiempo que S. M. recibe gustoso tan pre…</t>
  </si>
  <si>
    <t>Con-</t>
  </si>
  <si>
    <t>…a necesaria para las operaciones sucesivas, y regresé i res de guerra la expedición del coronel D. Sebastian de la Calzsda, esta ciudad tlcsde Montonto, después de disponer que el coronel Con- segundo gefi; del egército de Costa-firme , que se dirigía á la Laguna d« grt con su tiopa, los 80 hombres de Burgos y el resguardo de Asturias Maracaibo, se quedó la expresada fragata cruzando sobre punta b ocupase á Fuensagiadi, y acabase de destruir totalm…</t>
  </si>
  <si>
    <t>Concepción, María</t>
  </si>
  <si>
    <t>María Concepción</t>
  </si>
  <si>
    <t>…s justos, este invicto guer zaur, pasará por fallecimiento da esta á sus hijos D. Bernardo, rero, que forma el honor de la España, se aproximaba, con la Doña Marta de los Dolores, Doña María Concepción y Doña Je deliberación santa de redimir á Galicia del infernal cautiverio, susa de Elío, distribuyéndose por iguales partes entre ellos, tanto voló apresurado á buscar su redentor: se apoderó de esta plaza al varón como á las hembras durante su vida, sobreviviéndose si…</t>
  </si>
  <si>
    <t>Concha, N.</t>
  </si>
  <si>
    <t>N. Concha</t>
  </si>
  <si>
    <t>…al romper el alba cerca de fue cabo de Rentas en el sistema antiguo , y como sospechoso al ¡a ciudad de S. Roque : á un tiro de fusil de ella tenían los fac presbítero de S. Roque D. N. Concha, sin que por nuestra parteciosos colocada una avanzada, cuyas centinelas nos dieron el hubiésemos tenido mas desgracia que la de un soldado herido.’ Hiiicn viv . y la contestación fue dada con acierto por una guer La cortedad de mis fuerzas y la necesidad de…</t>
  </si>
  <si>
    <t>Conchillos, Manuel</t>
  </si>
  <si>
    <t>Manuel Conchillos</t>
  </si>
  <si>
    <t>…Oñate. D. Vicente Segurado. D. Antonio Puiduiiés. D. Francisco Palacios. D. Manuel Zulueta. La diputación provincial de Madrid, en cumplimiento de los decre D. Joaquín Lumbreras. D. Manuel Conchillos. tos de las Cortes de 5 de Eneio y 8 de Febrero últimos, que tratan ds D. Martin de Navas. £&gt;. Sandalio Arias. la formación de la milicia nacional activa y del segundo reemplazo D. Isidoro Franees Cabañas. D. Josef Segundo Moodejar. extraordinario del egércit…</t>
  </si>
  <si>
    <t>Conchy</t>
  </si>
  <si>
    <t>…órdenes , la primera al mando del general Ga bierno ÍTar.cts y de sus santos aliadoi. En este estado de cosas voto porque se ponga el egéicito al pie derniel, y la segunda al del general Conchy. Tercer cuerpo. ( Egército de los Pirineos orientales.) El teniente ge* 308 hombres y 48 caballos, en atención á ia» presentes circunstan ñera! marques de Launston comandante en gefe. i.‘ divisan el tenien cias, cuya fuerza y ¡a de nuestras milicias, unida í…</t>
  </si>
  <si>
    <t>Concia, Manuel Loprz</t>
  </si>
  <si>
    <t>Manuel Loprz Concia</t>
  </si>
  <si>
    <t>…D. Tetisforo Polo. mentos convenientes para el cobro de dicho dividendo, que se ira ve D. Vicente Santiago Les. D. Josef M.re'o. rificando á medida que baya proporción de fondos. D. Manuel Loprz Concia. D. Valentín Recio. Juicios de jurado. D. Pciayo Zorrilla. D- Eugenio Aravaca. D. Francisco Aceval y Arratia. D. Jtisr.f P.rez Atórales. EISr. D. Francisco de Iribarren denunció en 8 del corriente un ar D. Francisco López Cotana. D. Manuel E.teban Caula. tícu…</t>
  </si>
  <si>
    <t>Concluido, Francisco</t>
  </si>
  <si>
    <t>Francisco Concluido</t>
  </si>
  <si>
    <t>…roísmo. De es Agustín de Entrada , y D. Andr.s Florera. ta verdad respondan los cónsules extranjeros a sqs nacir net «espectivas. Sres. que lo juzgaron injurioso en segundo grado: D. Francisco Concluido este acto , el trias tierno y admirable formaron los va Montenegro y D. Francisco Guztnan. lientes de los regimientos de Zurrara., Navarra , resguardo militar , ar .En tercer grado D. Joaquín de Luque. tillería y MI N. L. V. de esta plaza una columna de herma…</t>
  </si>
  <si>
    <t>Conde</t>
  </si>
  <si>
    <t>…nido la dicha de hallar en sus consejos las mismas disposiciones be de 1822.” néficas y desinteresadas que han guiado constantemente Us suyas. Lat Verona 2 de Diciembre de 1832. » Sr. Conde: La situación er que palabras que se dirigirán a Madrid confirmarán esta verdad, y no deja se halla la Monarquía española á consecuencia de los acontecimientos rán ninguna duda de la sincera disposición de las potencias á contribuir ocurridos en ella de dos a…</t>
  </si>
  <si>
    <t>…constitucional, llamándolos blas GÓOgOXS. femos políticos, insultándolos en los papeles que se imprimieron en Madrid, procediéndose á formación de causa contra ellos y El Teniente general Conde de España, con fecha 19 del cor amargas reconvenciones por el gefe político de la provincia! Su riente, dice al Ministerio de la Guerra lo que sigue: constante lealtad les atrajo otras clases de insultos; pero firmes »&gt; Éxcmo. br.: Tengo el honor de participar á V. E.…</t>
  </si>
  <si>
    <t>Nfim- 9S’ (6 cuartos, ) 349 GACETA DE MADRID. JUEVES 9 DE OCTUBRE DE 1823. ----------------- ~ i 11 ~ 11 ARTICULO DE OFICIO. ta , concluida, de tina parte entre el Teniente general Conde de ®-ÍMrt, Par de Francia, gran Oficial de la Real orden de 1* El Sr. Secretario de Estado y del "Despacho de la Guerra me Legión de Honor, caballero de la Real y militar orden de San dice hoy lo que sigue: L«is y de la de S. Henrique de Sajpnia, Comandante d…</t>
  </si>
  <si>
    <t>…racias del Rey vuestro amo y su Esta determinación, que es á la vez sabia y enérgica, es ya Familia. un resultado de la guerra de España; y en cuanto a los que vean Tocante á vos, Sr. Conde, os vuelvo á ver con el mayor en esta disolución un nuevo 5 de Setiembre, es inútil con gusto; pues me fue sensible el viage que las circunstancias pasa testar. Piensen que después del 3 de Setiembre fueron hechos mi das os forzaron á realizar. Por fortuna ha…</t>
  </si>
  <si>
    <t>Conde, Antonio García</t>
  </si>
  <si>
    <t>Antonio García Conde</t>
  </si>
  <si>
    <t>…abando: hizo fijar una proclama Igualmente, y en atención á los dilatados servicios y mé invitando al orden: reimprimir y circular á su costa la gaceta ritos del Mariscal de Campo D. Antonio García Conde, Go extraordinaria, y repartir al público el importe de sus tres pa bernador militar y político que era en j de Marzo de 1810 gas de Junio, Julio y Agosto. de la plaza de Tortosa, y á lo que ha padecido por su adhesión La ronda dél resguardo se formó para est…</t>
  </si>
  <si>
    <t>Conde, Pispo</t>
  </si>
  <si>
    <t>Pispo Conde</t>
  </si>
  <si>
    <t>…o la dirección se pasen á la__ El dia 15 del corriente se instalaron las Cortes extraordina administración general de efectos estancados de esta provincia parias de Portugal; y $1 Sr. Pispo Conde, último presidente de las ra su expctidicion ,-del mismo modo que se practicaba en Madrid. ordinarias , dechvó abierta la sesión, y pronuncie* un discurso , en Igualmente se han puesto en la referida administración gene que hizo presentes ú los diputados los…</t>
  </si>
  <si>
    <t>Conegliano</t>
  </si>
  <si>
    <t>…ques Lau- Excmo. Sr.=Greeorio Piquero Argiíe!les.=Excmo. 8r. ministro de !a (iston; pero este ya no saha de Paris, y no se sabia quien le reemplazaba : el Guerra.” g.°al mando del duque Conegliano. El general Guilieminot ha sido nom brado mayor-general; y el geneial Meriagc sub-nrayor-general. Eróles «Cuerpo de tropas expedicionario del primer distrito—Excmo. Sr en mandará el egército español en Cataluña; España el de Navarra; Longa el En este dia se h…</t>
  </si>
  <si>
    <t>Conegliano, Mariscal Duque de</t>
  </si>
  <si>
    <t>Mariscal Duque de Conegliano</t>
  </si>
  <si>
    <t>…cia del Sr. de-Ja Roche-Aimon, se .halla á las órdenes: IN«I. ATERRA. del Mariscal de Campo Vizconde Vasserot. A principio del mes" Lóndres ti de Octubre. se esperaba en Sarria al Sr. Mariscal Duque de Conegliano, queFondos públicos. Efectos del banco 22 __ Tres por 100- re— se hallaba en Mataró &gt; y se creía que pasaría luego á Villa fran duridos.83—..Id. consolidados 835—Id. en cuenta 83^__.Idem ca. (Echo du Midi.y imperiales... Tres y medio por 100....__Cuatro por 1…</t>
  </si>
  <si>
    <t>Conejo, Sancho</t>
  </si>
  <si>
    <t>Sancho Conejo</t>
  </si>
  <si>
    <t>…misma comisión, en vista de la exposición de D. N. ZaEl teniente D- Gregorio López de Boneville. los subtenientes vala , para que se le continúe el pago de la pensión de 4© reales D. Sancho Conejo, D. Mateo Baca, D. Vicente Suarez. El ca que se le habia concedido anteriormente, opinaba que no se está pitán de M. A. D- Valentin de Toro. El subteniente de id. Don en el caso de acceder á esta solicitud. Aprobado. Fantaleon Rodriguez. Paisano D. Ramón Sand…</t>
  </si>
  <si>
    <t>Conflans</t>
  </si>
  <si>
    <t>…Larochejaquelein, del mariscal de campo el Trapeóse el oficio que á la letra di en unión con el conde de Cartagena. ce asi:__Ayer tarde entre Arguedas y Valtierra murió en ma _El coronel Conflans, enviado por el general conde de Eour» nos de un paisano, para ignominia suya, el infame Mantilla, ffiont, conforme á las órdenes del teniente general conde de Bour- con siete ds sus compañeros y 21 prisioneros. dessoulle, en persecución de los restos del cue…</t>
  </si>
  <si>
    <t>Cong.’t</t>
  </si>
  <si>
    <t>…n esta opera desorganizadores del infame Abuin y cura de Treijo. til 31 , habiéndo ción el valiente regimiento de Calatrava. Rendido, ya nuestros cuba- seme reunido la columna del coronel Cong.’t, y observando apagado lint, hicimos alio para -rp-rar la rnlantcrta y c! general, que h-b&lt;an que cl fuevo de insurrección en cl partido de Cen antes, marché &gt; Gasadado á retaguardia, siguiendo después de r. unida esta ei camino de lia . s. blindo que el grues…</t>
  </si>
  <si>
    <t>Conget</t>
  </si>
  <si>
    <t>…del general O-Daly por el ca derlos, y i las di ce de la noche me pu.e en mov-mbmo . llevando mino real, Paite de la M. N. de infantería con su comandante Anran- la vanguardia el coronel Conget. i que seguían las dos peen'ñas columnas d¡ y unas compañías de Trujólo bajaron en columna hacia el pueblo; de Moute y Catre ño , y de reserva la de Bateo. La r. cHc mar cruel 'I re,to de la infantería y caballería de Calatrava se situaron á los eos- de nieve…</t>
  </si>
  <si>
    <t>Conget, Josef Fermín</t>
  </si>
  <si>
    <t>Josef Fermín Conget</t>
  </si>
  <si>
    <t>…de juez letrado del partido de Caspe á D. Jos f ••Comandancia general del segundo distrito militar eíExcmo. Sr.=: Mix mo de ia Pardina; y para la del de Sta. Coioma de Farnés á El coronel D. Josef Fermín Conget, comandante de las tropas des» D. Pedro Figuerola y Bosch. ¿ lanadas i la persecución de los facciosos de Fuensagrada y Hurón , coa 2 del actual me dice io siguiente.—Excmo. Sr.=E¡ teniente co- S. M. se ha servido ascender á la clase de alféreces de fragata á…</t>
  </si>
  <si>
    <t>Conget, M. I. Josef Fermin</t>
  </si>
  <si>
    <t>M. I. Josef Fermin Conget</t>
  </si>
  <si>
    <t>…ados, acabad de conocer y desen V. E. Dios guarde á V. E. muchos años. Lugo 21 de Marzo de 1823. gañaos que la Constitución está enteramente ordenaba para nuestro erExcmo. Sr — SI comandante M. I. Josef Fermin Conget.” bien; y si prestáis oídos á ‘a verdad, os avergonzareis de haber sido sus ¿I los ilusos y fascinados , que con oprobio del nombre gallego prestaron enemigos. Si sois racionales escuchad la tazón, y obiad como hom oídos á las sugestiones de los promotores de…</t>
  </si>
  <si>
    <t>Congreso</t>
  </si>
  <si>
    <t>…su firme adhesión á laquimbo, quienes formaron una especie nal , y nombraron director interino, lodo hasta la apertura del causa de España, ha dirigido la exposición siguiente al ministro Congreso general. La Constitución tiene por bases la unidad ¿ in de los Negocios extrangeros de Portugal. divisibilidad bajo un Senado legislativo compuesto do las personas » A bordo de la balandra inglesa, Nassau , á la vista del casti que designasen las asambleas de…</t>
  </si>
  <si>
    <t>Conilans, Marques de</t>
  </si>
  <si>
    <t>Marques de Conilans</t>
  </si>
  <si>
    <t>…Los que también fue tomada. militares gozaran ademas de un sueldo proporcionado a sus em El General Bourmont terminó la ocupación de la Andalucía occidental por la expedición del Sr. Marques de Conilans, quien pleos efectivos, Art. y.° Lo» tres fuerte» de la Atalaya, Cabeza de Motos y después de haber dispersado los restos de Ja caballería de López</t>
  </si>
  <si>
    <t>Conill, Agustín</t>
  </si>
  <si>
    <t>Agustín Conill</t>
  </si>
  <si>
    <t>…e es libranzas, hasta completadas y realizarlas todas del modo preve palo! nombrado el ¡’riinno de Cataluña, su capitán y maestre nido en la Real instrucción de 9 de Jumo de 1822. D. Agustín Conill, procedente de la Havana, con destino á Cá Art. 13. Por consecuencia las relaciones mensuales de que diz , Malaga y Barcelona , y que ha llegado á este puerto bajo trata el articulo 12 no han de comprender de manera alguna la mencionada escolta , á saber. las…</t>
  </si>
  <si>
    <t>Consalvi</t>
  </si>
  <si>
    <t>…su mal, y no se le ha dicho dad é integridad d: los derechos del trono de las Españas, que tenga fractura alguna. como la perpetuidad y mas rígida observancia de la religión ca El cardenal Consalvi no se aparta de la cama de S. S. roas tólica , apostólica romana , sin cuyos fundamentos está intima que algunos momentos. mente persuadida ser imposible llegar á poseer una felicidad ver Las personas que íe rodean se hallan muy embarazadas, dadera y estable,…</t>
  </si>
  <si>
    <t>Considerada</t>
  </si>
  <si>
    <t>…ales, la que ha decidido costado ríos de 53ngre. que en lugar de ir el gobernador á bordo fu:sz el castillo el comandan te de artillería Baivabosa ; y parece, según voces , que el gobernador Considerada relativamente á la Francia, ¿cuál feria el resultado dí esta coligaciont Las tropas extrangeras atravesarían nuestro territorio; d;l castillo auxiliará i la ciudad en cuanto pueda , menos de gente, pero hay ; nuestros infortunios están todavía demasiado recie…</t>
  </si>
  <si>
    <t>Consta</t>
  </si>
  <si>
    <t>…n poquísima pérdida, y i veces ventajosamente con Boletín jf.0 fuerzas cuadruplas, como sucedió en Caldes: reforzado después y auxiliado por algunos cuerpos franceses al mando del general Consta por el boletín anterior que el Conde^Molitor, Co Tromelin, hubiera quedado destruido el enemigo fugitivo , si ncs mandante en gefe del a.® cuerpo, dió cuenta á ST A. R. de que lo hubiera estorbado un acaecimiento imprevisto ,jr apenas co á consecuencia de hab…</t>
  </si>
  <si>
    <t>Constante, Manuel María</t>
  </si>
  <si>
    <t>Manuel María Constante</t>
  </si>
  <si>
    <t>…toda esta fuerza. Igualmente observaba A la comisión de Legislación se mandaron pasar las siguientes la comisión que pedia el Gobierno se aumentasen los batallones solicitudes: de D. Manuel María Constante, individuo de la dipu de marina hasta el número de siete , ó sean 7O hombres , v la co tación provincial de Villafranca, pidiendo se le habilite para po misión tampoco consideraba necesaria esta fuerza : y por último que der obtener destino , cuya solicitud a…</t>
  </si>
  <si>
    <t>Constantino</t>
  </si>
  <si>
    <t>…de ios esdistantes han recibido orden para apiox.marse al centro del egercito. palióles y portugueses refugiados en Francia ; p.-ro hay un buen medio Las tropa» del mando del gran duque Constantino , entre las cuales de socorrer eficazmente á estos desgraciados, y es el de consagrar á su hay una sobeibia división de caballería polaca , hacen igualmente un alivio las sumís que la junta directora de Bayona emplea en fomentar movimiento de concentración. .…</t>
  </si>
  <si>
    <t>…sde i.° de Junio hasta i.° de Oc Príncipe Generalísimo. tubre para ir al gran campo que está cerca de Varsovia, á las A S. A. S. la Regencia de España. órdenes de S. A. S. el gran duque Constantino. También seivi » En las últimas guerras que sobrevinieron entre la Francia ran para la ceremonia del juramento ds la Constitución polaca y la España, la alternativa en las acciones militares hizo suce que deberá celebiarse dentro de muy pocos dias. sivamente…</t>
  </si>
  <si>
    <t>…l fin qúé'V. A. S. se ha propuesto, - Esta revista se compondrá de unos 8o9 hombres, cuyo ge dracena 10 ds Julio de t8ag.=Sermo. Sr.=Manuél Moya— neral en gefe es S. A. I. el gran duque Constantino. La ausen jo«ef María Rodríguez. — Husebio Duran Duque. = Antonio cia del Emperador aeré de dos meses , si hemos de dar crédito ¿ Márquez de la'Osa—Juán Guerra Librcro-Pedro de Montes» las 'últimas noticias. escribano.” „ ALEMANIA. ' 'thf - \ ‘ i • £ ' Carlsr…</t>
  </si>
  <si>
    <t>Constitucional</t>
  </si>
  <si>
    <t>…ni quiere defender un sistema desorgn- poder morder y alucinar á los incautos. n,zador y una facción anárquica? ¡O tienen para vosotros mas Siguiendo esta desventurada táctica, el Sr. Constitucional in fuerza los votos de un puñado de hombres conocidos en todas serta en su número de 18 del corriente un bando del corregidor partes por su desconcettado cerebro , tales como Tos líunts, de Madrid (que dice ha leido en el Diario délos Debatís', el Humes, Wils…</t>
  </si>
  <si>
    <t>Contard</t>
  </si>
  <si>
    <t>…comandante de la guardia nacional sera preciso ser 4 aquellas en que se afianza la monarquía.” individuo de un alto colegio, y sin embargo el agricultor, diputa &gt;5 Se sabe que el general Contard es el primero que ha dado el do de un alto colegio, es arrojado de una sociedad de agricultura. ejemplo para un acto tan favorable á la quietud pública. Se ha Es verdad que este diputado corresponde al partido de la oposi prohibido á los cuerpos de la guarnic…</t>
  </si>
  <si>
    <t>Continúa</t>
  </si>
  <si>
    <t>…la anécdota que manifesté en otra ocasión, NOTICIAS DE ULTRAMAR. debo añadir ahora la siguiente ; Jauja lg de Setiembre de I i‘22. « Hace algún tiempo que un sugeto que pasaba por coronel Continúa el parte del Sr. general en gtfe del ejército de! Pe&lt;u. francés, v tomaba el nombre de conde JB. de B., se estableció en Bl 18 amanecieron sobre las alturas de San Lorenzo y San la buiza francesa, viniendo de Inglaterra , donde había estado em Juan de Dios co…</t>
  </si>
  <si>
    <t>Continuó</t>
  </si>
  <si>
    <t>…smo ramo sobre el decreto de 27 de Marzo dentes del extinguido convento de beüemitas. Se mandó quedar de 1814. sobre Ja mesa. A la de Legislación se mandó pasar otra exposición de Don Continuó ¡a discusión pendiente del dictamen de la comisión Josef García Verdugo. Diplomática sobre la memoria del Sr. secretario de Estado. A la comisión primera de Hacienda se mandó pasar una ex Hablaron en pro y en contra del dictamen los Sres. Prado, posición de v…</t>
  </si>
  <si>
    <t>Contrcras, Juan Senen de</t>
  </si>
  <si>
    <t>Juan Senen de Contrcras</t>
  </si>
  <si>
    <t>…omandante de la co,uniría Atendiendo la Regencia del Reino á los dilatados méritos y epemiga , que lo era el del batallen de Tarragona, pervívsjs.mo servicios del Teniente General D. Juan Senen de Contrcras, y .por sus costumbres é ideas constitucionales, con un otic.ai y 14 “su notoria adhesión a ia causa del Rey nuestro Señor , se ha soldados se fugaron por las espaldas de la indicada casa, y fue a isrvido conferirle la Inspección gen-rn de infant ría, que des…</t>
  </si>
  <si>
    <t>Contreras, Agustín</t>
  </si>
  <si>
    <t>Agustín Contreras</t>
  </si>
  <si>
    <t>ipS t ron en dicha ciudad 300 franceses heridos y un gran número dft Antonio Abad D. Agustín Contreras, D. Francisco Arizcun prisioneros (6).” D. joicf Muñoz, D. Pedro Ballesteros , D. Juan Gavina, Don *&gt; Campamento de S. Gerónimo 26 de Junio de 1823. Josef López Robredo, D. Joaquín Cortina, D. Carlos Vega, n En este instante acabamos de llegar á este campamen…</t>
  </si>
  <si>
    <t>Contreras, Antonio Alvarez de</t>
  </si>
  <si>
    <t>Antonio Alvarez de Contreras</t>
  </si>
  <si>
    <t>…n esta para un país y unos hombres de dicha Sala, que está á cargo de D. Pedro losef delbabé. dotados de una gran movilidad natural, que es necesario contener. Por providencia del Sr. D. Antonio Alvarez de Contreras, ,,La Francia debe conocer á sus legisladores, y no puede con juez protector de los Reales Hospitales, y escribanía de D. Juan seguirlo en tiempo tan corto, que apenas es suficiente para que Villa y Olier, se cita á los que se crean con derecho á los bienes *…</t>
  </si>
  <si>
    <t>Contreras, Juan Senen de</t>
  </si>
  <si>
    <t>Juan Senen de Contreras</t>
  </si>
  <si>
    <t>…exterminación de los -europeos que lo habitaban , me han. de Galicia, por dimisión del Conde de Cartagena, al Teniente hecho conocer el estado deplorable á que se han reducido sus general D. Juan Senen de Contreras: Gobernador de la plaza de provincias desdé 1810 , que comenzó la revolución, hasta la fe Barcelona al Teniente general D. Luis Alejandro Procopio de cha. Para dar una idea aproximada, sin entrar en pormenores Bassecourt; y Gobernador de la plaza de Tarragona…</t>
  </si>
  <si>
    <t>Coo-</t>
  </si>
  <si>
    <t>…esta tillejos, y se adelantó de allí á la Puebla el 16, donde rechazó satisfacción los individuos que la componen. Y yo me apresuro un destacamento de 30 dragones mandados por el capitán Coo- ¿ poner en conocimiento de V. S. para su satisfacción y la de queville hasta el fuerte de Jleinoso sobre la frontera de Portu todo ese benemérito vecindario. gal- A la llegada de este destacamento evacuó el fuerte la guar Y la transcribo á V. S. previniéndole…</t>
  </si>
  <si>
    <t>Coraminas, Magín</t>
  </si>
  <si>
    <t>Magín Coraminas</t>
  </si>
  <si>
    <t>…o ¿ 36 rs. iluminado, en dos hojas grandes. cio, Puerta del Sol, esquina i la calle del Carmen ,ó en Barce En los mismos sitios se hallará igualmente otro mapa en una lona á dicho D. Magín Coraminas. sola hoja, reducido del anterior , á 14 rs. también iluminado. EN LA IMPRENTA NACIONAL.</t>
  </si>
  <si>
    <t>Cordén, Victoriano</t>
  </si>
  <si>
    <t>Victoriano Cordén</t>
  </si>
  <si>
    <t>…as que las que tiene el duque de Angulema para contener da. Hace particular mención del alférez de dragones del Sosxlos pueblos si fuesen enemigos , y roo ó aeoí) hombies mas rano D. Victoriano Cordén , que cotí 50 infantes, y el ayudan' para apoderarse de la capital, y para subsistir después de hacerse te del segundo batallón (a quien le mataron el caballo) y el ca dueño de ella. pitán D. Juan Bernardo Zubiri, rechazaron á mas de óbo ene Al presente no ad…</t>
  </si>
  <si>
    <t>Cordido, Juan Jiménez</t>
  </si>
  <si>
    <t>Juan Jiménez Cordido</t>
  </si>
  <si>
    <t>…ertifico, que por decreto de dicho tribunal de 27 del cor riente en autos núm. 54 de este año, que son de concurso de Gregorio Allonso , que Jo es por la de Canarias. acreedores á D. Juan Jiménez Cordido, se ha mandado citar y Continúa el decreto Ría! loíre la díiti ¡bucion dt ¡os fondos emplazar á cuantos se estimen con derecho á los bienes de dicha del Usía Jo. quiebra , para que acudan á formalizarlo con los documentos que lo comprueben en el término de do…</t>
  </si>
  <si>
    <t>Córdoba, Luisa de</t>
  </si>
  <si>
    <t>Luisa de Córdoba</t>
  </si>
  <si>
    <t>…ectiva, acerca de la cual pone la comisión un pteámbuLa comisión segunda de Hacienda, en vista de la exposición Ip del que yo no puedo dejar de hablar , y cuyo objeto según lo, de Doña Luisa de Córdoba,, hija de un c¡pitan de fragata, opi resultados es convertir la junta directiva del Crédito público en naba se le concediese la pensión de 69 r$, anuiács. Aprobado, junta inspectora del.mismo, y para esto entra diciendo que la La misma Coin'rion opinaba debía…</t>
  </si>
  <si>
    <t>Córdoba, María del Amparo Fernandez de</t>
  </si>
  <si>
    <t>María del Amparo Fernandez de Córdoba</t>
  </si>
  <si>
    <t>…presentándome prisioneros y caballos que se prendidos la duquesa viuda de Arion , Doña María de la Soledad y encuentran escondidos en las casas que hago registrar__ Lo que trasla Doña María del Amparo Fernandez de Córdoba , estas dos íut mas en do á V. ,S. para su satisfacción y del público:::: Barcelona 14 de Febre concepto de herederas con oíros de D, Pedro Alcántara Fernandez ds ro de 1823.1=51 segundo comandante general y gefe político ^Fernan Córdoba , duque que fue de Me…</t>
  </si>
  <si>
    <t>Córdoba, Obispo de</t>
  </si>
  <si>
    <t>Obispo de Córdoba</t>
  </si>
  <si>
    <t>…Octubre de t82 3.:=Eroles. miento el Excmo. Sr. D. Víctor baez, primer Secretario de Es En Barcelona estaban suspendidas las hostilidades, y se espe— tado y del Despacho, el limo, Sr. Obispo de Córdoba,.el. Ma raba el resultado del Real decreto remitido directamente á riscal de Campo D. Josef Ignacio Aívarez Campana, Capitán Mina. general de Granada , las diputaciones del Ayuntamiento cié Sevi lla, y la del de Montoro, la diputación del cabildo de Córdoba,…</t>
  </si>
  <si>
    <t>Córdoba, Ramón</t>
  </si>
  <si>
    <t>Ramón Córdoba</t>
  </si>
  <si>
    <t>…e aproxi Decreto de las Cortes extraordinarias cerrando sus sesiones. (Gaceta maba al pueblo mucha fuerza armada: inmediatamente formé la tropa, del aa.'j nombrando al subteniente D. Ramón Córdoba para que con algunos ca Decreto de las Cortes concediendo una amnistía á los Ficciosos. (Gar zadores saliese de guerrilla, y á los pocos tiros que dispararon á Ja facción ceta del o3.) del llamado coronel D. Mariano León, que con ¿00 hombres y fuerza _ Oficio…</t>
  </si>
  <si>
    <t>Coríés, Manuel</t>
  </si>
  <si>
    <t>Manuel Coríés</t>
  </si>
  <si>
    <t>…imprima, publique y circule. = cu!e.=Rubricado de la Real mano.=:En el Real Alcázar de Se Está rubricado de la Real mano. = En palacio á ó de Marzo villa á 12 de Alayo de 1823.=A D. Manuel Coríés. de 1823. =AD. Felipe BenicioNavarro. AYUNTAMIENTO CONSTITUCIONAL DE SEVILLA. Don Josef Ruiz del Arco, alcalde primero constitucional de Don Fernando vn por Ja gracia de Dios y por la Constitución esta M. N. M. L. y M. H. ciudad &amp;c. de la Monarquía Española ,…</t>
  </si>
  <si>
    <t>Cornejo, Miguel</t>
  </si>
  <si>
    <t>Miguel Cornejo</t>
  </si>
  <si>
    <t>…oronel de Ja Reina D. Francisco Fernandez Bahamonde, D. Josef Alaría Vecino y D. Cayetano Aluñiz, y Golfín. _ Servicio á palacio la milicia activa y la nacional local Jos fiscales D. Miguel Cornejo y D. Josef Rodríguez Busto sa de Sevilla, á las órdenes del comandante interino de la Reina lieron de aquella ciudad al acercarse los enemigos, y se traslada D. Francisco Castelló __Congreso y archivo.la milicia nacional ron á la de Salamanca en medio de ios riesgos y privaciones de lo…</t>
  </si>
  <si>
    <t>Corona</t>
  </si>
  <si>
    <t>…iembre de 1822. la derecha, mientras que Tarragona ocupando á Vallista, aseguraba Estado mayor: un oficial mueito. nuestfa retaguardia , y destacaba, dc-s compañías con el capitaa Don Corona: dos soldados muertos , dos contusos y dos heridos. Bcrnardino Pons para guarnecer ei mogote de su frente. Caballería del Infante: un toMaUo contuso. . Bien pronto las cargas se sucediere i unas á otras, y los facciosos, Hostalrich : un soldado contuso. que h…</t>
  </si>
  <si>
    <t>Corona, Román</t>
  </si>
  <si>
    <t>Román Corona</t>
  </si>
  <si>
    <t>…do que se llevase á efecto, dando pecial da la extinción de la deuda y enajenación de bienes á D. Juan order. para que se expida el libramiento, y se devuelva al interesado Pardo, D. Román Corona y D. Joseí Srnan y Veiazquez; y quedó eledicha cantidad. £’do D. Juan Fardo por 54 votos de 71 de total, teniendo &lt;6 D.Ro K1 Sr. Arguelles dijo que este dictamen debía volverse á la comi mán Corona , y uno D. Jnsef Señan y VJazqurz. sión para que lo redactase en otros términos, puesto qu…</t>
  </si>
  <si>
    <t>Coronel</t>
  </si>
  <si>
    <t>…da, por sí y por los nobles.—Pedro Continúan las exposiciones dirigidas a S. A. S. la Regencia del Rodríguez Cáceres, Alcalde.=Esteban Egido, Regidor. = Geró Reino. nimo de Prado, teniente Coronel retirado.crSebastian Trevejo y Otaro, Secretario de ayuntamiento.zcA S. A. S. la Regencia de ¡,Sermo. Sr.; El ayuntamiento de la villa de Berlanga de las Españas.’* Duero, en ia provincia de Soria, dirige á V. A. S. el eco de sus leales y fieles sentimientos,…</t>
  </si>
  <si>
    <t>Corps, FeGuardias de</t>
  </si>
  <si>
    <t>FeGuardias de Corps</t>
  </si>
  <si>
    <t>…ua Se leyó por segunda vez, y se mandó pasar á la comisión de rá en Madrid , reuniéndolos en el cuartel de los extinguidos Diputaciones provinciales , una proposición hecha por el Sr. FeGuardias de Corps. cerra sobre que se ampliase por tiempo indefinido el plazo de un Art. y.° Los cuerpos de este ejército acudirán á recibir las año señalado en el art. 176 de la ordenanza de la M. N. L. pa ollas de campaña según la siguiente distribución. ra admisión de volun…</t>
  </si>
  <si>
    <t>Corradi, Juan</t>
  </si>
  <si>
    <t>Juan Corradi</t>
  </si>
  <si>
    <t>…r de los Sres. Salvi, Tejciro y Septien , contrario á lo re- mismo negocio. En seguida manifestó que la casa de Balguerie habla su.-lto por las Cortes acerca de las solicitudes de D. Juan Corradi. estado cobrando 30 duros por tonelada, según el contrato ,. lo cual la El Sr. Gil d i la Cuadra presentó á las Cortes una exposición de los indemnizaba suficientemente de los daños qúe podía haber sufrido por alumnos de la escuela de ingenieros de caminos y…</t>
  </si>
  <si>
    <t>…30. Cádiz I," de Enero. Leída y aprobada el acta de la anterior, las Cortes quedaron entera Milicia nacional voluntaria.=Sexto batallón.^Guardia de la pla das de u a exposición de D. Juan Corradi, gefe de la redacción del za de la Constitucion.=El comandante de la expresada da parte á los Diario de Cortes, dando gracias por la resolución de las mismas en su Sres. alcaldes constitucionales que como á las seis de la urde se presen favor. taron en dicha…</t>
  </si>
  <si>
    <t>Corral, Ana del</t>
  </si>
  <si>
    <t>Ana del Corral</t>
  </si>
  <si>
    <t>…partición de los bienes dei patro Otros dos juros de 3099 y tantos mrs. en millones de Valladonato de D. Nicolás Fernandez de! Castillo y Doña Ana Geió- lid y Madrid en cabeza de Doña Ana del Corral.__Otro da 479 uima de Arellano, se cita, llama y emplaza á todas las personas y tantos mrs. en millones de Valladolid y su provincia de prique se crean con derecho á dichos bienes , para que en el tér mera situación encabeza de Doña Ana del Corral y Mendoza.…</t>
  </si>
  <si>
    <t>Corral, Andrés García del</t>
  </si>
  <si>
    <t>Andrés García del Corral</t>
  </si>
  <si>
    <t>…a proposición. Declarado el punto suficientemente discutido , pr„p,&lt;t" el Sr. Arrial de Valladolid. La comisión de Visita de tribunales proponía ¿ D. Felipe Martínez de Moretin ,á D. Andrés García del Corral, y á guelles que se añadiese á la proposición la siguiente clausula: » Subsis tiendo los nombramientos que para varias comisione:- ; hechos elD. Josef Fernandtz Manso ; quedando elegido el Sr. Moretin. Se leyó la siguiente proposición de los Sres, Salvá, Reil…</t>
  </si>
  <si>
    <t>Corral, Fausto</t>
  </si>
  <si>
    <t>Fausto Corral</t>
  </si>
  <si>
    <t>…ausado en todos y cada uno de ellos tan enérgico reemplazó el Sr. conde del Valle del mismo Veigara. Y para como elocuente discurso , felicitándose mutuamente de ser lle el cuarto D. Fausto Corral, vecino de Zátauz, y por su adjunto gado el venturosa) dia de la reunión de Guipúzcoa en juntas D. Ignacio Antonio Arnilibia , de la misma villa. Asi bien re gen-rales para contribuir por su parte á la libeilad de nuestro sulta del acta que la representación…</t>
  </si>
  <si>
    <t>Corral, Ignacio Domingo del</t>
  </si>
  <si>
    <t>Ignacio Domingo del Corral</t>
  </si>
  <si>
    <t>…u comandante Hcsiüchc, y tuvieron muchos dificultad alguna en creer que este bajo , y el nuevamente des heridos, que huyeron por el puente de la Misericordia; los res cubierto por D. Ignacio Domingo del Corral, fuesen uno mis tantes hubieran sido destruidos á no haberse embarcado en el mo, según la poca diferencia que se observa entre ellos en lati puerto del Barquero. Mondoñedo y Julio 26 de 1823. tud y longitud. ANUNCIOS. VARIEDADES. Por providencia del Sr. D. Ma…</t>
  </si>
  <si>
    <t>Corral, Manuel de</t>
  </si>
  <si>
    <t>Manuel de Corral</t>
  </si>
  <si>
    <t>…ina. Se suplfca i la persona en cuyo poder se halle ó sepa de su para verse llegaba casi í tocar los bordes de ia abertura se sumía nuevamen dero tenga !a bondad de participarlo á D. Manuel de Corral , que vi te, y volvía á inllarse, de suerte que rebosaba por los bordes del canal de ve en Madrid, calle del Olivo Alto, núm. i.°, cuarto 2/,ó á D. Fran lava antigua que la contenía. Su movimiento era pausado, y podían ob cisco de Paula Gómez de Figu .roa , c…</t>
  </si>
  <si>
    <t>Corre, Manuel</t>
  </si>
  <si>
    <t>Manuel Corre</t>
  </si>
  <si>
    <t>…de Madrid tuvo or tenientes del c.° y 6.° batallón D. Manuel Pintaquc y D. Fran den de pasar la barca , y se dirigió por e! camino de Chiclana cisco Ron, reforzada después por el capitán D. Manuel Corre ;i unirse con la columna que estaba mas adelantaba, y apoco rato dor , se habia alejado bastante, atacando con arrojo y valentía á se le mandó retirarse con el todo , llegando reunidos á la barca. unos t;o franceses que ocuparon el cercado y casa aspillerada…</t>
  </si>
  <si>
    <t>Corre, Teniente</t>
  </si>
  <si>
    <t>Teniente Corre</t>
  </si>
  <si>
    <t>…objeto son no habiéndose verificado la presentación, en otra dada con fe en todo ostensibles y conformes á las miras de la alianza monár cha 23 del corriente ha acordado el mismo Sr. Teniente Corre quica. Como los gefes y dignidades de la Orden, los Caballeros, gidor se haga notorio por medio de este periódico al público ha los hermanos sirvientes, últimamente todos los que componen llarse pendientes dichos autos, á fin de que la persona en cuvo la asoc…</t>
  </si>
  <si>
    <t>Correa</t>
  </si>
  <si>
    <t>…, hijos reforzado con los batallones números j.° y p.° de cazadores i hacer lo espurios, ya que s-d -ntr&gt;s de ssngre y v:nganza la habéis impulsado! mismo con los de Regoa. Que el brigadier Correa tenia orden de per « ¡ Padres de familias honradas y virtuosas! los que mataron i vues manecer con el resto de su columna en Amarante para sostener aquel tros hijos y profanaron vi mros t-chos desde 808 hasta 814 vienen i punto, y marchar todos después en dif…</t>
  </si>
  <si>
    <t>…ra su mal , eí cardenal Spma le reemplazará. para dirigirse á Víllarca! , y forma el centro. El prelado Sr. Bernetti, gobernador y director general de la Las fuerzas, al mando del brigadier Correa , pasaron el 59 el poiic'a , habiendo acudido á apaciguar una riña entre un gendar- Tamega por el puente de Cuvez y. Salto, en la dirección de Vi— ma v un zapatero, le dió este último una puñalada, á ia cual no lia-Pouca de A guiar sobre su izquierda. Se comp…</t>
  </si>
  <si>
    <t>Correa, Cirilo</t>
  </si>
  <si>
    <t>Cirilo Correa</t>
  </si>
  <si>
    <t>…para no esca los regimientos Rio de la Placa y granaderos á caballo de los par después de todo el ejército sino unos pocos que, scaun las úl Andes, ai mando del Sr. coronel mayor D. Cirilo Correa,ocu timas cartas del Janeiro, fugaron con el célebre general Alvara paron la villa de Tacna, y obligaron al general enemigo Valdés do en la corbeta Macedonia, y un obelisco decretado pira per á abandonarla precipitadamente después de las ridiculas bravatas pe…</t>
  </si>
  <si>
    <t>Correa, Diego</t>
  </si>
  <si>
    <t>Diego Correa</t>
  </si>
  <si>
    <t>…e lo prevenido en el artículo 9.0 del decreto de 15 de rio del mismo ramo acerca del estado de ¿a .sia cié Cuba y Puer Mayo de 1822. to-Rico. A la misma comisión una exposición de D. Diego Correa, La misma comisión de Ultramar, envista de. la memoria sobre quu se le abone en la Península el sueldo del destino que se del Sr. secretario del misino ramo, opinaba que ctvb.au aprobar le concedió en Ultramar y de que no pudo tomar posesión. las Cortes ios a…</t>
  </si>
  <si>
    <t>Correa, Josef</t>
  </si>
  <si>
    <t>Josef Correa</t>
  </si>
  <si>
    <t>…er; formar conjuraciones en las tinieblas: in tellanos, que durante la acción hicieron 13 presos , entre ellos tentar por sus emisarios corromper las filas de nuestros valien á su comandante D. Josef Correa, los cuales han sido conduci tes, entre los que siembran temores y desconfianzas (digna ocu dos á la plaza, de Zamora , donde los entregaron. pación suya). Pero i su rabioso pesar el ejército es inalterable La total fuerza de los rebeldes excedía de sesenta h…</t>
  </si>
  <si>
    <t>Correa, Manuel</t>
  </si>
  <si>
    <t>Manuel Correa</t>
  </si>
  <si>
    <t>…ado debe tener to Tejada, vecinos que fueron de la ciudad de Antequera por ios das sus prendas puestas en la mochila , no se ha dado cumpli años de 1807, siendo apoderado de ambos D. Manuel Correa; miento, habiendo dejado los cuerpos procedentes del Pardo y á los de las vinculaciones ó mayorazgos que fundaron Luis, muchos efectos abandonados. Sebastian y Leandro Hurtado, que por los años de 1785 y 86 Art. 3.0 S. E. previene á ios Sres. generales de div…</t>
  </si>
  <si>
    <t>Correo</t>
  </si>
  <si>
    <t>…o no se ha tran bordo dei Real Jorge. Este buque ha traído unas 75 personas, quilizado, que se tranquilice. y esperan que la comisión española les proporcione medios de Este mismo Sr. Correo y todos los demas diarios sus acóli pasar á Cádiz. (The Courrier.) tos han movido mucha gritería con que madama Quiroga esta ba prisionera en Francia , aunque no había tornado las armas en IRANCIA. la mano. Ya dudaban de la finura francesa; pues consuélense c…</t>
  </si>
  <si>
    <t>Corres, Ramón</t>
  </si>
  <si>
    <t>Ramón Corres</t>
  </si>
  <si>
    <t>…o que sigue: Excmo. Sr.: Ahora que son las seis y media ministerio francés por ocultar su espado de nulidad alega frívolos pretextos, de la tarde acaba de llegar á esta el alférez D. Ramón Corres, que envíe y finge imaginarios rezelos para emprender una guerra tan injusta como esta mañana con una mitad á reconocer y adquirir noticias de los fac impolítica, la cual si llegase atener buen resultado, según las miras del ciosos. Este valiente oficial se h…</t>
  </si>
  <si>
    <t>…e Sanlúcar do el rio á una mitad del regimiento caballería de Sagunto con el te- deBarrameda—La M. N. V. de infantería y caballería de Vich__ Va mente D. Antonio Girón, el alférez D. Ramón Corres y el sargento rios individuos militares italianos refugiados en la Península__ La comisión graduado de oficial D. Francisco Hueso. Mientias tanto el alférez Dan de Vigilancia de Vich__ El ayuntamiento, la M. N. V. y legal con va Andrés Gómez , ayudante de est…</t>
  </si>
  <si>
    <t>Corsin</t>
  </si>
  <si>
    <t>…Guaira habia una corbeta in vizconde Pamfi'.o-Lacroix , el barón de Conchy y el vizconde Obert. surgente de 22 cañones construida en el norte de América. Mar scales rfe campo. El vizconde Corsin , el conde de la Roche- Consejo Je EstaJo. Aimond , el barón Bruny, el barón Bonnemains, el conde Grundler, Por renuncia que ha hecho D. Josef Matías Cablera de la judica el barón Gressot, el vizconde Vallin, el vizconde Toussaint , ei viz tura de primera ins…</t>
  </si>
  <si>
    <t>…avivando mas y mas, y en que to tos y cañones. Inmediatamente comenzó el ataque; y aunque el terreno nos era enteramente desventajoso, el 7.0 de infantería mó parte la brigada del general Corsin , que acababa de llega; con el general Loverdo: todo parecía introducir la confusión y ligera, conducido por el general Rochejacquslein , trepó por las el espanto en Ja guarnición: las compañías de carabineros colo rocas mas escarpadas, y tomó á la bayoneta l…</t>
  </si>
  <si>
    <t>Cort, Valerio</t>
  </si>
  <si>
    <t>Valerio Cort</t>
  </si>
  <si>
    <t>…Durante toda ta mañana y hasta Hs cuatro de ia tarde estu- Del resguardo ni i l •*. r de esta provincia. i to siempre rodeado de buques menores del trófico de bahía, quienes le De D. Valerio Cort jr&gt;. tacaron la mayor parte de su cargamento : el s. bado 9 del comente se De D. Ramón Gil de Costa ,o.ficalde la dirrce'on de baterías, ce fiesentú asimismo el queche holandés Fortuna, el cual se mantuvo £ diendo al mismo tiempo la tercera parle de su sueldo…</t>
  </si>
  <si>
    <t>Corta, Tomas</t>
  </si>
  <si>
    <t>Tomas Corta</t>
  </si>
  <si>
    <t>…e intrépido realista reunir sus tropas y retirarse , haciendo que el aquí; V. falta í su d:b:r presidiendo un acto contrario á ia Carta, uu enemigo perdiese el fruto que esperaba. D. Tomas Corta dejó su tro acto contra revolución ¿rio. pa en las alturas de Camprodcn, y vino á dar cuenta de todo i. la re El presidente: Siento tener que decir que V. trastorna el orden. gencia. Ayer volvió á partir , dirigiéndose al distrito de Ceret para Mr. Foy: El or…</t>
  </si>
  <si>
    <t>Cortada, Josef</t>
  </si>
  <si>
    <t>Josef Cortada</t>
  </si>
  <si>
    <t>…ontrado á dicho cabecilla con otros siete que le La comisión de Instrucción pública en vista de las exposicio acompañaban, en el mismo acto de estar exigiendo al cura párro nes de D. Josef Cortada y D. Mariano Calixto, para que en aten co y ai escribano la cantidad de 40 rs. después de haber saquea ción á los servicios que han contraído en particular el primero en do algunas casas, y aunque quisieron huir no les dió lugar el re la epidemia de Barcelona , y el segundo en la…</t>
  </si>
  <si>
    <t>Cortadas, Joaquín</t>
  </si>
  <si>
    <t>Joaquín Cortadas</t>
  </si>
  <si>
    <t>…as, á los del ligero de Canarias D. Ramón Quintana y Don de Enero último. Nicolás Calzadilla , y á ¡os de este batallón D. Josef Ami, D. Juan Ni— Rs. su. vare, D. Felipe.Vargas, y D. Joaquín Cortadas; quedando yo di i'cse: a Productos por mercancías extrangeras introducidas en la con Jos ayudantes de la plaza de S. Juan con sola la compañía de grana Península................................................................................ 3.656,141.. 7 der…</t>
  </si>
  <si>
    <t>Corte, Alcalde de</t>
  </si>
  <si>
    <t>Alcalde de Corte</t>
  </si>
  <si>
    <t>…incia de D. Santiago, Fueron biavos en la lid! Manuel de Albóniga, se ha señalado para celebrar junta general Cuando hay Reyes cual Fernando, el dia 30 del actual en la posada del Sr. Alcalde de Corte Don. Hay soldados como el Cid. Tomas de Arizmendi, juez de dicho concurso , á las diez de su mañana; y se previene que dicho Sr. Alcalde vive en la calle de SOBRE IAS ESTATUAS COLOCADAS DENTRO S. Jacinto, casa de Robledo. DEL ARCO PRINCIPAL. En el año de ibio Je…</t>
  </si>
  <si>
    <t>Corté, Manuel</t>
  </si>
  <si>
    <t>Manuel Corté</t>
  </si>
  <si>
    <t>…do, que se hallará todos los días en la mesa contigua al mostra bricado de la Real mano. 22 En el Real Alcázar di Sevilla ¿? dor del mismo café de doce á una. de Mayo de 1823.22 A D. Manuel Corté*. EN LA IMPRENTA NACIONAL.</t>
  </si>
  <si>
    <t>Cortés</t>
  </si>
  <si>
    <t>…Lobato se ha Sevilla /.° de Mayo. apoderado de Puebla. Todos han declarado á Itúrbide por infame CORTES. americano, indig no de consideración-, y se espera no tarde su caí da.__El Sr. Cortés se ha desacreditado infinito por su adhesión PRESIDENCIA DEL SEÑOR FLORES CALDERON* al tirano: fue nombrado por Alvarez comisionado del buen Sesión del dia j.° Itúrbide para recibir á los enviados de España.”. Se leyó y aprobó el acta de la anterior. — De Bal…</t>
  </si>
  <si>
    <t>Cortes, Fcreira do Carino las</t>
  </si>
  <si>
    <t>Fcreira do Carino las Cortes</t>
  </si>
  <si>
    <t>…so. (Muchos vivas «Señores -«mandante , oficiales, sargentos , cabos y soldados y aclamaciones.)' del valiente regimiento número* ih: vosotros fuisteis los prime , A propuesta del Sr. Fcreira do Carino las Cortes se declara ros que movidos de un noble entusiasmo kvant -.steis el grito de ron permanentes. También se decidió por unanimidad que el la libertad, y sacasteis á la patria'de las cadenas de la esclavitud Congreso dirigiese una proclama á Ja Nación, manifestand…</t>
  </si>
  <si>
    <t>CORTES, Fran</t>
  </si>
  <si>
    <t>Fran CORTES</t>
  </si>
  <si>
    <t>GACETA ESPAÑOLA. CADIZ SABADO 5 DE JULIO DE 1823. Cádiz 4 de Julio. Consignación del Sermo. Sr. D. Fran CORTES. cisco de Paula......................................1.650,000 Gastos de cámara de la berma. Sra. PRESIDENCIA BEL SEÑOR JESER. Doña Muría i.11 n su esposa. . . 6co,a00 JS.rtr uto Je iet sesión Je 4 Je Jttl’.o. Consignación del Infante D. Carlos Se leyó y apro…</t>
  </si>
  <si>
    <t>Cortes, González</t>
  </si>
  <si>
    <t>González Cortes</t>
  </si>
  <si>
    <t>…esolu decir que el proyecto qi^aqui se trata no es proyecto de ley; ción del Gobierno si la deuda 110 pasa de 600 du^p|&gt;jr ó á las pero antes. de hacer me cargo de las razones del Sr. González Cortes si excede tía esta cantidad. Se aprobó hasta;perlinu pnr jí Alonso satisfaré á una inculpación que ha hecho á las dos co ijicijjsivc; y á petición del br. Becerra se mandó volver lo restan misiones por haber presentado con precipitación su dictamen sote á la…</t>
  </si>
  <si>
    <t>Cortés, Juan</t>
  </si>
  <si>
    <t>Juan Cortés</t>
  </si>
  <si>
    <t>…erci cero, D. Antonio Puigblar ch , D. Pedro Alvaro Delgado , D, Cayetano cio cotidiano se han recopilado todas las mas principales oraciones , por lo Romero , D. Tomas Torrezno v D. Juan Cortés. que es uno de los mas completos devocionarios que hasta ahora se han Habida la conferencia se decidió por ocho votos «haber lugar á la for publicado por reunir en un solo volumen lo mas necesario para el uso de mación de causa habiendo disentido el Sr. D. An…</t>
  </si>
  <si>
    <t>Cortes, Juan</t>
  </si>
  <si>
    <t>Juan Cortes</t>
  </si>
  <si>
    <t>…Primeros tenientes. . supernumerarios. ...................................................IX Pedro Morell. 16000D. Josef Maria Rcat. D. Josef Bueréns. . D Josef María Craywinckel. D. Juan Cortes...................................J Idem con distino á un cuerpo que esté en D. Pedro Carrillo ele Albornoz. Primer ayudante. ■J campaña, según el artículo 5.0 del expresado deícreto. ........................................................................ P-…</t>
  </si>
  <si>
    <t>Cortes, Juan de</t>
  </si>
  <si>
    <t>Juan de Cortes</t>
  </si>
  <si>
    <t>…l Campo, Calamocha, Lcchago y Luco, En su vista se reunió el jurado, compuesto de los señores siguientes: todas dirigiéndose á los pinares de Segura y Montalban, caminos positivos D. Juan de Cortes, D. Simón González Yilste, D. Juñan de Fuen para la tierra luja y Mcqumci.:-:*: *&lt;•, el momento de mi llegada dispuse sa tes, D. Matías Pinilla , D. Manuel González del Campo,D. Manuel Me liesen tres partidas fuertes de ¡nfanv-ría y caballería con las instruc…</t>
  </si>
  <si>
    <t>…imo D. Francisco López de Olavarrieta, D. Joaquín de Ce"-! os, P. Ju en i» aras de a libertad , ai mismo tiempo que renuevo el juramento lián de Fuentes, D. Nicolás Cano de Luque, D. Juan de Cortes y -de defender la Constitución hasta mi última agonía en toda la provin D. Sebastian Andrés. cia que el Gobierno se ba dignado fiar á mis desvelos. La provincia Señores que disintieron: D. Josef Antonio Ponzoa, D. Simón continúa en la mas completa tranquilida…</t>
  </si>
  <si>
    <t>Cortés, Luciano</t>
  </si>
  <si>
    <t>Luciano Cortés</t>
  </si>
  <si>
    <t>…aré en el parte siguiente. Lo que me apresuro á comu Miguel Lordan con su compañía, y el capitán del general Locho nicar á V. M-, para—que tome parte en mis satisfacciones, ya que D. Luciano Cortés, que murió a muy pocos pasos de él, de con sus sabias disposiciones me las ha sabido proporcionar. jando en Miguel Turra , su patria, á su esposa y cuatro hijes. Dios guarde á V. E. muchos años. Villajoyosa 3 de Agosto Las elevadas montañas que rodean este ri…</t>
  </si>
  <si>
    <t>…ias enérgicas para sacar de la cautividad La nuestra ha sido muy corta, pues se ha reducido á la pér en que se halla á nuestro legítimo Soberano el Sr. D. Fernan dida del valiente D. Luciano Cortés, que correspondía á ia ca do vit, que Dios.guarde, y su augusta Real familia. Nuestro ballería del general Locho, cuya viuda y cuatro pequeños hijos Señor guarde á V. A. S. muchos años. 1.3 Nava del Rey 11 de recomiendo muy partícula.m:nte á ia alta considera…</t>
  </si>
  <si>
    <t>Cortes, Magda Jas</t>
  </si>
  <si>
    <t>Magda Jas Cortes</t>
  </si>
  <si>
    <t>…iales mayores de ellas, y que los nuevos nom arbitrios de la de Oviedo. brados contestarán á las observaciones y preguntas que les hagan A la segunda de Hacienda una exposición de Doña Magda Jas Cortes cuando examinen las memorias; pero esten las Cortes lena Ruiz de la Cámara, viuda de un intendente, para que se persuadidas que dirán lo que- siempre se ha contestado; á saber, continúen pagando por la Nación los alimentos de un hijo que que como son memorias…</t>
  </si>
  <si>
    <t>Cortés, Manuel</t>
  </si>
  <si>
    <t>Manuel Cortés</t>
  </si>
  <si>
    <t>…quier género de sacrificios en defensa de la; Real mano.rrEn el Real Alcazár de Sevilla á 12 de Mayo de patria en la época actual, en que se ve insultada, amenazada é it— ibag.crA D. Manuel Cortés. vadida del modo mus inicuo, ya que por su avanzada edad no le es posible unirse ú las filas de los defensores de la patria, ofrece Don Fernando vn por la gracia cíe Dios y por la Constitu en sus aras la mitad de su redro , que es de 309 rs. anuales sin ción…</t>
  </si>
  <si>
    <t>…cias bilitar con el indicado objeto por resolución de fecha de ayer las para el castigo de lo» culpables , y para que ios milicianos volun firmas de los actuales oficiales mayores D. Manuel Cortés y Don tarios de Madrid conserven sin mancha el gionosu nombre que Manuel Romanillos, las cuales son las que van puestas al mar por tantos títulos merecen. gen de esta circular, Real Alcazar de Sevilla ;o de Mayo de jo23. ANUNCIOS. Habiendo dado parte al Gobierno el…</t>
  </si>
  <si>
    <t>Cortina, Joaquín</t>
  </si>
  <si>
    <t>Joaquín Cortina</t>
  </si>
  <si>
    <t>…Contreras, D. Francisco Arizcun prisioneros (6).” D. joicf Muñoz, D. Pedro Ballesteros , D. Juan Gavina, Don *&gt; Campamento de S. Gerónimo 26 de Junio de 1823. Josef López Robredo, D. Joaquín Cortina, D. Carlos Vega, n En este instante acabamos de llegar á este campamento de D. Saturnino Heras y D. Salvador López, bajo la dirección del una gran acción y retirada que hemos tenido, en la que hemos P. Ildefonso Milla. El respetable concurso que los presenció…</t>
  </si>
  <si>
    <t>Corús, Jaime</t>
  </si>
  <si>
    <t>Jaime Corús</t>
  </si>
  <si>
    <t>…e la exposición de D. Gerónimo Marchena, del comercio A la comisión de Legislación se mandó pasar una exposición de Barcelona , opinaba que pasase al Gobierno; y entre tanto no de D. Jaime Corús, en solicitud de carta de ciudadano español. se hiciese novedad aiguna sobre lo que se solicitaba. Aprobado. A ¡a comisión de Hacienda se mandó pasar una exposición Sobre la memoria presentada por D. Camilo García; opina del ayuntamiento de Ronda sobre que se…</t>
  </si>
  <si>
    <t>Costa</t>
  </si>
  <si>
    <t>…ro dt la mañana to de entrar en este punto. el oficio siguiente: Ha sido la facción que ya salió de Canct donde no hay ninguno, &gt;j Excmo. br.: Consiguiente £ las órdenes que di al coronel Costa y según sus movimientos me figuro que su dirección será por S. Vicen para que con la fuerza de su mando abanzase sobre GranolJers, á las te de Llavan-ras y ;¡ los pueb'os de ia manila por la parte del O. E., do» de la mañana he recibido parte oficial de dicho…</t>
  </si>
  <si>
    <t>tus v Trentapasos, i cuyo punto parece se han .dirigido los faeciososi porque deja este negocio en estado que vendrá í parar en un pleito mandando al coronel Costa se ponga inmediatamente en movimiento judicial. sobre Cardedeu; y por si ips enermgos avanzan en su retirada i San El Sr. Ferrer ( D. Joaquín) pidió se leyese el oficio del Gobierno, Ceioni ,- mediante i no pbdéasa-dirigii.hacia, el Monseni por la mucha con e…</t>
  </si>
  <si>
    <t>…ce estar ya formalizado. bayoneta á los enemigos en las alturas que poco ant-s habían ocupado, Id-m 29. junto con otras dos compañías de la misma vanguardia que había en Parte del coronel Costa i que se refiere el señor gefe superior polí viado el expresado comandante en refuerzo de aquella). En consecuen tico en su oficio del 16, dirigido al ayuntamiento constitucional de cia dispuse que el resto de la vsmguard.a y e¡ batallón de 1» Libertad, il •e…</t>
  </si>
  <si>
    <t>…s, asi como sus ofi orspues de la ratificación de ia presente por el general D. Anto ciales el mariscal de campo marques de. Faverges, el teniente co nio Rosilloronel d'Lasca y el capitán Costa, todos al servicio de S. M. Sar . j Las tropas españolas saldrán del pueblo de Gallegos de Cam da. También son dignos de elogio particular el. coronel de po, y pasarán á ocupar el de Maide. Las armas y demasefretos, Momfcrrer, del tercer regimiento de.la guar…</t>
  </si>
  <si>
    <t>Costa, Rafael Terradellas y</t>
  </si>
  <si>
    <t>Rafael Terradellas y Costa</t>
  </si>
  <si>
    <t>…enciarlos en este punto, es lo mismo que Ramón Gil de la Costa , oficial de la dirección de loterías ,” léase insultar el pundonor nacional, sondear la firmeza de sus pactos, y po D. Rafael Terradellas y Costa, oficial do corrección en la dirección der á prueba la estabilidad da sus juramentos: tolerar la residencia ex de loterías. EN LA IMPRENTA NACIONAL.</t>
  </si>
  <si>
    <t>Costa, Ramón Gil de</t>
  </si>
  <si>
    <t>Ramón Gil de Costa</t>
  </si>
  <si>
    <t>…provincia. i to siempre rodeado de buques menores del trófico de bahía, quienes le De D. Valerio Cort jr&gt;. tacaron la mayor parte de su cargamento : el s. bado 9 del comente se De D. Ramón Gil de Costa ,o.ficalde la dirrce'on de baterías, ce fiesentú asimismo el queche holandés Fortuna, el cual se mantuvo £ diendo al mismo tiempo la tercera parle de su sueldo pata subvenir i poca vele á la entrada del puerto , y ttmbitn ha descargado la mayor loa gastos del…</t>
  </si>
  <si>
    <t>Costa, Tomas</t>
  </si>
  <si>
    <t>Tomas Costa</t>
  </si>
  <si>
    <t>…uchos diputados del lado izquierdo. LosSres. Foy, Ya no-hay duda en que la pérdida que Primamente experimentó Girardin, Laraeth y otros vocales del mismo lado se dirigen con vi el brigadier D. Tomas Costa fu: efecto de una infame y vil traición. veza al Sr. presidente. Sorprendido de noche en las posiciones que ocupaba, supo no obstante Mr. Foy: V. es presidente constitucional; ia Carta le ha puesto este intrépido realista reunir sus tropas y retirarse , hacie…</t>
  </si>
  <si>
    <t>Costa-Magna</t>
  </si>
  <si>
    <t>…ió este cuerpo á las voces.de viva el Ravasseur, del 8.a ligero; el capitán de Vetnege, del estado Rey. Los habitantes de Granada, eminentemente realistas, han mayor general, y el capitán Costa-Magna, del 4.“ ligero. En manifestado ei gozo mas vivo á la entrada de los batallones esta brillante jornada generales, oficiales y soldados, todos han fra r ceses. hecho ver con ardor su deseo de distinguirse y de manifestar su Los diversos destacamentos dejados p…</t>
  </si>
  <si>
    <t>Costilla, Dionisio</t>
  </si>
  <si>
    <t>Dionisio Costilla</t>
  </si>
  <si>
    <t>…sede la áecretaria del Gobierno político de Aragón, teniente que fue del ha de celebrar la contrata; en la inteligencia de que ei viernes próximoregimiento infantería de Toledo, y D. Dionisio Costilla , cabo de fa 31 del corriente se ha de pasar í la superioridad para su tesolucion, y lúa en el reguardo de Cádiz, antes teniente retirado de infantería , cu- que las horas de presentar dichas proposiciones serán desde las ocho de yos individuos, con otros muc…</t>
  </si>
  <si>
    <t>Cotana, Francisco López</t>
  </si>
  <si>
    <t>Francisco López Cotana</t>
  </si>
  <si>
    <t>…cios de jurado. D. Pciayo Zorrilla. D- Eugenio Aravaca. D. Francisco Aceval y Arratia. D. Jtisr.f P.rez Atórales. EISr. D. Francisco de Iribarren denunció en 8 del corriente un ar D. Francisco López Cotana. D. Manuel E.teban Caula. tículo que empieza:» Vamos a dar principio á las semblanza,'* , inserto D. Josef España. D. Antonio Gamonal. «a el 'periódico turnado el Ct&lt;ut tucisnal de uj ; del mismo d:a,</t>
  </si>
  <si>
    <t>Cotradi, Juan</t>
  </si>
  <si>
    <t>Juan Cotradi</t>
  </si>
  <si>
    <t>…dad y exactitud ael alistamiento La comisión de Gobierno interior presentó su dictamen sobre la concurrirán á las sesiones del ayuntamiento en que se ha de formar los solicitud de D. Juan Cotradi, pidiendo se le permita continuai en el curas -párrocos del putblo y dos vecinos honrados que nombran! el egercicio de su empleo de director de la redacción del diario de Corles, ayuntamiento , pudiencto aumentar este número según lo estime cc ny estas acorda…</t>
  </si>
  <si>
    <t>Cottias</t>
  </si>
  <si>
    <t>…a venida! Desafio á nues de la autoridad española, deberá ademas llevar un pase , que le tros liberales mas exaltados á que viniendo á presenciar aquí lo será concedido por el Sr. coronel Cottias, comandante de la que son estos constitucionales, no les quedaba gana de interesarse piaza, que vive calle Colcberos» núm. 13. un instante por ellos ni por su suerte. Yo confieso que al pasas Se prohíbe á todas las embarcaciones pasar la altura de Rota la fro…</t>
  </si>
  <si>
    <t>Counok</t>
  </si>
  <si>
    <t>…Igual entusiasmo ha reinado también en todas las jun cularidad en el 5.0 ligero al capitán de carabineros Nevel, al tas, sin que en ninguna de ellas haya habido alteración notable teniente Counok, al sargento Eibourlater, y en el 17.0 al ayu del orden, habiendo tenido la satisfacción de cortar acertada dante mayor Camón ,al capitán Rabandi y al sargento Monnier. mente las cuestiones y los incidentes que me parecía, podían También elogia al capitán Cou…</t>
  </si>
  <si>
    <t>Courad</t>
  </si>
  <si>
    <t>…nido la satisfacción de cortar acertada dante mayor Camón ,al capitán Rabandi y al sargento Monnier. mente las cuestiones y los incidentes que me parecía, podían También elogia al capitán Courad , su ayudante de campo, y á alterarla en cualquier sentido. En mi exposición anterior pude los carabineros del 5.0 ligero Boyneau y Mahé, que heridos es indicar á V. A. 5. algunas de las medidas mas notables que tos dos de peligro no han cesado de dar pruebas…</t>
  </si>
  <si>
    <t>Courtad, Conde de</t>
  </si>
  <si>
    <t>Conde de Courtad</t>
  </si>
  <si>
    <t>…que S. A. R. entraba ta audiencia pública el dia 28 de Noviembre, en cuyo dia, y en en los muros de esta capital. tre una y dos de la tarde el Excmo. Sr. Duque de Viilahermosa, El Sr. Conde de Courtad, Comandante de la división, embajador del Rey Católico en esta corte, se dirigió al Real seguido de su Estado mayor , precedía un poco distante á palacio de Banposta acompañado del Conde de Castro Marín en S. A. R. desde la barrera de la Estrella hasta las Tu…</t>
  </si>
  <si>
    <t>Courten, Juan</t>
  </si>
  <si>
    <t>Juan Courten</t>
  </si>
  <si>
    <t>…stro amado á la Carolina, el Intendente interino de aquella colonia D. Juan Monarca volviese libre á su reino en Marzo de 1814, después Josef Caballero ofició al Mariscal de,Campo D. Juan Courten, de su largo cautiverio, á coronar las heroicas hazañas, y llenar Comandante general de la provincia de la Mancha, dándole no los ardientes votos de los fieles españoles. ticia de este importante acontecimiento, quien á las n de la ¿Debió ívernajído a su vuel…</t>
  </si>
  <si>
    <t>…a nación oprimida, sino que lia las Reales Personas, el Excmo. Sr. primer Secretario de Estado, asegurado el trono de Francia, reuniendo su ejército,y sofocan el Mariscal de Campo D. Juan Courten , Comandante general de do bajo una misma cuchilla é interes común, el germen de.una la Mancha, y las diputaciones de Ciudad-Real, Miguelturra, funesta división que debilitaba nuestra hermosa patria, yhubiera Infantes, la Solana, otras varias de diferentes pu…</t>
  </si>
  <si>
    <t>Couser.itu, Je</t>
  </si>
  <si>
    <t>Je Couser.itu</t>
  </si>
  <si>
    <t>Gaceta Española n.º 177</t>
  </si>
  <si>
    <t>…s. Hurst, Robinson y compañía ; y que en Jai Carlos de España, que viajaba con pasaporte francés bajo el nom asersiones se nota mucha claridad y mesura , y un conocimiento! bre de vizconde Je Couser.itu, y el famoso Aquiles de Jouffroy. tan evidente de algunos hechos, que inspira confianza con respec Este último habia ya conseguido, no sabemos por qué medios, to á todo lo demas que contiene. ( Alorning—Cnroa.cie. ) participar de la confianza de M. de Montmor…</t>
  </si>
  <si>
    <t>Coutard</t>
  </si>
  <si>
    <t>…opas que se despiden con dirección al egército de observación, gresos , que son un testimonio auténtico del restablecimiento del so pues todavía no le dan otro nombre. El teniente general Coutard, co- siego , del orden , d: la confianza y de la prosperidad, y se quiere ata i’.a.mdar.re de 3a primera división, al enviar la orden de marchar ú las jarlas; se tense que algunos años de reposo os restituyan vuestro primer tropas que debían venir A los Pirin…</t>
  </si>
  <si>
    <t>Couty</t>
  </si>
  <si>
    <t>…tados en el campo ocupado pot del tercer reg miento de la guardia , el igefe de batallón Monis- las tropas españolas, al cuidado de ios oficiales que el general t-ol, del 36.°, el capitán Couty , comandante de las .compañías Roselló tendrá nombrados con este objeto. del centro del tefcejr batallón de este regimiento , que .se distin 1 art. 5.° De la presente capitulación ss extenderán cuatro guió en la casa del Trocadero, donde fue herido, y el capi…</t>
  </si>
  <si>
    <t>Covent-Garden, Luis Función de</t>
  </si>
  <si>
    <t>Luis Función de Covent-Garden</t>
  </si>
  <si>
    <t>…uerpo, y puede montar á caballo todos les dreislo entendido, y lo comunicareis i quien corresponda para días sin ninguna dífku tad. su cumplimiento. Madrid 19 de Julio de 1823.s=A D. Luis Función de Covent-Garden. de Salazar.” El baile se ha verificado esta noche: la concurrencia ha sido tal como se podía esperar de una suscripción de radicales- No 1 'i La Regencia del reino durante la cautividad del Rhy nueS- había ni inscripciones, ni emblemas, ni alegorías que pudi…</t>
  </si>
  <si>
    <t>Cr</t>
  </si>
  <si>
    <t>…peño á sostenerlas, y con ellas aquellos Al Sr. de' Otairía . las denuncias' del resguardo , y sus incidencias derechos, dando á tan nobles y decididos españoles y mis amados y Al Sr. Cr spo de Tejada , caza y pesca, y denuncias del campo en dignos hijos todos los auxilios que piden. Yo me extenderla á indicar el cuattel alto. v las medidas que por otra parte creo conducentes, y apoyan en cierto Al Excmo. Sr. duque de Abrantes, el ramo de pat…</t>
  </si>
  <si>
    <t>Cra-es</t>
  </si>
  <si>
    <t>…venidera ; opinaba qr,e debía Las Corles quedaron enteradas de un oiicio del aprobarse asi. Aprobado. Sr. 1&gt;. Cayetano Viables, manifestando haberse en ¿¡o iewi un oficio del Sr. diputado Cra-es ma cargado del gobierno político de esta ciudad. nifestando haber admitido el destino eu comisión de</t>
  </si>
  <si>
    <t>Crawford</t>
  </si>
  <si>
    <t>…mbre* . , Port&lt;mouih 13 de Setiembres. . ' El Corresponsal nacional (diario americano &gt; contiene una Ayer llegó la corbeta Safo, procedente del Mediterráneo y circular oficial del ministro Crawford respecto á la Francia y Es últimamente de Cádiz. Hizo señal de traer pliegos interesantes, paña, que áe ha cháúsado a las aduanas de lus Ei-ados-Unidoi; y el capitán marchó para Londres, habiendo recibido un práctico y «n sintancia viene’A decir Lo siguientes…</t>
  </si>
  <si>
    <t>Crédito'público, Rafael</t>
  </si>
  <si>
    <t>Rafael Crédito'público</t>
  </si>
  <si>
    <t>…oder de "manos Ettado mayor. El segundo ayudante general D. Manuel de muertas pase ájoiherederos de estacó de la otra manera, y al Soria, los segundos ayudantes D- Ramón.González, D. Rafael Crédito'público emsu lugar. Las cargas ;no quedarán desatendidas, Marín, y los adictos D. Jos:, fjcnzalcz, O. Pitsc Gaivez.y porque no posean, laí .manos muertas; y bajo este concepto yo D. Salvador Josef Miralles, Primer batallón del regimiento in apoyo el proyectó en su tb…</t>
  </si>
  <si>
    <t>Crédito, Bernar</t>
  </si>
  <si>
    <t>Bernar Crédito</t>
  </si>
  <si>
    <t>…oficial i la Nación ¡ no hace con esta de las provincias. una contrata; Sin. duda alguna; y á pesar de esto sus alcances van al Las Cortes quedaron enteradas de una exposición de D. Bernar Crédito público. A este establecimiento han pasado otras contratas so do López , felicitando á las Cortes por la aprobación del reglamento bre víveres-, suministros &amp;c. Dice á esto el señor preopinante que las de sanidad militar que presentó la comisión de Guerra. Co…</t>
  </si>
  <si>
    <t>Crédito, Jo</t>
  </si>
  <si>
    <t>Jo Crédito</t>
  </si>
  <si>
    <t>…fundación del patronato de lego» y capellanía Breson.e=Excmo. Sr. secretario de Estado y del Despacho de la Guerra.” que fundó D. Cristóbal de Cañedo, y la posesión .que se dió á D. Jo Crédito público. sef de Tarasena y Herrera y su muger Doña Ana Antonia Viteri y ji rón. Si algún descendiente quiere hacers* con tan interesantes piezas, Los interesados que han presentado vales de Enero de 1821 en la acudirá i la cali* de la Paz , núm. 47 , donde da…</t>
  </si>
  <si>
    <t>Crédito, Mariano Zorramisión de Visita del</t>
  </si>
  <si>
    <t>Mariano Zorramisión de Visita del Crédito</t>
  </si>
  <si>
    <t>…mbraría al efecto. venido en nombrar para que le desempeñe interinamente, y hasta Se continuó y concluyó la lectura de la memoria de la co que se presente el nombrado en propiedad D. Mariano Zorramisión de Visita del Crédito público, la cual, junto con los esta quin , á D. Pedro de la Barcena. Tcndreislo entendido, y dispon dos que la acompañaban, acordaron las Cortes se imprimiese, dréis Jo necesario á su cumplimiento.rzEstá rubricado de la Real corriendo la misma comisión de Vi…</t>
  </si>
  <si>
    <t>Creo, Oliverr</t>
  </si>
  <si>
    <t>Oliverr Creo</t>
  </si>
  <si>
    <t>…entemente discutido, e. golpe; y aunque no haya podido impedir todo lo que pedia en Ve y se declaró que no. rana un cierto partido, ha perseguido i los partidarios de la guerra El Sr. Oliverr Creo que será equivocación de imprenta el decirse en hasta el gabinete de su Monarca; y pintando los verdaderos peligros este artículo que el alistamiento se firmará por los secretarios de ayun ds la lucir?, que tan imprudentemente se quería comenzar , la versad t…</t>
  </si>
  <si>
    <t>Cres, Josef Alvarez y</t>
  </si>
  <si>
    <t>Josef Alvarez y Cres</t>
  </si>
  <si>
    <t>…nte de bastimentos y En la M. H. villa y corte de Madrid, retiñidos en jurado de baratos, con la proporción de tener á su alrededor de menos calificación los Sres. jueces de hecho D. Josef Alvarez y Cres de media legua á una otros limítrofes que carecen de facultativo, po, D. Cayetano Rubio, D. Nicolás A-onso, D, Aquilino y deparan al de Domingo Perez frecuentes apelaciones. Los pro Palomino, D. Lorenzo Lambea, D. Josef Ptrez Morales, Don fesores que teniendo…</t>
  </si>
  <si>
    <t>Crespo, Antonio</t>
  </si>
  <si>
    <t>Antonio Crespo</t>
  </si>
  <si>
    <t>…rtificaciones despa Noveno distrito militar. «El general Villacarapa desde chadas por la contaduría de consolidación en cabeza de o cho Granada con fecha del 12 dice lo que sigue: D. Antonio Crespo en 18 y 22 de Enero de 1822, con los nú «Excmo. Sr.: Ai tiempo que SS. MM. y AA. salieron de meros 1589 y 1598, una de 107,906 rs. de capital, y otra Córdoba continuando su marcha á Sevilla lo verifiqué yo para también de capital de 211,073 rs. Igualmente rem…</t>
  </si>
  <si>
    <t>Gaceta de Madrid n.º 1043</t>
  </si>
  <si>
    <t>…nicareis á quien corresponda.=De Real orden lo comu ro. El Regidor primero Ilustre D. Antonio Rufrancos.= Cole nico á V. E. para su inteligencia y puntual cumplimiento en la gial, D. Antonio Crespo, Abad. D. Josef Salcedo, Canónigo .= parte que le toca. Dios guarde á V. E. muchos años. Córdoba 26 Universidad , el Doctor D. Cristóbal Govantes. El Doctor Don de Octubre de i8íg.c=Victor Saez.=Excmo. Sr. Secretario de Antonio Maldonado.” Estado y del Despac…</t>
  </si>
  <si>
    <t>Crespo, Cándido</t>
  </si>
  <si>
    <t>Cándido Crespo</t>
  </si>
  <si>
    <t>…a clase y dignidad, que guarden y ha En la ciudad de Logroño , reunidos en jurado de calificación los gan guardar , cumplir y egecutar el presente decreto en todas sus par-, Sres. D. Cándido Crespo, D. Matías ürib-, D, Josef Pecina , D. Cistes. Tendreíslo entendido para.su cumplimiento , y dispondréis se im- tor de la Calle, D. Vicente Luco , D. Josef Jorge Saen , I). Joaquín prnia , publique y circule. = Está señalado déla mano de S. M. c=En de Francia…</t>
  </si>
  <si>
    <t>Crespo, Francisco</t>
  </si>
  <si>
    <t>Francisco Crespo</t>
  </si>
  <si>
    <t>…ópez, oficial de la secretaría de Estado y del Despacho 17 hombres, haciéndoles un considerable número de prisioneros que iban de la Guerra, denunció al Sr. alcalde const’tucional D. Francisco Crespo llegando sin cesar , y cogiéndoles 4 muías cargadas de patios , 5 cajas de de Tejada un artículo inserto en el Zurriago , núms. 92 y 93 , en el con guerra , 2 00 armas de fuego, el equipage de Bessieces y el asistente de Don cepto de injurioso. N coias Isidro…</t>
  </si>
  <si>
    <t>Crespo, Jorge</t>
  </si>
  <si>
    <t>Jorge Crespo</t>
  </si>
  <si>
    <t>…u Taris , fecha delanj^ideiia Coiuña-el \j Don Domingo Basso, D. Isidro Astorga, D. Dionisio de Julio último, por llevar consigo, comgidicftdjcho periódico, Carro, D. Josct Erroz, D. Jorge Crespo, ÍD. Anroniq OrdqT el carácter de la verdad y. de 1.a banquera militar; y por ser tan ñez, D. Francisco Osarrio y D. Agustin Escudero, procedentes larga .arntjinos no poder imertaria toda por dhoiyra-peio no podeds la causa de Burgos. .... mo^dejar.de publica…</t>
  </si>
  <si>
    <t>Crespo, Josef Alvarez</t>
  </si>
  <si>
    <t>Josef Alvarez Crespo</t>
  </si>
  <si>
    <t>…n de hombres valientes sobre toda D. Pedro Bustes. D. Juan Rodríguez Guillen. ponderación , pero en corto íiúmevu y desgraciados hasta entonce* , tanto D . Baltasar Joaquín Perez. D. Josef Alvarez Crespo. como reiucitos ; asi como son vanos é impotentes ahora cuantos es fuerzos hacen esas facciones mucho mas numerosas y tan poderosa ARTICULO DE OFICIOmente auxiliadas, porque luchar contra la res ..ion firme y decidida de la Nación entera. El conde del Abisbal…</t>
  </si>
  <si>
    <t>…n oponer mas que nal supremo de Justicia á 16 de Abril de 1823 , reunidos en ju la ignorancia y la bajeza de los esclavos, triunfaremos de los que rado de calificación los señores D. Josef Alvarez Crespo, D. Ca quieren imponernos un yugo vergonzoso, mas insoportable que yetano Rubio, D. Nicolás Alonso, D. Aquilino Palomino , Don ia misma muerte, y la Nación española ocupará el primer lugar lorenzo Lambea, D. josef Perez Morales, D. Marcelino Lorio, entre todo…</t>
  </si>
  <si>
    <t>Cretet</t>
  </si>
  <si>
    <t>…nuedo se debe tan fel z resultado ; al capitán Feruel, su ayudante de campo ; a) Sr. Alingry, su oficial de ordenanzas; al Sr. Mousudun, oficial de ordenanzas del genera' Bomk; al Sr. Cretet, capitán del 7.0 de cazadores; al Sr. Girouu, tnirnte del mismo regimiento, que hizo pr stoneto al general español; al sefior de Joleau, teniente del de húsares; é los sargentos primaros Dartix y Lacrois; á los de caballería Bianc y Sansón , y álos caza dores…</t>
  </si>
  <si>
    <t>Creux, Jaime</t>
  </si>
  <si>
    <t>Jaime Creux</t>
  </si>
  <si>
    <t>…l presente decreto en todas sus el mas alto grado á su Patria y á su Rey, y serán habidos y tra partes. Tendreislo entendido par3 su cumplimiento, y dispondréis tados como tales , D. Jaime Creux obispo de Menorca, D. Ber se imprima, publique y circule.nrEstá rubricado de la Real mano. nardo Mozo Rosales, el barón de Eróles, D. Francisco Eguia, De Real orden lo comunico á V. S. para su inteligencia y el duque del Infantado , el de Montetnar, D. Juan d…</t>
  </si>
  <si>
    <t>Cri, Juan Martínez de</t>
  </si>
  <si>
    <t>Juan Martínez de Cri</t>
  </si>
  <si>
    <t>…s Ara Mateu , D. Felipe de la Puente, D. Domingo Sartachaga, D. Anto gón se halla animada de los mas ardientes deseos de sacrificarse por nio Martínez de Posada, D. Nicolás Furto, D. Juan Martínez de Cri las libertades patrias, como también la caballería de la primera divi tica, D. Juan Bautista Elejaburo, D. Francisco Pujol y D. Josef* sión—La corta partida de cuatro hombres descubridora que se adelan Santo Domingo; declaró por unanimidad no haber lugar á ia…</t>
  </si>
  <si>
    <t>Cristina</t>
  </si>
  <si>
    <t>Gaceta Española n.º 144</t>
  </si>
  <si>
    <t>…jo el dominio de los suecos, se intentó convertirlos al cristianismo, y Gustavo i, Carlos ix, se imprima , publique y circule.—Está rubricario de la Real mano. Gustavo Adolfo y ia reina Cristina enviaron con este objeto mi = En Cádiz á 15 de Agosto de 1823. = A D Juan Antonio sioneros de la Laponia, fundaron allí algunas escuelas , edificaron Yandiola. algunas capillas, cocieron imprimir algunos libros elementales De orden de S.~M. lo traslado á V. p…</t>
  </si>
  <si>
    <t>Cristóbal</t>
  </si>
  <si>
    <t>…ara establecer A voluntad de *u dueño, y en virtud de providencia del sólida y legítimamente cuanto conviniese al bien del reino, y que Sr. D. Manuel Rubio, y por la escribanía de D. Cristóbal de restablecido el orden y los buenos usos en que ha vivido, y con su Vicuña, se publica la subasta por 1 5 días, señalándose el últi acuerdo habian establecido los Reyes augustos predecesores de S. M., mo para el remate que se celebrará el 11 de Octubre próx…</t>
  </si>
  <si>
    <t>Criueli, Josef Marta</t>
  </si>
  <si>
    <t>Josef Marta Criueli</t>
  </si>
  <si>
    <t>…ego á las Corte* se sirvan-de González , antes Gimeno, D. Toma* Rubio, presbítero , doctor Mi clarar haber lugar á votar sobre su totalidad. guel Cortés, procurador del infantado, D. Josef Marta Criueli, Don Discutido suficientemente este asunto , se declaró haber lugar ¡Tro N. Pafiigp. - • ta! sobte la totalidad de 1 proyecto. Madrid Sotado 15 dt Marzo. TÍTULO PRIMERO. » El Rey y la Reina siguen lo mismo que ayer. SS. AA. siguia tin novedad tn tu importante…</t>
  </si>
  <si>
    <t>Cro-, Luis</t>
  </si>
  <si>
    <t>Luis Cro-</t>
  </si>
  <si>
    <t>…jurado , compuesto de los Sres. D. Pedro Ruiz de Loizaga, comparezcan á responder de los cargos que contra ellos resultan ; y pa D. Pedro Antonio d; Aguirre, D. Segismundo Morct, D. Luis Cro- ra que llegue á su noticia que se anuncie en 1a gaceta en obsequio del »a, D. Prud ncio Hernández Sta. Cruz, D. Josef María Viilaranda, mejor servicio. D. Pedro Jos.f Paul , D. Juan de Fuentes y D. Josef Miría Retostólo; ANUNCIOS. dspues de t.-nida la la conf…</t>
  </si>
  <si>
    <t>Croissard</t>
  </si>
  <si>
    <t>…llaban en libertad. Un inmenso' jentío corrió cias que llegaron ayer tarde , lo sosegaron todo. ¿ la puerta del Sol: las fieles Manolas templaron sus panderos, Por el medio día el general Croissard , comandante del de que no han contaminado para aplaudir la maldad: Ja calle de partamento , llegó aqui acompañado de un destacamento de Carretis estaba intransitable por el concurso que agolpado i go gendarmes y de 3 compañías del 45 , marchando en es la imp…</t>
  </si>
  <si>
    <t>Croja, Luis</t>
  </si>
  <si>
    <t>Luis Croja</t>
  </si>
  <si>
    <t>…provinciales. Madrid de injurioso á su persona, carácter y empleo; y reunido el jurado, com dLz y siete de Marzo de mil ochocientos veinte y tres. — Manuel Flo puesto de los Sres. D. Luis Croja, D. Cayetano Rodríguez Moran, res Cs'deron , Presidente. = Leonardo Santos Suarez , diputado Secreta D. Josef María Villaranda, D. Felipe de la Puente, D. Segismundo rio = Manuei Llórente, Diputado secretario.” =Por tanto mandamos á Moret, D. Domingo Banceí,…</t>
  </si>
  <si>
    <t>Cros, Joaquín</t>
  </si>
  <si>
    <t>Joaquín Cros</t>
  </si>
  <si>
    <t>…ario del Despacho de la Guer Pedro Josef de Herrera.xxju'atl Martin.—Manuel Sánchez vGira el parte siguiente: lindo.—Josef Tamariz. —Manuel Laina. = Francisco de Torres El Capitán D. Joaquín Cros, comisionado en el puerto del Mantilla y Venegas.” Grao, al darme cuenta en este dia que ha llegado el laúd Santo Cristo, su patrón Simón Domingo, procedente deMataió, mé „Sermo. Sr.; El ayuntamiento legítimo de la antigua vill» añade lo siguiente: Por el pat…</t>
  </si>
  <si>
    <t>Cruz</t>
  </si>
  <si>
    <t>…el mismo Venganza y tres mercantes de la Puna eí 27 de Julio. Dice Rey que acto se conformen los que acaban de discordar.” Aprobado. antes de salir del Callao !e hizo el director general Cruz arreglar para Del Sr. Séptico al art. 43: Después de la palabra suficiente se aña ambos buques , que estaban ya esperando, el repuesto necesario para dirá sin justificarla en manera alguna.'' La comisión opinaba que no montar el cabo, y que le aseguró que ven…</t>
  </si>
  <si>
    <t>Cruz, Gran</t>
  </si>
  <si>
    <t>Gran Cruz</t>
  </si>
  <si>
    <t>…del Infantado , 'liaron de Eróles , Conde de España , y al Mariscal durante la pasada época de anarquía; he vendo en concceerie la de Campo D. Pedro Tallin , y para Secretario al brigadier Don Gran Cruz de la orden Americana de Isabel la Católica. Ten— Carlos de Ulman , por la confianza que me merecen por su acri dreisla entendido, y dispondréis lo necesario ¡i su cumplimiento. soladacolada lealtadlealtad yv conocimientos;cunüumicmv»i declarando vocales nato…</t>
  </si>
  <si>
    <t>Cruz, Josef de Santa</t>
  </si>
  <si>
    <t>Josef de Santa Cruz</t>
  </si>
  <si>
    <t>…stos en cuarentena en buen lazareto de lumnas : la primera para que atacase á Puerto Real, al cargo del ventilación, que establecerá el Gobierno en esta Isla con el re distinguido coronel D. Josef de Santa Cruz, compuesta de una glamento adecuado. parte del batallón de SanMarcial con su primer comandante Don Se leyó el oficio del gefe político de esta ciudad, en que ma Baltasar Valcarccl, de la compañía de cazadores del número 26, nifestaba no haber evacuado aun su…</t>
  </si>
  <si>
    <t>Cruz, Juan He la</t>
  </si>
  <si>
    <t>Juan He la Cruz</t>
  </si>
  <si>
    <t>…rriente en el pueblo y Habiéndose denunciado al Sr. alcalde constitucional D. Miguel dia de la entrega, y añadiendo á su importe el de la conducción, según García de la Madrid por D. Juan He la Cruz los números 251, 252 y se previene en el art. 4.“ Los encargados remitirán los testimonios de 253 del periódico titulado el indicador, por estar vanas ríe sus pro precios y la justificación del coste de dicha conducción , de que trata posiciones comprendidas…</t>
  </si>
  <si>
    <t>Cruz, La</t>
  </si>
  <si>
    <t>La Cruz</t>
  </si>
  <si>
    <t>…habrá tomado las provi tados por una fragata y dos goletas de guerra en esta forma: dencias mas oportunas para auxiliarla con fuerzas efectivas; mas 800 chilenos á las ordenes del general La Cruz: 800 peruanos á sin embargo se sabe por desgracia que esta aquella ciudad ha mas la» del coronel Miller: 1200 de Buenos-Aires a las de Alvarade un mes sufriendo un sitio rigorosísimo; y por lo mismo yo do , y 1200 columbiar.os. Alvarado es el que manda en gef…</t>
  </si>
  <si>
    <t>Cruz, Ma Francisco Rufo</t>
  </si>
  <si>
    <t>Ma Francisco Rufo Cruz</t>
  </si>
  <si>
    <t>…sus deseos que se la mandó retirar. de llegar á las manos con los enemigos. La destacada por la derecha al mando del teniente del g.° D. El comandante en comisión del batallón del general D. Ma Francisco Rufo Cruz, observó de cerca á una columna de 160 á nuel Perez , segundo de la columna que desde el Portazro se di— 180 infantes, que dejando el arrecife se dirigieron á dicha casa rigió por la barca hacia Chiclana á las órdenes del coronel Gu mientras que su guerrilla…</t>
  </si>
  <si>
    <t>Cruz, Santa</t>
  </si>
  <si>
    <t>Santa Cruz</t>
  </si>
  <si>
    <t>…a de Urrutia , el coronel D. Bartolomé Gutiérrez hizo marchar una columna con dirección á Puerto iCcal , man Acuña con una columna de 600 hombres , y sostenido por dos dada por el coronel Santa Cruz , y otra por su izquierda. Los lanchas cañoneras y dos botes armados, se dirigió á Chxlana pa enemigos se presentaron en actitud de defender sus puestos, pe.,-., ra hostilizar á los enemigos. Al mismo tiempo marchaba por el nuestros valientes , despreciando s…</t>
  </si>
  <si>
    <t>…ue si las Cortes resolvían lo tras bizarras tropas. El general hace de ellas el merecido elogio, contrario, el Gobierno esperaba que clasificarían con toda proliji y recomienda al coronel Santa Cruz, que fue levemente hendo, dad los buques que deberían admitirse &amp;c. al primer comandante de San Marcial Valcarccl , que recibió El Sr. López Baños dijo que lo que la comis-.on proponía Una fuerte contusión : se manifiesta satisfecho del teniente coro no podia…</t>
  </si>
  <si>
    <t>…a, parres. trias su reputación de patriota y desinteresado—Los cuerpos del » Dada en nuestro cuartel genera: de An.lujar a S de .Veos— ejército marcharon á la capital, en donde el general Santa Cruz fo de 18: 3.2= Luis Antonio =Pov S. A. R .=Ei mar•or cerera! lomó á. su careo forzar al Congreso y arrancarle por la tuerza la conde ilc Guiiletmr.ot. aprobación en la elección que el ejercito luzo de p:vsid.mte en Este decreto extraordinario es segu rameote…</t>
  </si>
  <si>
    <t>Csli</t>
  </si>
  <si>
    <t>i-l Ayuntamiento constitucional ele Síu. María de Cál El Sr. Csli um : Mi intención lia sido qne per ices, para que se adoptasen ciertos arbitrios destina maneciesen las (antes en sesión permanente ; v así dos á la reparación del muelle y otras obras do pú no tengo dificultad alguna en admitir la adición de blica utilidad.…</t>
  </si>
  <si>
    <t>Csmpuzano, Francisco</t>
  </si>
  <si>
    <t>Francisco Csmpuzano</t>
  </si>
  <si>
    <t>…n de los que se deben considerar ha nombrado tesorero de correos; á D. Josef Rey Alda inten como propiedad particular, presentaran ante los jueces respectivos dente de Madrid, y á D. Francisco Csmpuzano juez de contra de primera instancia los t.lulos de adquisición , pira que se deeda bandos en.Vizcaya.; perojeste último.no ha admitido. Existe una según ellos si son o no de la ciase expresada, con las apelac-ones á curiosa carta , dirigida á Madrid al F.xsma…</t>
  </si>
  <si>
    <t>Ctaparcde</t>
  </si>
  <si>
    <t>…es nos, y se pasa á una comisión compuesta del conde de Mjrescot, viz pañoles , no los intereses de la paz y de la concordia, que han sido y conde Digeon, el conde de Sabrán , el conde Ctaparcde y el duque de son turbadas por las bandas de facciosos asi’sriadas con el oro extranFitz-Jamei. geto , sino ios sórdidos intereses del ultracismo, de los odiosos privileNOTICIAS DE ESPAÑA. g os y del miserable lucro perjudicial á la riquza y á la industria de…</t>
  </si>
  <si>
    <t>Ctosa, Luis</t>
  </si>
  <si>
    <t>Luis Ctosa</t>
  </si>
  <si>
    <t>…Al dicioso; y reunido el jurado , compuesto de los Sres. D. Felipe Echimería solamente hasta el 11. Observamos que por todas partes prevale varri , D. Antonib Martínez de Fosada, D. Luis Ctosa , D Juan Bau cen en general las mejores disposiciones para concurrir eficacísima- tista Vea Murguia , D. Jocquin Alvar-z , D. Juan Francisco Espalomente i conservar la dignidad y el honor ae la Nación, el trono cone • sin , D. Miguel García Oilit , D. Francis…</t>
  </si>
  <si>
    <t>Cuadra</t>
  </si>
  <si>
    <t>…no pueden ser suficiente» presentada por el Sr. Moreno. para que los Sres. diput dos formen un juicio exacto para 1 resolución Del ayuntamiento constitucional de Herencia, por el Sr. Cuadra. de este negoc'o. Por otra parte estoy seguro de que la resolución sobre él Del ge fe político de bautander y empleados de su secretaria, por el puede influir mucho en las actuales circunstancias , y asi repito que pa Sr. Aibear. ra proceder 1 ella necesitamo…</t>
  </si>
  <si>
    <t>…nistros ingleses empiezan á abrir los ojos sobre uno del total. Lo1- votos estaban divididos en esta forma; 2: el los peligros á que están expuestos nuestros intereses en la Ameri Sr. Cuadra; 26 el Sr. Valdes ( D. Dionisio); 18 el Sr. Gon ca del Sur, y á su consecuencia se ha mandado salir para el mar zález Alonso; 3 cada uno délos Sres. Ruiz de la Vega , Scptlcn, Pacifico un buque de línea, y se enviará muy en breve á la Ja Ovalle y Fcrrer ( D.…</t>
  </si>
  <si>
    <t>Cuadra, Juan</t>
  </si>
  <si>
    <t>Juan Cuadra</t>
  </si>
  <si>
    <t>…estará fijHo en ella bajo ia firma de ios secretarios, y no ss Afortunadamente habia yo enviado al secretario de esie gobierno polí alterará sin igual formalidad." Aprobado. tico D. Juan Cuadra con 12 caballos de esta milicia nacional volunta " Habrá un registro general en que consten todos los expediente* ria y de Lusitania mas allá de Al mazan para explorar ios movimien que ennen en la secretaría, con expft.s.on abreviada de su objeto y riji tos d…</t>
  </si>
  <si>
    <t>Cuadros, Manuel</t>
  </si>
  <si>
    <t>Manuel Cuadros</t>
  </si>
  <si>
    <t>…los prisioneros to ha dispuesto que una comisión de su seno, compuesta de los heridos se halla D. Nicolás Isidro, el cual es probable que haya Sres. D. Joaquín Velasco, regidor, y D. Manuel Cuadros, pro muerto. Zayas envió inmediatamente un parte al general francés curador sindico, pase á conferenciar con el general francés, con para que activase su venida en vista del estado de las cosas, y el objeto de garantir la seguridad individual, y conseguir las…</t>
  </si>
  <si>
    <t>Cuando</t>
  </si>
  <si>
    <t>…emelas, Que á su buen Rey aclamando que está radicado en la escribanía de provincia de D. Santiago, Fueron biavos en la lid! Manuel de Albóniga, se ha señalado para celebrar junta general Cuando hay Reyes cual Fernando, el dia 30 del actual en la posada del Sr. Alcalde de Corte Don. Hay soldados como el Cid. Tomas de Arizmendi, juez de dicho concurso , á las diez de su mañana; y se previene que dicho Sr. Alcalde vive en la calle de SOBRE IAS ESTATUAS…</t>
  </si>
  <si>
    <t>Cuando, N.</t>
  </si>
  <si>
    <t>N. Cuando</t>
  </si>
  <si>
    <t>…tal. de Blanes. No pudiendo extendernos á publicar hoy en pormenor Circular. estas noticias por la abundancia y urgencia de las de oficio y demas Verana 14 de Diciembre de ¡Mía. » Sr. N. Cuando se cerraron lis que están en piensa, nos reservamos hab'ar de ellas con la exten conferencias de Laibach en el mes de Mayo de 1811, por los docu sión que cada una merezca. mentos que se os dirigieron entonces se os enteró de que la teunion de __Una carta de L…</t>
  </si>
  <si>
    <t>Cuar, Miguel</t>
  </si>
  <si>
    <t>Miguel Cuar</t>
  </si>
  <si>
    <t>…e acom momento eu proporcionar auxilios á los españoles; pañaba logré» dispersarlos con una carga á la ba •esforcémonos para probarle que somos dignos de ser yoneta que los dio el teniente Don Miguel Cuar libres. tera». El parte está dado á las doce de la mañana, por cu va causa 110 puede decir el mimen» de muer tos que baya quedado en las viñas inmediatas; mas =Se asegura que los franceses se han retirado pre- se recojieron una porción de fusiles, escopetas v…</t>
  </si>
  <si>
    <t>Cubano</t>
  </si>
  <si>
    <t>…ios perpetración’* de los abominables dente de las Córte»"1. escesos que según se decia habían sido cometidos en E: l u documento no podía ménos de producir otro, Sevilla; pero el Sr. Cubano observó que para proce y Cs ei siguiente: der sobre el particular no había otros datos que vo ”La lLqencia provisional del reino, en vista tle ces vagas é insuficientes. El r.limero de Sres. dipu babor llegado S. AI. á esta Lia-gaditana, y sabctlo- tados que…</t>
  </si>
  <si>
    <t>Cubi, Juan Josrf del</t>
  </si>
  <si>
    <t>Juan Josrf del Cubi</t>
  </si>
  <si>
    <t>…y reunido el jurado , compuesto de los Sr:s. D. Juan Perez, D. Gerónimo Martínez Enrile,D. Jo F.í Rfy ha expedido el decreto siguiente! sef María Recortillo, D. Francisco Hidalgo, D. Juan Josrf del Cubi « Don Fernando ni por la gracia de Dios y por la Constitución de llo, D. Pascual Boiaños y Novoa, D. Antonio ds Oiazarra , D.Franla Munarquía española , Rey de las Espadas , á todos !o¡ que las pre cisco Carranza y D. Josef María de Arroyo, por unanimidad dec…</t>
  </si>
  <si>
    <t>Cubillo, Juan Josef del</t>
  </si>
  <si>
    <t>Juan Josef del Cubillo</t>
  </si>
  <si>
    <t>…ta muestra contenía tam nández Sla.*Cruz, D. Josef Bsnjum-.'da, D. Juan González, D. An bién una sustancia rojiza, que parece *er deutoxido de hierro unido al tonio Cortes y Coíl, D. Juan Josef del Cubillo , D. Pedro Josef Paul sílex y al muríate de sosa. y D. josef Diez Imbtechs, declaró por unanimidad haber lugar á la 2.0 Una incrustación compuesta de sulfate y, de muríate de hierro y formación de causa. cobre mezclados entre sí: también hay en ella hierro pu…</t>
  </si>
  <si>
    <t>…, fusiles, tercerolas y sables que quedaron dril, D. Rafael María de Gataicochea , D. Pedro Antonio de Aguiren mi pedir; podiendo asegurar á Ü. que ;sia facción quedo entera» re , D. Juan Josef del Cubillo y D. Francisco de Puga , por unanimi mente destruid* , pues apenas futirán poded» salvarse en dispersión de dad declaró haber lugür á la joem.uiúti d; causa. 1 ¡ ú 2u lumbres, qu: á ios primeros tiros cebaron á correr, y esto lo debieron á ía obscuridad de ia noche y abogo del pueb…</t>
  </si>
  <si>
    <t>Cue</t>
  </si>
  <si>
    <t>…constitucional. gados, Quedó aprobada la proposición. *» Tengo la satisfacción de comunicar á V. B. este feliz suceso sin La comisión de Comercio , en vista de la proposición del Sr. Cue la menor desgracie pov nuestra parte, para que se silva elevarlo á co vas para que se establezcan en el puerto de la Havana varios derechos, nocimiento del Gobierno, recomendándote al mismo tiempo esta que tengan relación con los establecidos en 1778 , opinab…</t>
  </si>
  <si>
    <t>Cuerpos, Doctor</t>
  </si>
  <si>
    <t>Doctor Cuerpos</t>
  </si>
  <si>
    <t>…0 ir.rs., acuda á realizarla á la Real Subdelegaron Ja siguiente: particular y privativa del ramo de Mostrencos de la ciudad de Alcalá de Henares y su partido, que está ácargo del Sr. Doctor Cuerpos que componen la guarnición de la Coruña. D. Rafael Garrido, y por la escribanía de D. Benigno Vera, trímera brigada. Hombres, que ss le admitirá siendo arreglada, y se señalará día para su re mate, enterando al mismo tiempo al postor de las condiciones Infant…</t>
  </si>
  <si>
    <t>Cuesta, Manuel Fernandez</t>
  </si>
  <si>
    <t>Manuel Fernandez Cuesta</t>
  </si>
  <si>
    <t>…viitud de la capitulación que las ti opas realistas, quedando sujetos á las autoridades civiles literal se inserta. por sus delitos respectivos, y no serán molestados por su con « D. Manuel Fernandez Cuesta , gobernador del castillo de ducta anterior á la fecha de esta capitulación. Monzon , y D. Luis Velaz , comandante de las tropas del blo Castillo de Monzon 21 de Julio de iB23. = Luis Velaz. queo del mismo castillo, han convenido y otorgado la capitula Manuel…</t>
  </si>
  <si>
    <t>Cueto</t>
  </si>
  <si>
    <t>…á su nombre , os cottv. Jamos con la paz; re mas y efectos: el grueso de Capapé fue seguido por la caballería tiraos á vuestras casas á cuidar de vuestras tamil'a*, ó) ven.d a del coronel Cueto; y acabo de saber que una parte de ella, á las nuestro lado á defender la causa nía* justa atacada por los france órdenes de mi ayudante de campo D. Josef Quevcdo, y mas ses , que preciándose de filántropos no desean sirvo ei exterminio particularmente un tro…</t>
  </si>
  <si>
    <t>…por la Francia sino también por todos los des. El teniente coronel Sierra............................ 5 potas ligados en la Santa Alianza. Tengo mucha satisfacción en El teniente coronel Cueto............... . . . . 5 dirigir la palabra á una asamblea que representa todo el pueblo libre de Inglaterra, pues que no habrá un solo hombre libre en Total libras. 3°S este pais y en toda la Europa, cuyos sent.mientos dejen de ser los mismos que los que se…</t>
  </si>
  <si>
    <t>Cueva, López</t>
  </si>
  <si>
    <t>López Cueva</t>
  </si>
  <si>
    <t>…l Sr. Infante. tía é indiferencia con que nuestro Gobierno lia mirado aquellas fértiles De la milicia nacional local Voluntaria de (a ciudad de Teruel ,por y vastas posesiones. el Sr. López Cueva». » Es probable (dicen) se declaren estas comarcas independientes, De la milicia nacionat de Castellón de la Piaña, por el Sr. Serrano-. de hecho aun cuando vengan las fuerzas navales i Lima ; pues de en De la milicia voluntaria del Ferrol, y de un número Éon…</t>
  </si>
  <si>
    <t>Cuevas</t>
  </si>
  <si>
    <t>…a podrá separar ó reemplazar á lodo empleado diezmo y primicia. público, eclesiástico, civil ó militar, de quien se sospeche que favorece d¡- A la del Comercio una proposición del Sr. Cuevas, leída por segunda recta ó indirectamente los planes de los enemigos de la libertad pública. vez, relativa al comercio de la isla de Cuba. Art. 4.0 El Gobierno podrá hacer salir del reino, ó trasladar de una A la de Libertad de imprenta una exposición de la d…</t>
  </si>
  <si>
    <t>…o anuncio á V. para que por medio de su pe Se leyó el dictamen de la comisión de Comercio sobre la riódico se haga público; en la inteligencia que el-gefe político proposición del Sr. Cuevas , reducida á proponer Jos medios de para cstirpar estos vicios no ha tenido ni tiene mas recurso que protección á los puertos menores de la isla de Cuba, el cual que ei ponerlos practicadas las primeras diligencias ante el poder ju dó sobre la mesa. dicial pa…</t>
  </si>
  <si>
    <t>…ción. cir que se busquen medios extraordinarios , y que se aprue 1.a comisión de Comerc;o, en vista de una proporción del ben en 48 horas: Los recursos extraordinarios se preponen Sr. Cuevas, opinaba debian aprobarse los siguientes artículos: en concordancia con la situación del Estado; : y esto se ha i.° Sean los que fueren los derechos nac-onalcs que adeuden ce en tan lint tado tiempo: La comis'on , como ha d ebo el se las importaciones extranj…</t>
  </si>
  <si>
    <t>…fuego ínterin la conferencia, lo Quedó sobre la mesa el dictam'n de la comisión de Comer que obligó al gobernador á hacer prisionero al oficial parla cio sobre la proposición del Sr. Cuevas, reducida á proponer mentario. medios de protección para los puertos menores de la isla de Dios guarde á V. -S. muchos años. Oviedo 23 de Abril de Cuba. • i82 3.-=iVlanuel María Acevedo.=Sr. gefe superior poLítico de La diputación nombrada para presentar á S.…</t>
  </si>
  <si>
    <t>…á V. paráTsu inteligencia y cum lectura del dictamen de la comisión de Comercio, á consecuen plimiento en la parte que ie toca. Dios guarde á V. muchos cia de una proposición del Sr. Cuevas. años. Alcázar de Sevilla 21 de Abril ds 1823. =Aíiguel Ló Quedaron aprobados ios artículos siguientes: pez de Baños. Art. 1° «Sean los que fueren los derechos nacionales que __ En el Espectador del i*° del corriente se lee lo siguiente: adeuden las importaci…</t>
  </si>
  <si>
    <t>Cuevas, Josef</t>
  </si>
  <si>
    <t>Josef Cuevas</t>
  </si>
  <si>
    <t>…ito invasor ó Cortés, D. Francisco Tlenriquez, D. Josef Alcalde y D. Ra de las partidas de facciosos solicite, acepte, sirva ó continúe sir món Lamas y Melendez por la de Galicia: D. Josef Cuevas poc viendo algún destino, sufrirá las penas del articulo anterior, y la de Cuba en Ultramar : D. Ezequiel Diez por la de Toro: quedará ademas inhabilitado para servir otro. Exceptúame los em D. Pedro Prado, D. Antonio González Ron y D. Nicolás pleados que viv…</t>
  </si>
  <si>
    <t>…ia junta , y que no reco Cortés, D. Francisco Enriquez, D. Josef Alcaide y D. Ramón noce en ella autoridad alguna sobre la fuerza militar, cuyo Lamas y Melendcz por la de Galicia: D. Josef Cuevas por la mando independientey ejecutivo corresponde á él mismo. En ella de Cuba en Ultramar : D. Ezequiel Diez por la de Toro: observareis Igualmente "que por este motivo se suspendieron las D. Pedro Prado, D. Antonio González Ron y D. Nicolás providencias acor…</t>
  </si>
  <si>
    <t>…ra y Marina, y si es Cortés, D. Francisco Enriquez, D. josef Alcaide y D. Ramón tos no bastasen con los jueces también letrados del tribunal Es Lamas y Melendez por la de Galicia: D. Josef Cuevas por la pacial de Justicia. (Gaceta del g.~) de Cuba en Ultramar : D. Ezequiel Diez por la de Toro: Oficio de los Síes, secretarios de las Córtes al Gobierno par D. Pedro Prado, D. Antonio González Ron y D. Nicolás ticipándole haber cerrado estas sus sesiones.…</t>
  </si>
  <si>
    <t>Cuevillas, Ignacio Alonso de</t>
  </si>
  <si>
    <t>Ignacio Alonso de Cuevillas</t>
  </si>
  <si>
    <t>…cristianos pueden con una sola palabra Queriendo el Rey nuestro Señor premiar los acreditados mé- volverla á abrir. Mientras que muchos Gobiernos europeos ha titos y servicios de D. Ignacio Alonso de Cuevillas, ha tenido a cen esfuerzos para abolir hasta en el otro hemisferio la esclavitud bien nombrarle Juez de contrabandos de Bilbao, con la dotación de los negros , ; no seria mas conveniente restituir á la milicia de y sueldo que tenia en el 7 de Marzo de 1820. S…</t>
  </si>
  <si>
    <t>Cuiial</t>
  </si>
  <si>
    <t>…ión á ia» presentes circunstan ñera! marques de Launston comandante en gefe. i.‘ divisan el tenien cias, cuya fuerza y ¡a de nuestras milicias, unida í la de ia inv.cta te general conde Cuiial : 2.ardivis:on el tímente general vizconde Don- España , es bastante para acabar con la raza de los agresores , ad.rnas de nadieu: 3.a división el teniente general vizconde P'mfilo Lacroix. Pri que entoare:, toda ia Nación en masa tomaría las armas. Por últim…</t>
  </si>
  <si>
    <t>Cuinps, Josef</t>
  </si>
  <si>
    <t>Josef Cuinps</t>
  </si>
  <si>
    <t>…aaaB5SSS?&gt;o&lt;0^d^—¿JBgas»38 Cádiz 18 de Julia. La comisión segunda de Hacienda, en vista del expediente relativo al pago de las cantidades que el vírey de Egipto adelantó CORTES. á D. Josef Cuinps, cónsul español en Alejandría , para comprar PRESIDENCIA DEL SEÍJOR ZU LLETA. granos en tiempo de la guerra de la independencia, opinaba que este expediente debía pasar al Gobierno para la liquidación y abo Extracto de la sesión del dia 18 de Julio.. no de la…</t>
  </si>
  <si>
    <t>Culos</t>
  </si>
  <si>
    <t>…siásticas , de cualquiera clase y digni te de dicha milicia activa D. Agustín de Oviedo. dad , que guarden y hagan guardar , cumplir y ejecutar el presen Parada la Reina , Infante D. Culos v in'l c'.¡ nacional de Se te decreto en todas sus partes. Terdreislo entendido para su cum villa , y el demas servicio v y irruí :a» ¡o ceta...ido. plimiento, y dispondréis se imprima , publique y circule. “Ru Hospital y provisiones Xum.tnc'.a. bricado de ia…</t>
  </si>
  <si>
    <t>Cumpliendo</t>
  </si>
  <si>
    <t>…hin rias cruces de distinción, y gefe administrativo interino de este en la primera carga de la caballería. primvi distrito militar. A este mismo tiempo fue cargada la columna del brigadier Cumpliendo con lo prevenido en las Reales órdenes de 20 D. Julián Sánchez, que repelió al enemigo con la mayor tena de Enero de 182r , y 7 de Diciembre de 1822 , he acordado la cidad, habiendo tenido la desgracia de perder á este valiente subasta del suministro de pan,…</t>
  </si>
  <si>
    <t>Cunai</t>
  </si>
  <si>
    <t>…ida da lugar á creer que ss teme mucho el que Sermo. Sr.; H: r c.birlo paites del general D-nnadieu, dados conozcan el. verdadero estado de Barcelona. en Manresa el 22 y 23, y d.l general Cunai con fecha de 23 en Los rcfug.ados franceses y extranjeros son mal mirados aun Mauro. de los m smos revolucionarios: ¡os habitantes del campo, á quie El general Donnadieu me d ce que luego que supo haberse nes han rubiuo ctuelmenta, los ven con horror; y aunqu…</t>
  </si>
  <si>
    <t>Cunea</t>
  </si>
  <si>
    <t>…el ano de rbt 1 , pvir.cip.ai u cuíco motivo por el que que debe lkvatse .1 efecto el de-reto dado por la» mismas. di juicio Je la comisión encargada da csur.der el provecto di El Sr. Cunea. El objeto de las Gates al .i-orii.rr el año eco Cousiiinz.on , se suspendía y suspendió ei eteeto del ait p: d; nómico , ha sido el de acomodar a la ape: tu:* de ,as Cutio las ella, palo i la» Cortes »s sirvan en !a actual'Jad decretas io</t>
  </si>
  <si>
    <t>Cunehüius, Manuel</t>
  </si>
  <si>
    <t>Manuel Cunehüius</t>
  </si>
  <si>
    <t>…Madrid el jura 181 c,, ha tenido á bien resolver: do de calificación, compuesto de los señores D. Juan Regís i.° Todo militar que se halle destinado á los ejércitos de de Castro, D. Manuel Cunehüius , D. Lorenzo Larnbea, Den operaciones ó reserva, y desee asignar alguna parte de sus habe Celedonio Martínez, D. Mariano de Goicochea, D. Baltasar res á sus padres , muger, hijos ó parientes , lo harán presente por Joaquín Perez, D. Nicolás Alonso García, D.…</t>
  </si>
  <si>
    <t>Cunha, López de</t>
  </si>
  <si>
    <t>López de Cunha</t>
  </si>
  <si>
    <t>…D. Josef Liberato dijo. La patria vale mas que los je ai .Rey, pidiéndole que destituyera 4 los ministros. hombres: la patria está en peligro, luego sin atender .1 10= i,cim I El Sr. López de Cunha se opuso, sosteniendo que en esta bres es necesario salvarla: es un hecho indudabx , que el m -es 1 crisis debían tomarse otras providencias; pero de ningún modo teno actuai ha perdido la confianza; yo no se las c.mias: pero vá pedir la destitución dei minist…</t>
  </si>
  <si>
    <t>Curcedo, Fernando</t>
  </si>
  <si>
    <t>Fernando Curcedo</t>
  </si>
  <si>
    <t>…Pravia y Cudillcrp, y el tan acreditado res te , entre otros cabecillas, el adm’nistrador de rentas de Cangas guardo militar, en un momento hizo desaparecer toda resisten de On j D. Fernando Curcedo, quien ya se ha acogido al indul cia. Prende el fuego en Soto del Barco , Cinchmo, Pravia , Cas- to, y el teniente cura de Villanueva: cometen mil horrores en trillon é Illas: aquella villa fue amenazada de saqueo: las milicias Onís, y creen de nuevo devastar…</t>
  </si>
  <si>
    <t>Curia</t>
  </si>
  <si>
    <t>…haber estado La quinta división no ha perdido masque 3 hombres muertos, inspeccionando las tropas que se hallan en Vicb, ha entrado en y ha tenido 1 5 heridos. El teniente general conde Curia! hace el Gerona. Nuestros valientes no han tenido el gusto de batirse mayor elogio del valor con que las tropas de S. M. han sosteni con Mina; no obstante el resultado de los movimientos del do el honor de nuestras armas; citando en particular al general cuar…</t>
  </si>
  <si>
    <t>Curial</t>
  </si>
  <si>
    <t>…al Emperador, sea en Verana , sea en algún otro puu- FRANCIA. to del camino que debe seguir cuando salga de aquella ciudad. París 4 de Enero. Según una ornen del día dei teniente general Curial los soldados cumplidos del egército de observación que nc han querido enganchan* Aquisgran 29 de Diciembre. de nuevo saldrán en varias columnas, compuestas cada una de dife Hemos recibido de Vanovia tas siguientes noticias: rentes destacamentos al mando de sa…</t>
  </si>
  <si>
    <t>…ante á tes &lt;gentes : tjlle Tenientes generales. El barón Canuel, el conde Molitor , el prín en la Nueva-Valencia y coro era et guto general por su unión á la cipe de Hohenlohe, el conde Curial, el vizconde Roussel de Hurbal, metrópoli , como también que había entrado di el puerto de-su salid* el vizconde Tirlet : el conde Guilleminot, el conde Bourck , el viz una fragata con bandera americana cargada de toda ciase de p- rtrechoi conde Castex , el v…</t>
  </si>
  <si>
    <t>…iera su zelo, exciten á sus conv-cienviaron á sus casas a 44 individuos como cabezas de los desórdenes. nos para que se presten a contribuir a este servicio, cntr^panoo a» m s__El general Curial publicó una orden del día en Perpiñan el 4 , ha mo ayuntam ento Es cantidades que les tí.ele su patriotismo , bajo el ciendo sab r la dest tucíon de un oficial super.ory seis subalternos por cargo pieciso de d; cuenta circunstanciada cada semana de ¡o oue icq…</t>
  </si>
  <si>
    <t>…tuvo que hombre que se os ha hecho tem.ble por sus talentos.” dejar al entrar en t.-fritarlo frutees. Se dirigió al punta ¿ casa del te (Señale* de desprecio i la d-recha.) niente general Curial; y hoy ha partido, jactándose de ir con la orden ( A la izquierda : Es cierto.) de que le entreguen las armas otra vez, lo que no parece creíble, y Un diputado: Ha contestado muy victoriosamente á Mr. Chateaubrand. para salir de Francia armados para entrar en…</t>
  </si>
  <si>
    <t>49</t>
  </si>
  <si>
    <t>…quienes sirve. general. ¡ Estas son las proezas del piadoso y ascético Mirallesl.. __Las posiciones actuales del ejército son como sigue: División Cd'ron 4 de Ahrií. al miando del general Curial ,en el partido de Ceret__ Otra al Aver lie' í aquí la primera compañía de artillera ligera con mando del barón de Damas en el de Prades___La del general las cu-eñas de campaña p.r.t montar ia artillería , y muchos car Donnadieu en Perpifian y San Lorenzo de l…</t>
  </si>
  <si>
    <t>…a entonces de Se ha hecho entregar á las tropas de la división del barón de cir nuestro modo de pensar sol re la necesidad en que estamos de Eróles, por los diferentes cuerpos del conde Curial, todos ¡os ca tomar las mas prontas y enérgicas providencias, sin perder un potes viejos de los almacenes de varios regimientos. Los diferen solo instante; no debiendo las autoridades perderlo desde este tes acantonamientos, parte de la división del barón Eró…</t>
  </si>
  <si>
    <t>…ticias de Francia ra el camino real por ¡a Junquera. Esta consta de joo caballos. comunicadas por el Ermita, o de los Pirineos, y entre otras se Ei general de dicha división es el conde Curial, su cuartel genthallan las siguientes: aal se lialia en Cera. La división del general Damas extenderá Van llegando algunas tropas. Pero , amigo Indicador, 'itas sus operac.ones por Puigcerdá , y se reame en Mont-Lu s, Auson pa .a s :.i ¡.,¡ y,t&lt;&lt;i t tvo e.iti…</t>
  </si>
  <si>
    <t>…udre y la Arqtubuce, al de presentarse á la frontera con su fuerza de 500 caballos. El de los Sres. Reinard y Dubrueil, tenientes de fragata. La fra general de esta división es el conde Curial, y tiene su cuartel gata Observadora de la misma nación se ha presentado ya en es genera! en Ceret. La división de! general Damas extenderá *us tas aguas. operaciones por Puigcerdi; se reunirá enMont-Luis, Auieste 5íc.: Continúan los armamentos en el puerto d…</t>
  </si>
  <si>
    <t>…los que las presentes vieren y entendieren, sabed: (jue las Curtes del modo siguiente: han decretado lo siguiente: Las Cortes, usando de la facultad que 5.a división al mando del general Curial con cin les concede la Constitución , han decretado lo siguiente: Artícu co regimientos de infantería y dos de caballería........ 7112. lo i,° Los pueblos, previo aviso del comandante de la caja de quin 9. a división, al mando del barón de Damas, con tos ó de…</t>
  </si>
  <si>
    <t>…oducirse en un purrto bloqueado, pudiéndoseles después dar El dia 24 de Mayo á las dos do la mañana los tropas de la libertad. . quinta división , mandadas por el teniente general conde Curial, Todos los pasageros, excepto los tránsfugas franceses y mi han sido atacadas en Mataré por los generales revolucionarios litares ,serán puestos en libertad*. Milans y Llovera , á la cabeza de 4S) hombres divides en dos Tales son las solas restricciones puest…</t>
  </si>
  <si>
    <t>…por las armas. También se asegura que el 6 hubo una acción muy conservar la Nación , y Jos informes del director y contador del seria entre el general español Rotten y el general conde Curial, mismo ramo y junta de artillería, proponia el siguiente proyecto ia cual no fue desventajosa al primero..... de decreto. Una carta de Pcrpiñan, fecha del 7 de Junio, asegura que Artículo i.° Que se administren por la Hacienda nacional un destacamento de trop…</t>
  </si>
  <si>
    <t>…Rey coq la mayor parte de sus fuerzas, y su dere seos por la campiña de Roma. cha se dirigirá sobre Martorell. Muchas veces hemos tenido ocasión de hacer observar el zelo » El Sr. conde Curial mandará que las tropas de la quinta di y actividad de Mr. Bernetti , encargado de la policía de esta visión ocupen el mismo dia á San Girons Valvidrera y á .santa gran ciudad. Nadie pondrá en duda las excelentes cualidades Cruz; se unirá por este último punto…</t>
  </si>
  <si>
    <t>…ar de Sans, al abrigo del fue Dicha gaceta trae un decreto, carta de ley, que suprime to go de la plaza. das las sociedades secretas,.sean cuales fueseh sus instituciones y . n El conde Curial hace los mayores elogios del general Basserot. denominaciones. La razón que se da por motivo para esta su ” Nuestra pérdida conocida en estos diversos combates es da presión es, que los francmasones y carbonarios, los comuneros 15 muertos, uno de ellos capitá…</t>
  </si>
  <si>
    <t>….ju.ta y descaradamente habían arrebatado al Monarca, tras El enemigo ha tenido 20 heridos, y nosotros solos tres. El ladándola al ptubio con el perverso fin de formar en él un es conde Curial cita con elogio á los coroneles d’Uzer y de Tolosé, tado permanente de desorden , dirige esta sencilla y reverente gefe de estado mayor de la quinta división, quienes han dirigido exposición, y en ella habla un pueblo que ha sabido acreditar a Jos tiradores c…</t>
  </si>
  <si>
    <t>…loria, y de los enemigos el oprobio y lentísimo Sr. ministro de la Guerra (francés) lo que sigue -. la vergüenza, asi como es mía y muy mia la satisfacción que El teniente general conde Curial me participa que el 30 de me cabe en haberos mandado el memorable dia 15 de Julio Julio á las cuatro de la mañana se presentó el enemigo contra en que al ruido de1 2 ;añon3 4 acompañabais los dulces grítos de la extremidad izquierda de la línea de circunvalac…</t>
  </si>
  <si>
    <t>Curten, Josef</t>
  </si>
  <si>
    <t>Josef Curten</t>
  </si>
  <si>
    <t>…er se le conceda; y se conforma D. Carlos Benbenuti . D. Josef Saint March, D. Josef Tejeiro, ba con el dictamen del Gobierno. Aprobado. D. Antonio Tejeiro, D. Josef María Doncel, D. Josef Curten. La misma comisión, en vista de la exposición de D. N. ZaEl teniente D- Gregorio López de Boneville. los subtenientes vala , para que se le continúe el pago de la pensión de 4© reales D. Sancho Conejo, D. Mateo Baca, D. Vicente Suarez. El ca que se le habia c…</t>
  </si>
  <si>
    <t>Curtí</t>
  </si>
  <si>
    <t>…ra a! arr. 7 y 7 y del Si'. Soria al 9, opinaba Hab.endose declarado éste presupuesto bastante discutido fue debían aprobarse: asimismo opinaba no debía aprobarse la del aprobado. Sr. Curtí uta al expresado proyecto. Quedaron aprobados los dic be mandó agregar al acta el voto particular del Sr. Rico, con-, trano á esta resniue on.ta ¡11 ras. Se procedió á la discusión de los de la comisión primera de be mando pasar á la comisión de Legislación u…</t>
  </si>
  <si>
    <t>D, Alcalde</t>
  </si>
  <si>
    <t>Alcalde D</t>
  </si>
  <si>
    <t>…o hasta aquí renovándose viembre de 1822; y debiendo rendir cierta declaración en cali una quinta parte en cada año, es claro que viene á ser nula la dad de testigo, ha mandado el Sr. Alcalde D. 'Ladeo Ignacid prerogativa Real de disolverla cuando lo tenga por oportuno. Gil, de acuerdo con los demas Sres. de la Sala segunda de corte, „Por otra parte, es tan seguro como peligroso el efecto que se avise por medio del Diario y Gaceta de esta capital, pa…</t>
  </si>
  <si>
    <t>D, Ar.ton.o</t>
  </si>
  <si>
    <t>Ar.ton.o D</t>
  </si>
  <si>
    <t>…ión; y participando ai m smo t c:vp - que S. M, había nombrado secretar o del Despacho de Estad.,.» ., 1). Y..-., .» Madrid Domingo o de Marzo- Florez Estrada , de la Gobernar oná D. Ar.ton.o D.az de! Mora.. c. &lt;1 na..2 El Rey sigue en cama con los pies abotagados y doloridos. La Reini y Justicia á D. Josef Zorraquin , de Hacienda Y Lorenzo L.jIvo ce Ro continúa aliviada. SS. A A. continúan sin novedad en su importante suiud. zas, de Guerra á D. Jose…</t>
  </si>
  <si>
    <t>D, Carlos</t>
  </si>
  <si>
    <t>Carlos D</t>
  </si>
  <si>
    <t>…o la 14.a pro la Reina y Ja milicia nacional local de Sevilla , á Jas órdenes del posición admitida á discusión en la sesión del 2 del corriente, comandante accidental del Infante D. Carlos D, Joaqum Gon proponía á la deliberación de las Cortes los artículos siguientes: zález—Congreso y archivo la milicia nacional local de Sevilla. Art. i.° Se prohíbe toda reunión de cofradía ó hermandad —Parada todos los cuerpos según lo detallado; el demas servi…</t>
  </si>
  <si>
    <t>D, Carlos Alaría y</t>
  </si>
  <si>
    <t>Carlos Alaría y D</t>
  </si>
  <si>
    <t>…, querido amigo, hemos tenido victoria mas comple aquel augusto guerrero. Esta mañana acompañaron los Señores ta y mas brillante, ni la ha habido tampoco en toda esta cam Infantes D. Carlos Alaría y D. francisco de Paula hasta Alcalá paña. El valiente regimiento de línea ha hecho prodigios: en de Guadaira al Sr. Duque de Angulema, que se dirige á Carmoesta acción han perecido mas tránsfugas franceses que en todas na. El Sr. Príncipe de Carignan los acompañó…</t>
  </si>
  <si>
    <t>D, Infante</t>
  </si>
  <si>
    <t>Infante D</t>
  </si>
  <si>
    <t>…as cuotas v una mitad mas Decreto de S. M., condecorando con el titulo de Duque de de multa con que están conminados. Y para que llegue a noticia Sevilla al hijo rcciennar.ido del Sr. Infante D. francisco de de todos se publica el presente. Sevilla 14 de Abril de 18 23.— Paula. (Gíiiífu del 3 í) Josef Ruia del Arco.=:Jo&gt;ef López Rubio, secretario.</t>
  </si>
  <si>
    <t>…también.=r María Pepa.” » Con motivo de que el Rey de Portugal aeab3 de manifes ■a O g» tar, según parece , al de España vivos deseos de ver á sus lujas, y de que las acompañe el Sr. Infante D, Carlos, advienen iosContinúa el extracto de lar mentiras contenidas en los periódicos editores es de creer que S. M. consultará sobre este negocio al de Cádiz. consejo de Estado , el cual sin duda tendrá presenta el artículo » Diario mercantil del jo de Juni…</t>
  </si>
  <si>
    <t>D, Josef Márquez y</t>
  </si>
  <si>
    <t>Josef Márquez y D</t>
  </si>
  <si>
    <t>…plaza dei ty al 18 de Abril de I 82 palmos: los tenientes también de Granada D. Francisco Aller, Gefe de día el comandante del primer batallón de la M. Né D. Francisco Perrichini, D. Josef Márquez y D. zVntonio Ve- L. de Madrid D. Benito Marrad. lazquez , que fueren los mas digno* modelos de la decisión con Servicio á palacio el Infante D. Carlos y primer batallón de que se portó su tropa. En la caballería de Lusitania no son me la M. Né L. de Sevilla , .í…</t>
  </si>
  <si>
    <t>D, Josef Ramón de Sala y</t>
  </si>
  <si>
    <t>Josef Ramón de Sala y D</t>
  </si>
  <si>
    <t>…, y su provisión ha de ser indispensable Los infrascritos jueces de hecho, habiendo examinado la denuncia mente en el día 15 de Mayo próximo: su dotación rs., pagados de hecha por D. Josef Ramón de Sala y D. josef iuñer, tenientes del re propios y arbitrios: su vecindario 300 vecinos poco mas ó menos: gimiento infantería Inmemorial del Rey, según, se titulan , y el im los sugetos que gusten solicitar , la dirigirán sus memoriales alsecretario preso que acusan , q…</t>
  </si>
  <si>
    <t>D, Juan</t>
  </si>
  <si>
    <t>Juan D</t>
  </si>
  <si>
    <t>…m.sina vecindad, para que al término de ocho dias compa .Mr. Chauvdin: Pido la palabra para reclamar la observancia del re rezca cn la escribanía de Cantara del crimen al cargo de D. Juan D.cio glamento. (Las mismas voces: No, no, no queremos oiría..... Echad á Martínez , en la misma audiencia, ¿efecto de hacerle saber la sentencia pío Mr. Alamud de la tribuna, y poned á votación ia propon c:on de Mr. For nunciada por el juez de primera instancia…</t>
  </si>
  <si>
    <t>D, Juan Díaz del Rivera y</t>
  </si>
  <si>
    <t>Juan Díaz del Rivera y D</t>
  </si>
  <si>
    <t>…porque en plena paz y sin nuuuna especie de lJab!o Echeverría, comandante de escuadrón D.Ramón Nadal ¡y preliminares pasan á veces u cometer artos de hmt..¡dadt vero r.o capitanes D. Juan Díaz del Rivera y D jóse iMaría Cid con el se observa que los blancos los tratan habita límente car. ;ñ';m::c.a valor y decisión que Los caracteriza , se arrojaron al peligro comu y con una insultante desconfianza. No centempor.z.in ni ton su nicando órdenes y dando dirección á…</t>
  </si>
  <si>
    <t>D, Juan Francisco Áiajon y</t>
  </si>
  <si>
    <t>Juan Francisco Áiajon y D</t>
  </si>
  <si>
    <t>…eto sobre habilitación de bandera. antes este plazo. A la comisión de Legislación se mandaron pasar dos exposi Declarado haber lugar á votar sobre la totalidad, quedaron ciones de D. Juan Francisco Áiajon y D. josef Varela y Fuen aprobados todos "sus artículos , variando el 11 en estos términos: tes , en solicitud de carta de ciudadano. » Las disposiciones de este decreto tendrán efecto hasta el x.° de La com.sion de Legislación, en vista de las adiciones de los Ab…</t>
  </si>
  <si>
    <t>D, Leonardo M. N. A. de Cuenca</t>
  </si>
  <si>
    <t>Leonardo M. N. A. de Cuenca D</t>
  </si>
  <si>
    <t>…” acusándole ds incitador á la desobediencia en primer se necesitase , encargando la derecha al mando d*l capitán del batallón grado; y reunido ei jurado, compuesto de los señores D. Leonardo M. N. A. de Cuenca D. Juan Palacio, scsttnido por 30 caballos de Miguel Camerino, D. Baltasar Valcarce, D. Juan Francisco Vielot, Alcántara, mancados por su capitán. La izquierda, ccn La compañía de D. Antonio Puga, D. Pedro Ruiz de Lolzaga, D. Nicolás de Iraola cazadores y 20 cab…</t>
  </si>
  <si>
    <t>D, Nicolás García</t>
  </si>
  <si>
    <t>Nicolás García D</t>
  </si>
  <si>
    <t>…el leerse eh los anima-, en cuya coi.i.cumck se le alzó k fianza, y se condenó en todas ks dos semblantes de todos todos: si quieren guerra, guerra tendrán, ar costas al referido D. Nicolás García D.-niá. rebataba , despintaba recuerdos vivos de los pu.-l» os iibiei de Grecia y Sres. que absolvieron el ref r do impreso: D. Manuel Urbina , Don Roma , y tíc-cia á no poderse dudar: I.a Nación esp anota en lar Joaquín Dacdtya, D. Joscí Linar- s , D, Policarpo…</t>
  </si>
  <si>
    <t>D-nadieu</t>
  </si>
  <si>
    <t>…as instituciones, y los pueblos agoviados por las tropas la catedral de Vich pesaba siete quintales. lebeídes las han hecho finalmente conocer que no hay valGr sin La división del general D-nadieu se comporte de 65) hom honor y sin fidelidad, obligándolas á huir despavoridas delante bres, 49 de los cuales están ocupados en el bloqueo del fuerte de grupos de paisanos inexpertos, pero amantes de su Señor el de Urgel. Solsona esta en poder de las tropas d…</t>
  </si>
  <si>
    <t>D-nnadieu</t>
  </si>
  <si>
    <t>…ico á todos la salida por las puer Gerona 05 de Mayó de 1823 á las dos de la mañana. tas, cuya m:dida da lugar á creer que ss teme mucho el que Sermo. Sr.; H: r c.birlo paites del general D-nnadieu, dados conozcan el. verdadero estado de Barcelona. en Manresa el 22 y 23, y d.l general Cunai con fecha de 23 en Los rcfug.ados franceses y extranjeros son mal mirados aun Mauro. de los m smos revolucionarios: ¡os habitantes del campo, á quie El general Donna…</t>
  </si>
  <si>
    <t>D-zos</t>
  </si>
  <si>
    <t>…s de muchos señores, á quienes debían pagar el ca en estos encuentros el capean Moreui,’el subteniente Dumas y non estipulado cuando les cedieron el terreno , negada la propie. el sargento D-zos, todos del 5.“ regimiento de línea. dad, se quedaban dueñas de los bienes agenos á la sombra ds El mariscal duque de Connegbano saiió el 4 de Gerona para unas leyes que ellos mismos hablan dado aproximarse á Barcelona, cuya plaza deber, de haber embestido Tod…</t>
  </si>
  <si>
    <t>Da-</t>
  </si>
  <si>
    <t>…s otros tan tos enemigos de la Patria y del decoro racional, al salvar una y Los buques apresados son: otro vengarán en vosotros sus ultrages , llevando á su cabeza al Bolívar, su comandante Da- ciudadano general. llicls............................ • • • • 24................ . . 150 Cartagena 13 de Julio de 1813. = Josef María de Torríjos. El Mosquito................... . . . . 18............. Cádiz 6 de Agosto. El Zafiro. ....................... . .…</t>
  </si>
  <si>
    <t>Dalmau</t>
  </si>
  <si>
    <t>Gaceta Española n.º 139</t>
  </si>
  <si>
    <t>…V. S. me cabe la de comu años. Cádiz 14 de Agosto de 1823. ^Manzanares. nicarle estos ráseos de valor de nuestras tropas, que tanto reco miendan su mérito, y en particular el del comandante Dalmau, Con el objeto de disipar los temores vanos ó exagerados que y sargento de salineros Bemtez. En los demás puestos de la línea algunas personas residentes en esta ciudad hayan podido concebir que está á mi cnidado no ha ocurrido novedad. Lo que tengo el por el…</t>
  </si>
  <si>
    <t>Dalmau, Joaquín</t>
  </si>
  <si>
    <t>Joaquín Dalmau</t>
  </si>
  <si>
    <t>…tilizado, señalado go hecho en las avanzadas del portazgo ; con este motivo el co en el art. 3.0, cesará: Primero. Cuando obtuviere alguno de los mandante de la línea del portazgo D. Joaquín Dalmau da el destino» que se dirá en los arts. 9.0 y 11 , siempre que su dota parte siguiente. ción sea igual ai haber que la Nación le abonará como inutiliza Comandancia de la línea del Portazgo. = Ayer á las doce de do ; y segundo. Cuando consiga y tome posesión d…</t>
  </si>
  <si>
    <t>Daly, G</t>
  </si>
  <si>
    <t>G Daly</t>
  </si>
  <si>
    <t>…. hec1 os prisioneros ry milicianos y dos cornetas de ios que escoltaban El ayuntamiento ha acordado noticiarlo al público para su inteli el convoy de la columna al mando de dicho general G Daly , y al- gencia. Madrid 11 de Febrero de i323.=Fracc:seo Fernandez ds hbar» eunus otros que se incorporaron 3 la misma , los cuales han regresado ra , secretario. posierioimcnte. Dios guarde a V. E. muchos años. Madrid 2 de Fe brero de 1 ¡i j g.=:Kxcmo. or.=El…</t>
  </si>
  <si>
    <t>Daly, O</t>
  </si>
  <si>
    <t>O Daly</t>
  </si>
  <si>
    <t>…, cl -.oiu inJant- Tabeada, den y un sulrim ente adin iubie. que rindió la espada , en el ínterin que los .i-mas dicnos oficiales con En Guadaiajara reunidos ya con la columna del general O Daly, soles 40 hombres se abrieron paso á la buon-t.v por m-d o de aqu-i-i descansamos todo el 23 hasta las 6 de ia mañana del 24, que d-apucs ítsiba , y se retin an al resguardo mi'itar de Aatúrias, qu -lando li.ríJo dedesii ar ¡a columna de d eho general por el…</t>
  </si>
  <si>
    <t>Damas</t>
  </si>
  <si>
    <t>…as por el Ermita, o de los Pirineos, y entre otras se Ei general de dicha división es el conde Curial, su cuartel genthallan las siguientes: aal se lialia en Cera. La división del general Damas extenderá Van llegando algunas tropas. Pero , amigo Indicador, 'itas sus operac.ones por Puigcerdá , y se reame en Mont-Lu s, Auson pa .a s :.i ¡.,¡ y,t&lt;&lt;i t tvo e.itiit. A proporción de los oficia lcste éxc.: su fuerza no llegara á 4O hombres de tod'c armas.…</t>
  </si>
  <si>
    <t>…de fragata. La fra general de esta división es el conde Curial, y tiene su cuartel gata Observadora de la misma nación se ha presentado ya en es genera! en Ceret. La división de! general Damas extenderá *us tas aguas. operaciones por Puigcerdi; se reunirá enMont-Luis, Auieste 5íc.: Continúan los armamentos en el puerto de Erest. La fragata su fuerza noAlegará á q3 hombres dr todas armas-----La divi Flora y otras dos estarán prestas á dar ía veía de…</t>
  </si>
  <si>
    <t>Damas, Barón de</t>
  </si>
  <si>
    <t>Barón de Damas</t>
  </si>
  <si>
    <t>…s se le han remitido hace tres dias, del castillo de Figueras ha desfilado y rendido las armas delante por lo que ya estará la plaza por el Rey, como ya lo están, las del Teniente general Barón de Damas. Los enfermos han sido dos plazas de Ceuta y Tarifa. Tenemos también el placer de anunciar que se ha declarado trasportados en carretas. Esta columna de prisior sr„s, en la que se cuentan 103 ofi extinguida la fiebre amarilla manifestada hace días en el puert…</t>
  </si>
  <si>
    <t>Damasco, Angel</t>
  </si>
  <si>
    <t>Angel Damasco</t>
  </si>
  <si>
    <t>…e se presentaron á la vista de este puerto la fragata Consti entre nosotros, con la sola diferencia de ser mas obscuro. Alepo, tución y corbeta Ceves al mando del cap tan de navio D. Angel Damasco, y particularmente el Cairo, no ceden en este punto á nues Labordu. La escuadrilla enemiga que le bloquea tres meses ha lar tras capitales de provincia. Las mozas solteras son muy reservadas gos , compuesta de las corbetas María Francisca y Curabobo, de como…</t>
  </si>
  <si>
    <t>Dámeos</t>
  </si>
  <si>
    <t>…ndo perfectamente auxi ¿Litado de los prisioneros de guerra. liado por todos los,oficiales de su arma, singularmente por el Un mariscal de campo, 3 brigadieres , 3 coroneles, 9 te capitán Dámeos y el teniente ViuUcrct. S» A» R. ha.quedado nientes coroneles, 35 capitanes, 44 tenientes * 38 subtenien muy satisfecho de la manera con que-el teniente cor.qñel de in tes y loso tropa» genieros Dupau ha;dirigido, los-¿abajos,.de ia irincheray . de Ademas se…</t>
  </si>
  <si>
    <t>Damian, Blas</t>
  </si>
  <si>
    <t>Blas Damian</t>
  </si>
  <si>
    <t>…3 dicha Doña Rita de Udi ó al referido D. San interesado , se llevará á su debida egecucion. tiago Salanueva, que vive,calle del Duque de Alba , núm. 27, cuaito Por traslación de D. Blas Damian de la Vega á la judicatura de 3/’, y se le dará una gratificación. primera instancia de Reus ha quedado vacante la de Berga, para la Tratado ds los beneficios eclesiást'cos, obra escrita en italiano por cual se admiten memoriales con sus respectivos extractos…</t>
  </si>
  <si>
    <t>Damian, Lorenzo</t>
  </si>
  <si>
    <t>Lorenzo Damian</t>
  </si>
  <si>
    <t>…chados todos Ies proyectos so rem ti io por el Sr. secretario de este ramo sobre las jubilaciones con bre esta materia que entran con la base del medio diezmo , no pu:dí cedidas á D. Lorenzo Damian y D. Juan Bautista Paiz, empleados en menos de admitirse el que ahora proponemos. El medio diezmo es uai la Hacienda pública , conforme á io prevenido en el art. 18 del decre contribución que en vano se establecerá, porque no se pagará : los con to de 29 de Junio de 182Z. tribuyente…</t>
  </si>
  <si>
    <t>Damian, Víctor</t>
  </si>
  <si>
    <t>Víctor Damian</t>
  </si>
  <si>
    <t>370</t>
  </si>
  <si>
    <t>…testigo del cordial amor . SS. FE. el Sr,. duque del Infantado, presidente de U Re qú: manifestaron á SS. MM. y A A., vitoreándolos sin cesar y gencia en la cautividad del Rey , y D. Víctor Damian. haez, * las autoridades que gobiernan el reino en su cautividad; por m nistro de Estado', llegaron sin novedad ti 27 cíe Agosto á la tarde continuó el víase para Sta. Cruz, renovándose i lá sali Ec.ja, habiendo tenido el singular placer d: ver en. el discurs…</t>
  </si>
  <si>
    <t>…zar. tro reino de Galicia, que pasará su odio de padres á hijos, de “ Otro. generación en generación , y hasta la mas remota é incalculable Habiendo cesado por decreto de este día D. Víctor Damian posteridad. Saez en el Despacho de la primera Secretaría de Estado, he ve „Las relevantes pruebas que en todos tiempos ha dado aquel nido en nombrarle para el obispado de Fortosa, vacante por fa reino de amor y lealtad á sus Soberanos, le han hecho acreedor l…</t>
  </si>
  <si>
    <t>Damre</t>
  </si>
  <si>
    <t>…abot; y efi iné también d comandante de baíatfoé de Safhté Colómb*. ' breve fue destruida , dejando un oficial y cinco soldados heridos El ataqúe de esta casa fue-sostenido por el general Damre* en el campo da batalla * y luego después se vió precisada ¿ ren mont» de la f a.* división, el dital con un batallóndélzo.0 Hggj dir las armas en número da unos 49c hombre»,» entre quienes ro hizo im movimiento por el flanco que produ jo 'los1 mejoreá Jbabia…</t>
  </si>
  <si>
    <t>Dañino</t>
  </si>
  <si>
    <t>…Corto r.o deu.-n perder tiempo en esta que ofrecería. discusión, y qu; diben r.prcbir d art -n o El Sr. Lodarrs: A pesar de las observaciones que contra est; proyec El Sr. Valdés (D. Dañino): Dos cosas me han obligado á tomar to ha hecho el Sr. preopinante, creo que ías Cortes se hallan en el caso la palabra contra este ariicu'o. Ei Sr. Guevara ha manifestada ya su de declarar que ha lugar á votar sobre su totalidad. Me fundo pira esto ficientem…</t>
  </si>
  <si>
    <t>Dañóse, Juan</t>
  </si>
  <si>
    <t>Juan Dañóse</t>
  </si>
  <si>
    <t>…eroso Príncipe á quien el cielo reservaba tanta glo ría; y son el coronal D fManuel Muñoz", primer ayudante de ria después de tantas desgracias, el Sermo. Sr. Duque de Angu E. M.; D. Juan Dañóse*, coronel; D. Ramón Parada , ídem; lema, quiere acabar su obra. El ha observado desde el centro de D. Antonio Hernández,“fcapitan; D. Fernando Bubn de Gilis, la España las operaciones militares emprendidas en fas diversas comandante del batallón de Cataluña;…</t>
  </si>
  <si>
    <t>Danzo, Vicente</t>
  </si>
  <si>
    <t>Vicente Danzo</t>
  </si>
  <si>
    <t>…'.Iá vador Boira, de S. Francisco, P. Buenaventura Vento , ídem, Ramón localidad de aquellas provincias; pero «n la aurtancia son entefamento Salvador, el P. Genaro,.de la Merced, D. Vicente Danzo, presbíte idénticos el uno y el otro. -ri : ■ 1 " 'V ro, D. Ramón Gilafcert, Josef Ortells, Jaime Rey, Lorenzo R itort, Se ha dicho que el eilado de guerrero que ie halla la América D. Juan Domemch, D. Lorenzo Martínez, escribano, D. Matías An hará impractica…</t>
  </si>
  <si>
    <t>Darnley</t>
  </si>
  <si>
    <t>…o tro silencio al público que aprobamos lo propuesto, aunque en tando la reunión de la Cámara para el 10 de Abril. efecto ló desaprobemos, ó el de vernos envueltos en una discu El conde Darnley hizo una pregunta acerca del número sión prematura antes de tomaren consideración los papeles que se adicional de marineros votados para el presente año. nos han de presentar. Yo espero pues que el noble conde refle Lord Melville contestó que el aumento ha si…</t>
  </si>
  <si>
    <t>Daroca</t>
  </si>
  <si>
    <t>…i» cabe El Gobierno ha recibido la exposición siguiente: cillas de levantar - ..v.-ite. Con la restante fuerza me dirijo sobre » Señor: E1 ciudadano D. Antero Henriquez yCevallos, teniente Daroca en observación de la división mandada por Bessieres y el Ro coronel de los egércitos nacionales, ex-gobernador militar y miliciano yo , á ver si continúa en la dirección de Navarra ó contramarcha al nacional voluntario de caballería, i V, M., como Rey constit…</t>
  </si>
  <si>
    <t>Dasder, Vicente</t>
  </si>
  <si>
    <t>Vicente Dasder</t>
  </si>
  <si>
    <t>…as, vecina de Ba tes D. Ramón Casulá y D. Josef Vidal; á las inmediatas ór za , pidiendo que se le permitiese continuar en la tutoría de ut* denes de S. E. los tenientes coroneles D. Vicente Dasder y Don hijo menor que tenia de su primer matrimonio; opinaba que no Josef Mena, á los capitanes D.' Miguel Porcel y D. Manuel de. debía accederse á ella. Aprobado. Zayas, á los tenientes D. Antonio Carballido y D. Agustin Mi La misma opinaba que debia declararse no…</t>
  </si>
  <si>
    <t>Dautel</t>
  </si>
  <si>
    <t>Gaceta de Madrid n.º 133 (extraordinaria)</t>
  </si>
  <si>
    <t>…JUNIO DE 1823. NOTICIAS DE PORTUGAL RECIBIDAS DB OFICIO, V OTEAS CON CASACTEJl DE TALES. El brigadier Josef de Sousa Sampayo, comandante del regimiento de infantería ném. 23, y el coronel Dautel , comandante de de caballcría núm. 4, acompañaron á S. A. S el Sr. Infante D. Miguel á Villaftanca el día 27 del mea pasado, quien publicó luego una proclama. El general Manuel Ignacio Martina Pamplona, que se hallaba después de coen su quinta » tuvo la honra…</t>
  </si>
  <si>
    <t>Davahllo, Juan Martínez</t>
  </si>
  <si>
    <t>Juan Martínez Davahllo</t>
  </si>
  <si>
    <t>…Cuando este gefe principió la per Iliberri, capitán que fue de la extinguida brigada de Carabine secución el 13 de Marzo llevaban los enemigos quince horas de ros, y d ex—guardia D. Juan Martínez Davahllo», ayudante tic ventaja; á pesar de esto los alcanza el 27: derrota y destruye, umpo de Bessieres , con otro oíicial. Se han aprehendido 27 ca arrojando los restos al otro lado del Pirineo. Gloria eterna á tan ballos , mas de 200 armas de fuego, muchas lanzas,…</t>
  </si>
  <si>
    <t>DavaÜflos, Juan</t>
  </si>
  <si>
    <t>Juan DavaÜflos</t>
  </si>
  <si>
    <t>…un sargento, dos cabo» encuentra el ex-brigadler D. Pedro Irriberri, capitán que fue de y jó hombres, que inmediata ¡nenie pasarán de guardia á la fá carabineros, y el ex-guardia D. Juan DavaÜflos, con otro oficial: brica del tabaco t donde se halla colocada la tesorería general, pira se Ies ha tonudo Un estandarte ,'27 caballos, 2¡5o armas de fue custodia de está, y mañana relevará esta guardia el Infante Don go, 7 cajas de guerra y la mayor parte de…</t>
  </si>
  <si>
    <t>Davies</t>
  </si>
  <si>
    <t>…confundiéndose muy particular— general Fergustan, Air.* Hume, Air. Hobhóúscsjr'■ James Alac-mente los:vicios de.los hombres con Lt bondad de la causa; En kiniosli, Air. Graht, el coronel Davies &amp;'&lt;ñ . fin la guarnición-de Lisboa tomó la resolución que todos1 saben, Airl Lambton fue ílomádo par unímmidid á la tribuna. • y.hi fnrrzit dictó l/d'/ey. -* El objeto de la júntá1 era'señalar día* para ti ni’convocación del „ Esta Íes Ja.razba.iiiiica da mi…</t>
  </si>
  <si>
    <t>…no se puede dudar que ha entra del P.; Honcywood , AI. del P., Whitbread , AI. del P.; J. do con fuerzas considerables, y no será arriesgado calcularías en Campbell, AL del I*. ; coronel Davies , Al. del P.; Marryat , M. 100,000 hombres, de los cuales á lo menos u,ooo caballos. El del P.; Davenpovt, Al. del P.; Pelliam , M. del P.; A. lLoburts, ejercito de Blakc está ya fuera de combate; los de Castaños v P.jAI. del P.; G. P. GrJnt, Al. del P.; gene…</t>
  </si>
  <si>
    <t>Dávila, Josef</t>
  </si>
  <si>
    <t>Josef Dávila</t>
  </si>
  <si>
    <t>…Sancho de Varona , da El comandante de la provincia de Veracruz y gobernador del casti 254,616 mrs.: otro en la m.sma renta y cabeza del propio interesado,llo de í&gt;. Juan de Ulua D. Josef Dávila, en carta de 8 de Setiembre de 2io3 mrs.; otro en la propia tema y cabeza del mismo, de 120,11 ¡del año último , manifiesta al ministerio de Marina qus repitiéndose mrs. : otro id. id. , di 262,500 mrs.: otro en alcabalas de Sevilla , enlos medios viles de la…</t>
  </si>
  <si>
    <t>…de la corona, despertó en los ánimos de tario de este ramo, relativo á las providencias tomadas en Veracruz los ingleses el deseo de examinar el origen de la autoridad Real y por D. Josef Dávila con los antecedentes que existían. limites hasta donde podia extenderse. Todo el mundo sabe que esta fue A la comisión Diplomática se pasaron dos proposiciones del señor la causa primitiva que ocasionó la espantosa revolución de 1640, qu0 Zulueta, relativas á…</t>
  </si>
  <si>
    <t>Daza, Benito Fernandez</t>
  </si>
  <si>
    <t>Benito Fernandez Daza</t>
  </si>
  <si>
    <t>…e la diputación permanente , que habla sido frasl idado desde Vigo___La de Tarazona de ia Alanqueda continuando en su encargo, ó el presidente de las Cortes, cha , por dim sion de D. Benito Fernandez Daza, q e habla sido juzguen oportuno reunir á sus diputados; y protestan en nombre trasladado desde la de Castucra----La de Orgaz , por 1 enuncia de de sus comitentes contra cualquiera alteración ó modificación que D. Antonio Midoiell__La da Buanache de Aiarcon e…</t>
  </si>
  <si>
    <t>Dc-mencch</t>
  </si>
  <si>
    <t>…va aquí que hay frecuentes conferencias entre el príncipe Aletternich y Jos De la milicia nacional voluntaría de ambas armas de Vínaroz y por el embajadores de Francia y de Rusia. Sr. Dc-mencch. El archiduque Francisco , hijo segundo del Emperador , reemplaza al De *u audiencia territorial de Valencia , por el Sr. G:I Ordv.ra. archiduque Ranerlo en !d dignidad de virey de -Eombardía ¿ pero antes Del juez de primera instancia del Ferrol, por el Sr. G…</t>
  </si>
  <si>
    <t>Ddlnuu, Jaiqu.n</t>
  </si>
  <si>
    <t>Jaiqu.n Ddlnuu</t>
  </si>
  <si>
    <t>…te, era dominico y filósofo, fue go Piñeiro, á quien he conüado el mando de la línea del portaz perseguido á principios del siglo xvn como incrédulo y conspi go en alternativa con D. Jaiqu.n Ddlnuu , desde el momento de rador; y que también se le acusaba de haber escrito este libro, que llegar á su destino se ded.có con el mayor zelo, actividad é inte según se dicia , circulaba en secreto entre los sabios sus contem ligencia á perfeccionar las defensas…</t>
  </si>
  <si>
    <t>De-</t>
  </si>
  <si>
    <t>…320 6840 97571 El servicio es muy penoso y ocasiona muchas enfermedades. Se Desde 1498 Justa 1507 han establecido hospitales en Perpiñan y en Ceret. Aquí han lle siendo inquisidor general De- gado ya 91 inválidos , y para mañana se espera otra remesa. En ............................. ................. *¡92 8j9 5295- Afles y en S. Jenis se están preparando hospitales. Desde 1507 hasta 1517 » El mariscal ha mandado que vuelvan á Gerona todas las ofi…</t>
  </si>
  <si>
    <t>De-Pablo</t>
  </si>
  <si>
    <t>…suadiros deque por mcd.o de una opera toda comunicación con Pamplona en virtud de su d-claiacion de si ción milagrosa, y de ia cual solos vosotros podríais ser capaces, el tio. El coronel De-Pablo llegó con su co'umna al mismo Puente , en hombre que os parecía tan odioso hace dos dias os sea hoy totalmente donde compró algunos miles de cántaras de vino para Pamplona , y los indiferente? Porque todo este? se necesita para que podáis juzgarle. facciosos…</t>
  </si>
  <si>
    <t>Decano</t>
  </si>
  <si>
    <t>…ime alentísimo Sr. frimer Secretario de Estado y del Despacho con fe ra atención, he venido en resolver que se forme una junta d¿ cha en Lebrija á 6 de este mes por medio del Jlmo.Sr. Decano de personas que nombraré dé diferentes carreras y estudios, de má él, el Rea1 decreto que dice asi: ximas sólidamente cristianas y monárquicas,y conocidas pór'sU „ Al contemplar las misericordias del Altísimo por los ries ciencia , prudencia y fidelidad á mi…</t>
  </si>
  <si>
    <t>…siasmo-,’capaz por;sf'sólo de cicatrizar.susTrerí- cha en la-ciudad de Sevilla £ 9 de este mes, for medio del limo. das, y de hacerlo elevar mas allá de la felicidad, no ha podido Sr. Decano de él, el Real decreto que dice asi: menos que comisionar especialmente á su alcalde D. Celedonio „Las continuas demostraciones dé amor y lealtad qué recibo Josef de Arpe, para qú¿ sea uno dé los primeros que postre á de mis pueblos, y la presencia de muchos…</t>
  </si>
  <si>
    <t>Decano, Cardenal</t>
  </si>
  <si>
    <t>Cardenal Decano</t>
  </si>
  <si>
    <t>…poseído su Sobuha- del cormnte. ko por la muerte de Pió va , y el deseo de que se elija presto un En ia noche que media entre ambos dias hubo un eran ca nuevo Pontífice. El Emmo. Sr. Cardenal Decano contestó con un ñoneo del eje-cito sitiador contra el punto de la Catraca , desde discurso análogo. donde se correspondió d.b lmcnt**. Ayer 29 en la congregación que se tuvo después de la sexta Ei Sr. presidente de ¡a Reg-ncia pasó al puerto de San úcar, tn&gt;s…</t>
  </si>
  <si>
    <t>Decr</t>
  </si>
  <si>
    <t>…le dieran las gracias en su nombre. gar de Cazedo; D. Manuel Yoldi; D. Dionisio Carro; D. Isidro As(Gaceta eit! /y.) torga y Joige Crespo. Todos fueron condenados i muerte por el juez Decr. to de'las Cortes derogando el artículo 4.0 del decreto de 13 de primera instancia; y ya se ha visto qué pena impuso la sala á Car de Matzo del año pasado , por el que se mandó no pudiesen obtener ro , Astorga y Crespo: á Barrio impone la de’io años de presid…</t>
  </si>
  <si>
    <t>Decref</t>
  </si>
  <si>
    <t>…o basta Cabrera, retirándose Luego á sus pun jurar nuestra impotencia. No queremos decir por es tos. to que deban ponderarse las fuerza* de aquel , y -o Habiendo tenido noticia el comandante Decref que se crea que son irresistibles, como se decía de las o. en el pueblo de Casteilgali en la noche del 21 debía Napoleón ; pero tampoco es prudente el que nos fi reunirse una facción, compuesta la mayor parte de guremos que la invasión de la Península se lia…</t>
  </si>
  <si>
    <t>Decreto, Fé</t>
  </si>
  <si>
    <t>Fé Decreto</t>
  </si>
  <si>
    <t>…obierno la instalación Guevara por ¡a de Avila: D. Manuel Pío de Arias por la de de la Diputación permanente. (Gaceta de¿ 7.) Cuenca: D. Joaquin Fuentes del Rio por la de Sevilla: D. Fé Decreto de las Córtes aboliendo el derecho de décima en las lix María Manso , D Manuel Ruiz del Rio y D. Manuel Ca- ejecuciones. ( Gaceta aei 7.) sildo González por la de Soria: D. Antonio Ferrer y D. An Resolución de las Córtes sobre un expediente promovido tonio Ro…</t>
  </si>
  <si>
    <t>Decreto, Fran</t>
  </si>
  <si>
    <t>Fran Decreto</t>
  </si>
  <si>
    <t>544</t>
  </si>
  <si>
    <t>…cias de Ultramar para usar de todas las facultades que de de Guerra. recho les corresponden, sin recurrir á Roma. (Gaceta del 18.) Resolución de las Cortes sobre una exposición de D. Fran Decreto de las Curtes sobre los recursos de nulidad en las cisco Longedo, relativa á cuerpos francos. (Ga eta d l 8.) audiencias de Ultramar. (Gaceta d i sp.) Decreto de las Curtes declarando vigente el art. i,° del ca Decreto de las Cortes sobre el tribunal que debe…</t>
  </si>
  <si>
    <t>Decreto, Francisco Javier Perez de Var</t>
  </si>
  <si>
    <t>Francisco Javier Perez de Var Decreto</t>
  </si>
  <si>
    <t>…ndo que no escucharán propo Emetcrio Martí por la de Cataluña: D. Diego de la Vega In sición alguna relativa á variar la Constitución. ( G ¡ceta aet 8.) fanzón por la de Asturias: D. Francisco Javier Perez de Var Decreto de las Córtes en que se adoptan algunas disposicio gas , marques de la Merced, por la de Jaén ; D. Francisco Ala nes contra los que, validos del ejército invasor , soliciten., admi teo Marchámalo por la de Guadalajara; y D. Pedro Aivarez tan ó sirvan algún de…</t>
  </si>
  <si>
    <t>Decreto, Josef María Calatra-</t>
  </si>
  <si>
    <t>Josef María Calatra- Decreto</t>
  </si>
  <si>
    <t>…os eclesiásti Otra asignando vanas provincias á los ejércitos de operaciones cos. f Ga¡ t.j de¡ 26.) ... 2.0 y 3-u y al de reserva. (Gaceta de ia ) Decreto de S. M, concediendo al Sr. D. Josef María Calatra- Decreto de 5, M. concediendo al ministro de la Guerra 1* va el uso de la media firma, (id icrt.i id 26.) gracia de poder usar de media tirina. (Gaceta del a¿.) Otro (fe Jas Coi tes sobre el empréstito-de la casa de Pernales. (Gacetes del 29.) M.trina. H trimda. Decre…</t>
  </si>
  <si>
    <t>Deischy</t>
  </si>
  <si>
    <t>…reducto y levantó el puen mayor Pétin, al subteniente Lefer, al ayudante Hairf, ios apo te levadizo, habiéndose escapado en el tiempo que se empleó sentadora ;Dumaine é Geille, al brigadier Deischy y a! húsar en ba'iátló. Los 150 dragones intentaron resistir en el arra Schekell. El capitán Delarue ayudante de campo del general bal del ¿tro lado dé la villa, pero los cazadores sostenidos por ''Lauriston se ha distinguido también particularmente. Nosotros…</t>
  </si>
  <si>
    <t>Delahite</t>
  </si>
  <si>
    <t>…te del primer batallón de !a últi «El general Bourke cita con distinción al ayudante de cam ma D. Manuel Zapata—Parada la Reina , milicia act va y mili po de S. A. R., al teniente coronel Delahite , que constante es cia nacional local de Sevilla; el demas servicio y patrullas lo de tuvo en medio del fuego, al coronel del depósito de artillería tallado—Guardia al Congreso y archivo la milicia nacional lo y al capitán Ducier.__Solo tenemos que sentir la…</t>
  </si>
  <si>
    <t>Delarue</t>
  </si>
  <si>
    <t>…biéndose escapado en el tiempo que se empleó sentadora ;Dumaine é Geille, al brigadier Deischy y a! húsar en ba'iátló. Los 150 dragones intentaron resistir en el arra Schekell. El capitán Delarue ayudante de campo del general bal del ¿tro lado dé la villa, pero los cazadores sostenidos por ''Lauriston se ha distinguido también particularmente. Nosotros piquetes del 10 y del 19 de tiradores los cargaron con intrepi hemos tenido algunos hombres heridos,…</t>
  </si>
  <si>
    <t>Delgado, Pedro</t>
  </si>
  <si>
    <t>Pedro Delgado</t>
  </si>
  <si>
    <t>…año las, de los que se fugaron en Julio del año último, entre ellos los Mones y dos hijos del general Grimaresr. El 4 llegó á S.villa un partidario Realista que conducía presos al brigadier D. Pedro Delgado, regidor constitucional que fue de Madrid, y al famoso Luna, tan conocido en todos los alborotos y asonadas; entre sus papeles se hallaba la patente de masón. También llegaban diariamente á aquella cap.tal muchísimas dispersos de Las tropas revolucionarias. L…</t>
  </si>
  <si>
    <t>Delgado, Pedro Alvaro</t>
  </si>
  <si>
    <t>Pedro Alvaro Delgado</t>
  </si>
  <si>
    <t>…tiguas pasamos á los pueblos modernos ve En su vista se reunió el jurado, compuesto de los Sres. siguientes: remos cuan inútiles han sido en todos tiempos los grandes y obstinado* D. Pedro Alvaro Delgado, D. Francisco Luciano Domínguez Villaesfuerzos que han hecbo los Príncipes y Reyes mas poderosos para nueva , D. Antonio Puigblanch, D: Juan Isidoro Perez , D. Isidoro d:stru:r ia libertad con la fuerza. Una nación poco numerosa, pobre y de Hoyos , D. Nicolás…</t>
  </si>
  <si>
    <t>…sco Ballesteros, En su vista se reunió el jurado, compuesto de les Sres. ..siguientes: tendrá la denominación de segundo egército de operaciones. 3.° El D. Francisco Javier Bauza, D. Pedro Alvaro Delgado, D. Mico» egército de reserva del primer distrito militar , á las órdenes del te- Jas Cano de Luque , D. Gregorio Miguel de Mendivit, D. Francisco píente general conde del Abisbal, se denoramará primer egército de re- Travesedo, D. Domingo Villami!, D. Manuel…</t>
  </si>
  <si>
    <t>…edición D. Gregorio Mendivil, D. Juan Fernandez Casariego , D- Manuel Carni en un tomo en 8.°, adornado ton 1 j láminas finas. En esle nuevo ejerci cero, D. Antonio Puigblar ch , D. Pedro Alvaro Delgado , D, Cayetano cio cotidiano se han recopilado todas las mas principales oraciones , por lo Romero , D. Tomas Torrezno v D. Juan Cortés. que es uno de los mas completos devocionarios que hasta ahora se han Habida la conferencia se decidió por ocho votos «haber…</t>
  </si>
  <si>
    <t>Delgado, Santiago</t>
  </si>
  <si>
    <t>Santiago Delgado</t>
  </si>
  <si>
    <t>…es y circunstancias , un cd- do compuesto de los Sres. siguientes: D. Ja me Ru z Abreu , D. Doministradoi,y un cantador en .cada hospital militar con los empleados mingo Villamil, D. Santiago Delgado, D. Szbzst-an Andrés, Don necesarios.si no estuviese por contrata. F.n escaso de que los ramos de Zoií , G m z Casero, D. Gonza'o Cárdenas, D. Juan Fernandez Cjvivires, utensilios y otros se administren por la Hacienda pública , que jariego, D. Juan Manuel de…</t>
  </si>
  <si>
    <t>Demetrio</t>
  </si>
  <si>
    <t>…di las disposiciones convenientes para variar la dirección de desengañados de las falsas promesas de los que bajo el nombre de liber la marcha y perseguir á la gavilla, y envié ai general D. Demetrio tadores no son en realidad sino sus destructores, gocen de las benéficas O-Daly para que hiciese lo mismo , y para que ss dirigiese á Peraieja leyes que rigen en la monarquía española, de la que no puede ya de la pequeña columna de 150 hombres y 60 caballos q…</t>
  </si>
  <si>
    <t>Denis</t>
  </si>
  <si>
    <t>…ertas se encontró el 26 en Mansanale y Torre, sobre el camino de Lugo , con un destacamento enemigo, á quien le mató 6 hombres y le cogió un oficial , 3 soldados y 10 caballos: el sargento Denis, del 7.0 de cazadores, se ha distinguido en este encuentro. __EL general Morillo, comandante de las tropas constitucionales en Galicia , indigna do de la conducta que han tenido las cortes con el Rey de España, se ha negado &amp; re conocer la regencia que estas…</t>
  </si>
  <si>
    <t>Denla, Nicolás García</t>
  </si>
  <si>
    <t>Nicolás García Denla</t>
  </si>
  <si>
    <t>…para el flores jueces de hecho •, calificaron per mayoría con la fórmula de ahreemplazo del egército animados 'del mejor espíritu ponian sus som suelto , un impreso denunciado por D. Nicolás García Denla, que pu breros en ks nubes; un gentío numeroso Ja circundaba , el repique ge-j blicó D. Antonio Mari» Cortés con Leba de 19 de Octubre de 1821; neral de campanas , las salvas de artillería , y el leerse eh los anima-, en cuya coi.i.cumck se le alzó k fianza,…</t>
  </si>
  <si>
    <t>Depablo</t>
  </si>
  <si>
    <t>…pueblos por donde pasar.. Son vivamente acosados por nuestra cia sus infractores cuando se les impongan las penas, las cuales se egeettvanguardia y la columna del mando del digno coronel Depablo, y en el tarán irremisiblemente. Madrid 23 de Febrero de iBeg.zzMiguel García d a de ayer se les ha muerto ó cogido 40 hombres sin ninguna pérdida por de la Madrid, segundo alcalde constitucional. nuestra parte. Juicios de jurado. » La columna del mando del g…</t>
  </si>
  <si>
    <t>Derecho, Duque del In Instituciones del</t>
  </si>
  <si>
    <t>Duque del In Instituciones del Derecho</t>
  </si>
  <si>
    <t>…ver que ésta obrita. Véndese á 6 rs. en rústica y 8 en pasta en las li la imaginación corría mas que la lengua. brerías de Rodriguez y de Paz. S. M. ha venido en admitir al Excmo. Sr. Duque del In Instituciones del Derecho español , escritas por los Dres. Aso fantado la rehunda que ha hecho de ¡a Presidencia dé Castilla, v Manuel, corregidas-y adicionadas por D. Joaquín María Pa para que pueda dedicarse exclusivamente, como ló ha propuesto, lacios—Introducción al estudio del de…</t>
  </si>
  <si>
    <t>Derrama</t>
  </si>
  <si>
    <t>…e su cooperación en la crisis que amenazaba á ote reino con su antigua y fiel aliada la Gran Bretaña; y asi juzgo urgen la Península: el ministro dijo: En cuanto á Ja pregunta del Sr. Derrama tísimo que la comisión diplomática dé cuanto antes su dictamen sobre él do no puedo satisfacerla mejor que repitiendo la» expresiones del minis asunto que repetidas veces se ha presentado por el secretario de Relaciones tro de S. M. B. citeriores, á fin de qu…</t>
  </si>
  <si>
    <t>Derramado</t>
  </si>
  <si>
    <t>…Infracciones de Constitución. dada por el ministro de Relaciones exteriores a la interpelación que le hizo El Sr. Franzini dijo: En todo tiempo, y especialmente en las actuales el diputado Derramado, para que manifestase las contestaciones dadas por circunstancias, conviene estrechar cada vez mas los vínculos que unen á el Gobierno ingles acerca de su cooperación en la crisis que amenazaba á ote reino con su antigua y fiel aliada la Gran Bretaña; y asi j…</t>
  </si>
  <si>
    <t>…ue ios pueblos de hecho en la discusión, dijo el ministro: Por io que hace á las preguntas ben recibir sus Const.tucioncs de ¡os Reyes; que esperaba que o. Al. Crisque ha hecho el Sr. Derramado debo decir que no puedo explicar mejor ■ t.anís:nía desistiria.de su intento, pues que no podían ocuparse .1 su pene la mente del Gobierno ingles que repitiendo las mismas palabras dcT mi tración lo, resultados de une vu.rra que acataría de poner en combustió…</t>
  </si>
  <si>
    <t>…onseca Bangel habló largamente proponiendo una La misma com:s&lt;on opinaba se accediese á la solicitud Je enmienda. Doña Josefa Pérez sobre concesión de la viudedad que la corres El Sr. Derramado dijo que hallándose el general Sepúlveda pondía por muerte de su marido. Aprobado. dentro del edificio de las Cortes seria bueno fuese introducido La comisión de Casos de responsabilidad, en vista ¿le! volu en la sala, á fin de que oyéndole se pud.ese votar c…</t>
  </si>
  <si>
    <t>…a nación dando leyes Extracto de noticias. 'cuando ni tienen fuerza efectiva, ni siquiera nominal. Este es mi voto. De ¿os periódicos ¿i? Cata luis a hasta el' ¡jo de M ¡y*. El El Sr. Derramado apoyé) la Indicación, y lo mismo hicieron, brigadier Llobera había tenido una acción contra un nú miro su varios Sres. diputados, y el'Sr. Serpa Machado habló en los tér perior de enemigos, y le, causo mucha perdida; la nuestra fus minos siguientes: de unos 5…</t>
  </si>
  <si>
    <t>Derrotours</t>
  </si>
  <si>
    <t>Núm. 65. ( 7 cuartos.) got IC#Ié£éléí#)íÉM^ GACETA DE MADRID DOMINGO 2 DE MARZO DE 1823. ¿s o—o,-* NOTICIAS EXTRANGER AS. dice que debe pasar al mismo puerto el contra-almirante Derrotours , y salir para el Mediterráneo con una parte de los buques que se están ar CIUDADES ANSEATICAS. mando. Francfort 8 de Febrero. El Diario de Tolosa trae una carta de Perpiñan del 12 , según la cual De algunos días á esta parte se habla mucho de un tratado de a…</t>
  </si>
  <si>
    <t>Descacho, Secretario del</t>
  </si>
  <si>
    <t>Secretario del Descacho</t>
  </si>
  <si>
    <t>Gaceta de Madrid n.º 90 (serie tercera)</t>
  </si>
  <si>
    <t>…DE OFICIO. M VIVA El REY. CDn fecha -de i .» del comente escribe el Excmo. Sr. Secretario de Es tado desde el Puerto de Sta. María á las doce menos cuarto del áh al Ex cedentísimo Sr. Secretario del Descacho de la Marina lo siguiente: En este momento acabamos de tener el inexplicable consuele de que el Rey con toda su Real Familia ha desembarcado en este mismo Puerto en tre las aclamaciones y bendiciones de un inmenso concurso de españoles y franceses, sin que se…</t>
  </si>
  <si>
    <t>…ción , que hubiera sido admitida ha El Comandante general de Granada cm fecha 27 de Sc tiem~ ce dos años, no lisonjeará aho»a mucho á los griegos, dueños rit último dice al Excmo. Sr. Secretario del Descacho de la Guer- va de cinco á seis plazas muy fuertes, de una excelente marina Tíl tn un parte muy extenso, entre otras cosas , lo siguiente: y de un ejército considerable. Como estas tres cosas son las que D. Luis Moreno, Comandante de una partida da Realistas,…</t>
  </si>
  <si>
    <t>…inos que manifies JEl Capitán general de las Islas Baleares D. Josef Tahemer con ta el adjunto ejemplar, no encontró límites con que expresar su . fecha 14 del corriente dirige al Sr. Secretario del Descacho de la' regocijo en el momento que supo la libertad de V M. y su Real . Guerra el parte que sigue: " Familia: por suceso tan portentoso ha tributado las mas humil Excmo. Sr.: EL Gobernador militar y político de la isla de des gracias al Altísimo; y felicita á…</t>
  </si>
  <si>
    <t>Descalzas, Josef</t>
  </si>
  <si>
    <t>Josef Descalzas</t>
  </si>
  <si>
    <t>…aciendo mención honorífica en este número del juez compañía de Toledo echando el puente levadizo sale del fuerte de las de primera instancia D. Andrés Casajus y su promotor fiscal D. Josef Descalzas y y habiéndosele unido algunos patriotas, ocuparon al instan- Veiea , de los empleados públicos de Hacienda, los de la diputación tante la puerta de Alcántara : sorprendidos los enemigos , el desorden provincial, y en fin de todos los del gobierno político, q…</t>
  </si>
  <si>
    <t>Deschampe</t>
  </si>
  <si>
    <t>…del Campo. de ArhauHjouguus , el vizconde Picot de Prccaduc, el barón de Faverot, — Los ciudadanos de todas las corporaciones y clases que componen el barón Ruhauil de Fl-ury y el barón Deschampe. la marina nacional del departamento de Cádiz, felicitan á S. M, por las __lambí-11 hemos r.c b do el ¿Vaticinio de la Havana que alcanza enérgicas contestaciones dalas 4 las notas que'pasaron los enviados de luiH el 28 de D ciembie, y varios bo &lt;t nes y proc…</t>
  </si>
  <si>
    <t>Desde</t>
  </si>
  <si>
    <t>…por el otro mes que permite el artículo 107 de la Constitución política de la 1110- AVISO. narquia. Cádiz de junio de 1823.—Tomas Jener., presidente. -Domingo Eulogio de la Torre, diputado Desde lioi en adelante se admiten suscrieiones i secretario.— Francisco detjdaula de Soria., diputado la Gaceta del modo siguiente : Ku las piovincias íjoo secretario. reales por año; 200 por seis meses, y iuo por tres: y aquí en Cádiz por año 54 í; por seis meses…</t>
  </si>
  <si>
    <t>Despacho, Jel</t>
  </si>
  <si>
    <t>Jel Despacho</t>
  </si>
  <si>
    <t>…sfacción. Cuartel general de Agreda i.u de Marzo-de 1.0 2 3.“Exorno. Sr.mhl con •» Loque traslado á V. f¡. para su satisfacción v la de $. M. . man es de del Abisbal.trlixcmo. Sr. secretario Jel Despacho de la Guerra, tándole que he hecho saber a los valiente* &amp; Vinar01 nu gratitud y ia de</t>
  </si>
  <si>
    <t>Despacho, Secretario del</t>
  </si>
  <si>
    <t>Secretario del Despacho</t>
  </si>
  <si>
    <t>…erán siempre documentos irrefra neral de Torija 24 do F,nero de i82?. = Excmo. Sr. =s Demetrio Ügables que deshonren á estos Gobiernos, dios son también ¡os que for Daíy.=r Excmo. Sr. Secretario del Despacho de la Guerra.” man el contraste mas glorioso para el nuestro, comparados con la con Juicio de jurados, testación dada i ellos. D. Domingo Fernandez de Angulo, uno de los editores del Espec n Parecía imposible que tn el siglo xix se reuniesen en Verona tador ,…</t>
  </si>
  <si>
    <t>…tados amerio&gt;mente ; y por ú-ttrr.o Habiste sobre este asunto coa toi datos que ofrece la misma memo-; que reconociéndose ¡as mismas excepciones que ¿diera se reconocen en ría del Sr. Secretario del Despacho de la Guerra. De ellos resulta quela los decretos vigente, , siempre se retardaran los reemplazo» mas de Jo fuerza del egéro to permanente i fines del año 21 era de ji3 hombres,_¡ conveniente. Las Cortes anterio'es decretaron un reemplazo de 73 hombres, que E…</t>
  </si>
  <si>
    <t>…e ocupasen mas bien de una lev de El Sr. Salva : La comisión está muy de acuerdo con las ideas policía que nos diese á conocer quienes son los hombres malos, que ha manifestado el Sr. Secretario del Despacho sobre que los quienes los buenos, quienes están en iste sentido, quienes arel cómplices de un delito sean castigados con arreglo á la pena seña otro: esto es ¡o que yo quisiera, y esto es lo que creo que debe lada al autor de él ; mas en esto no lia hecho mas…</t>
  </si>
  <si>
    <t>…abjurar su* errores. El fuego sos El Teniente General Conde de España, en 17 del presente tenido de la plaza y ciudadela daba motivo á creer que no cedeme*, ha dirigido al Excmo. Sr. Secretario del Despacho de la ría basta haberse abierto brecha en las obras del frente atacado; Guerra el parte siguiente: pero la divina Providencia tenia dispuesto que el sistema revo » Excmo. Sr.: Gracias á Dio*: los esfuerzos del ejército alia* lucionario se viese derrocado y ex…</t>
  </si>
  <si>
    <t>…16 de Julio de 1823 .—Señor.zaAL. P. El Capitán General de Valencia con fecha 29 de Setiembre de V. A. S.rrFrancisco Bermudez de Castro.“Antonio García.27 próximo pasado dirige al Sr. Secretario del Despacho de la Guer Pedro Josef de Herrera.xxju'atl Martin.—Manuel Sánchez vGira el parte siguiente: lindo.—Josef Tamariz. —Manuel Laina. = Francisco de Torres El Capitán D. Joaquín Cros, comisionado en el puerto del Mantilla y Venegas.” Grao, al darme cuenta en este…</t>
  </si>
  <si>
    <t>…e ciones, que se han inmortalizado, en la gran lucha de la lealtad Qttesada 'desde su cuartel general en el Gordo con fecha i.° del contra la rebelión. ■ * ’ . corriente dirige al Sr. Secretario del Despacho de ¡a Guerra el &lt;. En todo el ámbito dé la Península y en las vastas regiones parte siguiente: del otro hemisferio espáñolinó .se oigan mas que,himnos de.ben dición y de jubiló, cánticos de. alabanza., de reconciliación y de En esta.madrugada he recibido, un…</t>
  </si>
  <si>
    <t>…4y GACETA EXTRAORDINARIA DE MADRID su JiArrEs 7 bb jdctubrb 021823* ARTICULO DE OFICIO. El Sr. Secretario del Despacho de Estado desde Jerez, con fecha de 4 del corriente, dice al Sr. Secretario del Despacho de la Guerra lo que sigue: ’• '. - ... " „ A las siete de la mañana de hoy he recibido una carta del Teniente general Conde de Bourdessoulle, enque me comunica que las tropas de S. M. Cma. han tomado posesión de las plazas de Cádiz y S. Fernando en nombre del…</t>
  </si>
  <si>
    <t>…bilidad de sus cuerpos , los que serán conservados con todo cuidado, yEl comandante general de las provincias Vascongadas con fecha según su importancia. S del corriente dirije al Sr. Secretario del Despacho de la Guer - Ar. xo. Se concade á la guarnición un carro cubierto, que sal ra la capitulación de la plaza de S. Sebastian, y es como drá de la plaza, y llegará sobre el territorio francés sin que bajo sigue • pretexto alguno pueda ser reconocido ni de un id o…</t>
  </si>
  <si>
    <t>…imo Rey, Soberano y Padre benéfico de la Na Por el Ministerio de ia Guerra se ha comunicado con fecha 16 ción española, por quien han suspirado y padecido durante su del actual al Sr. Secretario del Despacho del interior la Real or larga y espantosa esclavitud; y á manifestarle que nada les satis den siguiente: fará hasta que llegue el dichoso momento de ver á V. M. y AA. Enterado el Rey nuestro Señor de la bizarría é intrépida? dentro de los muros de la antiquís…</t>
  </si>
  <si>
    <t>…anquearían por la Otro. El Sr. Secretario de Estado y del Despacho con fecha de 6 intendencia de Sevilla 2 oo¡) rs. desde luego para empezar ó se del actual desde Lebrija, dice al Sr. Secretario del Despacho de guir haciendo ¡as compras de renglones y enseres mas precisos la Guerra lo que sigue: El Rey nuestro Señor ha resuelto que á para sil desempeño-, qué por los motivos expresados Le eran ne todos los Sargentos, Cabos, Músicos, Tambores, Pífanos y Sol cesario…</t>
  </si>
  <si>
    <t>…impíos. Inquisición, beñor, Inqui■El Cú»¡a,xlante general interino de Valencia y Murcia D. Luis sici n, para que no haya en España mas Reyes que los Barbo Amat y de Teran dice al Sr. Secretario del Despacho de la Guerra nes, ni mas Religión que la Católica. con fecha II del actual de-de Valencia lo siguiente: „ Dios, Señor , prospere á V. M., bendiga á su Real Fami Ahora que son las cuatro de la tarde acaba de llegar un bar lia , y nos mantenga á todos en amor á…</t>
  </si>
  <si>
    <t>…pacho de Gracia y Justicia, Miér tampas , calle Mayor, y en el puesto de Hermoso, á 4 rs. en coles y Sábados ídem. negro y á 10 iluminadas. También se hallará en dichos parages El Sr. Secretario del Despacho d* la Guerra, Martes y Sá- ' otra .estampa del mismo tamaño de los voluntarios Realistas de bados Ídem. Madrid, á 4 rs. en negro y á 8 iluminada. El Sr. Secretarlo del Despacho de Marina, Lunes y Jueves Nota. En la gaceta del martes pág. 420, col. 2.a al fin…</t>
  </si>
  <si>
    <t>…al de Campo D. Manuel de Llauder, Capitán gene riente por el Excmo. Sr. primer Secretario de Estado al Excelen ral de las provincias Vascongadas , noticioso de la venida de tísimo Sr. Secretario del Despacho de la Guerra, se ha servido S. A. R., salió ayer á su recibimiento á los confines del distrito declarar S. M. que el Real decreto de t.° de este mes, en que se de su mando, y encontrándole entre la Puebla y Miranda de mandan suspender las purificaciones de to…</t>
  </si>
  <si>
    <t>…n sus destinos por se El Gobernador militar y político de- Ibkct desde dicha flaza con guir á los revolucionarios queden privados de sus phizas, se . fecha 10 de! actual dirige al Sr. Secretario del Despacho de ¡J prevenna al Gobernador Subdelegado de Rentas de Cádiz que Guerra el oficio siguiente: nada entregue á los empleados de que habla su consulta, y que „ Excmo.br.: .Animado de los mas vivos sentimientos d«</t>
  </si>
  <si>
    <t>…los drid 23 de Diciembre de 1823. héroes de la gentilidad; y muriendo los Macabeos por las leyes patrias y por la santidad del templo, tampoco hicieron mas que Aviso que dirige al Sr. Secretario del Despacho de la Guerra el los Realistas burgaleses. Intendente del ejército francés en España. „Para asegurar estos adorados objetos los que sobrevivimos Ejercito de los Pirineos.z= Intendencia militar.zzEl Inten á aquellos destrozos propusimos por el conducto de nuest…</t>
  </si>
  <si>
    <t>Despacho, Secretarip del</t>
  </si>
  <si>
    <t>Secretarip del Despacho</t>
  </si>
  <si>
    <t>…de dichas oficinas; y en El'espitan general deCastillala Visjadesde Salamanca coa terada S. A. S., y de los perjuicios que semejante conducta oca fecha 15 del corriente, dírig* al Sr. Secretarip del Despacho de la :siona i los acreedores del Estado, se ha servido resolver que por Guerra el parte siguiente: t ningún pretexto se eche mano de los fondos del Crédito públi • ■ ! *i Por les partís qss he recibido resultan nuevas pniébat-da co, ni por los intendentes, n…</t>
  </si>
  <si>
    <t>Despees</t>
  </si>
  <si>
    <t>…ema que haya de seguirse después de los seis meses YOics de ni años, y que 110 este» sujetos á la po espresados. testad du sus padres. Se mandó pasar á la comisión una adición del Sr. Despees de una lijera discusión quedó aproba MuíII al artículo primero , para que en atención á do este artículo. la mucha distancia á que se hallan las Has Ganarlas El Sr. presidente anunció que hallándose pre y dificultades en las comunicaciones con la Ec 11 ínsu s…</t>
  </si>
  <si>
    <t>Después</t>
  </si>
  <si>
    <t>…ra á Antonio Garrote, vecino y tabernero de la villa da Fuentes; con =Excmo. Sr.r=Agustin Arraendariz.” apercibimiento que de no hacerlo se entenderá con los estrados de la sa P. D. Después de puesto este oficio se me han presentado los tres la, y le parará el perjuicio qu: haya lugar. oficiales que fueron hechos prisioneros con toda la tropa que tuvo la ANUNCIOS. misma suerte, i los que ha puesto en libertad Bessieres , dando á los Estado de la…</t>
  </si>
  <si>
    <t>…hubiera habido que luchar si se hubiese adoptado provincial de Gerona para acordar lo mas conveniente, desde otro sistema. donde dice se dirigirá hasta Tordera , donde se halla el general Después de una larga discusión quedó desaprobada Ja propo D. Gaspar Blanco con 1400 hombres. sición por 142 rotos contra 48. Según cartas de Marsella parece que los fondos españoles des fíe habia recibido en Londres una carta de Bayona, en la cual de la invasión han…</t>
  </si>
  <si>
    <t>…él dictamen de la comisión Primera de que acrediten su aptitud, obteniendo nota, de apro Hacienda sobre cobranza de derecho de patentes. bación conforme á reglamento en el examen general Después de algunas' lijaras observaciones hechas que bao de sufrir de todas las materias correspondien por el Sr. &gt;a vari o Tejeiro, á las que satisfizo el Sr. tes ;i las clases primera, segunda y tercera. Suri 'i. bolín logar á votar sobre la totalidad del dic- 5. 0…</t>
  </si>
  <si>
    <t>Despules</t>
  </si>
  <si>
    <t>…s. Becerra y González se opusieron a! dictamen de ia cio de las Cortes á 30 de Mayo de 1823.2sJ11.rn de Sonsa Pinto- comisión. de Magallanes, prcsidente.i=Eruncisco Boto Pimentd , diputado Despules de haberlo apoyado el Sr. Seoane, se declaró el asun secrctario.ee;Antonio Vicente de Carvalho de Sousa, diputado to suficientemente discutido, Y no hubo lucar á votar sobre el. secretario. A la comisión, de Legislación se mando pasar un oficio del NOTICIAS D…</t>
  </si>
  <si>
    <t>Diaga, Manuel</t>
  </si>
  <si>
    <t>Manuel Diaga</t>
  </si>
  <si>
    <t>…e, y no contienen noticias de la mayor trascen llería en persecución de facciosos D. Víctor Sierra, resulta que dencia. Continúan los preparativos militares, la agitación en mu el teniente D. Manuel Diaga y el alfer ez D. Ramón Franco , del chos puntos de la Francia, las causas contra los que han dado regimiento de Calatrava, con dos pequeñas guerrillas de indivi gritos sediciosos &amp;c. &amp;c. duos del propio cuerpo batieron y persiguieron separadamente á La famosa…</t>
  </si>
  <si>
    <t>Diario</t>
  </si>
  <si>
    <t>…ura tenemos; pero siquiera debiéramos no ■ (?) {Y habrá valor para mentir tamo ? manifestarla tan á las claras. (4) Siempre »e lian preciado los hermanos de ser tap polí (ii) Hste Sr. Diario, que es el mismo Trapero, time el tnitticos. tno mal que su anterior compañero,</t>
  </si>
  <si>
    <t>Díaz, Bernardo</t>
  </si>
  <si>
    <t>Bernardo Díaz</t>
  </si>
  <si>
    <t>…rdida consiste en cuatro muer en el término perentorio de 30 dias comparezca ante el Señor tos y 1 2 heridos. (Siguen las recomendaciones.) D. Manuel Josef Rubio , y escribanía de D. Bernardo Díaz __La dolencia de Mina se agrava mas cada dia. El bloqueo de de Antoñana por sí ó por medio de procurador á usar de su Barcelona es completo por tierra. derecho en los autos que con el mismo sigue D. Juan Moreno Milans y Llovera, que se dirigieron precipitadam…</t>
  </si>
  <si>
    <t>Díaz, Braulio</t>
  </si>
  <si>
    <t>Braulio Díaz</t>
  </si>
  <si>
    <t>…n loque la tenga, con apercibimiento de Lasan, Mateo Alonso y León Peñaranda. que-pasado el término de derecho se proseguirá en su ausencia Ja Batallón del General. 2.0 Comandante D. Braulio Díaz: causa sin emplazarle mas hasta la sentencia definitiva , habiendo de teniente coronel D. Francisco Matali: capitán D. Pedro Mir: lotificarse ios autos que se proveyeren en los estrados de este tri ayudante D. Francisco Sánchez : teniente D. Martin Bastida: s…</t>
  </si>
  <si>
    <t>Díaz, Clemente Fernandez</t>
  </si>
  <si>
    <t>Clemente Fernandez Díaz</t>
  </si>
  <si>
    <t>…ra poder resolver con seguridad sobre la ma La couvsiou de d.putJcioncs piovmciales, en vista de Ja so teria ; y yo añadiré ahora que las Cortes no solo necesitan tener licitud de D. Clemente Fernandez Díaz ,^tíel comercio de acta esos datos y esos antecedentes , sino también examinarlos y calcu ciudad , opinaba debía accederse a su solicitud. Aprobado, lar sobre ellos. Desgraciadamente c» lo poco que he visto se co Se mandó pasar ai Gobierno una exposición pres…</t>
  </si>
  <si>
    <t>Díaz, Juan Gómez</t>
  </si>
  <si>
    <t>Juan Gómez Díaz</t>
  </si>
  <si>
    <t>…icua, Berlín y fiant Petersbur¡,o. se leyó también una exposic 011 del ju.-.z de primera instancia demisión .añadiendo qu: se d jes: al Gobierno qu: la» Cortes qu-daban esta corte D. Juan Gómez Díaz sobre lo mismo , v recavó «n ellasentéralas, y esperaban la mis pronta egecucion de las lvyr»: que en cumio á la indicación del Sr. Acursio das Neves se declarase en el ac i/.uai resolución que »ob.¡3 de ios indjviduos dar regirn-ento de Al cántara y de artil…</t>
  </si>
  <si>
    <t>…inspector general del arma pasará con Pedro Sánchez Trapero, como injurioso á su persona; y en su la menor demora posible á la intendencia general militar relacio consecuencia el Sr. D. Juan Gómez Díaz, juez de primera ins nes por cuerpos, que expresen todas las circunstancias contenidas tancia de dicha heroica villa, pronunció la sentencia siguiente: en la medida anterior, y ademas el nombre y clase del asignan Habiéndose observado en este juicio todos los…</t>
  </si>
  <si>
    <t>Díaz, Juan Gómez y</t>
  </si>
  <si>
    <t>Juan Gómez y Díaz</t>
  </si>
  <si>
    <t>…as. desplegar todos los recursos de su zeto por la justa causa , dictarán las Tumii, a.ks. medidas convenientes para que los pueblos, cuyo vecindario primita En el juzgada del Si- D. Juan Gómez y Díaz , ministro togado ho hacer una defensa gloriosa contra lo* enemigos del reposo público, pe norario , juez de primera instancia en esta M. H villa y escribanía al reque carecen de guarnición, oponga n con sus milicias locales una resis cargo de D. Juan de la P…</t>
  </si>
  <si>
    <t>Díaz, Manuel</t>
  </si>
  <si>
    <t>Manuel Díaz</t>
  </si>
  <si>
    <t>…nimidad es preciso que subsista ¿n apoyo del dictamen, A la de Guerra con urgencia se mandó pasar una exposición pues cuando la comisión ha examinado este asunto , y ha propues de D. Manuel Díaz, haciendo observaciones sobre el arreglo pa ta que ha lugar ¿ exigir la responsabilidad, parecería efectiva ra la mejor organización de los batallones de milicia nacional. mente que no habia fundamento para exigirla sino se aprobase el local. dictamen. Por es…</t>
  </si>
  <si>
    <t>Díaz, Manuel Serrano y</t>
  </si>
  <si>
    <t>Manuel Serrano y Díaz</t>
  </si>
  <si>
    <t>…ala, á fin de que oyéndole se pud.ese votar con mayor co minoso expediente promovido por D. Manuel Echevarría contra nocimiento de causa, cuya propuesta, habiendo sido apo)ada por D. Manuel Serrano y Díaz , juez de primera instancia de PuertoJos Sres. Botto, Pimer.tel y Serpa Pinto , se resolvió fuese llama Real , opmaba no se estaba en el caso de exieirse la responsabi do d'dio general, é inmediatamente d.chos Sres. secretarios le in lidad al citado Serrano,…</t>
  </si>
  <si>
    <t>Díaz, Melchor</t>
  </si>
  <si>
    <t>Melchor Díaz</t>
  </si>
  <si>
    <t>…oderoso, rogando al mismo tación de la villa de Budia, compuesta del Lie, D. LjandroBe* tiempo por la salud de S. M. y su Real Familia, y pronta co cerrd , abogado; D. Joscf Romo, D. Melchor Díaz, D. Al locación en su trono, del que le arrancó la traición y la perfi fonso Alonso, D, Rafael Verde y D. Fernando Bautista, pro dia ; á cuya función, previo anuncio de repique general de cam pietarios; y el primero dirijió á S. A. S. el discurso siguiente: p…</t>
  </si>
  <si>
    <t>Diaz, Vicente García</t>
  </si>
  <si>
    <t>Vicente García Diaz</t>
  </si>
  <si>
    <t>…1B25. Resolución de las Cortes sobre dos solicitudes relativas i que se ex pidiesen á dos soldados sus licencias absolutas. (Gacela d.-¡ 29.) Consejo de Estado. Por traslación de D. Vicente García Diaz á la judicatura de Cal das de F.eyts ha quedado vacante la del partido de la Coruña que Orden general del 29 al go de Enero. obtenía, y paro su provisión se admiten memoriales de pretendientes por termino de 30 días. Palacio 29 de Enero de 1823. Se pondrán en…</t>
  </si>
  <si>
    <t>Diccionario</t>
  </si>
  <si>
    <t>…omo Dios sabe, confiamos en el auxilio que nos ven ga de tropas, pertrechos y dinero. Dios guarde á V. S. I. muchos ANUNCIOS. años. Moyo y Junio g de ;322.=Fernando Sánchez. =Umo. Sr. Don Diccionario geográfica universal , que comprende la descripción de Fr. Hípólito Sánchez Rangel , dignísimo obispo de la diócesis de las cuatro partes del mundo y de las naciones , imperios , reinos, repú Mamas.” (En los números siguientes publicaremos copia de algunos bl…</t>
  </si>
  <si>
    <t>Dice</t>
  </si>
  <si>
    <t>…ación para vice-presidente quedó elegido el Sr. Se til Sr. Canea: I.a comisión se conforma con esta modificado a deño por 67 del total 12 r .habiendo tenido 14 el Sr. Pachc-co, El Sr. Dice: Ale he opuesto á la totalidad del proyecto que 11 cada uno de los Sres. Falcó y Alcántara , 3 el Sr. Nuñez se discute, poique estoy persuadido de que es un equivalente d (D. Toribio), 2 cada uno de Jos Sres. Tomas , Pedralvez, Reh d&gt;.l derecho de registro; y…</t>
  </si>
  <si>
    <t>Die</t>
  </si>
  <si>
    <t>…onca dió la diputación. Vuelta esta al congreso, dió parte del resul con iivoo hombres según uno», y con 4® según otros, dispo tado: hizo Galiano proposición de Regencia; se opuso D. Die niéndose para entrar en esta ciudad. El pueblo se consterna, mugo de la Vega Infanzón: Vega habló con extraordinario vaior, chos tratan de impedirle la entrada ; preparan cañones en el fue interrumpido por diputados y asistentes que habían llenado puente de T…</t>
  </si>
  <si>
    <t>…libertad de im vación de las libertades patrias; El Sr. D. Juan Jabat......................... libras esterl, 200prenta , que á pesar de la guerra que la hace la Santa Alianza la D. Die go Colon, primer .secretario. . . 3°considero como el baluarte de la libertad de Inglaterra, y espero D. Teófilo Bouligni, segundo secretario. 5que mientras aquella exista y se celebren jumas como la presente, D. Wenceslao Sierra , id.........................…</t>
  </si>
  <si>
    <t>Dieco</t>
  </si>
  <si>
    <t>…nciliar Ja España D. Josef Alcántara y D. Miguel Busutil por la de Málaga: Ron con la Europa , hace el editor las siguientes breves retiexiones, Emeterlo Martí por la de Cataluña: D. Dieco de la Vega In que insertamos literalmente como un aviso á los fanáticos secta fanzón por Ja de Asturias: D. Francisco Javier Pérez de Var rios de la legitimidad, por si quisiesen repetir en Buenos-Aires gas , marques de la Merced, por la de Jaén : D. Francisc…</t>
  </si>
  <si>
    <t>Diego</t>
  </si>
  <si>
    <t>…religiosas, de 49,500 mrs—Otro de Juan Pablo Lavafí», de 94,822 mrs—Otro , reñía general de pes dicha renta , dicha priora y religiosas, de 38,728 mrs__ Otro, alcacados , en la de D. Diego l-ernauaez Tinoco y Doña Ana María Ti balai de Jaén , Diego de Segura , dé 8500 mrs__ Otro , salinas de Za noco , su mugir, de 140,091 mrs—Otro , diezmo» de la mar de Cas mora , D. Diego Melend.z y Pedio Alvarez de Campos , ds 53.548 tilla, monasterio de Sta.…</t>
  </si>
  <si>
    <t>…era personas que se juzguen con derecho á suceder en los saben muy bien los indicados periodistas que están en guerra abierta bienes del vínculo que en la villa de Fuenmayor fundó D. Diego 5acon su propia conciencia, ; hay anarquía, ó hay orden y civilización; lazar, del que es actual poseedor D. Juan Roldan, presbítero, cape Y donde te han destruido las leyes fundamentales y se ha derri llán en la misma, para que en ei término de dos años , co…</t>
  </si>
  <si>
    <t>…eglo a los consumos. bía haber lugar ú deliberar sobre ella. Aprobado. El Sr. Zul ueta, contestó que no se hablaba de admitir ó no La misma convision, en vista de la exposición da D. Diego géneros.prohibidos, sino da acordar el destino que debia darse á Chaparro, haciendo presentes-los perjuicios que-se-siguen do in los introducidos legítimamente; pero que no teni.m documentos cluirse en el sorteo á los hijos de viuda y padres imposibilitados,…</t>
  </si>
  <si>
    <t>…Por tanto mandamos á todos D. Josef Alcántara y D. Miguel Busutil por la de Málaga: Don los tribunales, justicias, gefes, gobernadores y demas Au Emeteno Martí por la de Cataluña: D. Diego de la Vega In toridades , asi civiles como militares y eclesiásticas, de cual fanzón por la de Asturias: D. Francisco Javier Perez de Var quiera clase y dignidad , que guarden y hagan guardar, cumplir gas , marques de la Merced, por la de Jaén : D. Francisco…</t>
  </si>
  <si>
    <t>…llí pasar! á mandante de mi batallón D. Jos l Moran , el capitán de caza Moscow , donde hace algún tiempo tiene sus equipages. S. M. dores D. Antonio Armero y Moreno, y el oficial D. Diego estará aquí de vuelta para la fiesta de S. Pedro. Perada trabajaron con zc!o imponderable; el coronel de mi es tado mayor D. Cándido de Me. ta y su ayudante D Miguel Lis- INGLATERRA. bona no se separaron un punto del frente de la división , ha Lóndres 4 de Ag…</t>
  </si>
  <si>
    <t>…ncia de Aragón: del 8 ) D. Josef Alcántara y D. Miguel Busutil por la de Málaga: Don Resolución de las Córtes declarando que no escucharán propo Emetcrio Martí por la de Cataluña: D. Diego de la Vega In sición alguna relativa á variar la Constitución. ( G ¡ceta aet 8.) fanzón por la de Asturias: D. Francisco Javier Perez de Var Decreto de las Córtes en que se adoptan algunas disposicio gas , marques de la Merced, por la de Jaén ; D. Francisco A…</t>
  </si>
  <si>
    <t>…o de la tropa en el puente levadizo, para:atender desde habríamos superado: ,¡ Es tan fácil arrostrar las desgracias cuando alli adur.de se le mandase. Los oficiales de artillería D. Diego y están lejos! s D. Joaquín "Jiménez nada me dejaron que desear, pues estuvio- Si , llamo desgracia al crimen de los regicidas subalternos, ion al píe de las piezas todo el tiempo del fuego, dirigiendo este. pues lie conocido :í uno de estos desventurados que…</t>
  </si>
  <si>
    <t>….......................... I se presente en dicho juzgado á oír la providencia difinitiva dic tada en los autos que sigue contra el mismo Chamorro Doña J 67 Josefa Gómez, viuda de D. Diego de la Plaza y Amaya , vecina Véase pues á qué está reducido el número cacareado de des de la ciudad de Badajoz, como madre, tutora y curadora ad ton* terrados ; debiendo añadir que una gran parte de estos no tienen de Doña María Escolástica de la Plaza sobre…</t>
  </si>
  <si>
    <t>Diez</t>
  </si>
  <si>
    <t>…r en este empleo : opinaba con respecto í ta en los dias ocupados en la rectificación del alistamiento.” los escribanas de los pueblos, qué sirviesen en !a actualidad ambos da- El Sr. Diez impugnó este artículo, manifestando que podria haber tirios, que podían continuar en ellos; peí- no los escribanos de parti casos en que no fuese posible hacer las reclamaciones sobre inclusión ó do , porque había una incompatibilidad manifiesta entre este em…</t>
  </si>
  <si>
    <t>…o acuerden. ARIICULO DE OFICIO.Bajo estos principios cree ¡a com ,n que las Cortes deben aprobar este como mas fácil y expedito. El Gobierno ha recibida los partes siguientes : El Sr. Diez manifestó entre otras cosas que las contribuciones que los Egército de operaciones del séptimo &lt;hsir.ro militar.— Exento, Sr,— pueblos sufrían eran suprriores á la posibilidad que tenían para pagarlas, ji El ayuntamiento constitucional y comandante de la mili…</t>
  </si>
  <si>
    <t>…ncebido por En tercer lugar quedó elegido el Sr. Soria por 80 votos, teniendo las voces que se esparcieron antes de su entrada, y con las cuales se 5 el Sr. Marchámalo, otros 5 el Sr. Diez, 5 el Sr. Munarriz , 1 cada quiso mancillar su no desmentido honor y patriotismo! i Será que pro uno de los Sres. Vargas y Veiasco, y uno respectivamente los señores nunciando todos la voz de Constitución, que queriendo todos sostener Ruiz de la Vega, Isturiz…</t>
  </si>
  <si>
    <t>…o 10. Pide el señor A petición del Sr. Canga se leyó la orden de las Corts? de preopinante en sus proposiciones que se imponga un gravamen á 30 de Mayo de 1822 que habia citado el Sr. Diez eñ su-díjeestos nuevos propietarios. Ciertamente señor que seria muy ex curso.traño que habiendo las Cortes por el ds'Cfieto de 3 de .Sttiembré El Sr. Isturiz: Confieso que mi posición es desventajosa cuarrprometido que los propietarios después de tomada la p…</t>
  </si>
  <si>
    <t>…drán comunicar sus órdenes impresas 6 manus las faltas de aquella comparación atnbuvéndoLs á su buen icio. critas á los ge fes políticos subalternos ó alcaldes de los pueblos . El Sr. Diez apovó las razones de! Sr. burra , man. Atando cabezas de partido, según el método establecido para circular las'í los perjuicios que el ayuntamiento de Barcelona hab a ocas'or.ado órdenes del Gobierno. Los ayuntamientos y particulares podrán á las Castillas p…</t>
  </si>
  <si>
    <t>…e Hacienda sobre la exacción de contribuciones gunos procuradores síndicos; y por lo mismo soy de parecer que territorial , de consumos y de casas. debe accederse á los deseos del Sr. Diez. La comisión, al paso que observa con placer que el sistema El Sr. Canga: Los señores preopinantes se han empeñado en adoptado en ia anterior legislatura no hubiese producido las que querer convencer á la comisión de una co,a de la que esta bien jas que los a…</t>
  </si>
  <si>
    <t>…e asunto concluido; pero no quieran ; por lo tanto eche el dictamen de la comisión, y se apruebe el del Gobierno. yo apoyo el que pase al Gobierno para los Enes que el dictamen El Sr. Diez: La comisión está pronta á proponer á las Cor expresa. tes todas las gracias que crea convenientes; pero no ha podido me El Sr. Arguelles: Me levanto para dar las gracias al Sr. Ca nos de negar esta, porque considerada 1a. cuesten como ella es en sas por habe…</t>
  </si>
  <si>
    <t>…s Coi tes extraordinarias para la de ia indepen autoridad con quien tenga mas relaciones para lograr de este dencia. modo mayor favor en la asignación: y esto podrá conseguirlo El Sr. Diez: Siendo el sistema constitucional , como lo es en con tanta mayor razón , cuanto que esta es discrecional. Por lo efecto una inst tuc.on sumamente benéfica , todas la» &lt;Espowc.cr.iS mismo deseara que respecto á esta primera parte se dijese que ios que de el e…</t>
  </si>
  <si>
    <t>…cual no está en las facultades de las Cortes; y de consiguiente se halla no le trataba sino de administrar dichos bienes ; y de 'consiguiente en pie la dificultad propuesta por el Sr. Diez, á la cual no se ha no podia parar un perjuicio permanente á los interesados. Pero satisfecho, antes sí se ha reforzado con la razón alegada por el ahora ya no se trata de un secuestro y administración, sino de Sr. Oliver. una apíicccion; y de consiguiente no…</t>
  </si>
  <si>
    <t>…o dispuesto En este 2.0 escrutinio tuvo 49 votos el Sr. Ldlo, 18 el señor en el anterior , ni tampoco la hay en que paguen lo mismo los Zulueta, 18 el Sr. Navarro Tejeiro, y 21 el Sr. Diez. Total 121; ciudadanos por un pleito que interesa en io ó 12O rs. que por mas no habiendo reunido ninguno de estos Sres. la mitad mas otro de eoo ó óoo. Por lo tanto yo deseo que no se apruebe uno del toial, se procedió á tercer escrutinio entre los Sres. Lil…</t>
  </si>
  <si>
    <t>Diez, Ezequiel</t>
  </si>
  <si>
    <t>Ezequiel Diez</t>
  </si>
  <si>
    <t>…acepte, sirva ó continúe sir món Lamas y Melendez por la de Galicia: D. Josef Cuevas poc viendo algún destino, sufrirá las penas del articulo anterior, y la de Cuba en Ultramar : D. Ezequiel Diez por la de Toro: quedará ademas inhabilitado para servir otro. Exceptúame los em D. Pedro Prado, D. Antonio González Ron y D. Nicolás pleados que vivan en país ocupado ó que sigan en sus destinos Gómez Villaboa por la de León: D. Fermín Alvarez Enlata con lice…</t>
  </si>
  <si>
    <t>…lguna sobre la fuerza militar, cuyo Lamas y Melendcz por la de Galicia: D. Josef Cuevas por la mando independientey ejecutivo corresponde á él mismo. En ella de Cuba en Ultramar : D. Ezequiel Diez por la de Toro: observareis Igualmente "que por este motivo se suspendieron las D. Pedro Prado, D. Antonio González Ron y D. Nicolás providencias acordadas para el pronto envió de tropas en auxilio Gómez Villaboa por la de León: D. Fermín Alvurcz Enlate del P…</t>
  </si>
  <si>
    <t>…s no bastasen con los jueces también letrados del tribunal Es Lamas y Melendez por la de Galicia: D. Josef Cuevas por la pacial de Justicia. (Gaceta del g.~) de Cuba en Ultramar : D. Ezequiel Diez por la de Toro: Oficio de los Síes, secretarios de las Córtes al Gobierno par D. Pedro Prado, D. Antonio González Ron y D. Nicolás ticipándole haber cerrado estas sus sesiones. (Gaceta del 6. ) Gómez Villaboa por la de León: D. Fcrmin Aivarez Eulate Oficio de…</t>
  </si>
  <si>
    <t>Diez, Josefa</t>
  </si>
  <si>
    <t>Josefa Diez</t>
  </si>
  <si>
    <t>…iego Zaragoza; en Bidaacompañan, ha visto S. M. con la mayor satisfacción el generoso rasgo joz en la de D. Juan Patrón, y en Palma en la de D. Nicolás Carbode amor patrio con que Doña Josefa Diez de la Cortina ha demostra nell. Su precio es á 20 rs. sin iluminar la estampa de los uniformes, do su heroico desprendimiento al ofrecer á V. E. para defender los in y i ai rs. iluminada. destructibles derechos de la independencia nacional á D. Tomas Mora Con…</t>
  </si>
  <si>
    <t>Diez, Juan Martin</t>
  </si>
  <si>
    <t>Juan Martin Diez</t>
  </si>
  <si>
    <t>…e están expuestos los hombres aislados, si llos á las 10 y media. AI mismo tiempo que llegaba á la ciudad el la perfidia y la traición llegasen á introducir el desorden, como pudo general D. Juan Martin Diez el Empecinado con 74 caballos de Casuceder en aquel!osdias;y lo conveniente que seria proporcionará todos latrava y 30 de la M. N. V. de caballería de Madrid por el camino los constitucionales el medio de reunir sus esfuerzos para sostener el del Pozo, llegab…</t>
  </si>
  <si>
    <t>Diez, María</t>
  </si>
  <si>
    <t>María Diez</t>
  </si>
  <si>
    <t>…y una embarcación portuguesa también con dinero. Se espera les La comisión de Instrucción pública, en la solicitud dejen continuar su viage. Ademas han detenido un queche dañes de Doña María Diez,' para que se le relevas/éñ pago de unos y una goleta fianovcviana de levante. créditos que dejó su marido en favor del erario, opinaba que no ! :t n -24. El místico y embarcación poituguesa que detudebía accederse á esta solicitud. Aprobado. v.eronJos coi.sa…</t>
  </si>
  <si>
    <t>Difícil, Arguellen</t>
  </si>
  <si>
    <t>Arguellen Difícil</t>
  </si>
  <si>
    <t>…or tanto no puedo aprobar este del Despacho á ella , y segundo que las autoridades subalternas tu articulo. viesen el freno de sujetar á la aprobación de S. Ai. el uso de estas El Sr. Arguellen Difícil es conciliar los principios del Señor medidas. preopinante que con tanto calor ha impugnado este artículo, Declarado el punto suficientemente discutido , quedó aprolacuando se ve que no tiene dificultad en admitir se autorice al bado el articulo. Gobierno par…</t>
  </si>
  <si>
    <t>Digeon</t>
  </si>
  <si>
    <t>…ros entre los católicos y mt.nárqu eos es nos, y se pasa á una comisión compuesta del conde de Mjrescot, viz pañoles , no los intereses de la paz y de la concordia, que han sido y conde Digeon, el conde de Sabrán , el conde Ctaparcde y el duque de son turbadas por las bandas de facciosos asi’sriadas con el oro extranFitz-Jamei. geto , sino ios sórdidos intereses del ultracismo, de los odiosos privileNOTICIAS DE ESPAÑA. g os y del miserable lucro pe…</t>
  </si>
  <si>
    <t>Diirana, Vicente</t>
  </si>
  <si>
    <t>Vicente Diirana</t>
  </si>
  <si>
    <t>…uerra podrá reengancharse en lo sucesivo por el Habiendo insistido hasta por tercera vez D. Josef Rtiiz del tiempo que le acomodare , y tendrá derecho á los premios de cons Arco , D. Vicente Diirana y D. Cesáreo María Saenz , en ne tancia establecidos antes de la ley constitutiva del ejército. Igual garse á aceptar los cargos respectivos de juez y suplentes del tri derecho tendrán los cumplidos á quienes se detengan las licencias. bunal especial de justicia de esta Isla Gaditana…</t>
  </si>
  <si>
    <t>Dijeon</t>
  </si>
  <si>
    <t>…: que los aimamentos continuarían con actividad como medulas de frr- El mismo día 23, en que el mariscal Víctor salir) de París para el caución." egército de los Pirineos, tomó el vizconde Dijeon el despacho interi El contenido de la carta de Bayona que hemos insertado , aunque no del ministerio de la Guerra; tuvo una conferencia con ¡.E Rey el está escrito por persona fidedigna , no hace mas Que referir hachos, y diputado Mr.de Martlgr.ac, nombrado c…</t>
  </si>
  <si>
    <t>…nuevas instrucciones para presentar una nota relativa á los ne motivo se iban acercando tropas á aquella dudad. gocios de España y Francia; y no se d.ce todavía el resultado so El conde Dijeon habia prestado juramento como nuevo mi bre el particular. nistro interino de Guerra por ausencia del mariscal duque de Be- 1 urania. El tribunal supremo de las naciones de Europa, lluno ( Victor), nombrado mayor general del ejército de los Pi que por poco tie…</t>
  </si>
  <si>
    <t>Dio</t>
  </si>
  <si>
    <t>…de Vállele y de Rergorlay. Sotos, Varela, Rey y Salva!o. Mr. de la Bourdonnaye ha desaprobado de un modo sumamente fuerte Diputaciones frovinciaUi. Sres. Gómez Becerra , Valdés ( D. Dio la conducta del Gobierno en lo concerniente á España. Se queja de que en nisio), Apoitía, Lamas, Sangenis, Meca, Escudero, López Cuevas y una época en que era tan necesario obrar, «un ministro del Rey de Fran Lodares. cia solo haya trabajado en mantener una p…</t>
  </si>
  <si>
    <t>Dioni</t>
  </si>
  <si>
    <t>…. SeoaFueron nombrados para ia comisión de milicia nacional local ne, Aiilon, Parque, Bartolomé v b-ideho , leída por primera lee tires. Flores Calderón, Zulueta, Infante, Valúes (D. Dioni vez en la sesión de 19 de .Maro ultimo , pura que en atención á sio , Llórente , Aguirre y Escovedo. la enorme diferencia del repartimiento de contribuciones entre Se mando agregar al acta, un voto particular del Sr. Oliver, las cantidades que se asignan a un…</t>
  </si>
  <si>
    <t>Dionisio</t>
  </si>
  <si>
    <t>…0 gavillas. corp-. raciones y ge fe» que debían presentarse en la barra. Tai vez cuando escribimos esto habrá padecido Calella , porque Ca- Los Sres. secretarios Grases y Valdés ( D. Dionisio) salieron á re iella no es un Numancia ni un Seilvnt, Porrera , Optlíadvs cíe. La le cibirlos. ne presentaron en ia barra el gefe político de Madrid, coman tra con sangre entra suele decirse á los muchachos desaplicados y hol dante general del distrito , dipu…</t>
  </si>
  <si>
    <t>…de esta Los señores que votaron habet lugar á votar fueron ¡os iirumt-s: institución , porque 'Str.y persuadido dír que es uno de los mas firmes Serrano, Zu ueta, Grases , Vaidés (D. Dionisio), i u -jtcc, ó..»;.:!;,, biisartes de las iib-rtad s públicas; peto tamb en la experiencia tie Domenech , Llórente, Seoane, Vimoza, Vi uro , Rejo, oepti-n, R co, ne demostrado q:i* para que esta institución dé el resullado que se de Sierra, Belmonte , Ruges,…</t>
  </si>
  <si>
    <t>…bado , Rojo, Tomas, González A lonso , Llórente, Prado , Salvé, El :lrt. 3.'' del tratado entre esta potencia y España dccia: *» S. M. Gómez Becerra, y los do» secretarios Valdés (D. Dionisio) y Seoane. el Emp-rador de todas las Rusias resonóte por ¡epítimas las Cortee ge El Sr. secretario Grases manifestó que ia secretaría tendría cuidado nerales y extraordinarias reunidas actualmente en Cádiz, como también de avisar á los Sres. diputados que com…</t>
  </si>
  <si>
    <t>…rincipios pérfidos con que han sido alucinados, y los mismos re sortes con que la s-duccion los ha sacado del centro de sus familias Ñuta. En la sesión del 17 leyó el Sr. Valdés ( D. Dionisio) un» para hacer guerra contra las leyes de su pa's , contra si Rey, contra sus exposición de los oficiales y demas dependientes de la secretaría de la compatriotas y contra sus propios intereses. Gobernación de la Península, en la que felicitaban á las Cortes…</t>
  </si>
  <si>
    <t>…ón de he mandó insertar en el acta el voto de los Sres. Serrano, Galiano, D. Josef Moreno Guerra, habiendo tomado de nuevo en considera Isturiz , Sedeño, Grases, Zulueta , Vaidés (D. Dionisio ), Saavedra, ción este asunto reproducía su anterior dictamen , con la sola d;f-ren- Marau, Ruiz de la Vega y otros Sres. , contrario á ia declaración ds cia de que en vez de decirse que las Cortes habían oido con dr sagrado las Cortes sobre el dictamen de ia…</t>
  </si>
  <si>
    <t>…fante, Soria, Caslejon , Ferrer (D. Joaquin), Santafe y Gaioz. Señores que aprobaron el ’-rrtculo: El Sr. presidente anunció que mañana se continuaría ia discusión Grases, Valdés (D. Dionisio), Seoane, Muro, Surrá, Valdés ds las ordenanzas militares, y se continuaría la lectura del código da (D. Cayetano), Arguelles , Cuadra , Albear , Tabeada, Alava, Do- procedimientos , y levantó la sesión á las cuatro y cuarto. menecb, Posad», Somoza, Murfi, In…</t>
  </si>
  <si>
    <t>…por primera vez una proposición de lo» Síes. Septicn; siempre cn.aumento que penetra en lo» distritos fabricantes, y e! es.tadó Reillo , Bertrán de Lis , Pumarejo , Muro , Vaides (D. Dionisio) y floreciente, demuestro comercio en ia mayor parte de su», rátn-is prin otros Síes diputado», .educida * siguiente: i.° Que la» Cortes decla cipales , se aumenta sensiblemente por ia entera ptrsua.ion dí qu* la ren que la guerra que nos amenaza,* en caso de…</t>
  </si>
  <si>
    <t>…y para restablecerla si s; alteras;' &gt;»a Bustamante , Muro, Garoz , Fcrrer ( D. J -aquin ), Ojero, Val- No pued; influir con vent-.jis sobre el repose» da la Europa sino mien des (D. Dionisio) , Bialc* , Vargas , Gencr , Navarro Tejeiro , Tomas tras conserve su propia dignidad , su trar.qui.idad y la p.iz ¿ su» pue Mcreno , Alome, Hulz de la Vega, Ladrón cíe Guevara , y los seño blos. De este modo ha p osado y ha obraco en todas iss circunstancias…</t>
  </si>
  <si>
    <t>…o de cuatro meses y 20 dias, por tenido uno el Sr. Seoane. que se ha fijado el primer edicto; apercibidos que pasados sin haberlo he En la 28.a votación fue elegido el Sr. Valdés (D. Dionisio) por 80 cho, se declarará vacante , aplicará al Crédito público, á quien están agre votos, habiendo tenido uno el Sr. Somoza. gadas esta clase de fincas, y les parará el perjuicio que haya lugar. En la 29.a votación quedó elegido por 85 votos el Sr. Garoz (te…</t>
  </si>
  <si>
    <t>…íans ido las que Sr. Hide : Pido que se vengue á la Francia: ■mas hablan sufrido por los facciosos. Presidente: No puedo concederos la paiabra. (Llega á su colmo ¡a El Sr. Vuldes (D. Dionisio) manifestó que la comisión habia visto la agitación en todo el salón. A Ja derecha continúan pidiendo que no se de ticcesidad de autorizar á las diputaciones prov.neutles con todas las faculta- je hablar mas al diputado Manuel: la mayor parte de los individuo…</t>
  </si>
  <si>
    <t>…voto particular que estaba en discusión. Sataba, Cid, P-dr.i'v-z, Rey, M. vs. Cortas, Ru.z def Rio, El hr. Rico: No puedo menos de hacer a'gunas observaciones so Loriares, Valdés (D. Dionisio), Gom.z f 1 &gt;. Manu 1 ), Sons, bre el voto pa: titular que s: discute ; y para ver ficarlo iré r, corriendo Buey , Tomas, I.opez Cuevas, Guevara, M-rch.'.na'n , P-ido, Huía los artíemos que mas han ¡limp io mi at-ncion. En el art. 8.J se dice que te, Escud-ro…</t>
  </si>
  <si>
    <t>…tan críticos qua ro, Bussfia , Riego , Vizmanos , Luque Neira , Benita , Leída, Cid, tal vez contrariasen el deseo de las Cuites, que no es otro que el de Pedralvez, Rey, Valdés ( D. Dionisio ) , Garoz , Gómez (D. Ma salvar ia Nación. Yo apoyo la proposición d:l Sr. Gaiiano con la ca nuel), Sotos, Buey, Alvarez Gutiérrez, Tomas, Iuuriz , Grasés, lidad de que esta próroga se entienda siempre i;u; no ocurra un moti Zulueta, Serrano, González Alonso,…</t>
  </si>
  <si>
    <t>…mi voto sobre él. Alonso , Saavedra , Alix , Marau , Gómez ( D. Manuel ) , So Los señoríos de que trata este proyecto y las prestaciones feu tos, Meca, Alvarez Gutiérrez, Vaídés (D. Dionisio), To dales que se quieren abolir en el traen su origen de los franceses, mas , Garoz , Isturiz Grases , Zuíueta , Escovedo , Sa! vito, r recaen precisamente sobre los infelices labradores, á quienes se Oliver, Serrano, Ruiz de la Vega, Abrcu , Santafe, Romero…</t>
  </si>
  <si>
    <t>…ción provincial de Játiva con fecha Se leyó por primera vez una proposición de los Sres. Sede deí 3 de este mes el que consten las disposiciones tomadas por el ño, Ferrer, Valdés (D. Dionisio), Moure, Oliver, Alonso, Gobierno para librar ála ciudad di valencia de "los8'males que Romero, Escovedo, Soria, Moieno, Infante, Saavedra, Na sufre, pedimos á las Cortes se sirvan acordar se presente en esta varro Tejeiro, Llórente, Calderón, Orduña, Salvá,…</t>
  </si>
  <si>
    <t>…casos tiene lugar en el presente, porque Blake, Lamas, Serrano, González Alonso, Olivcr, Marau, el código penal ya dice que no debe considerarse como criminal Alix, Adan, Valdés (D. Dionisio), Paterna, Tomas, Escude al que obre por la fuerza, ni tampoco puede tener lugar el caso ro, Garoz , Lagasca , Guevara , Varela , Meca , Buey , Alvarez de que á un individuo se le obligase á aceptar un destino. El ale Gutiérrez , Isturiz, Grases, Galiano, Zul…</t>
  </si>
  <si>
    <t>…la é islas adyacentes. Se nombró para esta comisión á los Sres. Infante, Becerra, 3.0 Que se establezca la pena de privación de oficio á los cor Garmendia, Ojero, Aguirre, Valdés (D. Dionisio), Cano y redores que negocien letras no selladas, comprendiendo las cartasSantafé. órdenes, ofreciendo á los denunciadores un aliciente proporcio El Sr. Canga leyó dos dictámenes de la comisión de Hacien nado exigible del pagador de la letra no sellada. da so…</t>
  </si>
  <si>
    <t>…itilnKimcdatamiente á la casa de moneda para me dicen lo que sigue: su acuñación las alhaja di oh plata destinadas á todas las oficinas En 26 de Mayp de 1822 recurrió ¿ las Cortes D. Dionisio públicas, empezando |ji!|r lis. de las Cortes. Art. 1° Se reduci Puertas Campesino, abogado de los tribunales de la Nación , so rán también á moneilm ;iq»tsllasi alhajas de oro y plata que no licitando se declare si debería preceder conciliación por llevar á…</t>
  </si>
  <si>
    <t>…sub nunciar el crimen , y denunciado se hubiera seguido criminalmen alterno en e! puerto de Mahon. te ; por cuya razón creta que el dictamen de ia comisión era jus El Sr. Valdés (D. Dionisio) : Todos los S''es, diputados que tísimo , y que no podía menos de aprobarse. han usado de la palabra convienen en que en tiempo de calina Se declaro el asunto suficientemente discutido. no se necesita gefe político subalterno en las islas Baleares. La Los Sr…</t>
  </si>
  <si>
    <t>EL Sr. Canga rogó al Sr. Presidente que tuviese la bondad de F.1 Sr. Vuldés (D. Dionisio) manifestó que puesto que el poner á discusión á la mayor brevedad la solicitud de los indivi Sr. Gómez no había impugnado la totalidad del dictamen, y sí al duos de la comisión de Visita que estaba sobre la mesa. gunos artículos, se abstendría de contestar á…</t>
  </si>
  <si>
    <t>…bservaciones que se hadan sobre algu ba la conocida utilidad común que prescribía la Consunción. nos de los artículos de dicho decreto, y el Sr. presidente dijo que El Sr. Valdés (D. Dionisio) contestó que desde luego se las Cintos quedaban enteradas, y que se archivase. conocía la utilidad común que resultaba de quitar á los patronos Se Jetó por primera vez una proposición del Sr. Larrea, re los derechos personales y pecuniarios que tienen, como…</t>
  </si>
  <si>
    <t>…irsele para quitar toda dándose en que por su naturaleza son estas cosas propias del po duda que pudiese ocurrir, á lo cual contestaron los Sres. Becerra der ejecutivo. y Valdés ( D. Dionisio) que podia ser objeto de una adición, la También ha ereido el Sr. preopinante que aquí no se trata cual tomaría en consideración la Comisión si los expresados de -asuntos ■ contenciosos , y que á lo mas podrá mirarse como señores se servían extenderla. : , un…</t>
  </si>
  <si>
    <t>…os, poique Ja India correrá peligro desde el tos del total 93, habiendo tenido z6 el Sr. Salvato, 5 ei Señor momento que Constantinopla llegue á ser la capitaL del imperio Valdes (D. Dionisio), 2 cada uno de los Sres. Feirer , Oliv-.r, ruso. Este es el departamento que la conspiración contra la Ingla Velasco y Escovedo, y uno cada uno de- los Sres. Arguelle:., terra tramada por la santa alianza ha señalado al emperador Ale Salva , Munarriz, Ruiz d…</t>
  </si>
  <si>
    <t>…se hace mas que añadir un grado de facultad mas á ¡a autoridad quín ) , Ojero , Sánchez, Jener, Meca, Oliver , Ordnña, Buey, que está conferida al Gobierno. Rojo , Muro , Valdés ( D. Dionisio ), Bauza. Se me dirá que esto podrá comprometer í la? Cóit.-s ai re Se publicaron en las Có.tcs como leves varios decretos con ca conocimiento de la independencia ; pero : no se dice que cual rácter de ley que remitia el Gobierno sancionadas ya por S. M. quie…</t>
  </si>
  <si>
    <t>…uardia nando 7.0 con su escuadrón persiguiese á los dispersos cuatro le tomaron posición á la salida de los indicados callejones en bata guas camino de la Nasea, y que el teniente coronel D. Dionisio lla perpendicular al camino real, y á su izquierda cubiertos por Marcilla, que con un escuadrón de dragones del Perú se había una altura que podía subirse y bajarse á galope , y á los húsares quedado á retaguardia para cubrir y proteger la marcha de la ar de…</t>
  </si>
  <si>
    <t>…d inalterable en me do al efecto. dio de las mayores calamidades y desgracias. El Sr. presidente contestó quedar las Cortes enteradas de la Acto continuo el Sr. secretario Valdés (D. Dionisio) leyó exactitud con que la diputación había desempeñado su encargo, y la sesión de la Diputación permanente de la noche del g del cor previniendo que á las seis seria la apertura de las Curtes levantó» riente , en la que estaba inserto el oficio del Rey y el…</t>
  </si>
  <si>
    <t>…a en las cortes extraordina medio de las mayores calamidades y desgracias.” rias el puerto de salvación para ta nave del E«tado. Una exposi Acto continuo el Sr. Secretario Vaidés £D. Dionisio.) leyó ción que mi Gobierno os presentará, de orden mia, patentizará la sesión de la diputación permanente de la noche del 5 del que la nave del Estado está á punto de naufragar no concur corriente, en la que estaba inserto el oficio dei Rey y ei acuer re á s…</t>
  </si>
  <si>
    <t>…generoso ventilar la cuestión sobre ¡a aquella son-. Gómez Becerra, Gener (por Ultramar ), Isturiz, primacía, que el Sr. Ventades atribuyeá Vizcaya , de declararse Soria, Valdés (D. Dionisio), Velasco, Llórente; Abreu yMe- esta ó la otra provincia contra la facción; y nos limitamos á re ca, suplentes. petir que nada hay en el citado artículo que no sea verdadero, y La comisión de hacienda en las mismas cortes ordinarias mucho menos calumnioso, pu…</t>
  </si>
  <si>
    <t>…al ciudad, y dígne y tierra D. Cayetano Valdés;, y como este desapareció casi in se V. M. tender sus Reales brazos á 200 almas, que esperan mediatamente después, asi como su Mayor general D. Dionisio gozar de la augusta presencia de su Rey deseado dentro de su Capaz, me fueron devueltos los oficios que dirigí al primero para recinto. Conceda V. M. esta gracia á los toledanos, poseídos de adquirir estas noticias. Dichos buques han llegado á su destino un f…</t>
  </si>
  <si>
    <t>Dios, Josef Jorge de</t>
  </si>
  <si>
    <t>Josef Jorge de Dios</t>
  </si>
  <si>
    <t>…ellacon la diputación provincial. ro de voluntarios de caballería D. Josef Rulla, y el soldado d.e la El dia 2 se sabia en Barcelona por noticias fidedignas que el propia compañía D. Josef Jorge de Dios, dignos todos del apre bizarro San Miguel, gobernador de ia fortaleza de Figueras, en cio de V. É. y consideración del Gobierno. Asimismo el cuadro una de las salidas que habia hecho de la plaza habia cogido del batallón de milicia nacional activa de Astorga,…</t>
  </si>
  <si>
    <t>Dios, Manuel Bin-</t>
  </si>
  <si>
    <t>Manuel Bin- Dios</t>
  </si>
  <si>
    <t>…s nacionales que puede haber por aquellos te D. Josef Mensndez Valdés. Vicario castrense D. Juan puntos.=í;r. gefe político de la Coruña. Miet CastaSon. Canónigos: D. Juan Camino, D. Manuel Bin- Dios guarde á V. S. muchos años. León 24 de Abril de ioi. Vicario de $. Pelayo D. Manuel Coelio. Ex-monge Don 1823.—Antonio Ayarza. Tomas Mariño. Presbíteros : D- Justo Quirós, D. B nito Gobierno político de la provincia de Oviedo. Alonso Ablanedo, D. Antonio Garc…</t>
  </si>
  <si>
    <t>Dios, Margarita Car</t>
  </si>
  <si>
    <t>Margarita Car Dios</t>
  </si>
  <si>
    <t>…encargarte ¿ quien iuv,eta otros conocimientos mayores que Se ha extraviado un juro di 113,444 mrs., situado en la renta de los míos. aleabais de la ciudad de Ronda, en cabeza de Doña Margarita Car Dios guarde á V. E. muchos años. Madrid rt d¿ Febrero de i8jg.~ nero. Otro de 27,418 mrs., situado en la renta de tercer medio por Excmo. Sr. == Josef María Valdés. = Exsmo. Sr. secretario del Despacho 100 de Mondoftedo, en cabeza de Doña María Fernandez de Ribero…</t>
  </si>
  <si>
    <t>Diputado</t>
  </si>
  <si>
    <t>…circunstancias particulares que mediaron en Se El Sr. Marau: No puedo menos de reconocer y aplaudir el villa que hicieron difícil y arriesgada la traslación, y aun todos deseo del Sr. Diputado, autor de la proposición, y el de la co nosotros nos hubiéramos quedado allí á no ser por el barco de misión que la ha informado, pero yo quisiera se hiciesen menos vapor. Se sabe que el día B de Junio solamente habían recibido leyes sobre un. mismo objeto. L…</t>
  </si>
  <si>
    <t>…itas que componían la mayoría de la población Velasco.emDionisio Vald¿s.=Manuel Llórente , diputado secreta Gitana, animados de un odio violento contra los cristianos orto- rio. = Sr. Diputado. doxos.y especialmente contra el Emperador de Constantinopia, Nota. En la gaceta de ayer, columna Jt.a, linea 35 y 26, faailitaion al caudillo árabe Amru la conquista de su pais. Qbli- donde dice Fravcnt, léase Francfort. EN LA IMPRENTA NACIONAL.</t>
  </si>
  <si>
    <t>Diputados, Jacobo L'oren-los</t>
  </si>
  <si>
    <t>Jacobo L'oren-los Diputados</t>
  </si>
  <si>
    <t>…ulado de /a ciudad de San-Maló ha dirigido á la Cansara ds bía leyantanv-nto de gente insurirecionada ; y antes de ¡legar eí 19 i Parada de Deza me encontré con uficio del cap tan D. Jacobo L'oren-los Diputados la siguiente exposición : » Señores; Después que la hrancia ha sufrido los horrores y cídi* te , en que me participaba qui ¡os facciosos técnicos en masa en Deza midades de la guena, se r« nuevemente amenazada de este azote de y Trasdeza marchaban sobre Santi…</t>
  </si>
  <si>
    <t>Dirieux</t>
  </si>
  <si>
    <t>…secretario D. Ramón Carrillo Albornoz; al estimable coronel D’Argout, presentando también á su Real en inteligencia de que se proveerá en la persona que se estime consideración al Sr. Dirieux, oficial pagador, que seguido de mas apta para su desempeño. ' algunos cazadores, fue por la espalda del cuerpo de infantería i . Se hallan vacantes las dos plazas de médicos titulares de tomar la bandera en medio de 40 hombres que la custodiaban, la: villa d…</t>
  </si>
  <si>
    <t>Discurso, Fermín</t>
  </si>
  <si>
    <t>Fermín Discurso</t>
  </si>
  <si>
    <t>…ste tomo se pagará también el a.° que está en prensa : el pr«!5 Febrero de 1823.=Fetmin Lcguía.” de ambos es 16 rs. en rústica. Al remitirnos el anterior artículo el digno militar D. Fermín Discurso contra el dictamen de la comisión ech siástica sobre el *'• I.eguía, comandante de la columna patrióitica del Vade de Bastan, reglo definitivo del clero de España , leído y pronunciado in la sesicn añadí en su carta misiva que en el dia de hoy han formado ya…</t>
  </si>
  <si>
    <t>Discutido</t>
  </si>
  <si>
    <t>…an-de González , antes Gimeno, D. Toma* Rubio, presbítero , doctor Mi clarar haber lugar á votar sobre su totalidad. guel Cortés, procurador del infantado, D. Josef Marta Criueli, Don Discutido suficientemente este asunto , se declaró haber lugar ¡Tro N. Pafiigp. - • ta! sobte la totalidad de 1 proyecto. Madrid Sotado 15 dt Marzo. TÍTULO PRIMERO. » El Rey y la Reina siguen lo mismo que ayer. SS. AA. siguia tin novedad tn tu importante salud.” '■ De…</t>
  </si>
  <si>
    <t>Divila, Atanasio</t>
  </si>
  <si>
    <t>Atanasio Divila</t>
  </si>
  <si>
    <t>…primeras páginas se leen los fastos de ia guerra de Espa inclino, ó entra ya en su cabeza el presentarse el indulto. Por mi parte, ña contra Bonapatte. Se vende en la librería de D. Atanasio Divila; sin comprometer la dignidad ds mi autoridad, he hecho que lleguen á en la Coruña en la de D. Josef Martínez Cardera; en Valladolid en sus manos algunos egemplsres del decreto de Cortes en que se concede, la de D. Manuel Aparicio ; en Búrgos en la de D. Rosen…</t>
  </si>
  <si>
    <t>Diz, Francisco Antonio</t>
  </si>
  <si>
    <t>Francisco Antonio Diz</t>
  </si>
  <si>
    <t>…iento; pues aunque el puebto en el fervor pr m-ro rales D. Julián de Recamosa y D. Diego Contador; para la de manifestó su resentimiento contra los pocos descamados que político á D. Francisco Antonio Diz; para la de intendente á abrazaron con alguna exaltación el anterior sistema , cedió dó 1). Josef ds Ansa; para las de togados á D. Guillermo de Var cil y virtuoso á la persuasión de que nuestra sanca religión re gas, D. Juan Miguel Pa-z de la Cadena, D. Dieg…</t>
  </si>
  <si>
    <t>Dnmourier</t>
  </si>
  <si>
    <t>…les con el inesperado decreto de su separación, produci pas de marina. do sin duda por las sugestiones ds enemigos enmascarados ds la patria. El tq de Marzo murió en Inglaterra el general Dnmourier de edad Tan decdidos amip’.i como zelosos observadores del Código fun de 85 año». damental , reconoceremos siempre las prerogat-.vas que por sí conc-den —Por otro correo extraordinario que salió de Liiboa ei 27, y Ucee» íy ii a! trono. Respetaremos sus facult…</t>
  </si>
  <si>
    <t>Dnñiont</t>
  </si>
  <si>
    <t>…encontrarse con ella. zo avanzar la 6.1 división, mandada pbr el genera! ^eioport, —Después de una decisión ministerial ha hecho cenar Mr. el desde Gor sobre Guelago; y ordeñó al general Dnñiont, re prefecto del Ródano la logia masónica llamada delCandor. Esta cien llegado á Biza , quí marchase sobra Almiar. El enemigo, ■br-jfc</t>
  </si>
  <si>
    <t>Do-</t>
  </si>
  <si>
    <t>…a por el de haber resulta alguna. Sr. Rodríguez Paterna. Art. 10. » Los gefes que abusen de la autorización que se les con La milicia nacional local voluntaria de Alicante, por el Sr. Do- cede por los artículos anteriores para la imposición de estos castigos menech. serán juzgados en consejo de guerra , y la pena podrá extenderse hasta La milicia nacional de ambas armas de Navalcarnejro. la privación de empleo, si no hubiese circunstancias que…</t>
  </si>
  <si>
    <t>…men La facción formada en Portugal por Silveir? acaba de ser der tidos por el carácter del Emperador. Si este Monarca fuera am rotada por las tropas constitucionales del mando del general Do- bicioso, la Turquía, confinando con una vasta porción de sus es Lego , con considerable número, de muertos y prisioneros, pa tados , le ofrece una rica y fácil presa , que no despreciaría, por sándose el regimiento 2 1 de linea con sus banderas, trayendo adqu…</t>
  </si>
  <si>
    <t>Do-Regó</t>
  </si>
  <si>
    <t>…aitinrz y Gutiérrez y al comandanti Don te,'se me noticia que el general D. Pablo Morillo estaba en Joaquin de Aguirre. Se reconocerá por auxiliar del E. M. de comunicación con el general Do-Regó para atacar á la facción este egéicito al subteniente D Julián Pastor, y el de esta clase portuguesa de Silveira, que en número de i9 hombres de in D. Manuel Perez Viilamil quedará empleado en la primera fantería y.500 de cabañería, en el mayor desorden , y c…</t>
  </si>
  <si>
    <t>Do-Rego</t>
  </si>
  <si>
    <t>…an salvado los D. Víctor Siena me dice en íó del actual io que sigue: Exce fusiles que habia en aquella capital. lentísimo Sr.: Conforme á lo que tenia hecho presente á V. E. « El general Do-Rego y yo quedaremos esta noche á una ó con fecha del 14 continué el movimiento á cortar la facción de dos leguas de distancia; la facción de Silveira marcha en el mayor IBessieres sobre la marcha: el paso de la barca me detuvo mas de desorden; consta de iQ de inf…</t>
  </si>
  <si>
    <t>Dock</t>
  </si>
  <si>
    <t>…e Art. J2. Para el debido efecto y validación de esta convenI?omon, el Conde Bourmont, el Conde d’ Aunchamp, el Viz cion se firman los ejemplares necesarios, seijados por parte da conde Dock, el Barón Damas, el Conde Loverdo y el Mariscal los comisionados de S. M. Católica con su sello: y por el Go bierno de Buenos-Aires con el de relaciones extenorts,~Ih.rcuos-de Campo Barón Meriagc. Aires 4 de- julio de tSig.rzEernardino RivadaYÍa.SZSello de' M…</t>
  </si>
  <si>
    <t>Dode</t>
  </si>
  <si>
    <t>…eneral Tirlet. Ingenieros el te tado seria incierto, y podía llegar á un extremo imprev.sto , en cuyo caso todo el éxito seria de cuenta y ri.sgc de la Francia, que es decirniente general Dode. Segundo cuerpo. El prnícipe de Hohenlohe comandante en gefe, en buen portugués , que en ese caso se acababa la casta de tal Go con dos divisiones á sus órdenes , la primera al mando del general Ga bierno ÍTar.cts y de sus santos aliadoi. En este estado de co…</t>
  </si>
  <si>
    <t>Dodé</t>
  </si>
  <si>
    <t>…A. R. delante de Cádiz resolvió tomar el de establecer la comunicación sobre el canal de la cortadura , y Trocadero, posición que los sitiados pretendieron hacer inex el teniente'general Dodé , comandante general de ingenieros, pugnable con muchas obrasde fortificación.. había mandado al teniente corone! Dupau facilitase i las tropa* El istmo sobre que-está situada, había sido cortado después ia salida de la segunda parálela. del último: sitio por…</t>
  </si>
  <si>
    <t>Dolz, Josef</t>
  </si>
  <si>
    <t>Josef Dolz</t>
  </si>
  <si>
    <t>…e de dar un proyectó D. Joaquín Gil , D. Pedro Boígues, abogado, Mariano Teruel, An de instrucción para el gobierno ccooómico-político de lat propináis ds drés Ferrer, P. Hurtado, D. Josef Dolz, capitán ds artillería, P. Sal Ultramar, porque el decretado para la Península no está adecuado'I'.Iá vador Boira, de S. Francisco, P. Buenaventura Vento , ídem, Ramón localidad de aquellas provincias; pero «n la aurtancia son entefamento Salvador, el P. Gena…</t>
  </si>
  <si>
    <t>Dom, Joaquín García</t>
  </si>
  <si>
    <t>Joaquín García Dom</t>
  </si>
  <si>
    <t>…ris luego que los franceses entren en E-paúa. los Sres. D. Dionisio Valdes, diputado por la pioi'iio» ci- AD.i-id; » Ei 17 á la noche se recibió en I.óndirs el discurso de Chateau D. Joaquín García Dom;n:c!i, por ia de Váleme..1, D. l is:., s.j F.ns briand. Fn ia Cámara de tos Comunes d-l 18, Mr.Canning,interpelado Garoz, por la de Toledo, y D. V e-ntc Navarro T |.uo _ „n. ¡a por Mr, Btougham sobre la cita que Mi. Chateaubriand hace de la nota Valencia, a.4…</t>
  </si>
  <si>
    <t>Doman</t>
  </si>
  <si>
    <t>…illen! uel egército se neces.ta también un con Segundu por el conde Panfi o Lacroix. siderable número de muías i propói.to para su s.rvieio. X. odre el hegu &gt;da de dragones por el vizconde Doman. honor de dirigir &amp; cada una de las Exanas. diputaciones una noticia Tercer tuerru maulado Cor el príncipe de llvhenlt.he. de las que deba dar cada provine.a; y confio que se piupordcriaij.i, Primciz, segunda y trrc'ra divi, on no s: s«be qu. a ae mandará. ad…</t>
  </si>
  <si>
    <t>Domcnech, Félix</t>
  </si>
  <si>
    <t>Félix Domcnech</t>
  </si>
  <si>
    <t>…ntó V. S. con el gefe de E. AI. Don á mis órdenes á los oficiales del E. M el teniente coronel Don Ramón Galí, y su ayúdame de campo D. Josef Casamayor, Juan de Arsabe , al caphun D. Félix Domcnech., que ccn la ma v determinó adelantásemos ¡a línea, situada con arreglo á las or yor celeridad comunicaron mis ordenes, y de&lt;de ei mcm¡ r.fo en denes de V. S., en el sitio referido arriba: en su consecuencia que adelanté ¡a línea me acompaño el gefe de! E. Al…</t>
  </si>
  <si>
    <t>Domemch, Juan</t>
  </si>
  <si>
    <t>Juan Domemch</t>
  </si>
  <si>
    <t>…resbíte idénticos el uno y el otro. -ri : ■ 1 " 'V ro, D. Ramón Gilafcert, Josef Ortells, Jaime Rey, Lorenzo R itort, Se ha dicho que el eilado de guerrero que ie halla la América D. Juan Domemch, D. Lorenzo Martínez, escribano, D. Matías An hará impracticable» muchas disposiciones da este proyecto. A este Es tonio Herdara , D. Andrés'Martí ,'escribano, conde Parsen , D. Blas contestado el Sr. Varda que á todos ios casos ae ha ocurrido én él, Madalene…</t>
  </si>
  <si>
    <t>Domenech</t>
  </si>
  <si>
    <t>…tres escribientes, sujetándolos á toda la responsabilidad que se quieta. Bajo esta conside CORTES EXTRAORDINARIAS. ración impugno el dictarnin. PRBSIDKNCTA DEI SíSOX OiíVBR. , ,El Sr. Domenech : El señor preopinar ; ha impugnado el proyec to solo por el aumento de estas dos plazas de oficiales : asi se dice en - Sesión del dia jz. el proyecto; pero deben las Corles entender que de hecho existen Leída y aprobada el acta de la anterior, se mandaron a…</t>
  </si>
  <si>
    <t>…o á la santa iglesia. La precederá un piquete de caballería; segui Se leyó y aprobó el acta de la anterior. rán los gigantes y consecutivamente los pendones ; los párrocos y co El Sr. Domenech ocupó la tribuna , y leyó una felicitación que Amunidades- 'os convldidos y demas que asistan con hacha , los obreros rgian á las Cortes ios subalternos del tribunal especial de las mismas, de las parroquias, el muy ilustre cabildo eclesiástico , y la Santísi…</t>
  </si>
  <si>
    <t>…ta habiendo tenido tres el Sr Marchamaio y uno el Sr. Bertrán de Lis. capital del cargo del Sr. D. Angel Fernandez de los Ríos, y por la escri En la 22.a votación quedó elegido el Sr. Domenech por 90 votos, banía del número de D. Jacinto Gaona y Loeches , se han denunciado en habiendo tenido el Sr. Marchámalo dos. el concepto de no tener dueño legítimo conocido tres solares sitos en la ca En la 23a votación fue electo el Sr. Oliver por 82 votos, ha…</t>
  </si>
  <si>
    <t>…de Ja junra superior de Se nombró para la comisión que ha de examinar la memo León en la guerra pasada, para que se le indemnice de ios gastos ria del Sr- secretario de Estado al Sr. Domenech. }' sacrificios que hizo con créditos contra el Estado para invertir Se mando pasar á la comisión de Hacienda una proposición los en lincas racionales, opinaba que no podía accederse á esta de los Sres. Somoza , Rojo , Mur y Llórente, para que se reba solicit…</t>
  </si>
  <si>
    <t>Domenech, José</t>
  </si>
  <si>
    <t>José Domenech</t>
  </si>
  <si>
    <t>…r/t/s—Casi puede decir se ile estas lo que do las vei bales, pues exigen mu =E1 capitán del bergantín-goleta español Bella Ana, chos conocimientos preliminares para que se les pue D. José Domenech, que salió de Puerlo-rico el ?.5 da dar asenso: la Opinión del que escribe, la clase de mayo líltimo, con destino á Barcelona, y acaba tle anteojo con que vió lo que refiere, ó si lo oyó tle llegar á esta plaza , después de haber sido apre de otros que lo vie…</t>
  </si>
  <si>
    <t>Domigucz, Tomas</t>
  </si>
  <si>
    <t>Tomas Domigucz</t>
  </si>
  <si>
    <t>…al habrá proporcionado «El gefe político de Guadalajaru con fecha de esta día da pane al el armamento y morriones, con cuyo objeto ha enviado un individuo de su Gobierno de que el comandante D. Tomas Domigucz alcanzó hayer ma seno á esta corle. ñana junto ¿Trillo, al otro lado del Tajo, á los facciosos capitaneados por Bc-ssieres en número de 300 hombres, los que á pesar de haber inutilizado Juicio de jurados. el puente que pasó la infantería por las vigas, fueron…</t>
  </si>
  <si>
    <t>Domin</t>
  </si>
  <si>
    <t>…pedientes de asignación de suertes á D. Pedro Pérez López , ca otro con igual priesa, por io cual se suponía que llevasen pliegos pitán retirado, D. Luis ValcarcJ , teniente ídem, D. Domin de la mayor importancia. Por el mismo tiempo habian sido lla go Romero, D. Felipe lta,D. Diego Martínez y D. Pedro mados á Petersburgo el gran duque. Constantino y los generales Antonio Valcarcel, todos retirados. de los ejércitos de la Lituania y de Besarabi…</t>
  </si>
  <si>
    <t>…á palacio la Reina y la milicia nacional local de Madrid , á las ción y régimen de las compañías y cuerpos de guerrilla oue se órdenes del segundo comandante de la milicia activa D. Domin formen en ellos, para hostilizar á los enemigos ¡nti.ifiores y au go Surga.__Congreso y archivo la milicia nacional local de Ma nares , que han de regir provisionalmente hasta que el Gobier drid.__Parada la Reina, Infante D. Carlos, milicia activa y Ja. no de…</t>
  </si>
  <si>
    <t>Domín, Patricio</t>
  </si>
  <si>
    <t>Patricio Domín</t>
  </si>
  <si>
    <t>…icularmente los entren en el territorio español. Añaden que ha llegado á Léri que tengan ó crean tener razón y causa para contradecir á los da el coronel Gurrea con a5) hombres, y D. Patricio Domín demandantes en recoger los dichos 372 m. 15 e. de banco y los guez con cuatro piezas de artillería, y que se dirigen contra Me- 72 m. 5 e. de banco. quinenza. Ultimamente, que todos los que pretendan poder contrade ARTICULO DE OFICIO. cir á la traslación, ext…</t>
  </si>
  <si>
    <t>Dominco</t>
  </si>
  <si>
    <t>…smo. tiio les cargase con la decisión que acostumbran las tropas libres: La imprevisión, falta de energía de los españoles, y la mas mandé igualmente al subteniente de carabineros D. Dominco vil adulación y egoísmo de ios privados del Monarca , sumieron Puig que con 25 hombres de su compañía despejase la carretera, de nuevo á esta desgraciada Nación en el profundo abismo de la como cííctivaménte lo hizo con un va loe y serenidad increíble, esclav…</t>
  </si>
  <si>
    <t>…Freire. Rafael Casimiro Lodares y D. Miguel Sánchez Casas por la de En ella encontrareis que este general ha declarado formalmente la Manchal: D. Josef z\poita por la de Vizcaya: D. Dominco que ni él ni el ejército están sujetos á ia junta , y que no reco Cortés, D. Francisco Enriquez, D. Josef Alcaide y D. Ramón noce en ella autoridad alguna sobre la fuerza militar, cuyo Lamas y Melendcz por la de Galicia: D. Josef Cuevas por la mando independi…</t>
  </si>
  <si>
    <t>Dominga</t>
  </si>
  <si>
    <t>…ana de la ciudad y obispado de Plasencargos siguientes : cia se ha de rematar en pública subasta el dia 16 de Abril y hora de t." Se prestó á la egecucion del proyecto trazado por D. Dominga las do. de su tarde de este afío de la fecha en el lugar de Huertas de Baso , á pesar de que habiendo acompañado al Sermo. Sr. Infante Don Animas, arrabal de la ciudad de TrujilLo, y con separación de vere Francisco de Paula la noche que se presentó en la cas…</t>
  </si>
  <si>
    <t>Domingo</t>
  </si>
  <si>
    <t>…ia en cíe jflag. primer grado. En su virtud se reunió el jurado, compuesto de tos s&gt;ííoEl Gobierno ia recibido el parte siguiente. res siguientes: D. Joaquín Manrique y Manrique , D. Domingo í&gt;rF! segundo comandante general del quinto distrito militar , con nandez Angulo , D. Zoilo Gómez Casero, D. Bernardo Asenjo, Don íecla de 9 del actual, dice entre otras cosas al Excmo. Sr. secretario Juan Isidoro Persz, D. Cayetano Romero, D. Juan Manuel de…</t>
  </si>
  <si>
    <t>…e un pidiendo se les habilite para poder obtener destinos. considerable número de ilustres diputados que pertenecen al comerc;o y á A la de Guerre se mandó pasar una exposición de D. Domingo la industria, que conocen los deseos de sus comitentes soorc la cuestión de Deig-uO , ayudante de caballería retirado, pidiendo volver al servicio. la guerra, y que saben bien que respecto de ella es una misma la opinión Se mandó pasar á la comisión de Establ…</t>
  </si>
  <si>
    <t>…itirán á la llana cuantas me torga, capitán retirado; D. Pedro Mariano Basq, cura de Cactil-Tlenu, joras estimrn hacer los lidiadores hasta la hora de! citado dia 30,en hermano de D. Domingo; otros muchos cuyos nombres ae han ponido que por dicha autoridad se fije la final admisión de posturas. encubrir , y algunos gravemente indiciado!, coa especialidad D. Bal tasar Cuqueara. ... Continúa el informe de la causa contra D. Domingo Baso. - 3,* Para…</t>
  </si>
  <si>
    <t>…n Escudero; D. Josef Calsini; D. Pedro Mariano Baso , cura de Cas- se desde el 11 de Marco: ia persona que quisiere hacer postura á ella til-Tierra, aquel yerno, y este hermano de D. Domingo ; D. Ramón lo eg-cutará mi , .3 cho :-r. y citada escribanía dentro del término reHernández Tirso; Pedro Josef Garviso , criado de D. Josef Ala,:u;l fericki , que se le admitirá siendo arreglada. Erroz; Francisco Ramírez, que acompañó á D. Baltasar Casquero ,…</t>
  </si>
  <si>
    <t>…a á entender , y la conducta de todos no deja duda de mentamos en las orejas y en la frente cierta presión, que se fue aumen ello.Partiendo pue* de los dato* sentados entiendo que D. Domingo tando por espacio de alguno; minutos. Sin embargo, yo no sentí dolor en las orejas; pero mi compañero se ha leba lan incomodado, que nos Baso , D. Josef Manuel Erroz, D Angel Arteaga y D. Antonio Or vimos precisados á suspender el descenso por algunos instant…</t>
  </si>
  <si>
    <t>…te en que las Córtes recomendasen al Gobierno á este indivi denado que D. Blas Ostolaza, D. Nicolás Santiago Rotalde, duo, para que con arreglo á sus méritos y aptitud le coloque. D. Domingo de la Vega, D. Félix Mejía, D. Benito Morales, Aprobado. D. Leonardo Perez, D. Josef Spínola, D. Ramón Ceruti, Don Se leyó la siguiente proposición del Sr. Murfi : «Pido á Jas Ramón Sánchez y D. Bonifacio Castillo sean detenidos y trasla Córtes se sirvan habi…</t>
  </si>
  <si>
    <t>…ir por Rafael Casimiro Lodarcs y D. Aliguel Sánchez Casas por la de ahora lasala de tercera instancia de la audiencia territorial con la Mancha: D. Josef Apoita por la de Vizcaya: D. Domingo los ministros del tribunal Especial de Guerra y Marina, y si es Cortés, D. Francisco Enriquez, D. josef Alcaide y D. Ramón tos no bastasen con los jueces también letrados del tribunal Es Lamas y Melendez por la de Galicia: D. Josef Cuevas por la pacial de Jus…</t>
  </si>
  <si>
    <t>…o fueron muertos dos hombres. Sola esta es la pérdida Tercer cuerpo del ejército de los Pirineos. que hemos tenido en este bombardeo, que ha dado el mayor ho Capitulación entre el coronel D. Domingo de la Iglesia, co nor á nuesrta esaqadra, como también á los marinos franceses mandante de ingenieros de la plaza de Santoña, caballero de la y españoles que se han hallado en servicio. En Cádiz ha produ orden militar de S. Hermenegildo, condecorado con las c…</t>
  </si>
  <si>
    <t>…sé a89 rs. , que en dinero, vales Reales y créditos ha hecho para ha medido toda la extensión de’ este inmenso cohtinente hasta las urgendias del Estado , el presbítero de Sevilla D. Domingo los términos mas lejanos. Sánchez Jijón, mandando al mismo tiempo S. M. que se le den La población de las distintas y antiguas posesiones españolas gracias y se publique en la Gaceta. es muy incierta; sin embargo la he calculado por las últimas relaciones que…</t>
  </si>
  <si>
    <t>Domingo, Ignacio</t>
  </si>
  <si>
    <t>Ignacio Domingo</t>
  </si>
  <si>
    <t>…tamaño monstruoso.” tillo de S. Anión , cuya infausta noticia anunciamos en nuestro £1 capitán interino del puerto de Santander, con fecha u número anterior. del actual, avisa que D. Ignacio Domingo del.Corral, capitán __En el rio Guadalquivir se han construido con destino al blo del bergantín mercante español nombrado el Conquistador, á queo de Cádiz cinco barcos ligeros, siete bombarderos, una los 31 dias de su navegación desde el puerto de la Havana y…</t>
  </si>
  <si>
    <t>Domínguez</t>
  </si>
  <si>
    <t>…xcmo. Sr.z; mercancías mas de yoo3 pesos: 3$ fanegas de cacao , algodones, cue Consecuente á lo que dije í V. E. en mi oficio de r.° de este año, ros &amp;c. participo á V. E. como el coronel Domínguez regresó á esta el dia 4 Santomas Noviembre ir—El 17 entró un bergantín de la Guara sin haber tenido e^ gusto de etcarmemar á la facción del .cabecilla Mi- en cinco días. Por él sabemos que allí y en Caracas se hallan en Ja si ralles , pues huyó cobardemente c…</t>
  </si>
  <si>
    <t>Domínguez, Andrés</t>
  </si>
  <si>
    <t>Andrés Domínguez</t>
  </si>
  <si>
    <t>…buena en Madrid. Nota. En la gaceta del 5 del corriente , párrafo cuarto de la seiion ri. Mtmf.-stó á un postilion, que referia que en su pueblo no se de Corlea del 4, se habló de D. Andrés Domínguez, corno juez inte hab a jurarlo la Constitución , que ya no tendría necesidad de jurarla. rino de primera instancia de Jerez de la Frontera, en lo que padecie *2- Sedujo i D, Francisco Barrio para que armase una partida, ron nuestros taquígrafos una equivocaci…</t>
  </si>
  <si>
    <t>…dable, cuanto que ni lo á que se declare si dicha audiencia debe conocer de la causa que dilisil de las comunicaciones, ni las largas distancias, ni la si se ha principiado contra D. Andrés Domínguez , alcalde que tue multaneidad de movimientos , ni las críticas circunstancias en de Arcos de la Frontera, por excesos cometidos en el desempe que se han hecho á la vista del ejército francés, ni el carecer de ño de las funciones de juez de primera instancia.…</t>
  </si>
  <si>
    <t>Domínguez, Antonio Maria Cruz</t>
  </si>
  <si>
    <t>Antonio Maria Cruz Domínguez</t>
  </si>
  <si>
    <t>….... de que el Gobierno francés ha dispensado á los que se rebelaron con Julio de 1823. — Josef María Calatrava. tra las instituciones legítimamente establecidas en ella, y adopta D. Antonio Maria Cruz Domínguez, secretario del ayunta das espontáneamente por el Rey ; y de la injusta cuanto escanda miento constitucional de Frege nal, provincia de Badajoz, lia ce losa invasión que lia hecho el ejército francés en la Península para dido en beneficio de la Nación la cuar…</t>
  </si>
  <si>
    <t>Domínguez, Francisco Luciano</t>
  </si>
  <si>
    <t>Francisco Luciano Domínguez</t>
  </si>
  <si>
    <t>…dos compañías de infantería y una de D. Gonzalo Cárdenas. D. Marcos Izquierdo. caballería de cazadores constitucionales, que deberán destinarse al mo D. Francisco Sainz de Rozas. D. Francisco Luciano Domínguez mento á recorrer la provincia con el objeto que expresa el decreto ds D. Nicolás Cano de Luque- Villanueva. las Cortes de 1." de Febrero próximo pasado; y acordado S- E. que ss £&gt;. Matías Pinillt. D. Juan Antonio López. manifieste al público este raigo para q…</t>
  </si>
  <si>
    <t>Domínguez, Joscf</t>
  </si>
  <si>
    <t>Joscf Domínguez</t>
  </si>
  <si>
    <t>…ugueses, ¡qué queréis: :Consentiréis por ventura que os zV la comisión de Hacienda se manilo pasar ur.a exposición d e,e ¡a lev un puñado de guardias pretonanas ? : Os conviene de D. Joscf Domínguez . pidiendo se dign.a .as Cor'.., :.p. ac.w&gt; obedecer á los indignos aristócratas que os quieren ultrajar! la recomendación que lucí.ron anter.orinante pa.a que 00 ¡Ah! e;.o no; sois lusos, y esto basta. Union, y tendremos bienio le destine. fuerza.” La comisi…</t>
  </si>
  <si>
    <t>Domínguez, Josef</t>
  </si>
  <si>
    <t>Josef Domínguez</t>
  </si>
  <si>
    <t>…rlamentario, las tropas de S. M. asaltaron con nue vinciales, habiendo recaido en los individuos D. D;eco Pizarro, vo ardor todos los puestos que el enemigo había vuelto á ocupar, D. Josef Domínguez , cura del Arrovibo, D. Josef Alaría Urny le rechazaron completamente. mas, los tres en clase de propietarios, y D. Josef Marcelino » Después de una hora de descanso emprendió el enemigo ha Geigel como suplente. Esta elección ha merecido también ¡a cer una sa…</t>
  </si>
  <si>
    <t>Domínguez, Manuel</t>
  </si>
  <si>
    <t>Manuel Domínguez</t>
  </si>
  <si>
    <t>9» la toma de Retim (isla de Candía) por los griegos. al mando del coronel D. Manuel Domínguez , del estado mayor del __Aseguran que el Austria lia reconocido al fin el bloquea de los 6.Q distrito , dispuse saliese con dirección á Bellpuig. Al mismo tiem po invité á los comandantes de asmas de Cervera y Balaguer para quegriegos. ^ KOTICIAS DE ESPAÑA. e…</t>
  </si>
  <si>
    <t>Domínguez, Tomas</t>
  </si>
  <si>
    <t>Tomas Domínguez</t>
  </si>
  <si>
    <t>20S . , , no se tiene otro objeto que servir í un Príncipe «ctrangero, acceder a sus teniente coronel D. Tomas Domínguez, comandante de la columna oesti caprichos, y sacrificar á la nación francesa por condescender con la política rada á observar la facción de Bessicrcs, desde Torrelaguna con fecha de de la santa alianza, ó mas bien cao la del Emperador Alejandro; y que el ayer…</t>
  </si>
  <si>
    <t>…repetidas órdenes comunicadas á su Comandancia general del primer distrito militar.^;» Kxcmo. Sr.= comandante á fin de que lo verificase ; pero por noticias extrajudiciales se El comandante D. Tomas Domínguez, desde Trillo con fecha 5 del ha sabido que había vuelto de arribada al expresado puerto de Pastees, actual, me dice lo que sigue : Viva la Constitución. Acabo en este forzada por ios malos tiempos. mismo momento de derrotar al cabecilla Bessieres. Marché ano…</t>
  </si>
  <si>
    <t>Doministradoi</t>
  </si>
  <si>
    <t>…mo subversivo y sedicioso, y reur. do el juracomisarios de guerra qu,: exija - sus atenc-ones y circunstancias , un cd- do compuesto de los Sres. siguientes: D. Ja me Ru z Abreu , D. Doministradoi,y un cantador en .cada hospital militar con los empleados mingo Villamil, D. Santiago Delgado, D. Szbzst-an Andrés, Don necesarios.si no estuviese por contrata. F.n escaso de que los ramos de Zoií , G m z Casero, D. Gonza'o Cárdenas, D. Juan Fernandez Cjvivir…</t>
  </si>
  <si>
    <t>Domon</t>
  </si>
  <si>
    <t>…el puerto de-su salid* el vizconde Tirlet : el conde Guilleminot, el conde Bourck , el viz una fragata con bandera americana cargada de toda ciase de p- rtrechoi conde Castex , el vizconde Domon , el conde de Autichamp , el barón de guerra, apresada por un corsario armado en dicha isla; dando final Dode de la Brunerie, el barón de Damas, el vizconde Donadieu, el mente por noticia que en el puerto ds la Guaira habia una corbeta in vizconde Pamfi'.o-La…</t>
  </si>
  <si>
    <t>…de Ladernade.el Ballesteros con la división Loverdo , las brigadas Chamans y capitán de los carabineros Cousin , el capitán de cazadores RoPelIeport,y la división de dragones del general Domon, veda, los capitanes Castamagna, Duval Guilhaumont ( herido), La vanguardia del general Loverdo llegó delante da Lorca Paté y Servier, Jos tenientes Coste, de carabineros, Tracor y el 12: nuestras descubiertas fueron recibidas desde luego á bala Veiller (heri…</t>
  </si>
  <si>
    <t>Don</t>
  </si>
  <si>
    <t>…cia de ciertos interesados en los bienes del concurso de sala de sesiones de la diputación «l día 15 dei mes de Marzo próxi D. Pedro Josef de Adame, y en virtud de providencia det Sr. Don mo ; y el que quisiere hacer postura remitirá con anticipación sus pro Juan Gcm-t y Díaz , iu:z de primera instancia en esta corte , su fe posiciones í la secretaría de la diputación , donde se le comunicarán cha 23 de! prúx.mo D.cién-bre , se ha acordado la…</t>
  </si>
  <si>
    <t>…so, teniente y «notamente de la quinta, como igual dispus- que el 26 saliese con dirección i los Arcos el coronel de Pablo mente ios cazadores del in.sma cuerpo i Us órdenes de su capitán Don con i3 hombres de infantería y 80 caballos de Boibon entre tanto marAntonio Ruiz de Guzman , sin que pueda omitir hacer mención cb.iba á Mui irla ; mas el enemigo conducido por el miedo , y neticiodel capitán de Camarasa D. Antonio Egea y el teniente Ü. Franc…</t>
  </si>
  <si>
    <t>…, á Espejo y valle da Losa, para que situado en un pun determinado por las leyes de intruccicn.pública , usando de los sobran to intermedio con los rápidos avisos que he pasado al coronel Don tes.si los hubiese, en beneficio de la misma instrucción; y al intento Eugenio Arana, al gefe político da la provincia de Bilbao, y al co llevarán las diputaciones provinciales cuenta separada de los produc mandante de la columna móvil del 4.° distrito D. N.…</t>
  </si>
  <si>
    <t>…fe parte de su fuerza solo con no permitirle descansar. rencia con el ministro Villele. Lo* generales duque de Guiche y ba » Entre los cabecillas que van con h facción se halla el coronel Don rón de Damas están nombrados para acompañar al duque de Angulema Nicolás Isidro, que olvidando los deberes de militar', hace diez ó do en su viage í los Pirineos. En ia guardia Real se habían sorteado los ce dias «e incorporó en ella. Esta tarde fueroa aprehe…</t>
  </si>
  <si>
    <t>…ley en la que se siguió contra el brigadier D. Francisco orden para dob'ar la marcee cuanto sea posible. Dios guarde á V. E. Serrano , el teniente coronel D. Florencio Ceruti y e! capitán Don muchos años. Cuartel genera; de Osma 21 de Febrero de 1823.—Ex Agustin Chinchilla , por las ocurrencias del 18 de Setiembu de i8rt celentísimo .Sr.=EI conde del Abisbal.=Excmo. Sr. secretario de Esta en el cuartel de caballería de Sagunto: se d:ó en 2 de Dici…</t>
  </si>
  <si>
    <t>…l D. León dellurbe, '¿efe del estado mayor del egército, sufriendo ¡os fuegos da aquellos , y á menos distancia de 400 pasos y del bizarro comandante del batallón de cazadores del general Don échalo» armas á discreción nuestras columnas, y en seguida cargando Josef Gómez del Corro, con 10 oficiales mas , 46 soldados y 70 he á la bayoneta , despreciaron el horroroso fuego de los enemigos; se ar ridos. Lo que pongo en conocimiento de vmd. para su in…</t>
  </si>
  <si>
    <t>Gaceta de Madrid n.º 93</t>
  </si>
  <si>
    <t>…sórdenes introducidos en el Gobierne por los enemigos del Estado , y afianzar con garantías seguras los derechos de los ciudada Segundo egército de operaciones. = Ercmo. Sr.: * El coronel Don nos y la felicidad nacional. El espíritu pues de revolución existe en Joaquín de Pablo, comandante de la columna de la derecha del 5.a el absolutismo, pues jamas ocurrirá á los pueblos la idea de conquistar distrito militar, con fecha de ayer me dice desde Mo…</t>
  </si>
  <si>
    <t>…toda la fuerza disponible hácia aquellos puntos, como se de 23 lácciosos montados; pero los milicianos di: Soria, en número verificó en la tarde del 14 del corriente, al mando del brigadier Don di jó , les mataron i uno y dispersaron í los demas. R,mon Losada , para contener el progreso de la insurrección, y perse Sesenta y dos facciosos de caballería portugueses que entraron en guir á 'os sublevados. Ayer he recibido aviso de este gefe, participán…</t>
  </si>
  <si>
    <t>…rmé una columna, que al mando del comandante Oro tomó la b o, y todas las arnias:eran lícitas y permitidas en manos de estos Vanguardia, y yo seguí con el Test» de la división. El teniente Don diestros seductores como pudiesen contribuir á su fin. Pero los progre Pablo, bornearte , agregado provisionalmente al regimiento de Segovia, sos no correspondieron i sus deseos. y.aposentador de esta división , que fue comisionado con cinco cazado Estaba muy…</t>
  </si>
  <si>
    <t>…Geor Octavo distrito militar.._Antes de ayer fue un dia glorioso gia , pueden considerarse, aun por los menos preocupados, como para las armas nacionales. La columna al mando del coronel Don indicios bastante claros de las intenciones hostiles de la Rusia Antonio Bazan , que de la provincia de Castellón venia a socor para con la IndifL (b&gt; continuara,) rernos , atacó á los facciosos en las faldas de los montes de SaANUNCIOS. jgurito. No se sabe q…</t>
  </si>
  <si>
    <t>…o me Segundo ejercito de opcraciones. = i.1 División.=Tcns.o la era posible pensar en otra cosa que en reunir mi columna, y ,n satisfacción de incluir a V. S. el parte del bizarro coronel Don proporcionarla el descanso que tanto necesitaba : ademas de que Félix Carrera; por él se enterará V. S. de la completa derrota d« la custodia de prisioneros y efectos aprehéndalos me inutilizaba la face on de Adan Trujillo en los límites de España y Francia.…</t>
  </si>
  <si>
    <t>…á las cha to al,E. M. D. l.eon Rodríguez de Camargo. Se reconocerán iro de la tarde del x 2 entró el general Mina en Tarragona , en por ayudantes de campo del Excmo. Sr. teniente general Don la que solo estuvo media .hora; y se matchó á reunir con ona Josef de Zayas, comandante de la primera división de este división de 4© hombres, que traía á marchas dobles con direc egército, á D. Lorenzo Somera, capitán de la M. N. A. de ción á Valencia. . Mad…</t>
  </si>
  <si>
    <t>…chos que se componía la facción, sin mas pérdida por nuestra parte años. Valladolid 22 de Abril de 1823. = Excmo- Sr. rzEl gefe que la de un artillero herido de mucha gravedad. El capitán Don de estado mayor Francisco Javier Cavancs.” Vicente Ruiz, los alféreces D. fausto García y D. Miguel Nue ras , de Alcántara, y el de igual clase de artillería D. Agustín Bla- __En la provincia de Madrid y en Ja de Ciudad-Real se han ke con dos cabos y un solda…</t>
  </si>
  <si>
    <t>…graciado, ofreciendo dar la cuota neta al ir á montar las alturas; 1 jo hombres que componían el asignada á la casa de beneficencia. batallón del Príncipe, mandados por su bizarro comandante Don • Las Cortes quedaron enteradas de un oficio del Sr. diputado Félix Valcarcel, rechazaban ya con el valor con que se habían D. Manuel Casildo González, en que las manifestaba hallarse conducido en toda la acción á una de las dos columnas gruesas que convaleci…</t>
  </si>
  <si>
    <t>…io Martínez__ Por subinspector de caballería al brigadier D. Josef ■■■'■ El Sr. diputado ¡á'Cortes D- Manuel de Latrc fue -puesto en Marrón-Por comandante general de artillería el brigadier Don el número de ios-que en la sesión de Cortes del 8 propusieron !a Josef López—Por comandante general de ingenieros á......—Por medida de aplicar los productos de las -fincas del clero á los gastos auditor, de guerra á D. Vicente Sánchez Sandino—Por vicario dé…</t>
  </si>
  <si>
    <t>…he de Málaga el 23 del pasado con destino á la Havana, y apresa cha con la casa de JBernalcs y sobrino de Londres. Se leyó este do el 6 del corriente; habiendo mandado en él á su capitán Don dictamen, que contenía los artículos siguientes: Juan Fernandez Bordoe__ Goleta española Fama de Honduras, Art. i.° No habiendo cúmplalo la casa de Bernales y sobri capitán D. Josef Rodríguez , de Honduras y la Havana en 47 nos de Londres el contrato que en 1…</t>
  </si>
  <si>
    <t>…or su notoria adhesión á la relígionrde nuestros padres, y por función , verdaderamente cívica , en que no ha tenido parte la su decidido amor y constante fidelidad al Rey nuestro Sr. Don inducción ni el soborno con que los pretendidos hombres libres Ferrando vn , olvida todos sus pasados males en el dichoso procuran hacer vitorear el libettinage y la impiedad. La espon momento que ve confiado el Gobierno de esta gran Monarquía tánea voluntad…</t>
  </si>
  <si>
    <t>…” rales en gefe nombren, en caso de necesidad , persona ¡doñea que haga Jas lacrs de los primeros , consultándolo asiin'smo al Go En atención á los méritos y aptitud de-I teniente coronel Don bierno. g\Que aquellos de d.chas fuñe onarios que cumplan pun Salvador Manzanares, gefe político que fue de la provincia de tualmente con lo que aquí se previene sean ar. i'd dos por los re Valencia , lie tenido á bien nombrarle mi secretario de Estado y feri…</t>
  </si>
  <si>
    <t>…de Dios n La Real audiencia de Aragón , animada de aquellos nob’es y del Monarca. La prudencia y vigor presidirán en todas sus sentimientos de lealtad y amor ¿ nuestro Soberano el Sr. Don resoluciones; vosotros cooperareis al logro de un fin tan dig Fernando va, que siempre la han distinguido, inmediatamen no y tan justo, confiando en vuestro Gobierno, que será cons te que recib o de oficio por medio del comisionado rejio tante en perseguir á…</t>
  </si>
  <si>
    <t>…lecc.on de diputados á Cortes por la provincia de Huama.iga , v En fin ambos Estados admiten la entrega de los delincuentes los poderes presentados por uno de ellos, que lo es c-1 doctor Don y de los desertores. Josei Agustín de Larrea, observaba que sin embargo de algunos Cádiz.&lt;i( Julio. defectos que se notaban en aquella podían aprobarse, asi como los poderes del dicho Sr. Larrea ; y opinaba que cuando se pre CORTES. sente el otro diputado á C…</t>
  </si>
  <si>
    <t>…día 4 del mes de Setiembre de este año se celebrará siguientes: »&gt;3 4Las5 6órdenes7 que sea necesario circular á los pueblos seen Valencia un aniversario por la alma del teniente general Don i.*1 2 Francisco Javier Elío, y se dirán en todas las iglesias ds dicha dirigirán con uno ó mas dependientes dei resguardo por los in tendentes de las provincia» y por ios subdelegados generales deciudad cuantas misas sean posib es. 2.0 La función de iglesia…</t>
  </si>
  <si>
    <t>…la con drarlos ; y con el mayor orden, júbilo y aclamaciones de viva ducta de muchos que sin profesar religión alguna afectan la ca el Rey absoluto, viva nuestro amado Monarca «l Señor Don tólica, con el fin de proporcionarse trato mas frecuente , y me Fernando vii , fue paseado su retrato entre una muchedumbre dios mejores de seducir á los verdaderos cristianos. Es necesario indecible, y colocado en los balcones de las casas consistoriales tam…</t>
  </si>
  <si>
    <t>…umía instalación para gobernar estos reinos en nombre y durante la á la leal ciudad de JLucena viendo cond-icir cautivo entre una cautividad de nuestro amado y deseado Soberano el Sr. Don banda de asesinos á su querido y virtuoso Monarca , solo la Fernando vil; ¡con qué lágrimas de ternura, Sermo. Sr., haa instalación de la Regencia del reino pudo hacer que el corazón manifestado hoy estos monges congregados en capítulo el con del Jucentino di…</t>
  </si>
  <si>
    <t>…francesas. El » Dios guarde i V.E. muchos años Madrid a 1 de Julio de daño causado se calcula hasta ahora en 8oo ó yoo3 reales á lo 1823—Excmo. Sr.rsjoaquin Lorenzo Mozo.inExcmo. Sr. Don menos. Josef Azuar&lt;z.*’ Son tantos y tan atroces los asesinatos, los robos, dilapida Ayer domingo después de las 11 de la mañana S. A. R. ciones y todo género de crímenes con que nuestros revolucio el Sermo. Sr. Duque de Angu'-ma, generalísimo del ejército na…</t>
  </si>
  <si>
    <t>…sieron las Cortes su traslación y la del Gobierno á Cádiz; que y decididos por el sistema constitucional, manifiestan por ellas la habiendo enviado un mensage al Rey , contestó el Señor Don indignación y rabia con que fue recibida la noticia de la traición Fernando vu que consentina en la traslación como particular, de Morillo por todos los amantes de su patria. Anuncia el alca!.fe pero que no podía consentir como Rey y por el bien de sus pue es…</t>
  </si>
  <si>
    <t>…a quedado encargado con el gobernador de Manresa del arreglo 32 fanegvs de trigo , cobradas y puestas por la justicia en casa del y entrega del fuertr. El ayudante de estado mayor capitán Don médico. Los pretendientes dirigirán sus memoriales i la justicia) Antonio Burgos intervendrá en ios inventarios. que se admníráa hasta «1 15 de Agosto próximo. EN LA IMPRENTA REAL.</t>
  </si>
  <si>
    <t>…conoce comandante del batallón níim. 21 D. Tomas Mezguer; el de Li rá que el enemigo esté tan cerca, porque á excepción de algu bertad al coronel D. Tomas Llanes; el Vigilante al capitán Don nas disposiciones militares, todo se mantiene tan sereno y tran Juan Bautista León; el de Constitución al teniente coronel, gefe quilo como si los franceses estubiesen á mil leguas de distancia. de batallón, Don Gabriel Pflouguer;el de la Ley al coronel Está…</t>
  </si>
  <si>
    <t>…mar sino á cada uno de sus individuos en particular , con especiali ques de Artasons.eeAntonio Cases, síndico.=Francisco Blasco, dad los que ha sufrido nuestro católico Monarca el Sr. Don dipuUdo.=Jaime Gabás.=Josef Aineto, secretario interino.” Fernando vii (que Dios guarde), por cuya libertad y restitu ción al truno de sus mayores no menos anhela estsayunía¿r»im* » Sermo. Sr.: Restituido el ayuntamiento de esta ciudad de to que por la que ha…</t>
  </si>
  <si>
    <t>…e »&gt; La noche del 27 fue asesinado del modo mas vil, y solo Prusia, y el Sr. Ponchet de Chateauville, capitán de fragata del propio de los que se jactan de ilustrados, el teniente coronel Don cuerpo Real de la marina de Francia, caballero de S. Luis, de Lorenzo de Tejeira Coello de Limpo. Ja legión de Honor y de S. Fernando de las dos Sicilias, coman « Su delito fue procurar con ia mayor moderación evitarlos. dantes, el primero de las fuerzas de t…</t>
  </si>
  <si>
    <t>…CIO. Entre el Sr. teniente general conde Bourk, comandante en Coruña a las ordenes del conde de Cartagena; y el artículo 3.0 gefe de las tropas francesas en Galicia, y el teniente general Don estaoiece que el mismo conde ha de estipular los intereses de los Francisco Novel la , gobernador de la plaza de la Coruña, se ve cuerpos é individuos particulares de que se compone la guarni rificó el convenio que sigue: ción y población de ia Gorma*, de acu…</t>
  </si>
  <si>
    <t>…canos es nn, D. Antonro García , cap tan D. Ramón Gascón y teniente preciso considerar ios principios de su conducta. Se !&lt;s cree pro D- Mariano Herreros; y m.s ayudantes de campo coronel Don pensos á la traición, porque en plena paz y sin nuuuna especie de lJab!o Echeverría, comandante de escuadrón D.Ramón Nadal ¡y preliminares pasan á veces u cometer artos de hmt..¡dadt vero r.o capitanes D. Juan Díaz del Rivera y D jóse iMaría Cid con el se obs…</t>
  </si>
  <si>
    <t>…taTenemos á la vista cartas da Vigo del 28 de Julio, escritas miento todos lo» documentos que no hayan sido satísic-chc», ; c. n por sujeto iidedigno, y cu ellas se refiere que el brigadier Don una lista de los individuos y da sns Jom.cilios lo» pa»ará el se Juan l’alarea venciendo infinidad de obstáculos, y principalmen ñor gobernador de ia plaza, según dispone ia Real orcen. te ¡os que á cada paso le ponía la intriga maquiavélica de los Séptima. E…</t>
  </si>
  <si>
    <t>…e concibe que es llegado el dia de ¡levar á efecto su plan , y al subtenientes de infantería: á los sargentos segundos Ji.*u F-rtnedio dia del 11 de junio de este año dió aviso al general Don nand.z Godoy , Domingo Muñoz, Ramón Corvjil , Francisco Román Chambo de que á las 11 de su noche debía hallarse Novoa, Manuel González y Josef Msrtimz el grado de subía cott la infantería en las inmediaciones de las puertas exteriores me ñus de infantería. de…</t>
  </si>
  <si>
    <t>…los beneficios qae nos había dispensado ; en los cuatro dias estu Gobierno constitucional reservaba á esto honrado vecindario vo colocado bajo de dosel y at público el retrato del Sr. Don para testigo inerme del mas doloroso espectáculo que llorará por Fernando vu; hubo iluminación general, mucha pólvora d« siempre con ligrimas de sangre; sí , Sermo. Sr. , jamas se bor mano, regocijos públicos, y finalmente se sirvió un magnífico lará de la me…</t>
  </si>
  <si>
    <t>…i inaccesible altura de la derecha , mientras que las demas com sándose de casa en casa por los cabos de los cuarteles. S. Fernan pañías de este batallón, alas órdenes de su digno comandante Don do 3 de Setiembre de r823.=Francisco Legobien y Cepeda , al Pedro Becerra, marchando por Ja izquierda ocuparon la prolon calde primero—Gerónimo Casimiro Márquez , alcalde segundo. gación de Ja cuesta de las alturas por aquella parte. Cargó ai mis =Agustin Ame…</t>
  </si>
  <si>
    <t>…tar ayuntamiento y cuta párroco, que manifestó á S. E, en un pessanos todos los cartuchos se habian mojado , y fue. precito traer qu'So discurso tú constante amor á nuestro Rey el Señor Don ©tres. Luego &lt;jue llegaron, dispuso S. A. R. el Sertn^^Sr. D.u- Feknamdo vii , y los deseos de su libertad y dé su augusta y que de Angu!cij»*-que *e atacasen las casas del Trocapijroj las Real familia. En la villa de Manzanares, adonde llegó á las cuales fue…</t>
  </si>
  <si>
    <t>…Íara alojamiento de S. E., que lo fue en casa de D. Josif María lodiigurr Romero, predicador de S. M.; recibió a S. E. el cle Real del Buen-Suceso , cuarto segundo , donde vive el Sr. Don ro, las comunidades de carmelitas ca zados y- de franciscos: etl Bartolomé Pinera; acreditando estar graduado de bachiller en seguida se presentaron á cumplimentar á 5. E. lina diputación de medicina por cualquier universidad aprobada , ó que habiendo ia audi…</t>
  </si>
  <si>
    <t>…la situación vechar un momento oportuno: el mismo Sr. Valdés bajó con del enemigo, contra el que.desym-el amanecer- hallé que el briga dos compañías de Gerona mandadas por el 2,° comandante Don dier Valdés con su división tonta empeñada una viva acción, cu Domingo Echezánaga; el centro también lo efectuó por su yo por menor expecifica el parte de este digno gefe que á la letra frente, y los escuadrones de dragones de Arequipa y 3.0 de dra sigue : go…</t>
  </si>
  <si>
    <t>…ías, de frente al enemigo. El primer escuadrón de la Guardia marchó sobre tres mii fusiles, el campo sembrado de cadáveres: se han ai trote por el camino real, guiado por su digno comandante Don recogido como mil prisioneros y muchos heridos, inclusos en Manuel Fernandez , para proteger los cazadores y atacar la infan los primeros unos 60 oficiales; y es tal su pérdida , que por todas tería que apoyaba á la artillería enemiga: el valiente batallón de…</t>
  </si>
  <si>
    <t>…erece el M. de Montmorency á Viena, sin haberse hecho mención de los impreso; pero les diremos que io han dado á luz personas muy asuntos de España , llegaron á la misma ciudad el general Don respetables, los Sres. Hurst, Robinson y compañía ; y que en Jai Carlos de España, que viajaba con pasaporte francés bajo el nom asersiones se nota mucha claridad y mesura , y un conocimiento! bre de vizconde Je Couser.itu, y el famoso Aquiles de Jouffroy. ta…</t>
  </si>
  <si>
    <t>…papelón. en la cual han entrado SS. MM., arrastrado el coche por su ve Una de las especies con que mas ha alborotado á los nego cindario á porfia. Han recibido á SS. MM. y AA. el Sr. Don ciantes en los bonos ha sido la de que se aprestaba una escuadra Víctor Saez , Confesor del Rey nuestro Señor y su primer Se en los puertos ingleses, destinada á tomar tierra en la isla de cretario de Estado, el Comandante general deesta provincia, va Cuba, y…</t>
  </si>
  <si>
    <t>…ales con la Infanta Doña María Luisa, hoy Duquesa de Lúea , mi Rentas, le contestó que para su cumplimiento necesitaba orden querida Hermana , en las que se cita la resolución del Señor Don de sus respectivos Gefes; y S. M. ha resuelto se d¿ noticia á Carlos m de 18 de Febrero de 1785, que expresa que los hijos V. E. de la ocurrencia de Villavicencio , para que, poniéndonos del Infante D. Gabriel gozarian la denominación, tratamiento de común ac…</t>
  </si>
  <si>
    <t>…empre que fuesen conducentes á su exaltación; llegando á tal á este sitio fueron saludados con repetidos vivas y aclamaciones, extremo su impudencia, que para tomar partido con el Sr. Don que sin cesar salian de entre el numeroso gentío , que con este Agustín de Itrúrbide se le presentó con los dos galones, que po motivo y lo apacible de la tarde fue mucho mas concurrido de cos dias antes le había concedido el Gobierno español por sus in toda…</t>
  </si>
  <si>
    <t>Don-</t>
  </si>
  <si>
    <t>…Launston comandante en gefe. i.‘ divisan el tenien cias, cuya fuerza y ¡a de nuestras milicias, unida í la de ia inv.cta te general conde Cuiial : 2.ardivis:on el tímente general vizconde Don- España , es bastante para acabar con la raza de los agresores , ad.rnas de nadieu: 3.a división el teniente general vizconde P'mfilo Lacroix. Pri que entoare:, toda ia Nación en masa tomaría las armas. Por último el Congreso aprobó ¡a propuesta de los 308 hombresmer…</t>
  </si>
  <si>
    <t>Donadieu</t>
  </si>
  <si>
    <t>…onde Castex , el vizconde Domon , el conde de Autichamp , el barón de guerra, apresada por un corsario armado en dicha isla; dando final Dode de la Brunerie, el barón de Damas, el vizconde Donadieu, el mente por noticia que en el puerto ds la Guaira habia una corbeta in vizconde Pamfi'.o-Lacroix , el barón de Conchy y el vizconde Obert. surgente de 22 cañones construida en el norte de América. Mar scales rfe campo. El vizconde Corsin , el conde de la Ro…</t>
  </si>
  <si>
    <t>…su división, sostenido de 400 franceses; y si, como es de esperar, encuentra por dos desfiladeros alguna de las Mériday Junio 14 de 18ty. « Querido JuanitO' : Con qué columnas del vizconde Donadieu ó del barón de Eróles, no gozo te escribo esta; pues ya, gracias al Dios de Abraham , nu* debe dudarse que quedará de una vez imposibilitado de seguir ha dado luz : no puedo contarte Con la claridad que debiera lo haciendo el papel ds-guerrero fujitivo. que h…</t>
  </si>
  <si>
    <t>…inal mando de los Borbones, ner escrechadc el ejército auxiliador y paralizada la táctica del gustará la du'ce satisfacción de haber hecho dichosos á los pue barón de Eróles y del conde Donadieu. Toda su sabiduría ha blos ; al mismo tiempo que recojerá por sí misma los sazonados consistido en hacer dos divisiones de su ejército , á exponer la y abundantes frutos del Gobierno del mas sabio y esclarecid una en Palau í ia merced de los franceses , manda…</t>
  </si>
  <si>
    <t>Donado, Antonio Marques</t>
  </si>
  <si>
    <t>Antonio Marques Donado</t>
  </si>
  <si>
    <t>…de 449 rs. de prin referido pueblo de Valdearenas, dirigiendo por la izquierda una guer cipal y rédito» de zoo ducados situado sobre el servicio ordinario y ex rilla al mando del teniente D. Antonio Marques Donado, y otra por traordinario de Guadaíajara, propio de la comunidad de religiosas da la derecha al del capitán de cazadores D. Ramón Aldao, marchando Ntra. Sra. de la villa de Cifuentes: si alguno supiere su paradero sa at mismo tiempo con dos columnas por el cen…</t>
  </si>
  <si>
    <t>Donallo, Joeef Jcisqü'n Marqu'z</t>
  </si>
  <si>
    <t>Joeef Jcisqü'n Marqu'z Donallo</t>
  </si>
  <si>
    <t>…registro 23 , rúm. 610 , de i.° Ser rinda brigada de la primera división á las órdenes del coronel de Enero de t8i8 , a favor de IX León García Vitlareal, de 72 j rs. de Mallorca D. Joeef Jcisqü'n Marqu'z Donallo, __Otro, registro i.°, núm. 18 de id., á favor de D. Julián Francisco Infante D. Culos 1100 hombres. Mallorca iS). Bujalance 700. To de Ibarra , de 722 rs__Otro, registro 9, núm. 423 , á favor de Doña tal :8co. Francrica Muñoz, del mismo año de 18, de aid5 rs…</t>
  </si>
  <si>
    <t>Donato, Francisco Javier</t>
  </si>
  <si>
    <t>Francisco Javier Donato</t>
  </si>
  <si>
    <t>…trabajado sin cesar para reconciliar con co» , se anuncia a! público que continuarán , la primera a cargo de los buenos á Jaime y a su cuadrilla , y quien tuvo la satisfacción de D. Francisco Javier Donato, desde el lunes r del corriente en los entrar el 15 de Marzo en aquel pueblo abrazado con el hombre arre mismos dias y horas que anteriorm-ute ; y la segunda i cargo de Don pentido entre los vivas que dirigi.n lo» habitantes á la Const tucion, Juan Esteban de…</t>
  </si>
  <si>
    <t>Doncel, Josef María</t>
  </si>
  <si>
    <t>Josef María Doncel</t>
  </si>
  <si>
    <t>…solicitud, es de parecer se le conceda; y se conforma D. Carlos Benbenuti . D. Josef Saint March, D. Josef Tejeiro, ba con el dictamen del Gobierno. Aprobado. D. Antonio Tejeiro, D. Josef María Doncel, D. Josef Curten. La misma comisión, en vista de la exposición de D. N. ZaEl teniente D- Gregorio López de Boneville. los subtenientes vala , para que se le continúe el pago de la pensión de 4© reales D. Sancho Conejo, D. Mateo Baca, D. Vicente Suarez. El ca…</t>
  </si>
  <si>
    <t>Doneli, Culos O</t>
  </si>
  <si>
    <t>Culos O Doneli</t>
  </si>
  <si>
    <t>…ido sí •, pero con Ja es tinción , que formaban una brillante comitiva, al frente de la peranza firme de ver la redención de Israel. Se ha verificado, y cual poniéndose el Excuso. Sr. D. Culos O Doneli , capi el dia presente hace olvidar ai cabildo las privaciones de sus in tán general, dirigió á S. A. la palabra en los términos si munidades, los sacrilegos robos de sus propiedades, y hasta tas guientes: sentidas lágrimas vertidas por la profanidad del sant…</t>
  </si>
  <si>
    <t>Donna-</t>
  </si>
  <si>
    <t>…n obligados á reemplazar cuatro regimientos de infantería y dos de caballería. 5972. Jos desertores por espacio de un año, contando desde el dia en. 10. a división, mandada por el general Donna- que se entregó el quinto en la caja. Art. 2.0 A este fin presen dieu, con tres regimientos de infantería y dos de ca tarán sin tardanza el número siguiente que deba suplir al deser ballería......................................................................…</t>
  </si>
  <si>
    <t>Donnad.cu</t>
  </si>
  <si>
    <t>…de verse obligados i salir de Se __Mina se ha dirigido hácia Olot; y se espera que proporcionará villa; pero si esto sucediere, les será fácil retirarse á Cádiz, donde ocasión al general Donnad.cu de alcanzarle y poderle atacar. tienen un asilo impenetrable. El que nos ha dado estas noticias infiere de lo que ha visto ESTADOS-UNIDOS DE AMERICA. en las provincias de Francia, que la guerra es antipopular. Filailtlfta 19 de Abril. ( 1 ) Entre los dones qu…</t>
  </si>
  <si>
    <t>Donnadieu</t>
  </si>
  <si>
    <t>…stas medidas son demasiado recientes ¿ imperativas pita que blar contra íl proyecto no se halla ninguno en el salón. dejen de ser una consecuencia de algunas noticias frescas.” El general Donnadieu sube á la tribuna. He aquí las palabras que __Dicen que uno de los miembros del centro izquierdo va ú hacer pronuncia este orador. una proposición en la Cámara para que Mr. Manuel pueda volver á » Señores: desde que me hice inscribir para hablar acerca de la…</t>
  </si>
  <si>
    <t>…en el puerto de Erest. La fragata su fuerza noAlegará á q3 hombres dr todas armas-----La divi Flora y otras dos estarán prestas á dar ía veía dentro de breves sión mandada por el general Donnadieu no ha llegado toda dias, y aun se ha recibido orden de París de armar otras tres. vía: estas tropas están en marcha, y para el día 18 del corrien Pero estas noticias han consternado el comercio en tales térmi te estarán en sus respectivos destinos. nos , que…</t>
  </si>
  <si>
    <t>…Yo estoy dispuesto a que se les conce __Otra carta del 27 se explica asi: » El ejército enemigo, perse» da á ios católicos de Inglaterra eJ derecho da elegir, muy di guído por el general Donnadieu, desde que principió la campa, *verso del desser elegidas: y me parece justo que también pue ña se ¿alia cruelmente fatigado: 3 cada instante se encuendan dan admitirse en la comisión ¡ie paz; pero el texto del acta de soldados moribundos á causa del hambre ó…</t>
  </si>
  <si>
    <t>…columna de prisión; ros que saiió de Mont-Louis el 17 y jor á sus soldados y que no le estorbasen su huida. 18 de este mes d. bcra p isar por esta ciudad el 20 , y saldrá al — El general Donnadieu ha llegado hoy á Puigcerdá , y todas otro día para Sigran en el departamento del Aude. La vista de las tropas de (a división se han puesto en movimiento á me estos pris onttos desengañara sin duda á algunos incrédulos. Al dio día con dirección á la Seo de Urg…</t>
  </si>
  <si>
    <t>…sus Tuerzas reunidas ascienden á ficencia de la de S. Ignacio, aneja al colegio romano. cerca de yQ hombres. No hay dia fijo para la celebración del próximo consistorio. » El Sr. vizconde Donnadieu marchará el 9 de Julio sobre S. S., que disfruta siempre muy buena salud , continúa sus pa Molins de Rey coq la mayor parte de sus fuerzas, y su dere seos por la campiña de Roma. cha se dirigirá sobre Martorell. Muchas veces hemos tenido ocasión de hacer obse…</t>
  </si>
  <si>
    <t>…ro primeros batallones de la M. N. V. el barón de Eróles quien le tenia entre sus filas, tan presto la es de esta plaza , y unos 25 hombres de caballería de los cazadores pada del general Donnadieu le conducía á precipicios cuya salida de provincia. parecía imposible, mientras que Mina en toda posición ha sabido El primero y segundo batallón, que con la caballería se han ser dueño de sus movimientos y de su empresa. dirigido por la parte del Clot, han s…</t>
  </si>
  <si>
    <t>…bajo la dirección de su corregidor; y para ios demás fines propuestos cuantos medios y Tolos a jra de Agosto. esfuerzos esten á sus alcances. Ayer llegó á esta ciudad el teniente general Donnadieu, qu» » Nuestro Señor guarde la importante vida de V. A. S. mu pasa á tomar los baños de Bateges, á fin de cicatrizar una heri chos años. Sala consistorial de Roa 4 de Julio de 1823 •” (Ti- da antigua que se le ha abieito de resultas di las fitigas de la gutn…</t>
  </si>
  <si>
    <t>…s deseos y mi cFcto sj ejecutó asi lúego^qus se’ recibió la -respuesta del sentimiento. Cuartel general de San Feliu, cerca de Barcelona, mariscal. ... . 7 de Agosto de 1813. =rEl vizconde Donnadieu.” E. vino escasea cada.día mas yr.mas en Barcelona, y va muy __Es probable que el Sumo Pontífice se aproxime á los últimos caro: la carne se vende á un precio exorbitante. La entrada y días de su vida, á pesar de las esperanzas que nos hayan podido sanda por…</t>
  </si>
  <si>
    <t>…ecie de Gobierno. Los periódicos de la parte meri corrido esta mañana la voz de que ya se ha unido á sus tropas. dional dé Francia han publicado una orden de! día del general » El general Donnadieu está en observácjon de Villatranda España , err vista de la cual, aunque la Regencia se compusiese con su división. Desde el 9 la división de Curial formo el cerco de los hombres mas prudentes y sabios, seria imposible mien de Barcelona, es decir, que nos hal…</t>
  </si>
  <si>
    <t>Donnadleu</t>
  </si>
  <si>
    <t>Gaceta Española n.º 175</t>
  </si>
  <si>
    <t>…superioridad en la privar á los hombre» no solo de la libertad que lesdió la naturale prov n.ia de Santander. za , sino que por temor de que no abusen de ella los privan hasta El general Donnadleu está en Gerona, y ha entregado el de las instituciones mas provechosas. No quieren que los goberna mando al teniente general conde de Roche Aimer. dos sean hombres , sino máquinas y rebaños dóciles que se dejen conducir, esquilmar y matar sin hacer Ja menor r…</t>
  </si>
  <si>
    <t>Donnapermiso</t>
  </si>
  <si>
    <t>…con Aimon, que acaba de ascender á este grado, ha tomado el man testando á una representación que se le habia dirigido , pidiéndole do de la división que estaba á las órdenes del general Donnapermiso para formar en la Havana una compañía de voluntarios dieu, el cual ha ido á tomar baños. con destino á la península. El gobernador aprueba el proyecto, contribuye él mismo con 128 pesos fuertes para equipar la com NOTICIAS DE ESPAÑA. pañía , y «xo.rta á todos…</t>
  </si>
  <si>
    <t>Donoso, María Clemencia</t>
  </si>
  <si>
    <t>María Clemencia Donoso</t>
  </si>
  <si>
    <t>…poder administrar sus bienes; opinaba que debía accederse á esta solicitud. Aprobado. aclaración al decreto de 8 de Junio de 18 13 , opinaba que no era Otro sobre la exposición de Doña María Clemencia Donoso necesaria, y por lo mismo que no debia haber lugar á deliberar. su hijo, pidiendo dispensa de edad para administrar este sus Aprobado. ¡enes; opinaba que podía accederse á su solicitud. Aprobado. Las Cortes , á petición de la comisión de Instrucción pública,…</t>
  </si>
  <si>
    <t>Donveces</t>
  </si>
  <si>
    <t>…uque de Adayo. pirata con pabellón español, apresado c rea de Sto. Tomas. Los bao cantes de ilás islas de CheraL han rechazado por dos Rotten , después de haber sido batido por el general Donveces á ¿os insurjentes que habían venido de Chile; por o ya nadieu, entró en Barcelona con los restos de su división: su valiente conducta el general .Lasaña les hadado dinero , víve ■salida estaba combinada con Mina y sus lugar tenientes. Espe res y un refu. rzo…</t>
  </si>
  <si>
    <t>Doroteo</t>
  </si>
  <si>
    <t>…os facciosos, ble y pronta, para escarmentar á sus enemigos. Todo lo dicho se y capitaneados por Josef Ignacio Helguero , asegurando que estos ve comprobado por el parte que da el comandante D. Doroteo ganados robados se venden en la plaza de Santiago, y que se ha Aguilar , cuyo tenor es como sigue. cen por orden de D. Juan Felipe Ibarra. Esto desde luego no pa- Parte del comandante Asuilar. Señor gobernador: Anoche los del orden han avanzado á los Da tambi…</t>
  </si>
  <si>
    <t>Dos'icion, Juan</t>
  </si>
  <si>
    <t>Juan Dos'icion</t>
  </si>
  <si>
    <t>…n , pues general á D., Miguel López de Baños.—Por ayudante de campo el Sr. Latre nes ha hecho saber que no se suscribió á esta propo^- del Excincu Sr., general en gefe el teniente coronel D. Juan Dos'icion. ! - mec, primer ayudante del regimiento infantería de Guadalajara. __A las inmediatas órdenes del Excmo. Sr. geperal en gefe el -Orden Ae ia flaza Ati ri al ja Ae Maye. coronel agregado al estado mayor de ia plaza de Madrid Don Gefe de día el segundo comanda…</t>
  </si>
  <si>
    <t>Dosas, Juan</t>
  </si>
  <si>
    <t>Juan Dosas</t>
  </si>
  <si>
    <t>…una exposición general á D. Félix López Baños. Por avudante de- campo del del capitán de la M. N. L. de esta ciudad y fiscal de varias cau Exento. Sr. general en gefe al teniente coronel D. Juan Dosas D. Josef María Molner, en que manifestaba á las Cortes que mech, primer ayudante del regimiento infantería de Guadalajara. habiéndose dedicado la M. N. L. de esta ciudad de Sevilla ala A las inmediatas órdenes del Excmo. Sr. general en gefe al co persecución de ladrones y m…</t>
  </si>
  <si>
    <t>Downie</t>
  </si>
  <si>
    <t>…del Duque, junto al rías. La contribución se h.zo efectiva en parte, y casi toda ha congreso: en un cuarto bajo de palacio habían sorprendido al caído en poder de los franceses. . brigadier Downie, ingles, y varios oficiales de la milicia activa Pasó el día 20 esperando con ansia a ¡os franceses ya a las de Sevilla; y con esto no estalló la oposición, ni el paisanaje - do la mañana, ya á las 9, ya á las n ; y con efecto vinieron tomó parte. Desde enton…</t>
  </si>
  <si>
    <t>…rome de quince dias contados desde la publicación de este aviso acu tidos, y los asesina cuando los halla (7). dan á su juzgado á ratificarse en sus respectivas declaraciones; „E1 general Downie, el Coronel Browne y otros muchos Ofi bajo el concepto que no lo haciendo se dará á la causa el curso ciales encerrados con ellos se han presentado á S. M., y han sido correspondiente. recibidos del modo mas satisfactorio. Para recompensar los servi Colección…</t>
  </si>
  <si>
    <t>Downie, Juan</t>
  </si>
  <si>
    <t>Juan Downie</t>
  </si>
  <si>
    <t>…sta la sanción eclesiástica, no atropellando estos Cruz de la Real y militar orden de S. Fernando al Mariscal de medios y sobreponiéndose á la opinión, como ha hecho el inso Campo D. Juan Downie. lente gobierno liberal, que ha despreciado los derechos conocidos y fórmulas establecidas, por cuya causa no ha debido inspirar El Rey nuestro Señor por su Real decreto; de 15 del cor confianza, duración ni utilidad. riente se ha servido nombrar Contador gen…</t>
  </si>
  <si>
    <t>Doyle</t>
  </si>
  <si>
    <t>…lo* Pares margen á que se divulgue mas esta noticia, sin duda por el de- con solo expedir el titulo á los Grandes que han dirigido la ko que tiene el comisionado de la empresa el brigadier Doyle exposición á Angulema.” de llevar é su bordo á las Sras. Infantas y sus hijos. Cádiz Ju » Se sabe que los franceses han impuesto en Sevilla una con lio g de portugués.” tribución de ocho millones de rs.” » Diario mercantil. En capítulo de Cádiz se dice que ha…</t>
  </si>
  <si>
    <t>Doz, Juan</t>
  </si>
  <si>
    <t>Juan Doz</t>
  </si>
  <si>
    <t>…oda» cosas de los sent: míen- Caudillo. El Sr. brigadier gobernador D. Manuel de Latre. tos de justicia y rectitud que la naturaleza les dicta , nial que les Segundo ídem. Coronel D. Juan Doz. pese, y llenan este vacio con la ambición y el orgullo. En ral es Ayudantes. D. Braulio López. D- N. Buruaca. D. Gabriel tado no reconocen ley alguna divina ni humana superior á su vo Martin. luntad , ni admiten otra regla de sus acciones : por ella miden lo…</t>
  </si>
  <si>
    <t>Dr</t>
  </si>
  <si>
    <t>…e minis celebrada en la Sta. iglesia metropolitana de Méjico, en honra tro de Real Hacienda del campo volante de Mallorca: en Abril y veneración de, la divina Providencia, dijo el Sr. Dr. y Mtro. de 1801 obtuvo el empleo de intendente de Marina del depar- D. Josef María de Alcalá, canónigo magistral de Ja mitma lamenio de Cádiz: en Julio de 1812 fue nombrado ministro del Sta. iglesia, en 29 de Julio ds8io: un cuaderno á 2 rs. íupr-mo tribunal…</t>
  </si>
  <si>
    <t>Ducier</t>
  </si>
  <si>
    <t>…al de Sevilla; el demas servicio y patrullas lo de tuvo en medio del fuego, al coronel del depósito de artillería tallado—Guardia al Congreso y archivo la milicia nacional lo y al capitán Ducier.__Solo tenemos que sentir la pérdida de 20 cal de Sevilla—Hospital y provisiones la milicia activa__ Tea hombres ( solo ponen un cero') entre muertos y heridos. La pér tro esta noche á las siete y media la Reina.nr Leal isa. dida del enemigo es preciso que ha…</t>
  </si>
  <si>
    <t>Ducontra</t>
  </si>
  <si>
    <t>…-Yorck, con destino i Puerto-Rico i insurreccionar lo» tropas mj' valerosas y aguerridas¡ no ha querido pelear hasta ahora negros de aquella isla. Iban en dichos buques ei llamado general Ducontra los griegos, á pesar de las repetidas órdenes del Sultán, y espera condiai, un comisario ordenador, varios capellanes y ocros empica un momento favorable para declararse independiente. dos con bastante número de aventureros. El Gobierno dé Curazao, excitado p…</t>
  </si>
  <si>
    <t>Ducos, Luis</t>
  </si>
  <si>
    <t>Luis Ducos</t>
  </si>
  <si>
    <t>…ues ;í C.irlos Fernando ,* duque de lkrri , infante de 1-rancia,” y se tras virtudes cuando sepa que conservasteis el orden sin perturbar dice que se suscribe para ello en casa de D. Luis Ducos, vicario la tranquilidad pública y doméstica, en un tiempo en que se des ecneral del ejército francés, y cura párroco de la Real iglesia de envuelven las pasiones públicas y la perfidia , y cuando el Go 5. Luis, Rey de Francia. bierno se halla sin gefe, ovand…</t>
  </si>
  <si>
    <t>Duende, Rafael</t>
  </si>
  <si>
    <t>Rafael Duende</t>
  </si>
  <si>
    <t>….zdtl Ro, cuarta del segundo y de cazadores, y quinta del tercero , y del ayu Rodríguez Paterna , 'Otos, Tomas , Cubas , Cano , Guevara, Mar dante D. Gonzalo Cárdenas y el brigada D. Rafael Duende, á fin de chámalo, Prado , Eulate, Munarnz, Vega Infanzón, Lapuerta , Ro- que con conocimiento de todo se persuada del mériio singular que han rn -ro, Sangeuis, López Cuevas, Lasaos Quiñones , Alvarez ( Don coi-.traido los individuos que componen aquella fuer…</t>
  </si>
  <si>
    <t>Dumont</t>
  </si>
  <si>
    <t>…masa tomaría las armas. Por último el Congreso aprobó ¡a propuesta de los 308 hombresmera división de caballería el tímente general Roussel G’Hurba!. Se cunda el teniente general vizconde Dumont. Artillería el mariscal de de infantería y 48 de caballería. campo bnon Berge: gefe de estado mayor Mr. Després. NOTICIAS DE ESPAÑA. Reserva compuesta de la guardia. El mariscal duque de Reggio, comandante en gefe. infantería el teniente general BcurincDt: ca…</t>
  </si>
  <si>
    <t>…rma; á la mayor parte de los Sres. oficiales supe mandada por el general Pelleport, á quien seguían, los dragones riores de todos los cuerpos; á su primer ayudante de campo el del general Dumont, y se dirigió por la izquierda para envol teniente coronel Cavaller, como también á sus demas ayudan ver al enemigo. , tes de campo y oficiales de estado mayor, tanto dsi cuerpo del Después de una hora de marcha encontró el general Moli ejército como de las d…</t>
  </si>
  <si>
    <t>Dunos, Carlos</t>
  </si>
  <si>
    <t>Carlos Dunos</t>
  </si>
  <si>
    <t>…enotado, y se le han hecho 200 prisioneros. El 28 se » Sanlúcar de Barrameda 25 de Julio de i823.=Sermo. Se presento de nuevo Ballesteros con unos ii£&gt; hombres al frente ñor. = El gobernador Carlos Dunos.” del general Molitor , que apenas había tenido tiempo de reunir 62 i á pesar de las bellas posiciones que ocupaba el general Ba NOTICIAS EXIRANGERAS. llesteros en Campillo de Arenas, fue atacado por nuestras tro pas á la bayoneta con mucho ímpetu , y puesto…</t>
  </si>
  <si>
    <t>Duperré, Barón</t>
  </si>
  <si>
    <t>Barón Duperré</t>
  </si>
  <si>
    <t>…ambos lados de arcos de cés que estaba delante de Cádiz, llegó á Brest el 28 de este mes, bajo pedes. En el tránsito habia encontrado S. M- á los voluntarios las órdenes del vice-almirante Barón Duperré, trayendo á su Realistas de varios-pueblos, que seguidos de mucho vecindario bordo 2 500 hombres de tropas. se tendieron en el camino real para tener la honra de hacer los Esta división, que salió de Cádiz el 17 de Octubre, se com honores á los Reyes nuestros…</t>
  </si>
  <si>
    <t>Duperré, Contra Aimirante</t>
  </si>
  <si>
    <t>Contra Aimirante Duperré</t>
  </si>
  <si>
    <t>…vasión. No ha sido para ellos un espectáculo b carro y honroso por el.Contra- Admirante Desrotours. En el doloroso esa hermosa monarquía de Carlos v hecha trozos y pane que ría ci Sr. Contra Aimirante Duperré, Comandante en entregada á la anarquía.Su falsa filantropía nes hablaba de liber Gef&lt;s d« todas las fuerzas navales delante de Cádiz,«tributa el tad de los pueblos, mientras que su espíritu de latrocinio se en justo elogio á los oficiales y tropas: que han ma…</t>
  </si>
  <si>
    <t>Duperron</t>
  </si>
  <si>
    <t>…levar 3 los súbdilos del K«y «leí juramento de fidelidad á ron , acosados por las tropas que fueron á sujetarlos, descendieron ha su Persona; pero el clero teniendo á su frente al cardenal Duperron íe cia la cartelera de Lugo i Madrid, y te,situaron entre el Cercijal y rio opuso á esta justa preposición: la nobleza siguió el egemplo del clero, Naria. Se regulaba el número de ellos en 800 , y «e añadía que ia mi y el Papa dió solemnemente las gracias í e…</t>
  </si>
  <si>
    <t>Dupotcr</t>
  </si>
  <si>
    <t>…da, Hawkesbur; y Nev.castle, presentó en las inmediaciones de aquella ciudad la fraaata france demasiado ocupados en instruir y m convertir á los malhechores sa Jtannt d’Arc, cuyo capitán Dupotcr solicitó y consiguió par que se llevan alli, 110 tienen el tiempo necesario para dedicarse á lamentar, Habiendo bajado á tierra presentó al gobernador y con propagar el evangelio entre los indígenas. tra-almirante unos pliegos del gobernador de la Martinica c…</t>
  </si>
  <si>
    <t>Dupsrré</t>
  </si>
  <si>
    <t>…¿íqus sin duda tuvo noticia de fa garufa 4ei cuadra que bloquea á Cádiz, y le ha reemplazado el contra-a!- mariscal, juzgó oportuna esta ocasión para atacar la pospon» y fiiírantc barón Dupsrré, el cual salió esta mañana para Brest. en su consecuencia hizo una salida de la plaza de Tarragona (Diario de los Debata .. r ... . ayer á las siete y- msdia de ¡a mañana con 5^ hombres de infan —Extracto del parteioficial que comunica el Sr. mariscal duque t…</t>
  </si>
  <si>
    <t>Duque</t>
  </si>
  <si>
    <t>…de sus antiguos divisiones del ejército de Laserna. padecimientos para prepararse á recibir en sus brazos á Jos bra vos soldados de ia patria. Exposición presentada á S. A. R. el Sr. Duque ele Angulema Llegaron por fin las columnas á los arrabales del pueblo, y por la Grandeza de Esputé i (1). (Traducida del francés, mezclados con los virtuosos tacneños , levantaban cL eco hasta según la publica el Monitor del 3 del corriente.) los cielos aclam…</t>
  </si>
  <si>
    <t>…u augusto, libertador. El Exento. Sr. de Martignac, consejero de Estado de Bien quisiera la Regencia premiar dignamente los señalados S. M- Caía., comisario civil cerca del Sermo. Sr. Duque de servicios que V. E. ha hecho á la España durante su permanen Angulema &amp;c. , se ha despedido de nuestro Gobierno ; con cu cia en ella; pero se lisonjea de creer que nada podía «trie mas yo motivo han mediado las notas y contestaciones siguientes: grato que…</t>
  </si>
  <si>
    <t>…orre. Guerau de ArellanomN.colas Mañes.:z:I-nació Baeza.=Nicolas Pedro Vercber =cV ícente Mor! rey o y Morales.” La Regencia del Reino ha tenido á bien «solver que todos Al Sermo. Sr. Duque ds Angulema. los oficiales de guerra y del cuerpo del ministerio ds la Real ar El 19 del corriente tuvieron la honra de presentarse i mada que existan en ios pueblos de la Península con goce de S. A. R. el Sr. Duque da Angulema, el Exento. Sr. duque ds sueldo…</t>
  </si>
  <si>
    <t>DuqUe</t>
  </si>
  <si>
    <t>…go; pero cuando Campillo llegó á reunir su jente , y vió Boletín iij.° I i qué número tan pequeño había cedido, intentó con '500 hom El mariscal de campo Hubeit comunica al Sermo. Sr. DuqUe bres volver á entrar en el pueblo ; mas el coronel Gouteírayha- de Angulema su llegada á Oviedo el 27 de Junio, y al mismo | b.a colocado sus 90 valientes con tal destreza, que supo guardar tiempo le da patte de los nuevos encuentros que han tenido sus una pe…</t>
  </si>
  <si>
    <t>…llosos y desmoralizados, insertamos algunas frente, encima de la puerta. Concluida la misa , al salir el sa cartas que se les han interceptado. cerdote de la sacristía y el Setmo. Sr. Duque de la iglesia, ya se Subre. vieron otras chispas junto al altar mayor, muy próximas al si » Al Excmo. Sr D. Salvador Manzanares, sr creí ario de Esta« tio de donde acababa de salir S. A. R., y casi al mismo tiempo doy de la Gobernación de la Peuínsnla.zzCádiz…</t>
  </si>
  <si>
    <t>…s tropas lante de la guardia al comandante de escuadrón Foucault y al que ocupaban el reducto Ruffin comenzaron á retirarse luego teniente Beret. Ultimamente en el estado mayor al capitán Duque recibieron la orden, no se atrevió el enemigo á apartarse pouy, edecán del general conde Bethisy; al teniente de Alontd; !a protección del fuego de dos lanchas cañoneras y de las ba moreney, su oficial de ordenanza; al capitán Rousselet, edecán rrías de la Ca…</t>
  </si>
  <si>
    <t>…se volvieron inSe abrió en efecto en la noche del 19 al ao, y en la del 24 mediatamensícontraelenemigo. . al a», se prolongó hasta establecer la segunda paralela á 40 me El Sérmo. Sr. Duque llegó bien pronto á la posición toma tros del canal. Los dias siguientes se emplearon en perfeccio da de tan brillantf mañera,-y recibió pruebas inmensas del en narlos y coronar nuestras baterías. '• tusiasmo de las tropas y del afecto hacia su persona. Todo…</t>
  </si>
  <si>
    <t>…ogosidad las mayores servarán sus equfpages.Los:generales, gefes y oficiales conserva ventajas. Todos han hecho su deber,; á lodos manifiesta el Pere ría sus espadas. , t • nísimo Sr. Duque su satisfacción. , art. 3.0 Las municiones de guerra , la* cajas militares, los Los nombres da los militares de.todos los grados que se haH caballos de la caballería, y ios caballos de carga ó acémilas que distinguido, serán elevados á ia notieiq de 5. A. R.;…</t>
  </si>
  <si>
    <t>…to lentísimo Sr. duque del Infantado, presidente de la Regencia del do géneros de males; razón porque no puede verificarse lo que Reino, y ha tenido una conferencia con el Sermo. Sr. Duque de vd. desea, y solo tendrá lugar en el campo del honor; pues mi Angulema. Le acompaña el Exento. Sr. D. Víctor Saez, primer carácter no puede permitii seguir ¡mas partido que el que ha secretario de Estado. abrazado desde que nací, que es el del Rey , y por…</t>
  </si>
  <si>
    <t>Gaceta de Madrid n.º 743 (extraordinaria)</t>
  </si>
  <si>
    <t>…, después de haber tenido una larga conferencia en el Puerto de Santa María, regresó á Cádiz el mismo día, y con él fue el Excmo. Sr. duque de Quiche, edecán de S&gt; A. R. el Sermo. Sr. Duque «Je Angulema. Algunas cartas de sugetos fidedignos del mismo punto y fecha ase guran que de resultas de la derrota del Trocadero hube desavenencias se rias entre los milicianos y soldados de Cádiz; que es'os incendiaron algu nos almacenes fuera de la Puerta d…</t>
  </si>
  <si>
    <t>Gaceta de Madrid n.º 883 (extraordinaria)</t>
  </si>
  <si>
    <t>…goce de los. dercchos.de su- sobera nía.; y que el Conde de Corres, Gentilhombre: de Cámara, de M.aca baba de pasar por el Puerto de Sta.. María al cuartel general del Seienísimo. Sr. Duque de. Angulema ert Ghiclana. á. dar esta, noticia: á S.. A. R. de or den del Rey. nuestro Señor. Se. está esperando , la confirmación y los pormenores oficiales, de la in teresante libertad de S.. M.; y ten presto* como lleguen, se comunicarán, ai. público.. EN…</t>
  </si>
  <si>
    <t>…todo su Real Casa al Excmo. Sr. Conde de Miranda, y para la Pre el mt» se suspendiesen los apremios despachados contra varios sidencia del Consejo supremo de las Indias al Excmo. Sr. Duque pueblos morosos de la provincia, y que se pusiesen en libertad de Montemar. algunas mugeres presas por contrabando: hizo fijar una proclama Igualmente, y en atención á los dilatados servicios y mé invitando al orden: reimprimir y circular á su costa la gaceta…</t>
  </si>
  <si>
    <t>…,.Señor: El cabildo de curas y beneficiados de esta muy heroi dos los Reyes de la tierra: loado sea el Dios omnipotente, que ca villa, que tan luego como entró en ella el Sermo.. Sr. Duque prometió no cedería á las puertas del abismo la sacrosanta Re de Agulema, Hijo predilecto de la Francia, y plenipotenciario ligión que V. M. y Aranjuez heredaron de sus mayores: dadas de las monarquías Europeas , tuvo el honor de darle su bien y desada venida…</t>
  </si>
  <si>
    <t>…apacible Gobierno que gozaban bajo el ce Sermo. Sr. Duque de Angulema. tro de V. M , su esfuerzo y el de un poderoso deudo de su Rey Soldados: Debeis saber qué S. A. R. el Sermo. Sr. Duque de les han restituido aquel orden, que ha hecho su felicidad y la de Angulema pasará por esta división el 30 del corriente. Sea este sus padres bajo la obediencia de V. M. y la de sus esclarecidos dia uno de los mas alegres para vosotros, como lo es para toda…</t>
  </si>
  <si>
    <t>…este útil invento. „Me es también agradable que para esta solemne misión fue Por lo que respecta á la máquina de vapor, por medio de la seis vos escogido por vuestro augusto Amo, Señor Duque, cuya cual los trapos se limpian, se deshacen &amp;c., y de la segunda persona y nobleza de carácter me son ya bien conocidas.” maquina, también de vapor, puede decirse que las de Berlín Concluida la audiencia se retiró el Excmo. Sr. Duque Em aventajan á las dema…</t>
  </si>
  <si>
    <t>…por contenían en cifras enlazadas los nombres augustos del Empera S. A. R. el heredero presunto del trono, el Príncipe Abbas-Mir—dor, de los Reyes de Francia y España y delSerino. Sr. Duque za; y de la otrr por S. M, el protector de la fe, el guarda de lasde Angulema. ciudades santas, el dominador por mar y tierra, el Sultán, hijo A esta fiesta seguirá inmediatamente otra, que será una espe de un Sultán, el conquistador Mahmud-Chan, Emperador de…</t>
  </si>
  <si>
    <t>Duque, Mariscal</t>
  </si>
  <si>
    <t>Mariscal Duque</t>
  </si>
  <si>
    <t>…opulacho, le D. Gregorio Laguna, según avisos oficiales que se han recibido condujeron vestido de loco á los plátanos de Calotchesma,.don por el Ministerio de la Guerra ■ y por el Sr. Mariscal Duque de de se le había dispuesto una cruz. Reggio. Llegados aili, le despojaron de sus vestidos; los. bohemianos le mandaron que se extendiera sobre la cruz, y Cristo obedeció, «— Antes de ayer en la sala segunda de Alcaldes de la Real Casa pronunciando el nombre…</t>
  </si>
  <si>
    <t>Duque, Presidente-</t>
  </si>
  <si>
    <t>Presidente- Duque</t>
  </si>
  <si>
    <t>…smo tiempo. 5 á 63 Hombres, en el puerto, de Rota, con el Príncipe de Carignan,. al manda deL General Bourmont. Posteriormente con techa: ¿eí 28 comunica; á S.. A.. S.de orden del Señor Presidente- Duque del: Infantado,, que las. cortes de Cádiz sedi&amp;olvie-ron dt/, dejando' ai Rey en. el pleno goce de los. dercchos.de su- sobera nía.; y que el Conde de Corres, Gentilhombre: de Cámara, de M.aca baba de pasar por el Puerto de Sta.. María al cuartel general del…</t>
  </si>
  <si>
    <t>Duque, Príncipe</t>
  </si>
  <si>
    <t>Príncipe Duque</t>
  </si>
  <si>
    <t>…atal ó una per lle sus contrarios. España, Señor, oirá siempre con gratitud jr secución inaudita? Dios dé á V. A. S. el acierto y valor qus enternecimiento ]&gt;;« nombres del Sermo. Sr. Príncipe Duque de necesita para desempeñar las augustas funciones del Gobierno, Angulema y del cornejo Real de Castilla por su acertada elec y lograr la libertad de nuestro amado Rey , que es lo único que ción en V. A. S. Los enemigos del altar y del trono no haa nos rota q…</t>
  </si>
  <si>
    <t>Duquí-deAiigulema</t>
  </si>
  <si>
    <t>V Mf ^ | ■ á la que' dejarte del SermS. Sr. Duquí-deAiigulema it presea*' acompañadaVde It1 óprrtjofl , del' asísinMos' del regicidio y 4^ tó Mr. de la Hite. ' ; *' atéismo. NÓs hém-’ t a, madócóntra este monstruo , que ya ¡li En eíestado de cautiverio'del Rey Fernando no se podía bia cubierto dé luto una grafi-parte' d…</t>
  </si>
  <si>
    <t>Duran, Antonio Pcrez</t>
  </si>
  <si>
    <t>Antonio Pcrez Duran</t>
  </si>
  <si>
    <t>…n de la plaza del 10 al 1 r de Abril de 182 nuevos uniformes. Gcfe de dia el comandante del segundo batallón de la M. Drt 27. Se asegura que Merino se ha vuelto-al Camero, y N. L, D. Antonio Pcrez Duran. se decia que estaba en Viliafranca y Belorado. Uranga estuvo la Servicio á palacio una compañía de la miliea activa y otra atoche pasada en el Ciego, y hoy en Cripan con unos 800 .hom •del primer batallón de la N. L., ambas con bandera , cuya guar bres. El p…</t>
  </si>
  <si>
    <t>Duran, Antonio Perez</t>
  </si>
  <si>
    <t>Antonio Perez Duran</t>
  </si>
  <si>
    <t>…l de Hamburgo ha esparcido la voz ayer, el comandante del segundo batallón de la milicia nacional de que cada una de las tres grandes potencias continentales debe local de Sevilla D. Antonio Perez Duran. enviar un comisario al cuartel general del duque de Angulema. Para mañana, por hallarse enfermo el que se nombró hoy, Se dice que S. A. R. está de mal humor; que ha tenido al el comandante de la Reina D. Francisco Castellón. tercados con el duque de Belluno,…</t>
  </si>
  <si>
    <t>…laba en el mejor estado de defensa , y dc:fts del comandante de! 2.u batallón de Ja milicia nacional lo que en Bilbao habría como 300 facciosos, mal equipados y rezecal de Sevilla D. Antonio Perez Duran. __ Parada la milicia ac losos que había dejado Qucsada. . EN LA IMPRENTA NACIONAL.</t>
  </si>
  <si>
    <t>…smo pie de amistad que Sevilla, á las órdenes del comandante del z.° batallón de la mi antes. En este supuesto no hay motivo por ahora para mudanza licia nacional local de Sevilla D. Antonio Perez Duran__ Guar alguna , ni con respecto á la conducta de los cónsules de España dia al Congreso y archivo la milicia nacional local de Sevilla___ en los puertos austríacos, ni con respecto á la de los cónsules Parada la Reina , milicia activa y milicia nacional local…</t>
  </si>
  <si>
    <t>…bado al tiempo de esta discusión. Gefe de día el comandante del segundo batallón de la milicia El Sr. Romero expuso que la comisión dejaba en pie la difi nac.onal local de Sevilla D. Antonio Perez Duran. cultad por la palabra que usaba de ¡uc.-.or hábil. Contestó tam Servicio á palacio la milicia activa y la nacional local de Se bién á la observación que se había hecho en la anterior discusión villa , á las ordenes dei segundo comandante de la primera 1). Do…</t>
  </si>
  <si>
    <t>Duran, Antonio Pérez</t>
  </si>
  <si>
    <t>Antonio Pérez Duran</t>
  </si>
  <si>
    <t>…tritos declarados en estado Gefe de día el comandante del segundo batallón de la milicia de guerra he acordado las siguientes reglas , que mando observar nacional local de Sevilla Don Antonio Pérez Duran__ Servicio en el i.° y 11.° que dependen de mi mando para la organiza á palacio la Reina y la milicia nacional local de Madrid , á las ción y régimen de las compañías y cuerpos de guerrilla oue se órdenes del segundo comandante de la milicia activa D. Domin f…</t>
  </si>
  <si>
    <t>244</t>
  </si>
  <si>
    <t>…erfidia se fomentan. Nuestra misión, Sevilla, á las órdenes del comandante del segundo batallón de di está próxima á espirar: otros mas felices y atinados que nosotros cha milicia D. Antonio Pérez Duran___Congreso y archivo la podrán subsanar nuestros errores , si tenemos la firmeza de con- milicia nacional local de Sevilla.__Parada todos los cuerpos se «ervarles el lugar que ocupamos. Ellos expresarán el voto de la gún lo detallado___Patrullas las mismas. _…</t>
  </si>
  <si>
    <t>Duran, Francisco</t>
  </si>
  <si>
    <t>Francisco Duran</t>
  </si>
  <si>
    <t>…ndada por el teniente coronel graduado D. Ker- cabo D. Francisco de A»'s Noguts, y los voluntarios D. Ramón mrdo Uncete. Principió en el camino real el fuego de guerrillas, Sans y D. Francisco Duran se agregaron a ¡a compañía de cara el que se sostuvo como media hora sin mayor empeño. dores de Soria y estuvieron en toda la acción. En la acc on tuve En e;te tetado se presentó V. S. con el gefe de E. AI. Don á mis órdenes á los oficiales del E. M el tenien…</t>
  </si>
  <si>
    <t>Duran, Francisco Javier</t>
  </si>
  <si>
    <t>Francisco Javier Duran</t>
  </si>
  <si>
    <t>…respeto á la discip’ aa desapare vincia, refrendada del Escribano Julián López, se cita por el cían poco á poco a la vista de un escepticismo desdeñoso, fruto término de 30 dias á D. Francisco Javier Duran , como dueño de una vanidad filosófica. Esta llaga moral es inmensa, y va to de unas casas sitas en las Angustias Viejas, y plazuela de San mando incremento: si no se le aplica el remedio, concluirá devo Gregorio de dicha ciudad, para que por sí ó por apodera…</t>
  </si>
  <si>
    <t>Dutari, Domingo de</t>
  </si>
  <si>
    <t>Domingo de Dutari</t>
  </si>
  <si>
    <t>…de individuos. Ideas genérales sobre la fundación de una Academia Real d« NOTICIAS DE ESPAÑA. ciencias eclesiásticas en Madrid. Obra postuma del Excmo. Sr. Madrid £ de Diciembre. D. Domingo de Dutari, presbítero, doctor teólogo de la uni El Rey nuestro Señor ha tenido á bien conferir á D. Anto versidad de Alcalá, Consejero honorario de Estado &amp;c. Un tri nio Delgado, Coronel de infantería agregado al Estado mayor nólo en 4." de n6 páginas. Se vende en la l…</t>
  </si>
  <si>
    <t>Duverger</t>
  </si>
  <si>
    <t>…videncia que se Iloy se han hecho muchas especulaciones en la bolsa. ha tomado contra aquel diputado. Las noticias de Perpiñan comunican h.b. r llegado á iquilla ciudad Idem g- el conde Duverger, primer ayudante de campo dtl ministro de Gjrrra, Se decidió* al fin la exclusión del diputado Mr. Manuel de (a C-mi que dicen va encargado de una comisión de la mayor unpojtanc.a. ra de los Diputados de Francia , y este hecho escandaloso será un nue También…</t>
  </si>
  <si>
    <t>D’Aigretnon</t>
  </si>
  <si>
    <t>…aupin. Thibauit, muerto en Vimieira Touvernot. Tomieres, en Oporto. Conin. Courtois, prisionero en Bailen. Curió. muerto en la batalla tle Salamanca. Tot-ssaint. Treilhard. Tylly. D. D’Aigretnon. D'Alvikmar, prisionero en Nueva hispana. D’Ar- V. Valazé. Valée. Valence, g imal de la caballería polaca. Vaquien. D’Armagnac. D’Arricaud. Daugier, prisionero en Bailen. Daul- lletaux , muerto en la acción de Cogorderos, en Asturias, en 28 de tanne. Dcbout.…</t>
  </si>
  <si>
    <t>D’Arbaud</t>
  </si>
  <si>
    <t>…n ejemplo de l« de el día tn que fueron rehabilitados; ó nuevamente nombrados que.se aprecia c.l mérito y la virtud. Puedo asegurar ¿ V. E. que y posesionados.’ ,•. ai Sr. general conde D’Arbaud y los demás Sres. gefes, oficiales a.°. Qué. ía. misma regla se observe pata cón los emplead®8 y tropa del ejército aliado; el pueblo de Valencia y los milita que ía junta provisional desgobierno envió á.las provincias que res todos, con dos brillantes compañ…</t>
  </si>
  <si>
    <t>D’Arbaul-Jonques</t>
  </si>
  <si>
    <t>…idad, de sus talentos y de su deci tagena, y de haber dejado con este fin en Murcia la brigada de sión ; añade que se han distinguido particularmente y adquirido un infantería del general D’Arbaul-Jonques y la de dragones del nuevo derecho á la benevolencia de S. A.R. los militares siguien general Vincent, continuó su movimiento contra el ejército de tes del 4.'- ligero: el gefe de batallón Drivet de Ladernade.el Ballesteros con la división Loverdo , las briga…</t>
  </si>
  <si>
    <t>D’Argout</t>
  </si>
  <si>
    <t>38 conducta del conde D’Argout, déla serenidad é inteligencia con ANUNCIOS. que le ha secundado en esta ocasión este coronel , uno de los Se halla vacante 1? plaza de médico titular de la villa de mas distinguidos del ejército, cuyo zelo aprecia V. A. R. , y Mora , provincia de Toledo, dis…</t>
  </si>
  <si>
    <t>D’Auíiretaguardia</t>
  </si>
  <si>
    <t>…a de lograr en compañía de los valientes españoles con las armas v ja Sanabria, y que á las dos de la tarde del mismo dia tenían su fuerza lo que no pudieron con la persuasión. Ei general D’Auíiretaguardia en Soutes, una legua corta de aquella ciudad. champ hizo pasar ei rio á la vanguardia dirigiéndose á S. Sebastian, Nuestro ejército á la salida del correo con estas noticias con en cuyo transito los batieron largo tiempo dos bizarras compa tinuaba su marcha p…</t>
  </si>
  <si>
    <t>D’Aunoy, Oírlos</t>
  </si>
  <si>
    <t>Oírlos D’Aunoy</t>
  </si>
  <si>
    <t>…é regimiento pertenece. Su pérdida En atención á la confianza que merece al Rey nuestro Se ft en cuanto á muertos ha consistido en 12 , y entre ellos unOfiñor el Mariscal de campo D. Oírlos D’Aunoy, Gobernador „ cial y un Cirujano, con siete caballos, al paso quo la nuestra ha militar y político de Sanlúcar de Barrameda, y su fidelidad, in „ sido la de tres heridos y cuatro caballos.” teligencia y firmeza , ha tenido á bien S. M. conferirle el gobier NO…</t>
  </si>
  <si>
    <t>D’Autichaxnp</t>
  </si>
  <si>
    <t>…inexorables uou los subalter Primer cuerpo mandado por el duque ¿h Recio. nos que se dejen corromper con grave perjuicio dei servicio publico. Los Primera d:v sion mand da por el conde D’Autichaxnp. cabacos que produzca la requisición deben reunirse en ei punto de la ¡Segunda idem por el conde Bourác. provincia en que se halle ia mayor fuerza militar, para desde el ser con T.rceia ídem por el conde (Jbeit. ducidos i esta capital ó donde »c señale; y co…</t>
  </si>
  <si>
    <t>Eañú, López del</t>
  </si>
  <si>
    <t>López del Eañú</t>
  </si>
  <si>
    <t>…as circunstancias de cada una, y á juicio de las diputaciones provin tución de que ha tratado S. S. ciales.” »’ En segundo lugar diré que m trata de elegir sugetosque manden es El Sr. López del Eañú: Solo he tomado la palabra para presentar tas partidas , que ,como he dicho, no tienen carácter de perpetuidad, y una ligera modificación al artículo, que á mi modo de ver allana la cor lo mismo no se trata de dar privilegios; en este concepto pregunto princi…</t>
  </si>
  <si>
    <t>Eárcena, Leoncio</t>
  </si>
  <si>
    <t>Leoncio Eárcena</t>
  </si>
  <si>
    <t>…hos tan notables, convendrá gratitud de la patria, especialmente á los que menciona el comandan cualquiera en que son sumamente mezquinas las consecuencias que se te de la reserva D. Leoncio Eárcena, rogando á V. E. se siiva hacer trata de sacar. No ton empleos los que faltan , pues los hay en uQ público este hecho por medio de los periódicos, para que sepan los número excesivo para nuestro descanso y tranquilidad. Lo que nos po buenos españoles deben co…</t>
  </si>
  <si>
    <t>Eardají</t>
  </si>
  <si>
    <t>…V. A. S. de recibir con toda su be con la mayor pompa y solemnidad, principiando el día 16 con nignidad los testimonios y homensges mas sumisos de nuestro asistencia del Emo. Sr. cardenal Eardají, los Leños Srcs. Don respeto. Villarejo del Puerto del Pico y Junio 2 de i823.=s Simón López, obispo de Orihuela ( víctima ilustre de la facción Sermo. Sr.=A L. P. de V. A. S.c= Cesáreo Cantero.= Lorenzo revolucionada), y D. Juan Francisco Marcó y Catalan, au…</t>
  </si>
  <si>
    <t>Eastide</t>
  </si>
  <si>
    <t>…do ción liberal está organizada, y que una reunión considerable de testigo. hombres de Estado , netoi, formados en la escuela de todas las En Ganges, departamento de 1’HérauIt, el Sr. Eastide, pro revoluciones y gobiernos , han fundado su república, y que no testante respetable por ui buena conducta, manifestaba hacia al atienden mas qiie á la materia popular, propia paca hacer después</t>
  </si>
  <si>
    <t>Ebrington</t>
  </si>
  <si>
    <t>…guieron á Jos fran Erskine, lord Lynedoch, lord Nugert, lord John Russsll, lord ceses: iguales declamaciones hubo entonces sobre el estado de ar.trWilliam lUussell, lord Nonnanby, lord Ebrington , el honora quia y división de ánimos en la Península; y en el fondo, esto ble J. Abereromby , Lcicester Stanbope , J. J.ambton, miembro era cierto, como ahora también loes; el gobierno era insuficiente; del Parlamento; Sir James Mackintosh, miembro del Parla…</t>
  </si>
  <si>
    <t>Eccerra</t>
  </si>
  <si>
    <t>…no haber muer La comisión Eclesiástica, en vista de la solicitud de varios le to su marido en acción de guerra. gos profesos de la orden de S. Francisco para que las Cortes de El Sr. Eccerra: Se trata de una pensión de dos rs. diarios á claren que deben ser considerados con derecho á votar en la elec una pobre viuda , y la comisión segunda de Hacienda por evitar ción de sus prelados locales," opinaba que no compitiendo á las gravámenes al Estado…</t>
  </si>
  <si>
    <t>Ech, Josef Vicente de</t>
  </si>
  <si>
    <t>Josef Vicente de Ech</t>
  </si>
  <si>
    <t>…uos del ejército al aprecio y El i(5 del corriente 16 individuos de la mi’icia del tercio de benevolencia particular dd Príncipe de los soldados. la villa de Motrico, mandados por D. Josef Vicente de Ech3» Decid á S. M. que nuestro grito y contraseña será: viva el riz, capitán de Ja primera compañía, y otros dep-ndicntcs del 2i/y ! viva el Duque de Angulema ! vivan los Bortones ! ” resguardo de aquella aduana, habiendo salido al nur en una de Esta función fue…</t>
  </si>
  <si>
    <t>Echa, Pedro Agustín</t>
  </si>
  <si>
    <t>Pedro Agustín Echa</t>
  </si>
  <si>
    <t>…úrgos. op-racicius. 8.° D. Angel Arteaga y Agustín Escudero se encargaron por su De un modo tan maligno se procuró intimidar al Rey, sembraren orden de avistarse en DLcaiel con el general D. Pedro Agustín Echa su Reai ánimo irmorcs y rezeíos, y hacerle desconfiar de lar personas ran! , y proponerle que entrase en el proyecto, y se presentara á acom que le ara ban: dado este paso se creyó expedito el camino y facilísima pañar i SS. MM. en el viage á Burgos. la ejecu…</t>
  </si>
  <si>
    <t>Echa-, Antonio Fernando de</t>
  </si>
  <si>
    <t>Antonio Fernando de Echa-</t>
  </si>
  <si>
    <t>4^o caya, el Excmo. Sr. D. Francisco de Egtiía, Capitán general de tos infelices cristianos hicieron todo lo posible durante la los Reales ejércitos, el limo. Sr. D. Antonio Fernando de Echa- noche por desatarse; pero ninguno de ellos podía conseguirlo, nove, Obispo de Seleucia, Abad de la Granja, y el Sr. Marques hasta que Constantino Mauro logró romper las ataduras de las de Valdespina: este, tomando la palabra, dijo: manos con los dientes. En e…</t>
  </si>
  <si>
    <t>Echa-, Josef de</t>
  </si>
  <si>
    <t>Josef de Echa-</t>
  </si>
  <si>
    <t>…solicitando en soro: la de la provincia de Avila á D. Felipe Morales: la de consecuencia se declare adonde debe acudir í Cobrar el medio Burgos á D. Diego Escandon: la de Madrid á D. Josef de Echa- año de la renta que le pertenece en los pueblos de Aldea dei varría : la de la Mancha :í D. Joaquin María de Errazquin: la de Fresno, Carabanchel .-Uto y Pinto, de la provincia de Madrid, Palencia á D. Josef Magro y Ruiz: la de Jas Nuevas Poblacio y en los de…</t>
  </si>
  <si>
    <t>Echaluce, Bernardo</t>
  </si>
  <si>
    <t>Bernardo Echaluce</t>
  </si>
  <si>
    <t>…ce que se halla aun en el estado que primer batallón de Vitoria, que se empeñó vivamente con éi, tanto desean ios furibundos guerreros del Sena. perdido su comandante el intrépido D. Bernardo Echaluce, y Tai giro pueden tomar los Acontecimientos que veamos lo que alguna de su fuerza, padeeió algún desorden. menos se espera. La poucia francesa tiene mucho que hacer, y el Entre tanto salió de Pamplona el coronel De Pablo, que aca ejército no poco que expurga…</t>
  </si>
  <si>
    <t>Echanovc, Concepción</t>
  </si>
  <si>
    <t>Concepción Echanovc</t>
  </si>
  <si>
    <t>…illas Royo y Tena se dirigen por Habiéndose presentado en la contaduría del Crédito público de Vito los puntos que llevo inJ.cados vi V. E., dispongo que aquella fuerza al ria por Doña Concepción Echanovc una certificación expedida á favor de mando dei teniente coronel Arbilla marche desde esto punto hacia Santa su esposo D. Manue-1 por el contador de- data y guerra de la tesorería gene Cruz en seguimiento de aquellos restos por el rumbo que sena puedan ral pr…</t>
  </si>
  <si>
    <t>Echavani</t>
  </si>
  <si>
    <t>…caballos, 87 fusiles y 4 cajas de guerra. ro de 1823.__(Siguen lasjirmas.'} __Ha habido un alboroto en Onteniente de resultas de haberse _ El diario del 3 publica una proclama del general Echavani opuesto á que el comisionado para la recolección de la plata se (de la misma fecha que el acta), en la cual, al hacer presente á llevase una virgen de este metal, teñid': en mucha veneración ■us soldados las obligaciones en que como ciudadanos y milita por el…</t>
  </si>
  <si>
    <t>Echavarri</t>
  </si>
  <si>
    <t>…amen reglar los intereses de ambas partes; pero siempre piden cosas descabe » de la comisión Eclesiástica sobre el arreglo definitivo del clero pa lladas , y nada adelantamos.__El general Echavarri se porta muy bien ta presentarlos á las Cortes. La falta de salud de este laborioso litera con los prisioneros; nada les falta, á pesar de que están encerrados. to, que precisamente padece mas eu esta estación , ha sido el único También murió el corneta Cagos…</t>
  </si>
  <si>
    <t>…Frontera, en lo que padecie *2- Sedujo i D, Francisco Barrio para que armase una partida, ron nuestros taquígrafos una equivocación, pues debe leerse en lugar asegurándole que el general Echavarri iba i tomar el mando de un de Jerez, Arcos de la Frontera. egército. Otra. En la gaceta de! i6, col. 2.*, lía. 36 , donde dice tiempos 13. En sus primeras declaraciones ocultó la verdad , y solo descu del furor , léase tiempos del terror. en la Imprenta nacio…</t>
  </si>
  <si>
    <t>…anuel Erroz á la oasa de Baso, y qua do de este párrafo puede dar motivo á varios comentarios. con su conocimiento y aprobación salió aquel para Burgos. 2.0 Que fue á verse con el general Echavarri, que estaba en Dai- ARTICULO DE OFICIO. miel; y después de referirle el proyecto formado, las personas que le El conde del Abisvat, comandante general del primer distrito mi litar, y gefe político de esta provincia, ha recibido el parte siguiente: auxiliaban…</t>
  </si>
  <si>
    <t>…i del Infantado y otros que habían aconsejado y persuadido al Rey que ten en España durante la guerra, si esta te declara. Todas estas noticias no saliese de Madrid, é hilo que el general Echavarri corriese en los ban causado en Londres en el corto espacio del i o al i a una gran subi tiros para disimular ú oscurecer el verdadero objeto del apostamiento. da de los fondos ingleses y españoles, según se ve por la nota de ellos, El teniente general D. Pedr…</t>
  </si>
  <si>
    <t>…ero dia siguiente encontrarla un coche en la calle de Segovia, en e! qus que parecia imposible que los caballos pudieran atravesarlo; con cuyo debía entrar para ir donde estaba el general Echavarri. mot.vo pudieron ya poner el grueso de sus fuerzas á salvo, dejando gd Cumplió el encargo, y con otra persona desconocida que halló una parte de su gente á contener !a caballería por medio de un vivo dentro del coche se dirigió á Alcebendas. futgo : no obstan…</t>
  </si>
  <si>
    <t>…voluntad con que se prestaron á cuantos sa ampliación al art. 5.0, reducida á estas literales palabras: y te crificios se les han exigido. das sus decisiones fundamentales?'’ __El general Echavarri re Oviedo 22 de Marzo de 1823.=:El gefe superior político puso podía desde luego procederse á imprimir el acta con la adi Manuel María de Ace vedo. ción propuesta___En el diario del 9 se publica una proclama de Cádiz is; Je Abril. D. Guadalupe Victoria á las…</t>
  </si>
  <si>
    <t>Echavarri, Pedro Agustín</t>
  </si>
  <si>
    <t>Pedro Agustín Echavarri</t>
  </si>
  <si>
    <t>…o al i a una gran subi tiros para disimular ú oscurecer el verdadero objeto del apostamiento. da de los fondos ingleses y españoles, según se ve por la nota de ellos, El teniente general D. Pedro Agustín Echavarri ha sido condenado que ponemos al pie de este artículo. en dos años de. confinamiento en cualquiera ciudad ó villa de la mo El Diaria de los Debates, sin decir de donde ni cómo lo sabe, narquía , estando á 20 leguas de la corte y sitios Reales. anuncia que en…</t>
  </si>
  <si>
    <t>Echavarri, Pedro Agustín de</t>
  </si>
  <si>
    <t>Pedro Agustín de Echavarri</t>
  </si>
  <si>
    <t>…ho ejército y con la expresada direcc'on, En virtud de los brillantes y distinguidos méritos y servi de modo que con el auxilio de las partidas de Eenaiahuria, Be- cios del Excmo. Sr. D. Pedro Agustín de Echavarri, teniente nadalid y de Pujerra, se logró que no pasase un soldado mas, general de los Reales ejércitos, cuyo brillo no fue mi ánimo persiguiendo hasta las inmediaciones de Ronda á la parte que empañar ante la opinión pública con mi comunicado en el diar había…</t>
  </si>
  <si>
    <t>Echavarría, Ploman</t>
  </si>
  <si>
    <t>Ploman Echavarría</t>
  </si>
  <si>
    <t>…te del comandante general interino de nuel Di, y 10 miñones de Vitoria y Bilbao al mando del bizarro te este distrito conde del Abisbal, en que con fecha de ayer 4, dente Veniente D. Ploman Echavarría, cuya vanguardia tuvo la gloria de dar llisca í la una del dia , avisa no o'u.rrir novedad particular en aquel alcance á los enemigos, que en precipitada fuga huían cobardemente, ar punto: que los facciosos continuaban lortificándo.-e en ilu.te, y el rojando…</t>
  </si>
  <si>
    <t>Echavstn</t>
  </si>
  <si>
    <t>…ferente sea ahora un atentado digno de la mayor ven- jarochos y..-.ros debían estar desarmados y atados, llevaba la orden gioza. González oe ¿.uoderarse inmediatamente del capitán general Echavstn, Uno de los nuevos artificios de que se valen actualmente para te que vive un poco mas abajo , y en seguida del gobernador Santana. El ner si pueblo en la ignorancia, y que solamente lea lo que quiere el pe mer comandante mandaba los aoo hombres restantes, y…</t>
  </si>
  <si>
    <t>Echcvern, Juan María</t>
  </si>
  <si>
    <t>Juan María Echcvern</t>
  </si>
  <si>
    <t>…nto infantería de Málaga Febrero de i823.=Excmo. Sr.=El general gobernador egerci:neo funcio D. Antonio Ruiz García, con fecha de ayer desde Horra me dice lo que nes de comandante general Juan María Echcvern—Excmo. Sr. secretario á la letra copio. del Despacho de la Guerra.” ?&gt; Según dije á V. en mí carta de ayer sal! á las nueve de la noche Lista de las circulares, decretos érc, publicados en las gacetas de Febrero. de Ccvyera con toda la fuerza de mi mando, y h…</t>
  </si>
  <si>
    <t>Eche-</t>
  </si>
  <si>
    <t>…hora nuestro oro; pero no rengan de ninguna parte. ni con su presencia ni con sus auxilios á exacerbar nuestro dolor. Sí Din ti. No ha habido novedad , solo que el secretario del Sr. Eche- hemos determinado hacer la guerra, hagámosla con nuestras propias varrl ha salido para Jalapa. Del imperio nada se sabe. fuerzas , sin partir con otros el honor del buen éxito, y sin que vea Din 9. Iloy se ha publicado la orden para U libertad del embarque mo…</t>
  </si>
  <si>
    <t>Echevar, Josef de</t>
  </si>
  <si>
    <t>Josef de Echevar</t>
  </si>
  <si>
    <t>…e Sotomayor. marino, cuya carrera haya comenzado antes de la dispersión de ia Orden de Malta, que no eche menos hoy la institución hospita En atención á los méritos y servicios de D. Josef de Echevar laria, cuyo objeto era la libertad de los mares y ia seguridad del ría, Intendente y Corregidor de Guadalajara, ha venido S. M. comercio en el Levante y Archipiélago, que ofrecía, asilo a los en nombrarle Contador general de Propios y Arbitrios del reino. náu…</t>
  </si>
  <si>
    <t>Echevarrí, Felipe</t>
  </si>
  <si>
    <t>Felipe Echevarrí</t>
  </si>
  <si>
    <t>…taban un capitán de la guardia nacional y ua comandante de ba • su autoridad , te reunió el jurado , compuesto de los Sres. D. Joaouia tallón de invslidos. Goñi, D. Josef Carreño, D. Felipe Echevarrí, D. Miguel Pino y A vista de la guardia nacional, que marchaba delante, todo el lado López, D. Bernardo ds la Peña Díaz, D. Juan Francisco Vídot, Don izquierdo se levanta por un movimi uto indeliberado, y exclama: Segismundo Moret, D. Jcs;f María ds Ansa y D.…</t>
  </si>
  <si>
    <t>Echevarría</t>
  </si>
  <si>
    <t>…alguno y se opusieron, fue indispensable al expresado y sinsabores de la lucha en que se halla empeñada. El tenor del gefe ejercer los debidos castigos. proyecto es como sigue: El Sr. Echevarría recomienda el valor y sufrimiento de la Art.culo t.ü A todos los sargentos , cabos , soldados y tam tropa de su mando, y también de la montonera de Pampas y sus bores que á la publicación de este decreto se hallaren en los ejér comandantesD. Carlos Anguiz y D…</t>
  </si>
  <si>
    <t>Echevarría, Manuel</t>
  </si>
  <si>
    <t>Manuel Echevarría</t>
  </si>
  <si>
    <t>…bueno fuese introducido La comisión de Casos de responsabilidad, en vista ¿le! volu en la sala, á fin de que oyéndole se pud.ese votar con mayor co minoso expediente promovido por D. Manuel Echevarría contra nocimiento de causa, cuya propuesta, habiendo sido apo)ada por D. Manuel Serrano y Díaz , juez de primera instancia de PuertoJos Sres. Botto, Pimer.tel y Serpa Pinto , se resolvió fuese llama Real , opmaba no se estaba en el caso de exieirse la respons…</t>
  </si>
  <si>
    <t>Echevarría, Pablo</t>
  </si>
  <si>
    <t>Pablo Echevarría</t>
  </si>
  <si>
    <t>…á su resolución, convenía no Jas cerrasen, para evitar ia necesidad de Jauja 24 de Julio de 18i 2. nueva convocatoria y juntas preparatorias; sin embargo de lo cuai El benemérito coronel D. Pablo Echevarría, ayudante de estaba S- AL pronto á señalar hora para recibir la diputación si campo del Sr. general en gefe, da parte de las operaciones de tu es que las Cóites insistían en su determinación de cerrar las sesio expedición sobre Roccha y Surcobamba hasta 1 5 d…</t>
  </si>
  <si>
    <t>Echever, Pablo de</t>
  </si>
  <si>
    <t>Pablo de Echever</t>
  </si>
  <si>
    <t>…arlo , y respondió: &lt;&gt; No Araoz, D. Vicente Garni , secretario mió , y cap tan D. Luis »tenco que tomar otro cuidado que el de preparar mi alma para Raseti, mis ayudantes de campo coronel D. Pablo de Echever dar cuenta ;í Dios de mi larga vida.” ría, tenientes coroneles D. Ramón Nadal, D. Manuel SanjuaneEl 19 á lá una y media de la mañana recibió la extrema na, y espitan D. José Maria Cid, me dirigí de frente al centro unción , y luego después perdió el habla; ún…</t>
  </si>
  <si>
    <t>Echeverría, Pablo</t>
  </si>
  <si>
    <t>Pablo Echeverría</t>
  </si>
  <si>
    <t>…Antonio decreto siguiente : García , capitán D. Ramón Gascón y teniente D. Mariano Herreros, » Atendiendo á lo bien que ha desempeñado D. Mariano Egea en y m s ayudantas de campo coronel D. Pablo Echeverría , comandante calidad de interino el ministerio de Hacienda , lie venido en nombrar de es uadron D. Ramón Nadal , y capitanes D- Juan Díaz de Rivcro le en propiedad secretario de Estado y del Despacha del mismo ramo. y D. Josef Mana Cid , con el valor y decisi…</t>
  </si>
  <si>
    <t>Echimería, Felipe</t>
  </si>
  <si>
    <t>Felipe Echimería</t>
  </si>
  <si>
    <t>…de Cádiz ,** acusándolo de incitador á la desobediencia y se de Valencii hasta el 18, de Murcia hasta la misma fecha, y de Al dicioso; y reunido el jurado , compuesto de los Sres. D. Felipe Echimería solamente hasta el 11. Observamos que por todas partes prevale varri , D. Antonib Martínez de Fosada, D. Luis Ctosa , D Juan Bau cen en general las mejores disposiciones para concurrir eficacísima- tista Vea Murguia , D. Jocquin Alvar-z , D. Juan Francisco Es…</t>
  </si>
  <si>
    <t>Ecija</t>
  </si>
  <si>
    <t>…istrito, para que se realizase lo que he manifestado acer Se de*sea saber la existencia de Francisco del Pozo, natural de ca del alto Aragón, y evacuase á Zaragoza; y al brigadier barón Ecija, viudo de María Montes, de la misma ciudad, al cual en de Carondelet, que mandando la primera división de infantería y el sorteo de 1804 tocó ¡a suerte de soldado , y fue incorporado la caballería lo habia hecho situar con la primera en Borja y pue en el regi…</t>
  </si>
  <si>
    <t>Eclievarri</t>
  </si>
  <si>
    <t>…nte del Despacho de la Guerra puede hacer presente á se han declarado por el sistema liberal de Gobierno : e! cap'tan las Cortes que por el Gobierno se han tomado las providencias general Eclievarri estaba en animo de dirigirse á Méjico al lY.ntc mas dicaces para proporcionar á Valencia el socorro que ne de hombres, y con igual número se hacia fuerte Iturbide en cesita , y al efecto se han destinado cuerpos de infantería , caba aquella capital—El cast.ii…</t>
  </si>
  <si>
    <t>Eclravarri</t>
  </si>
  <si>
    <t>…o como díudadel Filado y i car- a D. h.ir,cisco Barrio para que levantara la part'da, asegurándole que jo del Ci edito público las cantidades liquidadas'd.L capital é int-re» s el general Eclravarri tomaría en las provincias el mando de un egérvencidos de los préstamos nacionales de 1697)' 1805 á cargo ael con citi : -s ademas muy probable qne las banderas aprehendidas i la par sulado de Csdiz. (Gaceta dtl ó ) tida de Barrio se proporcionaron por Baso, y…</t>
  </si>
  <si>
    <t>Eclravarrj</t>
  </si>
  <si>
    <t>…en la nueva frontera, y de tres ciudades sobré la costa entra las /ó ) esta capital y el pueblo de Patagónica, y á dar aguas corrientes á El diario del 3 publica una proclama del general Eclravarrj esta capital. (de la misma fecha que el acta), en la cual, al hacer presente á En decreto del 16 se le autorizó para negociar I» cesación da sus soldados las obligaciones en que como ciudadanos y milita la guerra del Perú , poniéndose previamente de acuerdo c…</t>
  </si>
  <si>
    <t>Ecrrcr</t>
  </si>
  <si>
    <t>…, si el presidente, secretarios y escrutado prima todos los empleos y olieinas qm tenga por conveniente.’’ res en escrutinio secreto podían registrar las cédulas aL tiempo de Eli Sr. Ecrrcr (D. Joaquín): Son loables las intenciones del entrenarlas, ó no debían hasta hacer el cómputo de 'los votos-, ha Sr. preopinante, y surtirían efecto si se tratase solo de ¡a loter a bía temido por conveniente la comisión variar el dictamen ante moderna ; porq…</t>
  </si>
  <si>
    <t>Ecthisy</t>
  </si>
  <si>
    <t>…del regimien cha; mas impedido por dilerentes obstáculos , pudo mantenerse to 2.a de línea entró en esta plaza para guarnecerla juntamen aquella por mas de una hora, hasta que el general Ecthisy, des te con las tropas españolas. embarazado de las tropas que se habían dirigido contra él , mar _.El general español. Bessieres tuvo el 17 una acción mas allá chó sobre la ermita de Sta. Ana con un batallón , y desde en ds Albacete con un cuerpo revoluciona…</t>
  </si>
  <si>
    <t>Eduardo, Carlos</t>
  </si>
  <si>
    <t>Carlos Eduardo</t>
  </si>
  <si>
    <t>…iolencia contra los líoibones. Sin detenemos á considerar con cuánta facilidad trastornó el Gobierno el príncipe de Orange, y el poco traba,o que co-to al Arreglo final de Europa. príncipe Carlos Eduardo atiavesar la isla desde el un extremo ai Parte de una curta de Ai. A. de J. ai príncipe de Ai. otro con un puñado de tropas mal di-ciplinadas , es thc.l conocer „...................tanto por los asuntos de España. que la debilidad de Inglaterra en su propio t…</t>
  </si>
  <si>
    <t>Eecera, Gómez</t>
  </si>
  <si>
    <t>Gómez Eecera</t>
  </si>
  <si>
    <t>…elecciones. da que cesen las hostilidades en varias provincias de GoatemaLa comisión del Crédito público en vista de la proposición la por su resistencia á unirse con Méjico. del Sr. Gómez Eecera, relativa á que el Gobierno entregase al Idem 29. =En esta se han recibido Jas noticias siguientes Crédito público ó dejase en poder de este las cantidades necesa Acapulco Abril 5 de j 8 2 3. = Hoy fondeó en este puerto el rias para pagar las pensiones de los…</t>
  </si>
  <si>
    <t>Eecerra, Gómez</t>
  </si>
  <si>
    <t>Gómez Eecerra</t>
  </si>
  <si>
    <t>…sta este ocupada por ios ene y yo quisiera que hasta que esta no se evacúe no se tratase de esto migos. , ' artículo. No sucede lo mismo con ios-imiiv’JjOí: de_ayuntamiento que El Sr. Gómez Eecerra: El Sr. preopinante ha caminado ba han de existir en los. pueblos,: por esto pues se hace ia dístme on jo un supuesto equivocado, porque está resuelto por las Cortes en el ait. 6.°, y por esto se pasa a tr..t-.r en el y.’1 de ios indivi que las diputaciones q…</t>
  </si>
  <si>
    <t>Eedralvez</t>
  </si>
  <si>
    <t>…ociendo aquellos beneficios do de restablecer el absurdo despotismo sobre las ruinas de la liber lo desaprobaba. tad española, no será tan llana y fácil como ha parecido á vues El Sr. Eedralvez contestó que deseaba saber de los señores tro insensato orgulo; que la lucha será terrible y sangrienta; que que impugnaban el artículo, qué quería decir cuerpo intermedio, la causa de la libertad tiene en España defensores inconstrastables; puesto que se pro…</t>
  </si>
  <si>
    <t>Eenavide, Pedro</t>
  </si>
  <si>
    <t>Pedro Eenavide</t>
  </si>
  <si>
    <t>…cisco Brú de Salas. D. Federico Roncali. Cadetes...................... - Alféreces, 6coo D. Josef Allende. D. Joaquín Roca. D. Josef Moreno y Sopranis. D. Josef Alfaro y Sandoval. D. Pedro Eenavide............................ j Cádiz 20 ríe Julio de 1823. nr Rubricado.r= Es copia. (Si concluirá, j EN LA IMPRENTA NACIONAL.</t>
  </si>
  <si>
    <t>Eennin, Pedro</t>
  </si>
  <si>
    <t>Pedro Eennin</t>
  </si>
  <si>
    <t>…las tropa» dos oficiales , hacerles 230 prisioneros , entre ellos 62 heridos, en conducidas á la victoria por el zelo inteligente y extraordinaria cuyo número se encuentran el ex-brigadier D. Pedro Eennin de actividad del coronel Carrera. Cuando este gefe principió la per Iliberri, capitán que fue de la extinguida brigada de Carabine secución el 13 de Marzo llevaban los enemigos quince horas de ros, y d ex—guardia D. Juan Martínez Davahllo», ayudante tic venta…</t>
  </si>
  <si>
    <t>Eermudez, Zea</t>
  </si>
  <si>
    <t>Zea Eermudez</t>
  </si>
  <si>
    <t>…te un3 declaración de semejante na de amor á nuestro augusto Soberano, pidiendo al Todopode turaleza. roso guarde la vida de V. A. S. los muchos años que desea — Se asegura que el Sr. Zea Eermudez, encargado de Nego mos para el desempeño de un encaigo de tanta confianza, y cios por las cortes, ha tenido orden de salir inmediatamente da del que depende la felicidad del remo. Ubrique y Julio 20 Constantinopla , como que no representa ya mas que á una asa…</t>
  </si>
  <si>
    <t>Eernio, Juana</t>
  </si>
  <si>
    <t>Juana Eernio</t>
  </si>
  <si>
    <t>…otro de 57,219 pertinencia, 28,609 , sobre diezmos de la mar de Cas grado d» su independencia , poique aqn-l obraba por su propia volun tilla, en cabeza He I&gt;. Rosendo González y Doña Juana Eernio; se tad ; y este , arrebatado del furor imano de dh partido que nada ha suplica á la pJrsona en cuyo poder se hallen se sírva entregarlos en aprendido en el libro de la experiencia. ( Se continuara.) Madrid á D. Tornas d: Villafañe , oficial de la dirección g…</t>
  </si>
  <si>
    <t>Eernvn</t>
  </si>
  <si>
    <t>…e manifes tar los sentimientos de sus hab tant. s , siempre sinceros y deci Asuhto: Discurso svlre las •ventajas de la legitimidad. sivos en favnr de nuestro adorado Ruy y ’sk'ñor D. Eernvn — E! premio se 1 á el mismo que el anterior, y se adjudicará e» no vu , por cuya libertad v plenitud de rl.-recnos han ansiado y la sesión pública de 3 de Mayo de 1824. ruegan incesantemente al Todopoderoso. La ninguna exaltación Las obras qu- se dirijan a; c…</t>
  </si>
  <si>
    <t>Eerrer</t>
  </si>
  <si>
    <t>…i la inviolabilidad de los diputados, sin la cual no po nas del Sr. Conde da Tor-.no y D. Francisco Martina? de la Rosa; se ma haber representación nacional. acordó 4 petición del Sr. Eerrer(D. Joaquín) que fuese nominal la vo Ei Sr. Arguelles: Sí alguna divergencia puede haber en las opinio tación sobre si habia de pasar ó no á una comisión especial la exposi nes délos Sres. diputados , es sóbrelos trámites que debe seguir este ción de D. josef…</t>
  </si>
  <si>
    <t>…yo tam nando los abusos ele este ramo, asi como Jos ele todos con pru bién/; pero mientras las Cortes, movidas por consideraciones que dencia y sin precipitación. Por lo demas el Sr. Eerrer lia contes no son de este lugar, continúen dando estímulo y fomento á la tado ya á las observaciones del Sr. Somoza sobre el número de aspiración á empleos, no se puede remediar enteramente. Ademas empleados en la lotería para las operaciones minuciosas é ins…</t>
  </si>
  <si>
    <t>…ante acerca tic la justicia que aviste á los Habiéndose equivocado en el extracto de la sesión p-i i-t'iripes legos, pero sin embargo , deseaba «pie las «leí 2í ¡a proposición del Sr. Eerrer , v no habién act„ali-s Cúrles ¡untasen á las’ constituyentes qne re- dose insertado en la de!'22 el dioláuum de lacomiduci*^'’ i’d*' éiVtí’imluncias cstraordinarús á este re-’ sion , se ¡tuertan uuo y otro.</t>
  </si>
  <si>
    <t>Eevrer</t>
  </si>
  <si>
    <t>…contarse en este caso desde que les fue concedida por las Cortes á consecuencia de la muerte de se remitió á la sanción aquella ley. su hermano en la acción dei dia 7 de Julio. El Sr. Eevrer (D. Joaquín) manifestó que no debían quedar Las Cortes quedaron enteradas de un oficio del Sr. secretario inutilizados los 24 días en que se podia dar la sanción , pues re de la Gobernación de la Península, manifestando que por no te sultaría un anacronismo e…</t>
  </si>
  <si>
    <t>Egana, Juan</t>
  </si>
  <si>
    <t>Juan Egana</t>
  </si>
  <si>
    <t>…er, la comisión de ia metri poli; v habiéndose1 d.c larado soberanas, deberían en que el pueblo me ha propuesto , compuesta de los ciudadanos trar en una confederaron con Méjico.” D. Juan Egana, Dr. D. Bernardo Vera y D. Joaquín Cam El proyecto de una división del imperio mejicano en estados pillo, procederá á formar las reglas que el pueblo debe tener independ .lites unidos tejo un pacto federativo , presenta un a&gt;p.cpresentes para determinar. Disp…</t>
  </si>
  <si>
    <t>Egca, Mariano</t>
  </si>
  <si>
    <t>Mariano Egca</t>
  </si>
  <si>
    <t>…scrichs. D. Rodrigo Aracda. dréis se imprima, publique y circule.=Rubricado de Ja Real mano.es D. Josef Leglisi y Pinedo. D, Miguel de Nájera. En palacio á 19 de Marzo de 18 23.=A D. Mariano Egca.” D. Marceliano Torio. El conde de Oñate. D. Vicente Segurado. D. Antonio Puiduiiés. D. Francisco Palacios. D. Manuel Zulueta. La diputación provincial de Madrid, en cumplimiento de los decre D. Joaquín Lumbreras. D. Manuel Conchillos. tos de las Cortes de 5…</t>
  </si>
  <si>
    <t>Egea, Antonio</t>
  </si>
  <si>
    <t>Antonio Egea</t>
  </si>
  <si>
    <t>…s de Boibon entre tanto marAntonio Ruiz de Guzman , sin que pueda omitir hacer mención cb.iba á Mui irla ; mas el enemigo conducido por el miedo , y neticiodel capitán de Camarasa D. Antonio Egea y el teniente Ü. Francis so de mi llegada í Estella a las dos de la noche del 25 a! 26 , marchó co Pedrols , ni al cabo de mis ordenanza» Juan Lasaia y los soldados precipitadamente por la parte de la Ribera , sin detenerse hasta Obc, Andrés García , que reci…</t>
  </si>
  <si>
    <t>Egea, Mariano</t>
  </si>
  <si>
    <t>Mariano Egea</t>
  </si>
  <si>
    <t>…de Albirracin , sin duda para reunirse y caer Rubricado de la Real mano.ssEn Palacio á xo de Enero de tUag.rcA nuevamente al bajo Aragón. Continúo mi marcha para obligarles á que D. Mariano Egea. todos se dirijan á la sierra , donde las subsistencias les serán difíciles, Circular del ministerio de la Guerra. y éntre su dispersión como han principiado á verificarla algunos. Lo Al Sr. secretario del Despacho de ia Gobernación de la Península que notici…</t>
  </si>
  <si>
    <t>…a Camba, mi secretario D. Vicente Garin , D. Antonio decreto siguiente : García , capitán D. Ramón Gascón y teniente D. Mariano Herreros, » Atendiendo á lo bien que ha desempeñado D. Mariano Egea en y m s ayudantas de campo coronel D. Pablo Echeverría , comandante calidad de interino el ministerio de Hacienda , lie venido en nombrar de es uadron D. Ramón Nadal , y capitanes D- Juan Díaz de Rivcro le en propiedad secretario de Estado y del Despacha del…</t>
  </si>
  <si>
    <t>…, por el rasgo pondréis se imprima, publique y circule. == Está rubricado.zsPalacio- 14 de patriotismo bien marcado eñ V. S., en virtud del cual ofreció á mi de Febrero de i823-=A D. Mariano Egea. presencia al dicho comisario hasta u3 raciones. Doy á V. S. la plau El Golisma ha recibido ¡os partes siguientes. sible noticia'de haber caído en mis manos en el pueblo de Pozo- hondo una columna de facciosos de mas de 130 hombres , sin habtr escapado Cuerpo…</t>
  </si>
  <si>
    <t>…ación militar , basta que elevada al conocimiento bricado de la Real mano.=En Palacio á 14 de Febrero de 1823,=.^ de S. M. porla secretaría del Despacho de Guerra, recaiga la Real D. Mariano Egea. aprobación; y el contratista se obliga á su cumplimiento,y á otorgar la correspondiente escritura, de que dará las oportunas copias testimonia El almirante del departamento de Cartagena participa al ministerio das á las oficinas generales y subalternas, siem…</t>
  </si>
  <si>
    <t>….) mado la dirección de Loañe y Bolea; por consiguiente suspendo ya todas Marina. las medidas, y vuelvo á formalizar el bloqueo de Mequinenza en la mis Decreto de S. M nombrando á D. Mariano Egea ministro de Ha ma forma que estaba antes. cienda propietario. (Gaceta del /2.) ■&gt; El fuerte del conve. lo dcSta. Clara de Huesca se ha defendido cinco Decreto de las Cortes, fijando las penas corporales aflictivas que se han dias. Los enemigos han batido con…</t>
  </si>
  <si>
    <t>…imprima, publique y circule. = Está rubricado de la Real misma prevención que V. E. me hace estaba ya verificada, pues la colunia' mano. = En palacio i id de Febrero de 1823.cu A D. Mariano Egea.” que mandé á las órdenes del comandante del Infante D. Antonio Don Segundo Ulibarry llegó á las inmediaciones de Alcañiz el dia 20: este ge- Minittirio de Hacienda. fe me da parte de no tener objeto á quien perseguir; en el mismo caso ss Por el Sr. secretari…</t>
  </si>
  <si>
    <t>Egnía, Francisco</t>
  </si>
  <si>
    <t>Francisco Egnía</t>
  </si>
  <si>
    <t>…os, males que causa la desunión de la fuerza todos tiempos ha prestado el teniente general de los Reales militar, particularmente, cuando cualquiera individuo se cree au egércitos D. Francisco Egnía, y señaladamente en la- dos épo torizado por »i para.levantar partida, ó cuerpo bajo el pretexto cas desgraciadas de la llamada constitución , han lijado la aten de defender la justa pausa de libertar la sagrada Persona del. Rey ción de la Regencia del reino…</t>
  </si>
  <si>
    <t>Egtiía, Francisco de</t>
  </si>
  <si>
    <t>Francisco de Egtiía</t>
  </si>
  <si>
    <t>4^o caya, el Excmo. Sr. D. Francisco de Egtiía, Capitán general de tos infelices cristianos hicieron todo lo posible durante la los Reales ejércitos, el limo. Sr. D. Antonio Fernando de Echa- noche por desatarse; pero ninguno de ellos podía conseguirlo, nove, Obispo de Seleucia, Abad de la Granja, y el Sr…</t>
  </si>
  <si>
    <t>Eguaguirre, Andrés</t>
  </si>
  <si>
    <t>Andrés Eguaguirre</t>
  </si>
  <si>
    <t>…caja que regocijo pintado en los semblantes de la numerosa concurrencia, contenia 19,060 francos (116,240 rs.) son unos testimonios nada equívocos del justo aprecio que se ha _E1 general D. Andrés Eguaguirre , comandante constitucio cia de estos respetables rnonges, y una prenda segura de que nal del castillo de las Peñas de S. Pidro, y de las provmcias de continuarán cortespond'endo á tan singulares demostraciones Chinchilla, Cuenca , Guada'cjara y Ciudad Real,…</t>
  </si>
  <si>
    <t>Eguía</t>
  </si>
  <si>
    <t>…rtes dei -.reino i y lo .mismo de ios, aj unta •de nuestro bien, salvando á 8. M. del poder de los tiranos.” mientos y pueblos libres de los .puntos que'han sido ocupados S. E. el Sr. Eguía cont stó: » La junta de Gobierno está por trop a tsp¿ño!as ó aladas. La. fuerza merai que S. A. S. ha .penetrada de los sentimientos que animan á estos hab taño s, adquirido es grande por todas partes;, logrando con ella uua lo mismo que á todos los vasallos…</t>
  </si>
  <si>
    <t>Eguía, Ambrosio</t>
  </si>
  <si>
    <t>Ambrosio Eguía</t>
  </si>
  <si>
    <t>…rla á toda costa; D. Pedro Martínez Baños: id. de Logroño a D. Josef Antonio y si alguno intentare perturbarla sufrirá infaliblemente un castigo Ix-róa-auer; id. de Sto. Domingo a D. Ambrosio Eguía é Irigo- pronto y riguroso. Solo,os recomiendo la moderación y el orden, rai- ¡ci. de Miranda de Ebro a D. Josef Bernardo de Aldasolo: pues con esto lo conseguiréis todo, salvareis la patria, y no per id. de A randa de Duero á D. Maniió Pozo: id. de Aifaro á…</t>
  </si>
  <si>
    <t>Eguia, Avustin</t>
  </si>
  <si>
    <t>Avustin Eguia</t>
  </si>
  <si>
    <t>…mas en aumento; y pocos son los mos, D. Juan Orcullo , D. Josef Fernandez , D. Antonio Sola , Pon que se manifiestan indiferentes. Los partidos liberales se van aumentan Vicente y D. Avustin Eguia , D Juan Vicente Allomo , D. N re ,0 do cada día mas, y los serviles conocen su impotencia; pues aun cuan Camacho y D. Ramón Zamorano. Este l uque salió escolt.ndo i la do tuvieron estos últimos días uno de alegría con la noticia de haberse fragata Aguila , e…</t>
  </si>
  <si>
    <t>Eguia, Francisco</t>
  </si>
  <si>
    <t>Francisco Eguia</t>
  </si>
  <si>
    <t>…y dispondréis tados como tales , D. Jaime Creux obispo de Menorca, D. Ber se imprima, publique y circule.nrEstá rubricado de la Real mano. nardo Mozo Rosales, el barón de Eróles, D. Francisco Eguia, De Real orden lo comunico á V. S. para su inteligencia y el duque del Infantado , el de Montetnar, D. Juan de Cavia cumplimiento, y á fin de que para el mismo efecto 1® traslade á González obispo de Osma, y D. Antonio Gómez Calderón, quien corresponda. Dios…</t>
  </si>
  <si>
    <t>Eguía, Francisco de</t>
  </si>
  <si>
    <t>Francisco de Eguía</t>
  </si>
  <si>
    <t>…al Soberano, base única de la verdad, ra paz y li provisional de Gobierno de España é Indias, compuesta det bertad, y timbre precioso que siempre ha. distinguido á Ips es Excino. Sr. D. Francisco de Eguía , presidente; del teniente ge pañoles. En seguida se cantó un Te Deum en ia iglesia princi neral barón de Eróles, y de los Srcs. D. Antonio Gómez de pa! , y al siguiente dia 16 á las siete de la mañana partió el Calderón y D. Juan Bautista de Erro, aunque sol…</t>
  </si>
  <si>
    <t>Eguiaz, Tiburcio</t>
  </si>
  <si>
    <t>Tiburcio Eguiaz</t>
  </si>
  <si>
    <t>…celebraba un nova nano, para im de alianza y gratitud á las armas auxiliadoras. A ia cabeza de plorar los auxilios del Te dopoderoso por ei L uz éx.to. d« ta esta com tiva estaba D. Tiburcio Eguiaz, cotrejidor interino mas santa y justa de las causas. de Guipúzcoa , y as éncose de la portezuela del coche de S. A. i., Los días que el Gobierno ha permanecido ea Vaord se ha se expresó , al fin de un excelente discurso , en los térm.nos si ocupado en enjuga…</t>
  </si>
  <si>
    <t>Eguiluz, Tiburcio</t>
  </si>
  <si>
    <t>Tiburcio Eguiluz</t>
  </si>
  <si>
    <t>…consagrado á esto toda ia c-uci F.olíri: para el corregimiento de Gu.puzcoa á D. Antonio vigilancia de que soy capaz. Continuad pues en vuestra tranquili Eiboada: id. de Vizcaya a D. Tiburcio Eguiluz : id. de Borja á dad, y contad con que estoy resuelto á mantenerla á toda costa; D. Pedro Martínez Baños: id. de Logroño a D. Josef Antonio y si alguno intentare perturbarla sufrirá infaliblemente un castigo Ix-róa-auer; id. de Sto. Domingo a D. Ambrosio Eguí…</t>
  </si>
  <si>
    <t>Eguta</t>
  </si>
  <si>
    <t>…cual á pesar de tos malévolos, no ha tomado ni toma Monseñor el duque de An.u-.cm*. Muchos vocales d' U r -grr.. a o ta e! menor color foliticod’ son también de este consejo, y e¡ general Eguta seta llamado umú.s-a Lub diputados del lado izquierdo, después de haber ido i visitar á para que haga parte del mismo.’’ Mr. Manuel, se reunieron en casa de su compañero Air. Gevaudan, y Idem 6. se er e que tratan de hacer una protesta contra la providencia q…</t>
  </si>
  <si>
    <t>Eibourlater</t>
  </si>
  <si>
    <t>…reinado también en todas las jun cularidad en el 5.0 ligero al capitán de carabineros Nevel, al tas, sin que en ninguna de ellas haya habido alteración notable teniente Counok, al sargento Eibourlater, y en el 17.0 al ayu del orden, habiendo tenido la satisfacción de cortar acertada dante mayor Camón ,al capitán Rabandi y al sargento Monnier. mente las cuestiones y los incidentes que me parecía, podían También elogia al capitán Courad , su ayudante de camp…</t>
  </si>
  <si>
    <t>Eicerra</t>
  </si>
  <si>
    <t>…o para este ramo, y no es asi; por lo mismo debe pero sujeto al poder absoluto; y los ministros ingleses habrían solo dcc.rsv consultor en vez de asesor. cumpinio sus promesas. El Sr. Eicerra : Yo creo que puede hacerse algunas rebajas en En el mes de Abril acaban de ver los portugueses una nueva el total de la planta , á saber , la de £9,600 rs. destinada á los ofi prueba de lo que deben esperar. El Gabinete ruso, que es el ql]e ciales auxiliares…</t>
  </si>
  <si>
    <t>Eííb</t>
  </si>
  <si>
    <t>…guas,que sale á 12 por hora. Reflexionando iglesia catedral un solemnísipro aniversario por el alma del in sobre estos resultados diferentes, y siguiendo las diversas rutas mortal general Eííb:, habiendo erigido en el cuerpo principal do en el mapa, hemos traslucido que éf clSrso de los ríos ayu la iglesia un magnificó catafalco; qué por su buen gusto, y va da á no perder su camino, al paso-qué los altos mon rios emblemas alusivos de que estaba ado…</t>
  </si>
  <si>
    <t>Eiizalde, Bernardo</t>
  </si>
  <si>
    <t>Bernardo Eiizalde</t>
  </si>
  <si>
    <t>…e pocos años 120 mi Sr. Moreno Guerra una exposición del intendente de egército y de la llones de reales para pagar solamente los retiros que por él van a tener provincia de Cádiz D. Bernardo Eiizalde sobre este asunto. lugar. Se concedió el permiso que solicitaba el Sr. Meca para ir por un Si la Nación tuviese los caudales suficientes para pagarlos, yo no mes i su can á arreglar algunos asuntos particulares. tendría inconveniente en aprobar el articulo; p…</t>
  </si>
  <si>
    <t>Eilenborough</t>
  </si>
  <si>
    <t>…Declarado el punto suficientemente discutido, quedó apro En la sesión de la Camara de los Lores del 25 pronuncio el bado el artículo en estos términos: »Las ventas y enagenacioncs lord Eilenborough un largo y elocuente discurso, que concluyó que hana ó hubiere hecho el ejército invasor ó cualquiera persona pidiendo que se dirigiese un mensage al Rey dándole gracias por que usurpe el gobierno legítimo d« la Nación, asi de los predios las comunicaciones q…</t>
  </si>
  <si>
    <t>Eixan, Joaquín</t>
  </si>
  <si>
    <t>Joaquín Eixan</t>
  </si>
  <si>
    <t>…n podíacostarle su existencia, nada le arredra; escribe mi teniente coronel, nuciosamente el plan , y satisfac. las objeciones que se le propo A los capnanes dsl citado regimiento D. Joaquín Eixan y nen. Habla i los oficiales de su mayor confianza y conocida de D. Juan'M-ndez grado de teniente corone: ríe infantería. cisión por la causa dei Rey, y á todos los sargentas y cabos de Al teniente coronel graduado D. Manuel de la 5 erra, capi su batallón: el…</t>
  </si>
  <si>
    <t>Eizaguirre, Agustín</t>
  </si>
  <si>
    <t>Agustín Eizaguirre</t>
  </si>
  <si>
    <t>…les el correspondiente cast.-o. Esto se.un parece visional á una ¡unta administrativa, compuesta de los ciudadanos tiene por objeto dar a Jt.ubide otro destino diferente que eL de D. Agustín Eizaguirre, D. Josef Miguel Infante y D. Fernando vivir en Italia con el api rato de un principe. Errazuris, por cuanto no hay en ia actualidad una representación En la sesión del ¡Ó se discutió la proposición sobre suprimir nacional ante ia cual pueda yo .hacer mi renu…</t>
  </si>
  <si>
    <t>Ejercito, Carlos----</t>
  </si>
  <si>
    <t>Carlos---- Ejercito</t>
  </si>
  <si>
    <t>…mayores elo archivo de Cortes la milicia nacional local de Sevilla__ Teatro gios de S. A. R. : también se decía en otro tiempo que el Em esta noche á las siete y media el Infante D. Carlos---- Ejercito de perador Napoleón era infatigable, el ídolo del e(eicito, y que reserva__ Estado mayor.—Cuartel general de Sevilla i 5 de Ma los pueblos ie recibían corno á un libertador. Asi hablan también yo de 1S23__ El Excmo. Sr. general en,gefe ha resuelto en vista ah…</t>
  </si>
  <si>
    <t>Él</t>
  </si>
  <si>
    <t>…1 &gt;9&lt; r.t- :r ■ l i .tí Vi r :rtí prQVittlt.u V-¡U(Ong.1&lt;i.U, I’.tra dar una idea de la audacia de este faccioso, que ha ido á Comandancia cunera! de! tri e r distrito. rívcjr.r,, Sr. Él ;i-inar a lo» encímeos de su patria, á aquedos mismos que llevan comandante militar de la provine a d; Suirm ¡r.ci con ic-¡:a j. h.t i.&gt;dava las mano» teñidas en sanare española para que vengan ú actual me d.ce io siguiente : ~Lx,:ro. Si. : A^iva i.i C'ea ri;…</t>
  </si>
  <si>
    <t>Élcjalde, Lázaro de</t>
  </si>
  <si>
    <t>Lázaro de Élcjalde</t>
  </si>
  <si>
    <t>…ces para lograr tan sagrado Cádiz el jurado de calificación, compuesto de los Sres. D. Pablo objeto, en el cual estriba la conservación de la libertad portugue del Valle y Llera , D. Lázaro de Élcjalde , D. Manuel María sa igualmente que la española. El Congreso nacional lusitano no Mateu , D. Miguel Garda Ortíz, D. josef Pérez Torrova, puede ignorar esta importantísima verdad, y los portugueics co D. Jos'f de Resurta, D. Josef Dionisio de Ugarte, D. josef…</t>
  </si>
  <si>
    <t>Elejaburo, Juan Bautista</t>
  </si>
  <si>
    <t>Juan Bautista Elejaburo</t>
  </si>
  <si>
    <t>…ardientes deseos de sacrificarse por nio Martínez de Posada, D. Nicolás Furto, D. Juan Martínez de Cri las libertades patrias, como también la caballería de la primera divi tica, D. Juan Bautista Elejaburo, D. Francisco Pujol y D. Josef* sión—La corta partida de cuatro hombres descubridora que se adelan Santo Domingo; declaró por unanimidad no haber lugar á ia formr to esta noche á hacer el reconocimiento de este pueblo encontró seis don de causa. ' liosos lanc…</t>
  </si>
  <si>
    <t>ElejaJde, Lázaro</t>
  </si>
  <si>
    <t>Lázaro ElejaJde</t>
  </si>
  <si>
    <t>…e imprenta. En este caso el Gobierno podrá ocu Juan francisco Bidot, D. Agustín de Goicoechea, D. Luis de par y archivar ó quemar todos los ejemplares que pertenezcan al Gargollo, D. Lázaro ElejaJde y D. Juan Bautista A Iva reda. dueño de la obra; pero no recogerá de modo alguno los que ha AVISO. yan comprado los particulares para su uso. Se halla vacante el juzgado de primera instancia del partido Art. 17. Los libreros é impresores estarán obligados á entre de las Palmas, e…</t>
  </si>
  <si>
    <t>Eli</t>
  </si>
  <si>
    <t>…ese al Gobierno pasase la les volvió á Tolosa el 28.” exposición á la gaceta para su publicación, era menester se dijese igual mente que se publicase en la misma la exposición del intendente Eli __El Diario constitucional de Barcelona del az hace una bellísima zalde; por todo lo cual fue de dictamen no debia aprobarse el de la descripción del júbilo que causó en los habitantes de aquella ciudad la comisión. noticia de lo sucedido y resuelto en el día…</t>
  </si>
  <si>
    <t>Elias</t>
  </si>
  <si>
    <t>…damento ha he yetano), Arguelles , Cuadra, Alvear, Taboada, Alava, I err-r cho ei Sr. Soria está reducida á que sendo e! jurado la base del códi AntoniO, luíante, Bustos, Alvarcz (D. Elias), Rosa , Tcrr , i rugo penal, es el mavor Ue ios despropósitos poderle en egccuc on. jdlo, Meló , Roig , Merced , Bauza , Garmerdla , iningas, G u /-óz Este ar.-um n'o ti ndr .a una fu-rza irres stiblc cuando el jurado fue Ron, Sánchez, Lodares , Blake , A po…</t>
  </si>
  <si>
    <t>…xperiencia de nio ) , Apoitia, Buruaga, Domenech , Muro , Lillo , Murfi, Infanta, todos Los siglos desaprobaba altamente Scc.” Llórente , Somoza , Rojo , Valdés Bustos , Alvarez ¿ D. Elias) , Ro- ■ Dos partes contiena e»U expresión: la primera es relativa á alguno* set , Torre, Trujólo, Alcántara, Meló, Vargas, Herrera, Canga, soldados perjuros que volvieran las armas contra su Soberano y su pa Gil Orduña, Riego, Rico, Posada, Adanero , Sierra,…</t>
  </si>
  <si>
    <t>…a de la Iglesia. Cayetano]), Argü=l!-s , Guaira , Alvear, Taboada , Alava, Fcrrer El br. Prado, olvidando algunos pr.ncipios reconocidos por todas ( D. Antonio j , Mura , Alvarez (D. Elias]), Roset , Torre , Aleanlas naciones de Europa , ha dado la ■nt.-rpr ilación que na querido á tara, Vlelo , Bauza , Vegas , G»',mend.a , Bringas , Sánchez , Apuna, aquellas paiaoras de Jesucristo: ÍVuit est repufn m:wn de k-¡: inundo', B alce , Rubina!, Torne…</t>
  </si>
  <si>
    <t>…b3 bravatas y no tema miedo le qui rente , Pumar.ja, Infante, Lilio, Murü , .‘tojo, lemczi , Bustos, AItaba del sitio, porque consideraba qu; podía ser sorprendido ; porque varez (D. Elias), Trujólo , Torre , Aic tetara , Mdo, Roí,-, B.-nzí, no tener miedo es echarte, a dormir, y ta consecuencia forzosa es que Canga, Rico,Orduña, Riego, Siena , Jí-irnunte, Brices, Pr.it, V¡el que duerme no puede tener valor. ilatiueva, Sobiron , AIor.ro, Ferrer…</t>
  </si>
  <si>
    <t>…, Cuadra , Albear , Tabeada, Alava, Do- procedimientos , y levantó la sesión á las cuatro y cuarto. menecb, Posad», Somoza, Murfi, Infante, Litio, Rojo, Valdés (Bustos), Alvarez (D. Elias), Trujillo , Alcántara, Bauza, Gil Or- Primer riistrito militar. (Madrid.) Sin novedad. dufia , Rico , Sierra, Baiges, Prat, Moreno, ViUanueva, Ferrer(Don __ En la gaceta de ayer, pág. j36 , col. iA, iin. 44, dijimos que ha Joaquin) , Soberon , Garmendia, Sán…</t>
  </si>
  <si>
    <t>…sinos. A’nx , So.:.-./, ai conservar la paz. Tiujillo , Ron , Manso y Roig. Segunda de Hacienda. Srts. Escovedo , Adan . Sept'en , Belmorre, NOTICIAS DE ESPAÑA. Jiménez, .Alvarez (D. Elias), Lasaia , Airear y D.ez. .1 maros, Cádiz rq de Febrero. Pesos y medidas. Sre-s Bauzá , Roset, liento, Adar., \ El Redactor general publica lo siguiente: Oliver , Soberon , Henriquez y Dómente!;. Con la correspondencia de la Havana por el Realista se han reci…</t>
  </si>
  <si>
    <t>…de tenido dos ei Sr. Marchámalo y uno el Sr. Villaboa. la manz. 3 2 3; y como de las primeras diligencias practicadas haya resulta En la 24.a votación fue elegido el Sr. Alvarez (D. Elias) por 85 vo do que efectivamente no tienen dueño, se acordó por el citado Sr. juez tos , teniendo uno el Sr. Marchámalo. en providencia de 8 de Enero último entre otras cosas se procediese al En la t 5.a votación salió elegido e! Sr. Garmendia por 78 votos, ha…</t>
  </si>
  <si>
    <t>…la jus Cayetano), Arguelles, Cuadra , Alava , Aibear, Murfi , Valdés (Don ta causa de la Nación , cupo en la su rte del primer extracto de la •Dionisio), Seoane, Bustos, Alvatez (D. Elias), Herrera, Alcántara, de este día i Doña Paula Ztmbrano , comprendida en las d: los vic Meto , Bauza, Roig , Vargas, Ferrer (IX Antonio), Canga, hierra, timas del dos de Mayo en Madrid. Garmcndia, Biingas, Aponía , Blake, Torner , Arias, Casas, Martí, ARTICUL…</t>
  </si>
  <si>
    <t>…a con una comisión de suma importancia. ñores becerra , Aguirre , Castejon, Nuñez (D. lor.bio) , Do- —Por la correspondencia de Madrid del 26 del pasado sabemos menrch , Alvarez ( D. Elias ) y Marchámalo. que ya se tenia por secura la entrada de los franceses en Burgos También nombro al Sr. b lores Calderón para las comsio— el día 22 ó 2g (pues en el dia había dudas). Se decía que nes de Código de procedimientos e Instrucción pública; al señor…</t>
  </si>
  <si>
    <t>…que este es un argumento especio moza , Sierra, Baiges, Salva , Prat, Infante, Rojo , Valdés Bus so, y que se funda en supuestos equivocados; á saber : t ° que en tos , Alvarez f D. Elias), Trujillo, Rey, Rubina!, Bausa, nuestras leyes después de publicado el código penal no se contie Sánchez, Alcántara, Adanero, Silva, Gil Orduña , Montesi nen disposiciones respecto de aquellos individuo» que obraren en nos, duque del Parque, Busaña, Domencch…</t>
  </si>
  <si>
    <t>…Adancro , Muro, do se añada antes de la palabra profesores las de abogados ó n.t- Buruaga , Silva, Sierra , Posadas, Canga , Baiges, Somoza , Prat, Salva, Rojo , Bustos , Alvarez (D. Elias), Truiiilo , Rubi- dicos.” . , . La misma comisión opinaba no debía accederse a la solicitud nat, Bausa , Bustamante , Sánchez, Eusaña , Lillo, Arcllano, de los empleados en las extinguidas contadurías de propios de Montesinos , Ne.ra , Seoane , Villanueva ,…</t>
  </si>
  <si>
    <t>…tienen y se les do convento de carmelitas descalzos de Granada, la pcns:on de 3 ra cargando cada dia. reales diarios que solicitaba en atención á su avanzada edad. El Sr. Alvarez (D. Elias) apoyó la proposición . manifestan Aprobado. do constarle que en la provincia por donde es diputa ‘.o se habían I4 misQU opinaba debía desestimarse la solicitud d« D. Lo-</t>
  </si>
  <si>
    <t>…vores. Si bien es verdad que este oro- mas , y uno los Sres. Somoza, Cuevas , Trujillo, Euruaga, Sal vecto no es tan extenso comes el del registro , también lo es que va, Alvarez (D. Elias), Sotos y Afilón. Total 214. ¡o que causó mayores disgustos en el derecho de registro fue Ja No reuniendo ninguno de estos Síes. la mitad mas uno del paste relativa á pleitos y causas, que es precisamente la que mas total de votos , se procedió á 2." escrutin…</t>
  </si>
  <si>
    <t>…ntes, pero no formalidades posteriores al ar uno de los Sres. Belmontc , Posadas, Varela, Rojo , Galiano, resto , y la comisión no solamente propone esto sino también que Alvarez (D. Elias), López del Baño y Arellano. se suspenda el artículo de la Constitución relativo á que no puede Los Sres. presidente y secretarios nuevamente elegidos ocupa ser allanada la cosa de uingun ciudadano español. Probado pues ron sus respectivos asientos. que la co…</t>
  </si>
  <si>
    <t>…se encuentra el pago de algunas Se levó y mandó pasar á k comisión de Instrucción pública deudas, era de opinión que las Cortes podían decretar : una proposición del Sr. Alvarez (D. Elias), repitiendo 01ra que 1Las asignaciones de los individuos secularizados serán pa se leyó por dos veces en la legislatura anterior, y se mandó pasar gadas por la tesorería nacional. á dicha comisión, relativaá que se derogue el art. 6° del decreto 2.0 Esta dis…</t>
  </si>
  <si>
    <t>…, bastará que aquellos le pueden produ Instrucción pública que opinaba debía aprobarse la proposición del cir en arrendamiento, ó le produzcan la mitad de La cuota ru Sr. Alvavez (D. Elias) , reducida á que se derogase el art. 6.° nda para ser elegido. del decreto de instrucción pública por las trabas que opone á la 3.11 Lo qua estos artículos expresan se tendrá por consi ■instrucción privada. nal, como si estuviese puesto al pie de la letra en…</t>
  </si>
  <si>
    <t>398 fio:- Meca, 24 el Sr. Alvarez (D. Elias), 5 el Sr. Neira, 3 el carlo ya que se dejaba al "Crédito público sin fondos con que ha Sr. Posada, 2 el Sr. Suarez, 2 el Sr. Varela, y uno respectiva cerlo. Este medio lo encuentro en el dictamen que se discute, y mente los Sres. González Aguirre , Septien,…</t>
  </si>
  <si>
    <t>…res. Villamaica un refuerzo naval considerable bajo el mando de un vice nueva, Salva &gt; Adinero y Oliver; y 1 cada uno de los Sres. Ri almirante. co, Valdes Bustos, Ojero, Aivjrez (D. Elias) , Serrano, Sál __Se nos asegura por un conducto que merece la mayor confian valo y Velasco. za , que las guerrillas españolas han limpiado completamente la En su consecuencia se procedió á secundo escrutinio entre los Vizcayade franceses y facciosos. Sres. q…</t>
  </si>
  <si>
    <t>…rificar la elección de diputados a C&lt; ríes. Indico en seauida otro Cid, Llórente, Herrera Bustamante, Luque, Velasco, Tomas, medio pana verificar las elecciones. Aibcar, Alvarez (D. Elias) Rosct, Belmente y Ramírez Arc- El Sr. Ruiz de la Vega dijo que era imposible dictar un me llauo. dio que evitase todas las dificultades; V asi es que habían disentido Se procedió á Ja discusión del dictamen de la comisión de Le todos los Sres. preopinantes e…</t>
  </si>
  <si>
    <t>…Las Cortes quedaron enteradas. Sres. Muro, Beltran de Lis, Rey, Ferrer (D. Joaquín) y SepEl Sr. presidente nombró para componer dicha diputación tien, y en pro los Sres. Alvarez (D. Elias) , Salva, González á los Sres. Canga Arguelles , l'lorez Calderón , Salva , Lagasca, (D. Manuel Casildo ), Soria y Gómez Becerra , se declaró el Moure, Sequera, OÍver, Ferrer, Valdés Bustos, Solieron, punto suficientemente disentido-, y habiéndose preguntado…</t>
  </si>
  <si>
    <t>…as adelante El Sr. -Salva se opuso á la última parte de este dictamen, y de la casa, y á espaldas del parapeto, no se atrevieron á salir. La habiéndole contestado el Sr. Alvarcz ( D. Elias), se procedió á tropa de ia guerrilla avanzó, y la columna compuesta deí núme la votación por partes: la primera quedó aprobada, y la segunda ro 14 con la mayor serenidad , despreciando los fuegos del ene empatada por 42 votos contra 42. migo, el que fue cont…</t>
  </si>
  <si>
    <t>…¡a invasión del enemi La comisión de Instrucc.on pública habiendo examinado de go sean reemplazadas por individuos del mismo cuerpo que J an nuevo la proposición del Sr. Aivarez ( D. Elias) para que se entrado en C diz, y que se esté á lo resuelto por las Cortes en derogue el artículo 6.° del reglamento pira la instrucción públi 10 de Junio del año próximo pasado. ca , opinaba que podía derogarse en cuanto á ¡a enseñanza de las La comisión de C…</t>
  </si>
  <si>
    <t>…ncurre ásalvarla el Congreso; y co , Surrá, Aivear , Arguelles, Cuadra , Alava, Rojo , Valdés consecuente á lo que entonces anuncié, á lo crítico de las circuns lEotos , Alcarcz ( D. Elias), Múrfi , duque del Parque , Beltran tancias y á lo arduo de los negocios , he tenido por necesario que se de Lis , Somoza , Reillo , Gil Orduña , Baiges, Villanueva, Bu- congreguen Cortes extraordinarias, para que deliberando sobre saña , Trujillo , í.illo ,…</t>
  </si>
  <si>
    <t>…enda los Síes. Ferrer ( D. Joaquín), Oiiver , Zulueta , Sur- sorerías de provincia para su ejecución , o en su defecto habrán si i.i, Sánchez , Adán , Ovalle, Escovedo y Alvarcz ( D. Elias.) do verificados por estas directamente , y entregados los documen Anuncio el Sr, presidente que en el día inmediato habría se tos á ¡os mismos comisionados ú pagadores subalternos. sión á ia hora de reglamento, y levantó la de este día. En el primer caso las…</t>
  </si>
  <si>
    <t>…Hacienda los Sres. Ferrer ( D. Joaquín ), Oliver , Zulueta, Sur venta de los bienes de la Iglesia: 3 rs. Se venden en las librerías tí, Sánchez, Adan, Ovalle, Escovedo y Alvarez (D. Elias). de Quitós, Fuente y Villa. Anunció el Sr. presidente que en el dia inmediato habría El alma en soledad en un día de retito en cada mes, para sesión á la hora de reglamento, y levantó la de este dia. santificar la muerte con las máximas de los egercicios esp…</t>
  </si>
  <si>
    <t>Eliasú</t>
  </si>
  <si>
    <t>…nes, caen fuera d:l tiempo en que El Sr. I»tur.z se opuso ,1 cite dictamen, y habiendo contes se recolectan las cosechas, y por consiguiente les incomoda esto tado el ir. Alvarez (D. Eliasú i la, observaciones lucha» po: su mucho; lo cual no sucede con el aro común, y pregunto yo sei.01.a, quedo aglobado el dictamen por voto» cor.tia 4-?. ¿que resultados producirá el que lo, pueblos observen que el du Se levo por segunda vez la s.¿mente pvoposíd…</t>
  </si>
  <si>
    <t>Elío</t>
  </si>
  <si>
    <t>…n la historia y en el conocimiento del carácter francés, riales hasta el dia 30 del ( resente rifes. que ha desplegado tanta actividad en las nobles ocupaciones do _ . Defensa del general Elío en la causa formada sobre compli la guerra, olvidando siempre en ¿1 las discordias, cuyo gérmen cidad en la rebelión de la ciudadela de Valencia el go de Ma derramaran mal intencionados para destruir su prosperidad pú yo de 4822. Se vende en la librería de Co…</t>
  </si>
  <si>
    <t>Elío, Bernardo</t>
  </si>
  <si>
    <t>Bernardo Elío</t>
  </si>
  <si>
    <t>…cción , vestir y arma* toda la tropa qua demas oficiales adictos á ella ,m¡s ayudantes de campo D. Miguel del regimiento provincial, á que da nombre, se reúna en aquella Porcell , D. Bernardo Elío, D. Gustavo de Cominges y Don capital , sin gravamen alguno del Real erario; y S. A. S., al sa Luis de Riviere merecen que ios nombre á V." E.: oficiales y ber ia loable generosidad con que .patentiza el citado ayunta soldados todos se han portado cual corres…</t>
  </si>
  <si>
    <t>Elío, Francisco Javier</t>
  </si>
  <si>
    <t>Francisco Javier Elío</t>
  </si>
  <si>
    <t>…an bastado en algunas consolidar la Monarquía, tiene siempre presente la desventurada ocasiones á hacerlas efectivas; y ha notado por último que no suerte que ocasionó al teniente general D. Francisco Javier Elío en codas ¡as provincias se ha usado un método igual y unifor una facción sanguinaria y enemiga del altar y del trono. S. A. S., me en ia expedición de dichos apremios cuando ios ha exigido conociendo que la Junta provisional de Gobierno de España é la justici…</t>
  </si>
  <si>
    <t>Elizalde</t>
  </si>
  <si>
    <t>…i: n Con arre men vno podría esta proceder contra aquel. Ultimamente expuso que lo gle á lo prevenido en el decreto de ag de Abril de 1821.’' Aprobado. actuado hasta el dia por el intendente Elizalde , como era el juicio de Las Cortes oyeron con particular agrado un oficio del Sr. secr;tano conciliación, de ninguna manera podía perjudicarle, pues las leyes es de Marina, en el que daba parte á las mismas que D. Mariano Vives, tablecen que sea este el prime…</t>
  </si>
  <si>
    <t>Elizalde, Bernardo</t>
  </si>
  <si>
    <t>Bernardo Elizalde</t>
  </si>
  <si>
    <t>…ón ds cia de que en vez de decirse que las Cortes habían oido con dr sagrado las Cortes sobre el dictamen de ia comisión que ha examinado la expo la conducta anticonstitucional de D. Bernardo Elizalde , se dijese la sición del Sr. Moreno Guerra. eonducta que en esta ocasión habla observado (re. Se aprobó la siguiente adición del Sr. Prat á la acción de gracia El Sr. Falcó impugnó este dictamen, manifestando que era un er decrlada por las Cortes ai ejercito…</t>
  </si>
  <si>
    <t>Elizalde, Pió de</t>
  </si>
  <si>
    <t>Pió de Elizalde</t>
  </si>
  <si>
    <t>…iento y 'Junta pro » Teniendo en consideración la Regencia del reino los mé visional de Gobierno de la imperial ciudad de Toledo tiene ritos y servicios del intendente de egército D. Pió de Elizalde, hoy el alto honor de manifestar á V. A- R. sus sinceros afectos lia venido en nombrarle tesorero general del reino. Tendreislo de gratitud al ver que por un efecto de generosidad sin igual ss entendido , y lo comunicareis i quien corresponda» En Palacio ha d…</t>
  </si>
  <si>
    <t>Elorduy, Manuel</t>
  </si>
  <si>
    <t>Manuel Elorduy</t>
  </si>
  <si>
    <t>…que habia hecho de la plaza habia cogido del batallón de milicia nacional activa de Astorga, al mando de su á los sitiadores 200 carneros, y causádoles una gran pérdida en primer comandante D. Manuel Elorduy, que mantuvo su posi hombres, ción, encargado provisionalmente de los quintos de esta capital, La fortificación de la importante plaza de Barcelona continúa sobre el hospicio de ella perteneciente á dicho cuadro ; el capitán y se aumenta de dia en dia de un m…</t>
  </si>
  <si>
    <t>Em, Duque</t>
  </si>
  <si>
    <t>Duque Em</t>
  </si>
  <si>
    <t>…&amp;c., y de la segunda persona y nobleza de carácter me son ya bien conocidas.” maquina, también de vapor, puede decirse que las de Berlín Concluida la audiencia se retiró el Excmo. Sr. Duque Em aventajan á las demas en elegancia y exactitud. ¡ No parece sino bajador á su residencia con la misma pompa, y en midió da que es juguete el modo de trabajar el papel por este método; tan un inmenso concurso. (Gaceta de Lisboa.") fácil y sencillo va todo en e…</t>
  </si>
  <si>
    <t>Emba</t>
  </si>
  <si>
    <t>…ene otra; y la tercera, introducida en el Conti orden y la legitimidad. nente, es la establecida aquí en Berlín á cuenta de una compa „Rccibo con placer la carta que me entregáis, Señor Emba ñía , a cuya cabeza están el banquero Veneke y el Consejero jador , en la cual solo podré encontrar seguridades de amistad y Mr. Lecocg como directores , y al cuidado de Mr. Corty, qu# de perfecta armonía, de que deben resultar el bien y felicidad d$ tiene el…</t>
  </si>
  <si>
    <t>Emilio, Cirios</t>
  </si>
  <si>
    <t>Cirios Emilio</t>
  </si>
  <si>
    <t>…iente de Rey sentes vieren y entendieren , sabed: Que las Cortes extraoidinarsas de la plaza de Barcelona—Segundo ayudante general el teniente coro han deerriado lo siguiente: nel D. Cirios Emilio___Otra ¡dem ei teniente coronel D. Luis de la. « Las Ccttfs extraordinarias, usando de la facu’tad que se les con Llanas__Olio idem ei teniente coronel D. Quintín Velasco___Adic cede por ¡a Constitución , han decretado 1.0 siguiente : to al estado mayor el ca…</t>
  </si>
  <si>
    <t>Emparanza, Josef Pablo de</t>
  </si>
  <si>
    <t>Josef Pablo de Emparanza</t>
  </si>
  <si>
    <t>…er lugar día formación de causa. D. Joaquín de Usarralde, vecino de la villa de Tolosa , en la provin cia de S. Sebastian , remitió con fecha 17 de Diciembre de 1822 í VARIEDADES. D. Josef Pablo de Emparanza , de Madrid , dos inscripciones de la deu Extracto de las observaciones sobre la laza de! Vesuvio , hechas en 29 da consolidada, reconocidas per ia Nación al tinco de S. Carlos en i.u de Enero de 1H20 por S. A. Ji, el Príncipe heredero Cristiano Fe de Marzo d…</t>
  </si>
  <si>
    <t>Empecinado</t>
  </si>
  <si>
    <t>Gaceta de Madrid n.º 21 (extraordinaria)</t>
  </si>
  <si>
    <t>…recibido los partes siguientes. 3.0 Provincia de Guadalajara.=Srcc¡on de Gobierno políú-o = » F.xcmo. Sr.: Por los partes recibidos &lt;n esta tarde se me 2 que r° „ Excmo. Sr. : El general Empecinado con fecha de ayer 19 el general Veiasco ha batido la columna de facciosos qne se h.jii ex desde Alruadrones á las doce del día me dice lo siguiente : Exemo. se tendido hacia Molina, y que se dirige sobre los de Medinaceu. Si tu ñor: Con fecha 18 del actual me…</t>
  </si>
  <si>
    <t>…lí tuve avisos labia prometido. A las ja he llegado á esta ciudad; pero hab’éndome aunque poco positivos, de haber habido en la tarde del mismo dia un encontrado con una orden del general Empecinado desde Tnjueque, encuentro con las tropas de la segunda sección ; y al amar &gt; g fecha á las ocho de la mañana, para que no pase de Torija, lo egecuta- continué á Tafallo , desde donde hice marchar á Lárraga &gt;nci lé asi saliendo á las dos de esta tarde-=Todas l…</t>
  </si>
  <si>
    <t>…onal activa , ser ros de fusil por nu-stra der.ch 1. que supuse hsbian de ser de en cuín virán por ei cupo de su pueblo si les tocase la suerte de soldado en tro de la columna del general Empecinado con los facciosos, sin qua el año en que sentaron plaza.” Aprobado. durante la acción que yo sostuve hubiese tenido noticia alguna de aque Art. 86. « Los comprendidos en el alistamiento'par* el reemplazo llas tuerzas. En el (amino las he tenido después d; est…</t>
  </si>
  <si>
    <t>…olumna de lo» valientes milicianos nacionales y demás tropa; que V. E., para -j-ie.cn el n.„i»».:ntu que me encuentre apto.se sirva em ¿alterón también de Madrid á las órdenes del general Empecinado, Le plearme co donde tenga á bi;n en defensa, de ia» libertades^ públicas. gué á Torijs, donde este se hallaba ya. Habiéndome presentado cr-n » Los enemigo» de la patria t il vez .spírar-in á dar sinicsti.*» intrrmi partida 1 la ocupó c„ las fatigas que tuvo…</t>
  </si>
  <si>
    <t>…de permanecí hasta el siguiénté dia 24 á tas 5 de la mañana, que mé fe signar un punto de seguridad que reúna todas las'circunstancias para ordenada la marcha bajó las órdenes del general Empecinado por la bacer l.i'gueria á los enemigos con ventaja. derecha del camino real efe Torija, por'el que se dirigía el Sr. coman 'Antes se ha detenido demasiado el Congreso sobTe si tal ócnal'pa- dante general del distrito con las tropas y artillería que sacó de ts…</t>
  </si>
  <si>
    <t>…Consi ción , haciendo la primera jornada i Alcalá, y ia segunda de este pue guiente á lo que manifesté á V. E. en m: último parte desde esta ciu blo a Torva , donde encontramos al general Empecinado con la caba dad, me puse en marcha para el Cereza!, ado-de hablan lie. ado 8o llería de Calatrava , una compañía de zapadores y algunos individuos hombres de Aragón á las órdenes de su coronel D. Ferm.n Coeet, cora de j M. N. L. de ambas armas de ia provecía…</t>
  </si>
  <si>
    <t>…res, siguientes: da, y se llevaron el caballo de D. Ramiro Gil de Gibaja y el del mé D. Tadeo Perez, D. Joaquín Lumbreras, D. Francisco &lt;!■' Accvai y dico , y á poco rato entró el general Empecinado con la fuerza de 30 Arratia , D. Francisco Sainz de Rozas, L&gt;. Joscf Valls de Roca , Doa caballos y 20 infantes, y ademas 12 voluntarios de caballería de Nava; Josef de Leglisa y Pinedo, D. Josef Asucro , D. Míreos Izquieido y y sabiendo esta noticia se estab…</t>
  </si>
  <si>
    <t>…ala. á las siete y media la milicia activa.__Leglisa. Por consiguiente resultará que ni los ayuntamientos podrán verificar el repartimiento, ni los intendentes encontrarán moti El general Empecinado ha dirigido á los pueblos de la pro vos justos para multarlos. Yo creo que lo que se debe hacer es vincia de Salamanca Ja proclama siguiente: dejar á 3as diputaciones provinciales un tiempo proporcionado Habitantes de la provincia de Salamanca. «En mi procla—…</t>
  </si>
  <si>
    <t>…dia 7 del corriente constitucionales, que con un orgullo insensato int ntaion en seis leguas del país para llegar con mi columna á Luarca , de trar en él, y con este objeto el sx-general Empecinado pasó un donde habian salido los enemigos el dia anterior, é inmediata oficio al gobernador y ayuntamiento, del que es copia la del nú mente destaqué un escuadrón de húsares y cazadores en su per mero ■ °, y al qüe se contestó con el mayor desprecio, pues tan…</t>
  </si>
  <si>
    <t>Enales, Pablo</t>
  </si>
  <si>
    <t>Pablo Enales</t>
  </si>
  <si>
    <t>…u guerra habilitado D. Manuel Blanco., jeción á los'descuentos de h escala aprobada por las Cortes. División de caballería. Ministerio prihcipal el comisario de Aprobado. ' guerra D. Pablo Enales; director guardaalmacen de víveres y La misma com'ision , en vista de la solicitud del ayuntamien "provisiones D Ó Juan Argüe lies. Madrid 2 de Mayo de 1823. — to de Llbeda para que se declare aprovechamiento común un ter Es copia original de la remitida por…</t>
  </si>
  <si>
    <t>Encargado</t>
  </si>
  <si>
    <t>66</t>
  </si>
  <si>
    <t>…el tér.nide sus enemigos. no mas breve que le sea posible. __Un periódico de esta capital , refiriéndose i noticias recibidas por •&gt; Apr-' vecho &amp;c. Madrid 11 de Enero de 1813. = Sr. Encargado de un correo extraordinario que salió de París en la noche del a dice: Negocios de Rusia.” «que el conde de Chateaubriand acababa de s:r nombrado minis tro de relaciones exteriores” añadiendo: »que era natural que el di » Los Soberanas aliados, reunidos en Ve…</t>
  </si>
  <si>
    <t>Engestroen</t>
  </si>
  <si>
    <t>…bia remitido á la sesión de la Cámara de la no NOTICIAS DE ESPAÑA. bleza, por mano del gran mariscal del reino, una acta de acu _ Mataré y de Julio á media noche. sación contra el conde Engestroen , ministro de Negocios ex- Parte oficial del mariscal duque de Conegliano á S. E. el trangeros. Esta acta se envió inmediatamente á la comisión de ministro secretario de Estado de la Guerra. Constitución. » M insmori El movimiento sobre Barcelona de la quima…</t>
  </si>
  <si>
    <t>Enlata, Fermín Alvarez</t>
  </si>
  <si>
    <t>Fermín Alvarez Enlata</t>
  </si>
  <si>
    <t>…ra servir otro. Exceptúame los em D. Pedro Prado, D. Antonio González Ron y D. Nicolás pleados que vivan en país ocupado ó que sigan en sus destinos Gómez Villaboa por la de León: D. Fermín Alvarez Enlata con licencia expresa dd Gobierno legítimo, y las personas de que por la de Navarra: D. Josef Cano y D. Leandro Ladrón de hablan los artículos 4.0 y J.° del decreto de veinte y uno de Se Guevara por la de Ávila: D. Manuel Pío de Arias por la de tiembre ele mil…</t>
  </si>
  <si>
    <t>Enria, Balanzat Francisco Perez de</t>
  </si>
  <si>
    <t>Balanzat Francisco Perez de Enria</t>
  </si>
  <si>
    <t>…f María 01iva.=Francisco de Cristo. = Gaspar otro numeroso de infantería á Malón. Mateo de Acosta y Rontlon.—Laureano Josef de Miranda. = n A esta fecha se hallará ya en Diroca el general Balanzat Francisco Perez de Enria. = Josef Agustín Govantes. = Josef con las tropas que lia extraído de Zaragoza, debiendo encontrarse Guerrero-Diego Tanco—Francisco Baldía Machado.—L. Fran en marcha sobre Teruel las que hayan quedado sobrantes á Ja iz cisco Sánchez del Pando, secretario. qui…</t>
  </si>
  <si>
    <t>EnriA, Jcsef</t>
  </si>
  <si>
    <t>Jcsef EnriA</t>
  </si>
  <si>
    <t>…Sr. Escudero, con Aotíi. En la sesión de! 5 de Junio concedieron las Cortes al trario al establecimiento di tribunales especiales. superintendente de la casa de moneda de Sta. Fe D. Jcsef EnriA la cormston de Gobierno interior se mandó pasar una so— quez de Guzman la d:spensa de pruebas para condecorarse cor. la lic:tud de D. Antonio González Arango, dependiente de las cruz de la orden de Cários 111. Cortes, para que se Je permitiese volver al ejérc…</t>
  </si>
  <si>
    <t>Enrile, Gerónimo Maitnez</t>
  </si>
  <si>
    <t>Gerónimo Maitnez Enrile</t>
  </si>
  <si>
    <t>núm. 67; y «unido el jurado , compuesto de los Sres. D. Baltasar Val- brió algo de ella cuando temió que les cómplices la hubiesen declarado. carce, D. Gerónimo Maitnez Enrile, D. josef María de Ansa , Don ( Se continuará.') Martin Fernandez Elias, D. Segismundo Moret, D. Juan Bautista Al- Aviso de la imprenta nacional. vareda, D- Josef María Retortiilo, D. Juan González y D. Domingo Al siguiente día de entrar el Gobierno en Sevill…</t>
  </si>
  <si>
    <t>Enrile, Gerónimo Martínez</t>
  </si>
  <si>
    <t>Gerónimo Martínez Enrile</t>
  </si>
  <si>
    <t>…Cádiz, núm. 63, de 4 del actual, acusándolo d: novedad en su importante salud.” injurioso á todo el cuerpo en general; y reunido el jurado , compuesto de los Sr:s. D. Juan Perez, D. Gerónimo Martínez Enrile,D. Jo F.í Rfy ha expedido el decreto siguiente! sef María Recortillo, D. Francisco Hidalgo, D. Juan Josrf del Cubi « Don Fernando ni por la gracia de Dios y por la Constitución de llo, D. Pascual Boiaños y Novoa, D. Antonio ds Oiazarra , D.Franla Munarquía es…</t>
  </si>
  <si>
    <t>Enrile, Nicolás</t>
  </si>
  <si>
    <t>Nicolás Enrile</t>
  </si>
  <si>
    <t>…á la España, se apresura á renovar las re Ayer se hizo consejo de guerra por orden del general Boarlaciones , bien contra su gusto interrumpidas, entra las dos au mont al teniente coronel D. Nicolás Enrile, que fus aprehen gustas cortes de Francia y Portugal. dido por la columna de Ayamonte con pliegos de Casteldos’&gt; En la elección que el Rey ha hecho de mi en estas me rius, y gefe político de Badajoz para Cádiz, y ha sido condu morables circunstancias para ser…</t>
  </si>
  <si>
    <t>Enrile, Pascual</t>
  </si>
  <si>
    <t>Pascual Enrile</t>
  </si>
  <si>
    <t>…or ia prosperidad del Rey nuestro Señor y su augusta fa -infantería al mariscal de campo, inspector de la misma arma, milia, por el acierto de ia Regencia en el Gobierno de la Mo •D. Pascual Enrile, que vire calle del Lobo, en la casa en que narquía y por la felicidad de España. Nuestro Señor guarde á estaba ¡a inspección antigua: ios de .caballería al brigadier Don V. E muchos años, Madrid 28 de Mayo de iRág.srExcma.'Se» Pedro Satotnayorplazuela del An…</t>
  </si>
  <si>
    <t>…ndose anunciado en la gaceta del 31 del mes anterior guientes: que S. A, $. la Regencia del reino habia elegido para inspector Serenísimo Señor: de infantería al mariscal de campo D. Pascual Enrile, se ad » La imperial Toledo aparece hoy á les pies de V. A.,R. vierte al público que fue una equivocación naciente de la pre como un náufrago que asido á los débiles fragmentos de la</t>
  </si>
  <si>
    <t>Enriquez, Francisco</t>
  </si>
  <si>
    <t>Francisco Enriquez</t>
  </si>
  <si>
    <t>…reis que este general ha declarado formalmente la Manchal: D. Josef z\poita por la de Vizcaya: D. Dominco que ni él ni el ejército están sujetos á ia junta , y que no reco Cortés, D. Francisco Enriquez, D. Josef Alcaide y D. Ramón noce en ella autoridad alguna sobre la fuerza militar, cuyo Lamas y Melendcz por la de Galicia: D. Josef Cuevas por la mando independientey ejecutivo corresponde á él mismo. En ella de Cuba en Ultramar : D. Ezequiel Diez por la de…</t>
  </si>
  <si>
    <t>…tercera instancia de la audiencia territorial con la Mancha: D. Josef Apoita por la de Vizcaya: D. Domingo los ministros del tribunal Especial de Guerra y Marina, y si es Cortés, D. Francisco Enriquez, D. josef Alcaide y D. Ramón tos no bastasen con los jueces también letrados del tribunal Es Lamas y Melendez por la de Galicia: D. Josef Cuevas por la pacial de Justicia. (Gaceta del g.~) de Cuba en Ultramar : D. Ezequiel Diez por la de Toro: Oficio de los S…</t>
  </si>
  <si>
    <t>Ensebio, Rafael</t>
  </si>
  <si>
    <t>Rafael Ensebio</t>
  </si>
  <si>
    <t>…prohibidas las reuniones ocultas, respecto á que e¡ mis opinaba se accediese á ello. ino carácter de tales las desacredita, y todo vecino que las tenga Otro sobre la exposición de D. Rafael Ensebio pidiendo dis en su casa será castigado con rigor y los concurrentes, según se pensa de las pruebas para obtener la cruz de Carlos un opinaba ñale la ley ó la necesidad de hacer observar el buen orden. no podia accedcvse á esta solicitud. «No se permitirá anda…</t>
  </si>
  <si>
    <t>Entre</t>
  </si>
  <si>
    <t>…&amp;c., según se halla en ¿a Biblioteca de pescados, en cabeza de D. Felipe de Oini Pacheco. Otro de 113,500 universal. mrs. , situado en la rema de millones de Toledo, en cabeza de Don Entre las muchas aplicaciones de las ciencias á las artes , una de las Gaspar Muñoz. Y otro de 50081 mrs., situarlo en cuatro uno por ico mas notables ¿ importantes es sin duda la que ba contribuido i perfec de Carrion. El que tuviere noticia de ellos podrá entrega…</t>
  </si>
  <si>
    <t>…star y protesta solemnemente á la faz del mundo con de Mayo de 18:3. = Excmo. Sr. = Franc’sco Espoz v Mir.a. == tra el monstruoso derecho de intervención de una potencia en los P. D. Entre los muertos del enemigo se cuenta el boticario ma negocios domésticos de otra, y contra la perversión del derecho yor de la facción de Misas, cuyo nombramiento dado por la re I de la guerra, de que se ha hecho culpable el gabinete de las Tulle* gencia se le h…</t>
  </si>
  <si>
    <t>Entune</t>
  </si>
  <si>
    <t>…istir d los españoles en la causa de lalihdepéndencia. Entre los despotismo. Causas de diferentes especies hiñeron odioso el síste- sugetos que se hallaban presentes se notaran el lord Entune, el -aa,. y arruinaron su existencia, confundiéndose muy particular— general Fergustan, Air.* Hume, Air. Hobhóúscsjr'■ James Alac-mente los:vicios de.los hombres con Lt bondad de la causa; En kiniosli, Air. Graht, el coronel Davies &amp;'&lt;ñ . fin la guarnición-de…</t>
  </si>
  <si>
    <t>Eonnemain</t>
  </si>
  <si>
    <t>…sino con d ficul|ad; pero llegados ¿ enemigo. Esta brillante acción de caballería hace el mas alto las aituias, se desquitaron cnmpleUffiAntí.j de modo que el enehonor al teniente general Eonnemain y.á las tropas de su man fnígq no pudo resistir fen- ningún . .punto: la viveza del ataque. do. Entre los que cita con elogio deben distinguirse los señores Del ¡ado de la djy.isjon Lovettio, ,.qus tenia que combatir era coroneles de Serán y de Chciseuil, que…</t>
  </si>
  <si>
    <t>Eonnemams, Vicente de</t>
  </si>
  <si>
    <t>Vicente de Eonnemams</t>
  </si>
  <si>
    <t>…r. comandante general de esta provin quienes sus medios se lo permitan entreguen , si gustan , roavor cia ha dirigido al teniente general de las tropas del Rey el cantidad. Excmo. Sr. D. Vicente de Eonnemams, con presencia de lo que 2.0 Los que tienen almacenes por mayor de vnos y licores, dicho Sr. general manifestó en su carta, y artículos que se dieron y los dueños de tabernas entregarán también cada uno en res ayer al público. pectivas comisarías de barrio se…</t>
  </si>
  <si>
    <t>Eordesoulle</t>
  </si>
  <si>
    <t>…la victoria, y no ha mas la confianza del enemigo, y alejarlo del alcance de la me tenido necesidad délas tropas que estaban dispuestas para sostener tralla de su artillería , el general Eordesoulle, entre otras dispo le. El conde Bordessoulle recomienda particularmente en el ío.° siciones que habia tomado de antemano , mandó que se retira de línea al coronel de Mo^xalm, ai teniente coronel Horric , á sen sus tropas, í excepción de las que estaban en los…</t>
  </si>
  <si>
    <t>Eori, Pedro</t>
  </si>
  <si>
    <t>Pedro Eori</t>
  </si>
  <si>
    <t>…lo Ferrer. =D. Narciso Vivar. = guientes palabras; » en ei término mas breve posible.” D. josef Pineli. Declarado el punto suficientemente discutido, se aprobó la Idem de S. Juan: D. Pedro Eori. proposición del Sr. Marau con la modificación expresada. Idem de la catedral: D. Valentín García. = D.Manuel Pró, Se mandó pasar á la comisión de Hacienda , después de decla capellán de artillería. rada comprendida en el articulo too del reglamento, una prop…</t>
  </si>
  <si>
    <t>Eorner</t>
  </si>
  <si>
    <t>…misión que ha Llegado el caso de rede taria de caballería de la misma; presentadas estas cinco exposiciones cir la guardia Real á tas compañías de alabarderos , pero con el por el Sr. Eorner. memo que es indispensable para el serr:cio que tienen qu; dcsempfujrT De la M. N. L. V. de la ciudad de S. Fernando , presentada y leí El br. Adan: Sin oponerme en manera alguna á que se guarde «1 da por el Sr. 1 ,tur¡z. decoro debido á S. ,\1. respicto de s…</t>
  </si>
  <si>
    <t>Eosarte, Clemente</t>
  </si>
  <si>
    <t>Clemente Eosarte</t>
  </si>
  <si>
    <t>…e jubiló, cánticos de. alabanza., de reconciliación y de En esta.madrugada he recibido, un aviso de mí Ayudante de paz. Cuando nuestro común Padre vuelve glorioso al seno de campo D. Clemente Eosarte, escrito á las'once.de la noche, ¿n sus hijos, no se oigan en ia casa paterna, mas que voces de júbilos- el que me noticia sustancialmentc que en aquél diá los enemigos! de reconciliación y de nazi todos, como hermano», apiñados en, se volvieron á presentar s…</t>
  </si>
  <si>
    <t>Eourk</t>
  </si>
  <si>
    <t>…go, cc . otros de esta calaña. buen Roberto, un joven cómico vestido con igual uniforme. Boletín 22.0 A! fin del baile el no menos famoso Pepe bailará la Tarán El teniente general conde Eourk da parte á S. A. R. de su tula napolitana, y bonitamente se escurrirá per un escotillón llegada á Lugo el 10, y al mismo liempo le participa la favo para que los espectadores formen idea d* la ligereza con que su rable acogida que ha tenido de los habitantes…</t>
  </si>
  <si>
    <t>Eourmont</t>
  </si>
  <si>
    <t>…Ayer se nos dijo que ia guarnición de Barcelona, viendo que dante de la segunda columna de operaciones. = Firmado =El nadie la incomodaba, había proyectado provocar nuestras guar conde Eourmont.=Por orden del general z=C. Dusut. dias avanzadas: saltamos de contentos; pero cuando supo el ene Valencia 22 de Julio. migo que iban á su encuentro algunas compañías nuestras, huyó La ¡unta superior gubernativa de este reino se ha disuelto. i todo correr; pe…</t>
  </si>
  <si>
    <t>Eoy</t>
  </si>
  <si>
    <t>…ANCIA. pot i.ca no solo i- hadan ratificadas, sino que se han establecido so París s ~ de Febrera. bre base; mas sólidas por nuestro último sistema de leyes de nuvega- Opinión del general Eoy sobre 13 guerra contra España. c.í.n , y el desuso de las que tratan da nuestro comercio colonial. Es eres. : Tengo ia honra de proponeros ja ad.c.on s .miente pira qu* to, en nuestro conc-pto, lia agotado el manantial de envidias y ren se intercale en ia exp…</t>
  </si>
  <si>
    <t>Erado</t>
  </si>
  <si>
    <t>…del proyecto de ley que quedó pen El Sr, Marau, como de la comisión , se hizo cargo de los diente en la sesión de ayer. . i ' ' - argumentos expuestos en la sesión de ayer por el Sr. Erado: d:,o El Sr. Sotos: Me levanto ¡í impugnar este proyecto, porque en primer lugar, que el argumento hecho por este Sr. diputado creo que en él se perjud.ca notablemente á los derechos de. la Na deque la cita que había hecho el Sr. Olivei era ura instiucción ,…</t>
  </si>
  <si>
    <t>Erancisco</t>
  </si>
  <si>
    <t>…Mni'-nu-a.lo en busca de fusiles y -ir otic-, re tas de la emperatriz del brasil [ una arohidiiijiiesu dts* curso-; y es cié e.ri-er que supuesta la opinión geme Austria ) para el emperador Erancisco; siendo «d ob la! «¡el pueblo ingles en favor de nuestra justa cau jeto de su comisión inducir á la corte de Austria á sa, llegue • á iograroe lo que re «lesea ; y que :n lle reconocer la legitimidad del nuevo orden de cosas gar o. -los siur.sñuts, v los 'pro…</t>
  </si>
  <si>
    <t>Erar.stu</t>
  </si>
  <si>
    <t>…o Aprobado. se imprima , pub- qur'y evenir.c.Kslá rubricado de la R ai mst?.n.=E» La comisión de Visita de! Crédito público, a consecuencia de la pi.a.io i 16 de Marzo de íbíV.esA D. Erar.stu ian Aligue!. «multa He la junta del mismo establecimiento sobre si se habla de pagar á D. Luis María botín, comendador de la orden de b. Juan , Ja Se halla vacante la plaza de segundo oficial de la secr'tatia de la pensión de iolJ ts. que disfrutaba sobre tas…</t>
  </si>
  <si>
    <t>Erarse</t>
  </si>
  <si>
    <t>…e, y aun y ia del pabl e». D.os -«uarde a V. i. mucho» años. Casa Para— que se había comunicado ya esta resolución al ministerio francés; dril 18 de Maro de 18 :g. — Mi comandante general Erarse «o pero que »todo esto se había desvanecido á consecuencia de la Mían». — Sr. comandante ¿ctseral «jt segunde» de ote séptimo declaración hecha por el embajador ingks &amp;¡r Carlos Bzgol , en que üístrito. declaraba que la neutralidad de la Gran .Bretaña en la g…</t>
  </si>
  <si>
    <t>Erito</t>
  </si>
  <si>
    <t>…en el diccionario detíos' que El ¿r: Cruz Guerreirtrha sido nonibiádo enviado eitradr-i cuentan sbs hazañas, y'svie dice que vuelve á la lealtad, que dinarió í Fctersburgo , y ei Sr. Erito rcÍnté¿Vado comójlíütiisabandona una facción-; qas-renünciaá la causa de los rebeldes. tro cerca de la corte de los Países-Bajos.* ^ ; Tal ¿s;to lógica de toa iacobinos. i ■ Por iin decreto Real de 4 de Jutio^fian sido ccmbfádos Esibastante verosímil ; por ej…</t>
  </si>
  <si>
    <t>Eroies, B-ron de</t>
  </si>
  <si>
    <t>B-ron de Eroies</t>
  </si>
  <si>
    <t>…segura qu: ha tomado va esta dirección; den de S. A. R.xcEl mayor general conde de Guilleminot. pero como se sabrá luego cualquiera de estos movimientos, puede contarse con que el Sr. B-ron de Eroies lo perseguirá has ta acabar con él. La opinión común es que ya no le quedan El hombre que conoce su error y lo abjura manifiesta sabi sino unos 1500 á 1800 hombres, y qneni aun sobre ellos pue-, duría y honradez,: y puede llamarse heroe si hace público su de…</t>
  </si>
  <si>
    <t>Eroíf, Barón de</t>
  </si>
  <si>
    <t>Barón de Eroíf</t>
  </si>
  <si>
    <t>…*.) 9 GACETA EXTRAORDINARIA DE MADRID DEL LUNES a DE JUNIO DE i8a3. ARTICULO DE OFICIO. ACIA SOLEMNE DE LA INSTALACION DE LA REGENCIA. reino, sia perjuicio de que el citado Excmo. Sr. Barón de Eroíf* Jen8* * servir su plaza de Regente á su debido tiempo; y El Sermo. Sr. duque d« Angulema, generalísima del ejér hallándose en la pieza que ocupaban los cuatro Señoree ya nom cito francés residente en España , obrando con arreglo i sus int- brados una mesa, y…</t>
  </si>
  <si>
    <t>Erolea</t>
  </si>
  <si>
    <t>…lsona, donde que dispuesto. mó el convento de los Dominicos, el de los Capuchinos, y. El aniversario del nacimiento del Rey se: ha celebrado en la una casa aislada en el campo: el general Erolea con una mar catedral con un oficio - solemnísimo, al que han asistido todas cha rápida ha conseguido cortarles la retirada sobre Cardona, y. las autoridades civiles y militares.. En seguida ha habido gran los persigue sin darles descanso. No puede dudarse que…</t>
  </si>
  <si>
    <t>Eróles</t>
  </si>
  <si>
    <t>…er un potes viejos de los almacenes de varios regimientos. Los diferen solo instante; no debiendo las autoridades perderlo desde este tes acantonamientos, parte de la división del barón Eróles, for momento : supuesto la distancia á que se halla el Gobierno , no man el estado numérico siguiente. .Bañuls deis Aspres 578. Ba— da lugar á consultarlo sin manifiesto peligro de la patria. ges jro. Brosille 458. Ortafá 403. Tresserra 576. Augusteza Zaragoz…</t>
  </si>
  <si>
    <t>Eróles, Barón de</t>
  </si>
  <si>
    <t>Barón de Eróles</t>
  </si>
  <si>
    <t>…a: la ambición los presentó el go la dirección de Calaf,.del mismo modo que lo habia hecho año de 20 á la faz de la Europa como irnos hombres bárbaros y Milans en otra ocasión. El Sr. Barón de Eróles y los Sres. gene rebeldes, que habian roto las trabas de la sociedad para la des rales Tromelin y Thachard han seguido el movimiento del ene moralización y el desorden, en cuya época solo podían levantar ' migo con la mayor rapidez". XJn poco después el lenie…</t>
  </si>
  <si>
    <t>Errazquin, Joaquin María de</t>
  </si>
  <si>
    <t>Joaquin María de Errazquin</t>
  </si>
  <si>
    <t>…debe acudir í Cobrar el medio Burgos á D. Diego Escandon: la de Madrid á D. Josef de Echa- año de la renta que le pertenece en los pueblos de Aldea dei varría : la de la Mancha :í D. Joaquin María de Errazquin: la de Fresno, Carabanchel .-Uto y Pinto, de la provincia de Madrid, Palencia á D. Josef Magro y Ruiz: la de Jas Nuevas Poblacio y en los de Torrijos y Almorox, en la de Toledo. nes de Sierra Morena y Andalucía a D. Pedro Polo de Alcocer; La Dirección lia oid…</t>
  </si>
  <si>
    <t>Erro</t>
  </si>
  <si>
    <t>…conducta de ios Gabi El consejo que debe reemplazarla se compone de los picaros Eróles, netes de Europa. El sr. ds Rocheplatte receptor general de aquel de Crcus, obispo de Urgel, intendente Erro y consejero Calderón. Es partamento dió una comida á la suprimida regencia. Misas llegó í la te consejo se ocupará en arreglar todos los ramos de la administración una de la tarde. Se esperaba que se presentaría en aquella comida; pero civil y dará diariament…</t>
  </si>
  <si>
    <t>10 Creus, obispo de Uigel, intendente Erro y consejero Calderón. metropolitana de esta ciudad, ccn el piadoso fin de dar gracias al Este consejo se ocupará en arreglar todos los ramos de la admi Altísimo por su feliz tránsito de Madrid á Sevilla, se cubrió la nistración civil, y dará diariamente aL du…</t>
  </si>
  <si>
    <t>…a bandos en.Vizcaya.; perojeste último.no ha admitido. Existe una según ellos si son o no de la ciase expresada, con las apelac-ones á curiosa carta , dirigida á Madrid al F.xsma. Sr. Erro, individuo las audiencias territoriales, conforme a la Constitución v a las le de la llamada junta de España é Indias, por un tal Viniegra, ad yes. En este juicio , que debe ser breve v meramente instruct’vo, ministrador ó director de efectos estancados en Za…</t>
  </si>
  <si>
    <t>Erro, Juan Bautista</t>
  </si>
  <si>
    <t>Juan Bautista Erro</t>
  </si>
  <si>
    <t>…sión de Milicias nacionales se mandó) pasar el in ocupados , según la orden original del llamado ministro de Ha forme del Gobierno sobre la exposición de 200 individuos del cienda D. Juan Bautista Erro , pedia á las Cortes decretasen : Ginnío batallón de M. I_. "V*. de ciudad cju^jántloso i.° En todo el territorio español ocupado actualmente , ó del ayuntamiento de la misma. que en lo sucesivo lo fuere por los enemigos , se declaran desde A la conrsion de D…</t>
  </si>
  <si>
    <t>…ofrece desde luego á los Reales pies de V. M. su viembre de 2823.=:Francisco María Campuzano.” fidelidad y respetuosa obediencia por medio de sus hijos el Mar ques de Valmediano, D. Juan Bautista Erro y D. Fausto Igna Felicitación que hizo de palabra á S. M. el dia 25 de No cio de Corral, que pondrán en manos de V. R. M. esta mi ex viembre de 1823 D. Andrés Sánchez de Ocaña, Ministro dd posición, y ruego á V. M. se digne darle su benévola acogida, y Real y Supremo Consejo…</t>
  </si>
  <si>
    <t>Erro, Juan Bautista de</t>
  </si>
  <si>
    <t>Juan Bautista de Erro</t>
  </si>
  <si>
    <t>…sos que tan perentoriamente txigen las críticas cir de Mayo cíe 1823.=A D. Francisco Tadeo de Calomarde.” cunstancias del día; no dudando que los conocimientos que po see en aquel D. Juan Bautista de Erro son los ^prescindibles » Teniendo en consideración la Regencia del reino los mé para que puedan verse cumplidas en un todo las justas inten ritos y servicios de D. Josef García de la Torre , fiscal del Con ciones de S. A-, ha tenido i bien nombrarle para la s…</t>
  </si>
  <si>
    <t>…eguida se cantó un Te Deum en ia iglesia princi neral barón de Eróles, y de los Srcs. D. Antonio Gómez de pa! , y al siguiente dia 16 á las siete de la mañana partió el Calderón y D. Juan Bautista de Erro, aunque solo se encontra Gobierno para Vitoria entre las mismas aclamaciones que la ban presentes el primero y los dos últimos da los mencionados, víspera , encontrando en los pueb.os del trans.to las marcas mas por hallarse el segundo al frente del egército…</t>
  </si>
  <si>
    <t>…fecto de generosidad sin igual ss entendido , y lo comunicareis i quien corresponda» En Palacio ha dignado abandonar la comodidad de su Real palacio, y se á 29 de Mayo de 1823.= A D. Juan Bautista de Erro.” pararse del seno de su Augusta Familia , sujetándose á las indis De orden de S. A. S. lo comunico á V. para su inteligen pensables penalidades de la guerra, y colocándose á la cabeza cia y efectos correspondientes. Palacio 29 de Mayo de 1823. de un brillant…</t>
  </si>
  <si>
    <t>…estender su contagio á los de entendido, y lo comunicareis á quienes corresponda. En palacio más Estados, cuya prueba nos presentan las ocurrencias revolu á 2 de Junio de 1823.= A D. Juan Bautista de Erro. cionarias de N.ipoles, el Piamontey Portugal , les demás se han visto justamente autorizados para precaverse de las calamicíade* La Regencia déi reino durante la cautividad de S, M. (Dios que les amenazaban si los perjuros hubieran consumado sus mi le guarde…</t>
  </si>
  <si>
    <t>…secretaría de Es puerto es Arca.) tado y del Despacho universal de Hacienda , que podría resultar *» Valparaíso 3 de Marzo. La Amazona y la Pomona, bu durante la indisposición de D. Juan Bautista de Erro, ba veni ques de guerra franceses, están actualmente aquí. Los mercados do la Regencia del Reino en habilitaros para que despachéis, se llenan de gén.ros que tienen una continua salida. durante eda, los asuntos correspondientes á la expresada secre » Se ha he…</t>
  </si>
  <si>
    <t>Núm. 120. ( 6 cuartos. ) 447 GACETA DE MADRID. JUEVES 4 DE DICIEMBRE DE 1823. Í-Ow ARTICULO DE OFICIO. D. Antonio Gómez Calderón, á D. Juan Bautista de Erro, á D. Josef García de la Torre, á D. Juan Antonio Rojas, Ca El Rey nuestro Se?7or se ha servido expedir los Reales decretos nónigo de la iglesia metropolitana de la capital de Caracas. Los siguientes: Secretarios del Despacho serán individuos del Consejo de E…</t>
  </si>
  <si>
    <t>…os habitantes no omiten diligencia para sa Voz genuipa de la España Realista: canción compuesta y cudir el ominoso yugo de hierro que les ha impuesto la fuerza, dedicada ai Eycmo. Sr. D. Juan Bautista de Erro, Secretario de como lo han manifestado repetidas veces los partidos de Gua- Estado y del Despacho de Hacienda por D. Josef Lozano y Ana mico y Conchucos, solicitando con eficacia el auxilio del ejér ya; puesta en música, con acompañamiento de piano, por D. An…</t>
  </si>
  <si>
    <t>Erro, Juan de</t>
  </si>
  <si>
    <t>Juan de Erro</t>
  </si>
  <si>
    <t>…nueva.=El segundo'Cbmandante del mismo, Rafael de Grima— Sanjuan del dt Guerra; D. Luis María balazar, del de Marina; rest.zhEl Capitán mas antiguo del-mismo, Valentín Rojo.crEl y D. Juan de Erro, del de Hacienda; forméis un Consejo, que primer Capitán’, Juan Albeida.rrEl primer Comandante del ba se denominará Consejo de Ministros.'Tin ¿1 se tratarán todos los tallón de RiojaHilario Alonso Cuevillas.riPor el segundo ba asuntos de utilidad general-, ca…</t>
  </si>
  <si>
    <t>Erroz, Josct</t>
  </si>
  <si>
    <t>Josct Erroz</t>
  </si>
  <si>
    <t>…eral;residente eu Taris , fecha delanj^ideiia Coiuña-el \j Don Domingo Basso, D. Isidro Astorga, D. Dionisio de Julio último, por llevar consigo, comgidicftdjcho periódico, Carro, D. Josct Erroz, D. Jorge Crespo, ÍD. Anroniq OrdqT el carácter de la verdad y. de 1.a banquera militar; y por ser tan ñez, D. Francisco Osarrio y D. Agustin Escudero, procedentes larga .arntjinos no poder imertaria toda por dhoiyra-peio no podeds la causa de Burgos. .... mo…</t>
  </si>
  <si>
    <t>Erroz, José Manuel</t>
  </si>
  <si>
    <t>José Manuel Erroz</t>
  </si>
  <si>
    <t>…n mirarla como segura.” con ellos. Arteaga se ha propuesto negarlo todo; pero resulta contra él: La llegada de .este correo en 10 diasno es inverosímil. El conteni i.° Que llevó á D. José Manuel Erroz á la oasa de Baso, y qua do de este párrafo puede dar motivo á varios comentarios. con su conocimiento y aprobación salió aquel para Burgos. 2.0 Que fue á verse con el general Echavarri, que estaba en Dai- ARTICULO DE OFICIO. miel; y después de referirle el p…</t>
  </si>
  <si>
    <t>Erroz, Josef Manuei</t>
  </si>
  <si>
    <t>Josef Manuei Erroz</t>
  </si>
  <si>
    <t>…vn. á pagar en créditos contra el Estado , según los Continúa el informe de la causa contra D. Domingo Baso. decretos de las Cortes, y ha señalado para cada una de las mejoras da D. Josef Manuei Erroz, condenado á muerte por el |uez de pri cuarto, diezmo y medio diezmo el término de diez días, contados mera instancia, y por la audiencia solo á :o años de presidio con re desde el en que se haga anuncio en este periódico. Quien quisiere ha tención , íue uno…</t>
  </si>
  <si>
    <t>Erroz, Josef Manuel</t>
  </si>
  <si>
    <t>Josef Manuel Erroz</t>
  </si>
  <si>
    <t>…idad cada uno de 33,400 sicos ambos de ia Real capilla; D. Fernando Cañizares, presbítero ira.eos ea los cuatro años, ó 8,350 anuales, expresando que el primer manchego (prófugo); D. Josef Manuel Erroz, capellán de altar y rímale se verificará el 1 5 de Abril próximo venidero , y ei último en canónigo da Búrgos; Jorge Crespo; Agustín Escudero; D. Isidro As30 del mismo, en cuyos 15 dias se admitirán á la llana cuantas me torga, capitán retirado; D. Pedro Mar…</t>
  </si>
  <si>
    <t>…tercer has raneo, desde donde al presentarse los caballos ai descu coche. bierto its ficción un luego tal , que temí el quedarme sin ninguno; 11. F.n esta última villa encontró á D. Josef Manuel Erroz y Don pero felizmente no tuve mas pérdida que la de quedar herido el cabo Francisco Barrio; y habiéndoles dicho que el general Echavarri esl.ba de m s ordenanzas del regimiento del Infante Juan Lasala y 3 caballos en Brlviesca, trataron juntos de alcanzarle, y no h…</t>
  </si>
  <si>
    <t>44o Hacienda. tropa á que un'rse. D. Josef Manuel Erroz, emisario d« Baso, incitó Decreto de las Cortas reconociendo como díudadel Filado y i car- a D. h.ir,cisco Barrio para que levantara la part'da, asegurándole que jo del Ci edito público las cantidades liquidadas'd.L capital é int-re» s el general Eclravarri t…</t>
  </si>
  <si>
    <t>…o* sentados entiendo que D. Domingo tando por espacio de alguno; minutos. Sin embargo, yo no sentí dolor en las orejas; pero mi compañero se ha leba lan incomodado, que nos Baso , D. Josef Manuel Erroz, D Angel Arteaga y D. Antonio Or vimos precisados á suspender el descenso por algunos instantes. Para dofiez han debido sufrir la pena de traidores que s.iiaia la ley 2.J, tít. a.°, remediar este accidente nos aconsejaron los trabajadores que tragásemos parti…</t>
  </si>
  <si>
    <t>Erskine</t>
  </si>
  <si>
    <t>…taron de todos los lados. « Yo tengo mus dinero que el próximo correo de Constantinopla. valéis todos vosotros juntos, contestó enfadado el archi-raALEMANIA. dicat.” La llegada de lord Erskine restableció un poco la calma. Nuremberg 18 de Junio. &gt; Su señoría ocupó la poltrona y declaró que si los constitucio Nuestra gaceta inserta la siguiente noticia acerca de las uni nales no estaban faltos de valor les fá'iabi todo lo demas , y versidades de Ale…</t>
  </si>
  <si>
    <t>…o mismo deja de estar conforme mayor desiurollo. (En seguida h:zo el orador ur. corto pero ca con los sentimientos que deben animar á todo buen ingles, y ca racterístico elogio de lord Erskine, y pios.guio); «Por trascen da ciudadano individualmente es el mejor juez de como y hasta dental que sea el objeto que hoy nos reúne , desgraciadamente no es que punto puede emplear en favor de la España sus medios par la primera vezqUe se veritiea una asambl…</t>
  </si>
  <si>
    <t>Erskiue</t>
  </si>
  <si>
    <t>…ndado pliegos de suma había sublevado en aquel pueblo, contra el sistema importancia á Inglaterra por medio de su ayudante constiíueional, acaudillada por un regidor. .Estos lacei capitán Erskiue, quien se embarcó ayer en el pa cio&lt;os trataron de oponerse á la entrada de Ordoñ z, quete ingle-'. Este hombre generoso no descansa un pero con 80 hombres de la columna que le acom momento eu proporcionar auxilios á los españoles; pañaba logré» dispersarlos…</t>
  </si>
  <si>
    <t>Es, Gefe del</t>
  </si>
  <si>
    <t>Gefe del Es</t>
  </si>
  <si>
    <t>…la próxima restaura de r823.=Ppr orden de S.A.R- el Mayor generaLsrFirniado.— ción al trono de lasf Espanhs de su Rey y Señor, por cuya li Conde Guilleminot. Es copio=£l Teniente general Gefe del Es bertad han abandonado su seno patrio, y miran con desprecio tado mayor general del primer cuerpo, Conde Grundler. la desolación que por momentos ven inevitable por aquellas bandas que dominan á Peñíscola. Olvidados de su devastación, Capitulación de la plaza…</t>
  </si>
  <si>
    <t>Es, Presidente y Junta de Regencia de</t>
  </si>
  <si>
    <t>Presidente y Junta de Regencia de Es</t>
  </si>
  <si>
    <t>…do. = Josef Valerio Giraldo. zs Real sus comisionados=Tomas Jiménez Coronado.=Josef An Joaquín Galan.m Antonio Vallejo. = Julián Ponce dé León, tonio Arenas.” secretario. = Sermo. Sr. Presidente y Junta de Regencia de Es paña é Indias.” «* Sermo. Sr,: Esta provincia de Guipúzcoa , representada » Sermo. Sr.: El ayuntamiento por S. M. de la ciudad do por el Excmo. Sr. duque de Granada y por los demas diputados, Albarracin , en el reino de Aragón, poseído de los sentimien y las…</t>
  </si>
  <si>
    <t>Es, Secretario de</t>
  </si>
  <si>
    <t>Secretario de Es</t>
  </si>
  <si>
    <t>5 * * ^ ^ P r • GACETA EXTRAORDINARIA DE MADRID mu, ymumwt j db ocrv*ás de 18*3. *.' •! ■■ ARTICULO DE OFICIO. M VIVA El REY. CDn fecha -de i .» del comente escribe el Excmo. Sr. Secretario de Es tado desde el Puerto de Sta. María á las doce menos cuarto del áh al Ex cedentísimo Sr. Secretario del Descacho de la Marina lo siguiente: En este momento acabamos de tener el inexplicable consuele de que el Rey con toda su Real Familia ha desembarcado en est…</t>
  </si>
  <si>
    <t>Es-</t>
  </si>
  <si>
    <t>…o inten á V. E. de Reai orden púa su inteligencia y cumplimiento.?: dente de Vailadolid, y en »u consecuencia mandar : Que lea, su Dos bcc.~Alcazar de Sevilla 3 de Jumo de ití:3.=¿Sr. D. Es- ministro» hechos desde 1.° de Juiio de JO:: hasta el día en que tamslao Sánchez Salvador. »e recibió en ios pueblos la Real ord.ai de* :y de Junio anterior, ti c al í ¡{ .1 ijobern uim Je 11 Ptnins-da. lo que habrá de just.ticarse con eertificac.úJi dei secre…</t>
  </si>
  <si>
    <t>Escalera, Antonio Cevallos</t>
  </si>
  <si>
    <t>Antonio Cevallos Escalera</t>
  </si>
  <si>
    <t>…do echar mano de unos fondos que en su calde mayor interino; D. Matías deOchoa , Santiago Hernando, mayor parte estar* destinados á cubrir las de la tesorería general, ordinarios; D. Antonio Cevallos Escalera, D. Ramón Navas y pedia se diese orden i los intendentes para que por ningún pre Damian de la Poza, regidores; Josef del Amo y Francisco No texto dispongan de los caudales de cruzada como exceptuados y dal, procuradores; Manuel Mailen, Félix García, diputados…</t>
  </si>
  <si>
    <t>Escalera, María Jesusa</t>
  </si>
  <si>
    <t>María Jesusa Escalera</t>
  </si>
  <si>
    <t>…iotas que murieron en defensa n Si por curioso solo aquí has venido , de la justa causa de la Nación, cupo en suerte del primer ex-, huye, huye profano. tracto de la de este dia k Doña María Jesusa Escalera. Si ti miedo se apodera de tu alma i no pases adelante. Si solo te guiase el disimulo , Sigue otra muestra de las aventuras de los hermanos sacad# tiembla , que serás descubierto. ds la gaceta de Lisboa, núm. 172 , que dice asi: Si.humanas distinciones te agr…</t>
  </si>
  <si>
    <t>Escalera, Rafael de Ccvallos</t>
  </si>
  <si>
    <t>Rafael de Ccvallos Escalera</t>
  </si>
  <si>
    <t>…Sr. Secretario de Estado y del Despacho de la comisión, tenia la satisfacción de convenir con ella en los de la Gobernación de la Península. dos artículos que se habían propuesto. Don Rafael de Ccvallos Escalera, coronel graduado de infan En seguida quedó aprobado el art. i.° tería , caballero de primera clase de la orden nacional y militar de Se abrió la discusión del art. z.° propuesto por el Sr. Secre S. Fernando, declarado benemérito de la Patria en grado heroico…</t>
  </si>
  <si>
    <t>Escalera, Rafael de Ceballos</t>
  </si>
  <si>
    <t>Rafael de Ceballos Escalera</t>
  </si>
  <si>
    <t>…se había ceñido á la que ha dirigido á los pueblos de esta provincia el coronel coman proposición del Sr. Canga, y que esta disposición era sin perjui dante de la columna volante D. Rafael de Ceballos Escalera de cio de las demas á que hubiese lugar. resultas de haberse procedido militarmente á la quema del pueblo El Sr. secretario de Gracia y Justicia añadió que este era un de las Avellanas; y aunque no se me ha dado aun aviso oficial de castigo que se daba gubern…</t>
  </si>
  <si>
    <t>Escalera, Rafael de Seballos</t>
  </si>
  <si>
    <t>Rafael de Seballos Escalera</t>
  </si>
  <si>
    <t>…de 1823. = Ignacio Otzct. =c Ai Sr. geEn esta forma se nos hizo noche , y durante ella adelantaran fe político de Barcelona. mis tropas sus fuegos á porlia, habiendo conseguido el coronel Don Rafael de Seballos Escalera, coronel graduado de infan D. Manuel Sargeant ponerse con la compañía de cazadores de tería, primer comandarte del regimiento cuarto ligero de Tarra Guardias de su mando en estado de poder tomar el puente al ama gona, caballero de primera clase de la orden na…</t>
  </si>
  <si>
    <t>Escandon, Diego</t>
  </si>
  <si>
    <t>Diego Escandon</t>
  </si>
  <si>
    <t>428</t>
  </si>
  <si>
    <t>…á la vela en la Guaira el 14 de En el día 18 del corriente felicitaron á S. M. los comisio Agosto para reunirse á la Esperanza en la Margarita. nados por su Ayuntamiento de Búrgos D. Diego Escandon, In El buque Carlos, de 18 cañones, llegó el 18 de Agosto á la tendente Corregidor; D. León Josef Madrazo y D. Santiago de Guaira, procedente dé Inglaterra con un cargamento por cuen la Cantera, Regidores de él; y el primero dijo: ta del gobierno de Colombia.…</t>
  </si>
  <si>
    <t>…e hallaban situados sus derechos; solicitando en soro: la de la provincia de Avila á D. Felipe Morales: la de consecuencia se declare adonde debe acudir í Cobrar el medio Burgos á D. Diego Escandon: la de Madrid á D. Josef de Echa- año de la renta que le pertenece en los pueblos de Aldea dei varría : la de la Mancha :í D. Joaquin María de Errazquin: la de Fresno, Carabanchel .-Uto y Pinto, de la provincia de Madrid, Palencia á D. Josef Magro y Ruiz: la…</t>
  </si>
  <si>
    <t>Escandon, Salvador</t>
  </si>
  <si>
    <t>Salvador Escandon</t>
  </si>
  <si>
    <t>…gustin Escudero, procedentes larga .arntjinos no poder imertaria toda por dhoiyra-peio no podeds la causa de Burgos. .... mo^dejar.de publicar el párrafo siguiente: general, dici, Don Salvador Escandon, brigadier, de Astürij?; D.' Fían- „d.dja._i4 nuestra vanguardia, alcanzó al pneiíVtgP en Beteinzos, cisco Pereira , teniente coronel, y Josef Garaban, capurp-.j ^ .patria.dc- Quiroga. jantas he .visto opinión pública mas lardien^ Andrés Navia, Roque Rodrígue…</t>
  </si>
  <si>
    <t>Escarano, Josef</t>
  </si>
  <si>
    <t>Josef Escarano</t>
  </si>
  <si>
    <t>…ia nacional activa y del segundo reemplazo D. Isidoro Franees Cabañas. D. Josef Segundo Moodejar. extraordinario del egército, ha tomado todas las disposiciones conve D. Juan Paz. D. Josef Escarano. nientes para que uno y otro servicio se verifique con ia brevedad que D. Manuel Ledesma. D. Tonbio Roldan. exige su importancia; y sin embargo de las dificultades que se han D. Benito Medrano. D. Francisco Rodríguez de Gue ofrecido con motivo de la coinciden…</t>
  </si>
  <si>
    <t>…vierto que vuestros ojos están todavía viese, y en todas las costas procesales. empañados de lágrimas por la pérdida de las personas que mas Sres. que lo calificaron de sedicioso; D. Josef Escarano, Don amabais, quisiera separar de vuestra horrorizada vista semejante Josef Asuero, D. Juan Bautista Javat, D. Pelayo Zorrilla , Don cuadro de desolación; pero al ver i la puerta de vuestros hoga Josef Radon , D. Joaquín Ceballos, D. Francisco Palacios ,Don r…</t>
  </si>
  <si>
    <t>Escartini, Josef Linarn y</t>
  </si>
  <si>
    <t>Josef Linarn y Escartini</t>
  </si>
  <si>
    <t>…adía:’es necesario ademas excitar á los pusilánimes, A la comisión de Legislación se mando pasar una exposi advertir á tos incautos, y dar á la posteridad un noble ejemplo ción de D. Josef Linarn y Escartini sobre d.spensa de pruebas "de fi imeza , que solamente puede salvar la patria en las grandes ■para condecorarse con la cruz de Carlos m concedida por $. M. ‘tr'fefs. t ' ■ ’ . Lj comisión de Visita del Crédito público , en vista de la ~ ; «Las Cortés’ éXtraór…</t>
  </si>
  <si>
    <t>Escobar, Josef</t>
  </si>
  <si>
    <t>Josef Escobar</t>
  </si>
  <si>
    <t>…e los csales se cuentan dos millones de cristianos de la Monarquía: con el mismo objeto el alcalde de Paucarbamba diferentes sectas. Toleradas por los turcos, pero tratadas al mis D. Josef Escobar ha obsequiado treinta y nueve , y un ciudadano mo tiempo con una altivez desdeñosa, estas sectas se hacen á un de Jauja ha oblado doscientos quintales del mismo metal: otra mismo tiempo ridiculas y despreciables por el odio que se tienen persona , cuyo nombre…</t>
  </si>
  <si>
    <t>Escobedo</t>
  </si>
  <si>
    <t>…obtuvo Voto particular del Sr. Castejon. 17 \ otos el Sr. Qaliano, 37 el Sr. Zulueta, 7 el Sr. Afonzo,_ 7 Con mucho sentimiento mió no puedo conformarme con el el Sr. Alonso, 4 el Sr. Escobedo, 2 el Sr. Munarriz, otros 1 dictamen de la comisión en la suspensión que propone del articu el Sr. Somoza, y uno cada uno de los Sres. lsturiz , Cuadra, To lo 306 déla Constitución, porque no creo que su tenor está más , Sotos , Meca , Oliver, Pumarejo , Casi…</t>
  </si>
  <si>
    <t>Escobído</t>
  </si>
  <si>
    <t>…ro las Cortes tuvieron á bien declararle su nión que debe declararse haber lugar á votar sobre el proyecto. ficientemente discutido, y no pude manifestar mí opinión ; sin embar El Sr. Escobído: En eita discusión se ha caminado bajo el supues go diré ahora que no encuentro por oportuno el que se someta la orga to falso de qu- se van i crear muchas compañías de cazadores, lo que nización de esta fuerza al arbitrio de las diputaciones provinciales, y…</t>
  </si>
  <si>
    <t>Escocido</t>
  </si>
  <si>
    <t>…ontuiiiacian lo, reparos provisionales construidos con la mayor pre Dei Comandante militat , ’iirzz de primera instancia y otros ciuda cipitación, danos residentes en Tuy. por el Sr. Escocido. l a casa H: moneda y otras muchas principales de esta ciudad fae- Do tí milie;a Mcidnat voluntaria de ainbai armas de Castnáta, y</t>
  </si>
  <si>
    <t>Escolástica, María</t>
  </si>
  <si>
    <t>María Escolástica</t>
  </si>
  <si>
    <t>…s á qué está reducido el número cacareado de des de la ciudad de Badajoz, como madre, tutora y curadora ad ton* terrados ; debiendo añadir que una gran parte de estos no tienen de Doña María Escolástica de la Plaza sobre pago de marave familia ni casa ni hogar, y algunos, ni aun modo de. vivir cono dises; con apercibimiento que pasado dicho término sin hacerlo, cido. Véase también qué consonancia guardan todos los perio le parará el perjuicio qua haya lugar.…</t>
  </si>
  <si>
    <t>Escovedo</t>
  </si>
  <si>
    <t>…onla. H pueb!o esperaba con la mayor impaciencia la llegada de corte sobre lo mismo que las anteriores. este trofro. Corría también la voz de hall rse despachado otro capidcbi- El Sr. Escovedo leyó otra de los alcaldes y ayuntamiento constitu bachi a Larisa á buscar la cabeza de Chourschid-bajá. cional de Toledo 3cerca del mismo obj-to. NOTICIAS D B ESPAÑA. El Sr. Canga leyó otra d± los individuos que componen la conta duría general de distribución…</t>
  </si>
  <si>
    <t>…Castejon leyó otra de los empleados en ta contaduría general comisión sino el del consejo de Estado. de Valores. El Sr. González Alonso dijo que el asunto de que se trataba no El Sr. Escovedo leyó otra del regimiento de caballería de Far- podía presentarse en las Cortes sino con el objeto de exigir responsa bísío. bilidad á los que la hubiesen merecido; pero no resultando del expe El Sr. Nuñez (D. Toribio) leyó otra de 1 alcalde constitucional die…</t>
  </si>
  <si>
    <t>…llen en iguale* Del ayuntamiento, milicia nacional, y varios ciudadanos de Puen circunstancias, y que no tengan hijos con proporciones para man te del Arzobispo, presentada por el Sr. Escovedo. tenerlos.” Aprobado. De la milicia nacional voluntaria de Yecla, por el Sr. Sotos. La comisión retiró el artículo 76 para presentarlo de nuevo. De ia audiencia territorial, junta diocesana, ge fes y demás indivi Se aprobaron los artículos siguientes: duos d*…</t>
  </si>
  <si>
    <t>…s gefes y oficiales residentes en Cartagena. tobillos. De la maestranza de marina del departamento de Cartagena. Ya comprenderá vmd. que todos están en el hospital de Veracruz. El Sr. Escovedo leyó otra felicitación del ayuntamiento, clero y Los prisioneros son Zaidin, y como llevo dicho 24 hombres; habiendo milicia de Campanario. pagado mi compañía la mayor parte. Según noticias de tierra los ene Continuó la discusión sobre el proyecto del arreglo…</t>
  </si>
  <si>
    <t>…quienes tomarán al efecto las á la de Vista del Crédito público , y á ia de Diputaciones pro providencias mas activits.zzEl general gefe del E. M.zzZorraquin. vinciales; otra del Sr. Escovedo sobre el modo de formar juntas na i# i' ‘í - Y'-'. provisionales en las provincias que sean ocupadas en todo ó parte Nuestro periódico publica la siguiente alocución. por los enemigos. »Habitantes de la provincia de Alicante. La desgracia ha Las Cortes aproba…</t>
  </si>
  <si>
    <t>…se ai Gobierno. Aprobado. hallado en iguales circunstancias que las de Granada, Tokio y X nombro al Sr. Rojo para la comisión- segunda de Ha Sev.ila. Aprobado. cienda en ¡Lien dei Sr. Escovedo. Varios vecinos de Avamonte acudieron al gefe pe'ótico de l.i comisión de- Casos de responsabilidad, en vista de la Sevilla por medio de apoderado para que anulase las elecciones posic.on de la diputación provincial de .Murcia pidiendo se exiji de ayuntamient…</t>
  </si>
  <si>
    <t>…mas que no pedal conseguirse el ob cierto impuesto. jeto deseado. A la misma comisión se mando pasar una proposición del El Sr. Marau hizo presente que bien se conocía que un lujo Sr. Escovedo , para que la mjsma presente su dictamen , acerca de £tmiiia donde podía tener decebo a vecindad , cía en el puc-</t>
  </si>
  <si>
    <t>…viesen la temeridad de. tuida al Congreso quedaron las Cortes enteradas de Ja manifesta pretender se verificase lo que conocidamente no seria útil. ción hecha por su presidente el Sr. Escovedo, acerca de haber Es bien conocido el patriotismo de los individuos que la com cumplido su comisión , y recibídola S.M. con muestras de aprecio. ponen, y cuando por imposible se notasen perjuicios, ¡quién ha En seguida se puso á-discusion el dictamen sobre fac…</t>
  </si>
  <si>
    <t>Escovedo, Ramón Luis de</t>
  </si>
  <si>
    <t>Ramón Luis de Escovedo</t>
  </si>
  <si>
    <t>…, decreto.” y los soldados á quien corresponda en cada compañía llevarán sus A solicitud del Gobierno se concedió permiso al Sr. diputa ollas bien colocadas sobre las mochilas. do D. Ramón Luis de Escovedo para,que evacúe un informe Art. 10. Estos batallones se acantonarán en los puntos adon que se le pide en un expediente que pende de la secretaría de de les destine el Sr. comandante general de la primera división. Hacienda. Art. xi. Antes de marchar estos bat…</t>
  </si>
  <si>
    <t>Escriba</t>
  </si>
  <si>
    <t>…orno no Jo está coger las liebres á cabera. cazadores. Proveído en casación', relación al tribunal supremo, defensa del Dos batallones del 6o.0 de línea, que acababan de llegar al señor Escriba á favor drl arrendador de la pesca, conclusión dél campo de batalla, los formó el general Tromelin en columna» sr ñor abogado general Fritó de Fenny ; en fin, sentencia: dél cerradas, é hizo atacar por sus dos flancos la posición ocupada tribunal supremo quéá…</t>
  </si>
  <si>
    <t>Escriben, Cor</t>
  </si>
  <si>
    <t>Cor Escriben</t>
  </si>
  <si>
    <t>…es y balcones del tránsito no han ce Ministro de S. A. R. el Duqueí—Y*de Weimar. sadoregidorlosdirigióvivas yconsinceraseste motivodemostracionesla proclamade alearía.siguiente:El Sr. Cor Escriben que la salud de S. M. ei Rey de las Dos Sicilias da Voluntarios: Acabáis de jurar las banderas que os he entre algunos temores. gado. El juramento que habiis hecho contiene vuestros deberes, y la bandera os los pone á la vista de continuo para que jamas NOTIC…</t>
  </si>
  <si>
    <t>Escrichs, Ramón</t>
  </si>
  <si>
    <t>Ramón Escrichs</t>
  </si>
  <si>
    <t>…y hagan guardar, cumplir y ejecutar el presente decreto en co D Nicolás Heredero y Mayoral. D. Antonio Lariz. das sus pattes.=Tendreislo entendido para su cumplimiento , y dispon D. Ramón Escrichs. D. Rodrigo Aracda. dréis se imprima, publique y circule.=Rubricado de Ja Real mano.es D. Josef Leglisi y Pinedo. D, Miguel de Nájera. En palacio á 19 de Marzo de 18 23.=A D. Mariano Egca.” D. Marceliano Torio. El conde de Oñate. D. Vicente Segurado. D. Anton…</t>
  </si>
  <si>
    <t>Escudero</t>
  </si>
  <si>
    <t>…de ............. .. presentada por el tería de 800 plazas, cada batallón de cazadores ycads regimiento de ca ballería de 400 , y cada regimiento de artillería de 600 , tendríamos Sr. Escudero. , , El Sr. López del Bafio leyó otra de D. Josef Tejeira , teniente del una fuerza suficiente para asegurar la tranquilidad interior del remo y regimiento caballería déla Reina , segunda de coraceios, en la cual par» oponerse á los invasores de la Península,…</t>
  </si>
  <si>
    <t>…fiesto, ni que se haya escrito dar sobre la mesa el voto particular que sobre est- dicnmin presentaba el una sola linea del susodicho d.scurso, y aun afirma que es falso que se ha Sr. Escudero. ya dado á nadie, ni por consiguiente a Mr. Ouvraru, ia comis.on de pro be continuó la discusión del dictamen de la comisión especial encanta veer de víveres al egército de los Pirineos. : Apostemos á que dentro de 15 da de cxam.nar la segunda parte de la pro…</t>
  </si>
  <si>
    <t>…encias a gritos descompasados que se impida al orador que hable.) oportunas á la defensa de su provincia. Los Sres. Hide de Neuville y Fórbin des Issaits suben á la tribuna., y El Sr. Escudero dijo que las provincias fronterizas eran por su situa piden la palabra. ción las inas recargadas por este proyecto, al paso que habíans ido las que Sr. Hide : Pido que se vengue á la Francia: ■mas hablan sufrido por los facciosos. Presidente: No puedo concede…</t>
  </si>
  <si>
    <t>…monopolios á costa del pobre votar sobre la totalidad del dictamen. labrador. Alt. i.° (Véase la gaceta del 6.) Pero , señor , se dice a! fin el labrador encuentra un socorro; El Sr. Escudero: Reconozco como perjudiciales Jos pósitos mas ; cómo le encuentra! Viciado y con unas creces terribles, que en grande de que se proveen los panaderos; pero no asi con res se van aumentando cuanto mas tiempo va pasando sin satisfacer pecto de los pósitos peque…</t>
  </si>
  <si>
    <t>…ue extranjero, pagando el aumento de un cienda sobre los presupuestos de vanos ministerios, y levantó 4 por too por la bandera. la sesión. Se mandó insertar en el acta un voto cid Sr. Escudero, con Aotíi. En la sesión de! 5 de Junio concedieron las Cortes al trario al establecimiento di tribunales especiales. superintendente de la casa de moneda de Sta. Fe D. Jcsef EnriA la cormston de Gobierno interior se mandó pasar una so— quez de Guzman la d:sp…</t>
  </si>
  <si>
    <t>Escudero, Angel Arteaga y Agustín</t>
  </si>
  <si>
    <t>Angel Arteaga y Agustín Escudero</t>
  </si>
  <si>
    <t>…, y que el Rey y su fa manos, y creyeran que la mas acendrada lealtad servia de norte á sus milia habían salido ó iban á salir de la corte para fijarla en Búrgos. op-racicius. 8.° D. Angel Arteaga y Agustín Escudero se encargaron por su De un modo tan maligno se procuró intimidar al Rey, sembraren orden de avistarse en DLcaiel con el general D. Pedro Agustín Echa su Reai ánimo irmorcs y rezeíos, y hacerle desconfiar de lar personas ran! , y proponerle que entrase en el p…</t>
  </si>
  <si>
    <t>Espa, Carlos</t>
  </si>
  <si>
    <t>Carlos Espa</t>
  </si>
  <si>
    <t>…Azores conti- ramó sangre por ambas partes; pero instando Jos franceses por nuaba'”remando la mayor tranquilidad y adhesipnal sistema cons echar de su territorio esta canalla, su general D. Carlos Espa titucional. La ciudad de Bahia continuaba muy estrechamente si ña les propuso salir con honor tomando por pretesto el atacar la tiada y con grande escasez de víveres. columna del coronel Salcedo que se hallaba por aquella parte cu briendo el frente de Pamplon…</t>
  </si>
  <si>
    <t>Espalomente, Juan Francisco</t>
  </si>
  <si>
    <t>Juan Francisco Espalomente</t>
  </si>
  <si>
    <t>…ale varri , D. Antonib Martínez de Fosada, D. Luis Ctosa , D Juan Bau cen en general las mejores disposiciones para concurrir eficacísima- tista Vea Murguia , D. Jocquin Alvar-z , D. Juan Francisco Espalomente i conservar la dignidad y el honor ae la Nación, el trono cone • sin , D. Miguel García Oilit , D. Francisco Hidalgo y D. Antonio d* titucional, y por consiguiente la Constitución de la Monarquía españo Olazarra , dec'aró por unanimidad haber lugar á la forma…</t>
  </si>
  <si>
    <t>ESPAÑA, NOTICIAS DE</t>
  </si>
  <si>
    <t>NOTICIAS DE ESPAÑA</t>
  </si>
  <si>
    <t>…abitantes pongan por su parte nada mas que la fidelidad tados, con lo que levantó la sesión. ¡ a su propia causa. - — -.-.-Ti .=»El Mormng-Chronicle , con motivo de la proclama de Don NOTICIAS DE ESPAÑA. Carlos España, se explica del modo siguiente*: Cádiz 12 de Setiembre. » El conn-jíT /ó-,¿«.i, ingerta un documento muy singular, CORTES EXTRAORDINARIAS. expedido por un personaje de mucho inlUijo, el famoso D. Car los de España, virey, general y capitán gene…</t>
  </si>
  <si>
    <t>Españas</t>
  </si>
  <si>
    <t>…devoción y con todo el sagrado espectáculo del cu’to. La com ciones debidas al representante del Gobierno constitucional de Jas pañía de voluntarios de esta ciudad, ai mando de mi comandante Españas. Se habla de algunas conferencias que se supone ha teni Araoz , ha sido también parte integrante de estos grandes regoci do este encargado, y cuyo resultado habrá de ser favorable á los jos en unión con la infantería y caballería de Zujar, en donde intereses…</t>
  </si>
  <si>
    <t>Espartero</t>
  </si>
  <si>
    <t>…as de : 00 leguas desaparecieron delante de nuestros bravos , sostenido el centro’ sin á penas descansar, llenas de zelo y ardor por combatir , hicie por Geioiu,. y mandado por su coronel Espartero, que tanto te</t>
  </si>
  <si>
    <t>Espartero, Baldomcro</t>
  </si>
  <si>
    <t>Baldomcro Espartero</t>
  </si>
  <si>
    <t>…rteza de que V. S. ya se halla este bizarro gefe tres caballos sucesivamente muertos Durante ba cerca, no trepidé el disputarles el terreno con mas empeño. esta operación mandé al coronel D. Baldomcro Espartero que Los enemigos adelantaron sus batallones en dos direcciones soste con el centro, batallón de »u mando, atacase la derecha de ia le nidos por el rpám- c. en reserva; el fuego se encendió por todas gión peruana, y á pesar de no haber salida aun del desfilade…</t>
  </si>
  <si>
    <t>Espectador</t>
  </si>
  <si>
    <t>…mar el fusil. Ya los han visto los compañeros de Madrid. franceses, y corrían voces de que se disponían á salir , en cuyo (9) Ya no se engaña á nadie con tan ridicula comparación. Señor Espectador , porque todos ven la diferencia que hay de (i) Y sino que'ítf diga Madrid , cuanta bizarría y valor ma aquel tiempo á este. nifestó el día ao de Mayo en sus desgraciados habitantes. (to) Mucha pabura tenemos; pero siquiera debiéramos no ■ (?) {Y habrá valor…</t>
  </si>
  <si>
    <t>…exaltado. En gran noticia se manifiesta (1) No hace muchos tiempos que al keredero de la corona que los editores del Censor , que tanto hablaron de patriotismo le quería poner el señor Espectador fuera de la ley, y que se le culpando á la exaltación , están ya en el dia bajo la protección tratase como al mas ínfimo súbdito de la Nación. Ahora se ma de Angulema; que los del Universal se dice han quedado en nifiesta muy solícito porque se le mire como á…</t>
  </si>
  <si>
    <t>Espejo, Antonio María</t>
  </si>
  <si>
    <t>Antonio María Espejo</t>
  </si>
  <si>
    <t>…a , D. Antonio Puigblanch, dear el Moncayo y pasar por Frasno para acercarse á su guarida, y el co D. Nicolás Heredero Mayoral, D. Juan Fernandez Casariego, D. Juan Isidoro Perez, D. Antonio María Espejo, D. Julián de Fuentes, D. Gre ronel Depablo talonea su fuga. n Hoy se lia incorporado ■ ia división el destacamento que proceden gorio Mendivil, D. Joaquín Ruiz, D. Manuel Merino, D. Luis de Ma te de esa corte vinia á ias ■ nir?‘ del coronel de Farneslo Marti…</t>
  </si>
  <si>
    <t>Espiga, Manuel Pina</t>
  </si>
  <si>
    <t>Manuel Pina Espiga</t>
  </si>
  <si>
    <t>…tan valientes como los que tengo la dicha de maridar. Los granade 17,76S mrs- &gt; / Otro situado en las alcabalas de Madrid v sti partido , de ros conducidos por el segundo ayudanta D. Manuel Pina Espiga ocu 80,207 mis., en cabeza del prenotado contador Juan Ter de los Ríos. paron la izquierda con algunos cazadores, y el teniente D. Julián Ta Se suplica á la persona que sepa su paradero ó tenga noticia de lo» ex rrago con su compañía ligó los movimientos por…</t>
  </si>
  <si>
    <t>Espinare, Cirios</t>
  </si>
  <si>
    <t>Cirios Espinare</t>
  </si>
  <si>
    <t>…en embebidas en cada comandancia Don Josef Zigara, el .teniente coronel D. Antonio Laplana, superior, deberán corresponderse con los Señores mariscales y y. el alférez del Infante D. Cirios Espinare, quien libio de oficíales generales señalados, y ejecutar las órdenes. Esta presen manos del enemigo dos soldados franceses heridos gravemente, te orden se comunicará á S, A, S. la Regencia del reino de Es estándolo cambian ¿1 mismo. paña , para que se dé la…</t>
  </si>
  <si>
    <t>Espinos.-, Domingo</t>
  </si>
  <si>
    <t>Domingo Espinos.-</t>
  </si>
  <si>
    <t>…rreo extraor Valdés, á cuya inmediación seguían sus ayudantes de orde dinario. ) nes y oficiales agregados al E. M. de la división de su mando co ronel D. Pedro Rolando, capitanes D. Domingo Espinos.-?, NOTICIAS DE ULTRAMAR. D. Tiburcio Ortega, el adicto al E. M. D. Francisco Maria BATALLA DE MOQCF.GUA. Valle, y el teniente D. Josef Carrillo, quienes se ocuparon Parte Je! .SV. centra: en gefe. dignamente en su deber durante la acción , condujo sus tropas E…</t>
  </si>
  <si>
    <t>Espinosa</t>
  </si>
  <si>
    <t>…bién de 1823. doles hecho 180 prisioneros, y quedando en el campo 60 muertos. Valladolid 9 de Abril de 1823.” Orden de la plaza del r6 al ¡ 7 de Abril, Cuarto distrito militar. El general Espinosa desde Burgos con Gefe de dia el comandante del Infante D. Carlos D. Joaquín fecha del 8 comunica el parte siguiente: González. «Excelentísimo Señor: Tengo el placer de anunciar á _ Servicio á Palacio Reina y 2.0 batallón de milicia de Ma-. V. E. que la facció…</t>
  </si>
  <si>
    <t>…el prófugo ó prófugos tuvieren bie Se aseguraba que el 20 había entrado la primera columna fran nes prop-os se tome de ellos lo necesario para poner un sustitu cesa en Burgos. El general Espinosa venia á Madrid retirándose to , y que si los padres los tuvieren, y constase tuviesen parte en con unos 3 á 49 hombres , y ya habia entrado en aquella capital la fuga se les imponga la misma pena. la artillería de la división que venia replegándose , y en la…</t>
  </si>
  <si>
    <t>…de oficio que expidáis, exceptuando solo aquellos en Chinchilla; igualmente se sabe de una manera positiva que el que Yo ponga la mía, los cuales deberán llevar la vuestra entera, general Espinosa durmió anoche cor. 3S» hombres, 500 caballos Tendreislo etuemlido , y lo comunicareis á quien corresponda pa y 3 piezas de artillería en Albacete, y que los facciosos que ocu ra su cumplimiento. 2= Está rubricando de la Real mano. 2= En el paban á Játiva y Al…</t>
  </si>
  <si>
    <t>…honor nacional y la uigrudad ñor amante marchasen á su retaguardia tres compañías ue caza de su corona. Precisado por ahora á dar vínicamente cuenta de los dores de la columna del general Espinosa. sucesos mas notables , dice en resumen : La salida de las tropas del Trocadero y de la Carraca se veri Al amanecer de este día pasaba el rio ó canal de Santi—Petri, ficó al salir el sol. El mariscal de campo D Demetrio O-daiy cerca de la bateria de Urrutia ,…</t>
  </si>
  <si>
    <t>Espinosa, Carlos</t>
  </si>
  <si>
    <t>Carlos Espinosa</t>
  </si>
  <si>
    <t>75</t>
  </si>
  <si>
    <t>…rece el duque de Angulema no le dio audiencia; y conde del Abisbal nos ha dicho hoy lo siguiente: « Hato saber aunque fue nombrado mayor general del ejército, se ha quedado que el general D. Carlos Espinosa me comunica con lecha de como tal el general Guilleminot sin que ss sepa la causa. ayer 21 del corriente lo que sigue: Varios arrieros que vienen El Monitor publica un párrafo de la Estrella, que dice: de Jas provincias con pescado para esa capital me han con…</t>
  </si>
  <si>
    <t>…as nacionales. El mariscal de cam las cañoneras le pusieron en precipitada fuga. po D. Antonio Burriel, general en gefe interino de este ejército, La columna del mariscal de campo D. Carlos Espinosa se dice al ministro de la Guerra que los franceses han visto con adelantó hasta la inmediación del molino del Ocio, habiendo sido asombro v con terror que los valientes que tiene el honor y en arrollados los enemigos, y desalojados de sus puestos por los fue…</t>
  </si>
  <si>
    <t>…distinguieron en sus res 'presenciado todo el valor y energía del patriotismo; oficiales y pectivas guerrillas. tropa le desplegaron noble y fieramente en el ataque detenido so El general D. Carlos Espinosa , encargado de la columna que lo por la inaccesible posición fortificada del enemigo. salió por el Portazgo , elogia debidamente la conducta de sus tro El subinspector del ejército D. Facundo Infante en el mo pas y la del coronel Grases , comandante de la van…</t>
  </si>
  <si>
    <t>Espinosa, Domingo</t>
  </si>
  <si>
    <t>Domingo Espinosa</t>
  </si>
  <si>
    <t>…v i 1 á Ja altura de nuestra derecha , que mandé sucesivamente re del Sr. Valdés, coronel D. Pedro Antonio Rolando, capitanes forzar con tTes,compañías de Gerona , previniendo al coronel D. Domingo Espinosa, y teniente D. Josef Carrillo; mi ayudante D. Cayetano Ameller que atacase sobre la marcha; este valiente de campo teniente coronel p, Ramón Nadal, y el ayudante dé a,i .'&lt;&gt; verificó, y los bizarros de,Gerona no se contentaron con re E. M. mi secretario D. Vi…</t>
  </si>
  <si>
    <t>Espinosa, Juan Roseii</t>
  </si>
  <si>
    <t>Juan Roseii Espinosa</t>
  </si>
  <si>
    <t>…a adorada pa 8 de Enero ar.ter.or en losarnos de inventario á los bienes quedados por tria. Se han recogido en los pueblos de nuestra retaguardia bastantes faccio fallecimiento de D. Juan Roseii Espinosa , natural que fue de la plaza desos que han aprehendido las pequeñas partidas y milicia nacional voluntaria. C..diz, y vecino de Luna, conocido con el nombre de ID. Juan Esp,nosa,Dios guarde aV. E. muchos años. Agreda á las diez de la noche del dia 3 que ocur…</t>
  </si>
  <si>
    <t>Espinosa, Manuel Sixto</t>
  </si>
  <si>
    <t>Manuel Sixto Espinosa</t>
  </si>
  <si>
    <t>…ANUNCIOS. mismos comisionados, acompañado del oficial de plana mayor D. Pablo Valadia, pasase en esta madrugada á avistarse con el cabecilla Capapé para En 13 de Junio de 1799 d¡ó D. Manuel Sixto Espinosa carta de pa hacerle entender mi resolución, y que solo durante este corto intervalo go en favor de los Cinco Gremios de Madrid por la cantidad de 295,383 daría disposiciones para que se dejase de perseguirlos. ducados y medio de rs. vn., y se unió á un expedi…</t>
  </si>
  <si>
    <t>Espinosa, Pedro</t>
  </si>
  <si>
    <t>Pedro Espinosa</t>
  </si>
  <si>
    <t>…cargos hechos á lds señores gefes La misma comisión en vista de la exposición de Doña Ra de los cuerpos para que cuiden de que el soldado no lleve 'en la faela Rodríguez, viuda de D. Pedro Espinosa, sargento i:° del mochila mas que las prendas indispensables, las cuales abultan y resguardo militar de Barcelona, pata que se la conceda alguna " pesan múy poco, se nota que continúa la misma falta, y de con viudedad por él hecho de haber sido nuic-rto por l…</t>
  </si>
  <si>
    <t>Espinosa, Rafael López</t>
  </si>
  <si>
    <t>Rafael López Espinosa</t>
  </si>
  <si>
    <t>…BRE SE 1833. ARTI.CÜIO • DB OFICIO. ria de ver al mejor de los Reyes sentado en el solio, qm tan / ......... , . f.’ dignamente ocupaba, y del que le despojó la tiranf¿¿ Psrz. &gt;2^ D. Rafael López Espinosa, capitindeVoluntarlosde Car- . gloriosa empresa ofrece la juventud realista de Árévalo i V. A. &amp;. tsgena de Indias, ha solicitado de la Regencia del Reino; que se sus robustos brazos, decidida á derramar La úit ma gota de- su le destine a servir, aunque sea d…</t>
  </si>
  <si>
    <t>Espioa, Manuel Peña</t>
  </si>
  <si>
    <t>Manuel Peña Espioa</t>
  </si>
  <si>
    <t>…la rahma compañía D. Joaquín Ruiz de Zúñiga, que mató por sí i un responda tenerlos en papel del sello primero, acudan inmediatamente oficial faccioso; al id ayudante de Sigüenza D. Manuel Peña Espioa que por sí ó per med.o de apoderado á la administración de estancadas de salió h;rido;á los tenientes D. Julián Tamayo y D. Francisco Láza esta capital á comprar el impreso, que presentarán en esta secretaría pa ro, y á ¡os subtenientes del mismo D. Josef Sán…</t>
  </si>
  <si>
    <t>Espoz, Francisco</t>
  </si>
  <si>
    <t>Francisco Espoz</t>
  </si>
  <si>
    <t>…a Rcdona, dis Dios &amp;c. Cuartel general en el campamento sobre S. Juan de tante media hora del pueblo al favor de la fragosidad del terreno, las Abadesas 8 de Mayo de i32g.=:Excmo. Sr. Francisco Espoz y observé que la compañía de Camprubí le ocupaba tiroteándose y Mina.—Excnio. Sr. secretario del Despacho de la Guerra.” con los e'ncmigos. Dividí la vanguardia en dos columnas, diri giendo la de la izquierda sobre su frente, y la de la derecha con » Excmo. S…</t>
  </si>
  <si>
    <t>Est-ma, Rodríguez</t>
  </si>
  <si>
    <t>Rodríguez Est-ma</t>
  </si>
  <si>
    <t>…ruy "poituua , por reemp.acr ¡a sexta parte licenciada; y asi no d:be haber inr-o*.-- -alen te que hacia mas llevadero el sacrificio de qu-se tratabi. en aprobar este articulo. El Sr. Rodríguez Est-ma: No me hallo conlorme con la parte del Ha dicho el Sr. Gómez Recerra , que acaso podrá no toc«r i un pue artículo que trata d que los sorteo, deban verificarse por los yírs de ios blo en los primeros sotteós que se han d; celebrar tod- s los años para batallo…</t>
  </si>
  <si>
    <t>Está</t>
  </si>
  <si>
    <t>…an Bautista León; el de Constitución al teniente coronel, gefe quilo como si los franceses estubiesen á mil leguas de distancia. de batallón, Don Gabriel Pflouguer;el de la Ley al coronel Está todo preparado para recibirlos, y deseamos que se adelanten D. Josef Muro; el de España Libre al de igual cUse D. Anto un poquito mas para manifestarles nuestro agradecimiento por las nio Viladomar; el de Cortes al teniente coronel D. Mariano Ji felicidades q…</t>
  </si>
  <si>
    <t>Esta</t>
  </si>
  <si>
    <t>…relativo á que se señalase á Doña Luciana Irazabal , viuda del que respiraba , y el estruendo de la artillería confundido con los mariscal de campo y ministro que fue de la Guerra D. Esta ecos de las músicas militares , daban á este espectáculo majestuo nislao Sánchez Salvador , Ja viudedad de 120 rs. vn., que cía la so todo el inicies propio de un acto que ademas de marcar del mo*</t>
  </si>
  <si>
    <t>646</t>
  </si>
  <si>
    <t>…as sus partes. =:E1 'ma tivo para temer el fallo de jueces semejantes. riscal de campo Antonio Roselló. = Mariscal de campo, gefe de estado mayor general, Pedro Monde* Vigo. =2 El brigadier Esta tarde ha pasado ¡a barra de Sanlúcar una corbeta paque eoinandante de la segunda división del cuarto ejército. = Juan te inglesa de vapor. Palarea. = Es copia , Cartagena. El telégrafo ha anunciado haber pasado hoy á Chiclana 150 hit.ido de los prisioneros de…</t>
  </si>
  <si>
    <t>…os principios de Gobierno mo general de la Armada. nárquico son los que mas convienen al Perú en las actuales cir cunstancias. El Capitán de Puerto de Barcelona comunica al.Excmo. Sr. Esta memoria ha sido celebrada por un republicano de Co Secretario de Estado y del Despacho de Marina, para noticia de lombia, que escribe en Bogotá bajo el título de El pairano ob S. M., que el Ayuntamiento provisional de dicha ciudad, coin servador. Como quiera…</t>
  </si>
  <si>
    <t>Esta, Felipe Benicio Na</t>
  </si>
  <si>
    <t>Felipe Benicio Na Esta</t>
  </si>
  <si>
    <t>…activa__ Teatro es cumplimiento.—Está rubricado de la Real mano—En el Alcata noche á las y y media la milicia nacional local de Madrid___ zar de Sevilla á 4 de Aíayo de 1823. — A D. Felipe Benicio Na Esta tarde á las 3 y media se hallará en la plaza contigua al Pó varro. pulo un cabo y 6 soldados del Infante D. Carlos, para mantener el buen orden durante la función de caballos, la que concluida se De orden del Gobierno saldrá parte diario para Cádiz, y de reti…</t>
  </si>
  <si>
    <t>Estada, Secretario de</t>
  </si>
  <si>
    <t>Secretario de Estada</t>
  </si>
  <si>
    <t>…Infamado, Presidente de la Re de 53 desde el ijyal 20. gencia, con quien tuvo uha larga sesión , á que asistió también Entre estas mugeres había en 1819, ira que tenian de 60 6 Al Sr. Secretario de Estada.</t>
  </si>
  <si>
    <t>Estado, Francisco</t>
  </si>
  <si>
    <t>Francisco Estado</t>
  </si>
  <si>
    <t>…S. Crispin en la isla de Cuba para que se Bruno Gómez. Je conceda la jubilación con el sueldo que se expresaba, y otro Idem 29. remitido por el Gobierno acerca de la solicitud de D. Francisco Estado mayor del tercer ejército de operaciones__Cuartel María Barríer, fabricante de la Coruña , evacuando el informe que general de Madrid 28 de Abril de 1823___Orden general. se pidió) por su conducto á la dirección general de aduanas. Art. j.° Se reconocerán por…</t>
  </si>
  <si>
    <t>Estado, Josef María Pario de</t>
  </si>
  <si>
    <t>Josef María Pario de Estado</t>
  </si>
  <si>
    <t>54</t>
  </si>
  <si>
    <t>…8 tino. Entre ellos se ha distinguido con el zelo y conocimientos 11.i- Es conforme i la resolución comunicada por el Fxcmo. Sr. secreta lilares que le son tan propios el teniente coronel D. Josef María Pario de Estado y del Despacho universal de Hacienda en iodo Diciem n;a;.ua, á quien nombré mi ayudante de órdenes. bre de 1822 , que queda en la contaduría general de mi cargo, de que »» Debo mucho al brigadier D. Ftancisco Marti y oficiales del ceitifico.—Josef del Ribero…</t>
  </si>
  <si>
    <t>Estado, Juan Manuel de Ale da</t>
  </si>
  <si>
    <t>Juan Manuel de Ale da Estado</t>
  </si>
  <si>
    <t>…, con nandez Angulo , D. Zoilo Gómez Casero, D. Bernardo Asenjo, Don íecla de 9 del actual, dice entre otras cosas al Excmo. Sr. secretario Juan Isidoro Persz, D. Cayetano Romero, D. Juan Manuel de Ale da Estado y del Despacho de la Guerra So siguiente; ■» En el monten- jula, D. Juan Antonio López y D. Isidoro de Hoyos, to ile despachar el correo aesbo de recibir parte del general en gefe de Habida la conferencia , se declaró por unanimidad haber lugar ¿í este egérci…</t>
  </si>
  <si>
    <t>Estado, Ministro de</t>
  </si>
  <si>
    <t>Ministro de Estado</t>
  </si>
  <si>
    <t>…e por una tímida hipocresía parecía asegurada en uu como ignominiosamente expelido de E.pcña; y para el efecto el articulo de la llamada constitución, en el curso de los tres años Sr. Ministro de Estado le escribió la siguiente nota: del régimen revolucionario fue cruelmente perseguida. Y como » Excmo. Sr.: tfntre los muchos oojetos de dolor que ha no era posible arrancar de ios corazones españoles la religión contemplado la España durante la dominación del…</t>
  </si>
  <si>
    <t>Estado, Mitvstro de</t>
  </si>
  <si>
    <t>Mitvstro de Estado</t>
  </si>
  <si>
    <t>…sus naturalezas Sus medias filiaciones para que en lo que dé lo contrario no me queda otro recurso que despedirlos a sucesivo vigilen-su conducta. _ Exposición que por el Exento. Sr. Mitvstro de Estado hace á S.M. todos. el Capitán General de Marina, manifestando el estado en que Xa corbeta Temis y el bergantín Máyica, que se hallan, en esta se halla en el Departamento de Cádiz, y las providencias Gibraltar sin tener con que sostenerse, con empeños contraíd…</t>
  </si>
  <si>
    <t>Estado, Secretaria de</t>
  </si>
  <si>
    <t>Secretaria de Estado</t>
  </si>
  <si>
    <t>…—Josef Iglesias y Bernal, cura propio.—Diego Moreno, presbitero.ezBernardino Tara- Decreto que expidió la Regencia. cena, presbítero.=Joaquin de la Roca, alcalde.=Juan Herranz, El Sr. Secretaria de Estado y del Despacho de Gracia y Justicia alcalde. =:Francisco Estremera, regidor. =Isidro Molina, regí— en papel de 32 de Setiembre comunicó al Decano del Consejo dor.=Antonio Gil.szGregorio Bultrago.e=Policarpo EstremeReal lo que sigue: ra.crPedro Calixto García,…</t>
  </si>
  <si>
    <t>Estado, Secretario de</t>
  </si>
  <si>
    <t>Secretario de Estado</t>
  </si>
  <si>
    <t>…en papel—El ingenioso hidalgoí j genenl de Fraga r.° de Enero de i8i3.=Excmo. Sr.=Manuel de Ve- D. Quijote de la Mancha, compuesto por Miguel de Cervantes Saavechar lasco.=Excmo. Sr. Secretario de Estado y del Despacho de la Guerra.” cuarta edición, ilustrada con algunas notas y con el análisis de la obra,- ■{ escrito por D. Vicente de los Ríos: cinco tomos en 8.u marquilla, in-, » El brigadier segundo comandante general del quinto distrito mili cluso el de l…</t>
  </si>
  <si>
    <t>…prisionero*, ú excepción solo de algunos pocos que de Abril de 1823. = Excmo. Mr.zsFrancisco Ballesteros. =: lograron escapar por entre el laberinto que forman las casa» y Excmo. Sr. Secretario de Estado y del Despacho de la Guerra. huertas del barco del Hendeduero.__Al anochecer ya no me Segundo ejercito de opcraciones. = i.1 División.=Tcns.o la era posible pensar en otra cosa que en reunir mi columna, y ,n satisfacción de incluir a V. S. el parte del bizarr…</t>
  </si>
  <si>
    <t>…os años Peile*., en atención a la conveniencia que resulta do ñtseola 3o -de mayo de i825.=Exemo. 'Sr*—Joaquín reunir los mandos militares superiores del Décimo Rodríguez.—-Excmo. Sr. Secretario de Estado y del distrito militar y del ejército acantonado en la Isla despacho de Hacienda, Gaditana ; se lia servido nombrar para aquel al ge neral en jete de esta D. Gaspar Vigodet, quien des de luego se encargará de la comandancia genera! del Décimo distrito militar…</t>
  </si>
  <si>
    <t>…ículo bastante discutido dijo el chos años. =zLérida 13 de Junio de 1873.-= Exento. Sr. Josef Sr. Sánchez, que asi como en el dictamen anterior había disentido Cruz Mullcr—Excrno. Sr. Secretario de Estado y del Despacho de la comisión, tenia la satisfacción de convenir con ella en los de la Gobernación de la Península. dos artículos que se habían propuesto. Don Rafael de Ccvallos Escalera, coronel graduado de infan En seguida quedó aprobado el art. i.° tería ,…</t>
  </si>
  <si>
    <t>…DO 23 DE AGOSTO DE 1823. i O tonces de manifestar su dictamen sobre la nulidad del citado de ARTICULO DE OFICIO. creto hasta que reunidos los datos necesarios pudiesen fijar su El Sr. Secretario de Estado y dei Despacho de Gracia y Jus juicio en tan interesante materia, se abstuvo también el mi ticia en oficio de i z del corriente dice al Sr. secretario de Ha Consejo de entrar en el examen de este punto mientras que aquellos ministros no le presentasen su pare…</t>
  </si>
  <si>
    <t>…, 16 A lis 6 de esta'tarde sitió á paseo por el camino.de fianlúcai y 17 del corriente. el Sr. Duque del Infantado, Presidente de la Regencia de Espa ña é Indias , en compañía del Sr. Secretario de Estado D. Víc También ha recibido parte de que en virtud de la capitula tor Saez y algunas otras personas ; y habiéndose alejado unos trea ción ajustada entre los generales Conde Molitor y D. Francisco cuartos de legua, salieran cinco ladrones á caballo y dos á pie, Ballesteros, e…</t>
  </si>
  <si>
    <t>…gos que antes desempaña Peñíscola 30 de Agosto de iBig.mJosef Ignacio de Alemán, Goban. A untos y otros se les suprimirá las asignaciones que disfru • bernador Presidente. =Excmo. Sr. Secretario de Estado y del tan , y serán atendidos en los términos ya expresados. 1 •Despacho de Gracia y Justicia.” 6. Los facíiftativos de medicina y cirujía, cesarán en el . Otra. percibo de sueldos ó emolumentos que tuviesen por el festablect- „Señor: El Gobernador militar y…</t>
  </si>
  <si>
    <t>…. ----------------- ~ i 11 ~ 11 ARTICULO DE OFICIO. ta , concluida, de tina parte entre el Teniente general Conde de ®-ÍMrt, Par de Francia, gran Oficial de la Real orden de 1* El Sr. Secretario de Estado y del "Despacho de la Guerra me Legión de Honor, caballero de la Real y militar orden de San dice hoy lo que sigue: L«is y de la de S. Henrique de Sajpnia, Comandante de la 11 .* Excmo. Sr.: El Sr. Secretario del Despacho de Estado me división del ejército de…</t>
  </si>
  <si>
    <t>…DRID. MARTES 21 DE OCTUBRE DE 1823. ----- :--------------- II II -------- -----------------------ARTICULO DÉ OFICIO. premio de su Valor, lealtad y decisión, qué puedan Usar pen El Sr. Secretario de Estado y del Despacho con fecha de n del diente en el lado izquierdo de la casaca ó chupa con cinta en corriente dice al Sr. StitciAiio de Hacienda de Real orden lo carnada y blanca por mitad, una medalla circular d&lt;r plata del siguiente: tamaño de la moneda de medi…</t>
  </si>
  <si>
    <t>…ión se me habia presentado Mo•ret, con quien pude-acordar que se hiciera cargo del suministro Víctor Saez.” diario, siendo condición expresa que se le franquearían por la Otro. El Sr. Secretario de Estado y del Despacho con fecha de 6 intendencia de Sevilla 2 oo¡) rs. desde luego para empezar ó se del actual desde Lebrija, dice al Sr. Secretario del Despacho de guir haciendo ¡as compras de renglones y enseres mas precisos la Guerra lo que sigue: El Rey nuestro…</t>
  </si>
  <si>
    <t>…OCTUBRE DE 1823, ARTICULO DE OFICIO. déla provincia en los insultos cometidosenla persona de su digno párroco y en la prisión de sus alcaldes. Incesantemente ha diri Por el Excmo. Sr. Secretario de Estado y del Despacho de gido sus fervorosos votos, ya en público, ya en secreto, al Altí Gracia y Justicia se ha comunicado al Consejo y Cámara por me simo por la prosperidad de V. M. y de toda su Real Familia; dio del limo. Sr. Decano la Real orden que dice asi: y…</t>
  </si>
  <si>
    <t>…Guerra se ha e.vfcdftlo la circular si del regimiento provincial de Compostela , llenos de inexplicable uozo por hallarse V. M. en plena libertad, tienen el alto honorguiente : El Sr. Secretario de Estado y del Despacho con fecha 11 del de felicitarlo con todo el respeto, amor y veneración que justa actual me comunica desde la ciudad de Sevilla el Real decreto mente se debe á su verdadero Soberano, cuyos legítimos dere que el Rey nuestro Señor se ha servido di…</t>
  </si>
  <si>
    <t>…iguiente fondeó la fragata en Puerto-Cabello, y las En Real orden de 2 de este mes, comunicada al Consejo por corbetas lo verificaron en la costa del Golfo Triste, nueve millas el Sr. Secretario de Estado y del Despacho de Gracia y Justicia, á sotavento de aquel. El Comandante Laborde remitió cüantas *e ha servido S. M. mandar entre otras cosas, que por ahora, embarcaciones menores pudo reunir adonde estaban fondeadas y hasta nueva resolución, se suspenda la e…</t>
  </si>
  <si>
    <t>Estado, Secretario del Despacho de</t>
  </si>
  <si>
    <t>Secretario del Despacho de Estado</t>
  </si>
  <si>
    <t>Kím. J4*... (t cuarto*.) 34y GACETA EXTRAORDINARIA DE MADRID su JiArrEs 7 bb jdctubrb 021823* ARTICULO DE OFICIO. El Sr. Secretario del Despacho de Estado desde Jerez, con fecha de 4 del corriente, dice al Sr. Secretario del Despacho de la Guerra lo que sigue: ’• '. - ... " „ A las siete de la mañana de hoy he recibido una carta del Teniente general Conde de Bourdessoulle, enque me comunica que las tropas de S.…</t>
  </si>
  <si>
    <t>…o de la Guerra me Legión de Honor, caballero de la Real y militar orden de San dice hoy lo que sigue: L«is y de la de S. Henrique de Sajpnia, Comandante de la 11 .* Excmo. Sr.: El Sr. Secretario del Despacho de Estado me división del ejército de los Pirineos y del bloqueo de S. Se'oas— dice con fecha 4 del actual desde Jerez de la Frontera la siguien tian, y cl Sr. Mariscal de campo Conde de Terrija, Oficial de la te: El Rey nuestro Señor quiere que durante su yiage á la c…</t>
  </si>
  <si>
    <t>…á en el dia de hoy. Me propongo dejar en Ciudad-Ro ¡os Capitanes generales de las provincias el decreto siguiente: drigo de guarnición el batallón de infantería de la Reyna Ama El Sr. Secretario del Despacho de Estado en 10 del corriente lia; y por Gobernador interino su Comandante el Coronel Don desde Sevilla me dice lo que sigue: ,,Deseando el Rey nuestro Mariano Novoa, como asimismo el escuadrón de lanceros del Señor manifestar á S. A. R. el Sr. Duque de Angulema, su au…</t>
  </si>
  <si>
    <t>Estajardo, Agustín María</t>
  </si>
  <si>
    <t>Agustín María Estajardo</t>
  </si>
  <si>
    <t>…as, y 30 cuan Se mandaron quedar sobre la mesa dos dictámenes de la misma do sea preciso reunir décimas para tres hombres. En estos casos el nú comisión, uno sobre la solicitud de D. Agustín María Estajardo y mero i." designa el pueblo que ha de dar un entero, el 2.“ el que ha Fajardo , para que se le permita introducir en el puerto de Santander de dar otro, y asi el 3.°; pero no se verificara nunca que un misma 83 fanegas de cacao procedentes de nna hacienda qu…</t>
  </si>
  <si>
    <t>Estando, Buey</t>
  </si>
  <si>
    <t>Buey Estando</t>
  </si>
  <si>
    <t>…o Guerra, y pá texto de ciertos principios de religión, htbia muchos sitios á donde no sente su dictamen. a’c.inz: Na el influjo de la ley ; y aunque ei refugiado no quedaba im El Sr. Buey Estando como estamos en Cortes exíiaordinari.is, no pune , se ie rebajaba la pena: pues esto se ha quitado en el nuevo códi podemos tratar de este asunto, ni aun tomar-io en consideración t n go. Ei indulto , que tanta amplitud lenta en las antiguas leyes , ha que in…</t>
  </si>
  <si>
    <t>Estanislao</t>
  </si>
  <si>
    <t>…aje rio interino de ia Gobernación de la Península , acompañando dos nación de las alhajas de los conventos suprimidos de la Hav.ma, decretos del Rey, por los cuales se nombraba á D. Estanislao para que al final de el se- añada *, sin perjuicio de lo preve::ido en San diez Salvador para desempeñar interinamente la secretarla de la ley de y de Octubre de 1820 opinaba que ¡as Cortes podían ia Guerra por dimisión de D. Pedro de la Barcena, que tam apro…</t>
  </si>
  <si>
    <t>Estas, Curial</t>
  </si>
  <si>
    <t>Curial Estas</t>
  </si>
  <si>
    <t>…ergantines y tres goletas, y sitiada por el gene’ral Montilla en número de 8 á hombres marchan contra la división del con 4330 hombres; Morales que estaba en posesión de la plaza, conde Curial Estas son las tropas que el 4 se adelantaron Inicia no tenia consigo masque 2000. El presidente Bolívar está en Mataró, á consecuencia de cuyo movimiento el conde Curial Santafe de Bogotá , y tiene salud. En Caracas mandaba el general evacuó este pueblo , reconcent…</t>
  </si>
  <si>
    <t>Esteban, Manuei</t>
  </si>
  <si>
    <t>Manuei Esteban</t>
  </si>
  <si>
    <t>…s, se les diesen lecciones tan claras pata que aceleren su D. Josef Radon; D. Sebastian Andrés; D. Ramón Llord; D. Francis libertad. co Martinez Marina; D. Josef Luis de Amandi, y D. Manuei Esteban » El Congreso y el Gobierno en aquel dia de ventura se disputaron Catata. el saber y el patriotismo , y el heroico pueblo espectador sin decidirse Habida (a conferencia, resultó por unanimidad haber lugar á la for por el uno ni por el otro « derramando lágrim…</t>
  </si>
  <si>
    <t>Esteban, Tomas</t>
  </si>
  <si>
    <t>Tomas Esteban</t>
  </si>
  <si>
    <t>…andalosas escenas, si segura de vuestro acendrado y desde el campamento de S. Pedro junto á dicha villa, le dice sabio patriotismo no hubiera confiado en que eran conocidos los el capitán D. Tomas Esteban , que con un corto número de mi motivos de su conducta suave y tolerante. Ya es preciso decirlo licianos y paisanos ha impedido la salida de la guarnición de francamente: la libertad del Rby y de su augusta Familia....... aquel fuerte , y con ella el saqueo d…</t>
  </si>
  <si>
    <t>Estéfani, Antonio González</t>
  </si>
  <si>
    <t>Antonio González Estéfani</t>
  </si>
  <si>
    <t>…} Alféreces tenientes. .. Tenientes.................................................. 7200 I). Tomas Vclda.............................. D- Eduardo Sentmanat. D. Juan Chinchilla. D. Antonio González Estéfani. Alféreces tenigntes. . . Tenientes. 6840 D. Rafael Aguilar. D- Joaquín de la Torre.................... D. Josef Justiniani............................ D- Antonio Anguiano Ramos. D. Félix Valdés. D. L uis Zaforteza. D. Francisco de Paula Borei. D. Francisco B…</t>
  </si>
  <si>
    <t>Esteva, Jorge</t>
  </si>
  <si>
    <t>Jorge Esteva</t>
  </si>
  <si>
    <t>…i Indicador -¿atalan creemos que á un El jabeque Virgen del Carmen, de 29 toneladas y 8 hom pueblo libre nada debe ocuitársele, la publicamos no oficialmen bres de tripulación, su capitán Jorge Esteva, matriculado en te, sino como fidedigna , según las últimas cartas recibidas de Palma, cargado de trigo para Gibraltar. la fronteras, y la certeza con que nos la han asegurado personas El jabeque Virgen del Carmen, de 46 toneladas y 9 hom incapaces de mentir.…</t>
  </si>
  <si>
    <t>Estfiniga, Juan Antonio</t>
  </si>
  <si>
    <t>Juan Antonio Estfiniga</t>
  </si>
  <si>
    <t>…ida, i favor del mejor de los Monarcas por su estado noble, Braulio Peres, por el estado general jun y su santa religión, no dudando que sus zelosat y acertadas dis tamente con el Sr. D. Juan Antonio Estfiniga, como cura pár posiciones, protegidas por el D.os de las misericordias, ofrece roco y señores beneficiados, por sí y i nombre de los demas in rán á esta heroica nación la dulce satisfacción de ver restituido á dividuos que componen el ayuntamiento de esta vil…</t>
  </si>
  <si>
    <t>Estos, Julián</t>
  </si>
  <si>
    <t>Julián Estos</t>
  </si>
  <si>
    <t>Gaceta de Madrid n.º 59</t>
  </si>
  <si>
    <t>…an ido á buscar el auxi tes .i.ii i.. lio rxtrangero , renovando a ia faz Jal universo la «¿panto» traición Estado mayor general......................3....................3. 6 del conde D. Julián Estos hijos prófugos de ¡a casa paterna son los que Junta d: inspectores...................... 1....................1. 2 verdaderamente necesitan de cons-ju, y Luí, xvm como Rey prudente Once distritos militares m la y amaestrado por la experiencia ha debido dárset…</t>
  </si>
  <si>
    <t>Estrada, Alvaro Flores</t>
  </si>
  <si>
    <t>Alvaro Flores Estrada</t>
  </si>
  <si>
    <t>…a de que la redención de Febrero y ió de Abril de este año, en los que fueron nom se podrá ejecutar por terceras partes á voluntad del enfílenla, y brados secretarios del Despacho D. Alvaro Flores Estrada , Don que se ha de hacer en dinero ó como concierten entre sí los in Josef Joaquín Mariátegui, D. Manuel Muñoz, D. Lorenzo teresados , entregándose al dueño el capital redimido, ó dejándo- Calvo de Rozas, D. Josef Torrijos y D. B.amon Romay, he dolo á su libr…</t>
  </si>
  <si>
    <t>Estrella</t>
  </si>
  <si>
    <t>…amos lo siguiente: resistencia que supo oponer á los facciosos. Avt. i.° Se concluirá inmediatamente ni arco triunfal de la ,,Ur;a gran Princesa, madre del Hijo deFrancia, dijo el señor Estrella. F.mbajador, me ha hecho la honra al tiempo de mi despedida d© Art. 2.0 Nuestro Secretario de Estado, Ministro deí Inte dirigirrre las palabras siguientes:” rior, queda encargado de la ejecución del presente decreto. ,,Diréis á la Reina de Portugal cuánto la…</t>
  </si>
  <si>
    <t>Eterno, Scípion Chlaramonti y</t>
  </si>
  <si>
    <t>Scípion Chlaramonti y Eterno</t>
  </si>
  <si>
    <t>…de misericordia rogaba mitaremos por ahora á decir que nació en Cese na en 14^ Agos esta mañana por tas víctimas, é imploraba cerca del trono del to de 1742: sus padres fueron el conde Scípion Chlaramonti y Eterno el arrepéhtimiento y perdón de los culpables, la condesa Juana Ghini. — El diá 14 del mes último un habitante de! partido de SanA ¡a edad ds 16 años tomó el hábito de motige benedictino court (Alta-Márne) y su rimger, habiendo salido de madrugada casinense en…</t>
  </si>
  <si>
    <t>Etias</t>
  </si>
  <si>
    <t>…á discreción en manos de sus agresores! Rico, Sutrá , Alvear, Arguelles , Cuadra, Alava, Rojo, Vai „ Proveed pues, señores diputados, á las necesidades de la dés Bustos, Atvarez (D. Etias), Mi;/ Duque del Parque, patria, de la cual no debo ni quiero separar nunca mi suerte; y Bertrán de Lis, Somoza, Reiiio , Gil Orduña , Baiges , Vúia- convencidos de que el enemigo no estima en nada la razón y la nueva, Busafia , Trujtllo, Lülo, Nufiez Falcon…</t>
  </si>
  <si>
    <t>Etío</t>
  </si>
  <si>
    <t>…ros de regimientos que habia , y en que de medio siglo acá no dejan sosegar al género humano. tre ellos el de provinciales de Valencia, cuyo coronel es el que formó ¡a sumaría del general Etío. Ballesteros está en Priego _ El héroe Riego , actual azote de la desgraciada Málaga, diri con su cuartel general, y sus tropas las tiene divididas en Luce gió con fecha 23 de Agosto una carta al comandante realista lia, Ubeda y otros pueblos. (Extracto de un…</t>
  </si>
  <si>
    <t>Etuíz</t>
  </si>
  <si>
    <t>…regencia en Tolosa. Se trata de ¿arle una nuera p'anta, El Piloto ha sido citado á juicio por un particular á causa de no y de agregarle dos individuos, uno de los cuales será el general Etuíz. haber querido insertar ea su periódico un artículo comunicado. También parece que se trata de destituir al Sr. OitaíFi , y tros adelan Una canción sobre la muerte de Bonaparte ha abierto mucho loa te al marques de Matafiorida , y cuando a haya hecho esta ope…</t>
  </si>
  <si>
    <t>Eu-v</t>
  </si>
  <si>
    <t>…nes algunos Congreso de Verona un instrumento para conseguir sus Jine: particulares. vecinos honracfos; 1 Santa la Inglaterra resistió mas nobírm.nts a Jo* meta ¡.oí d: :a paz Iil Sr. Eu-v apoyó el artículo, manifestando que era necesaria la y de ios principios constitucionales.; pf.eseqcia dei cura- pjripco en los picamientos para rectificar con ¡os .” el caso presente no se ha contestado, como en el di la revo libros parroquiales 1 t&gt;j,errore…</t>
  </si>
  <si>
    <t>Éubaieta, Antonio</t>
  </si>
  <si>
    <t>Antonio Éubaieta</t>
  </si>
  <si>
    <t>…n.__Causas Don nores de edad y en la segunda parte &gt;5 y en el caso que alguno Juan de Rojas.__Teatro y toros D. Juan Manuel Chacón y de los hijos, padres ó hermano» se halle Ore.” D. Antonio Éubaieta. El Sr. Oliver : Se me ofrecen tro dificultades. Se dice en el artículo que se señalarán por las autoridades los alimentos.-, mas, Hemos recibido periódicos de la Con:ña hasta el 7, de Eaza no se sabe quienes son estas autoridades. Se dice que estos ali hasta…</t>
  </si>
  <si>
    <t>Eugenio</t>
  </si>
  <si>
    <t>…o distrito militar.=Fgército de operaciones. =«&gt; Excmo. Sr.: desde el gefe al soldado que marchan á mis órdenes , quedaría aun re Tengo la satisfac- ion de noticiar 4 V. E. que el coronel D. Eugenio bajado si me empeñase en encarscerlo; pero, como ye dije anteriormen Arana, g-fe óc ia segunda sección de la se¿únda división , operando te , V. E. conoce el país, las distancias, el rigor del invierno en esta sóbrela facción d.sp.rsada el 15 del corriente, c…</t>
  </si>
  <si>
    <t>Eugerban, Manuel Martin</t>
  </si>
  <si>
    <t>Manuel Martin Eugerban</t>
  </si>
  <si>
    <t>…e coronel los ata có, forzándolo» á caer por la parte mas escabrosa de la monta ANUNCIOS. ña , al mismo tiempo que los franceses por su parte los carga A virtud de providencia del Sr. D. Manuel Martin Eugerban á la bayoneta con tal intrepidez, que sólo pudo escapar una cios, auditor honorario de guerra, é interino de esta provincia, compañía de granaderos del regimiento de Toledo, de 1c; que y asesor subdelegado del juzgado de artillería é ingenieros dé también coj…</t>
  </si>
  <si>
    <t>Eugercios, Manuel Martin</t>
  </si>
  <si>
    <t>Manuel Martin Eugercios</t>
  </si>
  <si>
    <t>…precios, y se les admitirá las posturas y mejoras que ss destrozar todo lo que no sea perteneciente á su despreciable al hicieren, siendo arregladas. curnia í Por providencia del Sr. D. Manuel Martin Eugercios, ase Y vosotros, Masones de los grados inferiores, si aun es tiem sor ^subdelegado del juzgado de artillería &amp;c., se cita por segun po j arrepentios huyendo prontamente del profundo precipicio en da vez á todas las personas que se crean con derecho á los bie…</t>
  </si>
  <si>
    <t>…Robles, que fue del Consejo de S. M., y Fiscal del juzgado de Del ejército francés en España. Jos Reales cuerpos de artillería, acudirán á deducir sus crédito* ante el juzgado de D. Manuel Martin Eugercios, auditor del Si es cierto que la gloria militar de la Francia es superior í juzgado de dicho cuerpo en esta plaza, por la escribanía de Don cuanto hay de mas ilustre en los tiempos modernos; si inmorta Juan de la Peña Martínez; de cuya orden se les cita por t…</t>
  </si>
  <si>
    <t>Eulate</t>
  </si>
  <si>
    <t>…smo que al lado do 10 el Sr. Marchámalo, 7 el Sr. Veiasco, 6 el Sr. Ladrón de del invicto Riego fue siempre su inseparable compañero en sus glorias y Guevara, 2 el Sr. Soria, 2 el Sr. Eulate, y uno cada uno de los señores desgracias t un batallón en fin que está dispuesto en pro de la unión á Escudero, Benito, Fernandez Cid y Oliver. Total 1x0. deponer todo resentimiento que justamente pudiera haber concebido por En tercer lugar quedó elegido el…</t>
  </si>
  <si>
    <t>Eulogio, Dominjo</t>
  </si>
  <si>
    <t>Dominjo Eulogio</t>
  </si>
  <si>
    <t>…obar—El subteniente de artillería Leonardo bantos buarez por ¡a ds Cubi, D- Manuel Llórente por D. l'cdro González de Menclmca----F»tado mayor : gefe de estado ma. la de Galicia , D. Dominjo Eulogio de la Torre par la da Vizcaya, yor el brigadier D. Felipe Montes. — Frimer ayudante general y y D. Francisco de Paula ce Seria por la de Granada.” segundo gefe del estado mayor, el coronel D. Josef Sánchez Boafo oficial jubilado de la secretaría dei Despacho…</t>
  </si>
  <si>
    <t>Eüó, Javier</t>
  </si>
  <si>
    <t>Javier Eüó</t>
  </si>
  <si>
    <t>…de una apreciable y generosa familia, cuyos militar, fiel imitador del modelo de la ben menta clase el gene recursos no pueden ba&gt;tar al alivio di tantos infelices. (Diario de ral D. Javier Eüó, inhumanamente sacrificado por la carnívora los Debates.) horda de asesinos! ;Oprobio para siempre contra los indignos „ Algunas personas domiciliadas en Lieja se ocupan en esta agentes de los clubs 'tenebrosos, que seducidos por el vil ínteres blecer postas…</t>
  </si>
  <si>
    <t>Europa</t>
  </si>
  <si>
    <t>…rono. brados y autorizados con plenos poderes al efecto p &gt;r el Sr. Ma Un cargo como este es muy importante á la España y á 1a. riscal de Campo D. Josef María Torrijos, Comandante general Europa, para que no se haya interesado nuestro deseo en averi del octavo distrito miliiar, y el Sr. Brigadier D. Vicente e,an guar su conducta política y militar; y lo mismo desearán saber cho, Gobernador de la plaza de Cartagena, conforme á los ar sm duda todos los…</t>
  </si>
  <si>
    <t>Europa, Pedro Gallardo Samaniego la</t>
  </si>
  <si>
    <t>Pedro Gallardo Samaniego la Europa</t>
  </si>
  <si>
    <t>…egunda vez cau de 1813. tivo por mano de sus propios vasallos, cpn tanta ó mayor per fidia que lo había sido la primera por las intrigas del tirano de El teniente coronel retirado D. Pedro Gallardo Samaniego la Europa. Tales son los votos de este ayuntamiento; á esto as cpn fecha 21 del corriente desde Pozoblanco, en Andalucía, da piran únicamente los buenos é-pañolés; y‘ nó es otra tampoco parte á $. A. SMa Regencia del reino, que habiéndosele avisa la promesa dé los Sobe…</t>
  </si>
  <si>
    <t>Europa, Secretario la</t>
  </si>
  <si>
    <t>Secretario la Europa</t>
  </si>
  <si>
    <t>…ETCapifan^Gemat'd'¿'lds“pforvmci'as vascóñgádás, desde Heftut^ sido en balde los generosos desvelos de los grandes Monarcas de tu dirige con fecha -jsí1 del mes próximo pasado al Sr. Secretario la Europa, ni la paternal soEcitúd del venerable y ¡augusto Gefe ? del Despacho de la Gtierra el parte- siguiente: de la Familia de Bokson, .¡ni los noblqi esfüerzos dH ilustrp';■ ■% * « jp f Principe su Hijo de elección, ni los Heroicos sacrificios de osa Según anunci…</t>
  </si>
  <si>
    <t>Euruag.a</t>
  </si>
  <si>
    <t>…scusión to clarado esto; y no solo es extensivo á los padres sino á los pa dos los efectos que la comisión desea. rientes: tampoco esta medida es nueva, pues en el año 13 ya se El Sr. Euruag.a impugnó él art. 4.0, fundándose entre otras vieron precitados algunos generales á adoptarla. Asi pues no nos cosas en que la pena de que se trataba no so:o la sufririan los arredren medidas por fuertes que sean si queremos ser libres, y padres sino los cohere…</t>
  </si>
  <si>
    <t>Euruaga</t>
  </si>
  <si>
    <t>…te á las grandes potencias conti De la milicia nacional voluntaria de Gerona , presentada y leída por nentales, y que se trate de lomar algunas providencias militares. Se obser el Sr. Euruaga, va aquí que hay frecuentes conferencias entre el príncipe Aletternich y Jos De la milicia nacional voluntaría de ambas armas de Vínaroz y por el embajadores de Francia y de Rusia. Sr. Dc-mencch. El archiduque Francisco , hijo segundo del Emperador , reemplaz…</t>
  </si>
  <si>
    <t>…istamos con nuestra sangre,; no solo.la-consideración que corar al reciennucido con el título de Duque deSev/U,,. habían .perdido, y que acaso nunca merecieran, sino aun el pan El Sr. Euruaga pidió que se leyese la fe de bautismo , á lo que hasta entonces habían mendigado. Atropellen todas las con que contestó el.Sr. secretario que esta aun no se había remitido sideraciones y respetos, y desprecien cuarto hay de mas santo y á las Crrtcs. mas sagra…</t>
  </si>
  <si>
    <t>…que hay necesidael de dar Jéis pasapor Se declaró ser primera lectura la que se hizo de dos proposi tes de que se trata , porque me acuerdo de' lo que suceda en laciones del mismo Sr. Euruaga: una para que con toda urgencia guerra d-: la independencia: esos pasaportes son indispensables, s nla comis'on Eclesiástica ú otra especial presente un proyecto de que haya'prccis on «je expresar lo que ha indicado el fir. preopidecreto, para que por ahora l…</t>
  </si>
  <si>
    <t>…te una alocución ó manifies licadeza: ¡ cuáles son las causas que han obligado al Gobierno á to al pueblo español. no haber cumplido con su promesa : La? Cortes las ignoran. Si El Sr. Euruaga: Hab;cndo ofrecido el Gob'crno que diría estuviesen presentes los Sres. secretarios del Despacho acaso nos un manifiesto á la Europa, que cumpla la pt’dva dada, porque las dirían (pero yo debo suponer que son justas: mas sea de es ¿qué motivos puede haber pir…</t>
  </si>
  <si>
    <t>…por c¡ genera, en Se leyeron por segunda vez y se mandaron pasar á la comi gefe, que sean sugetos de opiniones bien conocidas, y que a jui sión eclesiástica dos proposiciones del Sr. Euruaga sobre la con cio de los mismos generales ofrezcan una completa gaiantia ;ara firmación de los obispos electos, y sobre autorizar á lo: muy que baga la calificación de la buena ó mala fe con que se presen reverendos arzobispos y obispos para la concesión de la…</t>
  </si>
  <si>
    <t>…o tienen deben que vivían en comunidad están exentos de ciertas cargas, y pri tenerlo también los exclaustrados. vados de ciertos derechos, porque se les habia permitido consti El Sr. Euruaga: Los ex-frailes y ex-monges exclaustrados tuirse en-ta obligación personal de viví- en comunidad bajó las no pueden pensar que quedan anulados los votos solemnes que reglas que-esta tenia establecido. Extinguidas ya estas comunida tienen hechos. La potestad t…</t>
  </si>
  <si>
    <t>…ían, la industria ni el sistema mercantil, ni ia r: mandó pasar á la comisión Primera de Legislación. queza pública ni al erario; por todo lo cual no * Se leyó una preposición del Sr. Euruaga, relati día aprobar el dictamen. va a qite el Sr. secretario de Marina se presentase El Sr. Canga en apovo del dictamen de ia ei-:-: eu esta sesión a contestar á las preguntas que se le sion manifestó que la Diputación provincial de hiciesen sobre el estado d…</t>
  </si>
  <si>
    <t>…a mayoría de los dipu nieron en esta supresión. tados , y el honor del Congreso. Se votó dicha proposición por partes , y quedó aprobada la Quedo en este estado la discusión, y el Sr. Euruaga presento primcia hasta la palabra pueblos, y también la segunda por 44 la siguiente proposición : •*Pido á las Cortes que las expresiones votos contra 43. del Sr Rodríguez Paterna, de las que ha tomado razón uno de ■/ El Sr. Santafe manifestó que él como dipu…</t>
  </si>
  <si>
    <t>Eus</t>
  </si>
  <si>
    <t>…que suplico á V. S. I. se digne sacar mi despacho, el de do el Patriota español, se convocó por el Sr. alcalde primero D. Jo mi hermano D. Josef María del Castillo Rengifo y el de D. Eus sef Pío de Molina el jurado , compuesto de los Sres. D. Manuel Ga taquio Babilonia, pues somos acreedores y dignos de toda merced por llego , D. Simón González Yuste, D. Jaime Ruiz Abren , D. Joa lo muy fieles que somos a la corona de nuestro amado Monarca. q…</t>
  </si>
  <si>
    <t>Eusapuesto</t>
  </si>
  <si>
    <t>…a varias observaciones sobre la ley de reemplazos. Octubre, y negádose esta ,í prestar el juramento, í pesar de haberla ex A la misma se pasó otra exposición sobre igual objeto ds D. Eusapuesto los funesios efectos de su alucinamiento, aprobaba la conducta bio Valen, vecino de Navas, jurisdicción deVal de Santo Domingo. del Gobierno , porque en eiii encontraba firmeza, humanidad y ráspa Se declaró comprendida en ei ait. 100 del reglamento, y se man…</t>
  </si>
  <si>
    <t>Eüzalde</t>
  </si>
  <si>
    <t>…o© franceses, mandados La comisión especial encargada de examinar la exposición del señor por un Príncipe de mi familia, por aquel que mi corazón secomp ace Moreno Gu-rra y la del intendente Eüzalde opinaba que se remitiese en nombrar hijo mió, van á ponerse en marcha invocando al Dos ds ti expediente al Gobierno para que este manifestase el desagrado con S. Luis para conservar en el trono de España á un ni-10 de Henrique las Cortes habían oido la conduc…</t>
  </si>
  <si>
    <t>Evangelios, Santos</t>
  </si>
  <si>
    <t>Santos Evangelios</t>
  </si>
  <si>
    <t>…to francés residente en España , obrando con arreglo i sus int- brados una mesa, y en ella un libro que contenía ios cuatro trucc'ones, dirigió varias comunicaciones al Excmo. Sr. duque Santos Evangelios, manifestó el Sr. duque dei Infantado que del Infantado; de ellas resultó que los consejos supremos de debia procederse antes de todo á prestar el juramento indispen Castilla é Indias se reuniesen , y terminadas sus conferencias, sable en acto tan solemne com…</t>
  </si>
  <si>
    <t>Evaristo, Juan</t>
  </si>
  <si>
    <t>Juan Evaristo</t>
  </si>
  <si>
    <t>…a formación de causa por cinco votos contra cuatro; escrito para el use de la casa de educación sita en la calle'de S. Mateo de habiendo sido por la afirmativa D. Isidro Gallardo, D. Juan Evaristo esta corte, por D.A. L. Bajo el nombre modesto de geografía astronó Castellar, D. Ignacio Andrea y San» y P. Serafin Bacigalupi, y los mica se hallan incluidas en este tratado todas las teorías que compren restantes por la negativa. Barcelona 14 de Eneio de i…</t>
  </si>
  <si>
    <t>Excmo</t>
  </si>
  <si>
    <t>…mi carta de ayer , fue el informarme del esta y el empeñarse á entrar en el puerto á todo trance, estos actos, do actual de la persona herida , con el fin de que se le colocase en Sr. Excmo , han ocasionado á los Estados-Unidos la pérdida de un pnrage donde pudieran practicarse los deberes de la amistad un ciudadano , á V. E. la de un oficial, han llenado á Puerto- relativamente á su comodidad y curación; pero habiéndome ase Rico de tristeza, y…</t>
  </si>
  <si>
    <t>…del mundo se ocultaba bajo la mar tienen una influencia tal, que, repito, han jija lo la suerte tierra, y las aves estaban en silencio , yo según mi costumbre me tie! lr¡nt. Hito, Sr. Excmo. , me hace esperar que V. E renga eché con el objeto de descansar; pero no bien hab.a cerrado mis á bien acceder á las gracias que propongo en la adjunta Tcldtiotí, ojos, cuando se presentó á mi vista un espectro llorando y dilis cuales, sí la persona dé V. E…</t>
  </si>
  <si>
    <t>…eeia en sacrificio de urj modo muy hacen el adorno de entrambos lados. extraordinario. A Ja parte de afuera hay colocadas dos estatuas de 36 pies Solamente he dado la descripción, Sr. Excmo. , de i.s paites de altura , la una de granito rojo, y la otra de granito jaspeado de mas bien conservadas de este templo: en su vasto rt cinto se ro pudo y negro. Hay otra dentro hecha de una sola pieza de pie tan muchos edificios casi destruidos , los cuale…</t>
  </si>
  <si>
    <t>Excmo, El</t>
  </si>
  <si>
    <t>El Excmo</t>
  </si>
  <si>
    <t>…rmino de 30 dias. cent , SchaetíVr, el barón Haber, el vizconde Vionet de Maringone, el Dirección general Je corrtot. conde Quinsonas, el conde d; Rastignac, el conde de Vittré.el barón El Excmo. Sr. secretario del Despacho de la Gobernación de la de A bignac, el conde de Armand de la 1 oyere , el conde de Saint- Península con fecha del 2 me dice: » Hago saber á los empleados de Chamans, el vizconde Ber-tier de Sauvivny , el conde de Vence, el viz es…</t>
  </si>
  <si>
    <t>Excnro</t>
  </si>
  <si>
    <t>…iana, del periódico titulado Congreso na querido recompensar sus útiles y gloriosas tareas. Por lo la Bandera española núm. 15; en cuya consecuencia la ley condenó que hace i mí , Sr. Excnro. , seria una modestia afectada si dijera que al impresor D. Ramón Tomas del Castillo, responsable de dicho im renunciaba á una dist inción tan dulce para quien conoce lo que es patria. preso, en la pena de dos años de prisión en un castillo ó fortaleza, y En…</t>
  </si>
  <si>
    <t>Exigiendo, Francisco</t>
  </si>
  <si>
    <t>Francisco Exigiendo</t>
  </si>
  <si>
    <t>…nos cuarto. Gefe de día el comandante de la Reina D. Francisco Castclló.__Servicio á palacio la Reina y la milicia nacional local de Madrid , á las órdenes del coronel de la Reina D. Francisco Exigiendo las circunstancias que á la mayor brevedad se orga Fernandez Golfin__ Parada la milicia nacional activa y la nacio nicen , disciplinen é instruyan las tropas destinadas á 1 orinar este nal local de Madrid : ei demas servicio y patrullas io detallado. ejército…</t>
  </si>
  <si>
    <t>Eximen</t>
  </si>
  <si>
    <t>…dos ayudantes gen-rales se compondrá la (unía del en los distritos , y de cualesquiera depósitos ú obradores mi!ú»,:s comandante g-n-r-al , dci prim r ayudante general , y de otro coronel Eximen de los proyectos sobre construcción y reparo de las fortaleza'de cualquier arma que «1 primero nombre. b¡ cu el distrito militar si Dotación de estas en todas tus ramos- Defensa de costas y frontín*</t>
  </si>
  <si>
    <t>EXIRANGERAS, Ba NOTICIAS</t>
  </si>
  <si>
    <t>Ba NOTICIAS EXIRANGERAS</t>
  </si>
  <si>
    <t>…unos ii£&gt; hombres al frente ñor. = El gobernador Carlos Dunos.” del general Molitor , que apenas había tenido tiempo de reunir 62 i á pesar de las bellas posiciones que ocupaba el general Ba NOTICIAS EXIRANGERAS. llesteros en Campillo de Arenas, fue atacado por nuestras tro pas á la bayoneta con mucho ímpetu , y puesto cu derrota, ha FRANCIA. biendo tenido el enemigo en esta acción 300 muertos ó heridos París 25 de Julio. y goo prisioneros. El dia siguiente 29 se han…</t>
  </si>
  <si>
    <t>Exmcuth</t>
  </si>
  <si>
    <t>…edecesor evacuó a Lansa nete para Petersburgo con pliegos de Mr. Canning. y Zeqouni, y en seguida se dispersó. No se reunirá tan fácilmente otro be Ó3 por cierta la noticia de que lord Exmcuth ha ofrecido sus .que se le parezca; ¡os soldados amaban á Chourscbid , y no timen con servicios para mandar ia escuadra de observación, Piensa que su rango fianza en ¡os diferentes geíes que se suceden con la mayor rapidez. r.o le servirá de obstáculo , y por…</t>
  </si>
  <si>
    <t>Extracto, Aquiles de Jouffroy</t>
  </si>
  <si>
    <t>Aquiles de Jouffroy Extracto</t>
  </si>
  <si>
    <t>…un personaje de mucho inlUijo, el famoso D. Car los de España, virey, general y capitán general del reino de- Na J'K.ESIDKNCIA JJE1 SEÑOR BECERRA. varra, el cual en un.011 con el conde Aquiles de Jouffroy Extracto de la sesión del d’a 12 de S&lt;titmbre de 1S2J. hizo un papel importante en las negociaciones de Vicna v de Se abrió la sesión con la lectura y aprobación del acta del Verona. Suplicamos á nuestros lectores que paren la atención en ríia anterior , y ocupando la…</t>
  </si>
  <si>
    <t>Extracto, N.</t>
  </si>
  <si>
    <t>N. Extracto</t>
  </si>
  <si>
    <t>…tenidos y conducidos á la ciudadela en la noche del 14 ÍRESIDENCrA DEL SEÑOR FLORES CALDERON........................ al 15 del actual. Paisanos: Pedro Marcerau, D. Gerónimo Vidal, D. N. Extracto de la sesión del sr, Olivier, D. Ramón Martí de Tora , Pedro Ribes, El Sr. presidente, después de leída el acta de la sesión óltiClérigos y frailes: El obispo de.Lérida , el canónigo de id. ma, tomó la palabra, y pronunció un discurso sobre el estado D. Juan…</t>
  </si>
  <si>
    <t>EXTRAORDINARIAS, Joséf CORTES</t>
  </si>
  <si>
    <t>Joséf CORTES EXTRAORDINARIAS</t>
  </si>
  <si>
    <t>…que componían el ministerio en aquella época , á los que firnes. bb. AA. continúan sin novedad en su importante salud.” maron los acuerdos del consejo de Estado, al gefe político D. Joséf CORTES EXTRAORDINARIAS. Martínez de San Martin, y al comandante general conde de Cartagena, elogiando at mismo tiempo la conducta firme y decidida de la Dipu HBSIDXXCTA DIL büSOX ISTtJRIZ. ' tación permanente y del ayuntamiento constitucional. La minoría de la comisión era de parec…</t>
  </si>
  <si>
    <t>Extremadura, Escriben de</t>
  </si>
  <si>
    <t>Escriben de Extremadura</t>
  </si>
  <si>
    <t>…se apoderó de los caudales Madrid Domingo jo Marzo.de la contribución, y puso en libertad a los presos de aquella carceí. En vista de estas ocurrencias dispuse de acuerdo con este comandante Escriben de Extremadura que un tal Morales levantó una partida ni.litar saliese toda la fuerza disponible hácia aquellos puntos, como se de 23 lácciosos montados; pero los milicianos di: Soria, en número verificó en la tarde del 14 del corriente, al mando del brigadier Don di jó , l…</t>
  </si>
  <si>
    <t>Eza</t>
  </si>
  <si>
    <t>…azadores número 5. , que se hallaban pri centro con el resto de los •cazadores, dejando roo hombres de sioneros por los 'facciosos ¿ y se escaparon de Valde Pazos , en reserva. El capitán Eza , con la intrepidez que tantas veces ha donde dicen que se hallaba muy disminuido el egército rebelde mostrado, se apoderó en un momento ,d« cuatro piezas de que manda Gaspar Tejerra, pues habia ya tres dias que no se bronce,, las dos de á tres y las otras- d…</t>
  </si>
  <si>
    <t>Ezcquiel, Francisco</t>
  </si>
  <si>
    <t>Francisco Ezcquiel</t>
  </si>
  <si>
    <t>…será considerado como sospechoso en cualquier pun L&gt;. Lean de la Cámara Cano, ministros del consejo de Hacien to que se le encuentre, y conducido á su costa con seguridad al da, y D. Francisco Ezcquiel de las Bárcenas , director interino mismo depósito. 7.a Las autoridades civiles y militares se abs &lt;Se correos, remitiéndose en caso de empate la decisión al res tendrán bajo la mas estrecha responsabilid d de conceder pasa pectivo secretario del Despacho de…</t>
  </si>
  <si>
    <t>Ezpclcta</t>
  </si>
  <si>
    <t>…are, cr.n los re. do, ,in . ir..i., ; pie á tierra; pero los enemigos no continuaron su movimiento; circunstancias , y los tomadores estarán ai nitro be r-siitu- de entre tanto el general Ezpclcta, que llegó ayer con ia guarnición no ser reconocidos en juicio como legitimo,.” Qued'. aorvl-adc de Madrid , se retiraba con los dos batallones, que pasaron a la iz de este modo c: artículo. quierda del Tajo por el puente de madera. La calidad del terreno La…</t>
  </si>
  <si>
    <t>Ezpelcta</t>
  </si>
  <si>
    <t>…osv.us.= Alt. 2.° Exento. Sr. secretario de Estado y del Despacho de Guerra.” Quedo aprobado este articulo, añadiéndose después de las pa « Excmo. Sr.: Esta mañana se incorporó el general Ezpelcta labras .•/.*/ .ó oficio las sieuicnít» , r ./■ r •. con las fuerzas de su mando tu el puente del Arzobispo, y en Artículos 3", 4.°, Vo, 5.° y Aprobados. seguida se emprendió el movimiento según indique a V. E. ayer, I.a misma comisión primera de Hacienda , ha…</t>
  </si>
  <si>
    <t>Ezpeleta</t>
  </si>
  <si>
    <t>…neral Zaá la resolución de haber lugar á votar sobre la totalidad del pro yas con la guarnición de Madrid y los prisioneros hechos en la yecto de papel sellado. acción del 20. F.l general Ezpeleta ha venido también con la co La comisión de Hacienda, en vista del nuevo estado de re lumna. Estos valientes, cuyo ennisiasmo por la libertad t&gt; im parto de contribuciones directas presentado por el Gobiurno, opi ponderable , han sido recibidos por sus compañe…</t>
  </si>
  <si>
    <t>F, Francisco</t>
  </si>
  <si>
    <t>Francisco F</t>
  </si>
  <si>
    <t>…ieiro, Francisco Perez , Juan beza del puente. Ejecutado ast , se abrieron las puertas de las Vázquez, Dámaso Fernandez, Josef Gallego y Ramón Fer *vanzadas del castillo, salió el sargento Francisco F. rnandez, é nandez ei inmediato ascenso a sargentos porri nos. introdujo 300 hombres con el gen-ral Chumbó a su cabeza, Al cabo primero Francisco González Vitiamoure el esacompañado del secretario y del gefe dei estado mayor D. Fe sro censo a sargento primero…</t>
  </si>
  <si>
    <t>F, Jo</t>
  </si>
  <si>
    <t>Jo F</t>
  </si>
  <si>
    <t>…tual, acusándolo d: novedad en su importante salud.” injurioso á todo el cuerpo en general; y reunido el jurado , compuesto de los Sr:s. D. Juan Perez, D. Gerónimo Martínez Enrile,D. Jo F.í Rfy ha expedido el decreto siguiente! sef María Recortillo, D. Francisco Hidalgo, D. Juan Josrf del Cubi « Don Fernando ni por la gracia de Dios y por la Constitución de llo, D. Pascual Boiaños y Novoa, D. Antonio ds Oiazarra , D.Franla Munarquía española ,…</t>
  </si>
  <si>
    <t>Fa'có</t>
  </si>
  <si>
    <t>…, para que examinándolo proponga á las Cortes lo que ter.^a I Coii-s, d hian resolv.-t no haber lugar á votar sobre ia exposición. por convemeiitr. Qe-dó aprobado A (i cwiii-r. El Sr. Fa'có. Cualquiera que sea la urgencia y gravedad de c&lt;r ; I.ic-'in ion de 111c -’ii í.t , en v:sfa d- la consulta nromov'da con negoció, debe pasar á la Diputación peiitian mf, para que esta dé ei nu.t en (f - !. h-r t - ■ 1 lo ht su-rte d: sollado á un dep nJi-nte…</t>
  </si>
  <si>
    <t>Fa-</t>
  </si>
  <si>
    <t>…de Cam da. También son dignos de elogio particular el. coronel de po, y pasarán á ocupar el de Maide. Las armas y demasefretos, Momfcrrer, del tercer regimiento de.la guardia, el coronel Fa- que deben ser entregados á las tropas francesas conforme al ar rinecurt, del 34 o, los gefes de batalloc M.rmont y Lasserie, tículo preceden'^ , serán depositados en el campo ocupado pot del tercer reg miento de la guardia , el igefe de batallón Monis- las tr…</t>
  </si>
  <si>
    <t>Fabier</t>
  </si>
  <si>
    <t>…o por sí solos e! cap tan comandante, Entre los pasajeros que traen los barcos que han llegado á es teniente y subteniente de la milicia voluntaria de caballería , se ta vienen el coronel Fabier y otros oficiales franceses, que tu ofrecen a defender con las armas en ia mano á todo trance ¡as vieron la valentía , con otros que se esperan , y 18 que han sido libertades de la Nación . pues solo desean la Constitución ele i año muertos y herido-- el dia…</t>
  </si>
  <si>
    <t>Fabregues, Ramón</t>
  </si>
  <si>
    <t>Ramón Fabregues</t>
  </si>
  <si>
    <t>…uno Antonio Gayoso. . . D. -Marcos Antonio Menczo. IX Juan Castriilon. D. Juan Vidi. D. Eduardo Brett. j Segundos tenientes. . . Idem ídem ídem. io8qoD. Manuel Alaria de la Calle. D. Ramón Fabregues. D. Antonio Perez de Barragas. D. Josef Joaquín de OJaciregui D. Joaquín Martínez de Mcdinilla.-1 D. Josef Zar ibrano..........................., „ ■. , Capitanes supernumerarios, según el artícu- r- u ■ r Adereces, capitanes 9600 D- Esteban Guinea...........…</t>
  </si>
  <si>
    <t>Fábrrgas, Juan</t>
  </si>
  <si>
    <t>Juan Fábrrgas</t>
  </si>
  <si>
    <t>…ai Excmo. Sr. se r-ti-io del Des atacaron en Olot la guarnición que allí dejé al mando del teniente co picho de la Guerra de la brillante acción ocurrida el 26 en ei castuío ronel D. Juan Fábrrgas, compuesta de cerca de 300 infantes de Na de Olera. Guarnecido este por cuatro soidades de Zaratoz- ,12 volun varra , milicia activa de Murcia, milicia ligera de Gerona y prácticos tarios de la compañía de Padilla y 14 milicianos d 1 m smo pu t&gt; o de VicJi, y…</t>
  </si>
  <si>
    <t>Facó</t>
  </si>
  <si>
    <t>…e en ia Gaceta lid mismo día. versado en la historia eclesiást-ca , y quesería conveniente se htci.se en España un arreglo donde es mostruosísima la división de diócesis; pero El. Sr. Facó: Si en cualesquiera circunstancias el arreglo definitivo ad emasde que dicho arreglo, ó nivelación solía hacerse en los concilios, del clero español, cual lo presenta ia comisión en su informe, seria ar de qu: no; presenta repetidos egrmplos ta historia de la…</t>
  </si>
  <si>
    <t>Fada, Ramón</t>
  </si>
  <si>
    <t>Ramón Fada</t>
  </si>
  <si>
    <t>…rt'ñola, don dama, fue á Bi bao con el fin de comprar una imprenta, y trató de de trrnnanrGirón hasta avistar mi tropa: en este momento mandé ata ajustar la que tei.ij empaquetada D. Ramón Fada (esta interesante ci carlos de frente por la compañía de cazadores de la Corona y una guer ta no se ha evacuado), y dice que no quiso convenir en el precio, te rilla de milicianos locales de Ripoll, y de ilanco por la compañía de miendo que no le dieran el di…</t>
  </si>
  <si>
    <t>Fagelwick, Posse de</t>
  </si>
  <si>
    <t>Posse de Fagelwick</t>
  </si>
  <si>
    <t>Escriban ds Stockolmo que el conde Posse de Fagelwick, la ejercer unas fijaciones que con tanta satisfacción mía habéis uoo de los oradores mas acalorados de la Oposición, murió re desempeñado ya. pentinamente de un flujo de sangre el 15 del mes de Junio: el dia anterior habia remitido á la sesión de la Cámara d…</t>
  </si>
  <si>
    <t>Fain</t>
  </si>
  <si>
    <t>…cpio de la guerra.” riVi.w to'unioi ; jamas trataren con las Cuites como polí Idem 21. tico. Ellos desean sin duda que la España sea libre*, que pueda En el manuscrito curioso del barón Fain se nos dijo en 1814 prosperar á la sombra de inst.iliciones igualmente distai tes del que » los periódicos doblaban siempre ó triplicaban el número despotismo y de la anarquía; pero 110 pretenden imponerle leyes: efectivo de las tropas que hablan pasado revis…</t>
  </si>
  <si>
    <t>Fairfax</t>
  </si>
  <si>
    <t>631</t>
  </si>
  <si>
    <t>…byectas como horrorosas. cosas útiles á su ensalzamiento podían hacerlas los sectarios Sin embargo no hay cosa mas difícil de evitar en las socieda subalternos, y especialmente el general Fairfax á quien hizo tá des humanas que las variaciones; pero no nos cansaremos de decir citamente su precursor. que estas pueden hacerse sin sacudimientos, del mismo modo que Fairfax era valiente en el campo de batalla , y aun tenia una el restablecimiento del equil…</t>
  </si>
  <si>
    <t>Fajardo, Agustín Guajardo y</t>
  </si>
  <si>
    <t>Agustín Guajardo y Fajardo</t>
  </si>
  <si>
    <t>…Madrid Míen ules £ de Febrero. otro sobre el derecho que debe pagar la loza extrangera, otro sobre el El Rey continúa en su convalecencia; pero se Is ha hinchado un expediente de D. Agustín Guajardo y Fajardo sobre introducción de poco la rodilla que fue primero acometida de la gota. La Reina se en una paitida de cacao, y otro sobre ei expediente relativo a U venta de cuentra con a'gun alivio en ¡as convulsiones; pero algo constipada, géneros extrangeros introduci…</t>
  </si>
  <si>
    <t>Fajardo, Juan Becerra y Sebastian</t>
  </si>
  <si>
    <t>Juan Becerra y Sebastian Fajardo</t>
  </si>
  <si>
    <t>…la mañana de! paso por aquella inmedia de Jubrique ; D. Pascual Armenla y D. Sebastian Ti o o co,, de ción de parte del ejército llamado de reserva , á las órdenes del Algatocin; D. Juan Becerra y Sebastian Fajardo su sobrino.de ex-general Villacampa, me dirijí i la plaza de Gatosin, donde Igualeja; y D. Antonio Morales , de Pujerra , se han singulari encontré á D. Sebastian Tinoco, ds aquella vecindad, que traia zado, manifestando valor, serenidad y dirección durante l…</t>
  </si>
  <si>
    <t>Fal, Bernardo</t>
  </si>
  <si>
    <t>Bernardo Fal</t>
  </si>
  <si>
    <t>…smo tan desagradable cuáles sean los nuestros. Aseguro á V. E. que certifica: me ha causado sumo disgusto esta ocurrencia que no he suscita Por el presente edicto cito y emplazo á D. Bernardo Fal do. He creído que debía contestarle, y que estoy en la obligación có , actual diputado por la provincia de Valencia , comprendido de quitar la ocasión de que se repita por V. E. ó por otro de sus en la causa que se está siguiendo á dicho Sr. diputado y otros,…</t>
  </si>
  <si>
    <t>Falces, Vicente</t>
  </si>
  <si>
    <t>Vicente Falces</t>
  </si>
  <si>
    <t>…e dijese á qué hora habia salido de su pu blo , dic éndome la varié al mismo punto de Estella sin detenerme en que dnta de que á ¡as once de la mañana. En seguida mandé al aiferez D. Vicente Falces, de donde habia salido, ocho horas largas , pu-s todo se pmde Lagunero que se adelantase por la huella que llevaban con 2a solda exigir de estos predilectos hijos de la patria , que a lodo se prestan gus dos : poco antes de llegar á la altura de Revilla de Co…</t>
  </si>
  <si>
    <t>Falcí</t>
  </si>
  <si>
    <t>…detendré á referir su his ni est íb ecirr.icntos para deportación , trabajos perpetuos ixc.; pero ya toria, y el contestaré al Sr. preopinante. ha d.-mestrad 1 suficientemente el Sr. Falcí que el Gobierno puede Ha dicho S. S. que se señale un plazo dentro del cual pueda regir dar reglamentos para orgauizarlos. el código penal, dando el Gobierno entre tanto reglamentos para la D.ce Ja comisión que puede suspenderse la egecucion del código organi…</t>
  </si>
  <si>
    <t>Falcó</t>
  </si>
  <si>
    <t>…por las Cortes, la comisión de mente , y la de los facciosos en doce muer:os , sin poderse saber el nú Gobierno interior no podrá menos de conformarse con él. mero de heridos. El Sr. Falcó; Impugno este dictamen, porque no puedo conformar Dia 30. — Salió pas.e de la división para Cornudilla , aguardando me con la creación de las dos plazas de oficiales que aquí se establecen, el convoy que debia llegar; y dejando en este pueblo una compañía y m…</t>
  </si>
  <si>
    <t>…nteres, y por hombres hubiesen de ser tus supremos legislajoies! Bien proal» serias lo mismo creo que debe declararse haber lugar i votar en su totalidad. ci escalmo del mundo. El Sr. Falcó , cespites de haber manifestado que no u opeuia i Jo</t>
  </si>
  <si>
    <t>…o el cúmulo de razones que habia para que este asunto te mirase con del tribunal supremo, y asi se verificó. la mayor circunspección, pues no se trataba nada menos que de hacer El Sr. Falcó: En mi concepto este asunto debia haberle resuelto ei salir del reino-á la Reina; y añadió'que las Cortes debían prescindir de Gobierno, y de ningún modo remitirlo á las Cortes, puesto que aquí las sensaciones que hubieran experimentado para ver si el Gobiern…</t>
  </si>
  <si>
    <t>…es retuvo sus licencias, y despu-s fio'a s; consideraba ofendido de las palabras que (libia pronunciado el murieron tr p.rsecucíon de los face.osos, se les as'.rr.as." una pens .n Sr. Falcó en su discurso ; las que pedia se vscribiesrn. por el Es 1.1 ti.1, npnaba que este asunto dib.a pasar al Go'j-erno, p.ta El Sr. (ialiano pidió se leyese el art. 108 del reglamento y el ama que infotminido sobre él, lo presentase á la del.berariun de las Con 3…</t>
  </si>
  <si>
    <t>…o espiritual; en fin son nistrar, recaudar y pagar á los partícipes, cuidar de que no se ocul hombres. ten bienes ni rentas, y recoger los títulos de propiedad , siendo esta la £1 Sr. Falcó : La instrucción de la comisión de Visita del Crédito tercera disposición sobre este asunto. No despojó la Nación a! clero, público, á que bacs referencia la proposición, está á mi entender en tomó lo que era suyo. oposición con lo decretado por las Cortes re…</t>
  </si>
  <si>
    <t>…importancia como este. Ls cir El Sr. Canga deshizo algunas equivocaciones, en las que dijo ha cular de 20 de Agosto es en mi concepto contraria á los decretos da bía incurrido el Sr. Falcó. las Cortes que habían de la mot ría sobre qu; aquella versa. Para de El Sr. secretario de Gracia y Justicia: Se ha ’ ‘•’-o una inculpación mostrarlo basta examinar el cbj.to de dichos decretos, analizar ia cir al Gobierno por haber mandado observar, circular…</t>
  </si>
  <si>
    <t>…cedió á la discusión, del proyecto sobre arreglo definitivo del ÍS-ESIDtNCIA DHL SESÓR ISTURIZ. clero en su totalidad , para lo cual se leyó dicho proyecto. Sesión del din a 8. El Sr. Falcó le impugnó (jde discurso si publicará integro en otro Teida y aprobada el acta de (a anterior, las Cortes oyeron con agra número'), manifestando que en su concepto «a peligroso, por el dis do las siguientes exposiciones, felicitando á las Cortes. gusto que pr…</t>
  </si>
  <si>
    <t>…s cuatro. acomndtr su policía exterior, ó sea distribución de diócesis, a la divi sión del Iciriíuric civil, que para esto ha habido y hay razones muy Discurso pronuncíenlo por il Sr. Falcó en ia sesión de ayer, anunciada podtrosas y plausibles que á nadie se ocu'tan corno esté medianamente en ia Gaceta lid mismo día. versado en la historia eclesiást-ca , y quesería conveniente se htci.se en España un arreglo donde es mostruosísima la división d…</t>
  </si>
  <si>
    <t>…misión Eclesiás de España ha de tener obispos es preciso que sobre el paiticular se restica sobre el arreglo definitivo del clero. tabh zea la antigua disciplina de la Iglesia. El Sr. Falcó pidió que se pasase aviso á los secretarios del Despa También desaprobó el Sr. Falcó el artículo de la comisión en que cho , ó á Jo menos al del ramo á que pertenecía este asunto, para que pu se declaran vacantes los obispados , cuyos obispos hubiesen sido &lt;…</t>
  </si>
  <si>
    <t>…un obu» que se había iniiii'izado, a ■*3cau las anteriores. sa de haberse roto un egc, yen est: aun so batieron vario» indivi La misma resolución recayó sobre otra que presentó el Sr. Falcó duo» de ia partida con algunos ¡¿ucet.ps, y con pérdida de do» de del intendente y demás oficiales de la Hacienda pública de Valencia sobre el mismo asunto. esto», cogiéndoles uní lanza y una carabina, sin haberse retirado h partida hasta que la artillería po…</t>
  </si>
  <si>
    <t>…iva de la Iglesia! No creo que 4 las disposiciones del Congreso, él las verá con gusto. la comisión ou era llevar tan adelante el restablecimiento de la disci- Ha hablado mucho el Sr. Falcó de los diezmos ; pero S. S. no me pi-na . y que solo liabr tratado de restablecer la disciplina que observó negará que esta es una de las contribuciones mas odiosas; y sobre todo nuestra Ig esia goda por espacio de tres siglos. es preciso que se convenza todo…</t>
  </si>
  <si>
    <t>…es tengan á bien misma contribución del diezmo, puta á pisar del apoyo que la presta aprobar el proyecto. ba la inquisición y del prestigio con que se la rodeó , llegando hasta El Sr. Falcó: El proyecto de decreto para el arreglo definitivo del híctr mandamiento de ia Iglesia el pago de diezmos y primicias, clero , que como voto particular te está discutiendo, no es tan compli siempre se cometían algunos fraudes en su pago. Eo vista pues de cado…</t>
  </si>
  <si>
    <t>…al de Santander , por el Sr. Aibíir. ti rom-no pontífice se valga de un obispo español para los uego]&amp;e varias ciudadanas de S. Sebastian. eios contenciosos, dijo ayer bastante el Sr. Falcó. Pero yo añado otra XV.l regimiento de caballería de Barbón. reflexión, ¡ qué importe que se valga e! pontífice de un obispo español De la milicia N. V. de Logroño. ó de un exuahg'ro si a! cabo se le admite al qu; envía si es burro , y Del consulado de Santan…</t>
  </si>
  <si>
    <t>…ste nes En el pro;. .- escrutinio para vxe-presidente no hubo elección , te go ¡ no siéndome de poca satisfacción el respeto y aprecio que merecen niendo el Sr. Marau 53 votos, el Sr. Falcó 46, el Sr. Munarnz uno, mis relaciones. el Sr. Becerra uno, el m. Vega nnn, ol s«. Cnas uno, d o.. Im .n,. En otras del 18 se dice : Se ha formado un Congreso para arre uno, el Sr. Garmendía uno, el Sr Fetrcr (D. Joaquin ) uno, el se glar el mido de minorar &lt;…</t>
  </si>
  <si>
    <t>…rnardo Elizalde , se dijese la sición del Sr. Moreno Guerra. eonducta que en esta ocasión habla observado (re. Se aprobó la siguiente adición del Sr. Prat á la acción de gracia El Sr. Falcó impugnó este dictamen, manifestando que era un er decrlada por las Cortes ai ejercito del 7.0 distrito militar, que dncia ror suponer, como se suponía por la comisión, el que atacando a un asi: ■, Pido á las Cortes que dicha acción de gracias sea ext“nsiva a…</t>
  </si>
  <si>
    <t>…yó el dictamen de la comisión que ha entendido en la formacon que se pidió y se hizo dicha autorización. -___ cipn deJa-otdenanza para el reemplazo del egército sobre ta exposi El Sr. Falcó se opuso i esta proposición , minifestando qui fiir'ba- ción' ds“Faustinó Robles, vecino de la provincia de Cíceres, en que so bia necesidad de hacer semejante aclaración. licitaba que las Cortes se sirviesen declarar si un hijo suyo a quien ha • Se declaró n…</t>
  </si>
  <si>
    <t>…ero , leyó el dictamen de la misma; y el que prccedeT.c-, y por lo mismo debe aprobarse la proposición. Sr. Oiiver leyó su voto particular sobré la misma materia , suscrito por El Sr. Falcó : Las Cortes acaban de autorizar al Gobierno para que él Sr. Ferrer (D. Joaquín ). Se mandaron imprimir. pueda emplear en comisiones ú otros encargos á los individuos del con S« leyó y aprobó la minuta de decreto sobre la cesación del Go sejo de Estado que te…</t>
  </si>
  <si>
    <t>…, de la pérd da d.d crédito y de una ca ree Calderón por 114 votos , habiendo : ay de total , y temenoo J 3 el dena de males interminables , cuyos primeros esiabones se hallan por Sr. Falcó, y uno cada uno de los Sres. Nuñez C D. - oribiu ) ¿ Rturiz. fortuna solamente en los espacio» imaginarios. En la votación para vice-presidente salió» electo en primer e&gt;ciuti- » El lenguaje que han usado et, Madrid las cortes de Austria, Ru nio el Sr. Valdés…</t>
  </si>
  <si>
    <t>…es considerados como milicianos nacionales voluntarios con ia deno Art. g.° (Viaje la ¿aceta de ay te.') minación e insignia que ¡levan, y bajo el reglamento de 19 de Junio del MI Sr. Falcó: En este artículo no encuentro yo ninguna gracia en favor ario pasado, subsistiendo de este modo mientras tengan fuerza suficiente de los milicianos, y ciertamente que los que se prestan a este servicio son para conservar aquella denominación.” acreedores á a…</t>
  </si>
  <si>
    <t>…el Sr. secretario de Hacienda de varios individuos que solici no por los ayuntamientos respectivos. tan se les declare, en virtud de sus servicios, poder obtener destinos de la El Sr. Falcó fue de parecer que los sugetos de que trataba el artículo Nación. debían ser pagados por los fondos provinciales por varias razones qu» A la comisión de Diputaciones provinciales se mandó pasar una expo expuso. sición deba de Almería acere:* de varias dudas r…</t>
  </si>
  <si>
    <t>…inante ha insistido sobre otros particulares que no sun de la clero, sino que se le deja en el mismo estado. totalidad del proyeclo; y yo creo que las Cortes no dejarán de reco El Sr. Falcó : El proyecto que presenté la comisión desciende á al nocer la necesidad que hay de que se admita el proyecto en su totali gunos pormenores que necesitan aclararse, y algunos que yo no puedo dad para que después se hagan en sus artículos las modificaciones qu…</t>
  </si>
  <si>
    <t>…p por el arriendo de la casa de su domicilio en el pueblo de su ve tima parte la mitad de los bienes del clero. cindad. A los que habitan en casas de su propiedad se les gradua El Sr. Falcó: No es mi ánimo impugnar este artículo por rá por los ayuntamientos según las demás de igual clase. De cual no estar persuadido de que sea necesario en las actuales circuns quiera arriendo que se aparente menor se exigirá la- multa de una tancias hacer el ser…</t>
  </si>
  <si>
    <t>…apital, cuyo 3 por 100 en Ja Península, y plicante. ei 5 por 100 en Ultramar , sea suficiente para desempefario. La comisión segunda Eclesiástica, en vista de una solicitud del El Sr. Falcó: El proyecto que se somete á la deliberación de cabildo de la catedral de Palencia para que se le conceda el pro las Cortes es la aclaración de una ley , que yonojuzj.o ser ia mas ducto de las prebendas vacantes aplicadas al Crédito público , en benéfica que…</t>
  </si>
  <si>
    <t>…sar al Crédito público. Pido norte pata proponerle tal como está, y contestará á las impugna se lea el artículo 17 de este decreto (se leyó). Una de dos, ó es ciones hechas por el Sr. Falcó. te derecho de propiedad corresponde á hermandades ó cofradías, En el primer artículo ha chocado al señor preopinante la ex ó á manos muertas, hospitales ó establecimientos de educación. presión » que no esten cumplidas y propone se añada ó y no sea Si perten…</t>
  </si>
  <si>
    <t>…nes yo aprobaré el artículo. seguida á algunas observaciones que se hablan hecho en ¡a discu El Sr. _R.uiz de la Vega: Las observaciones que acaba de ha sión del proyecto. cer el Sr. Falcó son las mismas que indicó en ia ses.on ele ayer; Ei Sr. presidente suspendió esta discusión. pero es preciso tenga S.’S. presente que ..I objito de este proyec El Sr. Muro leyó un dictamen de la comisión de Comercio, to, según la mente de sus autores, es d.sp…</t>
  </si>
  <si>
    <t>…no ser por este tráfico juicio que debe hacerse de su estilo napoleónico, y de lo que se hubiera seguido el curso señalado por las leyes. Asi que , la ob dice en ellos. jeción del Sr. Falcó no tiene lugar , porque ademas el Congreso Aviso telegráfico. «Bayona 19 de Abril__ .El mayor gene atenderá por otros medios á los establecimientos de beneficencia ral al ministro de Guerra___Nuestras tropas han tomado el puer Y d!e instrucción pública. to y…</t>
  </si>
  <si>
    <t>…ambio deben correspondido á las esperanzas del Gobierno; pero lo mas extra ser satisfechas con toda preferencia. ño es que entre las razones alegadas por Bernales es una la, de El Sr. Falcó : Las razones alegadas por el Sr. Zulueta y el que para el cúmplame .0 del contrato no era necesaria la acep Sr. secretario del Despacho son mas especiosas que solidas. En tación de las letras, lo cual es una contradicción por haber ad efecto, s. se aprueba J…</t>
  </si>
  <si>
    <t>…e .haber inconveniente mas que se quiera decir es una verdadera confiscación. Enhora en, aprobarse el articulo. buena que se castigue con la muerte al delincuente; pero no deba El Sr. Falcó: Yo creo que las Cortes deben ser consiguientes confiscársele los bienes, porque entonces la pena se extiende á las con lo. que han aprobado en el artículo anterior: en uno y otro familias. se habla de delincuentes y de ocupación de bienes, cuando son Es verd…</t>
  </si>
  <si>
    <t>…ferente op.nion que losSres. autores de ella: por oonsituicu89, otro con óóoo, otro con 69, y un porrero con q9. íe estando Ja cuestión reducida sencillamente á que el Gobierno El Sr. Falcó se opuso íi este dictamen , manifestando que en- remita el expediente no debemos empeñarnos en cuestiones que atención á las urgencias dd Estado no debían decretarse sueldos, tío son del caso, ni si el Gobierno ha tenido o no tiempo paia y que esta oficina po…</t>
  </si>
  <si>
    <t>…se á personas que inspi rar directamente y de hecho contra el sistema constitucional ? ren la mayor confianza. A esta clase de magistrados indignos y traidores se contrae el ar El Sr. Falcó; Yo no puedo menos de reproducir los argu tículo , y los señores que le han impugnado se convencerán deque mentos del Sr. Prado; y para esforzarlos mas supongamos que es imposible evitar de otro modo la traición de los magistrados existe en algún pueblo un ab…</t>
  </si>
  <si>
    <t>…n caso de no poder satisfacer su importe , sufrirá las tículo. penas que proporcionalmente señale el código penal. Se declaró el punto suficientemente discutido, y se aprobó el El Sr. Falcó; Muy floja y muy suave me parece la comisión articulo, sustituyéndose en lugar de Ja palabra per iki.ioj ¡a siguien en este artículo, mayormente cuando se compara con el anterior, te .,ae3tiitg.i'ilos ; y,añadiéndose después de.esta palabra. Ja siguiente l’or…</t>
  </si>
  <si>
    <t>…os poseedores con solo un juicio sumario y meramen tes el premio á que se haya hecho acreedor por su heroísmo.” te instructivo. Sino se hace esta aclaración, creo que 110 puede F1 Sr. Falcó pidió que se incluyese su nombre entre los que aprobarse el artículo. firmaban la proposición. El Sr. Alonso: La comisión no tiene inconveniente en que El Sr. Canga apoyó la proposición, manifestando cuanto ha en vez de reintegrados se diga restituidos; pero…</t>
  </si>
  <si>
    <t>…ta duros, y ademas será ex téntico el siguiente oficio del Gobierno francés , comunicarlo á tinguida la corporación- uno de sus cónsules, quien lo recibió con fecha 10 de Mayo. El Sr. Falcó manifestó que en el primer artículo no se hacia mas «El Rey ha resuelto y prohibido á sus súbditos que armen que repetir lo que ya estaba prevenido en el art. 316 del código en corso. Hasta la marina real tiene orden de no apresar sino los penal, que pedia se…</t>
  </si>
  <si>
    <t>…diplomas se satisfará de Jos fondos, mu ayer, relativo á la conducta'de los condes del Abisbaí y de Monnicipales. tijo, opinando debía declararse haber lugar á la formación de El Sr. Falcó manifestó que los señores de la comisión, si les causa ai primero; y que en cuanto al segundo.pasase el expedien parecía conveniente, podían cLeir que se hiciese extensiva .la gra te al Gobierno para que fo instruyese. Se mandó quedar sobre Ja cia concedida e…</t>
  </si>
  <si>
    <t>…to contra la Nación de ese general, con amplió y apoyó el Sr. Galiano en un largo y elocuente discurso. la discusión, que ha sufrido este negocio y por las providencias Después el Sr. Falcó impugnó el dictamen ; y habiendo con del Gobierno, suplico á las Cortes que pasen al mismo este ex cluido este Sr. diputado su discurso, tomó la palabra el Sr. Ar pediente para que obre con arreglo á las facultades que tiene. guelles , y contestó extensamente…</t>
  </si>
  <si>
    <t>…jor es honor del general en gefe con destino a! estado nv.v.x del ecercito , y entonces no me opondría al artículo. to al miliciano local voluntario D. Pedro Garcii de Borunda, Él Sr. Falcó: No tengo mas que decir que esforzar los argu que sirve en el ejercito á su» expensas, v por auxiliar del mismo mentos de los señores preopinantes, pites creo que no debe decirse estado mayor al capitán retirado 1). Josef María de Crespo. copia primordial, si…</t>
  </si>
  <si>
    <t>…bre la recaudación y administración de los bie A la comisión primera de Hacienda se mandó pasar una adi nes del clero secular y fabricas de iglesia, a fui de que se añada ción del Sr. Falcó al art. g.” del cap. i.° sobre papel sellado. que los participes legos deban acreditar previamente can la pre La comisión de Casos de responsabilidad, en v,sta de la ex sentación de títulos la legitimidad det derecho que íes asista. posición de D. Rafael Cama…</t>
  </si>
  <si>
    <t>Falco</t>
  </si>
  <si>
    <t>…para tratar de este negoc.o: ¡ama» la» cucunstanc.a» lian &gt; do escuece al Sr. preopinante debe llevarse á efecto. ademadas para que se pensase en el anecio e.eí curvo: ; y que El Sr. Falco deshizo algunas equivocaciones en que J:;o había qu ere decir esleí s.no que en teclas cpoc.l» 1 a pete.Ki ei cien, el incurrido el Sr. preopinante, á que contesto el Sr. Istur./. diezmo entero o el medio d.e/mo , ro se qu-eie que se t.ate de El Sr. Prado: Al…</t>
  </si>
  <si>
    <t>Falcó-</t>
  </si>
  <si>
    <t>…i ce cxped.cr.tcs sobre la »i.is¡juino, sino el medio mas eficaz para resolver este probíe constante ocultación de los productos ccl unc o d.ezm.o , pedí a 111a; y si no dígame el Sr. Falcó-» ¿por que hav tamo empeño tener !u -;;tr la observación de Lis Sris. Prauo y Falce,; pero está en no dejar agregar las tincas y los predios al Cred to publico: muv clara la opos c on del clero a dar Lis rol c;c» que* se le han Porque se sabe que teniéndose as…</t>
  </si>
  <si>
    <t>Falcon, Nufiez</t>
  </si>
  <si>
    <t>Nufiez Falcon</t>
  </si>
  <si>
    <t>…e en el pueblo ó á distancia de diez teguas ó menos. La comisión de Marina, habiendo examinado dos adiciones-del a/ &lt;• ¿os que declarados soldados ó suplentes no se presenten cuan Sr. Nufiez Falcon ; la primera para que los cabos de cuird.a de la do se les cite para ser conducidos á la capital, ó concurran proniamcn- armada naral use» de la vira que se designa en el art. 6.“’ del decreto ce á ella, de modo que puedan ser entregados er, la caja antes de…</t>
  </si>
  <si>
    <t>Falcon, Nuñez</t>
  </si>
  <si>
    <t>Nuñez Falcon</t>
  </si>
  <si>
    <t>…N). jnenar Viejo, para qué se la perdonen 9 fanegas de trigo que debe al pósito de dicho pueblo; opinaba podia accederse á ello. Aprobado. Sesión del 20. Se leyó un oficio del Sr. diputado Nuñez Falcon, dirigido Se leyó y quedó aprobada el acta de la anterior. á los secretarios de las Cortes , manifestando que tanto por lo po A la comisión de Instrucción pública se mandaron pasar va co ventajoso del local del salón , cuanto por lo poco que oVe, se rias expo…</t>
  </si>
  <si>
    <t>…de defensa de Se aprobó el acta del dia anterior y se mandaron insertar en esta plaza, seria también indispensable libertar de roda responsa la de hoy los votos particulares: del Sr. Nuñez Falcon, contrario bilidad al que se la habla impuesto la ley, porque no pod.a du á la aprobación de la primera y segunda parte del dictamen de la darse de que si la junta no era consultiva, sino árbitra en proce comisión Especial, contestando á la memoria presentada…</t>
  </si>
  <si>
    <t>Falleirand</t>
  </si>
  <si>
    <t>…u corazón __ El Constitucional ds Parts del dia 7 trae el discurso que pronunció un deseo de conc-der este perdón, y les arredra solo el resultado. Yo en la Cámara de los Pares el príncipe Falleirand, cuyo nombre es bien solo responderé al Sr. Sepe en , cuyo corazón veo mas, atemorizado. conocido en los fastos de la revolución francesa. Excusado es decir que Cuando yo vea que falta en el corazón de los españoles la gene- este discurso tiene toda la majest…</t>
  </si>
  <si>
    <t>Fangul, Manuel de Manuel</t>
  </si>
  <si>
    <t>Manuel de Manuel Fangul</t>
  </si>
  <si>
    <t>…En el en dréis se imprima , publique y circule. = Rubricado de la Real cuentro fueron muertos el sargento t.° del batallón del Genera!! m»no.=:En Cádiz a 17 de Agosto de 1823. =A D. Manuel de Manuel Fangul y el zapador Jcref Perez. ~ Herido el sargento la Puente. del £3 Francisco Herbás, y contuso el cap'tan del batallón del Lo míe de Real orden traslado á V. para su inteligencia y General D. Antonio García Liñan , que concurrió voluntariamen t'fcc ros cor ven…</t>
  </si>
  <si>
    <t>Fantin-des-</t>
  </si>
  <si>
    <t>…le hacían ¡as tropas emboscadas sobre el mismo puta* ruña con su cargo, después de haber recogido los tres marineros fe y en la orilla derecha. » El general de la Roche-Aymon, el coronel Fantin-des- franceses. La fragata, siguiendo las órdenes de S. M., no ha querido Odoarts y el teniente coronel de Fitz-James marchaban al apoderarse de un buque que estaba desarmado. Y este acto de ge-: frente de la columna. En un momento se vió precisado el ene ncrosida…</t>
  </si>
  <si>
    <t>Fantin-des-Odoaru</t>
  </si>
  <si>
    <t>…s y i la Reina del cielo por el conde d’Astorg. El general de la Roche-Aymon fue el por los inefables favores concedidos al Soberano y á la nación tercero que pasó el puente, y al coronel Fantin-des-Odoaru portuguesa, librándonos del Gobierno mas impío y execrable, del 3.0 de línea le mataron allí su caballo. cuyo solo objeto era destruir basta sus fundamentos el famoso Mr. de la Roche-Aymon con los húsares ha perseguido al edificio del imperio lusitano. enemig…</t>
  </si>
  <si>
    <t>Faraín, Tomas</t>
  </si>
  <si>
    <t>Tomas Faraín</t>
  </si>
  <si>
    <t>…Co limo. Sr. obispo y el cabildo, el Excmo Sr. obispo de Ceuta ronel. y las principales personas de la dudad: por la tarde lo verificó d mariscal de campo de los Reales ejércitos D. Tomas Faraín, Los Sres. suscriptores á esta gaceta que por extravío ú otra gefe de la Real caballería de S. M. en Córdoba, con todos los causa no reciban algunos números de ella , y tengan que recla empleados y dependientes: los individuos ds la Real brigada de marlos, se…</t>
  </si>
  <si>
    <t>Fardeila</t>
  </si>
  <si>
    <t>…en tan horrorosa tempestad entre nuestros ínti -de Ascoli.' que el general Nunciante será ministro de Guerra; el mos y fieles aliados los franceses, dirigiendo desde sus-dominios general Fardeila inspector de !a guardia Real, y el general Churcb, como sabio piloto esta nave política para que no fuese sumida y cuya conducta ha sido tan buena en tiempo de la rcbilion , imenvuelta entre sus ruinas. pector de tropa» ligeras. (Nen^Times.) » Gracias infinit…</t>
  </si>
  <si>
    <t>Fardo, Antonio</t>
  </si>
  <si>
    <t>Antonio Fardo</t>
  </si>
  <si>
    <t>…de la facción del conde de Amirante era r:'r j ti lOv .a.'-.oLa comisión de Visita del Crédito publico, en vista de la instancia lutíi t viv.t l;t Ke/'/.r, v l.i Ccnst'tuslon. de D. Antonio Fardo, coronel de artillería, era de parecer se le exi El Sr. Castillo Bvanco propuso en 1* sVon del 5 un provecto ds miese del pago de las cantidades que solicitaba , por ser un gravamen decreto pira que se declare: 1." Que Ir?» ayuntamientos constituí.cor incompa…</t>
  </si>
  <si>
    <t>Fardo, Juan</t>
  </si>
  <si>
    <t>Juan Fardo</t>
  </si>
  <si>
    <t>…ción de bienes á D. Juan order. para que se expida el libramiento, y se devuelva al interesado Pardo, D. Román Corona y D. Joseí Srnan y Veiazquez; y quedó eledicha cantidad. £’do D. Juan Fardo por 54 votos de 71 de total, teniendo &lt;6 D.Ro K1 Sr. Arguelles dijo que este dictamen debía volverse á la comi mán Corona , y uno D. Jnsef Señan y VJazqurz. sión para que lo redactase en otros términos, puesto que las Cortes no La misma junta directiva propon…</t>
  </si>
  <si>
    <t>Farias, Felipe</t>
  </si>
  <si>
    <t>Felipe Farias</t>
  </si>
  <si>
    <t>…erra; y S. M. ha aceptado esta generosa oferta, este encargo á los valientes coronel D. Domingo Loyola , tenientes co mandando se haga pública por medio de los periódicos. roneles D. Felipe Farias y D. Ramón García, á cuya intrepidez ss TESORERIA GENERA! DE IA NACION. Caja principal. 3 ° Ar‘° económico. Mes de Febrero de i8oj. Arqueo de la caja de la tesorería general de la Nación, que comprende desde i.° hasta 28 inclusive del corriente mes, según acta formalizada en e…</t>
  </si>
  <si>
    <t>Faure, N.</t>
  </si>
  <si>
    <t>N. Faure</t>
  </si>
  <si>
    <t>…alentía 5 de Abril, reglo á ordenanza. La primera compañía de M. V. de caballería de cita ciudad, Desde mañana se romperá la retreta á las nueve con arreglo al mando de su cap tan D. N. Faure, y por ocupación de este al á ordenanza =Leglisa. &lt;3e su teniente D. Vícente Carra, deseosa de manifestar su grati —A la» diez y media de ia mañana de hoy se ha». trasladado tud á la valiente división catalana, al mando del caroncl Buzan y SS. AIM. y A A. á l…</t>
  </si>
  <si>
    <t>Fausti-</t>
  </si>
  <si>
    <t>…asistieron los minis que se les administrase justicia. Aprobado. tros extrangei os, los grandes de España, las autoridades y gefe* La misma comisión , en vista de la solicitud de Doña Fausti- y oficiales militares y civiles, con todas las demás personas que na Taóvera , vecina de Zaragoza , para que se declarase nulo un gozan de la honra de saludar á SS. MM. Las baterías de la p .iza testamento de un hermano , era de Opinión que no debía acceder-…</t>
  </si>
  <si>
    <t>Favier</t>
  </si>
  <si>
    <t>…na invasión que apenas tiene egcmplar en la in Entre los pasaderos que traca los barcos que aportaron á esta justicia , y aun en el modo con que se ha preparado y egecutavienen el coronel Favier y otros oficiales franceses, que tuvie do: los derechos sagrados y soberanos de las naciones y las re ron la valentía con otros que se esperan, y 18 que han sido gias de la fe pública ya no significan nada para los déspotas que muertos y heridos el dia en que…</t>
  </si>
  <si>
    <t>…de su consagración, y pidieron la pa.abra halla en Sevilla tratande con nuestro Gobierno, y en su ausen en contra tos Sres. Prado , Faicó, Buey y Osas, y en pro los cia a ¡as del coronel Favier. Sres. Vclasco , Sedeño, Oliver, Afonzo y Varela. ;,E1 general permanecerá en esta algunos dias hasta tanto que En este estado se suspendió la discusión de este asunto, y el reciba pliegos importantes que espera, y enseguida marchará á Sr. secretario de la Go…</t>
  </si>
  <si>
    <t>Faz, Josef Vicente de</t>
  </si>
  <si>
    <t>Josef Vicente de Faz</t>
  </si>
  <si>
    <t>…,co Ramón Santos Gómez , de granaderos D. Alejandro Rúa y D. Tomas ronel Mr. Maquin , 1800. Estos dos cuerpos están repartidos por desta Regalado, y de fusileros D, Román Ayata y D. Josef Vicente de Faz camentos en Foix, Ax , Tarascón y Cabañera. en todo este dia, y el valor de las tropas es imponderable, y merecen Caballería. Han recibido contraorden Jos cuerpos de coraceros que por ello bien de la patria. Todo lo que espero que V. F.. eleve A la s: habían…</t>
  </si>
  <si>
    <t>Fa’con</t>
  </si>
  <si>
    <t>…a «gente de mar” por 48 votos contra 39, aprobándose el lesto del fXBSIDBNCIA DTSL SEÑOR ISTURIZ. artículo. Sesión del dia 21. En seguida se puso i votación el voto particular del Sr. Fa’con, Se leyó y aprobó el acta de la anterior. reformado en estos términos. « Debiendo guardar una perfecta armonía Se mandó pasar i la comisión del Crédito público un oficio del se» entre los castigos que se imponen á la tropa y marinería y entre sus Sor secretar…</t>
  </si>
  <si>
    <t>Fbrn.vnixj</t>
  </si>
  <si>
    <t>…ue él no la aprobaba. y mas atroz atentado, destronando y sacando precipitadamente El Sr. Salvato dijo: Pido se exprese en el acia que solo un preso á puestro muy amado Monakca el Sr. D. Fbrn.vnixj vn, señot d putado no ha aprobado esu proposición. nuestra Sra. la virtuosa Rhina y Sres. Infantes y Esposas con El Tr. Aibt^ir; Yo hs,aprobado la proposición; pero si s* sus tiernos niños al anochecer del día 12 del corriente con di ha de expresar qu* !o há…</t>
  </si>
  <si>
    <t>Fcrrcr</t>
  </si>
  <si>
    <t>…ombramiento de la persona que gada á ella, presentada y leída por el Sr. Romero. lo ha de desempeñar en propiedad. ’ El Sr. Adán pidió y obtuvo la palabra para hacer presente á El Sr. Fcrrcr (D. Joaquín) hizo presente que haciendo pocos las Cortes que haciéndose mérito en la memoria que habia leido dias que se habia leido un oficio del Gobierno, en que se inserta el' Sr. secretario de Hacienda de la lista del repartimiento de con ba un decreto de…</t>
  </si>
  <si>
    <t>Fcrrer</t>
  </si>
  <si>
    <t>…erno mas á la patria de hombres de mucha experiencia , y que al mismo político de ia, provincias. tiempo se hallarán muy robustos, aunque se retiren á ios 25 ó 30 años Adición del Sr. Fcrrer (ü. Antonio). Pido á las Cortes que en el de servicio; asi que creo no debe aprabatsc el artículo. lugar mu conveniente se añida en articulo en estos termino,: », Cuan BISr. Koinero: Yo creo muy conveniente el que al oficial que do un ayuntamiento po: l.ilta…</t>
  </si>
  <si>
    <t>…cación en que dijo había socorro por ’ carecer de recursos para presentarse al Congreso; incurrido el Sr. Canga. opinaba que debía aprobarse el acta , y que en cuanto á la expo El Sr. Fcrrer (D. Joaquín) dijo que la comisión de Visita sición del Sr. Guevara* se abstenia de dar su dictamen por nt&gt; cor- no podía dar otro informe ,-pero que tampoco las Cortes po rcspóhderle este asunto. Aprobado. dían aprobarlo por muchas razones:, que mucha parte d…</t>
  </si>
  <si>
    <t>Fcrrer, Pedro Mártir</t>
  </si>
  <si>
    <t>Pedro Mártir Fcrrer</t>
  </si>
  <si>
    <t>…n individual de todos, por ahora solo digo á V. K. que estoy se ha mandado c:t«r y .«v..car a i&gt; as F-rr-r, * atura! de -R -il o , vecino tratando con el digno comandante de armas D. Pedro Mártir Fcrrer, qu; fue de ia villa «!•* C,r.*vjti ras, y ú-t.mámente vecino d. ir c.udad de capitán del regimiento Infante D. Cirios, de disponer una pequeña.co Cuenca, de estado ca-a.io y nfic o z-iuat-ro , para que al término de ocho lumna que continúe la persecución de…</t>
  </si>
  <si>
    <t>Fd</t>
  </si>
  <si>
    <t>…ia. Muchos, La Regencia del reino se ha servido nombrar para la capi biuchos »e le desertan á Ballesteros, y el gen-ral Samoere les tanía general dei reino dé Valencia al teniente general D. Fd¡. recoje las armas y uniformes, y les da lie ocia para sus casas. pe Saint Marcq¡ para la de Andalucía a! de igual clase D. JoNó quiero escribir mas por la poca fe qu1: tengo de la llegada scf María Carvajal; y para la comandancia general del campo de í sus m…</t>
  </si>
  <si>
    <t>Fe</t>
  </si>
  <si>
    <t>…en, destinada á re En su vista se reunió el jurado, compuesto de los Sres. siguienPs: forzar ia de Rotvley ea Ja Jamaica. D. Antonio Sandalio de Arias, D. Juan Manuel de Aréjula , D. Fe _E1 Monitor del 31 publica ya el decreto de la convocatoria de las lipe López Valdenioros, D. Gonzalo Cárdenas, D. Manuel Esteban Cámaras para el 18 de Enero. Gatalá , D. Nicolás Cano Luque, D. Zoilo Gom:z Cisero , D. Joscf __La libertad nunca ha sido vencida…</t>
  </si>
  <si>
    <t>Fé</t>
  </si>
  <si>
    <t>…arte hemos tenido ta pérd da de un saldado muerto fíntij El Valiente D. Antonio Porta, teniente, se comportó bizarra y 21 heridos de la guarnición , y comu.o el capitán de Córdoba D. Fé mente con sus miquelete», asistiéndonos en todos los peligros; de mo lix María Zuarnabar. Todos los gefes., oficiales y trop», mis ayudantes do que í los 40 valientes de-Fernando vu y .á Jos 20 naiquíletes y á de campo y oficiales de P. M. han cumplido respec…</t>
  </si>
  <si>
    <t>…tos para presidente el Sr. D. Joaquín María Ferrer, diputado 3.0, pág. 193 de la colección de los mismos, puesto que se hizo por la provincia de Guipúzcoa, para vice-presidente el Sr. D. Fe particular mención de él al tiempo de declarar estas provincias en lipe Bausa, diputado por las Islas Baleares, y para secretario el estado de guerra. Sr. D. Bartolomé García Romero y Bcrnal, que Jo es por la de 2.0 Que sigan también manteniendo como hasta aq…</t>
  </si>
  <si>
    <t>…Guevara por la de Ávila: D. Manuel Pío de Arias por la de tiembre ele mil ochocientos doce, en que se dieron varias medidas Cuenca: D. Joaquin Fuentes del Rio por la de Sevilla : D. Fe para asegurar la confianza de la Nación. liz María Manso , D. Manuel Ruiz del Rio y D. Manuel CaArt. "10. El Gobierno dispondrá que los gefes militares y sildo González por la de Soria: D. Antonio Ferrer y D. An políticos, las diputaciones provinciales é inte…</t>
  </si>
  <si>
    <t>…ente Guevara por la de Avila: D. Manuel Pío de Arias por la de al puerto de Valparaíso. Viene con poderes del Gobierno de Li Cuenca: D. Joaquín Fuentes del Rife por la de Sevilla: D. Fé ma para pedir auxilios al de Chile. lix María Manso , D, Manuel Rulz del Rio y D. Manuel CaDespués de copiarse en el número del 7 de Mayo del mis sildo González por la de Soria: D. Antonio Ferrer y D. An ino periódico el discurso de Luis xvur en la apertura d…</t>
  </si>
  <si>
    <t>…gentos porri nos. introdujo 300 hombres con el gen-ral Chumbó a su cabeza, Al cabo primero Francisco González Vitiamoure el esacompañado del secretario y del gefe dei estado mayor D. Fe sro censo a sargento primero y grado de subtcm.nt. ; y e. grado dre García Navarro. Treinta rrrtilleros que qu •■raban -n e¡ c--&gt;stillo «argentos segundos á los cabos primeros Maru ■: Roriri.u. ?, Jofueron sorprendidos, y »e entregaron á -as f ’pis dei Rey :…</t>
  </si>
  <si>
    <t>Fe.o</t>
  </si>
  <si>
    <t>…á desplomarse en íie:r.po de Carlos 11 y su sucesor tes : líI Gobernador c. i ra.-os-Montc» con fecha del i 5 notició y hermano Jacobo n , como hubiere sucedido á r.o haber acu ai general Fe.o, &lt;311.- ii.ibicr.da mandado una partida de cc.baikr:.* dido á su socorro un libertador con un ejercito. Cualquiera, sis hasta cero de ia Puebla de funabria, el oheial comandante de tema de gobierno expuesto a embates tan violentos con o leí que ella trajo l.t…</t>
  </si>
  <si>
    <t>…s» un ejemplar , y los tres res por un momento prisionero. Es justo cita; de una manera la mas tantes quedarán en mi poder. honrosa á los i res Petitjean, capitán del 36.'; Borne, capitán Fecha en Maide entre el marques de Villa-Campe, coronel del estado mayor; Grooterer, teniente del 34.°, y el cabo de in comandante de una de las columnas del cuarto cuerpo del ejér genieros Hué , pues lo; cuatro sondearon y reconocieron los pa cito español autoriza…</t>
  </si>
  <si>
    <t>Fede</t>
  </si>
  <si>
    <t>…rá rc- servada después por los normandos , los suecos v sus sucesores. aouocido por profesores que asistirán al acto, y de plano se ave La pintura que hace el autor del remado del emperador Fede riguará si es cierto el hecho para declarar ia excepción : no se ad rico , hace resaltar toda la atrocidad de la corte de Roma , la cuaL mitirá certificación anterior de médico ni cirujano, y á estos se no cesó de perseguir á este grande y digno Soberano , á…</t>
  </si>
  <si>
    <t>Federico</t>
  </si>
  <si>
    <t>…ones sobre el saqueo, pillage, merodeo &amp;c., por el general Hu Nota del importe de ¡os créditos cancelados con ínteres y sin él que go, traducida libremente con notas por el citado brigadier D. Federico han entrado en este establecimiento en pago de fincas y redenciones decen ■Mor-tfi.*’ io; á cuya quema se procederá cl día 7 del corriente mes en Ja plazuela de Historia del derecho español, por D. Juan Sempere, cuadernos 7.0 y las Descalzas. 8.°: contienen l…</t>
  </si>
  <si>
    <t>Federico, Carlos</t>
  </si>
  <si>
    <t>Carlos Federico</t>
  </si>
  <si>
    <t>…asen ia restauración de la le chiduques. Este principe es el tercer hijo de la condesa de Hochgitimidad , del orden y del imperio de las leyes. Correspondió berg , esposa del gran duque Carlos Federico, á quien hasta ya maravillosamente á ia pública expectación la designación de ahora no había reconocido como gran duquesa, bus hijos ¿o» V. A. S- para tan noble y sublime empresa j y la no menos fran condes, y después margraves de Hochberg, han sido declarado…</t>
  </si>
  <si>
    <t>Fei</t>
  </si>
  <si>
    <t>…n mavoros serian sada la comisión de Corrección de estilo , v se ha los productos «pie rendiriin al erario. Que en cuan lló conforme con lo aprobjdn. to á la objeción hecha por el Sr. Fei rcr sobre «jiie S&lt;¿ mandó p.var s la comisión de Hacienda una. se favorecía á la industria y á la* fábricas de Fran proposición &lt;lpl Sr. Ferrer ( D. Joarpiin ) p*ra que ela, no debía perderse «le vista que las mercaderías se p-miita en e-ta plaza la introducc…</t>
  </si>
  <si>
    <t>Feicz, Angel</t>
  </si>
  <si>
    <t>Angel Feicz</t>
  </si>
  <si>
    <t>406</t>
  </si>
  <si>
    <t>…sois elegidos del las luces y cooperación con qu: ins favoteció el teniente coronel tiel pueblo! Si lo fueseis no propondríais que se anonadara el único dere regimiento de Galicia D. Angel Feicz ha contribuido en gran mane cho que le queda, cual es el de enviar aquí á sus diputados. ra al acierto de las operaciones díl día de ayer. Lo que traslado á Me asombra el silencio del ministro; pero mas que todo me sor V. E. para su conocimiento y satisfacció…</t>
  </si>
  <si>
    <t>Feli</t>
  </si>
  <si>
    <t>…na, proba División de caballería.__ Comandante general el brigadier blemente á dar cuenta de la conducta que han tenido en la últi D. Santiago Wall : estado mayor D. Josef Rendan, D. Feli ma campana.”__El general Pego avisaba el 18 que era proba pe Mendicuti. ble que los facciosos portugueses, que desde Zamora iban mar Cueipos de que se compone----- Regimiento de Farnesio, rechando hacia Salamanca , penetraran en Poifr: ’.l por la parte de gim…</t>
  </si>
  <si>
    <t>Felipe</t>
  </si>
  <si>
    <t>…atacaré, y espero batir la parte que do el jurado en 11 del corriente, Compuesto de los Sren. D. Pabla se detenga, pues la división que el general Velasco ha traído ds Ara Mateu , D. Felipe de la Puente, D. Domingo Sartachaga, D. Anto gón se halla animada de los mas ardientes deseos de sacrificarse por nio Martínez de Posada, D. Nicolás Furto, D. Juan Martínez de Cri las libertades patrias, como también la caballería de la primera divi tica, D.…</t>
  </si>
  <si>
    <t>…sexto distrito y del mando del egército de operaciones del mismo, Un periódico de esta capital publica las importantes noticias si confiriendo interinamente estos dos encargos al brigadier D. Felipe guientes: Monte:. Un correo extraordinario que llegó ayer á Madrid, y que salió de ANUNCIOS.París en la noche del 26 al 27, nos ha traído nuestra correspondencia particular, de Ja cual extractamos lo siguiente: » Nuestros fanáticos triunfan completamente; per…</t>
  </si>
  <si>
    <t>…res. — Manuel Flo puesto de los Sres. D. Luis Croja, D. Cayetano Rodríguez Moran, res Cs'deron , Presidente. = Leonardo Santos Suarez , diputado Secreta D. Josef María Villaranda, D. Felipe de la Puente, D. Segismundo rio = Manuei Llórente, Diputado secretario.” =Por tanto mandamos á Moret, D. Domingo Banceí, D. Juan Bautista Carrera, D. Juin Pe todos los tribunales y justicias, gefes, gobernadores y demás autorida rez y D. Joaquín María Goñi, p…</t>
  </si>
  <si>
    <t>…» Dios guarde á V. S. muchos años. Villafranca 2 de Abril á las 8 Madrid y otros pueblos. Hay aun porcian de caballos útiles que no se déla noche de 1823. = Manuel de Benrdicto.= Sr. D. Felipe ¿Montes.” han presentado ni se presentirán, si la autoridad á quien compete no CornñVi 1.'' de Abril. usa de las med.dis que están en sus atribuciones con arreglos las leyes. Comandancia de armas de Villafranca.=Excmo. Sr.=En ¡a madru La energía es la que úni…</t>
  </si>
  <si>
    <t>…esa, por io cual se suponía que llevasen pliegos pitán retirado, D. Luis ValcarcJ , teniente ídem, D. Domin de la mayor importancia. Por el mismo tiempo habian sido lla go Romero, D. Felipe lta,D. Diego Martínez y D. Pedro mados á Petersburgo el gran duque. Constantino y los generales Antonio Valcarcel, todos retirados. de los ejércitos de la Lituania y de Besarabia, Sack.cn y Witt- Idem 28. genstein, y la cancillería polaca del Emperador, que e…</t>
  </si>
  <si>
    <t>…emo to D. Juan Bautista Bcristain, de Lgzcano. Para el tercero D n ción Ja junt3 , se levantaron espontáneamente todos sus indivi Santiago de Unceta, de Vergara, y por su adjunto D. Felipe duos , y manifestaron á S. S. unínimamente la viva impresión Azcona, á quien por haberse nombrado de alcalde de Sacas que había causado en todos y cada uno de ellos tan enérgico reemplazó el Sr. conde del Valle del mismo Veigara. Y para como elocuente discurs…</t>
  </si>
  <si>
    <t>…basta siete veces, que es decir , cuar tas s? vió nuestras antiguas instituciones, babif-ndo merecido que el Señor libre de las fuerzas superiores que vinieron á sofocar tan -asom D. Felipe iv Ja concediese el título de cudad,y i sus vecinos el brosa decisión. Este acontecimiento, que hicieron ruidoso aun de muy nobles y leales por haberse opuesto á los antiguos re- en los países extranjeros los viles periodistas de la secta , y al beldec comune…</t>
  </si>
  <si>
    <t>…eblos es gozar de una libertad modera Paulo iv. Carlos v había renunciado entonces á la corona de da, y puede decirse que el espíritu del siglo está por los Go Sicilia á favor del príncipe Felipe, á quien parecia necesaria la biernos represen' itivos. calidad de Rey para casarse con su tía María , Reina de Ingla Este es el duende que hoy quita el sueño á los caudillos del terra. El nuevo Papa aborrecía mortalmente ¿ Carlos v, no so servilismo, y contr…</t>
  </si>
  <si>
    <t>…gue; Habiendo dado Fernando, como lo habia sido la Archiduquesa Doña María cuenta á S. M. de una consulta del Capitán general D. Juan. Isabel de Parma en el reinado de los Señores D. Felipe v y Don María Villavicencio, sobre que una de las medidas que había to Fernando el vi, en el concepto de Nieta de Rey, y según algu mado luego que llegó al Departamento de Cádiz fue la de que nos ejemplares antiguos, de que consta haberse dado tal título los…</t>
  </si>
  <si>
    <t>Felipe.Vargas</t>
  </si>
  <si>
    <t>…el mes Aligue] Cuevas, á los del ligero de Canarias D. Ramón Quintana y Don de Enero último. Nicolás Calzadilla , y á ¡os de este batallón D. Josef Ami, D. Juan Ni— Rs. su. vare, D. Felipe.Vargas, y D. Joaquín Cortadas; quedando yo di i'cse: a Productos por mercancías extrangeras introducidas en la con Jos ayudantes de la plaza de S. Juan con sola la compañía de grana Península...........................................................................…</t>
  </si>
  <si>
    <t>Félix, Josef</t>
  </si>
  <si>
    <t>Josef Félix</t>
  </si>
  <si>
    <t>…r batallón D. Jossf Pont y el de cazadogo á cortar las de los presos que resultare estarlo por delitos da poca consideración. Da orden de S. A. lo comunico á V. S. res del segundo D. Josef Félix; distinguiéndose también en una carga y en la comunicación de mis órdenes mi ayudante el te para inteligencia y cumplimiento de la sala. Madrid n de Agos niente coronel D. Clemente Madraza, y con singularidad el to de i8í3 =Josef María de la Torre. teniente c…</t>
  </si>
  <si>
    <t>Félix, Juan</t>
  </si>
  <si>
    <t>Juan Félix</t>
  </si>
  <si>
    <t>…0 de Mondoftedo, en cabeza de Doña María Fernandez de Ribero. de Gracia y Justicia. Otro de 56,100 mrs;, situado en el derecho de uno por 100 d: Ma VARIEDADES. drid , en cabeza de D. Juan Félix de la Vega; Otro de 228,250 mu., JR.elación Je un desceñía verificada en el mar en la campana de los bu situado en la renta del almojarifazgo mayor de Sevilla, en cib:za de zas, ace 7. Colla dan , doctor en medicina, individuo de la suciedad Doña Isabel de Ne…</t>
  </si>
  <si>
    <t>Femando</t>
  </si>
  <si>
    <t>…on ia debilidad de sufrir este escanda oso abuso áe su lealtad. El El Rey ha expedido el decreto siguiente : .^usurpador Napoleón, y antes que él ia famosa república , también nos Don Femando va por U gracia de Dios y por la Constitución de suncuioti á su carro , y dispusuron da nosotros como de una nación es- la Monarquía espafioia, Rey de i»s F.&gt;paí¡a&gt;, i todos los que las pre fc'av-.,; p;ra pasó aquella época de humillación» y fa España, regen.…</t>
  </si>
  <si>
    <t>…patria como en la consolidación del sistema, del cual depende á un El Rey se ha servido dirigirme el decreto siguiente: misino tiempo su tranquilidad, su gloria y su prosperidad.” Don Femando vri por la gracia de Dios y por Ja Constitución de la La comisión de Legislación, en vista de un escrito anónimo que se di Monarquía española, Rey de las Españas, á tu.ios [os que las presentes vie rigió á las Cortes el año 1820, participándolas que en Ja cár…</t>
  </si>
  <si>
    <t>…igirme para su circulación la ley si del Crédito público, y de las rentas de los conventos suprimidos. guiente : Este auxilio se facilitará con calidad de reintegro, á cuyo fin se Don Femando vn por la gracia de Dios y por la Constitu llevará una cuenta corriente entre Ja tesorería general y el Crédito ción de ¡a Monarquía española, Rey de las Espaúas, á todos los público. Art. 2.0 Al que hiciere anticipaciones de fondos metáli que las presentes v…</t>
  </si>
  <si>
    <t>…r para cubrir sus atenciones. De orden de S. M. lo comunico F.l Rey se ha servido dirigirme el decreto siguiente: a V. , traslado al interventor, y se publica en la gaceta para su Don Femando vn por la gracia de Dios y por la Constitu cumplimiento. Dios guarde á V. muchos años. Cádiz 4 de Agos ción de la Monarquía Española, Rey de las Españas , á todos los to de jSrg.rzzYandiolu.inSr. pagador interino de Hacienda. que las presentes vieren y entend…</t>
  </si>
  <si>
    <t>…erta que parece no debía sufrir ¡os embates del tiempo, es de El Rev se ha servido dimitirme v: deccto siguiente : un gusto poco delicado, sin geroglíficos, y de una sencillez que Don Femando vi i pie ¡a gracia de D o, v por la Cor-t tu— sorprende á quien entra en la gran piaza, cuyos lados forman dos clon de la Monarquía Española , Rey de- u» España». a tocos .os barbacanas de 20 pies de altura y 100 de grueso En odas se ven que las presentes var…</t>
  </si>
  <si>
    <t>Fenand</t>
  </si>
  <si>
    <t>…la nuyrria, se convierte en una ley que obliga inuistintaiaente á to conde l'orta'.is y marques de la Place , para examinar ia proposición dos. (RccómiiCiones 3 ¡a izquierda.) del conde Fenand sobre la competencia y tnodo de procedet deí tri Muchas veces: {A qué viene hablar de ley? Ahora no se trata de jemeiant- o sa. bunal de los Pares. Mr. de Lameth levámandose: ¡Cómo os atreve:s I da: nombre ds CAMARA DK IOS DIPUTADOS.----- StSÍOtl d'l £ di Mar…</t>
  </si>
  <si>
    <t>Fenelon</t>
  </si>
  <si>
    <t>…erra i Ja distancia en que Demostración de 1a existencia de Dios y de sus atributos, ” nosotros nos considerábamos, aumentaban esta apariencia , y que escribió en francés el limo. Sr. Fenelon, traducida al cas ” aun mirándola con anteojos, permanecía la misma, sin embar- tellano-. un torno en ü.'-* Se vende en la librería de Rodríguez, EN LA IMPRENTA REAL.</t>
  </si>
  <si>
    <t>Fenny, Fritó de</t>
  </si>
  <si>
    <t>Fritó de Fenny</t>
  </si>
  <si>
    <t>…o.0 de línea, que acababan de llegar al señor Escriba á favor drl arrendador de la pesca, conclusión dél campo de batalla, los formó el general Tromelin en columna» sr ñor abogado general Fritó de Fenny ; en fin, sentencia: dél cerradas, é hizo atacar por sus dos flancos la posición ocupada tribunal supremo quéáiiu a.la del superior. Ya tenemos á nues por el enemigo. tro nadador precisado a pagar por su barbo todas las costas del El coronel Monck de Ucer mar…</t>
  </si>
  <si>
    <t>Fer</t>
  </si>
  <si>
    <t>…s justos sentimientos de placer que animan á este noble y leal del castillo de Tortosa el i a del corriente a las dos de la maña vecindario, siempre fiel i su legítimo Soberano el Sr. D. Fer na , y contaba hacerse dueño de alli á pocos momentos de la nando vn (que Dios guarde), en el momento de tributar su Tenaza, únicas y principa i-s fortalezas de aquella plaza. respeto y sumisión , con la esperanza de que bajo los auspicios El teniente corone!…</t>
  </si>
  <si>
    <t>…, sino que al mismo tiempo desea ocasiones de sacrificar hasta sus vi El Sr. secretario de! Despicho de la Guerra ha recibido en das en defensa de la religión, de su amado Rey el Sr. D. Fer «te momento un oficio d i barón ds Eróles, general en gefe nando vii (que Dios guarde ) y de V. A. S., á quien dirijen del egército del Rey en Cataluña 3 fecho á 11 del corriente en este pequeño testimonio de amor y lealtad. su cuartel general de Sarria, part…</t>
  </si>
  <si>
    <t>…osef de Medma.zr i V. A. los mas sinceros sentimientos de adhesión y fidelidad á Rafael Alonso Tejado.csNarciso María Paniagua.=Alonso Mi su adorado Monarca y legítimo Soberano el Señor D. Fer guel Ccinos.csEugenio Sánchez. erRamon Polanco y Cos.=Ma- nando vrr de Borbon, y tiene la satisfacción mas lisonjera de tías Castiofuerte.=Por acuerdo del ayuntamiento, Baltasar Diez.’’ ofrecer á V. A. los respetos de U mas alta consideración. \ » Dios guarde…</t>
  </si>
  <si>
    <t>…que Libre de este obstáculo, que retardaba la expresión de sus senti pertenezco, en la misma madrugada al salir á practicar un reco mientos, se alarma toda la ciudad; proclama al Sr. D. Fer nocimiento. Tomados todos los puntos por donde las tropas nando vir, que Dios guarde; persigue al llamado Chaleco en pudieron hab.-rse retirado, y cortado el desfiladero de Puerta de sus inmediaciones; se apodera de algunos carros de su retaguar Arenas, fue c…</t>
  </si>
  <si>
    <t>…e dejar deque V. A. en representación suprema de la Nación, como ór manifestar á V. A. S. la justa y espontánea indignación que hagano de la voluntad soberana de nuestro amado Reí D. Fer causado en todos los habitantes de esta villa , tos cuales suspirannando vii , dirige las riendas del Gobierno, confiado en que su por la pronta libertad y plenitud de derechos de su amado Sobondad natural y superiores luces derramarán sobre este pueblo beran…</t>
  </si>
  <si>
    <t>…s apa uniéndose á aquel caudillo, ha dado y da pruebas nada equívocas reciesen contra su voluntad como voluntarios: esiab.ecimien- del amor mas acendrado á su legítimo Soberano el Sr. D. Fer to de sociedad ó tertulia, que solo por antífrasis se pudiera lla nando vix: ha eludido en cuanto le ha sido posible las órde mar patriótica: canciones insultantes, amenazas y pasquines nes con que el intruso Gobierno trató de encadenarlo; é inme contra los v…</t>
  </si>
  <si>
    <t>Fer, Domingo</t>
  </si>
  <si>
    <t>Domingo Fer</t>
  </si>
  <si>
    <t>…se reunió el jurado , compuesto de los señores siguientes: tas partidas, pues á mi modo de pensar es el único arbitrio para conseguir D. Antonio Puigblanch, D. Juan Antonio Luquc, D. Domingo Fer ventajas sobre esta canalla; que es mucho el número de partidas que ha pa nandez Angulo, D. Joaquín Huerta Cevallos, D. Luis de Mata Araujo, sado , pero en pequeñas, que seguramente no asciende su número á 60 hom Conde de Floridablanca, D. Isidoro de Hoyos, D…</t>
  </si>
  <si>
    <t>Fer, Faustino</t>
  </si>
  <si>
    <t>Faustino Fer</t>
  </si>
  <si>
    <t>…de Granada__ Tres Luis de Mata Araujo, D. Arias Gonzalo de Mendoza, D. jo juros en el Almojarifazgo mayor de Sevilla de 1010 rs. 2 mrs. sef Merelo, D. Francisco López O.avarrieta, D. Faustino Fer de renta en cabeza de Juan de Aumada___Otro en cabeza de nandez Huidobro , D. Marceliano Torio y Torres y D. Ma Doña María Ortiz de Rivadeneira de 24,146 de renta, situados nuel Ledesma. en el servicio y montazgo de los ganados dei reino. _ Otro de Habida la…</t>
  </si>
  <si>
    <t>Fer, Francisco</t>
  </si>
  <si>
    <t>Francisco Fer</t>
  </si>
  <si>
    <t>…i Frías__ Servicio á palacio la milicia activa y la nacional local de guiente íntegro y litcial dara una idea de la manía en que han Sevilla, á las órdenes del coronel de la Reina D. Francisco Fer dado los franceses sobre este punto. nandez GolGn__ Parada la Reina, Infante D. Carlos, milicia «S. A. R. el duque de Angulema sigue bien.__Nuestras activa y la nacional local de Sevilla: el demás servicio y patru operaciones van grandemente.” llas lo detalla…</t>
  </si>
  <si>
    <t>Fer, Manuel</t>
  </si>
  <si>
    <t>Manuel Fer</t>
  </si>
  <si>
    <t>…dad. tiempo después: de los vizcaínos no se sabe que lo tuviesen. En todo esto no hicieron los pueblos masque usar de sus derechos naturales, y El brigadier conde de Almodovar, el coronel D. Manuel Fer nadie ha dicho hasta ahora que sus Gobiernos no fuesen legítimos. Los nandez de Ülarte , teniente coronel mayor del regimiento infantería antiguos españoles fueron sin duda de mejor condición que los modernos, de Mallorca, que se halla en Valencia esperando s…</t>
  </si>
  <si>
    <t>Fer, Sebastian</t>
  </si>
  <si>
    <t>Sebastian Fer</t>
  </si>
  <si>
    <t>…de cons Se dió cuenta de una exposición de D. Félix Megía , en la que piración lleva consigo la indemnización 6 responsabilidad pecu se quejaba del gefe político de esta provincia D. Sebastian Fer niaria. Ahora bien, aquí no se trata de confiscación , sino de una nandez Ochoa, y pedia se le exigiese la responsabilidad por ha responsabilidad pecuniaria, que es muy justo la pague el delin ber infringido el art. 4.0 de la Constitución en el hecho de haber…</t>
  </si>
  <si>
    <t>Fer, Teresa</t>
  </si>
  <si>
    <t>Teresa Fer</t>
  </si>
  <si>
    <t>…bunal y por la escribanía de Cámara de D. Josef María Monedero y partida de voluntarios de Moradilio al mando de Ayuso, escondieron Ayala sigue D. Silvestre Collar, como marido de Doña Teresa Fer íes fusiles y retrocedieron: que son ias únicas noticias que hasta ahora nandez Llores, con D. Antonio Gutiérrez Pando y D. Joscf Fernan tenemos." Las noticias que contiene eí parte inserto se confirman con dez Flores sobre partición de los bienes quedados po…</t>
  </si>
  <si>
    <t>Fer-</t>
  </si>
  <si>
    <t>…mido. ejército aliado, está reservada i» gloria de restablecer en el tro Su Santidad ha manifestado Ja mas viva gratitud por ¡a. no español, á nuestro augusto y amado -Monarca, el Sr. D. Fer-, atención del Rey de Francia. KANno vii(que Dios guarde); de afianzar en el vasto suelo da No obstante el 16 iba siempre de aumentó la debilidad del estos dominios ía permanencia de nuestra sagrada religión cató augusto, enfermo, y se declaraba por diversos s…</t>
  </si>
  <si>
    <t>Fer-cr, Ramón</t>
  </si>
  <si>
    <t>Ramón Fer-cr</t>
  </si>
  <si>
    <t>…ación permanente y consejo de Estado, re cuanto supiese ; emprendiendo la marcha para reunirse con los tenientes mitiendo á este un documento con la única firma de S. M., sin auto D. Ramón Fer-cr y D. Joaquín María Borris, que estaban ya aposta rizarle en la forma que debían , y en una palabra, manifestando inde dos en Castellar, con orden de capturar á los individuos de la justicia; cisión y reserva en sus operaciones. iodo lo que se ha verificado, hallando en este pueblo 86…</t>
  </si>
  <si>
    <t>Ferdo</t>
  </si>
  <si>
    <t>…o gran cruz las gentes que allí se encontraban, dije: » La Regencia del de las Reales y distinguidas órdenes de Carlos m , San Fernan » reina durante la cautividad del Rey nuestro Señor D. Ferdo y de la insigne del Toison de oro, y teniente genera! de los n nando vit queda instalada;” y regresado i la pieza donde se Reales egércitos: el Excmo. Sr. duque de Montemar, gentil encontraba S. A., elevé á su superior consideración este acae hombre de cámara…</t>
  </si>
  <si>
    <t>Fergustan</t>
  </si>
  <si>
    <t>…as de diferentes especies hiñeron odioso el síste- sugetos que se hallaban presentes se notaran el lord Entune, el -aa,. y arruinaron su existencia, confundiéndose muy particular— general Fergustan, Air.* Hume, Air. Hobhóúscsjr'■ James Alac-mente los:vicios de.los hombres con Lt bondad de la causa; En kiniosli, Air. Graht, el coronel Davies &amp;'&lt;ñ . fin la guarnición-de Lisboa tomó la resolución que todos1 saben, Airl Lambton fue ílomádo par unímmidid á l…</t>
  </si>
  <si>
    <t>Fermndo</t>
  </si>
  <si>
    <t>…eran atendido mas bien á su propio honor .que á v ngarse de un El Rey ha expedido el decreto siguiente r diputado ¡lustre por sus virtudes , patriotismo y elüeu-ncii, no habrían - Don Fermndo va por la gracia de Dios y por la Constitución de I* presentado 4 la culta Europa la escandalosa 'scenaque hemos visto con Monarquía Española, Rey de Us Es pañas , 4 todos los que ;as presen motivo de la expulsión de Mr. Manuel de la Gnu', de Fist.cia. tes vi…</t>
  </si>
  <si>
    <t>Fern</t>
  </si>
  <si>
    <t>…ho santo tribunal les inspirará amor » La mayoría de Ios-españoles no a,pira á mas que gozar del y respeto. Los malvados, solos el.os, que abrigan un odio im Gobierno paternal del Sr. D. Fern ando yii , su amado Rey, placable á nuestro señor Jesucristo sen los que aborrecen una libre y absoluto, y que sea restituido á la plenitud de sus atri institución que se opone á ¡as horrendas blasfemias y sacrile buciones y derechos, conforme 3 las leyes fun…</t>
  </si>
  <si>
    <t>Fernan</t>
  </si>
  <si>
    <t>…que se bilo á la España por la instalación de ia Regencia del reino en le incluya en la relación. Todo lo que participo á V. E. de or- la cautividad de nuestro augusto Soberano el Sr. D. Fernan dm ds 5. A. para, su inteligencia y cumplimiento en. la parte do víi no puede menos el tribunal de la Rota de la Nunciatttr que le toca, haciéndolo publicar inmediatamente en los perió ra de manifestar á V. E. los justos sentimientos de placer que lo dicos de…</t>
  </si>
  <si>
    <t>…a cual va de voluntario S. A. el Príncipe de Carignan se lanzó constitucional. sobre la retaguardia de las tropas de Plasencia, y le hizo tío Colección de decretos del Rey nuestro Señor D. Fernan prisioneros. En estas circunstancias ha manifestado el Príncipe do vii desde 4 de Mayo de 1814 hasta fin de Diciembre de 1819: tal serenidad y valor, que ha excitado la admiración de los sol seis tomos en 4° y uno de apéndice. El i.°, 3.0, 6.a y el apén dados…</t>
  </si>
  <si>
    <t>Fernán</t>
  </si>
  <si>
    <t>…egencia, para iriVadir el puebío de Laguniila, y vengar en sus habitantes el que se sirva hacerla presente a S. A. S., protestando ai mismo amor y decidida adhesión al Rey nuestro Señor Don Fernán— tiempo que nuestros votos han sido y serán siempre per ia pros 00 vii ( que Dios guarde) para establecer el Gobierno lejitimo peridad del Rey nuestro Señor y su augusta Familia , por el de S. M., exterminando el ominoso s'stema constitucional. acierto de ia…</t>
  </si>
  <si>
    <t>…s eran y confiadas en el poder de Dios Eterno, en la protección de de 4S), y según otros de 5$) hombres, inclusos los liberales y María Santísima y en la intercesión del Santo Rey D. Fernan gente de pillage que habían recojido de todos aquellos pueblos do, su tutelar, ofrecen ser en su coro, como en este mismo de de la Cerdaña española, marchaban en dos columnas, y se ase cía cuando vivia, un escuadrón, que con sus oraciones consiga gura que est…</t>
  </si>
  <si>
    <t>…e igual clase D. JoNó quiero escribir mas por la poca fe qu1: tengo de la llegada scf María Carvajal; y para la comandancia general del campo de í sus manos. Se quitó la piedra, y reina Fernán, o en su lugar; Gibraltar al mariscal de campo D. Gregorio Laguna. pero sin um v. ¿ des-, monada, y todos muy gozosos (bien que VARIEDADES. como no hemos quedado aqu¡ mas que los hombr s de bien , no hay que t^ner recelo), aunque de los que han entrado hay ak…</t>
  </si>
  <si>
    <t>…dres, con; amor y lealtad hacia S. A. S. la Regencia del reino, digna re servándoles la relijion santa de la nación y el derecho de su pro presentaste de nuestro Rey idolatrado el Señor D. Fernan piedad. No teme volver á ver.los satélites del despotismo desor do vii , y ofrecer sus respetos y sumisión debida como efecto de ganizador, que recorriendo todos los pueblos, han sacado del. su acendrada fidelidad, que en medio de ios mayores apuros no seno d…</t>
  </si>
  <si>
    <t>…smo patíbulo en instalación de un cuerpo representativo de la augusta Persona donde han sido vilmente asesinados algunos de sus hijos, han y dignidad de nuestro ainado Soberano el Sr. D. Fernan podido entibiar el amor y fidelidad á su legítimo Monarca do vii (que Dios guarde) y su dinastía. Soberano esclavizado por los hombres mas díscolos, y Sobe „ Alcora, Sermo. Sr., no obstante de ser pueblo de mas dé rano justa y generalmente reconocido, mal que…</t>
  </si>
  <si>
    <t>…rable. quía , y dictar providencias enérgicas para sacar de la cautividad La nuestra ha sido muy corta, pues se ha reducido á la pér en que se halla á nuestro legítimo Soberano el Sr. D. Fernan dida del valiente D. Luciano Cortés, que correspondía á ia ca do vit, que Dios.guarde, y su augusta Real familia. Nuestro ballería del general Locho, cuya viuda y cuatro pequeños hijos Señor guarde á V. A. S. muchos años. 1.3 Nava del Rey 11 de recomiendo muy…</t>
  </si>
  <si>
    <t>…so pre recordará con do]or la pérdida del capitán de dragones de mos nosotros los que podemos juzgar con mas acierto ci.- Jos mola Union D. Luis Seco y el cadete deí mismo cuerpo D. Fernan t vos de su odio y de su venganza. Se debe considerar tambo, n do Rodríguez: los cuerpos de estos valientes fueron desechos á que una tribu de tndqaenas es en cierto modo una sola familia balazos y bayonetazos. patriarcal. La injuria que se hace á un individu…</t>
  </si>
  <si>
    <t>…in rán á esta heroica nación la dulce satisfacción de ver restituido á dividuos que componen el ayuntamiento de esta villa de Peñal- su absoluta soberanía á su amable Rey y SeSok D. Fernan ver, en la provincia de Guadalajara, reintegrados conforme á do va, que Dios guarde, disolviendo las duras cadenas de su las órdenes de V. A. S , penetrados de un singular ¿ inexplica penoso c«'uaverio. ble júbilo ,con el mas profundo respeto y humilde venera…</t>
  </si>
  <si>
    <t>…villa de do con el honrado vecindario que tiene el honor de representar, Grábalos faltarían á su deber si habiendo sido acaso los prime en obsequio de nuestro augusto Monarca, el Sr. D. Fernan ros del reino en haber tributado al santo Dios de Sabahot la mas do vii, su Real Familia y nuestra sacrosanta Religión, de que pública acción de gracias solemnizada con misa, sermón y Te tiene dadas tantas pruebas en ias épocas pasadas y turbulentas Deum por…</t>
  </si>
  <si>
    <t>Fernán'</t>
  </si>
  <si>
    <t>…ad de nuestro Señor y Tío, que reconocemos como que componen la Regencia adorado Monarca. Las personas que le componen están en una del reino durante la cautividad de S. M. el Rey D. Fernán'* esfera tan superior, que no pueden alcanzarles ni aun los tiros do va de la calumnia. Todos los medios están en su mano, y su vo A. nuestro, primo el duque del Infantado , presidente. luntad está decidida á emplearlos todos en nuestro bien. Do A'nueitro prim…</t>
  </si>
  <si>
    <t>Fernanco</t>
  </si>
  <si>
    <t>…r gustas casas reinantes y por sus comunes y generosos sentimien de Martignac. tos: marclian juntos con heroico esfuerzo á sacar á nuestro vir «Si fuese posible que el Rey nuestro Sr. D. Fernanco vii tuoso y desgiaciado Monarca de la esclavitud en que lo tienen desde su prisión de CaJiz pudiese ver hoy esta solemne tuncion, hace, tr.-s años unos cuantos vasallos rebeldes y temerarios , que las amarguras que le rodean se suspenderían momentáneamente, e…</t>
  </si>
  <si>
    <t>Fernand, Domingo</t>
  </si>
  <si>
    <t>Domingo Fernand</t>
  </si>
  <si>
    <t>…Monarca. quín Manrique y Manrique, D. Juan Fernandez Casariego , D. Benito n Los vecinos de esta ciudad ofrecen todos unánimes perder la últi Ortega Romanillos, D. Manuel M-rino, D. Domingo Fernand a An ma pota de sangre en defensa de la legítima y justa causa-, esperando gulo y D. Lucas de Mata Araujo. Declararon por unanimidad haber que V. S. 1. nes avise de lo que ocurra para nuestro consuelo, pues lugar á ¡a formación de causa. manteniéndonos como D…</t>
  </si>
  <si>
    <t>Fernandez</t>
  </si>
  <si>
    <t>…lión; y ha producido tan bueno» Cuando los enemigos ignoraban todavía la derrota de !a co efectos, que se han presentado mas de 400 solo en este punto. lumna confiada al mando del coronel Fernandez y la capitu Ahora con motivo de la libertad de nuestro Soberano acaba de • lación de higueras, que fue efecto de aquella, habian meditado dirigirles otra exhortación semejante, y es la siguiente: llamar la atención por la retaguardia del bloqueo de Barcelona.…</t>
  </si>
  <si>
    <t>Fernandez, Andrés</t>
  </si>
  <si>
    <t>Andrés Fernandez</t>
  </si>
  <si>
    <t>…cero. lá de Henares 600 milicianos, y entregados en la caja del egército D. Fernando Plaza. D. Felipe Arguelles. permanente 240 quintos, continuando las entregas con la mayor acti D. Andrés Fernandez. D. Saturnino Lozano'. vidad en estos días. D. Miguel Ripa. D. Agustín Arricia. También tiene la diputación contratados y prontos los 637 unifor D. Juan Antonio Marco. D. Bernardo de Borlas y Tarritfs- mes completos con armamento y fornituras para infantería…</t>
  </si>
  <si>
    <t>Fernandez, Aneel</t>
  </si>
  <si>
    <t>Aneel Fernandez</t>
  </si>
  <si>
    <t>…ientes a ellas, cuyo remate se ha de celebrar en esta corte por ei juz rías , y su oposición ti ¡os principios que le lian obligado a dejar ¡a capital gado de primera instancia de D. Aneel Fernandez de los Ríos : á saber : de la Francia. Hs. m. En Portlar.d—Place se labia reunido un inmenso concurso, y los repe tidos vivas qtie se dieron en aquella ocasión no debieron ser muy agrada Primeramente la fabrica de paños de buena cons bles á cierto vecino....…</t>
  </si>
  <si>
    <t>Fernandez, Angel</t>
  </si>
  <si>
    <t>Angel Fernandez</t>
  </si>
  <si>
    <t>…toca , provincia de Aragón, y en la villa He Brúñete . de esta provin (| son de la música, y las bellas alicantinas, quie no ceden á ningunas cia , que han sido denunciadas ame el Sr. D. Angel Fernandez de lodel mundo en amor á la libertad , saliendo í los balcones, unieron sus Ríos, juez de primera instancia y rfe Hacienda pública en esta cor dulces y armoniosos acentos á los de sus conciudadanos en canciones ha acordado á petición de k parte fiscal se anun…</t>
  </si>
  <si>
    <t>…ta las dos de la tarde. ^ fueron militares de aquellos grados, reclaman la asignación del monte TRTBUN ALUS. adonde deben satisfacer los descuentos de reglamento , y obtener el EJ Sr. D. Angel Fernandez de los Ríos, juez de primera instancia, derecho á las .pensiones que ellos señalen , como asimismo de le con y de hacienda pública , ante quien penden los autos promovidos sobresulta de la junta de gobierno del monte pío militar relativa al mismo denuncia del…</t>
  </si>
  <si>
    <t>…Oc ñalado para su segundo y último remate el -dia 18 del corriente de docs tubre del alio anterior, fue apresada cerca de Puerto-Rico por un á una de su mañana en la audiencia del Sr. D. Angel Fernandez de los bergantín disidente, y la correspondencia arrojada al agua por su Ríos, que U tiene en la calle y casa del Sacramento, por la escribanía comandante. de número de D. Cristóbal de Vicuña.'Quien quiera mejorar dicho Lo que se avila al público para su noti…</t>
  </si>
  <si>
    <t>…el comandante militar de aquel distri TSTBUX.UEJ. to levante uno ó mas batallones, según lo consideren conveniente, par» que hagan el servicio en la misma provincia.” Aprobada. El Sr. D. Angel Fernandez de los Ríos, magistrado honorario de la au Se nombró para la comisión especial nombrada á consecuencia de 1.1 diencia territorial de Castilla la Vieja , juez de primera instancia de esta M. il. proporción del Sr. Surrá acerca de los nniícianos voluntarios que…</t>
  </si>
  <si>
    <t>…Tejciro por 89 votos, En el juzgado de primera instancia y de la Hacienda pública de esta habiendo tenido tres el Sr Marchamaio y uno el Sr. Bertrán de Lis. capital del cargo del Sr. D. Angel Fernandez de los Ríos, y por la escri En la 22.a votación quedó elegido el Sr. Domenech por 90 votos, banía del número de D. Jacinto Gaona y Loeches , se han denunciado en habiendo tenido el Sr. Marchámalo dos. el concepto de no tener dueño legítimo conocido tres solar…</t>
  </si>
  <si>
    <t>…los CARRUAGES. Lstancias en el viage redondo Precio de la Costo del vía* acreedores del concurso de D. Francisco Ontiveros, pendiente en el juz regular á Se estancia, «e. gado del Sr. D. Angel Fernandez de los Rios, juez letrado de primen villa. K h&gt;. VI). Rs. va. instancia de esta heroica villa, y escribanía de D. Jacinto Gaona y LoeCalesín de una caballería...... 23 ss 1265 ches, se halla señalado el dia 9, de Marzo á las 10 en punto de su ma Cano de dos m…</t>
  </si>
  <si>
    <t>…Sagunto, .mandadas por el capitán D. César Tournei, que mandaba la reserva, tribunales. y el alférez D. Ignacio Chinchilla, pasando yo al mismo tiempo con el _ Por providencia del Sr. D. Angel Fernandez de los Ríos, ministre alférez D. Andrés Gómez. Pisar la orilla -la primera mitad , y cargar togado honorario , juez de primera instancia de esta heróica villa , dada por los, fue obra de un momento ; y á pesar de su obstinada resistencia , y ante el escribano…</t>
  </si>
  <si>
    <t>…ue le está impuesto á la Cámara de hacerse respetar porque goza de la confian TRm’NAlES. za de la Franc a, y debe corresponder á ella; pido, digo, que esta mani Por el juzgado del Sr. D. Angel Fernandez de !os Ríos, juez to fieste el voto que la propongo, y que es el de expeler de su seno..... (Mu gado de primera instancia, y escribanía de número de O. Tomas de chísimas voces á la derecha. ¡Muy bien, muy bien!....... ¡Eso es!...... ¡rancha y Prado , se baila…</t>
  </si>
  <si>
    <t>…b. M. el resultado de tribunales. mis desvelos. Consiguiente 4 los decretos de Cortes, en virtud ds providencia Este proceso es ea mi juicio uno de los mas complicados que te del Sr. D. Angel Fernandez de los Ríos, juez letrado en primera ins han visto en el foro, y en el que acaso se hubiera adelantado mucho tancia de esta fieróica villa , refrendada de su escribano D. jacinto mas sí se hubiera escrito mucho menos. El criasen de conspiración, Gaona y Loach…</t>
  </si>
  <si>
    <t>…uye la baja de fondos franceses á la certeza Consecuente á lo mandado en auto dado en definitiva por el señor de que no tardaran en romperse las hostilidades, confirmada cor haber D. Angel Fernandez de ios Ríos, juez letrado en primera instancia de se visto en ¡a bolsa un nuevo papel que vendía cierto hombre de ne esta M. II. villa de ia de Abril de 1822, confirmado en apelación y gocios áio3 fr. ; eran patentes de corso contra los barcos españoles. súpl…</t>
  </si>
  <si>
    <t>…sde el en que se haga anuncio en este periódico. Quien quisiere ha tención , íue uno de los emisarios encargados por Baso de ir á Búrgol cer alguna de dichas mejoras acuda ante el Sr. D. Angel Fernandez de en posta para preparar ios pu-blos del tránsito, y engañar á las autori los Ríos, juez letrado de primera instancia de esta villa, y por la es dades d- aquella ciudad, nacéndo'as creer que en aquetij hora estarían cribanía del número de D. Jacinto Gaona y…</t>
  </si>
  <si>
    <t>…ara sacar partido de las almas de baja categoría. La santa alianza no carece de ambición; y TRIBUNALES. si alguno lo negase tendría contra sí ei testimonio de toaos los habi El Sr D. Angel Fernandez de los Ríos, juez de primera instancia y tantes de Europa,apoyado en egemplos muy recientes. En fin , los san de Hacienda pública , ante quien penden los autos de denuncia de una tos aliados deben estar firmemente persuadidos que ni los sofismas di casa sita…</t>
  </si>
  <si>
    <t>Fernandez, Benito Antonio</t>
  </si>
  <si>
    <t>Benito Antonio Fernandez</t>
  </si>
  <si>
    <t>…ntes dicta-» que se hallaba penetrado dél ñiSff profundo dolor por la deserción ufenes. de la tropa: que tema dada» bastantes prueba» de fidelidad al ju Uno sobre la exposición de D. Benito Antonio Fernandez y</t>
  </si>
  <si>
    <t>Fernandez, Biuno María</t>
  </si>
  <si>
    <t>Biuno María Fernandez</t>
  </si>
  <si>
    <t>…del segundo de Guipúzcoa I&gt;. Anselmo Me» Coníinnun las exposiciones dirigidas ¿ S. A. S. ia Regencia del nn , y herido levemente de una estocada el subteniente de la Reino. misma D. Biuno María Fernandez. » Sermo. Sr.: La villa de Aracena , an la provincia de Se » La de los enemigos ha sido superior , pues aunque solo sa villa, representada por tu ayuntamiento que suscribe, después han encontrado en el campo cinco muertos, y s; les ha hecho de haber dado un t…</t>
  </si>
  <si>
    <t>Fernandez, D- Teodoro</t>
  </si>
  <si>
    <t>D- Teodoro Fernandez</t>
  </si>
  <si>
    <t>…ue recibió dos balazos, podida a este momento fue cuando cargo nuestra caballería ligera al man Ja verdad harto sensible por haber recaído en tan bizarro» uncia do del valentísimo comandante D- Teodoro Fernandez , quien se les; en un cabo del escuadrón ligero v un cuídalo de ¡a Union, batió personalmente como un león , y nos aseguran haber muerto ascendiendo los herido» al subteniente de la compaira de Alcamz á un oficial francés : quisiéramos tener mas d úos sobre e…</t>
  </si>
  <si>
    <t>Fernandez, Faustino</t>
  </si>
  <si>
    <t>Faustino Fernandez</t>
  </si>
  <si>
    <t>…van , debe cesar Las Cortes recibieron con agrado las observaciones que sobre la do la autorización, pues si bien en aquellas circunstancias fue convenien tación del clero dirigía D. Faustino Fernandez , cura párroco de l’ate i la causa pública, disueltas las Cortes podria abusarse de ella por lenciana. ottos individuos que fuesen puestos en las sillas que ocupa el actual El Sr. Adan, como individuo de la comisión especial nombndi ministerio. Yo deseo pues…</t>
  </si>
  <si>
    <t>Fernandez, Felipe</t>
  </si>
  <si>
    <t>Felipe Fernandez</t>
  </si>
  <si>
    <t>…hablado con discreción, y verdad. Se asegura Azpíroz, y dos mitades de granaderos de la Guara.a pov ei de igual que en el congnso de Octubre no solamente se admit ían las po clase D. Felipe Fernandez cargasen sobre ellas , lo ejecutaren tencias de. primer orden, s no también las de segundo y tercero. con tal intrepidez que en un im-tante fue denotado y acuchilla Si esto sucediere, sera solo con el objeto de impedir que den a do e! enemisto, dejando en el…</t>
  </si>
  <si>
    <t>Fernandez, Francisco</t>
  </si>
  <si>
    <t>Francisco Fernandez</t>
  </si>
  <si>
    <t>…voz implícitamente pue (&gt;&gt;•&lt;ten de la plaza .leí np al jro de Abril de l82,~. de ser aplicable á todos los tratados y convenios, y por medio de Gefe de d a el coronel de la Reina D. Francisco Fernandez él serán estos ilusorios siempre y cuando acomode. Goitín___ Servic'o á palacio el Infante D. Carlos y M. M.L., á las órdenes del comandante interino de la Reina D. Francisco __Hemos recibido hoy la siguiente carta, que creemos deber pu Castellón.__Parada la…</t>
  </si>
  <si>
    <t>…s Valdemoros, capitán del batallón de la OrJtv J¿ la plaza del 8 al 9 de Mayo. milicia activa de Málaga, ha presentado un crédito de 3387 reales Gefe de día el coronel de la Reina D. Francisco Fernandez de haberes que ha dejado de percibir en el año 19, rogando al Golfín__ Servicio á palacio la milicia activa y la nacional lo Rey se sirviese admitir su cesión en beneficio del Erario nacio cal de Sevilla, á las órdenes del comandante interino del In nal. S. M…</t>
  </si>
  <si>
    <t>…maneceriairtos indcímidamentie en pie O .un de l.i f 'az.i dti ib al ay de Mayo. con d riesgo de no recobrar jamas nuestra posición. No nos equi Gefe de dia el coronel de la Reina D. Francisco Fernandez voquemos : si hay salvación para la patria es evitar esas nuevas Golfín. _Servicio á palacio la Reina y milicia nacional local de divisiones que con tanta perfidia se fomentan. Nuestra misión, Sevilla, á las órdenes del comandante del segundo batallón de di e…</t>
  </si>
  <si>
    <t>…¡as criminales de injurias. Sres. que han compuesto el jurado: D. Leonardo Miguel Art. i(5. Todas las condenas de las especies antedichas se in Camerino, D. Jelix de Aguirre, Dr. D. Francisco Fernandez sertarán en la gaceta de la corte, y también se anunciará en la del Castillo, D. Juan González, D. Juan Laserna Salcedo, misma cuando una obra ha de recogerse , con arreglo á las leyes D. Segismundo Moret, D. Pedro Antonio de Aguirre, Don sobre libertad de im…</t>
  </si>
  <si>
    <t>Fernandez, Gabriel</t>
  </si>
  <si>
    <t>Gabriel Fernandez</t>
  </si>
  <si>
    <t>…o; y las ratificaciones se cangearán en e! ccí Lopéz de Castro, D. Antonio Josef Terrero, D. Alonso término de 40 dias, ó antes si fuere posible. Calvo y Pantoja, D. Josef Maroto, D. Gabriel Fernandez y En testimonio de lo cual , nos los infrascritos plenipotencia D. J uan Brunenque. rios , en virtud de nuestros plenos poderes respectivos , liemos fir D. Diego Suarez la declaró por incitadora i perturbar la mado el presente articulo separado , y Le hemos sellad…</t>
  </si>
  <si>
    <t>Fernandez, Gregorio</t>
  </si>
  <si>
    <t>Gregorio Fernandez</t>
  </si>
  <si>
    <t>…alcaide constiltK'onu! : oii.n.rst pectivas presentaron sobre las solicitudes de D. EraneAco de Ro «¡ve pasase il Gobierno para que con su informe !o devolviese á jas, presbítero, D. Gregorio Fernandez, ajtistino rccoicn, Don i,!.. &gt;' orí. s. Aprobado. Juan Marina , prests tero , y ¡J. Cristóbal Vicente de Munida. Otro sobre j;i exposición de O. Rafael de Sebastian, monge La comisión de .Agricultura V .Artes, en vista de una exposi rae :ue de ¡,. orden de S…</t>
  </si>
  <si>
    <t>Fernandez, Joaquín</t>
  </si>
  <si>
    <t>Joaquín Fernandez</t>
  </si>
  <si>
    <t>…D. Josef Azpi- de la ciudad. roz , que lo es de la división ; el segundo ayudante general D. To Mañana á las seis de ella ha dispuesto el Excmo. Sr. general mas Yarto; los adictos D. Joaquín Fernandez y D. Cayetano en gefe del ejército de reserva revistar el tercer regimiento de ar aireñas. tillería , á cuyo efecto se hallará formado á dicha hora en ia Ala Primer batallón del regimiento infantería de América. Segun meda. do ídem dei mismo cuerpo. Segundo batallón del re…</t>
  </si>
  <si>
    <t>do que el cuarto grado de parentesco se ajuste al cuarto grado Tomas Yarto , y los adictos D. Joaquín Fernandez y D. Caye canónico. tano Atinas. Ei Sr. Argiiclles: Es difícil manifestar tanta habilidad como Primer batallón de infantería de América. Segundo idem del la que ha manifestado el Sr. preopinante para impugnar la base mismo cuerpo. Segundo batallón dd regimiento infante…</t>
  </si>
  <si>
    <t>Fernandez, Josef</t>
  </si>
  <si>
    <t>Josef Fernandez</t>
  </si>
  <si>
    <t>…ajo Ciudad-Real 16 de Marzo. Por el parte que con fecha 15 dan á S- E. la diputación provin nes de correspondencia pública y de oficio. Conduce de traspelle al ca pitán de fragata D. Josef Fernandez de las Peñas, el teniente de ¡d:m cial de esta capital desde la Calzada de Calatrava los comandantes de la Don Manuel Villavicencio, el capitán de egército D. Nicolás Llanocolumna móvil D. Josef María de Teran y D. Luis Pinango , sabemos que entre nueve y die…</t>
  </si>
  <si>
    <t>Fernandez, Josef María</t>
  </si>
  <si>
    <t>Josef María Fernandez</t>
  </si>
  <si>
    <t>…político—Después de estar esta ciudad Josef Ramón de la Peña. Escribano D. Francisco AUarez. en bastante agitación con motivo de la entrada del traidor sil Procurador eclesiástico D. Josef María Fernandez, D. Nicolás veira en León, que obligó á las autoridades y particulares a to Faujul, D. Bernardo Alonso, D. Juan Areces. Sargento se mar medidas de precaución, recibí un oficio del gele político cundo Juan Amil. De artillería Francisco Suarez. de aquella provi…</t>
  </si>
  <si>
    <t>Fernandez, Juan Muros y</t>
  </si>
  <si>
    <t>Juan Muros y Fernandez</t>
  </si>
  <si>
    <t>…rido. Las cuatro espo nientes , D. j jan Josef Bracho, D. Manuel Garcái, D. josef sas leg'timas se quejan de que son preferidas las esclavas, y estas Lluch, D. Bernardino Herrero, D. Juan Muros y Fernandez , y de que se las abandona á los zclos de sus amas. Si hace algún re D. Josef López Orihuehi; segundo comandante de infantería, galo á una de ellas , le da algún gusto, ó le permite ir al baño , al D. Saturnino Samaniego; teniente , D. Ramón Am.indi; subte in…</t>
  </si>
  <si>
    <t>Fernandez, Julián</t>
  </si>
  <si>
    <t>Julián Fernandez</t>
  </si>
  <si>
    <t>…ias: por afío aoo primer grado por el señor fiscal de imprenta: en cuya consecuencia la reales, por seis meses 100, por tres meses 50; y en Madrid por ano ley absolvió al impresor D. Julián Fernandez, responsable de dicho 176 rs., por seis meses 88, por tres meses 44, y por mes 16. periódico; y el Sr. D. Benito Romero , juez de primera instancia de Nota. Los tribunales, juzgados &amp;c. que en virtud de dectetos di esta M. H. vilh , mandó que fuese puesto inm…</t>
  </si>
  <si>
    <t>Fernandez, Manuel</t>
  </si>
  <si>
    <t>Manuel Fernandez</t>
  </si>
  <si>
    <t>…sentimientos generoso* remisiblemente el castigo que la ley le señale. = Cardona 2 t de manifestar alguna duda sobre el interes que toman por la causa abril de 1823.=: El coronel gobernador Manuel Fernandez. tle España , no solo en razón de la intiuencia que puede ejercer BaZ ú 14 de Mayo. r especto de este pueblo valiente, sino igualmente con relación á Por el parle que le recibió ayer del alcalde segundo constitu las libertades é intereses de su propio país. c…</t>
  </si>
  <si>
    <t>Fernandez, Manuel María</t>
  </si>
  <si>
    <t>Manuel María Fernandez</t>
  </si>
  <si>
    <t>…legado hoy, y alcanzan hasta el El procurador síndico tercero d»l Fxcmo. ayuntamiento de la ciu 14 inclusive , no contienen noticias políticas de interes. L1 faccioso dad de Cádiz D. Manuel María Fernandez denunció en 10 del cor conde de Amarante va reduciéndose ya i tal punto, que no seria ex riente el impreso titulado: •&gt; Repr-s.-nta-ion dirigida al Rey por una traño procurase huir ocultamente. gran porción de ciudadanos de S. Fernando sobre los ú’timos acont…</t>
  </si>
  <si>
    <t>…ando de la facultad qu; s: les concede por __El procurador síndico tercero del Excmo. ayuntamiento de Cád'z la Constitución , han decretado io siguiente: Art. l.° Los generalrs en D. Manuel María Fernandez denunció en 10 dsi corriente el último gel'c, comandantes generales de distrito 6 provincia y b s gef.-s políti párrafo del periódico lituiado el Constitucional de Cádiz de 14 ds Fe cos de provincias invadidas por enemigos exteriores cuidaran de auxi brero, n…</t>
  </si>
  <si>
    <t>…os individuos El procurador síndico tercero del F.xcmo. ayuntamiento constitu* de la academia muestras de estas diferentes producciones, cogidas en el ciorai de la ciudad de Cádiz D. Manuel María Fernandez denunció en parage mismo donde se formaron. 19 del corriente un artículo del Constitucional de Cádiz , núm. 56, del hl caballero Monticelli reunió también las muestras siguientes, pro 35 de Febrero último, que empieza: •&gt; S. E. el bajá irritado «Scc.por ducid…</t>
  </si>
  <si>
    <t>…o las noticias que tul recibiendo por el caniit«- El procurador síndico tercero del Exorno, ayuntamiento de Cádiz me aseguraron de su estanc:a en dicho punto de líer-ncia. Tomadas D. Manuel María Fernandez denunc ó en 19 del pasado un artículo cuantas precauciones me parecieron conducentes, llegué á la vista de di ir.tírtj en el periódico titulado el Constitucional de Cidiz de 25 de Fe cho pueblo á las ocho de la noche , en donde dividí mi tropa en tren brero ú…</t>
  </si>
  <si>
    <t>Fernandez, Nicolás</t>
  </si>
  <si>
    <t>Nicolás Fernandez</t>
  </si>
  <si>
    <t>…s alcabalas y rentas de la ciudad de Logroño— interesados sobre la división y partición de los bienes dei patro Otros dos juros de 3099 y tantos mrs. en millones de Valladonato de D. Nicolás Fernandez de! Castillo y Doña Ana Geió- lid y Madrid en cabeza de Doña Ana del Corral.__Otro da 479 uima de Arellano, se cita, llama y emplaza á todas las personas y tantos mrs. en millones de Valladolid y su provincia de prique se crean con derecho á dichos bienes , p…</t>
  </si>
  <si>
    <t>Fernandez, Sebastian</t>
  </si>
  <si>
    <t>Sebastian Fernandez</t>
  </si>
  <si>
    <t>…es. Falcó , Oiiver y González Alonso, rio de este ramo, en que exponía los servicios que tienen hechos i Se levantó la sesión. la patria los militares que componían la columna del coronel D. Sebastian Fernandez , era de opixuon debía aprobarse io que &gt; ..i im p.liza del 1 eti a ¿te Jítetto de juay, con respecto á ellos proponía el Gobierno. Gefe de día el coronel de la Reina D. Francisco Fernandez Se leyó el dictamen de este en que proponía se les concediese Golfin—…</t>
  </si>
  <si>
    <t>Fernandez, Teodoro</t>
  </si>
  <si>
    <t>Teodoro Fernandez</t>
  </si>
  <si>
    <t>…¡ue na trun mujucta ios frarueses para 1 eretirarse-, en cuyo caso el escuadrón ligero , á las órdenes de- su citivse f’.r ¡.ios phezos dt los o éntrales españoles ¡ fue asi se lo comandante D. Teodoro Fernandez, cargo bzarramente y ba djese .¡l ju-10, y .&lt;« l ev ise ccr.s so les pl'ezos. tió á la caballería , con qu ien cruzo sus sables. Conociendo que Tocio lo que se hace saber á lo, cuerpos para su conocimiento, las masas enemigas no se pondrían bajo los t.ros de…</t>
  </si>
  <si>
    <t>Fernando</t>
  </si>
  <si>
    <t>…con ARTICULO DE OFICIO. currir a tan celebre ceremonia diferirá el poner en posesión á su» suce El Rey ha expedido el d;cr to siguiente: sores en aquel dia hasta conc-uir el acto. Don Fernando vn por la ¿rae a de Dio. y por la Constitución d; la Art. 14. » Las Cortes extraordinarias híced extensivos los Senti Monarquía española, Rey de nis Españas, 1 todos los que las pr-jentes mientos de su gratitud á todos los individuos del ejército, mi icí» vie…</t>
  </si>
  <si>
    <t>…neval. mismo para evitar lodo obstáculo que pudiese ofrecerse por parte de lat Ratificación Jel Rey y.t¿. D. G } España pata ¡y conclusión de este, se firmó en la misma época otro Don Fernando vu por la gracia de Dios •&gt; por ¡a Constitución de convenio especia! por el embajador de S. M. en Pan»" y el ministro do la Monarquía española , Rey de las España» r cuanto en virtud de Negocio» Extrangcros de S. M. Cristianísima, por el que' se obligó el ple…</t>
  </si>
  <si>
    <t>…otden legitimo, y reunieron en el Congreso oe Varona. Conséjelos pérfidos hicieron que descompuesto los elementos del edificio social, que no ha pcih-to caer S. M. Católica el Rey D. Fernando y.J no hubiese jurado á su vuel sin cub.ii todo el país con sus escombros. S: ha creído poder reempla ta! Espafia este Código fundamental, qu: toda la Nación quería , y que zar este edificio arrancando á un Sobin.no, ya despojado d; toda auto fue destruido po…</t>
  </si>
  <si>
    <t>…a por el Rey, tomarán en dicha administración impresos arreglados al ciendo 5 V. presente que 1. Jdados del batallón á cuya cabeza me modelo señalado con el núm. i.°, que empieza: D. Fernando vu por colocó mi fortuna, son inL..0^les en la pelea, y apenas puede decirse la ¿rada de Dios (re.; los secretarios y oficíale; mayores de los gobier que se quitan un momento las fornituras. nos políticos, ¡.terciarios y administradores de correos, y dependie…</t>
  </si>
  <si>
    <t>…extrangeras. Si tro aduladores del Rey: juró la Constitución promulgada por la Na tratamos de insultos, la Nación española puede recordarlos atroces á las ción españole cuando el Sr. D. Fernando vrt estaba cautivo en Fran Cortes y á nuestro Gobierno desde el aña jo : insultos hechos en una cia, abandonado y desposeído de sus mismos parientes. Acaso el Ga nación extrangera por periódicos sujetos á la censura; y finalmente si binete francés mide la Nac…</t>
  </si>
  <si>
    <t>…obierno interes particular, pero yo no lo creo. Nosotros no necesitamos tic es de los vístagos de la casa de Austria, osa todavía esta recordar uí rei tos recuerdos; tenemos en el Sr. D. Fernando vir el Rey legítimo y nado y las glorías de España para dar á entender qu: se deben á su di verdadero; y que marchando, como ha dicho , el primero por ia sen rección y gobierno! da constitucional, llevará á la Nación ai estado á que es merecedora. ¡Y qué dire…</t>
  </si>
  <si>
    <t>…ademas sueldo del ARTICULO DE OFICIO. erario nacional por otro destino, ó por hallarse en cesación de alguno El Rey ha expedido el decreto siguiente : que sirviesen anteriormente. Don Fernando vn por la grieta de Dios y por la Constitución de 3.“ Para evitar la duplicidad de goces se reitera la Real orden qua la Monarquía española, Rey de las Españas, á todos los que las pre en i.° de Abril último comunicó esta secretaiía L lis demás del Des sentes…</t>
  </si>
  <si>
    <t>…riosfruto deefectosesta ,jornadalanzas ;y perosobrenad320 El Rey se ha servido expedir el decreto siguiente: tan placentero para nosotros como el haber salvado todos ¡os heridos y Don Fernando vn, por la gracia de Dios y por La Constitución de prisioneros de marina que llevaban consigo los facciosos. la Monarquía española , Rey de las Españas, a todos !^s las pre » El enemigo sin armas, pues las arrojaion sin detenerse, ni hacer sentes vieren y ent…</t>
  </si>
  <si>
    <t>…ificios, hasta el de su propia vida, en defensa de las libertades é in 11 Rey ha expedido el decreto siguiente: dependencia de la Nación. El no haberse hecho mención de ella en el Don Fernando vis por la gracia de Dios y por la Constitución ds extracto de la indicada sesic . fue por una omisión involuntaria. la Monarquía española, R-y de las Españas, a todos los que las pre sentes vieren y er.tend.eren , sabed: Que Jas Corres han decretado lo si gu…</t>
  </si>
  <si>
    <t>…á un rescripto de la pe ñiga , y especialmente á los parientes de D. Josef de Zúniga , ó á los nitenciaría romana , datado :n 22 de Octubre de 1822 , sobre seculari que lo sean de D. Fernando deGuzman y Bazan , capitán que fue de ca zación de regulares de amb s sexos. (Gaceta del 19-) ballería, á cuya linea llamó la indicada fundadora para la posesión del Hacienda. propio vínculo después de la muerte de D. Pedro de Guzman y ZúñiInstrucción que ha…</t>
  </si>
  <si>
    <t>…cial en Madrid como ciudad regia f&gt; corte de reino , de la ind« pen El Rey ha expedido ei decreto s:gu;ente: dencia denlos párrocos por lo que hace al cabildo catedral , y algunas Don Fernando vil por la gracia de Dios y por ia Constitución de otras cosas en que los individuos de la comisión han esrado generosas Ja Monarquía española, Rey de las hipabas , a todos ¡os qu: la» pre- (tal vez con exceso) hacia las'¡deas de un clero preocupado de olías…</t>
  </si>
  <si>
    <t>…é grafo, impreso en Moró el 15 de Marzo de 182a , se lee lo siguiente: El Rey ha expedido el decreto siguiente: » El tirano López de Santafe, asociado de! despreciable Lamadnd, Te Don Fernando vn por la gracia de Dios y por la Constitución de (• nido de Buenos-Aires, atacaron á Bustos, gobernador de Córdoba; 7' Monarquía española, Rey de las Espafias, á todos lo»que las presen cogiéndolo prisionero por traición desús tropas , que fueron sobornadas,…</t>
  </si>
  <si>
    <t>…o de Marina en este dia ei s&gt; Señorea, solo añadiré una palabra para pteruntar si hay alguno decr'to siguiente: que dud : de la opm¡on secreta de Fernando vil. Yo m; tomo ia liber Don Fernando vtr por la gracia de Dios y por la Constitución ds tad de exponer mi r.pin’on personal acerca de este puntes, y la fundiré la Monarquía española , Rey de las Espadas , á todo* los que ‘"i pre en un hacho, qu: me es bien conocido. Nunca estuvo tan completa- se…</t>
  </si>
  <si>
    <t>…le de Erro. Los infelices valcsrlinos se hallaban en los montes, como El Rey ha expedido el decreto siguiente: va referido, la nieve había ya cedido algo, y aunque no contaba cotí Don Fernando vil por la gracia de Dios y por la Constitución da fuerza ni auxilio que protegiese mi movimiento, me deteimmé á salir la Monarquía española, Rey de las Espaíias, á todos los que las prt. con mi columna-, fuerte de 200 hombres escasos, y dirigiéndome por sént…</t>
  </si>
  <si>
    <t>…gualmente á las dos de la madrugada , los de Torete por una alarma E? Rey ha expedido el decreto siguiente: falsa. He dado avisos oportunos á las autoridades política y militar ■i Don Fernando vn por la gracia de Dios t por n Constitución de del 8.a distrito del movimiento de los enemigas , y seguiré mañana la Monarquía española, Rey de las Españas,. á todos los que las presen mismo tras ellos, dirigiéndome hacia Teruel y Daros!, pues según tes vie…</t>
  </si>
  <si>
    <t>…ra celentísimo Señor : En el parte de ayer desde Anguila di conocimiento cia y Justicia el siguiente decreto: Í V. E. que los enemigos habían evacuado á Sigiirnza ,y se dirigieron Don Fernando vir por la gracia de Dios y por la Constitución de á Aimon , que es en dirección á Atienz», para donde continúo la la Monarquía española,, Rey de las Españas, á todos los que las pre marcha con la vanguardia, siguiendo detras la división del general sentes vi…</t>
  </si>
  <si>
    <t>…la mas atroz injusticia, y cediendo i las dobles instigaciones de El Rey ha expedido el decreto siguiente r otra potencia extrangera, ha llegado á formar el proyecto insensato de Don Fernando vrt por !a gracia de Dio» yper la Consttticinn da invadir nuestro territorio para privarnos de nuestra libeitad é inde It Monarquía española , Rey de las España», a todos tos que .as pr-. : pendencia ; y cuando en el furor de sus pasiones no repara en los in…</t>
  </si>
  <si>
    <t>tofos las bases en que estriban las sociedades humanas, ias deja sin nin- » Don Fernando vi' por lagracta, ■ dej Dios■ y por la Corscntcbri/yde r.ma especie de garantía , abandonadas al abuso de la fuerza , es coca la Monarquía española, R,‘v ds ras h-s-á.i. , a tucos io- q,.r -u : i, ...en quino puede menos de sorprender aun a¡ hombre menos retí…</t>
  </si>
  <si>
    <t>…oficial jubilado de la secretaría dei Despacho de la Gobernación de lí El R-y ha expedido el decreto siguientr : Península___Primer ayudante general D. Lino Lavina-----Primer ayu. Don Fernando vu por :a gracia da Dio» y por la Constitución de dante general el coronel del regimiento infantería de Soria D. Francisco la Monarquía española , Rey de las Espinas, a todos los que las pre Figueras.__Otro ídem el coronel D. Antonio Puig, teniente de Rey sen…</t>
  </si>
  <si>
    <t>…a de España como fácil y como honorífica , acordémonos , pues 7-1 Rey ha expedido el decreto siguiente : (¡j; asi es preciso, de que en 1791 también se creía fácil y Honorífica »&gt; Don Fernando vu por la gracia de Dios y par la Constitución de una guerra contra la Francia, d-bil, desarmada, sm créd to , sin aba la Monarquía española, Rey de las Empañas, á todos ios que !.s presen dos, y como separada dei r.sto dei mundo. te» vi.rm y entendieren, sab…</t>
  </si>
  <si>
    <t>…puesto de los Sr:s. D. Juan Perez, D. Gerónimo Martínez Enrile,D. Jo F.í Rfy ha expedido el decreto siguiente! sef María Recortillo, D. Francisco Hidalgo, D. Juan Josrf del Cubi « Don Fernando ni por la gracia de Dios y por la Constitución de llo, D. Pascual Boiaños y Novoa, D. Antonio ds Oiazarra , D.Franla Munarquía española , Rey de las Espadas , á todos !o¡ que las pre cisco Carranza y D. Josef María de Arroyo, por unanimidad dec aró sentes.vie…</t>
  </si>
  <si>
    <t>…fectos y descuidos que se advierten en el proceso: el juez se vióabru El Rey hi expedido el decreto siguiente: mado con un millón de diligencias formularias, que era preciso exten Don Fernando vn por la gracia de Dios y por la Constitución de la der casi á un tiempo, y no había fuerzas en lo humano para que Monarquía española, Rey de las España» , á todos los que las presen las pudiera hacer un hombre solo. Tantos pasos, tantos oficios y tes vieren…</t>
  </si>
  <si>
    <t>…an correr sangre española por sus venas; pero les exponentcs se creen El Rey ha expedido el decreto siguiente: muy particularmente obligados por los honrosos puestos que deben á » Don Fernando vit por la gracia de Dios y por la Constitución la confianza nacional y á la munificencia de V. Ai. Han jurado guar ¿i la Monarquía , Rey de las Españas, á todos los que ¡as presentes dar y hacer guardar la Constitución promulgada en Cádiz en i8ia, vieren y e…</t>
  </si>
  <si>
    <t>…devora las selvas: caigan al filo de nuestras espadas , como las es El Rey ha expedido los decretos siguientes: ; pigas al golpe de la'yiiadaúa , esas gavillas de esclavos que han Don Fernando vn por la gracia de Dios y por la Gonsti- | profanado el suelo santo de la libertad : hagamos desaparecer de tucion de la Monarquía española , Rey' de las Españas, á todo» ’ la tierra lis falanges odiosas déla tiranía: el grito de Comj/iVw— los que las presen…</t>
  </si>
  <si>
    <t>…trario á la aprobación de los arts. 2.°, 3.0 y 4.0 del dictamen de la comisión de Comercio / El Rey ha expedido el decreto siguiente: sobre introducción de granos extrangeros. \ » Don Fernando vii por la gracia de Dios y por la ConstiEl Sr. presidente levantó la sesión á las tres. ytucion de la Monarquía española , Rey de las Españas , á todos los que las presentes vieren y entendieren , sabed: Que las Cortes Hemos recibido periódicos de Londres, q…</t>
  </si>
  <si>
    <t>…esta capital en 11 de Junio de 1822, Josef María Villaianda, D. Juan F’aut-slu Vea-Murguía, Don por d cual se prohibió la venta de papeles públicos por las calles Juan de Fuentes, D. Fernando de la Peña y D. ígnaco Ameni en puesto fijo, sino en Jas librerías ó sitio destinado á este Ucr, ha declarado'»•/ haber 1 n a 1*1,&gt;.•;»« &lt;• : .rusa , por objeto. ocho votos contra uno, que lo fue el D. Juan de Fuentes. Y para que nadie pueda alegar ignorancia…</t>
  </si>
  <si>
    <t>…del ayuntamien "provisiones D Ó Juan Argüe lies. Madrid 2 de Mayo de 1823. — to de Llbeda para que se declare aprovechamiento común un ter Es copia original de la remitida por el intendente D. Fernando reno particular propio para la fabricación de ladrillos y tejas, opi ¡Rubín de Celis. naba que debía oírse primeramente al dueño del Terreno para que Copíese en la orden general del ejército , leyéndose á los ba exponga los motivos que tiene para no querer co…</t>
  </si>
  <si>
    <t>ejército de ios Pirineos occidentales ascendían al número de 59525, El Rey ha expedido el decreto siguiente: que viene á ser casi lo mismo que lo que arriba queda dicho: el ” Don Fernando va por la gracia de Dios y por la Constitu ejército de los Pirineos orientales ascendía á gz0 hombres; pero ción de ia Monarquía Española, Rey de las Españas , á todos las noticias que en el día tenemos solo lo hacen ascender á 20497 los que las presentes vie…</t>
  </si>
  <si>
    <t>…á 12 de Alayo de 1823.=A D. Manuel Coríés. de 1823. =AD. Felipe BenicioNavarro. AYUNTAMIENTO CONSTITUCIONAL DE SEVILLA. Don Josef Ruiz del Arco, alcalde primero constitucional de Don Fernando vn por Ja gracia de Dios y por la Constitución esta M. N. M. L. y M. H. ciudad &amp;c. de la Monarquía Española , Rey de las Espaúas, á todos los que El Sr. gefe superior político con fecha de ayer dice al ayun las presentes vieren y entendieren, sabed: Que las C…</t>
  </si>
  <si>
    <t>…do dirigirme para su circulación la ley si Cortes las siguientes minutas de decreto, á saber : sobre el modo guiente : de suceder en los bienes dejados por testamento á manos muer Don Fernando vn por la gracia de Dios y por la Constitu tas; y la otra sobre que no se abran los juicios que han sido aban ción de la Monarquía española, Rey de las Españas, ñ todos los donados por alguna de las partes. que las presentes vieren y entendieren, sabed: (jue…</t>
  </si>
  <si>
    <t>…IO. y redundante , pues si no estaba mandado por el código penal lo El Rey ha expedido los decretos siguientes: que contenia , lo estaba por nuestras leyes , y que no había una ra Don Fernando vn por la gracia de Dios y por ia Constitu zón para adoptarse la medida que se proponía con respecto á las ción de la Monarquía Española , Rey de las Espai.as , á todos ios hermandades y cofradías, sifl que se entendiese lo mismo con res que las presentes vie…</t>
  </si>
  <si>
    <t>…de la mili 4c 1823.2= A. D. Manuel Cortes y Aragón. cia nacional activa, cuando ocurra que se pidan los eos á un tiempo ó se pidiere este hallándose pendiente aquel. Sevilla 2r 11 Don Fernando vil por la gracia de Dios y por la Consti de Abril de 1823. 32 Manuel Flores Calderón, presidente. = tución de la Monarquía espaúoia , Rey de las hispanas, á todo* Leonardo Santos Suarez , diputado secretario. — Manuel Llóren los que las presentes vieren y en…</t>
  </si>
  <si>
    <t>…ral del mismo ejército, que se hallaba el 19 del corriente en ValA, El Rey ha expedido los decretos siguientes : mojado ; en el concepto que este establecimiento no tiene por ob A Don Fernando vrt por la gracia de Dios y por la Constitu jeto tan solo la mas pronta comunicación del Gobierno con el ción de la Monarquía española, Rey ele las Españas, á todos los general en gefe del ejercito, sino que el público disfrute de esta ue las presentes v:eren…</t>
  </si>
  <si>
    <t>…: Habiéndose observado en este juicio todos los trámites prescritos El Rey ha expedido los decretos siguientes: por la ley, y calificado los jueces de hecho con la nota de sedicio Don Fernando vrr por la gracia de Dios y por la Constitu so en segundo grado el artículo inserto en el periódico titulado ción de la Monarquía Española, Rey de la* Españas, á todos «el Constitucional” de 26 de Ftbrero ultimo, que empieza vía los que las presentes vieren y…</t>
  </si>
  <si>
    <t>…e estos El Rey se ha servido dirigirme para su circulación la ley establecimientos v sanidad de las tropas. siguiente: Art. VF El secretario de la junta de instrucción lo será tam Don Fernando vn por la gracia de Dios y por la Constitu bién del primer médico, pudiendo vcierse este para el mejor des ción de la Monarquía Española . Rey de las Ftpañas , a todo» lot empeño del despacho de órdenes, correspondencia coh el Go que las presente» vieren y en…</t>
  </si>
  <si>
    <t>…n «¡ciar los mismo» jueces 4 conocimiento del Sr. ueutaiio «US l\»paEl Rey ha expedida los decretos siguientes : cho de liac ciuit: qu.cn hallándose, conven».di» de su ¡„ 1 c,.i v Don Fernando vrt por la gracia de Dios y por la Constitu cquidaJ , y de estar compicnd.du. en las estipulaciones J.-¡ pic^:ción de la Monarquía Española, Rey de las España*, á todos taelo trata lo, «atufará su importe á la peison-t ó personas á uno los que las presentes v…</t>
  </si>
  <si>
    <t>…tos el manifiesto de S. M., y un enérgico discurso cuerpo del cgército de los Pirineos—En el nombre de S: M. C- déi expresado comandante general, á cuya lectura contestaron las «1 Sr. D. Fernando vir___Considerando la disposición del pue tropas con las mas expresivas demostraciones de entusiasmo, vic do español, y él buen recibimiento que tienen por todas partes toreando á la Nación, al Rey constitucional y á la Constitución por donde pasan las tropas…</t>
  </si>
  <si>
    <t>…Sagrado; go de mas de tres años ha oprimido á este noble y leal vecindario, bernador militar .también interino de Madrid al mariscal de siempre fiel á su legítimo Soberano el br. D. Fernando vil (que campo; P* Pascual Liñan ; comandante de artillería al coro- Dios guarde), se apresuran á tributar á V. A. S. los hemenanel'djj-mismo cuerpo D. Joaquín Góngora s y para el mismo ges de reconocimiento y obediencia que son tan d-bidos, pro destilo en el…</t>
  </si>
  <si>
    <t>…ludo afcciuoso. En la carrera hasta lle restab'ecuniento del Gobierno monárqu eo Real de nuestro ama gar el Gobierno » sus resp etivos alojamientos, fue igual el en do Soberano el Sr. D. Fernando vir. Al propio tiempo se ex tusiasmo , y ei mismo co&amp;í.ruró durante la permanancia en la pidieron extraordinarios á los Gabinetes de Europa para comu ciudad de S. A. S. nicar á los Soberanos abados la organización del Gobierno pro S. A. R. el 8r. Duque de Ang…</t>
  </si>
  <si>
    <t>….Palarea: estado mayor, gefe interino D.......; capitán adicto D. Joaquín Cayuela. El Rey ha expedido los decretos siguientes : Cuerpos de que se compone—Tropas del mando del coro Don Fernando vm por la gracia de Dios y por la Constitu nel Scoane, tropas del mando del coronel Jáuregui, resguardo ción de la Monarquía española, Rey de las Espaúas , á todos los militar de Guipúzcoa , voluntarios de S. Sebastian y Vitoria, vo que las presentes vieren y…</t>
  </si>
  <si>
    <t>…Mur a btrrer, de ili-3.—A D. JuanAi4,njoniv Tundióla. presidente. == Manuei ¡dórente, diputado secretario. — Domingo Eulogio de la Torre, d.püt-do secretario.znPor tanto ¡Tundamos Don Fernando vn filloa li: gracia de I)ios y por la Constitu á todo» los tribunales, justicias, gefes , gobernadores y as au ción de la Monarquía tip¡Q[|,i:i:csl;i, Rey de las'Españas, á todos toridades, asi civiles como militares y.eck-siisEcas , de eu.nqu.cra los que la…</t>
  </si>
  <si>
    <t>…, podrían for Santos Evangelios, dijo en clara é inteligible voz: »* Juro la fi mar una Regencia del reino, que durante la cautividad del Rey delidad mas ilimitada al Rey nuestro Sr. D. Fernando va nu stro Señor gobernase y rigiese la Nación con arreglo á sus ” ^ Borbon : ofrezco emplear todos mis esfuerzos para sostener leyes fundamentales: enterado S. A. R. de todo, por su decreto *y defender los imprescriptibles derechos de S. M.: prometo del dia…</t>
  </si>
  <si>
    <t>…os á los ilusos, y que restituido el Rey á su El 30 de Mayo se celebraron los dias de nuestro muy amado trono, logre hacer tan felices á sus pueblos, que las emociones Soberano el Sr. D. Fernando vu con las mas puras y cordiales que sientan en igual dia los años venideros sean puramente de demostraciones de todos los habitantes de esta heróica capital. alegría, confianza y gratitud! Repetidas salvas de artillería habían anunciado desde la víspera VARI…</t>
  </si>
  <si>
    <t>…o de lo prevenido en este decreto, nio Yandiola. serán responsables con sus bienes á la reparación de daños y per juicios, ademas de imponerles Jas penas prescritas por los leves. Don Fernando vn por la gracia de Dios y por ¡a Constitu Art. 11. Las diputaciones provinciales y ayuntamientos po ción de la Monarquía española, Rey de las Españas, á todos los drán auxiliarse para la ejecución de este decreto con los ciudada que las presentes vieren y en…</t>
  </si>
  <si>
    <t>…os aqui__ Los franceses y los facciosos existentes en el llano de Vich El Rey ha expedido los decretos siguientes. son c,9 infantes y 400 caballos: anteayer llegó á aquella ciudad Don Fernando vn por la gracia de Dios y por la Constitu Monccy de la parte de Olot , y Eróles de la de Ripoll con muy ción de la Monarquía española , Rey de las Espafias , .i tc-do &gt; les poca escolta. Hay una gran guardia en Tona, y sus avanzadas que las pre:,cutes vieren…</t>
  </si>
  <si>
    <t>…dignidad de la corona , respete y mantenga los derecho» de los ciudadanos. El Rcv ha expedido el decreto siguiente: Entre tar.to obedeced á las autoridades , olvídatlM** venganza* Don Fernando vil por la gracia de Dios y por la Constitu particulares; sofocad el espíritu de partido; evitad ia guerra civil, ción de la Monarquía española, Rey de las España», a todo» ios</t>
  </si>
  <si>
    <t>…n en la felicidad de la patria y defensa de los derechos de nuestro rosa comisión de cumplimentar á V. A. S., y de manifestarle amado Soberano. que su amor y fidelidad á su Rey el Sr. D. Fernando vir han S. A. S. contestó por medio de su digno presidente con la sido y son siempre inalterables. Si para libertarle del cautiverio afabilidad que le es característica , quedando muy satisfecha de que sufrió bajo los revolucionarios de Francia hizo esfuerzos…</t>
  </si>
  <si>
    <t>…ila 23 de Noviembre de 1822. — Excmo. Señor. =; Juan Antonio Martínez. ANUNCIOS. El Rey ha expedido el decreto siguiente: Por el juzgado del Sr. D. Juan de Ir. Torre, juez secundo Don Fernando vn por la gracia de Dios y por la Constitución de primera instancia de la ciudad de Córdoba , y escribanía de de la Monarquía Española, Rey de las Españas, á todos los que número de Barroso, se llama, cita y emplaza á Eran.'seo de ¡i las presentes vieren y en…</t>
  </si>
  <si>
    <t>…ido tres años, dos meses y mana.=El conde de RevilUg¡gedo.=M. El duque de Medina- cinco días, este leal vecindario, siempre fiel i su legítimo Sobe celi y de Santist-ban.” rano el Sr. D. Fernando vii ( que Dios guarde ), corre á ofre S. A. R. se dignó contestar en los términos siguientes; cer á V- A. S. los homemges de obediencia que son debidos, Cuartel general de Madrid, y de Junio de 18ay. seguros que bajo de su Gobierno justo y paternal conseguirá…</t>
  </si>
  <si>
    <t>…talación , y en prueba del amor y respe la embijada de París. to que constantemente ha profesado á su legítimo Soberano el El general Madeira sigue ocupando á Bahía ; pero el regi Sr. D. Fernando vir, quisiera ser Ja primera que prestase su miento del Emperador salió de aquí para unirse al cuerpo que obediencia a V. A. S., deseándola al mismo tiempo ia prospe forma el bloqueo, y se espera que luego que llegúese decidirá ridad y acierto en las funcione…</t>
  </si>
  <si>
    <t>…inten-. justificada: hiedida mira restablecido el altar y.el trono, brevemen dente no procedan los jueces en las causación toda brevedad 7. te colocado en él á tu amado Monarca el Sr. D. Fernando nr con aneg o á las leyes, ¿ acudirá reservadamente al Gobierno de Barbón, cautivo con su Real Familia por una facción irre por la secretaría de Estado y del Despacho del Interior, expo-; ligiosa , y con mas opresión y exposición de tu vida que en siendo cuaa…</t>
  </si>
  <si>
    <t>…as y seductoras téoíías ; que rara Lv¿z han - producido otro La Regencia delreino durante la cautividad del Rey nues efecto que el desconcierto en que hoy está nuestra Real Ha tro Señor D. Fernando vn (que Dios guarde) se Na servido cienda- Esta empresa éisumémente ardua y delicada, y ¿íí-vi'a expedir ei decreto siguiente = tiempo y meditación ; para lo que Bordanlugar las públicas ne n En medio del asombroso cúmulo de cuidados que ocupan cesidades. Es…</t>
  </si>
  <si>
    <t>procederán desde luego por medio dé la convocación de susxa» por su legítimo Soberano el Sr. D. Fernando vir, que no pu pítulos provinciales , definitorios, ó los que dicten sus jeapecti- do contenerse de sasir.n ei día 20 de Mayo último” por hs ca.ras reglas óestatutos, ¿ la elección canónica de prelados y de lles y plazas gritando »;¡ Viva el Rey Fernando vn,…</t>
  </si>
  <si>
    <t>…ayer 5 del corriente las tropas constitucionales et llevar á la ejecución la grande obra de la libertad del Rey que forman la división de Mina abandonaron h Seo de Urge!, nuestro Señor D. Fernando vii, su Esposa y Real Familia y tomaron la dirección de la Cerdaña por el puente de Bar. Los (que Dios guarde), y la de toda la Nación, decretada por los milicianos y miqueletes estaban mandados por Orea, y la tropa Soberanos de las grandes potencias. Asi esp…</t>
  </si>
  <si>
    <t>…arios se han quitado por fin la máscara; mayor entusiasmo ; en vergüenza de los perjuros proclamó á su y han patentizado el talento político y la previsión del primer amado Rey el Sr. D. Fernando vn, destruyó ¡as lápidas cons ministro ingles marques de Londonderry, quien dijo en públi titucionales , y todos cuantos signos demostraban la tiranía que ca Cámara.que los jacobinos españoles eran mas detestables que nos oprimía, reunió y admitió á su protec…</t>
  </si>
  <si>
    <t>…añana del 14. Ninguno de los embajadores reconoció á la Regencia, ni menos el de Inglaterra; antes bien declararon que no reconocían otro Gobierno que el del Rey constitucional el Sr. D. Fernando tu , y que se quedaban en esta ciudad esperando las órdenes de sus respectivos Gobiernos. De la comitiva ha quedado aquí mucha parte, que irá saliendo se gún lo permitan las circunstancias; pero los que marcharon el dia 12 con los empleados de secretarías y d…</t>
  </si>
  <si>
    <t>…00 oGciaies se han quedado en Sevilla. » La Regencia de España é Indias durante la cautividad El conde de Bourm nt, después de haber restablecido el orden del Rey nuestro Señor el Sr. D. Fernando vit ,que Dios guar en esta ciudad populosa, se unirá inmediatamente al general de, ha tenido á bien decretar la derogación de todos los fueros Bordesoulle. en los procedimientos del superintendente general de Vigilan Se sabe que las tropas constitucionales de…</t>
  </si>
  <si>
    <t>…su número) , y que pañoles en su gloriosa lucha. desde la nada que era lo elevó á su graduación el mejor de los El Sr. Henrique Hunt ocupó la poltrona, y antes que la Monarcas el Sr. D. Fernando vn (que Dios guarde), cierta junta se disolviera ya se habían votado dos fusiles y un billete mente que no seria tan audaz que incidiese en el delirio de que de banca de una libra estetlina. Este último donativo fue de rer dictar leyes á los pueblos de ia Mon…</t>
  </si>
  <si>
    <t>…ha servido Conformarse con la propues ta obra grande de restituir á su trono Con los derechos antiguos ta de V. S., autorizando eñ su consecuencia á dicho comandan á nuestro amado D. Fernando vn. Zaragoza 8 de Mayo dé te, para que complete hasta el número de las 40 plazas monta de 1813.¡s-Sermo. Sr. = Francisco Amar, gobernador ecle das y uniformadas «n los mismos términos, y bajo el propio siástico.” concento que V. S. indica.” ^ Exposiciones dir…</t>
  </si>
  <si>
    <t>…mientos de su guardia y del poderío que antes de los tres aciagos años constitucionales el 2ó. Varios escuadrones y batallones acampados en estas cer ejercía el adorado Monarca el Sr. D. Fernando vii , no .pue canía* han tomado ya sus cuarteles. do en mi nombre y de este clero detener por un momento la 1NGX. ATERRA. dichosa efusión de corazón con que felicitar a V. A. S. por su instalación en la Junta de Regencia hasta que se logra la liberr Lóndres 9…</t>
  </si>
  <si>
    <t>…atisfacción, y para que se sirva hacer lo público al noble vecindario de esta ciudad ¡para colmar su alegría y re animar su buen espíritu á favor de la augusta Persona de S. M. el Señor D. Fernando vii. Dios guarde á V. E. muchos años. Sevilla 23 de Ju nio de i823.=:Conde de Bourmont. = Excmo. Sr. presidente y ayunta miento por S. M. de esta ciudad de Sevilla.” Lo que traslado á V. E. para que se sirva ponerlo en noticia de S. A. la Regencia del Reino.…</t>
  </si>
  <si>
    <t>…, por cuya conservación y prosperidad ruego á Dios y poder lejítimo durante el cautiverio de nuestro Rf.y y Sobera deseo le guarde muchas años. De mi juma general en la N. y L. no D. Fernando el vi i í No, Sermo. Sr. Ni un instante ha ca villa de Villafranca á 23 de Mayo de iSag.ncEsteban de Gasbido en mí el retardar á mis 263 pueblos, que integran el cor- tañaga.=Por la M. N. y M. L. provincia de Guipúzcoa, su se reji miento que puso á mi cuidado…</t>
  </si>
  <si>
    <t>…tida libertad de hablar y de escribir han sido mas el Sr. Duque de Angulema , durante la cautividad del Rey artificiosa y atrozmente perseguidas que minea. Por esta razón, nuestro Señor D. Fernando vrr, que Dios guarde. La comu y conformándonos con la práctica constantemente observada, no nidad no tiene otra fuerza mas que sus oraciones al Todopo sblo bajó él Gobierno lejítfmo, sino también bajo el intruso y deroso; pero en ellas confia en que este Seño…</t>
  </si>
  <si>
    <t>…y cerca de 400. carros y cajones. El magnánimo Rey Cristianísimo Luis xvm dispuso presen _ El 16 de Junio último 400 o nstituc onales salieron de la tar á nuestro amado Monakca el Señor D. Fernando vn, y en Seo de Urgel con el designio de sacar una contribución en la su representación á la Rejencia del reino cuarenta y ocho ban aldea de EJiaberri; pero advertido con tiempo de ello el gober deras tomadas por las tropas de Napoleón en la guerra de la inde…</t>
  </si>
  <si>
    <t>…términos que proclamó á sus augustos mayores, y videncias consigamos ver á nuestro adorado y desgraciado So jamas retrocederá un paso: todos sus habitantes: todo su reinoberano el Sr. D. Fernando vii (que Dios guarde) reinar li han tomado las armas para sostener su proclamación, y solo bre por dilatados y felices años. Segovia 2 de Junio de 1823.= cuando no existan, reinarán otras leyes que Jas dictadas por S. M.Sermo. Sr.ss A L. P. de V. A. =Josef de…</t>
  </si>
  <si>
    <t>…S. la ciudad dé Calahor » Pero, Señor, el atroz atentado de arrancar de su Real pala ra. =: El corregidor Francisco Fabian.= El regidor decano Gas cio á nuestro'amado Soberano el Sr. D. Fernando vii , su au par de Miranda y Bsrnedo. = El procurador síndico general Be gusta y virtuosa Esposa con todos los Sermos. Sres. Infantes, dig nito Marcilla.sPor acuerdo de sus señorías Calixto Martínez. nos vastagos de San Luis y San-Fernando, sumerjiera á esta…</t>
  </si>
  <si>
    <t>…valiente gefe, mayor entusiasmo y zelo de exterminar en la parte que le sea capitán y demas subalternos que tan gloriosamente se batieron posible los enemigos de nuestro amado Rey Don Fernando en defensa de nuestro amado Soberano. vii (que Dios guarde ), para lo cual, con las mismas armas y Con el parte me han remitido un legajo de papeles impor caballos que aprehendieron y otras de fuego de que se les ha tantes, y aunque no los he examinado todos,…</t>
  </si>
  <si>
    <t>…er se con esta tropa algunos zapadores y un oficial de ingenieros para ha servido dirigirme el decreto siguiente: demoler la venta situada en el mismo arrecife donde se ha aposta „Don Fernando vu por la gracia de Dios y por la Constitucióndo otros dias, y suponía encontrar hoy al menos alguna avanzada. de la Monarquía Española, Rey de Jas Españas, á todos los que » Con los mismos objetos y con d de destruir algunos edifi las presentes vieren y ente…</t>
  </si>
  <si>
    <t>…a que sea su consideración, ha ve V- A. los sinceros sentimientos de adhesión y fidelidad á su le- ‘ nido en declarar qus esta determinación de ningún modo com jítim-o Soberano el Sr. D. Fernando vri, y tiene el honor da prende ni debe aplicarse sino á ias gracias y honores concedidos ofrecer á V. A. los respetos de la mas alta consideración. por S. M. en dicha época á sus vasallos. Tcndreislo entendido, » Dios guarde á V. A. muchos años. Valencia 28…</t>
  </si>
  <si>
    <t>…r*t vas canciones y vivas hacer que se conserve I -sa nuestra sagrada religión . re,t-tuir á en obsequio de ia sagrada Fersona del Rey absoluto , de la re nueitro amado Monarca r! Sr. D. Fernando vii (Q D. G.) ligión pura, de la patria oprimida, de sus triunfantes d- Tensores en unión de toda &gt;u Reo Famiba ai pono disfrute de su trono, Realistas y valientes tropas auxioares; despreciando impávidos y paia m iar por el b en y feuc:ria-i d.; rste re.no.…</t>
  </si>
  <si>
    <t>…os despojos y es* ma guerra de sucesión á ¡a corona mereció á la piedad del glorioso poliaciones de bienes que ¡a mas remota antigüedad , eminentes Abuelo de nuestro amado Monarca Don Fernando vu esta servicios hechos al Rey y á la patria, y derechos incontestables distinción honrosa, y por sus particulares servicios en obsequio y aun sagrados habían consolidado en sus casas y familias, á de los Sres. Reyes sus predecesores ha logrado en los anteri…</t>
  </si>
  <si>
    <t>…. Casi la miud de de Jesucristo, y 1&lt; dulce confian/a y paternal autoridad de nues los diputados no quiso seguir á las cortes, que sin duda no han tro Soberano Católico Monarca el Señor D. Fernando vii. podido reunirse en Cádiz en número suficiente para deliberar. Tres años y medio de experiencia y sufrimiento ha descorrido Un secretario del Despacho , conocido por una honradez á toda -1 velo que con dolor de nuestro corazón hemos visto cundir prueba, s…</t>
  </si>
  <si>
    <t>Gaceta de Madrid n.º 383 (extraordinaria)</t>
  </si>
  <si>
    <t>…bada la lápida, y la alegría resonó por todas partes , dejándose ver al momento entre un in menso concurso v repique general de campanas el retrato de nuestro au gusto Soberano el Sr. D. Fernando vii, á cura presencia se desahogó el gozo de los leales murcianos en aclamación y vivas. Estas operaciones, ejecutadas al abrigo del amor y lealtad murciana, sin protección de fuerza alguna militar, es el mayor comprobante de loe nobles y generosos sentimient…</t>
  </si>
  <si>
    <t>…Reales órdenes que en la espera, se ha pronunciado con su lealtad , como lo ti-ne bien secretaría de Hacienda de mi cargo no se dé curso de manera acreditado, á favor de su Rey el Señor D. Fernando vi i , que alguna á las instancias que no vengan dirigidas por los respecti Dios guarde , proclamándolo en la plenitud ds sus derechos, vos gefes; y siendo en el dia extraordinario el número de las sin haber aguardado orden ni aviso para ello de la capital Se…</t>
  </si>
  <si>
    <t>el ar. D. Fernando vn al trono da sus mayóte*, dando en es Mr. Ward se detuvo 24 horas en Córdoba por hallarse allí ta contacta una prueba de su constante decisión á ia justa cau la vanguardia del ejército francés, á cuyos oficiales no tuvo ¡osa del Rky y á ia felicidad da los…</t>
  </si>
  <si>
    <t>…s y ricas provincias, decuantos , y les quitaron una carga de municiones de cuatro que aquella piedra preciosa de la Real corona de nuestro ieoíanado llevaban. Rey y Señor natural D. Fernando vn de BorsoN (que D.os En medio de la refriega escaparon algunas mugeres del pue guarde). ¡Con qué desprecio , con qué abandono y con qué inblo , y se fueron á Lucena; y como el miedo abulta los objetos, dolencia miró el gobierno revolucionario aquellos domin…</t>
  </si>
  <si>
    <t>…limiento, y dispondréis se imprima , pu ARTICULO DE OFICIO. blique y circule. erEstá rubricado de la Real mano. Salvador Man zanares. El Rey ha expedido los decretos sigu'entes :* Don Fernando vil por la gracia de Dios y por la Constitu D. Fernando 7.® por la gracia de Dios y por la Constitución ción de la Monarquía Española , Rey de las Españas , á todos de la Monarquía Española , Rey de las Españas , á todos los que los que las presentes vieren y…</t>
  </si>
  <si>
    <t>…Antonio Yandiola. nición será difícil que los constitucionales resistan el furor de un El Rey se ha servido dirigirme el decreto siguiente: populacho ignorante v corrompido.” (4). D. Fernando vir por la gracia de Dios y por la Constitución ARTICULO DE OI-ICIO. de la Monarquía Española , Rey de las Esparzas, á todos los que E! gefe político superior de Puerto-R ico con fecha de 2 s; de las presentes vieren y entendieren, sabed : Que las Curtís lian…</t>
  </si>
  <si>
    <t>339</t>
  </si>
  <si>
    <t>339 Don Fernando va por la grada de Dios y por la Gonstiui- mano.~En Cádiz ¿ 27 de Junio de 1823, cion de la Monarquía española, Rey de las Españas, i todos los Y de orden de S. M. lo comunico á V. para su inteligen que las presentes vieren y entendieren, sabed: Que las Corte…</t>
  </si>
  <si>
    <t>…monjas, de frailes, de tiranos y de gastos de oficiales y em El Rey se ha servido dirigirme el decreto siguiente: pleados: no se trata de nada de esto, tratase solamente de dar un Don Fernando vn por la gracia de Dios y por la Constitu reglamento del modo que se considere mas oportuno á una cor ción de la Monarquía española, Rey de las Españas, á todos los poración que existe. La controversia no debe recaer sobre si la di que las presentes vieren y…</t>
  </si>
  <si>
    <t>…la división del contra-almiran por ia adhesión firme y constante que han conservado á la Real te Rotours , compuesta del Centauro , el Tridente y la Guerrera, Persona de S. M. el Sr. D. Fernando vii (que Dios guarde), cuatro buques franceses que habían sido apresados y conducidos no pueden menos de felicitar á V. A. por su instalación, que á dicho puerto por corsarios españoles, y son; el gran CorneiUe, ■i bien promete los mas felices resultados de p…</t>
  </si>
  <si>
    <t>34» Ei Rey ha expedido los decretos siguientes: De Real orden lo comunico á V. para su-inteligencia, Don Fernando vil por la gracia de Dios y por la Constitu cumplimiento, y que con ei mismo fin lo circule á quien corres ción de la Monarquía Española , Rey de las Españas, á todos ponda. Dios guarde á V. muchos años, Cádiz xo de Julio de Jos que las presentes vieren y ent…</t>
  </si>
  <si>
    <t>…De Real orden lo comunico á V. S. para su inteligencia timientos de amor y lealtad á nuestro augusto Monarca, el Se y puntual cumplimiento; adviniendo que si en algún caso par ñor D. Fernando vti, y de sumisión y respeto á V. A. y á ticular no produjeren efecto los apremios referidos , y fuere pre sus decretos y determinaciones , encaminados á restablecer en el ciso el aumentarlos , ó acudir al auxilio militar, ¡o propondrá trono de sus mayores á…</t>
  </si>
  <si>
    <t>…ntos sacrificios fuesen necesarios siempre firme en sus sentimientos de fidelidad y amor á su legípara tan grandioso objeto. Plaza Real de Jaca 15 de Junio de timo Soberano el Sr..D. Fernando vir (que Dios guarde), se iíÍ2¿=Sermo. Sr.erEl brigadier coroneljosef de Miranda y Ca- presenta con el mayor placer y respeto i ofrecer á V A. S. el b;zon.=3ermo. Sr. presidente y vocales de la Regencia de Es mas sincaro homenage y reconocimiento, congratulán…</t>
  </si>
  <si>
    <t>…ey se ha servido y dijo 1 Aunque el (jobicrno no tiene hasta ahoia todas las no dirigirme el decreto siguiente: ticias que necesita para informar a las Cortes con individualidad y D. Fernando vn por la cracia de Dios y por la Constitución de la Monarquia Española, ÍLey de las Españas, á todos ¡os que exactitud de la serie de operaciones del ejército de reserva en el día de ayer sobre la línea enemiga , puede sin embargo informar las presentes vier…</t>
  </si>
  <si>
    <t>…rvido dirigirme para su circulación la ley si director general del ramo. Con presencia de tales inventarios ó guiente : estados dispondrá el Gobierno inmediatamente la venta en pú D. Fernando vn por la gracia de Dios y por la Constitución blica subasta de los tabacos , distribuyéndolos en lotes donde haya de la Monarquía Española, Rey de las Espaí.as, a todos los que grandes existencias para su mas fácil elaboración- las presentes vieren y entendi…</t>
  </si>
  <si>
    <t>…. sobre los delitos cuyo conocimiento le compete. Art. 8.° En F.l Rey se ha servido dirigirme el decreto siguiente: todo lo demás la sustanciacion, excepto en fas causas de vagos, Don Fernando vil por la gracia de Dios y por la Const.tu- holgazanes y mal entretenidos, será conforme á lo dispuesto en cion de la Monarquía Española, Rey de las Espartas, á todos los dicha ley de 26 de Abril y en sus adicionales. En las causas de que las presentes viere…</t>
  </si>
  <si>
    <t>…oroneles restauración al trono de sus mayores, y Ubre de to la perfidia é ■orprendieron al centinela, le quitaron el fusil, y en el momento iniquidad , á nuestro amado Rey y StSor D. Fernando vn ulieroa los presos que iban «a le. bodega, se apoderaron de las ( qua Dios guarde &gt;.</t>
  </si>
  <si>
    <t>…eses, y exigiéndoles enor- .—” Personas fidedignas avisan de Seviila, que allí corre muy ; mes contribuciones, pasaron una circular i todos los pueblos valida la especie de que el Sr. D. Fernando vn (5) ha de es cxortándolos t que se armasen contra las tropas nacionales: tar en aquella ciudad el 4 de Julio; y que se añade sin rebozo, ; creimos que esta no habrá producido efecto alguno, por haber- que el sitio que 3 Cádiz se pone es mera plataforma, pu…</t>
  </si>
  <si>
    <t>…irigirme para su circulación la ley si xilio de un viento favorable , se ven precisados á esperar sema guiente : nas enteras. Si no fuera por las inundaciones del Nilo, ¡qué seria Don Fernando vn por la gracia de Dios y por la Constitu del paraíso de Egipto: ¡qué seria de Roseta , de sus amenos jar ción de la Monarquía Española , Rey de las Españas, á todos dines , de sus quintas, de sus bosques de palmas y de sus pingües Jos que las presentes vier…</t>
  </si>
  <si>
    <t>…0 613635.. 1 El Rey se ha servido dirigirme para su circulación la ley Valencia.. .. 3.818921.. 7 3.009491..25 656648-13 siguiente; Valladqlid.. 3.896837..21 2.117285-21 228577-19 D. Fernando vti por la gracia de Dios y por la Constitución Vigo........... 3.418300,. 1.915781-32 91000., de la Mdnarquia Española, Rey de las Españas, á todos los que Villafranca. 1.042501.. 1 336827-28 37690-29 las presentes vieren y entendieren, sabed: Que las Cortes…</t>
  </si>
  <si>
    <t>…la siguiente escala general de repartimiento. ARTICULO DE OFICIO. Número di patentes. Distribución de ellas. El Rey se ha servido dirigirme para su circulación la ley si guiente : Don Fernando vit por la gracia de Dios y por la Constitu ción de la Monarquía Española, Rey de las Españas, á todos los que las presentes vieren y entendieren, sabed: Que las Córtes han decretado, y Nos sancionamos lo siguiente: Las Córtes, después de haber observado toda…</t>
  </si>
  <si>
    <t>…l á 8 dicha villa, se ha mandado citar y emplazar, como por el pre reales en pasta y 6 en rústica. sente se bace,á tos parientes ó personas que se consideren con de ; Debió «1 Rey D. Fernando vir en Marzo de 1820 jurar recho á dichos bienes, para que en el término de 15 dias com la constitución promulgada en Cádiz el año 18121 Sí. &lt; Debió parezcan en su juzgado y escribanía de D. Miguel de Llama; en mas bien habar hacho lo que hizo en Diciembre de…</t>
  </si>
  <si>
    <t>…vido dirigirme para su circulación la ley si cese. De muy buena voluntad accederé al cange que me proponéis. guiente : Doy ¡a orden para que se busque a Inocencio Mangiron , solda Don Fernando vii por la gracia de Dios y por la Constitu do del escuadrón de voluntarios de Madrid, que ha sido enviado ción de la Monarquía Española, Rey de las Españas, á todos á retaguardia , y probablemente hacia sus hogares; pero si mientras los que las presentes vie…</t>
  </si>
  <si>
    <t>…dirigirme con esta fecha el dccictoEn el primer patio del palacio encontraron nuestros viajeros un gran número de soldados aJbaneses de la guardia del bajá sentados titúlenle. 4 “ D. Fernando vti por la gracia de Dios y por la Constituciónó echados en el suelo fumando en sus pipas. En medio de estos corrillos de soldados se vetan algU|ios ------------------------ ---------------------------- ------------ ------------- ?—- — «igás y beyes vestidos…</t>
  </si>
  <si>
    <t>…llón á proporción de su fuerza, sacando para granaderos y ca El Rey se ha servido dirigirme el decreto siguiente: rabineros los de mayor talla, y para cazadores y tiradores los de D. Fernando vil por la gracia de Dios y por la Constitución menor, sin otro requisito. de la Monarquía Española, Rey de las Españas, á todos lo^ que ' Art. 6.a Los oficiales , sargentos, cabos, tambores y corne las presentes vieren y entendieren, sabed: Que las Cortes li…</t>
  </si>
  <si>
    <t>…envuelve ó no una reconvención al Gobieno, permítannos estos El Rey se ha servido dirigirme el decreto siguiente: señores decirles que esta observado» espontánea es un poco intem Don Fernando vn por la gracia de Dios y por la Constitu pestiva y aun algo mas ... EN LA IMPRENTA NACIONAL,</t>
  </si>
  <si>
    <t>…as; esto es usurpar los El Sr. gobernador de esta plaza nos remite para darle publlciderechos que la Constitución da solamente á nuestro Rey el se cidati el escrito que sigue: ñor D. Fernando vn ; es adelantarse todavía mucho mas. Napo «D. Bernardo Valdés Hevia, diputado provincial de Oviedo, león no se atrevió) á tanto. y D. Félix Cantalicio de la Ballina , alcalde 2.0 constitucional de »Se toma por pretexto para tales novedades tumultuarias y es…</t>
  </si>
  <si>
    <t>…areció entre nosotros — » Sermo. Sr.: Osuna, siempre fiel y amante á la santa rali* tanto mas ferviente, cuanto las sombras mas ofuscaban los paí gion de sus padres y de su Rey el Sr. D. Fernando vtr, fus ses y regiones vecinas. por esto desde el restablecimiento del pretendido sistema consti n Pero á la licencia y falta de freno que aquella guerra no* tucional el objeto de los tiros de una facción cruel y desorgani ocasionó , se siguió la solemne pro…</t>
  </si>
  <si>
    <t>…qui lidad me propongo conservar. Decídete, pues, á separar de tu El Rey se ha servido dirigirme el decreto que sigue: fcdo los que te aconsejan tan imprudentemente; cumple las pro Don Fernando vn por la gracia de Dios y por la Constitución mesas que de tu propia voluntad has hecho ; sigue dando a tu tris de la Monarquía Española, Rey de las Espaf.as, á todos los que te patria pruebas de que la amas, y cuenta siempre con la amis las presentes vieren…</t>
  </si>
  <si>
    <t>…Ínis,noson unos hombres filantrópicos, no son unos hombres ge __El Rey se ha servido dirigirme el decreto siguiente: nerosos , no son unos caballeros de la edad media como los que Don Fernando vn por la gracia de Dios y por la Constitu Chateaubriand describe, y cuyas costumbres ensalza, no son por ción de la Monarquía Española, Rey de las Éspañas, á todos los último ni aun unos medianos calculadores. Su conducta, tan tirá que Jas presentes vieren y…</t>
  </si>
  <si>
    <t>…nto. El furor y la desfachatez Je ¡os ultras, en quienes es pre El Rey se ha servido dirigirme el decreto s'guiente: ciso reconocer mayor talento , aunque no mayor perversidad que D. Fernando vn por la gracia de Dios y por la Constitución en nuestros serviles, ha respetado en Francia las enagenaciones de la Monarquía Española , Rey de las Españas, á todos lo; que que durante la revolución hizo la Nación de los bienes, que la las presentes vieren y…</t>
  </si>
  <si>
    <t>…individuos y dependientes, de todos sus habitantes en favor de la justa causa de nuestro como que pertenecen al mismo consejo supremo de la Guerra; oprimido y lcjítimo Monarca el Sr. D. Fernando vii (qua y enterada S. A. S., se ha servido resolver: Dios guarda ), que es igualmente iá de la religión , la justicia y i.J Que aunque no corresponde á este ministerio de Hacien* la pa¿. da de mi interino cargo el fijar la suerte que en lo sucesivo de » En m…</t>
  </si>
  <si>
    <t>…A. S. -• Que los natura » Sermo. Sr.: El ayuntamiento de L. M. L. y antigua ciu. les y habitantes de su vecindario, impulsados del fiel amor y lealtad que profesan al Rey nuestro Señor D. Fernando vir dad de Palencia con voto en Cortes, madre de la enseñanza (que Dios guarde), clamando en voz viva por la extinción del pública en España por su primera universidad, y cabeza de ¡a cruel Gobierno intr uso llamado constitucional, y que quedase fidelísima pr…</t>
  </si>
  <si>
    <t>…or junta en la mañana del 7, confirmaron el mismo juicio. constancia su firme adhesión á nuestro amado Soberano el Se Ha pasado la noche muy agitada; pero sin fiebre, y apenas ñor D. Fernando vrr y su dinastía: sosteniendo, como procu se le ha alterado el pulso. rará en todos casos sostener, con rostro firme, tanto la legitimi El paciente ignora el estado de su mal, y no se le ha dicho dad é integridad d: los derechos del trono de las Españas, que…</t>
  </si>
  <si>
    <t>…la lealtad da Huesea. Si al anochecer grande obra empezada, consiguiendo la libertad de nuestro sus de este dia (de que jamas nos olvidaremos) se divulga la vez pirado Monarca el Sr. D. Fernando vh (que Dios guarde), de que regresaba , y estaba muy ptíixima la columna constitu pide al Dios tU- los ejércitos prospere Ja vida de V. A. S. mu cional , que cinco días antes nos había dado el gti.ro de aban tuos años para bien de la Monarquía. Medina de Rio…</t>
  </si>
  <si>
    <t>…s, animada de ios mis y lealtad a S. A. S.’’ la Regencia del Reino, digna representante mos sentimientos que toda la Nación, se honra de hacerlos pade su cautivo Rey idolatrado el Sr. D. Fernando vii, y ofre tentes á V* A. S., tributándole el homenage debido á quien cer su sumisión, respetos y acendrada fidelidad á su Soberano» representa la augusta Persona de nuestro amado Rey , por cuyapor cuyos justos y debidos sentimientos han sido dichos párro pr…</t>
  </si>
  <si>
    <t>…Calatrava, residencia qiu lúe de los grandes maestres La Regencia del Reino, durante la cautividad del Rey de este militar esclarecido orden, instituido y planteado en su nuestro Señor D. Fernando vii , que Dios guarde, se ha ser sucio para sostener .a de ji^ü'-risto, y afianzar ei troco vido expedir en este dia el decreto siguiente: de nuestros Reyes en tiempo de ¡a dominación mahometana , ja La Regencia del Reino, atendiendo á los perjuicios que se m…</t>
  </si>
  <si>
    <t>…que ocuparon su capital las tropas de S. M. Cma., á la libertad de los sentimientos de amor y fidelidad a su Rey que recibidas con ei mayor jíibilo de sus vecinos, todos se es el Sr. D. Fernando vii (que Dios guarde), seria culpable si no meran á porfia en su obsequio, y segura V. A. S. de sus since los expresase con toda la efusión de su espíritu, manifestando la ros sentimientos , los trasmite en su nombre este ayuntamiento, órgano de los mismos; y…</t>
  </si>
  <si>
    <t>…a. Decreto de las Córtes habilitando para la venta y consumo El Rey se ha servido dirigirme el decreto siguiente : nacional, y para extracción, todas ¡as producciones, frutos ékc. Don Fernando vn por la gracia de Dios y por la Constitución introducidos en presas hechas á los enemigos. (Gaceta del 24.) de la Monarquía Española, Rey de las Españas, á todos los que Decreto de las Córtes reconociendo como deuda nacional á las presentes vieren y entendi…</t>
  </si>
  <si>
    <t>…cada uno se disputaba la gloria de ser el primero en der El capitán general de Andalucía con fecha 27 anterior dic« ramar su sangre por los derechos de nuestro cautivo Mon arca el Sr. D. Fernando vii (Q. D. G-) Acompaño ¿ V. E. ¡isla al Sr. secretario del Despacho de la Guerra lo siguiente ■ » F.xcmo. Sr. r El teniente de caballería D. Josef Mana Pe- de todos ios individuos que me acompañaron á tan gloriosa ac drinazi, retirado en *a villa de Aracena…</t>
  </si>
  <si>
    <t>…de Granada , en oficio de hoy me dice lo siguien esta ciudad de Eaeza, llena del respetuoso afecto á su Monarca te: Excmo. Sr.: Hallándose la división de caballería del ejérci el Sr. D. Fernando vii , y de la compasión que debe inspirar á to del general D. Francisco Ballesteros con algunas brigadas de todo buen español la situación amarga en que se hallaba, no infantetía situado en los campos del Campillo de Arenas, fue pudo ya por mas tiempo contene…</t>
  </si>
  <si>
    <t>dre patria; contaminando á oíros que como ellos debieron es Persona de S. M. el Sr. D. Fernando vn (que Dios guarde) tar los mas agradecidos á las munificencias que en todos los felicitan a V. A. por s j instalación tan deseada por los españo tiempos les prodigó S. M. (que Dios guarde), y sustituyendo les que profesan amor á la religión y Rey. á ¡as ley…</t>
  </si>
  <si>
    <t>…. para su inteligencia y electos oportu nos. Dios cuardc á V. muchos anos. Cádiz 28 de Jubo E! Rey se lia servido dirigirme el decreto siguiente : de 1823. = Juan Antonio Aandiola Don Fernando vu por la gracia ác Dios v por ¡a Constitu ción de la Monarquía Espía ño! A . Rcv dt las E-pañas . a todo» :o&gt; ■ ctlvd : Que las V..oitss b..:t El Rey se ha servido dirigirme el decreto siguiente: que las presente» vieren v cntendieicn Don Fernando vil por la…</t>
  </si>
  <si>
    <t>…Sud de Arica , donde había sido pios caminarán constantemente los exponentes adictos siempre atacado de nuevo y hecho trozos por:el&gt; general Ollaneta, si á su legítimo Soberano el Sr. D. Fernando vii , y con el ho tuado en esta provincia. Se dice que en esta batalla fueron pues nor de ofrecer á V. A. S. los respetos de su mas alta conside tas las tropas independientes en completa derrota, y que su gefe ración. se escapó con trabajo con el estado mayor…</t>
  </si>
  <si>
    <t>…irigirme con fecha de hoy el decreto Asunción. Parece que esta fiesta tiene dos causas originarias , es siguiente: decir, que antiguamente eran dos fiestas, y que con el trascurso D. Fernando vir por la gracia de Dios v por la Constitución del tiempo se lian reducido ú una sola. Dicen que el primer mo de la Monarquía Española , Rey de las España;, á todos los que tivo de su institución fue el haber panado el conde Rogelio la las presentes vieren y…</t>
  </si>
  <si>
    <t>…mariscal de campo D. Juan rogando ai Todopoderoso por la pronta libertad y regreso á su Courten , comandante militar de la Mancha, y de D. Manuel capital de nuestro adorado Rey y Señor D. Fernando vil (que Adamé, el Locho, comandante general de la división de su Dios guarde) para la tranquilidad general y felicidad de «sios nombre, los cuales trasladan el que desde Castellar de Santiago reinos. Solana 10 de Junio de i823.=cFelix García Tomas = Jes ha d…</t>
  </si>
  <si>
    <t>…parte de mulos y caballos de pre he distinguido y honrado á este pueblo, como tan amante montaña destinados al trasporte de municiones de boca y guer de su legitimo Soberano el Sr D. Fernando el vtt, por cuya ra ; porque en cuanto á tiendas los soldados griegos no tienen salvación política y espiritual ha dirigido y está actualmente di otras que el hermoso cielo de la Grecia. rigiendo sus votos al Todopoderoso, y también por el acierto El impuesto…</t>
  </si>
  <si>
    <t>…do dirigirme para su circulación la lev si Son excesivamente calorosas aquellas regiones durante el día; guiente : pero las noches son tan frías que es preciso arrimarse al fuego. Don Fernando vu por la gracia ce Dios v por la Const'tuLa parte del Africa situada entre el Gambia y el Senegal pro cion de la Monarquía Española, Rey de las España» , a todo» los duce generalmente algodón, añil, mijo, goma, hierro y ébano. que las presentes vieren y ente…</t>
  </si>
  <si>
    <t>…ros valientes aprendieron igualmente en aquel día, y en el: El Rey se ha servido dirigirme el decreto siguiente: seno de la victoria, cuán necesaria era la vigilancia si nos habla Don Fernando vii por la gracia de Dios y por la Constitu mos, de salvar. No: el 7 de Julio no fue el día , como incauta ción de la Monarquía Española, Rey de las Espadas, á todos los mente creimos en aquella época , en que.para siempre se afian que las presentes vieren y…</t>
  </si>
  <si>
    <t>…ce el médico mayor del ejército D. Luis Gómez Herrero lo que El Rey se ha servido dirigirme el decreto que sigue: sigue. ~ Encargado del servicio sanitario de este cantón desde el D. Fernando vii por la gracia de Dios y por la Constitución día 25 del mes anterior , tengo la satisfacción de poner en cono de la Alonarquía Española , Rey de las Españas, á lodos los que cimiento del señor general en gefe de este ejército que la salud de las presentes…</t>
  </si>
  <si>
    <t>…irigirme pava su circulación la ley secretarías del Despacho respectivas, á fin de que cada una pueda siguiente: pasarlos á las Cortes con el dictamen que considere arreciado , se D. Fernando vtr por la gracia de Dios y por la Constitución gún se previene en el artículo referido. De orden de S. M. lo co de la Monarquía Española , Rey de las Españas, á todos los que munico á V. S. para su inteligencia y cumplimiento. Dios guar las presentes vieren'…</t>
  </si>
  <si>
    <t>…to y por las maoiobras del se retirarán á sus casas, y se les perdona de cuantos agravios ha genera! Foissac-Latour, no puede dejar de tener la mayor in yan hecho á nuestro Rey el Sr. D. Fernando vii, y se les re fluencia en la pacificación general de la España. Cuartel general cibe bajo la protección de las autoridades. de Bailen 7 de Agosto de t82g.c=Por orden de S- A. R.=E1 7. ° El ayuntamiento constitucional será respetado en sus mayor general con…</t>
  </si>
  <si>
    <t>…Castellano —Juan Antonio AreÜano. = Anto duda esta corporación se verá completo en la Persona y Familia nio García de Prado y Notario.=Francisco Madueño Ruiz, es de nuestro Rey el Sr. D. Fernando vii: y si por el presente cribano de cabildo.” es del deber de la junta el felicitar, como lo ejecuta, áV.A.S. NOTICIAS EXTRANGERAS. el lugar que ocupa al frente di estos'vasallos; la fidelidad de que nunca se ha despojado esta ciudad y sus pueblos resonando…</t>
  </si>
  <si>
    <t>…ue: tante , ] qué aumento de territorio , que acrecentamiento de po El Rey se ha servido dirigirme el decreto siguiente: der no han adquirido desde aquella época las grandes Monar D. Fernando va por Ja gracia de Dios y por la Constitución quías Europeas! ¡Qué eran á principios del siglo pasado la Pru— de Ja Monarquía Española, Rey de las Españas, á todos los que sia y la Rusia! ¡Qué puseia en Italia, y qué intiujo ejercia en las presentes vieren y…</t>
  </si>
  <si>
    <t>463</t>
  </si>
  <si>
    <t>…ervido dirigirme para su circulación la leybre uso de sus funciones , volvieron á entrar en ellas, y siguen siguiente: desempeñándolas, como siempre, con rectitud y firmeza. La Es Don Fernando vit por la gracia de Dios y por la Constitu paña ha aplaudido la decisión de las Cortes y del Gobierno de ción de la Monarquía Española, Rey de las Es pailas , á todos los S. M., y á excepción de un general, ya de antemano corrompi que las presentes vieren y…</t>
  </si>
  <si>
    <t>…s desertores y de otras personas qae escapan como legítimo, y legítimamente instalado en representación del de la ciudad, que los revolucionarios se hallan en la mayor de S. M. el Sr. D. Fernando vii , congratulándose con todos consternación , al paso que los realistas declaran abiertamente los españoles d:L feliz acierto del supremo consejo de Castilla y que no hay otra esperanza sino ceder. del poderosísimo y Sermo. Sr. Duque de Angulema en la elec…</t>
  </si>
  <si>
    <t>…rigirme para su circulación la si tirarse. Se asegura que no esran de acuerdo las tropas de la fe y las guiente ley : francesas, y que nuestros negocios en Cataluña caminarían con Don Fernando vrt por la gracia de Dios y por la Constitu mas velocidad si estuviésemos sin aliados: también se dice que el ción de la Monarquía Española , Rey de las Españas, á todos los barón de Eróles tiene tan poca confianza en sus tropas, que no se atreve á emprender…</t>
  </si>
  <si>
    <t>…ido dirigirme para su circulación la ley si de la dominación extrangera, y no abonará sus haberes á los que guiente : permanecieren en país ocupado por el enemigo , mientras no ha D. Fernando vrt por la gracia de Dios y por la Constitución gan constar á satisfacción del Gobierno , que ifo lo han desmere de la Monarquía Española , Rey de las Españas, á todos los que cido por su conducta. Cádiz 22 de Julio do 1823. las presentes vieren y entendieren…</t>
  </si>
  <si>
    <t>…odos los tribunales, justicias, gefes, gobernadores y demas autoridades, asi civiles como mi ARTICULO DE OFICIO. litares y eclesiásticas , de cualquiera clase y dignidad, que guar D. Fernando vii por la gracia de Dios y por la Constitución den y hagan guardar, cumplir y ejecutar el presente decreto en de la Monarquía Española , Rey de las Españas, á todos ¡os que todas sus partes. Tendreislo entendido, y dispondréis se impri las presentes vieren y…</t>
  </si>
  <si>
    <t>…ido dirigirme para su circulación la si Art. 6.a Habrá lugar al secuestro de los bienes raices, dere guiente ley: chos y acciones permanentes, y á la aplicación del total producto Don Fernando vti por la gracia de Dios y por la Constitu de sus rendimientos á beneficio del Estado, siempre que pertenez ción de la Monarquía Española , Rey de las Espuñas, ó toaos los can á personas que siendo de Jas comprendidas por su edad y es que las presentes viere…</t>
  </si>
  <si>
    <t>…entrega hasta averiguar si aque ce el decreto de a 2 de Junio del año próximo pasado; y D. Josef llos prestan ó han prestado servicios al invasor ; y en su vista se Vea Murguia y D. Fernando de la Sierra, como suplentes en de han servido las mismas Cortes acordar , que se deben entregar li fecto de aquellos. Lo avisamos á V. E. para que se sirva po bremente y sin poner obstáculos á los residentes en país invadido nerlo en conocimiento de S. M. pa…</t>
  </si>
  <si>
    <t>…nrad» oficio , que aun no han aprendido una El Rey se ha seivido dirigirme con esta fecha el decreto si máxima que desbarata todos sus trabajos, y se ensena á los mu guiente : . „ Don Fernando vu por la gracia de Dios y poi la Constitu chachos en la primera educación. ción de la Monarquía española, Rey de las Españas , á todos ¡os (i) 3e objetuá la existencia y prosperidad del Gobierno de que las presentes vieren y entend.eien , sabed: C,ye la» t_,…</t>
  </si>
  <si>
    <t>…s, gefes, gobernadores y demas autoridades , asi civiles co El Rey se ha serví Jo dirigirme el decreto siguiente: mo militares y eclesiásticas, de cualquiera clase y dignidad, qUe Don Fernando vii por la gracia de Dios y por la Constitu guarden y hagan guardar, cumplir y ejecutar el presente decreto ción de la Monarquía Española, Rey de las Espurias, á todos los en todas sus partes. Tendreislo entendido para su cumplimiento que las presentes vieren…</t>
  </si>
  <si>
    <t>Gaceta Española n.º 134</t>
  </si>
  <si>
    <t>…El Rey se ha servido dirigirme con esta lecha el decreto si rán la escarapela militar como distintivo de su destino , sin nece guiente : sidad de uniforme ni de otra insignia (2) D. Fernando vn por la gracia de Dios y por la Constitución Al t. ó.° » Las obligaciones de los voluntarios realistas se de la Monarquía Española, Rey de las Españas, á todos los que rán presentarse con armas ó sin ellas en los sitios determinados las presentes vieren y e…</t>
  </si>
  <si>
    <t>…e llevan las certificaciones: en casa de los mismos Sres. JaEl Rey se ha servido dirigirme el decreto siguiente: xnes Campbell y compañía se paga el ínteres ó dividendo de las ren Don Fernando vir por la gracia de Dios y por la Constitu tas desde que venza el primer semestre en i.° de Noviembre in ción de la Monarquía Española, Rey de las Españas, á todos los mediato ; y celebrado ya en estos términos el referido convenio, que las presentes vieren…</t>
  </si>
  <si>
    <t>…cho en el ducado de Brunswick en beneficio del pais desde amada Regencia representativa de nuestro augusto Soberano el el 18 de Jul 10 de 5813, en que comenzó la administración de Sr. D. Fernando v;i (que Dios guarde}; y como las que se esta Regencia. Se han pagado las deadas que habia ocasionado han hecho, ya por corporaciones y ya por gefes, han sido estam la guerra; y se han mejorado los establecimientos de la instruc padas en la gaceta, sin que se…</t>
  </si>
  <si>
    <t>…fondos de cruzada, ej'-mplo de amor y fidelidad á su divina Religión , á su clero bajo su inmediata responsabilidad de pronto remrgro; y que en y á su cautivo Rey y Señor natural D. Fernando vrt de Borcuanto á la entrega btcha al administrador tesorero de Córdoba, bon, quien Dios guarde, cautivo también por ahora á manos como cualquiera otra que se hubiese hecho hasta esta fecha a de ¡os liberales y jacobinos. &lt;&gt; Si las flores de la retórica son…</t>
  </si>
  <si>
    <t>…prescriptibles del hombre , deducidos de su nos ha dado Ja vida política de que carecíamos, al Rey consti estructura y Organización, de la relación que le une con los de- tucional D. Fernando vil , que tanto ha contribuido para que se mas seres animados, y de cuanto ve, oye y siente: Estáis bien per preparasen los reglamentos, y á su sabio ministerio que nada ha suadidos de que es menester ser libre hasta cierto tiempo para ser omitido para que se…</t>
  </si>
  <si>
    <t>…ía para pesar las probabilidades. Asi es que su credulidad pro El Rey se ha servido dirigirme el decreto siguiente: viene de su ignorancia, de su mala educación, y aun de la forma Don Fernando vir por la gracia de Dios y por la Constitu de su gobierno. Acaso han debido á esta credulidad parte de las ción de la Monarquía Española, Rey de las Españas , á todos los imágenes agigantadas que se ponderan en sus novelas; pero seria que las presentes viere…</t>
  </si>
  <si>
    <t>…fecha 15 de Setiembre del Se ha expedido ia Real cédula siguiente: Propio año de 1814 , encargando su puntual observancia. No habiéndola tenido, dió motivo á que la diputación da Don Fernando vii por la gracia de Dios &amp;c. A lo* del la grandeza me hiciese dos representaciones en zo de Diciem mi Consejo &amp;c. Ya sabéis que por decreto de las llamadas Cor bre del siguiente año de 1815 y 30 de Abril de 181&lt;5, mani tes generales y extraordinarias de 6 de…</t>
  </si>
  <si>
    <t>…espojados antes de la supuesta ley, ó amenazados do de su corazón el amor sincero á la augusta Persoga de S. M. el serlo por ella en todas partes; y que alguno de los jueces habia Sr. D. Fernando vii de Borbon, que Dios guarde, y la segu anunciado la falta de una declaración especial para arreglar i ridad de su constante adhesión á su Real trono , sin la menor eha su conducta; y haciendo otras varias consideraciones, con nota en contrario dutantc la d…</t>
  </si>
  <si>
    <t>…has luces. En el centro de esta sé hallaba un -untuoso dosel, bajo del cual estaba el retrato de El Gobierno ha recibido parte de que S3.MM. y A A. con nuestro cautivo Soberano el Sr. D. Fernando vu, el cual era tinuaban sin novedad en su importante talud en los días 13 , 14, custodiado por cuatro centinelas, dos de guardias ds la Real Per 15,16» 17 del corriente. sona , y las otras de a’arbsderos. El Serme. Zr. Duque de Angulema habia llegado al Puer…</t>
  </si>
  <si>
    <t>…e copia de la relación que se menciona en el anterior inserto, El Rev se ha servido dirigirme el decreto siguiente.* para que se sirva ponerlo en conocimiento de S. M. Dios guarde Don Fernando vu por la gracia de Dios y por la Constitu á V. K. muchos años. Cuartel general d* San Fernando 22 de ción de ja Monarquía Española, Rey de las Esp.iúas, á todo, los Agosto de 1823. = Exento. Sr.~D- Antonio Burricl.rrExccIenque las presentes vieren y entendie…</t>
  </si>
  <si>
    <t>…con ¡as doncellas mas hermosas del Oriente. Los hijos que han El Rey se lia serv.do dirigirme el decreto sumante: nacido de estas concubinas y de sus descendientes han formado la D. Fernando ru por la gracia de Dios y por la G&gt;;rt'tuc'011 población de que hablamos , la cual esta encerrada dentro del re de la Monarquía Española , Rey de las Espinas , todo.-, lo, que cinto de palacio , y guardada con vigilancia, como si lucran sus indi las presente…</t>
  </si>
  <si>
    <t>…Rey se ha servido dirigirme con fecha de ayer el decreto parados ó están tomadas las medidas convenientes. siguiente : Las pérdidas y las desgracias ocasionadas por las bombardas D. Fernando vn por la gracia de Dios y por la Constitución en las piazas de guerra han sido siempre de muy corta conside de la Monarquía Española, Rey de las Españas, á todos los que ración : en una plaza pequeña como Landao , en varios sitios en las presentes vieren y e…</t>
  </si>
  <si>
    <t>…si el verdadero valor consiste en arrostrar los peligros y El Rey se ha servido dirigirme el decreto siguiente •• el dolor, la vida de Jos naturales de America es una serie de pe- D. Fernando vii por la gracia de Dios y por la Constitución liaros y de penalidades. Rodeados constantemente de tnbus ene de la Monarquía Española , Rey de las Españas , á todos los que migas , y teniendo que defenderse de ¡as emboscadas y de las sor las presentes vieren…</t>
  </si>
  <si>
    <t>…ma........................ 1110.169,219.. 3 3 El Rey se ha servido dirigirme con fecha de ayer el decreto siguiente : Art. 2.0 Para cubrir dichos gastos se señalan las ventas, con Don Fernando vii por la gracia de Dios y por la Constitución tribuciones y arbitrios siguientes: de la Monarquía Española, Rey de las Espafus, á todos los qu¿ 1 Contribución territorial y pecuaria. . 149.125,037..20 las presentes vieren y entendieren, sabed: Que las Corte…</t>
  </si>
  <si>
    <t>…en nombte. de tan excelso como perseguido Monarca ración y obediencia á sus soberanos decretos. Con este motivo le tengo de renovar á V. B. mi fina vcuntad, y mis afectuosos el Sr D. Fernando vii , que Dios conserve y reduzca prontí.isentimientos de emplearme en su obsequio. Dios guardé á V. E. mamente de su dura cautividad. muchos años. Roma 4 de Agosto de 181 g—B. L- M- de \ . E. «En Villafranca, Señor, tan luego como fueron auxiliados de una pe…</t>
  </si>
  <si>
    <t>….= Sermo. Sr. = Símoti Ma fre del nunca bien ponderado tiránico yugo, nuestro cautivo y tías de Mesa , alcalde primero. = Josef López Pina, alcaide de muy caro y amado .Monarca el Sr. D. Fernando vn y I^cal segundo voto. = Miguel lleivas, regidor decano. — Manuel Or Familia (que Dios guarde). tega, regidor. = Martin de la Torre , regidor. = Alfonso Lagu » Pcñalver, Señor, supo burlarse bien de las órdenes da los na, diputado. = Francisco López Campos,…</t>
  </si>
  <si>
    <t>…irigirme para su circulación la ley si denunciador y el denunciado podrán recusar por can,a fundada á guiente ' los jueces de hecho de la tercera lista , aun cuando en las dos pri Don Fernando vti por la gracia de D.os y por la Constitu meras lo hubieren hecho en el número que la ley les concede. ción de la Monarquía Española, Rey de las Españas , á todos los Art. 11. Las recusaciones motivadas deben fundarse : i.° En el que las presantes vieren y…</t>
  </si>
  <si>
    <t>…a servido dirigirme para su circulación la ley De algún tiempo á esta parte han llegado á ser los carbona~ siguiente: ríos un objeto de importancia para algunos Gabinetes, y de cu Don Fernando vil por la gracia de Dios y por la Constitu riosidad para el público. Lady Morgan no se ha olvidado de ción de la Monarquía Española, Rey de las Españas, á todos los ellos; pero ¡está bien probado lo que dice? Los carbonarios en que las presentes vieren y ent…</t>
  </si>
  <si>
    <t>…se ha servido dirigirme para su circulación la ley jeto á la pena que se establece en el artículo siguiente. siguiente: Art. ro. El que usurpare Ja propiedad de una obra , probado Don Fernando vn por la gracia de Dios y por la Constitu que sea el delito, pagará su dueño el valor de 1500 ejemplares por ción de la Monarquía Española, Rey de las F.spañas , á todos ios cada edición furtiva al precio de venta; á no ser que se acreditase que las presente…</t>
  </si>
  <si>
    <t>…no Alien, Miguel del Casar, Mateos de Santos, leal ciudad de Zamora, que no ceden á otros en amor á nuestro Ramón Rodríguez , Santiago Penedo, Ramón Avellanas y augusto Monarca el Sr. D. Fernando vu, ni en sumisión y Francisco González; concediendo igual gracia á los cabos se respeto á V. A. y á sus decretos, encaminados á restablecer en gundos Lorenzo Portábales, Manuel Antonio Alvarez, Diego el trono de sus mayores í nuestro Rey y Señor , y consolid…</t>
  </si>
  <si>
    <t>…se ha servido dirigirme S. M. el decreto sipero también con un zelo demasiado acre é intolerante, puesto que mandó que se condenase á los trabajos públicos á todo Japón guiente : D. Fernando vir por ¡a gracia de Dios y por la Constituciónque no pudiese probar con una certificación de su párroco que había asistido á los oficios divinos, y rsap;......rf- ir i n-l(*lí"i de la santa ce de la Monarquía Española, Rey de las Españas, á todos ios que Jas…</t>
  </si>
  <si>
    <t>…vido dirigirme con fecha de hoy el decreto tribuye cerveza y aguardiente; pero en el fondo no son estos siguiente: pueblos mas cristianos que ¡o eran antes. En cuanto á las tribus Don Fernando vti por la gracia de Dios y por Ja Constitu opulentas, por ejemplo los Tonguses, los iaeltuxs »S;c. siempre ción de la Monarquía Española , Rey de las Españas, a todos los han permanecido adictas á la religión de sus padres, y muchos que las presentes vieren…</t>
  </si>
  <si>
    <t>…las bendi ciones de sus graciosas consoladoras. Entre estas insignes muge- El Rey se ha servido dirigirme el decreto siguiente: res se distinguió la esposa de D. Mariano Flores , comandante Don Fernando vu por la gracia de D.os y por la Constitu del primer batallón de milicia nacional local voluntaria de Mur ción de la Monarquía Española, Rey de las Espaláis, á todos ios cia, que con canastillas de pan , queso y irico vino reponían las que las presentes vier…</t>
  </si>
  <si>
    <t>…. Art. 2.0 Se conservará unido el archivo de la misma junta, El Rey se ha servido dirigirme el decreto siguiente : disponiendo el Gobierno lo necesario para su conservación con eL Don Fernando vn por la gracia de Dios y por la Constitu esmero y rigurosa economía convenientes. ción de la Monarquía Española , Rey de las Españas , á todos los Art. 3.0 En Jo sucesivo las viudas y huérfanos militares que que las presentes vieren y entendieren, sabed: Qu…</t>
  </si>
  <si>
    <t>Gaceta de Madrid n.º 693</t>
  </si>
  <si>
    <t>…los Reyes. • ¡ - .1 poderoso sus oraciones para que se logre el rescate de nuestro i*í&gt;i cuenta I3 historia en sus célebres fastos qué dé T. Este •amado cuanto desgraciado Rey el Señor D. Fernando vri,' l’an dé Gormaz el dia llenó á Ordoíío de gl;ria‘y de alearía , los que Dios guarde, y que V. A. S. durante su cautividad marche- sucesos de las posteriores edades se lian aumentado con muchos1 por la senda del deber. quilates: Cuaridó en 26 de Abril dió…</t>
  </si>
  <si>
    <t>…estuvo ti cristianismo reducido á los establecimientos que for El Rey se ha servido dirigirme el decreto siguiente: maron los europeos, porque los americanos libres tenían una ex D. Fernando vi i por la gracia de Dios y por la Constitu tremada repugnancia á una religión que les parecía que autorizaba ción de la Monarquía Española, Rey de las Españas, á todos el crimen. Los jesuítas, los franciscanos y los dominicos se dedi los que las presentes v…</t>
  </si>
  <si>
    <t>588</t>
  </si>
  <si>
    <t>…Art. 16. El Gobierno anticipará á la junta directiva hasta la El Rey se ha servido dirigirme el decreto siguiente: cantidad efectiva de 1 :oü libra» esterlinas en uno ó mas libra Don Fernando vn por la gracia de Dios y por la Constitu mientos sobre sus comisionados en Londres en ios tér:n ¡ ■' . ''re ción de la Monarquía Fispañola , Rey de las Espadas , á todos ios venidos en el artículo !i.°, para que pueda negociarlo:' fuera tu es que las presen…</t>
  </si>
  <si>
    <t>…, que no reconocía otra autoridad que la del general de la orden. El Rey se ha servido dirigirme el decreto siguiente: Con el pretexto de evitar el escándalo que Los vicios de los D. Fernando vii por la gracia de Dios y por la Constitu europeos podrían dar á los nuevos conversos, pero en la realidad ción de la Monarquía Española , Rey de las Espanas , á todos para estorvar á los gabinetes de Madrid y de Lisboa el conoci los que las presentes viere…</t>
  </si>
  <si>
    <t>…ria, puede esperarse dentro do con harto doler ia perfidia con que ; ha sido y es tratado de poco el establecimiento de una vigilancia que zele la conduc nuestro amado Soberano el Sr. D. Fernando vii ( que .Dios ta privada dé los estudiantes, y que introducida al mismo tiem guarde); peio 'a! ver la instalación de S. A.S. le anima la .dul po en todas las universidades, podria prometerse la- influencia ce esperanza de que sobre sus disposiciones han de…</t>
  </si>
  <si>
    <t>…ó el ominoso sistema constitucional, que tan cunstancias ordinarias, bin de tener la de amantes de nuestro tos mrUs ba causado á la Nación: el siguiente dia 3 de Setiem Monarca el Sr. D. Fernando vtt. ; bre contiruo el visee para jaez, donde llrgó.anKs de las nue Los suscriptores á la gramática sinóptica francesa-castellaos ve d- la miñaría: á bastante distancia del pueblo salió i. recibir. al uso de las-españoles por el brigadier-Cabello acudirán á l…</t>
  </si>
  <si>
    <t>…tro inocente y suspirado Monarca y su Real Fami Rjiy y religión, esperando por momentos la libertad de su Rey lia , y cuando apenas hemos podido respirar de las desgracias y amado D. Fernando vh y reposición en su trono , de cuya fe males que nos ha acarreado el trastorno impolítico de nuestras liz adquisición se recobrará aquella dulce calma, duradera paz, leyes y costumbres. administración de justicia y orden público, de cuyos hechos y *» Reciba…</t>
  </si>
  <si>
    <t>…asi como los Cervatos tuvieron la sentible desgracia de lación en defensa de ios detechos de nuestro legítimo Monarca haber sido su comandante gravemente herido , dos paisanos el Señor D. Fernando tu: la sabiduría de V. A. S. y. su amor muertos y un herido. Los prisioneros entregados sin resistencia al orden y felicidad de los pueblos de la Monarquía sabrán cu en todos hasta el número de 68 , contando en los primeros al rar las llagas que ha abierto un…</t>
  </si>
  <si>
    <t>…ros.; y la alumbraban coa hachas quince la dád Real.que ejerce V. A. S. durante )* ausencia y cauttvidad cayos vestidos de libreas rojas y moradas. de nuestro muy amado Rey el 3r. D. Fernando vn;(que Dios r.;ít&gt; Seguiau á ¡a litera dos compañías ;de -la guardia inoblé con guarde} i faltaba á.sú: primer justo deber; si;particular y- en. uso sus capitanes al frente: el caballerizo mayor.á caballo':¿siete' déficits representación no: tributase á : V,…</t>
  </si>
  <si>
    <t>…bunda si puede ser que la clava de Hércules, aplaste hasta la brerías da Escribano y de Vilía. última reliquia de esta venenosa y sanguinaria hidra. =Por JoRetrato del Rey nuestro Señor D. Fernando v»t, dibuja sef I.uii Coelho Montciio, sustituto en ia Real academia da do por D. Juan Buasil, pintor de Cámara de S. M. , y grabado Oporto. por un profesor francés llamado Valmon. Se hallará en las li El dia i.° de Octubre próximo te abre al cuno de estudios…</t>
  </si>
  <si>
    <t>…s de provincia1, bien que tampoco estas lo han blo español en nombre y durante 1» cauiivicUi de nuestro ama percibido en los tres años últimos, por haber sido suprimidos di do Rey D. Fernando vii, derramando , cual este padre de *m chos derechos, no se comprenderá eh la liquidación; pero se pueblos, la luz de la religión sobre las tinieblas del jacobinis hará entender á los interesados que el gobierno legítimo resolve mo, que los sectarios de la i…</t>
  </si>
  <si>
    <t>…ro y i*t dejen asi 4 dis ! ANUNCIOS. posición del gobierno (7 suya también), pues á 2a cuenta no bas tan los ocho millones de préstamo forzoso que les han echado, Decretos del Rey D. Fernando vii, ó colección de Reales sino que, como dice, es preciso darlo todo si ve quiere conservar resoluciones, expedidas por los diferentes ministerios y consejes la preciosa joya de la libertad. ¡ Infelices gaditanos! ¡Cómo estáis desde i.° de Enero de 1820 hast…</t>
  </si>
  <si>
    <t>…uación , y se puso V. A. S. al frente de los nego duría , con su prudencia, con ¡a lealtad y amor á su legitimo cias públicoj. Toda suerte de dichas se esperan de V. A. S.; Rey ul Sr. D. Fernando vit (que Dios guarde) , á quien este pero principalmente la de que un día pueda entregar al Monarca pueblo llora cautivo, y .con si auxilio de nuestro verdadero aba el cetro de oro que ahora Je conserva en depósito para el mo do S. Al. el Rey Cristianísimo co…</t>
  </si>
  <si>
    <t>…e este barco he sabido la plau de Porcuna, reino de Jaén, pártido deMartos, tuya adhesión á sible noticia, que habiendo hecho una salida por mar la guarni nuestro amado Monarca el Sr. D. Fernando vii, que Dio» ción de Barcelona, compuesta de oclio lanchas cañoneras, varios guarde, y á su augusta dinastía,ha sido bien notoria, á pesar d* buques pequeños de trasporte, y sobre 3300 hombres de desem la Opresión en que nos ha tenido por espado de tres años…</t>
  </si>
  <si>
    <t>…izara tan lue particular al Príncipei'VVolk.onsky, General de los'ejército» de go como se verifique la libertad de npestro Augusto Soberano S. M. I. el Emperador dé Riisia. el Sr, D. Fernando vit. Asi lo .desea .este ayuntamiento. rsAl— S. M. trabajó en seguida con el Sr. Presidente del consejo metía y Setiembre 4 de 1823.zrSermo. Sr-«Sebastian Perez Fe— de Ministros. . liu,=Juan Pedro. Martínez Remacha.«Miguel Vázquez Benavi- !• El Rey después de…</t>
  </si>
  <si>
    <t>…d y admiración. , dad de V. E. nuevamente en posesión del mando político y mi litar de esa plaza en elReal nombre de nuestro adorado Monar Jerez de la Frontera a de Octubre. ca el Sr. D. Fernando va (que Dios guarde) y la Regencia Continuando el Rey nuestro Señor en darnos ejemplos de. del Reino; y deseoso de completar con el mayor zelo y exacti piedad se dignó señalar la hora de las once de esta mañana para tud las prevenciones que V. E. se sirve hac…</t>
  </si>
  <si>
    <t>…ar con el resto' de la caballería , las compañías personas de la mayor adhesión á la cautiva Real Persona de de preferencia y una pieza de campana á establecer mi cuartel S. M. el Sr. D. Fernando vii (que Dios guarde muchos años), general delante de la plaza, en el convento llamado la Caridad, por cuya Real soberana vida en los once días de rogativa, y que los enemigos intentaban reducir á cenizas para privar á las uno mas á expensas de un devoro, de…</t>
  </si>
  <si>
    <t>…lma que Wint/ingerode, Ministro de relaciones exteriores. somos felices con la posesión de nuestro suspirado Soberano el Le ha reemplazado el Sr. Beroldingen, antiguo Embajador de Sr. D. Fernando \;i (que Dios guarde) y su Real Familia; no S. M. wurtemberguesa en Petersburgo. olvidando jamas que á esta imponderable felicidad ha contri Idem 10. buido mucho el insigne guerrero y el magnánimo ^Príncipe su au Se habla aqui del matrimonio del joven Duque d…</t>
  </si>
  <si>
    <t>…artínez.=Por 1a clase de ble de los Reyes, fueron gustosamente sorprendidos con ¡a plau Subtenientes, Juan Vázquez Mancera.rrPor la clase de Sargen sible noticia de que ai adorado Sr. D. Fernando vii ya el bra tas, Manuel Demetrio.zzPor la clase de Cabos, Dionisio Ro zo del Omnipotente le habla sacado de poder de sus capitales dríguez. =Manuel María Rodríguez. = Por la clase de volunta enemigos: jamas, Señor, los pechos toledanos experimentaron rios,…</t>
  </si>
  <si>
    <t>…. M. para.es-: gozando en el seno de un Gobierno paternal las delicia¿ de la ta provincia. paz y de la prosperidad. ¿ Art. 2.0 El Sr. General Laguna, en.-nombre de S. M. el Se ñor D. Fernando vn (que Dios guarde), garantiza la seguri Deseando el Rey nuestro Señor manifestar de un modo ter dad individual de todos los militares del ejército y provincia minante al ejército .libertador su augusta Real estimación, ha por sus opiniones políticas hasta.e…</t>
  </si>
  <si>
    <t>…estas mandadas ses, calidades, sexos y condiciones sin oir otras voces que las hacer por la Regencia del Reino, se ha servido declarar por su de viva la Religión C. A. R., viva el Señor D. Fernando víi Real resolución de 30 del mes próximo pasado, que quedan va y su Real Familia, vivan las tropas aliadas, ya está el Rey. li cantes todas las plazas de los que habiéndose ausentado con los bre? Continuando tan justas aclamaciones aun en la santa Iglesia re…</t>
  </si>
  <si>
    <t>…ólica Ro conceder condición alguna á Mina en particular, y exigiendo mana que profesamos, para sostener á nuestro 3mado Rey* y que se rindiese Barcelona como lo habia hecho Cádiz. Señor D. Fernando vii en la plenitud da la Soberanía que ha El General Berge volvió á Barcelona el 19 con la orden del heredado de sus augustos Progenitores, para consolidar y perpe Rey , á que contestó Mina que se defendería. tuar mas y mas en la dinastía da los Borrones sus…</t>
  </si>
  <si>
    <t>…iudad de Bujalance , que siempre fiel í mi entrada en esta capital para encargarme del mando que S. .M, sil Rey y Señor natural se ofreció á V. M. para lo que fuera el Rey nuestro Señor D. Fernando vii ha renido á bien con ce su soberano agrado cuando principiaron los acontecimientos ferirme, y que'todos los habitantes y Autoridades están anima que ocurrieron en la de S. Fernando el. año de rS :o , postrada dos del mejor espíritu, y me han comprobado co…</t>
  </si>
  <si>
    <t>…ivas de V. M., que le conceden nues que si un latrocinio es útil, es también legítimo. (Red. de la Es tras sabias y antiguas leyes, y en fin, quiere ver á su Rey y Se trella.) ñor D. Fernando vix de Borbon sentado en su Real Trono, (4) Le agradecemos mucho esta concesión; parece que el adornado con las mismas atribuciones da que fue despojado, por Courier no estaba , hace algunos dias, tan condescendiente. (Id.')</t>
  </si>
  <si>
    <t>…u Esposa, de Madama Lishoa 26 de Noviembre. Isabel, hermana del Rey, y dei Delfin, hijo de aquel, dedicado Al disolverse el cuerpo de observación que se había manda al Rey nuestro Señor Fernando vn : un tomo en 8.°__.La perdo reunir en la frontera de Alentejo se publicó á los cuerpos la secución de la Iglesia por Napoleón Bonaparte, desde el año desiguiente orden del dia: 1796 hasta el de 1815 inclusive: un tomo en 8.°__Historia cier Cuartel general…</t>
  </si>
  <si>
    <t>Fernando, Manuel</t>
  </si>
  <si>
    <t>Manuel Fernando</t>
  </si>
  <si>
    <t>…qm no se tintas obras escogidas ó clásicas curiosamente encuadernadas. quitase la cinta, sino á besarla con fervor—En capitulo de 5 a En la clase de lectura han merecido el premio D. Manuel Fernando del g se refiere haberse reunido el dia ant s varios mi Samaniego y D. Fernando Palacio de Azana, conde de Mon es licianos de Madrid y otros pueblos, y que d.rigiéndose á un mo Claros__En la calogtafia D. Jos.f de Brugada , accésit D. Jo lino inmediato á Chic…</t>
  </si>
  <si>
    <t>Fernando, Secre S.</t>
  </si>
  <si>
    <t>Secre S. Fernando</t>
  </si>
  <si>
    <t>…el graduado de infan En seguida quedó aprobado el art. i.° tería , caballero de primera clase de la orden nacional y militar de Se abrió la discusión del art. z.° propuesto por el Sr. Secre S. Fernando, declarado benemérito de la Patria en grado heroico, tarlo de Gracia y Justicia, y leido que fue este art. le impugnó condecorado con tres distintas cruces de distinción por acciones de el Sr. Marau, manifestando que debía tratar el Congreso de cer guerra, pr…</t>
  </si>
  <si>
    <t>Fernrndo</t>
  </si>
  <si>
    <t>…particulares de París, que el Gobierno francés Labia pedido al ingles Gracia y Justicia el d-cr.to siguiente. suspendiese cierta medida dec-siva, y que los ministros Jiabian acce Don Fernrndo vil por la grite 3 de Dios y por ia Constitución d: la dido 2 esto . y aun á na discutir en el l ar-amento sobre los asuntos da Monarquía espafiO'3, Rey de la, España, , a toií is ios que las presen España hasta ver el discurso de Chateaubriand en ¡a Cámara d…</t>
  </si>
  <si>
    <t>Ferocho</t>
  </si>
  <si>
    <t>…ún tanto elevada, dijo: » La Regencia dei reino durante Ja debia hallarse en el Real Palacio y sitio que se le señalaba á tas » cautividad en que se encuentra el Rey nuestro Señar D. Ferocho de la noche del referido dia 26 de Mayo: lo cumplió asi, n cando vil de Borbon queda instalada;” y dirigiéndote sin in y se presentó en el cuarto que sirve de habitación i los Excelen termisión al infrascrito secretario , le previno: » Anunciad al tísimos Sre…</t>
  </si>
  <si>
    <t>Ferrando</t>
  </si>
  <si>
    <t>…s: los fondos franceses tuvieron el miér que profesamos, y por nu decidido amor y constante fidelidad coles una tijera baja. Esta mañana se han hecho pocos negocio» al Rey nuestro Señor D. Ferrando vn; y al ver confiado el en los nuestros, á pesar de estar un poco mas altos que ayer: Gobierno de esta gran Monarquía en manos de V. A. S., con los 3 por roo consolidados en cuenta que se abrieron al 8t es cibe las nías fundadas" esperanzas de sii lisonjero…</t>
  </si>
  <si>
    <t>Ferrar</t>
  </si>
  <si>
    <t>…e aliadas no podía decirse de Se leyó y mandó quedar sobre la mesa el proyecto de ley finí tivamente qué teníamos. . sobre señoríos, reproducido por la comisión de Legislación. El Sr. Ferrar (D. Joaquín) preguntó a! Gobierno si había El_Sr. piesidsnte anunció los asuntos que se discutirían en bicho algún manifiesto á la nación y i la Europa entera sobre la la mañana siguiente , y dijo que si quedaba tiempo, se leería la . jmt cía de nuestra Causa…</t>
  </si>
  <si>
    <t>Ferrar, Ramón</t>
  </si>
  <si>
    <t>Ramón Ferrar</t>
  </si>
  <si>
    <t>…rdenes al efecto, y fueron colocados en muy considerable ¡a perdida de los enemigos , y junto a la tor las alturas ó loma pasado Sans en posición muy ventajosa, que re de Casas t! capitán D. Ramón Ferrar vio entre vanos dándose dicho otic a! del P.. M. en ella. Desde este momento la muertos a un ofic.ai francés , cuya espada-sable obra en su po acción principió á empeñarse: el gefe del primer batallón de der , por haberla tomado en el campo. cazadores de prov…</t>
  </si>
  <si>
    <t>Ferras, D Valentín</t>
  </si>
  <si>
    <t>D Valentín Ferras</t>
  </si>
  <si>
    <t>…entonces han traba sobre el camino los escuadrones de granaderos de la guardia, man jado con zelo las sociedades de misiones de Londres en la mejo dados por su comandante teniente coronel D Valentín Ferras, y ra del estado moral de aquel país, donde con los auxilios del Go dos piezas de artillería á las órdenes del coronel D. Joscf Carra- bierno han fundado ya 200 escuelas y una academia destinada á talá, mientras el resto de las tropas verificaban sobre la izq…</t>
  </si>
  <si>
    <t>Ferrau, Salvador de</t>
  </si>
  <si>
    <t>Salvador de Ferrau</t>
  </si>
  <si>
    <t>…= Cesáreo Cantero.= Lorenzo revolucionada), y D. Juan Francisco Marcó y Catalan, auditor Nino.= Práxedes Méndez. =s Benito Carra.co. = Ramón Blaz* de Rota por la corona d« Aragón, D. Salvador de Ferrau, maes quez. = Manuel Carrasco, secretario. = Sermo. Sr. presidente y treescuela de Ciudad Rodrigo, el cónsul de S■ M. Cato».va «-a vnr*lí*«' la ---o-----Rpopnrí'x EsDsS2»,&gt;* esta corte, D. Jacinto Román de Arroyo, y entre otras damas de la primera nob'eza del…</t>
  </si>
  <si>
    <t>Ferrcr</t>
  </si>
  <si>
    <t>…mas pasiones que con un pretexto reiig'o-.o sus particular de los Sres. Oliver y Ferrar (jD. Joaquín). citaron la guerra de la lina, puede reproducir en nuestra época todos los Ei Sr. Ferrcr (D. Joaquín): La desaprobación que sucesivam;nte tr.aics que afligieron entonces á ¡a 1 rancia, y que no perdonaron á la casa de han sufr do todos los provectos de esta especie me hace temer que corra Valuik. la mismr suene el voto part.cular que presentamos:…</t>
  </si>
  <si>
    <t>…stado algun sacudimiento terrible. La Constitución que uno de los Sres. secretarios. en el año 18 dió el senado entre el ruido de los tambores y el Para presidente quedó electo el Sr. Ferrcr (jD. Joaquín) por brillo de las bayonetas, no era ni digna de un pueblo libre, ni lo 87 votos del total 112. poco bueno que contenia ha podido ejecutarse, porque sus bases Para vice-presidente salió electo el Sr. Bauza por 68 votos son en extremo viciadas. El…</t>
  </si>
  <si>
    <t>Ferrer</t>
  </si>
  <si>
    <t>…ado que vendrá í parar en un pleito mandando al coronel Costa se ponga inmediatamente en movimiento judicial. sobre Cardedeu; y por si ips enermgos avanzan en su retirada i San El Sr. Ferrer ( D. Joaquín) pidió se leyese el oficio del Gobierno, Ceioni ,- mediante i no pbdéasa-dirigii.hacia, el Monseni por la mucha con el que se acompañaba este expediente , y verificada que fue su lee • nieve que ha caído, he prevenido al comandante general de la…</t>
  </si>
  <si>
    <t>…asi como supo sostener su independencia sabrá generalmente han tenido todo- -os Gob’crnos que no están fundado* sostener su libertad. sobre bases justas, (aplauso repetidos.") El Sr. Ferrer (D. Joaquín'?: Parecerá imposible que en el siglo en Habiendo manifestado el Sr. presidente que el Sr. Arcíidles tenia qu: nos hallamos pongan en duda esas notas al hombre racional de si la palabra, prorumpió el público espectador en aplausos y vivas á la nos…</t>
  </si>
  <si>
    <t>…petencia de comisiones, asi que , yo pido que la co anotarán en el documento original que previamente habrá de expe misión me explique este asunto. dir la comisión liquidadora. El Sr. Ferrer (D. Joaquín): Cuando la comisión tuvo el honor de Art. 14. » Hrcha la liquidación general, y publicadas y oídas Jas presentar hace pocos dias este mismo dictamen, mostró el Sr. preopi reclamaciones por término de 30 dias , la comisión dará cuenta de! re nante…</t>
  </si>
  <si>
    <t>…ias acerca de las adiciones hechas por algunos Sres. diputados álo* Juan de Muguiro é Iribarren , espitan de la guardia.” artículos de la misma instrucción. Quedaron aprobados. El Sr. Ferrer (D. Joaquín): Señor, si alguna prueba le quedaba El Sr. Adan ocupó la tribuna, y leyó una exposición de los seño que dar-á la noble y á la valiente milicia nacional de Madrid de su res oficiales de las secretarías de F.stado y del Despacho de Hacienda y patri…</t>
  </si>
  <si>
    <t>…cación del el de secretario de ayuntamiento. Aprobado. alistamiento; y asi que, le pancia debia alargarse mas el plazo para las La misma comisión , en vista de una proposición del Sr. Ferrer pa reclamaciones. ra que se exceptuare é la villa de Pasages de lo resuelto en la instruc- El Sr. Infante contestó que ya habrían observado las Cortes que en ■ cinn del gobierno económico-político sobre el número de alcaldes que todos los artículos de este pr…</t>
  </si>
  <si>
    <t>Ferrér</t>
  </si>
  <si>
    <t>…ueda reforimr sus lev s ni aliviar su suerte cuan lidad al tribunal que había sentenciado sobre este asunto. do ¡o tenga por conveniente, o por mejor decir, cuando le obligue á El Sr. Ferrér ( D. Jdaqurn) contestó que el litigio instaurado per ello la necesidad, como ha sucedido á U Nicion e.pañola! los interesados en este asunto no habia sido en realidad mas que sobre Pa li es de la Europa y drl mundo todo, e,ia Nación magnánima ti la deuda de q…</t>
  </si>
  <si>
    <t>…con el que re mitía este asunto á las Cortes para que lo tomasen en consideración, Primer distrito militar. (Madrid.) Hoy ha salido de esta capital una é igualmente i petición del Sr. Ferrer (D Joaquín ) la Real orden de columna compuesta d; tropas de infantería y caballería, de la que for 2 de Noviembre de 1819 , se declaró el punto suficientemente discuti man parte cuatro compañías de la M. N. L V. de infantería y go ca do , hubo lugar á votar…</t>
  </si>
  <si>
    <t>…e un pueblo de la provincia de Quedó aprobado, añadiéndose é su final: al cual estará frésente Jaén, presentada por el Sr. Lillo. ílfísico siempre que pasen de 20 , á petición del Sr. Ferrer (D. Joaquín). Los individuos del batallón de milicia activa de Hellin, 6° ligero. Se aprobaron los artículos siguientes: El ayuntamiento constitucional de Cartagena. Art. 9R » En las grandes faenas de elevarse , dar fondo , amarrar Varias autoridades, párroco…</t>
  </si>
  <si>
    <t>…ei Sr. Prat. bustez y talla necesarias. De los oficiales del batallón de milicia nacional activa de Tolosa, Art. 6JJ n También podrán ser admitidos voluntarios con las mis» por el Sr. Ferrer (D. Joaquín ). mas circunstancias. De la M. N. V. de Rus, del ayuntamiento constitucional, M. N. V. Art. 7-u » Para que este reemplazo se verifique de un modo pron y vecindario todo de Ibros, provincia dejare, por el Sr. Litio. to y egecutívo las diputaciones…</t>
  </si>
  <si>
    <t>…ias, de que actuz'menDe la diputación provincial de S. Sebastian y empleados en la adua te carecemos. D ce el an. l.° del dictamen que si después de cerrarsí na de Pasages, por el Sr. Ferrer (D. Joaquín). las Coites extraordinarias las circunstancias exigieran que el Gobierno Del gobernador, estado mayor, oficiales de la guarnición y varios mudase su residencia , las Cortes decretan su traslación a! punto que ciudadanos de Pefiíscola, por el Sr.…</t>
  </si>
  <si>
    <t>…mismo debe aprobarse la proposición. Sr. Oiiver leyó su voto particular sobré la misma materia , suscrito por El Sr. Falcó : Las Cortes acaban de autorizar al Gobierno para que él Sr. Ferrer (D. Joaquín ). Se mandaron imprimir. pueda emplear en comisiones ú otros encargos á los individuos del con S« leyó y aprobó la minuta de decreto sobre la cesación del Go sejo de Estado que tenga por conveniente, y ahora se pide en la pro bierno en la facultad…</t>
  </si>
  <si>
    <t>…te: Para que la discusión pueda airar sobre un punto res del ministerio, de las que resultaba que hasta ahora el consejo no ha determinado, creo que debe leerse la proposición del Sr. Ferrer. la a evacuado su informe. Se levo en efeelo, y decía así: «Pido á las Cortes que sin pérdida de Habiendo obtenido la palabra el or. Prat dijo que el objeto de haberla momento se-llame ai ministerio á efecto de dar éuenta á las'mismas del pedido era solamente…</t>
  </si>
  <si>
    <t>…umbir á las 80O bayoneras enemigas, ó veri EISr. secretario del Despacho de la Guerra: El Gobierno., contestan— ficar la traslación. . do categóricamente á la pregunta que haca el Sr. Ferrer, debe decir que Ademas es necesario tener presente que aunque se verificase una tranj cree que es llegado el tiempo de verificarse la traslación. sacion con las potencias extranjera» que nos amenazan , no por eso se-éviEl Sr. Isturiz: Hablo sobre esta materia…</t>
  </si>
  <si>
    <t>…to de sus respectivos gefes , que las remitirán i esta dirección general para que pueda tenerlas presente al hace* k propuesta del menc.onado empleo.ss mandó pasar al Gobierno. El Sr. Ferrer (D. Joaquín) presentó una exposición de los oficíale» de los batallones de guardias constitucionales de infantería, en que renova El dia 26 del mes próximo pasado fue sorprendido el correo proce ban la exposición que ya tenían hecha para que se les fije su su…</t>
  </si>
  <si>
    <t>…men tau sencillo se desechase una propuesta d: esta na hasta el arrepio d-finitivo del Crédito público. turaliza. La comisión de Hacienda, en vista de ia instancia de Manuel Ro El Sr. Ferrer (D. Joaquín) contestó, entre otras cosas, que desde dríguez, vecino de Salamanca, y familiar que fue dei colegio de Alcán la regeneración del s.itema no se había presentado un proyecto tan se tara por espacio de 50 arios, psr» que se le concediese una p-nsion…</t>
  </si>
  <si>
    <t>…ema para que diga cuando ha de venir. mentiremos como hasta aqui las calumnias de nuestros viles detractores. Se declaró el punto suficientemente discutido , y se acordó á peti K. Sr. Ferrer (D. Joaquín): Señor, drsde que las potencias extranción del Sr. Arguelles que la votación sobre si el dictamen debía ó no geras nos enviaron sus netas, hemos d-.bido ya s pararnos de ebrar aprobarse fuese nominal. por considerac on á lo que digan de nosotros…</t>
  </si>
  <si>
    <t>…pueden remediarlos: yo quisiera que un buque de guerra y en que el contrabando se aumentará escandalosamente. francés interceptase un buque ingles , porque la Gran Bretaña nos El Sr. Ferrer ( D. Joaquín ) : Los principios de economía abriría un camino para acabar con mas facilidad con los franceses. general que ha pronunciado el Sr. preop nante son los mismos El último Sr. preopinante no ha impugnado verdaderamente que profesa la comisión. Las C…</t>
  </si>
  <si>
    <t>…ción de presidente, vice-presidente y ra amiga desde los puertos que se hallen libres de las tropas secretario. enemigas á los ocupados por ellas.” Para presidente salió electo el Sr. Ferrer (D. Joaquín) por Art. 3.0 »Igualmente podrán trasportarse en tales buques 87 votos del total 112. desde los puertos que están ocupados i. los libres trida clase de Para vice-presidente salió electo el Sr. Bauzá por 68 votos frutos, efectos y manufacturas naci…</t>
  </si>
  <si>
    <t>…los gastos austríacos en España , á consecuencia del estado presente de las de la actual guerra; pero en esto se padeció equivocación , pues relaciones políticas, lo que sigue: el Sr. Ferrer nos ha hecho saber que no firmó esta proposición. «La salida de Madrid del imperial encargado de Negocios, aunque trae consigo la interrupción temporal de las relaciones di Orden de la plaza del 12 al 13 de Mayo. plomáticas entre la corte de Austria y el Gobi…</t>
  </si>
  <si>
    <t>…cuya virtud opinaba debía aprobarse el dietJmtn de portación en lis aduanas «le la península é islas adla coini «ion. vneentcs.se arreglará y la adjunta tarifa c t.iblecida . El .Sr. Ferrer f J&gt;. Jo.nfuin) manifestó que sn opo porta Diputación provincial de esta provincia , co sición se dirigía tínicamente á que por oste dietárnen brándose los derechos que la ixiisun seü 'a. Escopse favorece i la industria francesa cuando por todos tuasc el taba…</t>
  </si>
  <si>
    <t>…orro; pues se nueva división del territorio su le babia disminuida bailan reducidos á la mayor desnudez á causa dq los el ntunero de almas. robos cometidos al salir de Sevilla. El Sr. Ferrer (J&gt;. Joaquín) liiz.o presente que na A la comisión respectiva se mandaron pasar dos da se adelantaba en e-t &lt; discusión , la cual seria in- exposiciones de los Sres. diputados Falcó v Ibiugas, terniinaJile sino se cortaba, pues cada uno de los Mies, pidiendo…</t>
  </si>
  <si>
    <t>…pugnar el artículo á los Sres. diputados que han pedido la palabra en contra. No hay duda ninguna que el impresor examinará siem dársele. Aprobóse en seguida otra proposición del Sr. Ferrer (Don pre con el mayor recelo no califiquen de subversiva una obra que Joaquín), reducida á que las Cortes suspendiesen sus sesiones en imprima , y este temor impedirá el que se publiquen mucha:. obi„» Seviiia para continuarlas en la Isla Gaditana el 18 del ac…</t>
  </si>
  <si>
    <t>…de estas disposiciones han ton:ida cretario de Hacienda, se procedía ;'¡ la discusión del dictamen de sus medidas. Ja comisión de Comercio sobre la proposición de ios Sres. Ge- El Sr. Ferrer ( D. Joaquín ): No se puede menos de c entesar ner, Santos Suarez y Varela, relativa ¿que en virtud de las cir de que no hay ninguna compensación para el conterco ‘te nuestra cunstancias actuales y de la imposibilidad de exportar los frutos marina , pues en e…</t>
  </si>
  <si>
    <t>…fin de introducir en este ramo las mejoras que son tan pues que lo tomarían del extranjero á un precio mas barato. urgentes para que conste y sepa la Nación cómo y en qué se in El Sr. Ferrer ( D. Joaquin) manifestó, que la comisión se vierten las enormes sumas que absorve este presupuesto. hallaba dispuesta á adoptar la observación del Sr. Arguelles, y que éT presentaría una adición, con este objeto.Continuó la discusión del dictamen de la comisi…</t>
  </si>
  <si>
    <t>…0 del reglamento, del sueldo y consideraciones que lian tenido hasta aqui. se admitió á discusión y se mandó pasar á la comisión de Le La misma habiendo examinado una adicción del Sr. Ferrer al gislación una proposición del Sr. Istunz , reducida á que siendo art. 2.0 del mismo proyecto; opinó, conformándose con ella, que posible que los acontecimientos de la guerra impidan el puntual las Corles podían aprobar los dos siguientes artículos que será…</t>
  </si>
  <si>
    <t>…acer á los comisionados independientes de la junta directiva. La daba. Aprobado. comisión añade que la junta no tiene responsabilidad, inas yo Se leyó la siguiente proposición del Sr. Ferrer (D. Joaquin). aseguro que no sé como puede asegurarlo así. »P¡do á las Cortes que durante el sitio y bloqueo de la Isla Cuando se creó la junta por el decreto ele 12 de Junio an Gaditana por ¡os franceses, y dos meses después, se admitan en terior no se dijo…</t>
  </si>
  <si>
    <t>…ecularizados A la comisión primera de Hacienda se mandó pasar un ofi las pensiones que les concedieron las Córtes. cio de! Sr. secretario del mismo ramo, acompañando una tarifa El Sr. Ferrer (D. Joaquín) expuso , que las mismas razones formada por el intendente y diputación provincial de Canarias, que en el pisado le habían movido á impugnar el dictamen, le conforme á la resolución de las Cortes de 20 de Enero de 1822. movian también ahora á impu…</t>
  </si>
  <si>
    <t>…el En seguida expuso el orador otras razones por las cuales no coronel D. Antonio Casano, siendo de parecer que debia infor pudo aprobar el dictamen. mar el Gobierno. Aprobado. El Sr. Ferrer (D. Joaquín) dijo que no veia contradicción Habiéndose anunciado que continuaba la discus'011 del regla ni diferencia alguna entre este, proyecto y la ley citada do 25 de mento para la dirección general de Estudios , el Sr. Velasco, in Enero, y al contrario q…</t>
  </si>
  <si>
    <t>…roporcionado á las Cortes la facilidad culo 140 de la Constitución y 109 del reglamento; y habiendo de negociar un empréstito , que al presente seria impracticable. •contestado el Sr. Ferrer (D. Joaquín) á estas observaciones, que „ . J: J 1.,^ ••ir'*&gt;«-&gt; /*»•*»» C»* K-lÜ-lrs !a-\c l'or ebia rá¿oú , aiciiusuu» i*:&gt; do-aprobado el dictamen. españoles, nuestros compatriotas no deben olvidar que «el que Se leyó una minuta de decreto visada por la co…</t>
  </si>
  <si>
    <t>…o También se leyeron los artículos 2.0 y g.° de la Constitución sus palabras , y las mías sobre el nombramiento de la Regencia á p.ticion del Sr. Santafe. se han escrito ahora. El Sr. Ferrer ( D. Joaquín). No puedo menos de confesar El Sr. Galiano: Yo he hablado sobre un hecho y no he sen que me han escandalizado tanto ¡as palabras del Sr. Rodriguez tado hipótesis: por lo demás si acaso me excedí en la discusión Paterna, como la conducta misma de…</t>
  </si>
  <si>
    <t>…renidad , despreciando los fuegos del ene empatada por 42 votos contra 42. migo, el que fue contestado desde el lugar que cobardemente Se mandó pasar á la comisión una adición del Sr. Ferrer (Don acababa de abandonar , y todos con el mayor gozo , y animados Joaquín),al dictamen á que hacían referencia las anteriores pro con la protección de las lanchas, decían: vamos a ellos cano el posiciones. dia ib. Las lanchas, á pesar de no estar muy llena J…</t>
  </si>
  <si>
    <t>…ecreto , y. se hallaron conformes A petición del Sr. Sotos se leyó el decreto de 13 de Mavo con lo aprobado. de S21. Se continuó la discusión pendiente del. informe de la comi -El Sr. Ferrer (D. Joaquín ): Me es tanto mas sensible en sión de Ultramar. J : trar en esta discusión, cuanto que me ligan con la América mu El Sr. Jener: Me levanto á impugnad el 1 dictamen , porque chas relaciones; pero debo sacrificar todos mis alectos particula 110 len…</t>
  </si>
  <si>
    <t>Ferrer, Antonio</t>
  </si>
  <si>
    <t>Antonio Ferrer</t>
  </si>
  <si>
    <t>…o de Marina. Se levantó la sesión. El Excmo. Sr. caballero de Slahl, presidente dé la ilustre comisión áulica de comercio, de acuerdo con el ministerio de El Sr. diputado á Cortes D. Antonio Ferrer fue puesto en Negocios extranjeros me traslada con fecha de 13 del próximo el número de los que en la sesión de Cortes del 8 propusieron la pasado, núm 129, respecto de la situación actual de los cónsules medida de aplicar los productos de las fincas del cler…</t>
  </si>
  <si>
    <t>…segurar la confianza de la Nación. liz María Manso , D. Manuel Ruiz del Rio y D. Manuel CaArt. "10. El Gobierno dispondrá que los gefes militares y sildo González por la de Soria: D. Antonio Ferrer y D. An políticos, las diputaciones provinciales é intendentes délas provin tonio Roig por las Islas Baleares: D. Josef Sangenís, D. Juan cias ocupadas circulen con toda brevedad por ellas la presente ley. Josef Jaime y D. Manuel Lasala por la provincia de Aragón: Cá…</t>
  </si>
  <si>
    <t>…é ma para pedir auxilios al de Chile. lix María Manso , D, Manuel Rulz del Rio y D. Manuel CaDespués de copiarse en el número del 7 de Mayo del mis sildo González por la de Soria: D. Antonio Ferrer y D. An ino periódico el discurso de Luis xvur en la apertura de las tonio Roig por las Islas Baleares: D- Josef Sangcnís, D. Juan últimas Cámaras, anunciando que ioo9 franceses mandados Josef Jaime y D. Manuel Lasala por la provincia de Araron: por un príncipe de su…</t>
  </si>
  <si>
    <t>…é Decreto de las Córtes aboliendo el derecho de décima en las lix María Manso , D Manuel Ruiz del Rio y D. Manuel Ca- ejecuciones. ( Gaceta aei 7.) sildo González por la de Soria: D. Antonio Ferrer y D. An Resolución de las Córtes sobre un expediente promovido tonio Roig por las Islas Baleares: D. Josef Sangenís, D. Juan con motivo de un juicio de jurados en Córdoba. (Gaceta Josef Jaime y D. Alanucl Lasala por la provincia de Aragón: del 8 ) D. Josef Alcántara y D. Miguel…</t>
  </si>
  <si>
    <t>Ferrer, Joaquín María</t>
  </si>
  <si>
    <t>Joaquín María Ferrer</t>
  </si>
  <si>
    <t>…as facultades y respon dente, vice-presidente y secretario mas antiguo, han salido elec sabilidad de los generales en gefe de los ejércitos nacionales, tomo tos para presidente el Sr. D. Joaquín María Ferrer, diputado 3.0, pág. 193 de la colección de los mismos, puesto que se hizo por la provincia de Guipúzcoa, para vice-presidente el Sr. D. Fe particular mención de él al tiempo de declarar estas provincias en lipe Bausa, diputado por las Islas Baleares, y para s…</t>
  </si>
  <si>
    <t>Ferrer, Juan Pablo</t>
  </si>
  <si>
    <t>Juan Pablo Ferrer</t>
  </si>
  <si>
    <t>…au manifestó, que por su parte no tenia inconve D. Josef Garriga. = D. Francisco Samper.= D. Pedro Ber niente en subrurar en lugar dei término de las 48 lloras las si nardo Ala. — D. Juan Pablo Ferrer. =D. Narciso Vivar. = guientes palabras; » en ei término mas breve posible.” D. josef Pineli. Declarado el punto suficientemente discutido, se aprobó la Idem de S. Juan: D. Pedro Eori. proposición del Sr. Marau con la modificación expresada. Idem de la catedr…</t>
  </si>
  <si>
    <t>FERRER, Juan PRESIDENCIA DEL SEÑOR</t>
  </si>
  <si>
    <t>Juan PRESIDENCIA DEL SEÑOR FERRER</t>
  </si>
  <si>
    <t>…ra consultar, y mas cuando es Sevilla 1 a de Mayo. tá dicho en los artículos 134 y 135 del decreto de 13 de Febrero último. CORTES. La misma comisión, en vista de la exposición de D. Juan PRESIDENCIA DEL SEÑOR FERRER (DON JOAQUIN). Martin Montijano , pidiendo habilitación ó dispensa para que no 1c obste el decreto de 9 de Junio de 1820 pira el desempeño de Sesión del dia 12. la cátedra de física que obtuvo antes del citado decreto: opinaba Se leyó y quedó aprobada el acta…</t>
  </si>
  <si>
    <t>Ferrer, Pedro</t>
  </si>
  <si>
    <t>Pedro Ferrer</t>
  </si>
  <si>
    <t>…ión. Lo que elevo á conocimiento de »Exorno. Sr.: En la noche del lunes i.° del que rige le fue V. E., á fin de que se sirva ponerlo en el de S. M.-, y que le dado parte al rector D. Pedro Ferrer del pueblo de Malpas, cer conste los particulares servicios que contrae el patriota Cap-rubí ca del Pont de Suert, de que una partida de facciosos procedente en obsequio de las libertades patrias. Dios guarde á V. E. mu de Aragón se hallaba en el lugar de Eug…</t>
  </si>
  <si>
    <t>Ferrer, Ramón</t>
  </si>
  <si>
    <t>Ramón Ferrer</t>
  </si>
  <si>
    <t>…riotismo , sea orgullo nacional, no oficial, cuya espada-sable conserva en su poder por haberla cogido desesperan del triunfo de la causa que sostienen y defienden. en el campo el capitán D. Ramón Ferrer. Es menester mucha constancia y resolución pava hacer la No puedo dejar oculto el entusiasmo por la libertad de los in guerra del modo que la ha emprendido Mina para defender la dividuos de mi batallón, pues que los heridos no querían retirarse, Cataluña. Est…</t>
  </si>
  <si>
    <t>Ferríz, Fermin Sánchez y</t>
  </si>
  <si>
    <t>Fermin Sánchez y Ferríz</t>
  </si>
  <si>
    <t>….) Al siguiente día de entrar el Gobierno en Sevilla empezará á pu- TRIIt’NALBS. b!¡curse en aquelia capital la Gaceta; pero con el título de Gaceta es pañola. Por providencia del Sr. D. Fermin Sánchez y Ferríz, juez de pri Li de Madrid se continuará publicando en esta capital con su ac mera instancia de la ciudad de Alicante y su partido, autorizada por tual título; pero solsm.-nte en los martes, jueves y sábados de la se el escribano -D. Pedro Fuentes y Sánchez, s…</t>
  </si>
  <si>
    <t>Fersasdc</t>
  </si>
  <si>
    <t>…s , por ser obsequio de la Real universidad literaria. del Rey con una leyenda al rededor que dice, Sevilla por su En la calle de la Sierpe había otro, que daba entrada á la Rey y Sr. D. Fersasdc yii , y en el reverso están grabados en plaza del Rey, y otro al paso para la calle de Genova con dís el centro dos escudos, uno con las tres ñores de lis , y otro con ticos, quintillas y otros géneros de versos, que no se pueden las armas de Castilla y de Le…</t>
  </si>
  <si>
    <t>Feruel</t>
  </si>
  <si>
    <t>…ejaquelrtn cita y recomienda al Sr. coman dante de escuadrón Vidal , del i.° de húsares, comandante del reco nocimiento , á cuya ciencia y denuedo se debe tan fel z resultado ; al capitán Feruel, su ayudante de campo ; a) Sr. Alingry, su oficial de ordenanzas; al Sr. Mousudun, oficial de ordenanzas del genera' Bomk; al Sr. Cretet, capitán del 7.0 de cazadores; al Sr. Girouu, tnirnte del mismo regimiento, que hizo pr stoneto al general español; al sef…</t>
  </si>
  <si>
    <t>Fes</t>
  </si>
  <si>
    <t>…el ruido v de la cunlusioit concluyó pi Mr. Dudon sube á la tribuna. A la derechs ; nada de discusión sobre esto cuitemos desde luego diendo se piiiase a la discusión smalaf-a. Ei general Fes pide 1a naUbii. v be teua-lece el ulesc-.o. ) en la señalada pata hoy.</t>
  </si>
  <si>
    <t>Fexnando</t>
  </si>
  <si>
    <t>…e España durante la ausencia de su V. A. S., como que representa la sagrada Persona de nuestro desgraciado Monakcv , no era la menor la idea de que había de idolatrado Soberano el Sr. D. Fexnando vii durante su cauti llegar el momento de verse privada de las grandes luces con que vidad en ias infames manos de hijos espurios de la patria y hom V. E- se ha servido auxiliarla desde el día de su creación. bres indignos del nombre español. Quiera Dios, Ser…</t>
  </si>
  <si>
    <t>FfiaNÁNDO</t>
  </si>
  <si>
    <t>…vación en* ¿illá , frente al vivac. ,Cabarria de la Llosa los atacó dé nuevo, Íes mató mucha ¿en te, y los dispersó por el pie df lá montaña. El córiínel Vidal, qüe El Rey nuestro Sr. D. FfiaNÁNDO vil tómpárátíd cóñ el Gobierno de .las cortes ¡nthisás dé Espafii , por B. S. V. Se hallegó aquí ayer á las nueve de la nóché, ¿segura &lt;jue no se ha blan detenido un solo momento^ qüe loi soldados del famoso llará en las librerías de Novillo, Qiiirós, Collado…</t>
  </si>
  <si>
    <t>Fi</t>
  </si>
  <si>
    <t>…la no que armó tres faluchos, y con ellos consiguió apresar var - ofi che del 30 del pasada riel capitán general del reino de Granada, ciales que salían de Málaga, entre ellos al general D. Fi, cisco en que me trasmitía copia de la orden dada por el gafe del esta Abadía; y por último, siguiendo las ímtrucconcs que le había do mayor de! cueipo del ejéicito aliado al mando del Sr. conde dado , hizo de modo que el fuerte de Torre-Molinos se rindiese M…</t>
  </si>
  <si>
    <t>Fiamos</t>
  </si>
  <si>
    <t>…recompensa tincas tuición des. cu níelo de procuradores. .-Aprobado. ya renta equivalga á la mitad dei sueldo actual que ¿»lVutzt«a La misma comisión cu vista de la exposición de D. Fiamos» Acuno empleados. Aprobado.</t>
  </si>
  <si>
    <t>Fian-</t>
  </si>
  <si>
    <t>…ércitos del 5.0 y 6.° jistntos militar s el a.1' de ope ac-marnos ¡a guerra con que se nos niuestaza, y que no es ni provoca raciones, y cuyo mando .: 5:r*'ió conferir at teniente general D. Fian- da r.i u ni da por nosotros. cisco Ballesteros. Por otra Real orden debí continuar a vuestro trente — D e se q¿.e el fíennos» y valiente regimiento de la Union , antes Imhasta que se presentara en el distrito ó.cha geneial. Su ayudante de p.nai Aleja: dro, qu…</t>
  </si>
  <si>
    <t>Fiatic</t>
  </si>
  <si>
    <t>…se ha creyó sobre su palabra: volvió á buscar á su compañero Cario, y ¡un mandado anunciar ai público ia venta y enajenación de una casa sita ios se dirigieron hacia donde estaba D. Fiatic seo Barrio: se unieron en la calle de Silva, núm. It , matiz; 457, con accesorias i la del Po á su partida: estuvieron en ella algunos días; y ia dejaron para ir í zo , que comprende 22*2 p,es y medio o- sitio cuadrados stipeificia es, levantar gente en tierr…</t>
  </si>
  <si>
    <t>Fíats, Juan</t>
  </si>
  <si>
    <t>Juan Fíats</t>
  </si>
  <si>
    <t>…» DioSguardi lavidade V. A. S. muchos años. Los San tenor siguiente, que le dirigió desde Axpe con la del 14 el ge tos de la Humosa 22 de Junio de 1823.=?. A L.P. D.V. A. S. neral D. Juan Fíats. ==Lázaro Juarranz.” » Ejército realista del reino de Valencia.=Exmo. Sr. ¡ Por la parte de Villajoyosa no hay la menor novedad; pero sí por Sermo. Sr.: El ayuntamiento y vecinos de la villa de Villala de Guardamar, al poniente ie Alicante. Resentidos los de…</t>
  </si>
  <si>
    <t>Fibro, Ramón</t>
  </si>
  <si>
    <t>Ramón Fibro</t>
  </si>
  <si>
    <t>…En dicha acción perdimos al teniente del batallón de Galicia tos , y tan zelosos por conservar su Constitución como lo fu-ron sirs: D. Antonio Rojas y al b'zarro cadete del mismo D. Ramón Fibro príncipes para violarla ! Si no hay mucho cuidado y una vigilancia con mas, que cayeron en manos de los facciosos. Pero según las noticias que tinua y perspicaz , siempre falta la cuerda por ei mismo punto.</t>
  </si>
  <si>
    <t>Fidalgo, Santos</t>
  </si>
  <si>
    <t>Santos Fidalgo</t>
  </si>
  <si>
    <t>…o de Málaga , presenta ultrajaban , y trataban de arrestarlo por sí. El Sr. alcalde segundo dis das y leídas por el Sr. Oliver. puso quedase detenido el oficial, que dijo llamarse D. Santos Fidalgo, De los jueces de primera instancia de esta capital, presentada y leí y el paisano , que es D. Josef Sánchez ( que fue ó es todavía cabo de da por el Sr. Castejon. hacheros del segundo batallón de milicia nacional voluntaria) fue Del ayuntamiento de Estepa, p…</t>
  </si>
  <si>
    <t>Fideli</t>
  </si>
  <si>
    <t>…rvir para la manu 300 , los mas á la fuerza, y sin armas la mayor paite: su comandante tención del egército , y que ha de constar en sus oficinas su proceden un tal Cedrón , alias conde Fideli. cia y distribución, llevando ademas los estados mayores de los distri Gobierno político de la provincia de Orense. tos otra cuenta y razón igual para poder pasar á Sn de cada mes un ” En la mañana de hoy tuve noticias de haber sido completamente estado puntu…</t>
  </si>
  <si>
    <t>…ul I.ahóre. unos 200 á 300 , los mas llevados á la fuerza, y sin armas Ja. Por copia conforme, en Perpiñan á 21 de Marzo de 18:3. mayor parte: los capitaneaba un tal Cedrón, alias conde Fideli. __Se ha disuelto al fin definitivamente en Perpiñan lá malhadada Or»»jf zgae Marzo. regencia, según se nos avisa desde dicha ciudad en fecha del 25. Se han publicado aqui bis noticias siguiente* : El consejo qiije deba reemplazarla se compone de lo* Erela*,</t>
  </si>
  <si>
    <t>…comandantes manifiestan bien á las claras los corifeos del poder absoluto quede voluntarios de Aragón, destinado á la persecución de la fac ción mandada por el cabecilla titulado conde Fideli de ¡os Re no hay transacion con los principios liberales, y que es prec,$o yes (alias Cedrón ), lo había alcanzado en el pueblo de la Esfar- llevar el yugo del despotismo tan pesado como el que hemos lo grado sacudir. De estos profundos estadistas se puede de…</t>
  </si>
  <si>
    <t>Fidenegociaciones</t>
  </si>
  <si>
    <t>…14 de Como el comandante de voluntarios de Aragón, destinado Abril para hacer la presentación de los papeles relativos ¿ las i la persecución de la.facción del cabecilla titulado conde Fidenegociaciones políticas, se pasarían mas de tres semanas antes li de Jos Reyes,alias Cedrón, habiendo sabido que se hallaba en que pudiese abrirse li discusión. la Esfarrapa,enlasmóntáñas del Cebrero, salió con 25 hombres El noble lord atacó en seguida personalmente á Mr.…</t>
  </si>
  <si>
    <t>Fieire</t>
  </si>
  <si>
    <t>…por haber conspirado en unión con otras po, y á las cuatro salió en la diligencia para To’.osa , acompañado del personas, confederádose y convenídose en matar alevosamente á S. E. general Fieire, del coronel Martínez y del Sr. Ortega , secretario d; Ja el marques de Wellcsley , virey de Irlanda.” regen-ra. _ El ministro español duque de S. Lorenzo , dice el Diario de ios de- Se asegura que esta ha recibido instrucciones secretas de i a mayor tnfes, b…</t>
  </si>
  <si>
    <t>Fierra, Jesef de</t>
  </si>
  <si>
    <t>Jesef de Fierra</t>
  </si>
  <si>
    <t>…uan Vich y Arnan................. D. Manuel del Castillo.................... ....................................... Idem supernumerario........................................... D. Jesef de Fierra. .................................. • ... Idem para reemplazarlos por su antigüedad{. 9600 D- Ramón Monas. Alféreces capitanes. . ,s de tenientes............................................................f D- Leocadio San Clemente. D- Manuel de Zayas. Idem I…</t>
  </si>
  <si>
    <t>Figuer, Josef</t>
  </si>
  <si>
    <t>Josef Figuer</t>
  </si>
  <si>
    <t>…o herido y seis ca ballos con armamento completo: esta partida se había separado del ANUNCIOS. cuerpo principal con eí objeto de llevarse un obús y tres carros que Por dimisión de D. Josef Figuer se halla vacante la plaza de ní‘ han caído en nuestro poder, cuyo abandono acredita ía precipitación dico titular de la villa de Ciempozuelos , distante cinco leguas de U de la retirada de los infantes , que orgullosos de la ventaja del 14 osaban corte y dos…</t>
  </si>
  <si>
    <t>Figueras, Francisco de Paula</t>
  </si>
  <si>
    <t>Francisco de Paula Figueras</t>
  </si>
  <si>
    <t>…gocio se gire con la política mas delicada, principal » Según el parte que me da el ayudante general de estado mente en las circunstancias da ocupar desgraciadamente el trai mayor D. Francisco de Paula Figueras en ef 4&gt;* .de ayer han dor Santana i la plaza de Veracruz; que para ello convendría atacado las tropas francesas el punto de Logroño, guarnecido tesponder estar pronto S. M. I. á entablar las mas francas, ge- por lf (jal egército de mi mando; y aunque por la…</t>
  </si>
  <si>
    <t>…ución un piquete de cada uno de los cuerpos de en las inmediaciones de Arnedillo dos brigadas de la división del infantería que se hallan en esta plaza , compuesto de un oiicial y coronel D. Francisco de Paula Figueras por cuadruplas fuerzas 20 hombres, y otro de igual fuerza de caballería de Numancia, enemigas, compuestas de cuatro batallones franceses con joo ca cuyo acto concluido se retirarán á sus cuarteles. mLegiisa. ballos y dos batallones de afrancesados. La brigada…</t>
  </si>
  <si>
    <t>…hierros de la infamia no caerán sobre nosotros. Mo, inmediaciones de Arnedillo dos brigadas de la división del co- no es posible que un solo pueblo español sucumba á sus mas ronel D. Francisco de Paula Figueras por cuadruplas fuerzas encarnizados enemigos; y si hasta ahora, aun en nuestros mas enemigas, compuestas de 4 batallones franceses con 500 caba inocentes desahogos hemos manifestado que solo queremos Cons llos, y 1 batallones de afrancesados. La brigada del c…</t>
  </si>
  <si>
    <t>Fiias, Ildefonso Josef de</t>
  </si>
  <si>
    <t>Ildefonso Josef de Fiias</t>
  </si>
  <si>
    <t>…aludiría el artículo expresamente de la junta y ayuntamiento fue proclamado presidente y al á les indiv.duos de todo el egército, y no á los de ¡as partidas, calde mayor interino D. Ildefonso Josef de Fiias, cuyo destino como en ¿i se dice. De orden de la Regencia lo participo á desempeñaba en la villa de Doña Mencía, y cuyo patriotismo V. para su inteligencia, gobierno y demas efectos correspon y amor hacia el Rey le ha expuesto mas de una vez , pues qus diente…</t>
  </si>
  <si>
    <t>Filcsola</t>
  </si>
  <si>
    <t>…añoles europeos, dos los días. La división que mandaron á Goat-tnala nos dicen que I» por no haber querido confundirse ¡os demás con semejante chusma. han d -'v-íado, matando á su general Filcsola, y dicen h s icalsConcluida ¡a elección , al volver del Te Drum , fui yo uno de los nialtecos que no reconocen mas testa coronada que la español.;. En Meá, qujenes en presencia de los electores se cantó el trágala y otras gico todos los dias hay muchos muerto…</t>
  </si>
  <si>
    <t>Finias, Manuel</t>
  </si>
  <si>
    <t>Manuel Finias</t>
  </si>
  <si>
    <t>…dad. Los sofismas y cavilaciones se pudiera snb r si por parte del teniente de navio ds la armada nacio de ¡os absolutistas nada pueden contra una fuerza constante , indestruc nal D. Manuel Finias había habido algún descuido respecto á no ha tible, identificada con nuestro ser; y para aniquilarla seria preciso re berse apoderarlo di I buque del contrabandista Blas. Hecho asi en cum ducir el hombre á la esfera de los brutos, y luchar contra la voluntad…</t>
  </si>
  <si>
    <t>FIorez.c, Miguel</t>
  </si>
  <si>
    <t>Miguel FIorez.c</t>
  </si>
  <si>
    <t>…mas y del parlamento de Ñipóles; pero que no se lisonjeaba Hoyo.=:Ezequiel Gareda.rrSimon de Saneha.== El.cura párroco sobre el resultado de la campaña, pues concluiría como la de D. Miguel FIorez.c=D. Josef de Mesa i presbítero.=D._ Geróni los Abruzos por un. sálvese cada uno como mejor pueda. mo Fernandez. = El secretario del Real patrimonio de S. Fer Según las mismas cartas, los constitucionales españoles esnando, Patricio del Hoyo.” tan persuadidos d…</t>
  </si>
  <si>
    <t>Fiscal</t>
  </si>
  <si>
    <t>…ó la causa del famoso criminal D. Rafael del nos y pies al hierro de sus verdugos, le enclavaron sucesivamen Riego. te unas y otros al. madero fatal. Al medio dia se levantó la El Sr. Fiscal, recorriendo ligeramente la historia de todos los cruz; y el mártir sin quejarse, alaba al Eterno é invoca á la Jn-? crímenes del reo, por cada uno de los cuales le parece se ha he maculada Virgen!.......A las tres pide de beber, y un turco le cho acreedor á…</t>
  </si>
  <si>
    <t>Fitz</t>
  </si>
  <si>
    <t>…r , ss leyó un oficio del se oferta de la mediación de la Inglaterra, que inmediaiamente despachó ñor secretario de Gracia y Justicia, en el que acompañaba el dictamen un correo á lord Fitz roy Sommerset, que acababa de salir de Lóndres, de la comisión nombrada por el Gobierno á consrcuencia de ¡o decre con la orden de que luego que llegase i Madrid preparase las base* tado por las Cortes en 3 de Noviembre último, i fia de examinar loa de un tra…</t>
  </si>
  <si>
    <t>Fitzroi-óommeisei</t>
  </si>
  <si>
    <t>…e Octubre. E Liberal Guiyuzcoano no contiena noí'c'ss extranjeras mas que Art. g.ü ” El servicio militar naval ordinario comprenderá so'o á hasta el 14, y en su extra. 10 dice que lord Fitzroi-óommeisei amen ú~ Ies intentos en la lista de hombres de mar desde la edad de 1 8 á 40 salir de París para España tuvo una larga conferencia con maestro en años, según el decreto de 8 de Octubre de 821; pero extraordinaria viado e:r aquella corte el duque de S. Lorenzo…</t>
  </si>
  <si>
    <t>Fizchier</t>
  </si>
  <si>
    <t>…ompañía de granaderos y otra de ca rincourt, al capitán de cazadores Barbette , á los tenientes Motzadores del 3Ó.0, después de haber esperado que se acercase el tet y Mannier, al sargento Fizchier y al cazador Hameu. En el enemigo á veinte pasos para hacerle fuego, cargaron sobre sus 3Ó.0 al coronel barón Maurin , a! teniente coronel Rui ¡eres, al jlancos con tanta intrepidez, que le precisaron á retirarse con la comandante de batallón Monistrol, á los…</t>
  </si>
  <si>
    <t>Fjkxnajído</t>
  </si>
  <si>
    <t>…encia y la Irboriosidad, han formado día ,y no nos de adhesión , amor y constante fidelidad i su legítimo Soche los acentos de los ayes y tristes: lamentos de los afligi iexano el Sr. D. Fjkxnajído vii , y tiene la satisfacción y el consuelo de ofrecer á V. A. S. los respetos de sumisión y obe dos vecinos y moradores de esta villa durante los penosísimos diencia de este vecindario , y vive seguro da'que con la ayuda de la irreligión y del jacobinismo, c…</t>
  </si>
  <si>
    <t>Fkenanpo</t>
  </si>
  <si>
    <t>…odigios de valor, defendiéndose de la tuvieron á favor de ¡a rcligioncatólica, que siempre han profe canalla, sin.permitirles pisar el suelo católico; he ofrecido re-' sado, y del Sr. D. Fkenanpo vii (que LJios guarde), su legí enmendar esta acción á V-E., para que elevándola á la Regencia, timo Rey y Soberano abso uto, sin mezcla alguna de cortes se haga méri'íc de ella en los papeles públicos, clasificando este ni de otra alteración ó modificación ,…</t>
  </si>
  <si>
    <t>Fkknando</t>
  </si>
  <si>
    <t>…uatro hora* legítimo Gobierno! Perézcan ellos, y sálvense religión pura y 75 leguas en línea redi, que v en-: á salir á 18 leguas por hora. nuestro dignaments^suípirado Monarca el Sr. D. Fkknando vit Otra banda ha ido de Francfort á L:;ja; pero no sabemos los de Lorbon, en cuyo augusto nombre desempeña su cometido el pormenores de su viage. En Coblentza se ha hecho otro tercer Sr. D. Cirios Ulman, á quien estima y respeta sj consecuente ensayo, volvie…</t>
  </si>
  <si>
    <t>Fl-ury, Ruhauil de</t>
  </si>
  <si>
    <t>Ruhauil de Fl-ury</t>
  </si>
  <si>
    <t>…públicos.” reManuel González del Campo. de ArhauHjouguus , el vizconde Picot de Prccaduc, el barón de Faverot, — Los ciudadanos de todas las corporaciones y clases que componen el barón Ruhauil de Fl-ury y el barón Deschampe. la marina nacional del departamento de Cádiz, felicitan á S. M, por las __lambí-11 hemos r.c b do el ¿Vaticinio de la Havana que alcanza enérgicas contestaciones dalas 4 las notas que'pasaron los enviados de luiH el 28 de D ciembie, y va…</t>
  </si>
  <si>
    <t>Flasencia, Francisco</t>
  </si>
  <si>
    <t>Francisco Flasencia</t>
  </si>
  <si>
    <t>…..... Fn Cádiz. Guadaiajara divid das en dos co.urnnas, una por la derecha, al ruando 8b’o;.......... 8000...................... fin id-m. del general Empecinado, y la otta al del brigadier D. Francisco Flasencia, por el camino Real que va á Tor.ja. Yo por 110 haber sabido 7/j 6.......... 1000................... En. Madrid. 18241.. ..» toco .......................... En ■ evilla. con oportunidad la marcha , salí rezagado con mi partida , que iba au Í33S7...... icoo...…</t>
  </si>
  <si>
    <t>Fleires, Felipe</t>
  </si>
  <si>
    <t>Felipe Fleires</t>
  </si>
  <si>
    <t>…de la capital. Si no nos fuese posible continuar ha capitanía general de Castilla la Nueva, y para la de Aragón i ciendo otras leyes, porque no hay quien ¡as haga ejecutar , haga D. Felipe Fleires. mos á lo menos este último bien á la nación, promoviendo su También se decía que el marques de Talaru , par de Francia, tranquilidad en la capital: salvemos, en cuanto estuviere en nues seria embajador del partido ultra de Francia cerca de Ja corte de! tra m…</t>
  </si>
  <si>
    <t>Flo</t>
  </si>
  <si>
    <t>…pas clsccion de presidente para las cortes ordinarias por todos los puntos, de esfuerzos extraordinarios, d 1 embarazo cd En ti primer escrutinio hubo elección, y quedó elegido el Sr. Flo que se encuentra la Hacienda, de la pérd da d.d crédito y de una ca ree Calderón por 114 votos , habiendo : ay de total , y temenoo J 3 el dena de males interminables , cuyos primeros esiabones se hallan por Sr. Falcó, y uno cada uno de los Sres. Nuñez C D. -…</t>
  </si>
  <si>
    <t>…ó en seguida al comandante de li dívsirn , por cuyo hecho v Por oteo lado e! puesto de ocho hombre* de Tarragona situado merece un lugar di»tir;u.do. E» ayudante de la plana mayor D. Flo en el camino que tomaron los faccioso» , y del que salieron heridos de rencio Gilí se portó con la b zarria que le caracteriza, y el ayudante tuch.l'a ia» un cabo y un s dundo, se replegó con lo» demás de aquella d-o órdenes J,-l expresado coronel Gurrea no d…</t>
  </si>
  <si>
    <t>Floren</t>
  </si>
  <si>
    <t>…el ínterin no puedo menos de recomendar á V. E., pira que lo arquitectura en folio mayor, á 340 rs. en papel y 370 en pasta.,_Pshaga á S. M., el extraordinario mérito del teniente coronel D. Floren lomires, nomenclátor ó diccionario de las provincias de España , dos cia Ceruti, pues lejos de aturdirse y acobardarse viéndose con tan po tomos en folio, á 64 rs. en papel y 85 en pasta.__Perez , prontuario ca. fuerzas, y atarado por un número tan superior,…</t>
  </si>
  <si>
    <t>Florentino</t>
  </si>
  <si>
    <t>…a per vados mientras respire el patriotismo de sus leales defensores, y dida horrorosa, que fijaremos luego que estemos instruidos por tenga á su cargo las provisiones el patriota Don Florentino datos oficiales; pero entretanto nos hallamos autorizados para anun Arizcun. ciar que ha sido una acción muy gloriosa, y que ha tenido ya Desde ayer no han hecho movimiento alguno los franceses; resultados muy favorables. Sabemos con satisfacción que el in lo…</t>
  </si>
  <si>
    <t>Florera, Andr.s</t>
  </si>
  <si>
    <t>Andr.s Florera</t>
  </si>
  <si>
    <t>…ance de todo cál D. Nicolás d= Avila., menor, D. Pedro jerez, D. Juan Sánchez, Don eselo diplomático ; y el fucilo alicantino es el tipo del heroísmo. De es Agustín de Entrada , y D. Andr.s Florera. ta verdad respondan los cónsules extranjeros a sqs nacir net «espectivas. Sres. que lo juzgaron injurioso en segundo grado: D. Francisco Concluido este acto , el trias tierno y admirable formaron los va Montenegro y D. Francisco Guztnan. lientes de los regim…</t>
  </si>
  <si>
    <t>Flores, Josef Ignacio</t>
  </si>
  <si>
    <t>Josef Ignacio Flores</t>
  </si>
  <si>
    <t>…alcoran contribuyeron á que se mira pueblo y en la carga decisiva; en igual caso recomiendo al alférez se la doctrina de este libro como aprobada por la Divinidad; y de S. Carlos D. Josef Ignacio Flores, y al distinguido ded mis la enemistad que-reinaba entre las diferentes sectas cristiana^ fa mo escuadrón D. Josef Herniosillapor el extraordinario valor cilitó el buen éxito de !a empresa de los árabes, y aun se ha con que se condujeron á los propios lances.…</t>
  </si>
  <si>
    <t>Flores, Mariano</t>
  </si>
  <si>
    <t>Mariano Flores</t>
  </si>
  <si>
    <t>…al mismo tiempo que las bendi ciones de sus graciosas consoladoras. Entre estas insignes muge- El Rey se ha servido dirigirme el decreto siguiente: res se distinguió la esposa de D. Mariano Flores , comandante Don Fernando vu por la gracia de D.os y por la Constitu del primer batallón de milicia nacional local voluntaria de Mur ción de la Monarquía Española, Rey de las Espaláis, á todos ios cia, que con canastillas de pan , queso y irico vino reponían…</t>
  </si>
  <si>
    <t>Flores, Mariano Folgeras Fernandez</t>
  </si>
  <si>
    <t>Mariano Folgeras Fernandez Flores</t>
  </si>
  <si>
    <t>…ó en el camino (que es el páramo) un Fernandez Palacios, monge benedictino en su monasterio de Espinarehombre muerto con su fusil al lado , vestido de paisano, que sin duda da,y á D. Mariano Folgeras Fernandez Flores , cuya vecindad se ig era de dicha partiría de Merino, y fue muerto por 10 soldados de caba- nora, ó sus herederos , para que en el preciso y perentorio tétmino de baUería, que le dijeron eran de Valdés, y les vió atravesar por el di diea dios comperezcan en…</t>
  </si>
  <si>
    <t>Flores, Ramón García</t>
  </si>
  <si>
    <t>Ramón García Flores</t>
  </si>
  <si>
    <t>…tenia á su lado; consírvala , le dijo , ya que muero por la patria. Lo mismo se oyó al ayudante D. Juan Mo Quinto distrito militar. (Vitoria.)—En el Patriota riojano del a» reno y D. Ramón García Flores. Asi este como otros oficiales pelea y 34 del que finaliza, se leen los boletines siguientes: ron hasta exhalar el último aliento. Recomienda también á los sargen Boletín del si. El grueso de la facción está en Puente la Reina , y tos y cabos por sus esfuerzo…</t>
  </si>
  <si>
    <t>Flores, Teresa Fernandez</t>
  </si>
  <si>
    <t>Teresa Fernandez Flores</t>
  </si>
  <si>
    <t>…parte inserto se confirman con dez Flores sobre partición de los bienes quedados por muerte de D. Ig otro que lie recibido del alcalde de Riaza, que dice asi: » La partida nacio y Doña Teresa Fernandez Flores , vecinos que fueroD de la villa del cabecilla Isidoro con 54 hombres montados salió el día de ayer de de Cangas ds Tineo; apeicibidos que de no verificar su presentación se esta villa hacia Cerezo: quedó en esta la de Bessreres, que vino á mandar suslanciarr…</t>
  </si>
  <si>
    <t>Foissac-Latc.ur</t>
  </si>
  <si>
    <t>…ón, y con todos bres por la deserción. El segundo cuerpo continúa su movimien los que venian en el barco. to hacia Granada. El 7 llegó otro barco de la misma procedencia, y por El general Foissac-Latc.ur , que salió de Madrid con tropa* persona fidedigna que venia en él se sabe que los milicianos de de infantería y caballeiía , hba rst ir hoy eri la Carolina de paso la ky tenían en Cádiz pena de muerte si des-rtaban ; que la para Andujar y Ja n , á fin de cub…</t>
  </si>
  <si>
    <t>Foissac-Latour</t>
  </si>
  <si>
    <t>…os Sres. embajadores y minis da ha abandonado también á Zayas, quien se ha reunido solo tros de las potencias marítimas acreditados cerca de la corte de á los constitucionales. El general Foissac-Latour se halla en ViFrancia. Los embajadores y ministros de S. M. cerca de esta» llacarrillo, y el general Loverdo ha vuelto hácir Guadix so mismas potencias van i recibir una comunicación análoga. bre la espalda dei enemigo, que desanimado ya pide entrar en » Sr.…</t>
  </si>
  <si>
    <t>…ender la sagrada por las que hubiera podido dirigirse en caso necesario á Cartage i inviolable Persona de su Rey constitucional, el honor del na ; pero vivía prevenido el Teniente general Foissac-Latour, y nombre español, y la independencia y la libertad de la patria. desbarató todos estos proyectos. Para llenar tan dignos objetos tomaran en consideración cuan Desde el dia 13 estaba en marcha el Coronel d’Argout con tas comunicaciones tenga a bien V. M. hace…</t>
  </si>
  <si>
    <t>Foja, Josef Antonio</t>
  </si>
  <si>
    <t>Josef Antonio Foja</t>
  </si>
  <si>
    <t>…a en el piso bajo de la cusa lonja de esta ciudad. tida de infantería y caballería , al mando del teniente de és Por fallecimiento de D. Jos-f Antonio Serrano está vacante ta arma D. Josef Antonio Foja, ha deshecho una facción que una plaza de mag,tirado de la audiencia de Extremadura, l.os recorria los pueblos del marquesado de Moya, haciendo vamos pretcnd.entes que se consideren con los requisitos necesarios, pre prisioneros, y cogiendo 16 caballos, tres…</t>
  </si>
  <si>
    <t>Folon</t>
  </si>
  <si>
    <t>…con to ca autenticidad nos seria permitido dudar, si no supiéramos por ñones nuevos y rao hombres. (Courier.) un? doloross experiencia que la obra principal de la tiranía re __ El conde Folon , hijo mayor del embajador de Rusia, llegó volucionaria consiste en obligar á sus mas desgraciadas y mas si ai por la noche al puerto de Shereham (cerca de Bnghton) augustas victimas á que presten la aprobación á sus mas opreso «n un yach de vapor, y ha pasad…</t>
  </si>
  <si>
    <t>Fondo, Josef Sánchez</t>
  </si>
  <si>
    <t>Josef Sánchez Fondo</t>
  </si>
  <si>
    <t>…Guadalajara, S. Clemente y Talavera de la sobre que se admitiese la propuesta hecha por el Sr. general Ba Reina se formará una división provisional, que mandará el bri llesteros á D. Josef Sánchez Fondo para su ayudante general. gadier D. Antonio Piquero. La comisión de Guerra era de opinión que no se necesitaba Art. 7.0 El batallón ligero número i(5, mandado formar de la aclaración que solicitaba un señor diputado sobre los mili por orden del Gobierno, se a…</t>
  </si>
  <si>
    <t>Fons, Luis</t>
  </si>
  <si>
    <t>Luis Fons</t>
  </si>
  <si>
    <t>…ciales, y 35 caballos de Alcántara y Ca500 1.611,000. latr.sva , mandados por el teniente D. Manuel Mena de Aguel y el 2 Aproximaciones de 3000 n. para lo* subteniente del segundo D. Luis Fons, estuviesen prontos para mar char á las órdenes del segundo comsndante D. Santiago Otero, 5 ex dos números anterior y posterior al pre mio de 500,000 rs.................................. 6,000. traer los joD rs. de multa, según el eitado oficio; y en efecto e…</t>
  </si>
  <si>
    <t>Fonseca, Josef</t>
  </si>
  <si>
    <t>Josef Fonseca</t>
  </si>
  <si>
    <t>…dad de libro alguno , de cuyol método y do del alférez de mi regimiento D. Jacobo Maldonado, y que el ca buen resultado el público se ha hecho cargo en diferentes ocasiones. pitán D. Josef Fonseca me sostenía con el resto de la fuerza de mi En la calle de la Concepción Getónitr.a , esquina de Barrio Nuevo, partida, y que el capitán del regimiento de Algaibe D. Andrés Ramos cuarto entresuelo de la casa del molino de chocolates* halla situsda la con una…</t>
  </si>
  <si>
    <t>Font, Esteban</t>
  </si>
  <si>
    <t>Esteban Font</t>
  </si>
  <si>
    <t>…e de sus derechos, acordó con este ilustre Ayun por el benemérito y entusiasta amante de S. M. el profesor de tamiento combinar con tan plausible motivo las funciones mag medicina D. Esteban Font y el Comandante interino de arti níficas que se han celebrado en esta ciudad en los dias 25, 2ó, 27 llería D. Josef-Sokr. y 28 del anterior. La marina Real de Almería, siempre fiel á su Rey, tiene el Para la elección de los regocijos de la marina ningún pensa…</t>
  </si>
  <si>
    <t>Fontaines, Santiago</t>
  </si>
  <si>
    <t>Santiago Fontaines</t>
  </si>
  <si>
    <t>…s Hechos de los Afistoles, esta ya impreso, y puede García, D. Jaime Fabregucs Boisar, D. Francisco Juárez Val- servir como de maestra para los que gusten suscribirse al tomo dés, D. Santiago Fontaines , D. Josef Antonio Jiménez, Don 2.1, que se está imprimiendo, y contendrá lo restante del Nue Pedro Angel de Zt bala, Doña Rosa Joaquina y Dona Pascua vo Testamento, y ademas unas notas ¿enerales en forma de dic la Septiem, D. Manuel haenz López y Cabezón, O.…</t>
  </si>
  <si>
    <t>Fontana, Santos</t>
  </si>
  <si>
    <t>Santos Fontana</t>
  </si>
  <si>
    <t>…ión del gas en lo .ut ror de la de J.íuregui; en Calatayud en casa de D. Mariano Lázaro; en Tala materia de que se componen. F.n el g. lr nete del caballero Monti- razona en la de D. Santos Fontana; en Soria en la de D. Rafael de la celli hay un globo semejante i los indicado» , el cual es hueco, y Orden : su precio es «1 mismo que en Madrid. EN LA IMPRENTA NACIONAL.</t>
  </si>
  <si>
    <t>For, Pascual</t>
  </si>
  <si>
    <t>Pascual For</t>
  </si>
  <si>
    <t>…zar niente ó ex-tenknfe de la malvada cuadrilla, que unidos con una ría é intrepidez, y el capitán de Pontevedra D. Francisco Pórte guerrilla de ia columna de mi mando,al cargo de D. Pascual For,la con los 25 del mismo flanqueara los parapetos por la dere tanclla, cubrieron (en virtud de las instrucciones al efecto co cha , quienes lo ejecutaron con la mayor energía, entusiasmo y municadas ) los puntos de SoteJo de Montes y Ac beiro con otrac serenid…</t>
  </si>
  <si>
    <t>Forendínier, Juan Roberto Miguel de</t>
  </si>
  <si>
    <t>Juan Roberto Miguel de Forendínier</t>
  </si>
  <si>
    <t>…sistema llamado sistema constitucional, en Se desea saber si existen algunos herederos por línea recta del la revolución y en sus fatales consecuencias; por todo lo cual, difunto D. Juan Roberto Miguel de Forendínier ó Forendimer asi como he pedido y pido perdón á Dios de todos mis crímenes, de Bassannc, domiciliado en Madrid mientras vivió, y de la di igualmente imploro la demencia de mi santa Religión , de mi funta Doña María Ana Francisca Marteau, su esposa, natural Re…</t>
  </si>
  <si>
    <t>Fóresti</t>
  </si>
  <si>
    <t>…, y fueron aprobados todos sus artículos. seguida se empezó la conversación en griego moderno, siendo in El Sr. presidente designó loe asuntos que se discutirían en la térprete el Sr. Fóresti; allí habló de un modo lisonjero para ia sesión inmediata, y levantó la de este día. Inglaterra y los ingleses, y después de haberles hecho varias pre guntas, concluyó diciéndoles que esperaba verlos con frecuencia, y que tuviesen su palacio por,su casa propi…</t>
  </si>
  <si>
    <t>Forras</t>
  </si>
  <si>
    <t>…mas pérdida’ por nuestra parte que 8 muer uuos 2500 hombres. Xas tropas que quedaron encella « las ór-, tos y 60 heridos » 4 pesar da las insuperables dificultades" que denes del general Forras, fueron, hechas prisioneras en númeto bia que vencer. . .. - can t.¿ : •• de 4$o hombres, entre quienes habia 112 artillero* jao oficia Como la-acción te ha dado tajo los murosldehltf plaza, nq les con 130'caballos. amz:r.y ; puede saberse la pérdida que ha s…</t>
  </si>
  <si>
    <t>Forras, Josef</t>
  </si>
  <si>
    <t>Josef Forras</t>
  </si>
  <si>
    <t>…iego tfi e d;go á V. E. ha mente , tomando la dirección ce Velez- Málaga , dejando tan so berse apresado y dádorne parte en este momento , ha sido otro lo 400 hombres a! mando del brigadier D. Josef Forras, quien buque con distinto nombre. =Todo lo que digo á V. E. para su dtsde luego capituló en los términos qus lo demuestra el adjun conocimiento, y á fin de que se sirva elevarlo al de S. A. 5, la to impreso. Regencia del Reino. Al mismo tiempo que emprendía s…</t>
  </si>
  <si>
    <t>Forreto, Juan</t>
  </si>
  <si>
    <t>Juan Forreto</t>
  </si>
  <si>
    <t>…eces D. Francisco Vázquez, Tararla la minea activa , ja R.e¡na y* 1M. N. L. de Scvilra , y D. Tomas López y D. Lúeas Gastón, el cadete D. Josef Nieto el demás servicio el mismo. y sargento Juan Forreto, pues todos á porfia rivalizaron por en Patrullas las detalladas. señar á sus subordinado» el camino de la gloria. Dios guarde í Hospital y provisiones Numancia. = l.eglisa. V. E. muchos aros. Aranda (¡ de Abril de 182 g.zrExcmo. Sr.= Ramón Sántillan.=Excmo.…</t>
  </si>
  <si>
    <t>Fosada, Antonib Martínez de</t>
  </si>
  <si>
    <t>Antonib Martínez de Fosada</t>
  </si>
  <si>
    <t>…rcia hasta la misma fecha, y de Al dicioso; y reunido el jurado , compuesto de los Sres. D. Felipe Echimería solamente hasta el 11. Observamos que por todas partes prevale varri , D. Antonib Martínez de Fosada, D. Luis Ctosa , D Juan Bau cen en general las mejores disposiciones para concurrir eficacísima- tista Vea Murguia , D. Jocquin Alvar-z , D. Juan Francisco Espalomente i conservar la dignidad y el honor ae la Nación, el trono cone • sin , D. Miguel García Oil…</t>
  </si>
  <si>
    <t>Fouguáinville, Gandín y</t>
  </si>
  <si>
    <t>Gandín y Fouguáinville</t>
  </si>
  <si>
    <t>…r pasar el Jucar á vado. Este trabajo dura un principio el éxito de este ataque. Al gefe de escuadrón Maisba ya cuatro horas, en las que no había cesado el fuego, tC“ Sonneuve, al teniente Gandín y Fouguáinville, al aposentador ñiéridó él enemigo ía ventaja de poderse servir de su artillería: Lafarque y al de igual clase Dresklust que ha sido herido. En el «ll general aprovechó el impaciente ardor de los cazadores para* 1de húsares al coronel Maller por la rapidez co…</t>
  </si>
  <si>
    <t>Fournás, Blas</t>
  </si>
  <si>
    <t>Blas Fournás</t>
  </si>
  <si>
    <t>…una idea aproximada, sin entrar en pormenores Bassecourt; y Gobernador de la plaza de Tarragona al Maris numéricos, indicaré solo el resultado de sus relaciones de co cal de Campo D. Blas Fournás. mercio con la capital, Méjico y. Veracruz. Bien sabido es que de estos dos puntos se surtía todo este reino, y que del último F.n el día 10 del corriente, á la hora en que recibe S. M. al puerto se embarcaban en retorno para España anualmente de 6 Cuerpodipl…</t>
  </si>
  <si>
    <t>Fov</t>
  </si>
  <si>
    <t>…caso de resistencia se veta mado por el interesado y tomada la nota de retención. precisado á usar de la fuerza. Arquitecto práctico, civil, militar y agrimensor, dividido en 3 El general Fov habla con mucha viveza á este oficial, y le hace al libros, fil 1.” contiene h declinación , traiformacion , medidas, par gunas teíl xion-s, en virtud de las cuales sala diciendo que va á tomar ticiones de planos y uso da la pantómetra : el ia práctica de hac…</t>
  </si>
  <si>
    <t>Foxá, Josef Antonio</t>
  </si>
  <si>
    <t>Josef Antonio Foxá</t>
  </si>
  <si>
    <t>…scribir en su ley fundamental. verdadero mérito. Trabado el combate, llegó oportunamente el decidido Luego de la festividad religiosa se dirigirán las autoridades y de é intrépido D. Josef Antonio Foxá , oficial del regimiento caballería mas comitiva por La bajada dei palacio del Obispo , plaza Nueva , calle de Calatrava, cor. 12 soldados de su cuerpo y otros tantos milicianos ai pie de las escaleras de la Catedral, Tapineria, plaza de! Angel , Pla oacionae…</t>
  </si>
  <si>
    <t>Foxá, Ramón</t>
  </si>
  <si>
    <t>Ramón Foxá</t>
  </si>
  <si>
    <t>…al al teniente coronel excelentes ; qué hay pues que temer: D. Manuel Lujan: el del Invencible y puerta del Mar a! coronel Los enemigos han hecho hoy un reconocimiento en el llano D. Ramón Foxá; el Observador al coronel D. Tadeo Aldea; y de esta ciudad, y han permanecido hasta las 3 de la tarde en San para comandante de la primera reserva al teniente coronel, gefe Adriá y Santa Coloma. Se han dirigido por el Besos arriba ha del batallón núm. 54, D.…</t>
  </si>
  <si>
    <t>Foy</t>
  </si>
  <si>
    <t>…y desde luego ha né , Duvergier d'Haurene y Chauvelin propusieron en vano un párrafo dedicado sus conatos a la mejor organización de una fuerza provincial á favor de la paz , y el general Foy otro para asegurarse de que los del respetante, y al pronto reemplazo y equipo ds los 774 hombres que ia Norte no entrarían en territorio francés. Al fin se adoptó la respuesta han correspondido en el extraordinario decretado en 8 del corriente. que proponía…</t>
  </si>
  <si>
    <t>…esenta los interesen pleados en la Hacienda pública. populares, y ha s:do instituida para defenderlos. Las Cortes oyeron con agrado, y mandaron insertar en el Diario Dícese que el general Foy , ilustre diputado del lado izquierdo, lia pro ds sus sesiones las siguientes exposiciones, en que se las felicitaba por puesto en la sesión secreta una adición , cuyo objeto era tranquilizar á la las sesiones del 9 y 1 r de Enero. Francia sobre la ocupación…</t>
  </si>
  <si>
    <t>…ites prescritos por que no tienen un derecho para cxclu rtr.e; y si esta mi resolución drbo •I reglamento. atraer sobre 111 cabza los mayoies 1 tragos, yo *¿ que una saucre veneEl general Foy pide que se deje para mañana la discusión. La pro rosa ha fecundado algunas v.ce, ci campo de la ¡b-itad. posición sobre la cual se va a deliberar es nucv,; ademas no es posible Presidente: Voy a p mrr la propo.ic.on á vctacion. Levántense los (cubar hoy la d…</t>
  </si>
  <si>
    <t>…fallado i su deber. ciosa y mas violenta. A la izquierda: Ha sido,fiel al honpr y á sus deberes de ciudadano. __Escriben de Francfort con fecha del dia a.° que en la tercera se El general Foy con vehemencia: Sí, señores., de esta valiente guar sión de la Díeti germánica anunció el presidente que en la próxima dia nacional, que dióayc. tan noble egempio de su respeto á la repre venidera presentaría el proyecto de resolución y de respuesta á los Ga…</t>
  </si>
  <si>
    <t>Fr</t>
  </si>
  <si>
    <t>…mejor desempeño, primera estará también á la disposición de¡ público. y un singular zelo y amor al Real servicio;-y si estas virtudes Apología del altar y de! trono, por el limo. D. Fr. Ra le grangearon el distinguido concepto de que justamente gozaba fael de Veíez, del orden de capuchinos, obispo de Ceuta. El púeste benemérito ministro del Rey , la natural dulzura y afabi blico se halla ya bien instruido del mérito de esta obra por el lida…</t>
  </si>
  <si>
    <t>Fr-i</t>
  </si>
  <si>
    <t>…n provincial de Gerona , y de los empleados en la se los Reves dicen : -» Nosotros no estamos sujetos á regla alguna, y nuestro cretaría de la misma diputación, presentadas por el Sr. Fr-i!, albedrío es nuestra única ley: venimos inmediatamente de Dios , y solo á De la milicia nacional voluntaria de Alora , presentada por otro Señor él somos responsables.” De consiguiente esta gran ¡ucha versa sobre si los diputado. Reyes han He ser absolutos ó…</t>
  </si>
  <si>
    <t>Fran</t>
  </si>
  <si>
    <t>…nientes del mismo D. Josef Sánchez, contuso también, ra extender el correspondiente títmo, que cuidarán de recoger; adviry D. Félix de Hila. El teniente ds voluntarios de Camaraza D. Fran liendo que estando impresas las plantas de estos títulos bajo diferentes cisco Pediois recibió una herida y una contusión, y seria demasiado formas, según la calidad de los destinos, los gefes políticos, los direc difuso si tuviese que enumerar las hazañas de…</t>
  </si>
  <si>
    <t>…ron vacilar un momento i tanto valiente ; y tlam &gt; ia O Donell, se puso en mucha para Murieta; pero como desde este pun atencion.de V- S. con respecto i los oficiales de la Corona D. Fran ió podía fácilmente contraraarohar por los Arcos, ó continuar per cisco Diiinao, D. Bernardo Senosiaen y D. A.u=t n Perez Ponse ,capí- Sta. Cruz de Campezu; suponiendo que no se arrojaría á intentar la tan , teniente y subteniente de granaderos, D. Antonio .M…</t>
  </si>
  <si>
    <t>…diciosa. En su vista se reunió el jurado compuesto de Ies señores siguientes: El Gobierno ha recibido los partes siguientes- D. Josef Luis de Amandi, D._ Josef Demetrio Rodríguez, D. Fran «Cuerpo de tropas exp-dic'onarlo del primer distrito. Excelentísi cisco de Travesedo, D. Julián de Fuent.s, D. Isidoro de Hoyos, Don mo Sefior : Ayer tarde continué la marcha en d.reccion á este , donde Juan Manuel de Aréjula, D. Josef Antonio Ponzoa , D. Ant…</t>
  </si>
  <si>
    <t>…. — Esu rubricado c:e ¡a Real mano. = hn palacio á proporcionarse alojamientos los Sres. diputados, pagando estos los al diez y seis de Marzo de mil ochocientos veinte y tres, c A D. Fran quileres. cisco Fernandez Gaseo. El Sr. Zulueta presentó una proposición, reducida á que las Cortes Ministerio de Hacienda. mandasen que el Gobierno diese las órdenes convenientes para que las Don Antonio Vicente Ortiz, alea d: constitucional del lugar de dip…</t>
  </si>
  <si>
    <t>…participarlo á D. Manuel de Corral , que vi te, y volvía á inllarse, de suerte que rebosaba por los bordes del canal de ve en Madrid, calle del Olivo Alto, núm. i.°, cuarto 2/,ó á D. Fran lava antigua que la contenía. Su movimiento era pausado, y podían ob cisco de Paula Gómez de Figu .roa , capellán actual de la expresada servarse cómodamente todos los Enlámenos. La parte superior tomaba capellanía, y cura párroco de la villa de Nerja , provi…</t>
  </si>
  <si>
    <t>…las tres de la mañana del día de hay llegue i las mamente en las cercanías de Berga y de Sobona van á ser perseguidas inmediaciones del pueblo , desde donde dispuse que el alférez D. Fran y exterminadas muy en breve, verificándose asi lo que teníamos ante cisco Carbonell con 15 hombres te introdujese con el mayor sigilo riormente anunciado, á saber; que después de la rendición de lc-s fuer dentro del mismo pueblo, y se cerrase en la casa que l…</t>
  </si>
  <si>
    <t>…. Los pro Palomino, D. Lorenzo Lambea, D. Josef Ptrez Morales, Don fesores que teniendo la cualidad enunciada quisieren pretender el Marcelino Torio, D. Arias González de Mendoza, D. Fran partido , dirigirán sus memoriales pot el correo, franco de porte, cisco Zazo de Lares,. D. Miguel de Nájera, D. Aniceto More ai ayuntamiento constitucional de dicha villa hasta el dia 8 dei no y D. Nicolás Cano de Luque, calificaron con la fórmula de próximo…</t>
  </si>
  <si>
    <t>…antiguos empleados que habiendo permanecido quedar sobre la mesa. en sus destinos han obtenido ascensos de escala ó extraordinur o, La misma comisión, en vista de la exposición de D. Fran6 variado de destino durante la época del anterior sistema , vol c.sco Patino, para que se le permita introducir cierto número de verán á ocupar mediante los requ s.tos prevenidos en la regla an arrobas de lana portuguesa para la fabrica de sombreros de que ti…</t>
  </si>
  <si>
    <t>…rte de él no habría dado lugar á que otra se extraviase de la Orden de la plaza del j al 4 de Junio de ríe.y. senda de sus deberes. Ge fe de día el comandante interino de la Reina D. Fran Por tanto es necesario que la instrucción de io de Setiembre cisco Castelló__ Servicio á palacio la Reina y la milicia nacional último se lleve á debido efecto tomándola antes las Cortes en local de Sevilla, á las órdenes del comandante del primer bata considerac…</t>
  </si>
  <si>
    <t>…te lo reclamaba, le destine á uno de los cuerpos de caballería. estaba obligado á pagar los gastos del litigio en tanto que no re La comisión de Guerra en vista de la solicitud de D. Fran sultase el robo y los que le habían cometido, para que de sus cisco Quijano, alcalde r.° constitucional de un pueblo, en la bienes se pasasen; de la misma manera el Crédito publico estaba que pedia el permiso correspondiente para agregarse en clase de obligad…</t>
  </si>
  <si>
    <t>…día y sobre un mismo hecho, y sacar los cuatro buques pidió auxilios á Puerto-rico; y de di consecuencias contradictorias, el uno mui fa que el general de aquel ejército nacional D. Fran vorables, y el otro mui adversas. cisco Tomas Morales con f&gt; á 8-9 hombres debia sa En las citas que se hacen de noticias comunica lir para la Guaira y Caracas. das de carias, y refetídas vcrbalrnentc sucede lo mis [LMPKLN'J’A DEL ItLDACTOK-GL-NEUAL , Ú CUtgo…</t>
  </si>
  <si>
    <t>…es positivas con que ha la nación mejicana y á las demas extrangeras. sido honrado, no cree necesario añadir ninguna observación 3.0 Que este decreto se comunique por triplicado á D. Fran sobre las garantías contenidas en este manifiesto. El carácter dé cisco deBorja*Migoci, de Lóndres, para que disponga su publi S. A. R. es bien conocido, y ha sido justamente apreciado por cación en ios principales periódicos de la Europa, y que toman los súb…</t>
  </si>
  <si>
    <t>…fanegas de ce pernumerarios D. Fernando Pantoja y D. Pedro Gómez de la bada y una porción de pares de zapatos: en el momento no Cortina; D. Genaro Azcona y Balanza, secretario , y D. Fran dudé atacarlos, seguro de la victoria por el entusiasmo de que cisco Javier Romano, tesorero ; desempeíande provisiona men Vcia animado» a todos les que tema el heno- de mandar, sin te la fiscalía el marques de Castill Bravo de Rivero: quedando que la superio…</t>
  </si>
  <si>
    <t>Fran, Francisco Jaramillo y P.</t>
  </si>
  <si>
    <t>Francisco Jaramillo y P. Fran</t>
  </si>
  <si>
    <t>…órdenes del comandarte inte por ahora el primer ayudante general D. Josef de Hezcta, Iqs rino de la Reina D. Francisco Casto!ló—Parada la milicia acti segundos ayudantes generales D. Francisco Jaramillo y P. Fran va y la nacional local de Madrid: el demas servicio y patrullas cisco Ocaña, y los adictos D. Franciscp. Valiente y P. Manuel lódetallacfo__ Guardia al Congreso y*archivo la milicia nacional Gampanon. local de Madrid__ Hospital y provisiones la milicia activa…</t>
  </si>
  <si>
    <t>Fran, Joaquín</t>
  </si>
  <si>
    <t>Joaquín Fran</t>
  </si>
  <si>
    <t>…ía á Madrid. Francia seria bastante apreciada para que no te intentase forzar los bloqueos formados, y abastecer la» plaza» sitiadas por las Extracto de una carta interceptada del Sr. D. Joaquín Fran fuerzas de mar y tierra de S. M. Cma. cisco Campuzano , dirigida á D. Evaristo S. Miguel, como mi *&gt; La experiencia ha demostrado al Gobierno (ranees que su nistro de Estado, fecha en Dresde el 25 de Mayo. Iiabia engañado, pues todos los días, buques bajo dif…</t>
  </si>
  <si>
    <t>Franc</t>
  </si>
  <si>
    <t>…día en esta corte por Noviembre de 1816 , se desea que rsli Campanario__ La M. N. V. de Pravia, provincia de Oviedo. __ La sugeto, ó quien tuviere noticia de él , se 9irva darla á D. Franc .co LaM. N. de caballería de Almería__El ayuntamiento, párroco y clero y serna , calle de Preciados , esquina á la de la Zuza , núm. 1 3 , cunto M- N. L. de Bullas, provincia de Murcia._£1 ayuntamiento, M. N. V. principal para asunto de intereses pertenecient…</t>
  </si>
  <si>
    <t>…la gaceta extraordinaria núm. 29, y sobre de la Union , granaderos de la Guard a y dragones de Arequ pa, ello escribe oficialmente el mismo Sr. Vaid s lo que sigue: .al mando del comandante D. Franc seo Soa: y i pesar de que »&gt; Excmo. Sr. r~€iuando escribí á V. E. confidencialmente forcé cuanto me fue posible la marcha , no pude iterar a Canilla el 20 de Enero desde los altos de Torata participndole el feliz ra hasta las tres y mecha de la mañana , donde…</t>
  </si>
  <si>
    <t>Franc, Juan</t>
  </si>
  <si>
    <t>Juan Franc</t>
  </si>
  <si>
    <t>…ourtibron^ Príncipe la Cerdeña. _ ( de Luxembureo y Vizconde de Castel Bayae, todos empleados 3.0 La Puerta promete admitir lds-buques de todas las na-» en la legación dé Francia; D. Juan Franc .de Negelsfuria, Secioncs que esten en relaciojncs políticas con- ella, bajo condicio , cretario derla legación de Austria; Barón Ungerns, Starbcrg, nes que serán objeto de uñ arreglo amistoso. Stoffregan y Lomonosoff, empleados en la legación rusa. 4.» La Pu…</t>
  </si>
  <si>
    <t>Francés, Miguel</t>
  </si>
  <si>
    <t>Miguel Francés</t>
  </si>
  <si>
    <t>…personas , cuyo* nombre» pública el Diario patriótico de esta ciudad , y de aquella parte de la Monarquía española para que marche de acuer ton lo» siguiente»: el canónigc Soler, D. Miguel Francés, el vicario do con Ja España europea. De otro modo los Señorea qué han impug de Sta. Catalina D. Vicente Climent, D. Miguel Jordá y D. Vemu- nado el proyecto, sin quererlo anticipan la cuestión-de ai la Amé ra Besol, congregantes» Josef Torres, hermano de id.…</t>
  </si>
  <si>
    <t>Francia, Mariscal de</t>
  </si>
  <si>
    <t>Mariscal de Francia</t>
  </si>
  <si>
    <t>…ultado. La capital de Navarra , la intere » Quisiera me fuese dado el poder tributar lo* debidos elo sante plaza y cindadela de Pamplona se baila libertada del yugo gios al Excmo. Sr. Mariscal de Francia, Marques de Lauriston, revolucionario, que tenía opiitnidos á ios leales habitantes, que á lo* dignos Generales, y al valeroso ejército, qm arrostrandofueron los primeros que sin mas recursos que su fidelidad y amor todos loe peligros y fatigas, han adelantad…</t>
  </si>
  <si>
    <t>…n hacer víctimas de. su obcecación; pero . legítimo para tomar providencias de seguridad y buen orden. ya sus leales deseos se cumplieron, y hoy es el dia feliz en qu9 » El Éxcmo. Sr. Mariscal de Francia, Marques de Lauriston, se congratulan de sus nobles sufrimientos, y se confirman en su verificará su entrada mañana , ¿ igualmente yo con la Diputa decisión de proseguirlos en defensa dr los Reales derechos. ción de Cortes de este reino. » Reciba pues V- A. S…</t>
  </si>
  <si>
    <t>Francico</t>
  </si>
  <si>
    <t>…n JUeyo, núm. 103 de 20 del actual; y retiñido el jurado , com quilidad pública, y como til se le formará causa inmed atañiente. puesto de los Sres. D. Salvador Gazron de bala/ar, D. Francico 4.0 Se reproduce en todas sus partes el bando publicado por Puga , D. Félix Josef Reinoso , D- Agustín de Goicovchea , .* hm el Excmo. ayuntamiento de- esta capital en 11 de Junio de 1822, Josef María Villaianda, D. Juan F’aut-slu Vea-Murguía, Don por d cual…</t>
  </si>
  <si>
    <t>Francis</t>
  </si>
  <si>
    <t>…r.tel; D. Juan Isidoro Perez; D. Simón González Yusíe; de lo: pueblos, se les diesen lecciones tan claras pata que aceleren su D. Josef Radon; D. Sebastian Andrés; D. Ramón Llord; D. Francis libertad. co Martinez Marina; D. Josef Luis de Amandi, y D. Manuei Esteban » El Congreso y el Gobierno en aquel dia de ventura se disputaron Catata. el saber y el patriotismo , y el heroico pueblo espectador sin decidirse Habida (a conferencia, resultó por un…</t>
  </si>
  <si>
    <t>…rando que iba á pelear ccn ua enemigo que Escudero. el íctreno le lavorecia para retirarse por escalones, y que me había ys 1 2. Con este volvió h :cia Burgos, y fueron 3 buscar á D. Francis causado los pocos caballos que tenia , mandé hace: alto, y me retiré al co Barrio, con el cual se reunieron; y formaron con otros la partida pueblo de Camprodon. de que se hablará después. « El resultado de esta jornada obligó i que el enemigo se metiera en 1…</t>
  </si>
  <si>
    <t>…plir ¡os seis meses,se Ies Orden de lapíaza del ly ti! 18 de Mayo. entreguen sus bienes: luego tl.ee que pasado aquel car ramo queda Gefe de día el comandante interino de la Reina D. Francis rán los frutos á beneficio del Estado: esto.supone que los bienes co Castelló___Servicio á palacio la Reina y milicia medial lo citen ocupados antes dei termino de seis meses, cuando ia ocupa cal de Madrid, á las ordenes dd comandante interino de ia Rei ción…</t>
  </si>
  <si>
    <t>…ino del E. M. D■ ute (ji.mcz. O .&lt; n ¡ir /» f&gt; &lt;*i. ti'l 27 0/ 38 d’ Mayo- La del i3 es á la letra como sigue---- El ejercTo hará mo Gefe de dia el comandante interino de la Reina D. Francis vimiento esta tarde con d'.recc on á M.-stoles , tomando la van co Castelló__ Servicio á palacio la Reina y milicia nacional lo guardia la primera brigada de la segunda división con las cuatro cal de Madrid , á las órdenes del comandante dei primer batallón p…</t>
  </si>
  <si>
    <t>…el tribunal es lán , Francisco Portas, Lope Natacio , Alonso Gómez. pecial de Guerra y Marina, y si estos no bastasen, con los jue 14 ligero. ■ Los subtenientes D. Antonio Pujols, D. Francis ces también letrados del tribunal especial de Justicia formado co Montalvo (murió), D. Cipriano González y D. Rafael por Real decreto de 13 del corriente. Rubia: sargento i.° Manuel Vaillo: corneta Francisco Perez: cabo i.° Domingo Fernandez: soldados Samlali…</t>
  </si>
  <si>
    <t>…ste, que será repelido tic veras. Infantes y Julio 29 de 1823. = Co- Quien supiese de la existencia ó paradero de Pedro Burgués, ino gobernador interina , Blas María Argueta.esSr. D. Francis natural del reino de Valencia, dependiente que fue del res co Abad , alias Chaleco.” guardo de Madrid , y destinado á principios del año 21 si r —Constantes en el propósito de dar í nuestros lectores noticia guardo militar de la derecha del cantón del Ebro ,…</t>
  </si>
  <si>
    <t>…cerca dispondréis se imprima, publiques' circule. =: Rubricado de la de o millones de almas. Estas dilatadas regiones las ocupan en Real mano. 2= En Cádiz á 9 de Julio de 1823.22A D. Francis graú parte pueblos paganos que traen una vida ambulante, y ha co Osorio. bitan unos en tiendas de campaña, otros en cuevas , y se alimen De Real orden !o traslado á V. para su intelieencia v-de tan de caza , de pesca , ó del producto de sus ganados. Hay algu…</t>
  </si>
  <si>
    <t>…iásticos: los voluntarios realistas le acompañaron hasta la cas* destinad* para descansar, donde esperaban la justicia , el cabildo Guia práctica de agrimensores y labradores, por D. Francis de curas y la comunidad de Franciscos descalzos para felicitar co V;rd-jo; contiene los principios indispensables de aritmética i S. E.: el pueblo manifestó el regocijo que te inspiraba la pre y geomjtría, el modo de medir , tasar, repartir, nivelar y apear s…</t>
  </si>
  <si>
    <t>Francis, Ü.</t>
  </si>
  <si>
    <t>Ü. Francis</t>
  </si>
  <si>
    <t>…to marAntonio Ruiz de Guzman , sin que pueda omitir hacer mención cb.iba á Mui irla ; mas el enemigo conducido por el miedo , y neticiodel capitán de Camarasa D. Antonio Egea y el teniente Ü. Francis so de mi llegada í Estella a las dos de la noche del 25 a! 26 , marchó co Pedrols , ni al cabo de mis ordenanza» Juan Lasaia y los soldados precipitadamente por la parte de la Ribera , sin detenerse hasta Obc, Andrés García , que recibió dos balazos , j^sef O…</t>
  </si>
  <si>
    <t>Francisca</t>
  </si>
  <si>
    <t>…os que de que pasado sin haber comparecido, se procederá i declarar libres los se hubieren presentado y los herederos si hubiese sobrante; y si por bienes de sus dotaciones, y que Doña Francisca de la Puente, actual algún acontecimiento tuviere la dicha Sra. que ausentarse de la ex poseedora , puede disponer de ellos como tales. presada ciudad , darán razón en cata de D. Femando Landa , frente de Por no tener dueño conocido se declaró Vacante la casa…</t>
  </si>
  <si>
    <t>Francisca, Alaria</t>
  </si>
  <si>
    <t>Alaria Francisca</t>
  </si>
  <si>
    <t>…............................. 1.650,000 van cotisiea la responsabilidad pecuniaria. Gastos de cámara de la berma, bra. Se aprobo un d viaut-n de la comisión de Hacienda , relativo Doña Alaria Francisca su esposa. 600,000 . 4 que ¡meen de las grutihcac iones de m*sa todos ¡os oi.i-iales Je ,*</t>
  </si>
  <si>
    <t>Francisco</t>
  </si>
  <si>
    <t>…raduado de Soria D. Gregorio Vera, y al subteniente del mismo de cualquiera clase y dignidad, que guarden y hagan guardar , cumplir D. Germán Herrero; al ayudmte de la plana mayor D. Francisco de y egecutar el presente decreto en todas sus partes. Tendraislo entendido Paula Abilés; al capital» de caballería de Borbon D. Antonio Galin- ; para su cumplimiento , y dispondréis se imprima, publique y circule. do; al alférez del mismo D. Matías Vargas, y…</t>
  </si>
  <si>
    <t>…813.= áO. Miguel Navacrcte y Alpuente: para la del da Calaceit: á D. Ma Evaristo Sin Miguel.=Sr. Encargado de negocio* de Prusia.” riano Marton y Manon; y para la del de Tarraja á D. Francisco de l’au.ia Sagaz. » El infrascrito Encargado de Negocios de S. M. el Emperador de Se previene que con arreglo i lo resuelto por S. M. por punto ge todas las Rustas ha visto con un verdadero sentimiento que la reapuesta neral , tos agraciados deben acudir á la…</t>
  </si>
  <si>
    <t>…eral de la Nación jubiegército.de operaciones, del 7.* distrito militar, á las órdenes del te- lado , denunció al Sr. alcalde constitucional 1&gt;. francisco Crespo de niente geperal D. Francisco rispoz y Mina, se denominará primer Tejada un artículo inserto en el apéndice al Zurriago en concepto de egército de operaciones, i.” Et egé'cito de operaciones del 5.a y 6.a injurioso y calumnioso. distrito , á las órdenes del teniente general I&gt;. Francisco…</t>
  </si>
  <si>
    <t>…Guerra D. Estanislao Sánchez Salvador , sobre infracción de Constitu división del general O-Dali dormirá hoy en Berlanga , y la he dado ción y de ley en la que se siguió contra el brigadier D. Francisco orden para dob'ar la marcee cuanto sea posible. Dios guarde á V. E. Serrano , el teniente coronel D. Florencio Ceruti y e! capitán Don muchos años. Cuartel genera; de Osma 21 de Febrero de 1823.—Ex Agustin Chinchilla , por las ocurrencias del 18 de Setiembu d…</t>
  </si>
  <si>
    <t>…tra-almirante D. Antonio Vacaro, que atbolará su insig Se han extraviado los privilegios originales de un juro sobre millo nia en el Asia, y el de la Arttura al capitán de fragata D. Francisco nes de Toledo de 737,500 rnrs., en cab-za de Doña An 1 María Espinóla Topete. Centurión , y en el d,a peiten:ce á la fabrica de. la iglcs a de la rula de Brantevilla provincia de Alava: se suplica á i.i persona en cuyo poder Siendo repetidas las solicitudes q…</t>
  </si>
  <si>
    <t>…esta provincia ha sido infestada con algunas gavillas nume A las 11, dice un periodista, salió el cuerpo municipal acompañado rosas Je facciosos. El i.° del corriente el teniente coronel D. Francisco de de las músicas del primer batallón de milicias y del establecimiento eimPaula Alcalá , capitán del regimiento Infante D. Antonio, salió con i to nástico militar. El cañón estaba ya preparado, y al instante cogieron los hombres del mismo á proteger 4 los pu…</t>
  </si>
  <si>
    <t>…gracia hubiera sido taascendental á no ser esta tan buena, y haber recaído dientes á la aduana de Cartagena, y algunas de corta entidad de Cataluña, el mando en aquel puesto en el teniente D. Francisco f abr-g-es, que supo que todavía no han llegado, sin duda por extravío de correos. continuarla con el mismo ardor. Seguidamente destace': el enemigo varias 2. a y que ademas de los citados gastos de aduana se pagaron al res partidas, que- bajando por la derec…</t>
  </si>
  <si>
    <t>…z (D. íoribio) Solxron , López del Juicio de jurados. Baño, Gómez (JD. Manuel) y otros , reducida áque las Cortes se ocupen D. Víctor López denuncié) a! Sr. alcalde constitucional D. Francisco exclusivamente en el urgentísimo asunto de la traslación del Congreso y del Crespo de Tejada el foileto titulado el Viage, diálogo crítico-verídicoGobierno con todo lo concerniente á ella, ó ii lo menos dándole lina ab burlesco , en concepto de subversivo e i…</t>
  </si>
  <si>
    <t>…ord:acr..;s que «te d cunten por 68 votos contra 54. se han de dar á estas en las circunstancias actuales; se daría cuenta de otros La misma comisión , en vista de la solicitud de D. Francisco ¡barra so bre que le perdonen los atrasos del arriendo de parte de la Albufera de expedientes , y se efectuaría la segunda lectura del código de proccd.ni lentos, Valencia, opinaba que se le adm.tiesen en su pa^o cred.tos con interes. y levantó la sesión á la…</t>
  </si>
  <si>
    <t>…en 5 de de León y Astorga , y ambos corresponden al mayorazgo de D. Gonza Abril. Otro del 4.0 regimiento de artillería á caballo, en ¡den). Otro lo de Villafañe: otro en cabeza de D. Francisco herrano de Tap a , de ídem del 3.0 , Ídem, en ídem. Cinco compañías del regimiento de in 97,037 mrs., situado en millones de Tuledo : otro en cab-za de! mis genieros , en 4 ídem. mo, de 3940 nrrs. de renta , situado en la de salinas de Badajoz; y De las ocho…</t>
  </si>
  <si>
    <t>…. Juan Bautista Verrnurguia , D. Juan Bautista Alvaneda, dispuesta en forma de pequeñas rosas , que pudiera tenerse por una con D. Joseí María '/¡Baranda, D. Josef Juan de Pujada, D. Francisco creción amoniacal; pero que en realidad no era sino muríate de sosa. Robles, D. Leonardo Miguel Carneruno y D. Tomas López Calderón, y declararon per unanimidad haber lagar á la formación de cauta. TP.IEUX.VLES. _ El procurador síndico tercero de! Hscmo. ayun…</t>
  </si>
  <si>
    <t>…consiguiente que la r.-jdieDcia la ha inlnngido con su la saliva, teniendo al mismo tiempo bien tapadas las narices y la bo Lilío , y mas abiertamente con el que d.ctó respecto á D. Francisco ca, y detuviésemos por un momento la respiración, á fin de que con Barrio, Jorge Crespo, D. Lorenzo Sainz, 1&gt;. Dionisio Carro, D. Isi este egercicio pudiese obrar el aíro en la trompa de Eustaquio; pero esto dro Astorga y D. Manuel Yoldi , que fueron aprehend…</t>
  </si>
  <si>
    <t>…o ; y reunido el jurado, compuesto de los señores L&gt;. tn número ú vr, contándose en este mímelo ei cabecilla Ikjsr , el lla Tornas López Caide.-sn , D. Salvador Garzón de Salazar, D. Francisco mado coronel Lorenzo I.abarra y otro oficia! , con 8 hombres muertos, Antonio de Fuentes, D. Pedro Antonio Carrera, D. Antonio Cana8; cabaih-s, todas las lanzas, fusiles, tercerolas y sables que quedaron dril, D. Rafael María de Gataicochea , D. Pedro Antonio…</t>
  </si>
  <si>
    <t>…Aran- En su vista se reunió el jurado, compuesto de los fres, siguientes: da, y se llevaron el caballo de D. Ramiro Gil de Gibaja y el del mé D. Tadeo Perez, D. Joaquín Lumbreras, D. Francisco &lt;!■' Accvai y dico , y á poco rato entró el general Empecinado con la fuerza de 30 Arratia , D. Francisco Sainz de Rozas, L&gt;. Joscf Valls de Roca , Doa caballos y 20 infantes, y ademas 12 voluntarios de caballería de Nava; Josef de Leglisa y Pinedo, D. Josef…</t>
  </si>
  <si>
    <t>…ro de Habida la conferencia , se declaró per unanimidad haber lu 22,684 mrs., situados en el primer : por 100 de las alcabalas gar á la formación de causa. de Granada en cabeza de D. Francisco y Doña Mariana MontoTRIBUKAXES. ya—Otro en cabeza de D. Pedro López de Arieta de i9 duca Por providencia del Sr. D. Joaquín Josef de Aguí lar, juez dos de principal sobre los unos por 100 de Salamanca , que por primero de primera instancia en la ciudad de Cádiz, en ios autos no tener cabim…</t>
  </si>
  <si>
    <t>…ancisco Fernandez él serán estos ilusorios siempre y cuando acomode. Goitín___ Servic'o á palacio el Infante D. Carlos y M. M.L., á las órdenes del comandante interino de la Reina D. Francisco __Hemos recibido hoy la siguiente carta, que creemos deber pu Castellón.__Parada la Reina, Infante D. Carlos y M. N. I____ blicar. liosp tal y provis ones la Reina___ Guardia al Congreso y ar Sres. editores de la gaceta : Muy Sres. mios: con grande ad chivo l…</t>
  </si>
  <si>
    <t>…o último , se hallaron-y distinguieron SAXONIA, . los oficiales de Aragón D. Dionisio Peirona , D. Manuel Pa WeitKar1 ii de Marzo. ■ lacio y D. Juan Martínez, -y los de Pontevedra D. Francisco ' S. A. R. el gran duque hizo ?utes de ayer, después de haber Pórtela y D. Manuel&gt;Sequeiros, asi como las dichas milicil asistido i un oficio divino solemne, la apertura de la nueva se nacionales y sus comandantes. sión de la asamblea de los Estados en el gra…</t>
  </si>
  <si>
    <t>…e de sus habe Celedonio Martínez, D. Mariano de Goicochea, D. Baltasar res á sus padres , muger, hijos ó parientes , lo harán presente por Joaquín Perez, D. Nicolás Alonso García, D. Francisco de escrito al inspector general del arma en que sirva, expresando el Palacios, D. Domingo García, D. Francisco del Acebal y Arnombre de Ja persona 6 personas á cuyo favor hace la asignación, ratla , D. Marceliano Torio y Torres y D. Pelayo Zorrilla, han canti…</t>
  </si>
  <si>
    <t>…Don ta época. Ademas:puede nadie dudar que ñor la ley de las Cor Francisco Ruiz. tes sobre este asunto están las manos, nv rus imposibilitadas de . Segunda brigada. La mandará el brigadier D. Francisco adquirir bienes raíces ó la propiedad: L comisión pues dice que Plasencia. . . aquella propiedad que por varias causas esté en poder de "manos Ettado mayor. El segundo ayudante general D. Manuel de muertas pase ájoiherederos de estacó de la otra manera, y al…</t>
  </si>
  <si>
    <t>…Barcelona* * D. Juan Linan, D. Luis Fernando Mon, el conde la Torre. muerto en acción contra los facciosos, pidiendo se le conceda Alta. Los tenientes coroneles D. Francisco Mon , D. Francisco la misma gracia que á las demas viudas que se hallan en el mis Vallarino, D. JosefBrodini, D. Juan Ignacio Cervera, Don. mo caso se Ira concedido, y del informe del Gobierno que Mauricio conde de Balbiani. Los capitanes D. Felipe Saint-March, apoya esta solic…</t>
  </si>
  <si>
    <t>Gaceta Española n.º 41 (extraordinaria)</t>
  </si>
  <si>
    <t>…s de ad ñor secretario del Despacho de la Guerra.” quirir la subsistencia y recoger los rezagados; pero todo ha sido superado por la bella organización en »&gt; Excmo. Sr.; El Excmo. Sr. D. Francisco que está constituido, y por la disciplina que ha ad Ballesteros ha entrado esta mañana en esta plaza quirido desde que me hallo á su cabeza; y mar con parte de su ejército, habiendo su proximidad chando decididamente por el camino mas corto sin obligado a la…</t>
  </si>
  <si>
    <t>…rosa como decidida comunicareis á quien corresponda para su cumplimiento. Está mente se presentó ante la Europa, negándose abieuamente al rubricado. —Palacio 27 de Mayo de 1823.=^ D. Francisco reconocimiento de la constitución de las llamadas Corles de Tadeo Calomarde.” Cádiz, que para desgracia déla nación se pretendió hacer ob servar en España. Ttndreislo entendido, y lo c municareis á n En atención á los méritos y servicios del mariscal de cam q…</t>
  </si>
  <si>
    <t>…cediese Golfin—Servicio á palacio la Reina y la M.N. L. de Sevilla, á un escudo, inscribiéndose en un lado Jan ¡uncía y vattr, y en las órdenes del comandante interino de la Reina D. Francisco el otro a patria a¡¡radecia . Aprobado. Castello__ Congreso y archivo la M. N. L. de Sevilla___Parada La misma comisión presento un dictamen sobre una adi todos los cuerpos según lu detallado__ Patrullas las mismas__ ción del Sr. Pedralvez al art. 40 del regl…</t>
  </si>
  <si>
    <t>…m 'nvca ele amitos del país de Cádiz, para que se le concedan La misma comisión después cíe eximinar la exrot.c.en de abunos tern no» para poder propagar algunas plantas preciosas D. Francisco .Antonio Nudez S.eiia, vecino de Ohver.2.1 sobre un das de Auveiica , opinaba que r.o obstante io aprobado por ¡as abolición de! derecho con.&gt;eido con el nombre de decora, opina C.i’e.s en 29 de Jumo anterior, puchan estas acordar que pasase ba que el interes…</t>
  </si>
  <si>
    <t>…e reconozcan tam te a la tib-itad do la ¿Meridional. En ia «poca [lasa bién. El enviado hrnsilcnse tuvo va un.i audiencia da el sitio de-Cádiz se levan!ó en Salamanca : en la de 1 emperador Francisco, quien le recibió del mudo actual ia libertad di las Andalucías podrá conseguir nías a iecluo-o ; y añ iden, que le «lijo que estando mui se i-u Búiaos, con tal que rio «Jcsi-tiendo de nuestros dispinoto en Livor de su vertió, deseaba acce«b;r á ci.'t’uer/.os…</t>
  </si>
  <si>
    <t>…iones políti miento de esta ciudad. Dios guarde á V. S. muchos años. Zara cas y rus deseos sobre diversos asuntos civiles y eclesiásticos, goza 31 de Mayo de 1823.=:Miguel Modet.e=Sr. D. Francisco que nos vemos embarazados por no poder complacer á todos. Tadeo de Calomardé.” Por una parte muchos de nuestros lectores, que solo quieren ver y leer noticias en la gaceta»se fastidian de semejantes expo » Sermo. Sr.: La comendadora y religiosas que componen…</t>
  </si>
  <si>
    <t>…o ser mi cinco reales en la librería de la viuda de Perez, en Toledo en rada con desprecio, horror é indignación por todos los espa la de Jacinto Hernández, y en Talavera ea 1» de D. Francisco ñoles sinceros, amantes de U felicidad de la Nación y S. M. Manjarin. EN LA IMPRENTA REAL,</t>
  </si>
  <si>
    <t>…as 400 pág¡. Cristóbal Cabrero, D. Ped o Antonio Fernandez Rriuz, Don ñas cada uno de ellos, El primero, que contiene los Santos eoan. Dionisio PerezGü'rra, D. Francisco Vcrgara , D. Francisco ¿elios y los Hechos de los Afistoles, esta ya impreso, y puede García, D. Jaime Fabregucs Boisar, D. Francisco Juárez Val- servir como de maestra para los que gusten suscribirse al tomo dés, D. Santiago Fontaines , D. Josef Antonio Jiménez, Don 2.1, que se es…</t>
  </si>
  <si>
    <t>…o c Art. t2. En campaña se formará por cada batallón de l'nea , ’ certifica: 6 ligero una compañía provisional con el cuadro correspondien Por el presente edicto cito y emplazo al Sr. D. Francisco te ; para que en Ja capital del distrito del.batallón sirva de depó .Bringas , actual diputado por la provincia de Filipinas, compren sito, reciba, filie, instruya y conduzca los reemplazos al parage dido en la causa que se está siguiendo á dicho Sr. diputado…</t>
  </si>
  <si>
    <t>…de V.: un tomo en 8.° El día 29 de Junio del presente año falleció en esta corte í á 9 rs. en pasta—El moribundo socorrido por cualquier hom la edad de 78 años y 4 meses el limo. Sr. D. Francisco '''.creía bre piadoso ó muger devota que sepa leer completamente ea de Espinosa, camarista del supremo consejo del Almirantazgo, portugués, por el P. Martin Pereira, de la congregación del ora y caballero pensionado de la Real y distinguida orden de Car torio…</t>
  </si>
  <si>
    <t>…rados se derra tda ante dicho Sr. juez por la citada escribanía. , . c mase en torrentes como en 1 ypo.-Da aquí se huUi'eiatV’íCguido Por el mismo tribuna! y escribanía se iiama á D. Francisco infaliblemente nu vas guaras, cby*duración y éxito, eráimpor «Hernando, escribano que fue-de. Cáravanchel .de-arriba , pata sible prever. La Península se hubiera unido tal vsZ con U Fran •que dentro del término de 3.0 días se presente por sí. 6 por mecia revo…</t>
  </si>
  <si>
    <t>…e suponen. secretario de S. M., y escribano de cámara del mismo, cert ifica: En esta declaración hay calumnias é imposturas á que no quere Por el presente edicto cito y emplazo al Sr. D. Francisco mos contestar; hay también un principio que reprueban todos Bringas , actual diputado por la provincia de Filipinas, compren les publicistas, y que seria inútil discutir; y por último hay una dido en la causa que se está siguiendo á dicho Sr. diputado, y disp…</t>
  </si>
  <si>
    <t>…o del ejér Habiendo tenido á bien nombrar comandante militar de la cito en los cuerpos y compañías que tengan por conveniente , é plaza y provincia de Badajoz al mariscal de campo D. Francisco igualmente en el destino de los cuerpos á las provincias y guarni Plascncia, y estando persuadido de que es conveniente á la causa ciones que convengan. Art. 3.0 No se darán por ahora las licen pública la reunión del mando político al militar de la misma pro…</t>
  </si>
  <si>
    <t>…expedición de documen-' dos al efecto por las Diputaciones provinciales , fueron electos tos de 3 del presente mes acerca de si debe entregar los vales re D. Joaquin de Irazabal, D. Francisco de la Carrera , D. Ramón novados y documentos de liquidaciones hechas á los individuos Viton, D. Francisco Colon, D. Josef Manuel Aranalde, Don que se presentan, á recogerlos con los resguardos correspondientes, Miguel Mayora y D. Tomas de Urrutia, .para que…</t>
  </si>
  <si>
    <t>…que vencerán el Subtenientes , D. Francisco Soler y D. Joscf Morcillo. primero en íin de Setiembre, y el segundo en 31 de Diciembre El caballero cadete del. batallón del General, D. Francisco de! presente aiio: la otra mitad se aplicará al primer ano civil, que Sánchez. empezará en 1de limio de 1824, cobrándose también por u'i- Teniente de ingenieros, D. Fermín Arteta. mrures. Unida esta mitad á la suma que las Cortes venideras con Subteniente de…</t>
  </si>
  <si>
    <t>…tí varon espontáneamente i su éxito. Mientras tanto coutínuaban efectivo de infantería, concediéndole grado de capitán. las vistas y la correspondencia con el general Chambo has A D. Francisco ¿loan y D. Aotonió Sotelcs, tenientes del ta ponerse perfectamente de acuerdo sobre los medios de Já eje mismo cuerpo , el grado de capitán. cución"; pero nunca pudo ser tanta la reserva, que no excitas; la Al subteniente D. Josef Rey se le declara el empleo…</t>
  </si>
  <si>
    <t>…yugo de hierro de Divertimiento núm. i.° para violon obligado, con acompa las Cortes, y restablecer el Gobierno paternal de vuestro legí ñamiento de violin , viola y bajo; por el profesor D. Francisco timo Soberano , el Sr. Duque de Angulema se ha impuesto el Brunetti, grabado y estampado por VVirmbs. Se hallará á 10 rs. deber noble y generoso de volveros la paz y la tranquilidad. en su establecimiento , calle del Turco , y en el almacén de » Con este obj…</t>
  </si>
  <si>
    <t>…la mayor bizar detenidos y reconocidos como pirlamentario». Al aviso de esta ría por espac.o de una hora, hasta que cargados por fuerzas muy novedad ha sal.do a saber su misión el coronel D. Francisco superiores de infantería y alguna caballería se replegó a! centro Vald.s con un ayudante y cuatro coraceros, el cual en breve ha del arrabal, donde- hizo una resistencia obstinada, recibiendo á ia part cipado que conduc.a el parlamentario dos pliegos del gene…</t>
  </si>
  <si>
    <t>…Víc También ha recibido parte de que en virtud de la capitula tor Saez y algunas otras personas ; y habiéndose alejado unos trea ción ajustada entre los generales Conde Molitor y D. Francisco cuartos de legua, salieran cinco ladrones á caballo y dos á pie, Ballesteros, en que so obligó este a mandar que las plazas de su que cercaron los coches, y pidieron el dineroi y habiéndoseles territorio se pusiesen á disposición de la Regencia del Reino, ent…</t>
  </si>
  <si>
    <t>…rovincias marítimas, á fin de que al paso que mo con los hijos tenidos ó que tuviesen en su matrimonio los cuiden de que por los administradores de Rentas se recauden los Infantes D. Francisco y Doña Luisa Carlota, mis queridos Her Reales intereses correspondientes á la Real Hacienda, no se im mano y Sobrina. Tendreislo entendido, y dispondréis lo necesa pida de manera alguna á la Real Armada el percibo de los dere rio á su cumpliiniento.rrEstá rubricado de la Real man…</t>
  </si>
  <si>
    <t>…te. El Vega.” pueblo se agolpó al punto, y cercando at militar, que no pudo librarse del furor del pueblo, fue sacrificado á puñaladas. .Don Julián Galvez, presbítero, asociado de D. Francisco La guardia acudió al lugar del desorden , y quiso dispersar el Maicas y de D. Cirilo Carrillo, Racioneros de la santa Prima tropel: entonces se trabó una lucha, y el puebio hizo retirar la da iglesia de Toledo, tuvo el honor de felicitar á SS. MM. guardia á pedr…</t>
  </si>
  <si>
    <t>Francisco, Josef</t>
  </si>
  <si>
    <t>Josef Francisco</t>
  </si>
  <si>
    <t>…Los subalternos de la audiencia de Extremadura D. Fernando Gallego posición d Gobierno francés en favor de la conservación de la paz. En vn — González, D. Bernardo García Pelayo , D. Josef Francisco de ¡a Pera, virtud de la que había hecho el comercio de Burdeos se decia ya que D. Juan Briz , D. Julián Arias Rabanal , D. Antonio Rodríguez, S. A. R. la duquesa de Angulema suspendería su premeditado viage á es D. Marcelino Garrido , D. Josef Cepeda del Rio…</t>
  </si>
  <si>
    <t>Francisco, Manuel</t>
  </si>
  <si>
    <t>Manuel Francisco</t>
  </si>
  <si>
    <t>…de agotar en Real casa y corte, se llama á los acreedores ausentes é ignora su origen un manantial que desde el occidente de ia Europa ame dos de la casa comercio de está corte de D. Manuel Francisco nazaba de nuevo inundar el mundo con un diluvio de inales: de Águirre é hijos, ( ara que en el término de 15 días, que se no hubo en esto disputa: solo se discutió sobre Jos medios. señala á los del Reino , y de un mes i los de afuera de él .‘con No se espere…</t>
  </si>
  <si>
    <t>Francisco, Tajeo</t>
  </si>
  <si>
    <t>Tajeo Francisco</t>
  </si>
  <si>
    <t>…fijar las bases, pie y fuerza de que deba constar nu A D. Josef de la Cruz. Guardia y Ejército, concillando la actual situación del Estado Rey nuestro Señor se ha serijo dirigir a D. Tajeo Francisco con la de mi erario, y que desde luego se proceda á su organiza '■ Calomarde el Real decreto siguiente: ción, he venido en crear una junta militar que auxilie al Minis En atención á los dilatados y buenos servicios del Conde de terio de vuestro cargo en asunt…</t>
  </si>
  <si>
    <t>Franciscoaquel</t>
  </si>
  <si>
    <t>…erra Temis, conduciendo al cipitan generat y gefe su nales , compuesto de las personas que por la ley se hallan exentas'ds perior político de la isla de Cu’ui el mariscal de campo D. Franciscoaquel servicio. No contentos sus individuos cotí manifestar por erre Dionisio Vives, y la correspondencia pública y de oficio de Ultra medio su amor acendrado á la patria, se someten ademas á continuar mar, cuyo último encargo desempeñará I3 goleta de la armada Eiu…</t>
  </si>
  <si>
    <t>Franciscp</t>
  </si>
  <si>
    <t>…!ló—Parada la milicia acti segundos ayudantes generales D. Francisco Jaramillo y P. Fran va y la nacional local de Madrid: el demas servicio y patrullas cisco Ocaña, y los adictos D. Franciscp. Valiente y P. Manuel lódetallacfo__ Guardia al Congreso y*archivo la milicia nacional Gampanon. local de Madrid__ Hospital y provisiones la milicia activa— Interin se ponen estos cuerpos en disposición de operar, y se Teatro esta noche á las siete y media la…</t>
  </si>
  <si>
    <t>Franco, Ramón</t>
  </si>
  <si>
    <t>Ramón Franco</t>
  </si>
  <si>
    <t>…trascen llería en persecución de facciosos D. Víctor Sierra, resulta que dencia. Continúan los preparativos militares, la agitación en mu el teniente D. Manuel Diaga y el alfer ez D. Ramón Franco , del chos puntos de la Francia, las causas contra los que han dado regimiento de Calatrava, con dos pequeñas guerrillas de indivi gritos sediciosos &amp;c. &amp;c. duos del propio cuerpo batieron y persiguieron separadamente á La famosa Gaceta dt Francia hace una pi…</t>
  </si>
  <si>
    <t>Franzini</t>
  </si>
  <si>
    <t>…n que cuentan ios que Ec También se leyó el dictamen de la comisión encargada de examinar han obstinado en su atroz empeño de esclavizar al género humano: ¡Cuál Ja proposición del Sr. Franzini, en que pedia r_ dees-tase una pensión para el re.-uLiado que esperan: \Mediten, y tiemblen! atender á la precisa subsistencia de ¡a ex-R ina la Sra. Doña Carlota Joa quina. La mayoría de la comisión proponía que so pusiesen á disposición Madrid Viernes ai’ d…</t>
  </si>
  <si>
    <t>Frege, Marcelo</t>
  </si>
  <si>
    <t>Marcelo Frege</t>
  </si>
  <si>
    <t>…n haberse difundido por todas pletamente por las tropas avanzadas de la columna de mi mando, partes y preparado todos los corazones. á las órdenes del patr;ota y esforzado oficial D. Marcelo Frege— Los gefes políticos á la cabeza de las diputaciones provincia nal, y por las milicias nacionales de Lobios, Entrimo, Traspór les, los ayuntamientos constitucionales^, los militares de todas tela y otros puntos cerca de V:llar:;.o. Se hizo un prisionero, arma…</t>
  </si>
  <si>
    <t>Fregey, Marcelo</t>
  </si>
  <si>
    <t>Marcelo Fregey</t>
  </si>
  <si>
    <t>…Os bendigo: mil veces yo felice tamente por las tropas avanzadas de la columna de mi mando » Si, cual guerreros libres y soberbios, é las órdenes del patriota y esforzado oficial D. Marcelo Fregey&gt; Sentís correr por los fogosos nervios nal, y por las milicias nacionales de Lobios, Entrimo, Tras » La eterna! bendición.” A tal acento, pórtela y otros puntos , cerca de Villariño. Se hizo un prisio Unánimes aquellos ciudadanos nero, perdieron todos sus cqu…</t>
  </si>
  <si>
    <t>Freire</t>
  </si>
  <si>
    <t>…levaba, y en la guardia directoría!] y un regimiento de caradores contra los re Canjayar dispuso el alcalde que inmediatamente se colocase en la beldes , á cuyo frente se halla el general Freire. Este en sus pro plaza de la Constitución una guardia de 40 nacionaks para reci clamas expresa no se ha alzado contra el director, á quien vene birlo á balazos si se presentaba. No pasó por Canjayar , y según ra altamente, sino que pide la deposición del mini…</t>
  </si>
  <si>
    <t>…en la cue se Llfhoa 28 de Mayo. desechó/ el dictamen de la comisen, aprobándose en su iu,ar ia En el suplemento al Diario del Gobierno de ayer 2y se pu siguiente modificación del Sr. Freire: » Que esta era ia o.as.on de blica lo siguiente : enviar al Rey un mínsage , felicitándole por su constancia, y pi !&gt; Ldbo.i 2/ de M.tyo. Estaba reservada para nuestros días diéndole que unido , como s.empre lo ha estado ¿i cuerno lee esta humillación y un a…</t>
  </si>
  <si>
    <t>…ipolítica (rumor en las galenas): desechado el dictamen de ¡a comisión, aprobándose en su ¡unir analizó el resultado de las medulas que había tomado el ministe la modificación del Sr. Freire. (K.ojse la ¿meta del J,y ar,¡ba rio durante ia revolución de Tras-os—Montes, y op.liando que la opinión de este diputada.") había sido indolente , dijo: por esto no tiene la contianza públi de nombró luego á los diputados que debían ir á llevar el ca ; ahora…</t>
  </si>
  <si>
    <t>Freiré</t>
  </si>
  <si>
    <t>…y actual sera ei garante gaseta empieza por una introducion del editor, el cual habla se de .mi cr&gt;nducta futura. gún el viento que corre. Sigue una proclama del duque de Angu El Sr. Freiré apoyó al Sr. Moura con la explicación de que lema desde Alcobendasel 23 de Mayo , en que dice que la Fran las Cortes continuaban en sus tareas ordinaris11, reuniéndose to cia no se halla en guerra con España; que los franceses vienen dos los dias; pero que se…</t>
  </si>
  <si>
    <t>…hubieran conseguido; cuyo suceso hubiera Hi habido últimamente un serio rompimiento entre el gene servido para afirmar el sistema de terror con que los constitu ral O’Higgms y et general Freiré: este marchó contra el prime cionales fian gobunado á su antojo la Catalufu: los habitantes ro , llevando fuerzas-muy considerables; lo que ob.igó al gene de esta provincia han sido tantas veces victimas de su furor que ral San Martin á evacuar a Chile. Se as…</t>
  </si>
  <si>
    <t>…ados nir á su deber y á su dignidad, Los ministros de Estado os pna- ausentes D. Manuel Alvurcz por la provincia de Zamora: Don r¿ín la correspondencia seguida entre la junta y el general Freire. Rafael Casimiro Lodares y D. Miguel Sánchez Casas por la de En ella encontrareis que este general ha declarado formalmente la Manchal: D. Josef z\poita por la de Vizcaya: D. Dominco que ni él ni el ejército están sujetos á ia junta , y que no reco Cortés, D.…</t>
  </si>
  <si>
    <t>Freixes, Josef María</t>
  </si>
  <si>
    <t>Josef María Freixes</t>
  </si>
  <si>
    <t>…representa una matrona sentada en tador catatan del domingo 14 de Noviembre próximo pasado, denui - una silla , teñón.lo con la mano derecha el libro de la Const'tucion ciado per D. Josef María Freixes, ayudante primero del escuadrón de política de la Monarquía española; y en la otra mano una espada llana caballería de la milicia voluntaria de esta ciudad , r comisionado del con un lema que dice Constitución ó muerte , y á sus pies el dragón de mismo cuerpo…</t>
  </si>
  <si>
    <t>Fresno, Josefa del</t>
  </si>
  <si>
    <t>Josefa del Fresno</t>
  </si>
  <si>
    <t>…an, tuvieron que ceder vergonzosa solicitud de D. Antonio García , testamentario y uno de los herederos mente al valor heroico de estos oficiales,.sargentos , cabos y soldados, de Doña Josefa del Fresno, viuda que fue en segundas nupcias de Don que émulos en arrojo y: decisión nada me han dejado que desear , ha Baltasar García, se ha señalado el día i.° de Abril próximo á las 10 de biéndoles puesto en la mas desordenada fuga. Tres horas de carga y su mañana…</t>
  </si>
  <si>
    <t>Frías, Manuel</t>
  </si>
  <si>
    <t>Manuel Frías</t>
  </si>
  <si>
    <t>…n la caballería de Lusitania no son me la M. Né L. de Sevilla , .í la» órdenes del teniente coronel mayor nos acreedores á todo elogio el capitán D. Josef Arcos, el te de la Reina D. Manuel Frías. niente D. Mariano López, y los alféreces D. Francisco Vázquez, Tararla la minea activa , ja R.e¡na y* 1M. N. L. de Scvilra , y D. Tomas López y D. Lúeas Gastón, el cadete D. Josef Nieto el demás servicio el mismo. y sargento Juan Forreto, pues todos á porfia…</t>
  </si>
  <si>
    <t>…ndrada lealtad__ El gober te D. Carlos y la milicia nacionaL local á las órdenes del coman nador insurgente de Sta. Marta se embarcó pava Jamaica, y los dante interino de la Reina D. Manuel Frías__ Parada la Reina, múñales del país, se asegura, hicieron un completo destrozo en Infante D. Carlos y milicia nacional local; el demas servicio y 200 hombres de guarnición que tenia aquella plaza. El general patrullas lo detallado__ Hospitales y provisiones N…</t>
  </si>
  <si>
    <t>…das de los periódicos de Cad:z del 8 la nacional local de Sevilla , á las órdenes deL comandante interi y 9. En Abril se celebraron en aquella ciudad 294 jifeios de no de la Reina D. Manuel Frías___Parada la Rema, milicia conciliación; en 212 Ja ha habido, y en los 32 restantes no se activa y la nacional Ic-cal de Scvilia; el demas servicio y patru ha logrado. Se han remitido á la cárcel pública en clase de dete llas lo detallado___Guardia á las Corte…</t>
  </si>
  <si>
    <t>…s antes dei termino de seis meses, cuando ia ocupa cal de Madrid, á las ordenes dd comandante interino de ia Rei ción , según un artículo aprobado , debe empezar desde que espi na D. Manuel Frías___Congreso y archivo la milicia nacional re aquel termino. local de Madrid___Parada la Reina, Infante D. Carlos, milicia. Ei Sr. González Alonso: El artículo ha sufrido efectivamen activa y Ja nacional local de Madrid t el demás servicio y patru te alguna equ…</t>
  </si>
  <si>
    <t>Frias, Manuel</t>
  </si>
  <si>
    <t>Manuel Frias</t>
  </si>
  <si>
    <t>…hay un medio de hacerlo sin cional local de Sevilla, á las óirdenes del teniente coronel mayor decirlo, que debería después desenvolver la comisión; y repito interino de la Reina D. Manuel Frias—Congreso y archivo la que no es conveniente decir que se supriman los pósitos mucho milicia nacional local de Sevilla—Parada todos los cuerpos según menos en las actuales circunstancias. Es preciso que las Cortes no lo detallado—Patrullas las mismas__ Hospita…</t>
  </si>
  <si>
    <t>Frías-----Congreso, Manuel</t>
  </si>
  <si>
    <t>Manuel Frías-----Congreso</t>
  </si>
  <si>
    <t>…de los jugadores, dándose las lis M. N. L. de Madrid , á las órdenes del teniente coronel mayor tas impresas de los números que hayan conseguido premio , con interino de la Reina D. Manuel Frías-----Congreso y archivo la expresión de los que fuesen ; advirtiendo que si salieren premia M. N. L. de Madrid___Parada todos los cuerpos según lo deta dos el uno y 138, como el primero no tiene anterior ni el sellado Patrullas las mismas—Hospital y provisiones la M. A. gu…</t>
  </si>
  <si>
    <t>Fricirich, Luis</t>
  </si>
  <si>
    <t>Luis Fricirich</t>
  </si>
  <si>
    <t>…tanes. . ,s de tenientes............................................................f D- Leocadio San Clemente. D- Manuel de Zayas. Idem Idem Idem............................ 8400 D. Luis Fricirich............................... D. Pedro Borrei................................. D- Vicente Reinoso........................ } Alféreces tenientes. .. Tenientes.................................................. 7200 I). Tomas Vclda..............................…</t>
  </si>
  <si>
    <t>Frígola, Vicente</t>
  </si>
  <si>
    <t>Vicente Frígola</t>
  </si>
  <si>
    <t>…s que lo hacían antes del Real decre zález: la del de Castilla la Vieja á D. Justo Pastor Perez: la del to de 30 de Mayo de 1817, cuya práctica era la de que los men de Cataluña á D. Vicente Frígola: la del de Extremadura á Don cionados dueños percibian sus haberes de las justicias de los pue Josef Rey y Alda, y la del de Valencia á D. Ramón de Alda- blos en que se hallaban situados sus derechos; solicitando en soro: la de la provincia de Avila á D. Feli…</t>
  </si>
  <si>
    <t>Frimont</t>
  </si>
  <si>
    <t>…ña, Módcna, la guardia............................... ¿4$Parma, Florencia, Lúea, Roma y Nápoles: en este último es - 23- Coraceros á caballo de la guardia..... 73&lt;í* tado reina el general Frimont, y en los demas no ion los Sobe 24 y 2 6. El 12 de línea............................... .. ^35ranos mas que unos prefectos de la casa do Austria. 2 5- Dragones de la guardia...................... 762. En tal situación ni ios que gobiernan m los gobernados pue…</t>
  </si>
  <si>
    <t>Fringas, Francisco</t>
  </si>
  <si>
    <t>Francisco Fringas</t>
  </si>
  <si>
    <t>…festó , que según el acta un oficio del vi sef de Zayas á D. Antonio Masoni, teniente de la M. N. A. sitador ele la audiencia de Sevilla, D. Manuel Trinidad Moreno, de Toledo, y á D. Francisco Fringas, teniente de la M. N. L. se habla pasado á la comisión de Casos de responsabilidad, en lu de caballería de Madrid. Se reconocerán por empicados á las in gar de pasarse á la que detallaba el decreto de 12 de Maye» mediatas órdenes del general comandante de la…</t>
  </si>
  <si>
    <t>Fringas, Pedro</t>
  </si>
  <si>
    <t>Pedro Fringas</t>
  </si>
  <si>
    <t>organizar sobre el Duero dos divisiones. I.a organización de la po D. josef María Jalón: estado mayor D. Pedro Fringas. división que se ha de establecer en la provincia de Beira se com Cuerpos de que se compone-----Palencia , Toiosa , Medina del pone de tres brigadas: i.1 de infantería, compuesta del primer Campo , Ciudad-Rodrigo, artillería de Ciudad-Ilodrigo. batallón núm.…</t>
  </si>
  <si>
    <t>Frons, Dolores</t>
  </si>
  <si>
    <t>Dolores Frons</t>
  </si>
  <si>
    <t>…manco de un tal Lastra y otro no cuello , y recayeron dichas suertes en las ciudadanas Doña Merced Forminado Morillo, en número de 200 hombres de infantería y caballería, naguera, Doña Dolores Frons, Doña María Arguer y Casa, Doña Jo viene de Peñamelíera, y se apodera de Llanes, y en «odas partes despe sefa Medir y Carnesoltas , Doña Francisca Grau, Doña Bárbara Riera, dazan el precioso signo de nuestras instituciones; dan íobre ellos las Doña María Cata…</t>
  </si>
  <si>
    <t>Frutos, Agustín</t>
  </si>
  <si>
    <t>Agustín Frutos</t>
  </si>
  <si>
    <t>…ri-.ta, D. Antonio Hernández Morejou , D. V.crnte Sanano: y el de rian sin duda magnánimas; pero que de ningún modo podía adrn vne l«s tres profesores de cámara D. Hilario Torres, D. Agustín Frutos y su proyecto. P01 último manifestó el orador que lo qus fa’taba en Es D. josef María Turlan , acerca del estado actual de la sa ud de M. paña eran capitales, con los cuales se harían multitud de obras de pú El "ir. secretario Soria dijo: El papel que acompañ…</t>
  </si>
  <si>
    <t>Fss</t>
  </si>
  <si>
    <t>…7 hembra». La propagación da la biblia va tomando el mayor incremento, par Entre los muertos hubo hasta la edad de 5 añes 143,029 , que ha ticularmente la del nuevo testamento. El catedrático Fss ,d~ cO, ce mas de la mitad. De edad de mas de too años murieron 807- 301 ha impreso s»» 432*3 ejemplares, b n Inglaterra hav -S3 ¡.ocios-b-l&gt;‘ or&gt;&lt;, de mas de 105: 143 de mas de tío. 78 de mas de 115141 d- mas de en Holanda ;o . en Prusia 38 * en Ru*n mas d-…</t>
  </si>
  <si>
    <t>Fuen, Juñan de</t>
  </si>
  <si>
    <t>Juñan de Fuen</t>
  </si>
  <si>
    <t>…ta se reunió el jurado, compuesto de los señores siguientes: todas dirigiéndose á los pinares de Segura y Montalban, caminos positivos D. Juan de Cortes, D. Simón González Yilste, D. Juñan de Fuen para la tierra luja y Mcqumci.:-:*: *&lt;•, el momento de mi llegada dispuse sa tes, D. Matías Pinilla , D. Manuel González del Campo,D. Manuel Me liesen tres partidas fuertes de ¡nfanv-ría y caballería con las instrucciones rino, D. Lorenzo Lambca, D. Josef Riv…</t>
  </si>
  <si>
    <t>Fuenes, Angel</t>
  </si>
  <si>
    <t>Angel Fuenes</t>
  </si>
  <si>
    <t>…número de 80 á roo hombres; que solo tenían una marques de Ciileruelo; D. Josef de ia Calle y Cepeda; D. Jo* avanzada de 4 hombres en las mismas calles del m:&gt;tno; que sef Lledó; D. Angel Fuenes; D. Femando Velez, y ¡os su tenían echada una contribución de 3© rs., 40 fanegas de ce pernumerarios D. Fernando Pantoja y D. Pedro Gómez de la bada y una porción de pares de zapatos: en el momento no Cortina; D. Genaro Azcona y Balanza, secretario , y D. Fra…</t>
  </si>
  <si>
    <t>Fuent.s, Julián de</t>
  </si>
  <si>
    <t>Julián de Fuent.s</t>
  </si>
  <si>
    <t>…ecibido los partes siguientes- D. Josef Luis de Amandi, D._ Josef Demetrio Rodríguez, D. Fran «Cuerpo de tropas exp-dic'onarlo del primer distrito. Excelentísi cisco de Travesedo, D. Julián de Fuent.s, D. Isidoro de Hoyos, Don mo Sefior : Ayer tarde continué la marcha en d.reccion á este , donde Juan Manuel de Aréjula, D. Josef Antonio Ponzoa , D. Antonio según noticias se hallaban los enemigos; pero en el camino supe que á Regas y D. Francisco Luciano Dom…</t>
  </si>
  <si>
    <t>Fuentes</t>
  </si>
  <si>
    <t>…desposeído de Montemar; por el conde de Gaxcier y la condesa Humanes, de su corona,y separado de su trono, y nuestras antiguas leyes el marques de Valverde; la condesa de Rosa; el conde Fuentes; mandan que todos los vasallos, sin distinción ¡te clase ni de sexo, el duque de Castiotorrcño; como tutora de su hijo el marques de acudan de todas partes á libertar á su Rey si se hallase cau Mos, la viuda marquesa de Mos; el duque de Mcdinacdi y San- tiva…</t>
  </si>
  <si>
    <t>Fuentes, Juan de</t>
  </si>
  <si>
    <t>Juan de Fuentes</t>
  </si>
  <si>
    <t>…Cro- ra que llegue á su noticia que se anuncie en 1a gaceta en obsequio del »a, D. Prud ncio Hernández Sta. Cruz, D. Josef María Viilaranda, mejor servicio. D. Pedro Jos.f Paul , D. Juan de Fuentes y D. Josef Miría Retostólo; ANUNCIOS. dspues de t.-nida la la conferencia de estilo, por unanimidad ha decla rado haber lugar día formación de causa. D. Joaquín de Usarralde, vecino de la villa de Tolosa , en la provin cia de S. Sebastian , remitió con fecha 17 de Diciembre de 1822 í V…</t>
  </si>
  <si>
    <t>…aco Ameni en puesto fijo, sino en Jas librerías ó sitio destinado á este Ucr, ha declarado'»•/ haber 1 n a 1*1,&gt;.•;»« &lt;• : .rusa , por objeto. ocho votos contra uno, que lo fue el D. Juan de Fuentes. Y para que nadie pueda alegar ignorancia he acordado se fije el presente bando en los («rapes-acostumbrados. ANUNCIO. Müdiid 5 de Mayo ele 1823.—Isl gefe político, Juan Lasa Diario de la corte: se suscribe á este periódico á 8 rs. al ir.es ña,=E1 secretario…</t>
  </si>
  <si>
    <t>…e las Cortes han Trüun.il del consulado de Cádiz. decretado lo siguiente : = Las Cortes, usando de la facultad que se les concede por la Constitución, han decretado lo siguiente : D. Juan de Fuentes, teniente de escribano mayor del tribunal Artículo i.° La extracción para el extranjero de las cortezas del Consulado de comercio de.esta plaza y sus Alzadas. sin moler de encina , roble, alcornoque y otras propias para cur Certifico: Que por providencia de d…</t>
  </si>
  <si>
    <t>…al varios de ellos sin causar el menor efecto, según los distintos partes que se me han ; Tribunal del Consulado. dado por 'as partidas de vigilancia que he puesto al intento. Las Don Juan de Fuentes, teniente de escribano mayor del tribunal baterías han hecho fuego, esto es, las de Sta. Rosa y Sta. Luisa del consulado de comercio de esta ciudad, y del supremo juzsin fruto alguno por la larga distancia, á pesar de los deseos de ■ gado de Alzadas. los que…</t>
  </si>
  <si>
    <t>Fuentes, Julián de</t>
  </si>
  <si>
    <t>Julián de Fuentes</t>
  </si>
  <si>
    <t>…, dear el Moncayo y pasar por Frasno para acercarse á su guarida, y el co D. Nicolás Heredero Mayoral, D. Juan Fernandez Casariego, D. Juan Isidoro Perez, D. Antonio María Espejo, D. Julián de Fuentes, D. Gre ronel Depablo talonea su fuga. n Hoy se lia incorporado ■ ia división el destacamento que proceden gorio Mendivil, D. Joaquín Ruiz, D. Manuel Merino, D. Luis de Ma te de esa corte vinia á ias ■ nir?‘ del coronel de Farneslo Martin. Para ta Araujo y D.…</t>
  </si>
  <si>
    <t>Ful, Roberto</t>
  </si>
  <si>
    <t>Roberto Ful</t>
  </si>
  <si>
    <t>…e aprobó el dictamen de la comisión de Legislación, relativo nos Sres, diputados contrarios á varias resoluciones de las Cortes; á que se acceda á la dispensa de edad que solicita D. Roberto Ful* y el Sr. presidente advirtió que mañana principiarla la scs'011 i gencio, vecino de La Havana, para poder administrar sus bienes. las 9}, y que todos los Sres. diputados concurriesen en la forma También se aprobó un dictamen de la comisión de Guerra, acordad…</t>
  </si>
  <si>
    <t>Fun-s, Manuel</t>
  </si>
  <si>
    <t>Manuel Fun-s</t>
  </si>
  <si>
    <t>…os , y las máquinas de dictamen fiscal de dicho Sr. mayor , » que ei comandante que fue de la que se val-n corresponden al proyecto de sus desvarios. Luando nos ha corbeta Aretusa D. Manuel Fun-s se halla libre de todo cargo, y es blan de la Monarquía otomana, poniéndola al nivel de la de Ñapóles, acreedor a las gracias de S. M. por su zelo , conocimientos y dilatados del Piamonte y otras, ¡cuál es el concepto que nos quieren hacer formar años de buen…</t>
  </si>
  <si>
    <t>Fuñen, Je</t>
  </si>
  <si>
    <t>Je Fuñen</t>
  </si>
  <si>
    <t>…les quena sujetar á un Go lla franca &gt; el conde del Moni.¡o. el marquo de San Martin , d, bierno el ni.*‘ s ib,o y p¿u,Untt de ¿íuropu , según entonces de marques de A ibalda, el conde Je Fuñen: ostro . ei duque de Li cían y dicen ahora ¡ü-&gt; ultras. na y de Berwick., el marques de fuer,te ei Sol, y ./conde de Mas para no can-cunos en reflexiones , mutiles pava los paiti- (. laúd , el marques de Atiza, el duque de Sedavi , Ct duque de \ 1durios del a…</t>
  </si>
  <si>
    <t>Furní'i, Julián de</t>
  </si>
  <si>
    <t>Julián de Furní'i</t>
  </si>
  <si>
    <t>…anteponérsele en su marcha ; y compuesto de los señores siguientes : si continua--; hacia Logroño espero que encontrará detención , pues an Don Valentín Recio , D. Marcos Menezo , D. Julián de Furní'i, ticipé avisos i las autoridades de la orilla del Ebro , y á poco que le D. Antonio Gamonal, D. Francisco Luciano Domingu-z Vtllar.uivj, entr. tengan será sin duda alcanzado y deshecho. Estoy esperando parte D. Santiago Vicente Les , D. Juan Antonio Marco , c…</t>
  </si>
  <si>
    <t>Furriel, Antonio</t>
  </si>
  <si>
    <t>Antonio Furriel</t>
  </si>
  <si>
    <t>…, y batallón del Ge ella D. Manuel Cortés y Aragón. neral , se acantonará también en Madrid , encargándose de su man Las Cortes oyeran con agrado lina exposición del alcalde do el brigadier D. Antonio Furriel. Quedan agregados provisio constitucional de la Carolina, en que daba parte al Congreso de nalmente á esta brigada las compañías de Guias. La misma divi que la milicia nacional voluntaria de ambas armas de aquella vi sión establecerá un destacamento de roo ho…</t>
  </si>
  <si>
    <t>Furto, Nicolás</t>
  </si>
  <si>
    <t>Nicolás Furto</t>
  </si>
  <si>
    <t>…elasco ha traído ds Ara Mateu , D. Felipe de la Puente, D. Domingo Sartachaga, D. Anto gón se halla animada de los mas ardientes deseos de sacrificarse por nio Martínez de Posada, D. Nicolás Furto, D. Juan Martínez de Cri las libertades patrias, como también la caballería de la primera divi tica, D. Juan Bautista Elejaburo, D. Francisco Pujol y D. Josef* sión—La corta partida de cuatro hombres descubridora que se adelan Santo Domingo; declaró por unani…</t>
  </si>
  <si>
    <t>Fuz-</t>
  </si>
  <si>
    <t>…uy bien llegar á París esta mañana. Sabemos con evidencia divisa Constitución &lt;5 muerte. Estas promesas, aseguradas con juramento que hace pocos días salió un correo despachado al lord Fuz- roy Som- por el roto solemne de todos, no serán d-smsntidas jamas por sus mrrset con las instrucciones necesarias , á fin de que pueda preparar las operaciones; ni las arterías de Los malos españoles podrán menoscabar basts de un tratado de alianza con España…</t>
  </si>
  <si>
    <t>Fxcnio</t>
  </si>
  <si>
    <t>…ar ; conde seria menos encargarse otros de la defensa de sus prop’os meros, sin de Miranda; marques de Aíondejar; marques de Miradores; tomar en ella parte alguna. Los exponentes, Sr. Fxcnio., creen condesa de Alora; condesa de Cifuentes; condesa duquesa de Be- que ni llenan el hueco de sus deberes, ni ponen á cubierto su mvente ; duquesa de Alontellano; condesa de la Alcudia; conde honor mientras se limíten á un servicio pjsivo, y no alternen en…</t>
  </si>
  <si>
    <t>G'Mahoni</t>
  </si>
  <si>
    <t>…as, Conservador había obcecado el espíritu del fanatismo. Un escritor ele resultando que ya no hay necesidad «e enviar fuerzas firaquella provin gante é ingenioso {no hablamos del conde G'Mahoni) , y que era preci cia , y que ai contrario nos ofrecen auxilios. Sobre la facción de Buron samente el que menos ilusión se hacia sobTe las cosas, habia llegado á nada he sabido desde el parte anterior ; sino que el hermano de Abuin, adelantar ideas liberales…</t>
  </si>
  <si>
    <t>G'ray, Josrf</t>
  </si>
  <si>
    <t>Josrf G'ray</t>
  </si>
  <si>
    <t>…debía ser D. Joaquín Suarez del Villar por 63 votos de -8 total, teniendo 10 reintegrado como estaba determinado respecto de todos los depósitos. D. Francisco Cre-po de T-jada y 3 D. Josrf G'ray, El Sr. Romero manifestó que este asunto no pertenecía á la comi Fl 'ir. presidente anunció que maraña después de dar cuenta de va sión que habia dado el dictamen sino á la actual de Legislación; y pi rios expedí-ntes se discutiría el p-oy esto de instrucción…</t>
  </si>
  <si>
    <t>G, Manuel</t>
  </si>
  <si>
    <t>Manuel G</t>
  </si>
  <si>
    <t>…ro cr matemáticas y mitología._En la de francés D Francisco Ram rrz , accésit D. Ventura García Loi (4) Ya sabíamos que S. M. se conformaría en esto como *0 gorri. _En la de baile D. Manuel G lon..„En la de dibuje Don otras cosas con el dictamen del consejo de Estado. Facundo d« Lara y Gómez, accésit D. Josef de Castro—En la</t>
  </si>
  <si>
    <t>G, Martin</t>
  </si>
  <si>
    <t>Martin G</t>
  </si>
  <si>
    <t>…ión de los cuerpos, é ínterin el Rey tiene a bien teso ver lo ahora díi paiad.ro dei gran núm.ro de eclesiásticos seculares y regulare* que halle por conveniente : Que el teniente general D. Martin G aza* que ¡c seguían, deshonrando su estado y profanando la santa reiiviora lez de Menchaca se encargue de todo lo administrar.vo y gubrrnat.vo católica, apostólica romana , que profesan los portugueses igualmente de ios regimientos, batallones y escuadrones d…</t>
  </si>
  <si>
    <t>G, Valdés E. M.</t>
  </si>
  <si>
    <t>Valdés E. M. G</t>
  </si>
  <si>
    <t>…pués que las quedó ocupada por el escuadrón de Arequipa y las compañías compañías de preferencia del Infante, mandadas por el gefe de de cazadores del Infante. Durante la noche el coronel Valdés E. M. G., perseguían á 400 enemigos que estaban en la hacien con estos cazadores y alguna tropa del Imperial Alejandro se da de Baquijano, y que con precipitación fugaron para Lima. adelantó sobre la posición enemiga para cerciorarse si permane Ei comandante general d…</t>
  </si>
  <si>
    <t>Ga</t>
  </si>
  <si>
    <t>…entre los demás gastos , havküao un cal Y otra d i rrg miento de infantería de Guadalajara, que presentó culo prudencial en razón de ¡os negocio», pu &gt; asi podr.,n evitarse ¡as el Sr. Ga iano , en la cual se expresaban los mismos sentimientos que abusos que en otro caso podrían resultar en detrimento de la tanta: lo en las anteriores. que comunico á V. fi. para su inteligencia y efecto!, oportunos." El Sr. Moreno dijo que debiendo ser muchas…</t>
  </si>
  <si>
    <t>…o cuerpo. El prnícipe de Hohenlohe comandante en gefe, en buen portugués , que en ese caso se acababa la casta de tal Go con dos divisiones á sus órdenes , la primera al mando del general Ga bierno ÍTar.cts y de sus santos aliadoi. En este estado de cosas voto porque se ponga el egéicito al pie derniel, y la segunda al del general Conchy. Tercer cuerpo. ( Egército de los Pirineos orientales.) El teniente ge* 308 hombres y 48 caballos, en atención…</t>
  </si>
  <si>
    <t>…os señores secretarios votar sobre la proposición, y quedó aprobada. del Despacho, concluyendo cotí que si creían que podrían ser Igualmente se aprobó la siguiente proposición del Sr. Ga ministros sosteniendo la constitución sin verificarse la traslación. liano: » Pido á las cortes que ínterin se nombre la Regencia El JV. secretario de Gracia y Justicia contestó que no esta acordada se mande venir ¿ la barra al comandante general, in ba preve…</t>
  </si>
  <si>
    <t>…pero para esto no' se puede de do presentes los Señores secretarios de! Despacho se jar de conocer que es necesaria la pronta seguridad procede á la lectura de la proposición del Sr. Ga de la persona de S. M. v la de las Córtes. listo es la; no. salvar la patria; pues aunque la monarquía nunca Ei Sr. Alava: Yo desearía que en al unción á qne muere (api..usos repetidos en las galerías). it»p¡t,., la sesión do hoi es de las mas importantes que…</t>
  </si>
  <si>
    <t>…ital se ba hecho tres divido- hallarse en el acta de la sesión del 11 su roto con nos : la piimera que rompió se dirijió sobre Tala ve trario á la aprobación de la proposición del Sr. Ga ra : á mui poco salió otro cuerpo acia Aranjnez pa liana , pedia se insertase en dicha acta del ti. Se ra tomar la linca del Tajo : después que se situó mandó insertar en el arta. sobre el puente de Talayera principió á hacer ten El Sr. presidente dijo : Debo…</t>
  </si>
  <si>
    <t>…s. Para esto lia creído nece bia que la leí de libertad de imprenta tuviese el nom sario dar reglas; pues ve que las establecidas basta bre de orgánica , y se admiraba «le que. el Sr. Ga el dia no bastan. No me detendré en contestar á las- liano tan instruido en las leyes de libertad de im observaciones qoe se lian hecho sobre algunos de los prenta de Inglaterra impugnase el art. 7. 0, cuantíom líenlos, que se proponen, porque me reservo la p…</t>
  </si>
  <si>
    <t>Ga'iano</t>
  </si>
  <si>
    <t>…una línea en tu y esplendor del trono constitucional de S. M.” sistema constitucional. Imitemos la conducta de los act guos hombrea Se l-yó en seguida la siguiente proposición del Sr. Ga'iano: libres, y digamos á esas unciones: ” Ahí teneis la paz y la guerra, es» Pido á las Cortes que tornando por base la comunicación qLí aca » coged 10 que quisieres.” (Repitidos aplausos y aclamaciones de tu ba de hacerles ei Gobierno de S- M., decreten que se e…</t>
  </si>
  <si>
    <t>Ga, Manuel</t>
  </si>
  <si>
    <t>Manuel Ga</t>
  </si>
  <si>
    <t>…el Patriota español, se convocó por el Sr. alcalde primero D. Jo mi hermano D. Josef María del Castillo Rengifo y el de D. Eus sef Pío de Molina el jurado , compuesto de los Sres. D. Manuel Ga taquio Babilonia, pues somos acreedores y dignos de toda merced por llego , D. Simón González Yuste, D. Jaime Ruiz Abren , D. Joa lo muy fieles que somos a la corona de nuestro amado Monarca. quín Manrique y Manrique, D. Juan Fernandez Casariego , D. Benito n…</t>
  </si>
  <si>
    <t>Ga-</t>
  </si>
  <si>
    <t>…Sr Romero , á que contestó el Sr. Oliver, se aprobó. de Verona hubiese satisfecho los deseos de los que esperaban cosas gran La misma comisión , habiendo examinado una adición del Sr. Ga- des , decisiva» y de la mayor trascendencia; y parecía verificarse la es toz al art. 41, opinaba que podía añadirse al final del art. 2.a adicio terilidad de que cierto periodista habló antes de reunirse el congreso.</t>
  </si>
  <si>
    <t>Gabaldon</t>
  </si>
  <si>
    <t>…se ha formido una milicia de voluntarios Realistas, glamentos, proclamas, sesiones y la misma patente de comune que consta en el día de 20 montados y 20 de infantería, bajo ro del teniente Gabaldon, individuo que fue del real cuerpo da las órdenes del ayuntamiento y protección de V. A. S., cuya guardias de corps; mañana llegarán la tropa y caballos que se milicia fe presta voluntariamente con el mayor zelo y vigilan hicieron prisioneros, y si recibo el…</t>
  </si>
  <si>
    <t>Gabaldon, Raimundo</t>
  </si>
  <si>
    <t>Raimundo Gabaldon</t>
  </si>
  <si>
    <t>…ia villa del Romeral, é informa cubiertas de cadáveres, y prisioneros el teniente coronel D. Ra dos en ella de ladireccionde aquellos, y de que habian muerto á un fael Rincón , el teniente D. Raimundo Gabaldon (profeso con vecino de la misma y herido á varios, se dirijieronáladeLillo ;y patente en la confederación de comunero), los alféreces Don estando »n ella tomando un corto alimento tuvieron noticia se Francisco de Paula Peralta y D. Manuel Zapata, y hasta 14 e…</t>
  </si>
  <si>
    <t>Gabná, Jacinto</t>
  </si>
  <si>
    <t>Jacinto Gabná</t>
  </si>
  <si>
    <t>…oche, y se dirijió por la espalda de la montaña i lá torre de ___ ut c»ia yuta, y por taéscribahfá del ti&amp;hieró i Carol, donde conferenció media hora con sus amigos; pero cargo de D. Jacinto Gabná y loéchei, que Se ádhiitiráh lá desde el amanecer de ayer 15 Romagosa y ios franceses salieron postura jr mejoras qué Se hiciesen, siendo arregladas. á sus alcances por la montaña de Güilo, le cojieron muchos re Cartas sobre !á nobleza ó el Emilio desengañado…</t>
  </si>
  <si>
    <t>Gabriel</t>
  </si>
  <si>
    <t>…ola de D. Francisco Maria Bellon , de 1.304,333 mrs. La persona que su venció á toda la Europa coligada para imponerle el yugo dei poder piese sus paraderos se servirá dar aviso á D. Gabriel d* davala , vecino absoluto. Los fraucíres dieron a ¡os pueblos una lección que no se ol de esta corte , que vive calle del Lobo, esquina i la del Infante , nú vidara jamas. mero 8, cuarto principal. No fue menos importante la que dieron lo* españoles en la g…</t>
  </si>
  <si>
    <t>…aturaleza les dicta , nial que les Segundo ídem. Coronel D. Juan Doz. pese, y llenan este vacio con la ambición y el orgullo. En ral es Ayudantes. D. Braulio López. D- N. Buruaca. D. Gabriel tado no reconocen ley alguna divina ni humana superior á su vo Martin. luntad , ni admiten otra regla de sus acciones : por ella miden lo ARTICULO DE OFICIO. justo y lo injusto, lo decoroso y lo torpe, io bueno y lo malo, y Excmo. Sr.: ElExcmo. Sr. comandante…</t>
  </si>
  <si>
    <t>…Gefes; y S. M. ha resuelto se d¿ noticia á Carlos m de 18 de Febrero de 1785, que expresa que los hijos V. E. de la ocurrencia de Villavicencio , para que, poniéndonos del Infante D. Gabriel gozarian la denominación, tratamiento de común acuerdo, se expidan por ambos Ministerios órdenes y honores de Infantes, por ser Nietos de S. M.; finalmente, la de concebidas en un propio sentido; bajo el supuesto de que por mi 8 de Diciembre de 1817, por la q…</t>
  </si>
  <si>
    <t>Gafgollo, Luis</t>
  </si>
  <si>
    <t>Luis Gafgollo</t>
  </si>
  <si>
    <t>…la cual ha res del país, enseñaron Ja lengua inglesa á sus nuevos amigos, y nombrado el Excmo. ayuntamiento á los individuos siguientes: vinieron á ser fundadores de una colonia. D. Luis Gafgollo, D. Josef Vea-Murguia, D. Domingo One En 1797 fue cuando la sociedad de las misrones de Londres to. Suplentes. D. Francisco Antonio I.nrrasa , D. Tomas López empezó á pensar seriamente en introducir el cristianismo en las Calderón. Cádiz 13 de Setiembre de 18…</t>
  </si>
  <si>
    <t>Gahano</t>
  </si>
  <si>
    <t>…Sr. Arguelles continuó: Siendo nuestra base común la ley fun Quedó aprobad» por unanimidad la proposición. damental , las diferencias que puede haber entre nosotros cea de muy Ki Sr. Gahano&gt;dijo : Tengo que hacer una pregunta al Sr. secreta corta importancia. No me negará el Sr. Galiano que A pesar de labir rio d i Despacho de Estado, ,¡n que jamas trate de sacarle de aquella disentido en opiniones , en el trato scc:al siempre habrá encomiado re…</t>
  </si>
  <si>
    <t>…e declaró haber lugar a votar so bre el dictamen de ia comisión, y que la votación fuese nominal. Arrieta. La misma comisión, en vista de la proposición de los seño A petición del Sr. Gahano se añadieron al dictamen des res Seome, Alix V otros, reducida á que todos los profesores pués de las palabras » últimas negociaciones” ías sicu entes &gt;» rela aprobados ( sea su profesión la que fuere ) puedan ejercerla en to tivas á la guerra con Francia,” c…</t>
  </si>
  <si>
    <t>Gaiiano</t>
  </si>
  <si>
    <t>…ba i las 10 del dia 1 sacando los mo Se leyó dicho dictamen , que á la letra es como sigue: zas, después de haber hecho lo mismo en Ermua. m La comisión nombiada á proposición del Sr. Gaiiano , aprobada — Unos 300 facciosos sorprendieron el dia 3 en la venta de Rentería por las Cortes en la sesión da ayer, á fin de que señale los m-jores me la mala de Francia que iba á Madrid, y su escolta de un oficial y 19 dios de llevar á cabo la decretada tras…</t>
  </si>
  <si>
    <t>…eración , y resolverán lo nosotros; no se queje de nadie; vuelva la cara á la Francia, que allí convenirme. esta quien nos hace salir, y quien hace tener dolores á S. M. Cierta El Sr. Gaiiano: Me parece que e’. plazo señalado no es de tal namente que si los fiancesec no se metieran con nosotros , que nada les tura'eza que pueda dar cuidado alguno la corta próroga que desea S. M. hemos dxho, que nada les hemos hecho, que de ningún modo los he Por l…</t>
  </si>
  <si>
    <t>…arias dios extraordinarios. del dia, tampoco tendrá el Gobierno inconveniente en pre EISr. Marau : Tengo la desgracia de no convenir con las ideas sentarlas. que ha manifestado el Sr. Gaiiano, de que para atender á las ne be leyó la siguiente proposición del Sr. Sánchez: »Habien cesidades urgentes de la Nación se lean las memorias de los secreta do sido violado el sagrado del territorio español por las tro rios del Despacho, Jas examinen las comis…</t>
  </si>
  <si>
    <t>…loo del reglamento, y repartírsenos el manifiesto que hace el Rey á los españoles con no se admitió á discusión. motivo de la injusta invasión de los franceses , y por tanto yo El Sr. Gaiiano tomo en seguida la palabra y dijo : En mu creo que las Cortes están en el caso de manifestar á S. M. que chas ocasiones he tenido el honor de dirigir la palabra á este au sus sentimientos están conformes á los expresados en dicho ma gusto Congreso: pero en ni…</t>
  </si>
  <si>
    <t>…cho actuales hasta tener formado el nuevo mi Se leyó una.proposición de los Sres. Oliver y Ramírez de nisterio. Arellano, reducida á que en atención á las dificultades que ofre El Sr. Gaiiano: Parecería casi inoportuno el contestar á las ce la comunicación con las provincias vascongadas , se permita la razones que acaba de manifestar el Sr. Salva , puesto que las Cor introducción de hierro extrangero, tan necesaria para la fabrica tes no han tenid…</t>
  </si>
  <si>
    <t>…e nombró para componer la comisión que haga la propues* bierno y las cortes se trasladasen á otro punto mas seguro. ta de la regencia á los Sres. Argii.lles, Gómez Becerra, Cua El Sr. Gaiiano suplicó i los Sres. secretarios del Despacho dra, Aiava, Escovedo, Infante, Isturiz, Salvato y Flores Cal que no tomasen parte alguna en ia discusión, porque iba á to derón. mar un giro diverso. El orador continuó su discurso, manifes La comisión se retiró pa…</t>
  </si>
  <si>
    <t>…an heredar tos bienes, si el fundador hubiera Los Sres. Sauvcdra y Soria reprodujeron y apo fallecido abintestato : faltando herederos se adjudi yaron las razones espuertas por el Sr. Gaiiano. carán á los establecimientos de beneficencia los des Habiéndose preguntado si se suspenderla la sesión tinados á objetos piadosos, y a los de instrucción para continuarla á las 8 de la mañana, se ‘decidió publica los que se dirijan á la enseñanza, quedando p…</t>
  </si>
  <si>
    <t>Gaiiano, Antonio Alcalá</t>
  </si>
  <si>
    <t>Antonio Alcalá Gaiiano</t>
  </si>
  <si>
    <t>…urante el tiempo de su deten un virtud del presente decreto, compuesta de D. Guillermo ción. 6.a El que no se presente en su respectivo depósito, ó se Hualde, consejero de Estado; D. Antonio Alcalá Gaiiano y fugue de él, será considerado como sospechoso en cualquier pun L&gt;. Lean de la Cámara Cano, ministros del consejo de Hacien to que se le encuentre, y conducido á su costa con seguridad al da, y D. Francisco Ezcquiel de las Bárcenas , director interino mismo…</t>
  </si>
  <si>
    <t>Gaimarza, Baltasar</t>
  </si>
  <si>
    <t>Baltasar Gaimarza</t>
  </si>
  <si>
    <t>…gefe político de Calatayud partiepa al de esta pro NOTICIAS DE ESPAÑA. (Ultramar.) vincia en 17 del corriente que el teniente de cazadores de aquella Havana 20 de Marzo. provincia D. Baltasar Gaimarza con unos 20 individuos de ella En virtud de las acertadas medidas adoptadas por esta auto alcanzó una partida de facciosos en el bosque de la Granja de ridad superior, con arreglo á la Constitución, ha desaparecido to Algongro, compuesta de ocho caballos y al…</t>
  </si>
  <si>
    <t>Gaitan, Ramón</t>
  </si>
  <si>
    <t>Ramón Gaitan</t>
  </si>
  <si>
    <t>…idem el capitán de M. N. A de Simienza D. Pío fiaII?steros__ Otro de aa de. Jumo de ibzt , ec mbinándoio en lo nzc.rsanu con c- siste idem el aiíercz de la extinguida guardia Real D. Ramón Gaitan. ma de pagadurías é iiHerveircion , resuelto en 7 de Mayo de 1822 ; que dando sin ..efeclc. los aru. 38 y 39 deí sistema administrativo de la Hi- El 2 t del actual ha salido dz Cartagena para Cádiz la fragata de ciriida pública de ay del citado Junio, y ios d…</t>
  </si>
  <si>
    <t>Gal</t>
  </si>
  <si>
    <t>…isos irámi'es que previene Ja Constitución. Si no lo b c¡és-mos asi ias Cortes. asi, quebrantaríamos la misma ley fundamental por la cu;! t nrmus cí El br. Falcó: Podré deducir el Sr. Gal i* ro tas coTtccuencia» que carácter ds diputados. Esta es mi opinión particular, y aun creo que es quiera de mi* expresión.», porque rada mi» ú.-.;’ *,u: d:»cu-r:r u*;a Ja verdadera ¡ pero si el expresarme asi no estaba en el orden , en tal uno a su anioj i…</t>
  </si>
  <si>
    <t>…ión lo redactase de otra la que pedia se le rebajase cierta cantidad del arriendo quepa£a por di manera. cha finca, era de opinión que siendo justa esta petición, las Cortes po El Sr. Gal ¡ano: Yo creo que el artículo debe aprobarse con alguna dían acceder á ella. Aprobado. ligera variación , pues es preciso no confundir al oficial que por una Se procedió á discutir el dictamen de la com'sion sobre la suerte de fatalidad ss halló de servicio e…</t>
  </si>
  <si>
    <t>…a su muerte haya s do notada cor ia un movimiento para Alt'atoles. Europa, que cuando era vencedor en Jcmrr.upes re sor. aba con Ja Se leyó en seguida la siguiente proposición del Sr. Gal ¡ano: 15tona de su nombre. He ahí, repto iras. , ia suc-ite que a.uatda nPido á las Cortes que se resuelva pasar este oficio comunicado u todos los que imiten su ejemplo. : Y este- acontec.micr.to r.o por el Gobierno de S. M. y documentos relativos á la condu…</t>
  </si>
  <si>
    <t>…nocida. Sus señorías han supuesto que ¡a comisión de Constitución dictamen que debe desecharse el de la comisión. tuvo por principal n único motivo para proponer se suspénd ese El Sr. Gal ¡ano: No será demas el recordar algunos princi el llevar á efecto lo dispuesto en ei artículo 9: de la ley funda pios en que debe fundarse la cuestión de que se trata , y de paso mental , el no estar dividida ó en poder de muchas manos la diré que puede aprob…</t>
  </si>
  <si>
    <t>Galano</t>
  </si>
  <si>
    <t>…pira mejorar las costumbre* y Se continuó ia lectura det proyecto del coligo de procedimimias. Ja su-ite del pueblo. ............. Suspendida esta las Corle» aoncedicron pcruioo 4 Sr. Galano par« &gt;&gt; Si Sr M; siente profundamente la continua deterioración de los pasar i Ci rooba por 20 días. intereses ruraics, la satisfacción con que S. M. contempla la actu idici Se leyó por primera vez una proposición de lo» Síes. Septicn; siempre cn.aumento que…</t>
  </si>
  <si>
    <t>…e un cerro , como pa pendida esta, se nombró para componer la comisión que ha de enten ra persuadirle que aun tenian mas fuerza; á pesar de tener solo 24 der en la proposición del Sr. Galano á los Sres. Valdés ( D. Cayeta hombres dejó con los prisioneros un cabo y dos soldados, y con los no ), Galiano, Pedralvez, López del Baño, Alix, Montesinos , óeoa- restantes, despreciando el fuego vivo de su infantería y las amenazas de £5 , Lagasca 7 Salvé.…</t>
  </si>
  <si>
    <t>Galdian, Josef de Ezpeleta y</t>
  </si>
  <si>
    <t>Josef de Ezpeleta y Galdian</t>
  </si>
  <si>
    <t>…on suficientes para hacer papel de imprenta de los trapos El dia 23 del mes pasado falleció én Pamplona í los 82 año* mas sucios y menos aptos para la prontitud. de edad el Excmo. Sr. D. Josef de Ezpeleta y Galdian», Conde El formar de los trapos ya preparados el papel, es obra de de Ezpeleta de Beire, Capitán general de los Reales ejércitos, Ca quince segundos, y parece cosa de encanto para los no inteligen ballero de Justicia de la Orden de S. Juan, y Gran Cruz de la»…</t>
  </si>
  <si>
    <t>Galerno</t>
  </si>
  <si>
    <t>…s a.°, 3.® con respecto á la América , ademas de que la comisión de r.:ntuy q.n del decreto de 9 de Enero de iHig. na manera ha propuesto se reconozca la urdependenc a , poique El Sr. Galerno en un largo discurso dijo cutre otra» cosas: esto se haría según ¡os tratados que se ajustasen , y según la cení-</t>
  </si>
  <si>
    <t>Gali, Florencio</t>
  </si>
  <si>
    <t>Florencio Gali</t>
  </si>
  <si>
    <t>…le hicieron conocer que ¡os facciosos emprendían su fuga, bloqueo son acreedores á la gratitud naciona! , y por consiguiente los ibzo bajar al instante al ayudante de plana mayor D. Florencio Gali, recomiendo en general á la consideración del Gobierno ; pe-.o con par á Sn de que el batallón de Siyíienza saliese inmediatamente í apoyar ticularidad los comandantes d. las du -s onr» y ayudantes mu s y ur la ‘ Hoitalnch Isacigalupi había prevenido su inten…</t>
  </si>
  <si>
    <t>Galí, Ramón</t>
  </si>
  <si>
    <t>Ramón Galí</t>
  </si>
  <si>
    <t>…eño. dores de Soria y estuvieron en toda la acción. En la acc on tuve En e;te tetado se presentó V. S. con el gefe de E. AI. Don á mis órdenes á los oficiales del E. M el teniente coronel Don Ramón Galí, y su ayúdame de campo D. Josef Casamayor, Juan de Arsabe , al caphun D. Félix Domcnech., que ccn la ma v determinó adelantásemos ¡a línea, situada con arreglo á las or yor celeridad comunicaron mis ordenes, y de&lt;de ei mcm¡ r.fo en denes de V. S., en el sitio…</t>
  </si>
  <si>
    <t>Galiana</t>
  </si>
  <si>
    <t>…vo se siguiesen exactamente todas las disposiciones sión de Corrección de estilo- del reglamento, no permitiendo en su consecuencia la menor 1 Se leyó la siguiente proposición del Sr. Galiana; «Pido á las señal de aprobación ó desaprobación. Cortes que en atención á la situación de la patria se sirvan llamar El Sr. presidente: Los espectadores estarán instruidos de al Gobierno para inquirir de él cuál sea nuestra situación, y cua que les está proh…</t>
  </si>
  <si>
    <t>…n , y quedó aprobada. el juramento, se leyeron los artículos de la Consti Igualmente se aprobó la siguiente proposición deL tución que tratan de este acto , v se nominó para mismo Sr. Galiana : ,,Pido á las Corles que ínterin acompañar á palacio á Ja Regencia á los Sres. Rie se nombra la Regencia acordada se mande venir á go , Llórente, Florez Calderón v Aillon. la barra al comandante general, intendente y gober Prestaron el juramenta cu seguida l…</t>
  </si>
  <si>
    <t>Galiano</t>
  </si>
  <si>
    <t>…ados. Sres. disputados, y d-.spues de haberse leído el acta y el art. 108 del El Sr. vice-pr. sidents manifestó que en su concepto las Cortes (á reglamento que habia reclama !o ¿I Sr. Galiano, como también á peti pecar de hallarse constituidas en extraordinarias) no pedían dejar de ción del Sr. Alonso la preposición por la cual habian tomado en con tomar en consideración este negocio, pues se trataba de un acto en sideración las Cortes pasad .s lo…</t>
  </si>
  <si>
    <t>…onocerá jamas en ninguna potencia el derecho comisión que haya de encargarse de ia minuta de este mensage. de intervenir ni de mezclarse en sus negocios. 8.° Qu’ el Gob.trno de El Sr. Galiano : La emoción que debe haber causado en todos los S. M. no se apartará de ia línea que le trazan su deber . el honor na Sre*. diputados este suceso nuevo enteramente en la historia de la» cional y su adhesión invariable al Código fundamental jurado en el Corte…</t>
  </si>
  <si>
    <t>…e procedía á la discusión de 3a minuta reformado las lentas eelesiisucas del mensaje de las Cortes a S. M. y luteranos tomen ahora su defensa, f El orad, r fue interrumpido por Ki Sr. Galiano ocupó la tribuna, y leyó dic.ia minuta, que se re un largo y extraordinario aplauso de ios. concurrentes á la» galerías.) ducía : Es b icn extrjúo qu: los que se han apoderado de Estados enteio» A manifestar al Rey que las Cortes habían oido con la mayor rx-…</t>
  </si>
  <si>
    <t>…idos aplausos callaban, porque la sorpresa les embargaba ia palabra, que las vocee por los concurrentes.) alegres de los que saludaban á los diputados con vivas y aclamaciones. El Sr. Galiano: La observación q*e acaba de hacer el Sr. preopi La marcha del coche del presidente de las Cortes fue un verdadero nante es muy justa. La comisión diplomática reconoce el ertor en que triunfo. Las dos músicas, rodeadas de un pueblo inmenso, fueron acom ha caí…</t>
  </si>
  <si>
    <t>…ayer , y á mañana , debiendo estar presente el ministerio para su discusión. pesar de lo malo del terreno , y llevarle dos leguas de ventaja , dió al En seguida tomó Ja palabra el Sr. Galiano como autor de la pro cance i ¿ de ello» en Auñon, y dejando un cabo y dos soldados para posición, y dijo: Creo que á ninguno de mis compañeros se le oculta su custodia , siguió el alesnee del grueso, que logró avistar en un mon •1 motivo que me ba obligado i…</t>
  </si>
  <si>
    <t>…, dieron algunas muestras de El Sr. presidente: Si parece á las Cortes podrán llamarse los aprobación. señores ministros. £1 Sr. presidente: Cuando un diputado da su opinión no El Sr. Galiano: Yo rae opongo á cualquier recado de esta debe aplaudírsele-_por-los espectadores, ni menos vituperársele: naturaleza , porque no puede menos de producir un informe pre por lo tanto suplico al pueblo sevillano, que imitando las virtu maturo , puesto quc.cuant…</t>
  </si>
  <si>
    <t>…el Despacho de Estado: Tampoco ha he pregunta del Sr. preopinante. cho el Gobierno (Vanees proposiciones indirectas. Se acordó que pasasen estas proposiciones á una comisión es El Sr. Galiano: Yo quisiera que estas preguntas, hijas de la* pecial. circunstancias, pudiesen producir unos efectos útiles á las Corte» El Sr. secretario del Despacho de la Gobernación de la Pe y á la Nación , corno los producirán las que ha hecho el Sr. Ar nínsula: El Sr.…</t>
  </si>
  <si>
    <t>Galíano</t>
  </si>
  <si>
    <t>…ue el Sr. ministro El Sr- Canga dijo que todo podía concillarse, pues leyéndo de Estado contestó negativamente. se la memoria de Hacienda, pasaría después i la comisión de esté El Sr. Galíano, después de hablar de la poca utilidad de estas ramo, y esta sacaría de 'ella todo lo concerniente i guerra, y preguntas sueltas, dijo que en su concepto seria lo mejor el que pre sentaría á las Cortes" sü dictamen. De este modo se obsetvaiía los Srés. secret…</t>
  </si>
  <si>
    <t>…sin encontrar siquiera quien ne á ser lo mismo que decir que las Cortes por sí solas no pue les dé el quién vive. den acordar los impuestos. Yo no lo entiendo así; y por lo que El Sr. Galiano: Las Cortes trie disimularán que en mi discurso se dice en el art. 342 de la Constitución, se verá que las Cortes haya algo de incoherencia, pues son tantas las cuestiones que se pueden hacerlo (lo leyó). Este artículo impone una obligación han enlazado ya en…</t>
  </si>
  <si>
    <t>…primer tercio de! mes de fe equivocada; conoce la iniquidad que se comete con nosotros '; y brero ; pero yo veo que los ministros van desapareciendo, y los aunque convengo con el Sr. Galiano en que la práctica inconcu enemigos se van internando sin que todavía se haya publicado tal sa es que siempre que se hace la declaración de guerra, viene-co declaración. " ■ rno agregación , ó como una consecuencia de ella , el hacer un ma Se me dirá que el R…</t>
  </si>
  <si>
    <t>…ostillón que Ja conducía: lo que se interesado. Aprobado. avisa público para su inteligencia. Habiendo ¡legado la diputación de palacio, dijo su presiden ARTICULO DE OFICIO. te el Sr. Galiano: La diputación encargada de presentar á S. M. el mensage de las Cortes le ha puesto en las manos del Rey, El Sr. secretario del Despacho de la Gobernación de la Pe quien la ha recibido con la bondad que le es natural. nínsula con esta fecha me dice lo que sig…</t>
  </si>
  <si>
    <t>…ctavos. Cuatro por. ciento noventa y cuatro y cinco rable obstáculo de, faltar á la fe pública. ----- octavos siete octavos y un cuarto. Consolidados á buena cuenta A petición del Sr. Galiano se leyó el art. 4.0 de la Cons setenta y siete y tres octavos un cuarto y medio.. Renta francesa titución. ochenta y cuatro y medio , y t;es cuartos---- Se habia botado al El Sr. González Alonso manifestó que no habia sido su ob agua el navio Principe Regente…</t>
  </si>
  <si>
    <t>…amenazados por el enemigo á los libres. de sus respectivas secretarías.” Se levantó la sesión. No se admitió á discusión. Id. del 29 de Abril. Se leyó la siguiente proposición del Sr. Galiano: «Pido í Las Cortes quedaron enteradas de un oficio del Sr. secretario las Cortes se dirija un mensage á S. M., asegurándole que las interino de Estado, en que Ies participaba que S. M. había ha Cortes han oido con el mayor gusto y ia mas viva ternura esta bi…</t>
  </si>
  <si>
    <t>…entado ayer ; pera que la séptima porte de ellos es suficiente garantía. no la parte mas esencial de este artículo. Apoya el Sr. preopinante su opinión , manifestando el estado El Sr. Galiano: Poco hablaré sobre esta materia, pnes el se- en que se encuentran las juntas diocesanas; y á la verdad , señor, fior Canga ha presentado ya este asunto bajo su verdadero punto que extraño mucho los argumentos que S. S. ha hecho , y en con de vista , y creo q…</t>
  </si>
  <si>
    <t>…y de opinión que no debe apro dor está con muy poco fruto manteniendo una labor costosa, barse el artículo. al paso que un artesano se ocupi en hacer zapatos , ropas y otros' - El Sr. Galiano: Al tomar la palabra para apoyar el artículo efectos para el ejército, que se le pagan bien , v asi timen otros, habia yo previsto lo qué habia de suceder, á saber, que impug muchos recursos que no otras ciases. Por todas e-.tas razones creo nándose esta cont…</t>
  </si>
  <si>
    <t>…ñoríos y escribanías de aduana, y tamen sobre este negocio con la mayor brevedad posible.” él misino había estado muy cerca de que se le exigiese la respon Habiendo manifestado el Sr. Galiano que la comisión tenia sabilidad por haber incurrido en la equivocación de creerlos com bastante adelantados sus trabajos en este punto, retiró su. proposi prendidos en el decreto que abolió ios oficios enarenados. ción el Sr. Buey. Habiéndose declarado el pun…</t>
  </si>
  <si>
    <t>…abando que en el sistema de aduanas: el contrabando se hace Se acordó pasase este asunto á la comisión de Guerra. de un modo tan sistematizado, que se sabe se paga p por too de El Sr. Galiano ocupó la tribuna , y levo el dictamen de Ja Gibraltar á Cádiz, 10 por roo de Gibraltar á Sevilla &amp;c.: hay comisión Diplomática, relativo á ja memoria del Sr. sccraaiio píes administradores de aduanas de contrabando; hav pues vistas de Estado, en .el cual exam…</t>
  </si>
  <si>
    <t>…y malhechores., y para formar el consejo de guerra. sente su dictamen sobre este negocio con la mayor brevedad Se levantó la sesión. posible.” Idem del 10. Habiendo manifestado el Sr. Galiano que la comisión tenia Se leyó el acta del dia anterior, y quedó aprobada, bastante adelantados sus trabajos en este punto , retiró su pro A la comisión de Visita del Crédito público se mandó, pasaf posición el Sr. Buey. un oficio del Sr. Secretario de Haciend…</t>
  </si>
  <si>
    <t>…ncia del Gobierno para vi El Sr. Arguelles: El objeto de la comisión es ciertamente vir en otro país extrangero.” muy laudable; y yo aprobaré el artículo siempre que tengan los El Sr. Galiano: Sea cualquiera la extensión que se quiera dar individuos de ella la bondad de admitir una adición, que salvará al artículo debemos acudir siempre á la fuente de todas las leyes, inconvenientes mas trascendentales que los que se han manifesta que es la ley fu…</t>
  </si>
  <si>
    <t>…el Gobierno re entendieron en esta clase de causas hicieron mucho Icen a ia mita á la posible brevedad el expediente con su informe. Nación: por lo mismo desapruebo el Jípenlo. El Sr. Galiano: El Gobierno ha manifestado ya su opinión El Sr. Ruiz de la Vega: Al exam.nar ¡o- artículos del có sobre este punto mas de una vez. , y una de kis proposiciones que digo penal que se citan se vera que las personas de que había el hacia en la memoria que se le…</t>
  </si>
  <si>
    <t>…el se chez, fuentes del Rio y Amurre, para que ei proyecto de con ñor Reiilo, todos los que se mandaron imprimir. tribución territorial de consumos y de casas presentado por el El Sr. Galiano expresó que se había separado del dictamen Goh, ierr.0 , se devuelva para que sea rectificado en cuanto á ¡a de la comisión , y que presentaría su voto dentro de poco tiempo provincia de Sevilla, en cuya asignación parece haber alguna del modo mas breve que l…</t>
  </si>
  <si>
    <t>…s : ¡Ah! si , señores. Yo creo que en estas cris s tremendas, para que con urgencia de sobre ella su dictamen. propias de revoluciones , en tatas corispirac.or.es luchas en las El Sr. Galiano: Aunque persuadido de que el Gobierno de plazas publicas, en estas común cácenles hechas tamben con ,a S. M. en la crisis tremenda en que se halla la Nac'on r,o habrá publicidad que es prop a do ios Gobiernos litues. es d,;.ds se ve, omitido diligencia alguna…</t>
  </si>
  <si>
    <t>…en el 6.° Mientras los regentes tengan en su poder el caudal no se día mas que nunca convenía el fomentarlo. dispondrá de él parcialmente por libranzas ,■ para evitar la necesi El Sr. Galiano hizo presente que las razones expuestas por el dad de cuentas, y no complicar documentos; pero ¡os intendentes Sr. Grases habían quedado en pie. Se trata, dijo, de un d.stint.vo, y tesoreros de las capitales en que resida la audiencia podrán apli es verdad :…</t>
  </si>
  <si>
    <t>…sostenírTos mismos pnnc’ptos, y en avadarse recíprocamen gusten hablar ló hagan en el sentido que quieran.' te , es necesario que las autoridades de ambos países , obrando con El Sr. Galiano: No puedo menos de apoyar la ¡dea del señor el mayor zelo y ia mas perfecta armonía , procuren corresponder preopinante , suplicando al Sr.' presidente se consulte á las Cortes ti las fraternales Intenciones’de que-se hallan animados sus respec para que estas…</t>
  </si>
  <si>
    <t>…icio de las providencias adoptadas 6 que adopta les hasta tanto que se coloque en el servicio nacional. re el Gobierno. Habiendo manifestado d. Sr. Adan. que era práctica en el El Sr. Galiano : Las Cortes no han olvidado el unánime mo Congreso cuando quedaba algún dictamen de comisión sin discu vimiento con que en la sesión de antes dé ayer se levantaron io tirse de una legislatura á otra volverlo á pasar á la comisión res dos los señores diputado…</t>
  </si>
  <si>
    <t>…señores diputados, carle que se disponía para presentarse á desempeñar sus fun y dió) cuenta de su resultado. ciones. El Sr. Moura dijo: Señor presidente, hoy es un dia en que El Sr. Galiano dijo: Pido se haga de esta representación el los grandes raciocinios y discusiones son inoportunos: solo debe uso conveniente. tratarse de manifestar cada uno sus sentimientos tranquilamente, Se acordó» pasase esta exposición á la comisión respectiva. según s…</t>
  </si>
  <si>
    <t>…recursos ne El Sr. Oliver , después de haber pedido la palabra, manifestó cesarios para la salvación de la patria. que un número considerable de ciudadanos de Málaga, conocien £1 Sr. Galiano expuso que para resolver este dictamen era do tas críticas circunstancias en que se halla la Nación , y desean menester calcular cuáles eran las ventajas que podía producir , y do que se tomen medidas fuertes para salvarla, acudían á las Cor cuáles los inconv…</t>
  </si>
  <si>
    <t>…se declaró este ^sim de ¡a medida que ha propuesto para contribuir al sosten cíe la io suficientemente discutido, y quedó aprobado el dictamen"de.la nave del Estado. Comisión. El Sr. Galiano: Como el Sr. secretario del Despacho ha in Se leyó la siguiente, adición del Sr. Somoza: » Pido ,á las Cor vocado Ja salud de la patria, debo decir, que yo no sentaré otra tes que Ja dispensa otorgada á los consejeros de Estado sea exten medida que la salud d…</t>
  </si>
  <si>
    <t>…formar almacenes y provisiones de reglamento, y admitida á discusión dijo el Sr. Arguelles: Yo de plazas , ó mantener los ejércitos. Se formará la oficina correspon searía que el Sr. Galiano admitiese una adición á la proposición ¡ diente, dándose certificaciones á los pueblos á favor de los fon que acaba de hacer, á saber , que ¡as Cortes permanezcan en se- ’ dos de pósitos , las cuales se presentarán después á las Cortes pa sion permanente hast…</t>
  </si>
  <si>
    <t>…o contestó que ayer mañana en dividido en tres puntos, concentrándose todas hacia Alanresa. El tre nueve y diez. general Alma á Ja cabeza de las valientes tropas de su mando ha El Sr. Galiano preguntó qué providencias se habían tomado podido ir sosteniéndose en posiciones ventajosas; pero en sus úl para poner i ia persona de S. Al. y A la representación nacional timos partes manifiesta la necesidad de que se le faciliten recur a cubierto de toda t…</t>
  </si>
  <si>
    <t>…en el camino proponer á estas que considerando lo nuevo y extraordinario de real.” Jas circunstancios de S. AI. por su respuesta , que indica su indiSe extendió la proposición del Sr. Galiano , y quedó aproba íerencia de caer en manos de ios enemigos, se suponga por alio da sin discusión. El Sr. Arguelles hizo una adición para que se na á S. AI. y por un momento en el estado de imposibilidad entendiese la proposición con respeto á la fumiLia Real;…</t>
  </si>
  <si>
    <t>…ería para continuarla á las ocho tados. Valerosos habitantes de Lisboa: sea siempre vuestra divisa de Ja mañana. como ha sido hasta aquí: «amor al orden y fidelidad a vuestro» Eli Sr. Galiano manifestó que ademas del efecto moral que deberes.’' Estos han sido constantemente vuestros sentimiento» , y debería producir esta sesión, aun no se habian cumplido los ob lo serán también sin duda en este tan delicado momento. jetos para que se habla declara…</t>
  </si>
  <si>
    <t>…del día 11 de Junio. dos hipócritas, no deserte, ahora públicamente de sus banderas? Debemos decir siu embargo para que sirva de alBua consue Se leyó la siguiente proposición del Sr. Galiano: »»Pido á lo á los buenos españoles, y,para alivio de (a pena y amargura las cortes que en atención-a la situación'de la patria se sirvan que causará en su corazón semejante atentado, que se cometió llamar ai. Gobierno para inquirir de él cuál sea nuestra sit…</t>
  </si>
  <si>
    <t>secretarios del Despacho, se procede á la lectura de la preposi fanzón y Romero, y la apoyaron los Sres. ArgSelles y Oliver. ción del Sr. Galiano. Se declaró el punto suficientemente discutido; hubo lugar i El Sr. Galiano hizo varias preguntas á los señores secretarios votar sobre la proposición, y quedó aprobada. del Despacho, concluyendo cotí que si creían que podrían ser Igualmente se aprobó la sigu…</t>
  </si>
  <si>
    <t>…las Cortes ias providencias opor bre e! establecimiento de escindas náuticas : sobre tunas-1. los derechos que lian de pagar los que sean agracia- ■ '\ ornó después la palabra el Sr. Galiano como au dos con algunas distinciones y empleos; sobre la en tor de olla , v dijo : Mas es tiempo de obrar que mienda acordada á un decreto circulado intimamen de hablar; mas sin embargo no dejaré de esponer en te por el Gobierno sobre el establecimiento do un…</t>
  </si>
  <si>
    <t>…ar tropas veieranas. Todo esto lia oca todo lo que debe hacer. (Se eoutinuani.j sionado que el Gobierno no haya podido llevar á elec to algunas disputaciones qu tenia ideadas. El .Sr. Galiano preguntó al Sr. secretario de la CURTES. Guerra el dia en que recibió el parte de la entrada de los franceses en la Carolina, PRESIDEVCIA DEL SESOR JENER. El Sr. secretario del Despacho contestó que ayer mañana entre nueve y diez. Sesión ilel 25 de junio de i…</t>
  </si>
  <si>
    <t>…sor cast ¡gado el imprenta y refrenar los abusos cometidos basta el antor sino el impresor y el librero; no debiendo dia- valer la razón de que puede un impresor 110 'Or ins .El .Sr. Galiano : Antes de entrar de lleno en es truido para poder juzgar de la calidad &lt;le un emérito, ta disensión debo hacer á las Córtes la advertencia pues no eran tan poco instruidos : por lodo lo cual de que mi es el des n de adquirir una popularidad debía aprobarse e…</t>
  </si>
  <si>
    <t>…io de las modificaciones que se bía proponer el medio de corregirle, v lie observa puedan hacer á los artículos. do que ios Sres. que han impugnado el provecto lian A petición del Sr. Galiano se levó el art. 27 de prescindido de él. Ei mismo Sr. Galiano para salir la primera lei sobre libertad de imprenta. de las dificultades en que le ha puesto este argumen Se declaró el punió sulicieníemente discutido y to lia tenido que apelar á decir que estos…</t>
  </si>
  <si>
    <t>…proveer á El Sr. Salva manifestó que la comisión se convenía en v. ri.r todo cuanto ocurriere de urgente durante el viage que iban á el artículo, en cuva forma podia aprobarse. El Sr. Galiano: La variación que acaban de hacer en el arti emprender. Se leyeron los siguientes votos particulares de los ’Srcs. San- culo los Sres. de la comisión no altera en manera alguna la ante stenis, Cuevas, Lasala, Suravia y Jaimes, contrario á la aproba rior idea…</t>
  </si>
  <si>
    <t>…o espa en mi Opinión este artículo es enteramente ilusorio. Tampoco ñol á cualquiera extranjero que inspire sospecha, y que no ten puedo convenir con las ideas manifestadas por el Sr. Galiano, y ga misión pública ó agregación á ella. solamente diré , contestando á ellas , que la ley no se contenta con El Sr. Alaran: Dura et la situación en que la España se en que haya un solo responsable en cuutquie'r delito; no Sr. : la ley- cuentra: terribles lo…</t>
  </si>
  <si>
    <t>…sistema consr.tucional , ni aun en el absoluto se lia verificarse la elección. conocido la m.ixima de que para tomar el Reyuna medida como El Sr. Arguelles apoyó loexpuesto por el Sr. Galiano,y por la contenida en este art culo haya de hacer io con anuencia de tres último acordaron las Cortes se suspendiese la elección de presiden ó cu,ifro Mcrir-r o&gt; del Despacho. Podran dos, tres o cuatro secre te, vice-presidente y un secretario hasta el dia íi…</t>
  </si>
  <si>
    <t>…go á la primera parte de la pro Se leyeron en seguica las expresiones pronunciadas por este posición , es decir, á que las Córtes hagan una declaración solem señor diputado , y el Sr. Galiano tomó la palabra y dijo: A mi ne de la indignación con que han oido la conducta de ese general; entender el caso en que se encuentran las Cortes es de una natu me opongo á la segunda parte, porque no hay necesidad de esta raleza tal que no puede pasarse en sil…</t>
  </si>
  <si>
    <t>…fundamental &amp;c. Asi que , yo suplico a las Habitantes de la provincia de Orense. Cortes sobresean en este asunto. » Tres meses casi hace ya que las tropas francesas entraron en El Sr. Galiano: Debo decir con franqueza que siento mu España, y nos hacen Ja guerra sin haberla declarado. Propio es cho esta discusión, y que me alegraría quedase en el estado en de traidores entrar en casa agena rateramente, y asesinar á su que se halla; pero la impugnac…</t>
  </si>
  <si>
    <t>…podrá dividirse la propiedad del modo que conviene, para que García.rrVicente de Posada. las ideas del Sr. Albear pudieran llevarse á efecto sin producir Se acordó á petición del Sr. Galiano que se imprimiese con gravísimos males á la Nación. Para lo mismo contribuyen las urgencia , y se anunció que el Sr. presidente señalaría dia para su actuales circunstancias de la guerra, la cual ha de arruinar gran discusión. número de propietarios, y con pa…</t>
  </si>
  <si>
    <t>…ta confianza de las Cortes en consultarle sobre calidades en los términos que ha propuesto el Sr. preopinante. ; de los diputados , y esto lo he sentido, porque deseo que no se El Sr. Galiano : Me parece que esta proposición' presentada crea ni se tome por doctrina el que haya de haber una hostilidad con el mejor deseo producirá un resultado contrario , -pués pare-, esencial entre el poder legislativo y el ejecutivo, pues podría re ce que da á ent…</t>
  </si>
  <si>
    <t>…spañola es parte inte jresidencta del seRor zulueta. grante de la Monarquía ¡ creo que las Cortes deben desaprobar el dictamen. Extracto de la setion extraordinaria de la noche El Sr. Galiano: Prescindo hacer.ninguna observación sobre del 3 de Agosto. las arterías de que supone el Sr. preopinante haberse valido los ga Se leyó y quedó aprobada el acta de la extraordinaria an- binetes extrangeros; pero pido se lean los arts. 10 y 18 de"la terior. Co…</t>
  </si>
  <si>
    <t>…edi El Sr. secretario Soria leyó también los arts. 77 y 78 del das estén á su alcance con la velocidad necesaria. reglamento interior de Cortes , y el Sr. presidente expuso que El Sr. Galiano se opuso á la idea propuesta por el Sr. A¡conforme á la facultad que dichos artículos concedían al Go llon de que pasase á la comisión , pues ni esta podó, tener cono bierno , este exigía que se diese cuenta en sesión secreta de la ex cimiento de ios negocios…</t>
  </si>
  <si>
    <t>…o general en la capital de España contra los fautores del despo su lectura, quedando aprobada sin discusión alguna. tismo y la opresión. Se decía que la duquesa de Angulema ha- El Sr. Galiano leyó por disposición del Sr' presidente el dic bia vuelto á Burdeos abandonando su cruzada religiosa de Espa tamen de ia comisión Especial, nombrada para proponer la con ña , donde su fanatismo y superstición no han podido persuadir testación a la memoria pre…</t>
  </si>
  <si>
    <t>…e ser renovados para su obser cuantos arbitrios estuviesen ú su alcance, y que puesto que i¡ Go vancia. bierno confesaba que era suya la iniciativa de dicl.os arb.t.-ios , á sí El Sr. Galiano contestó que entre las concesiones hedías por mismo se debía imputar el no haberlos propuesto : que el Cu — las Cortes al Gobierno, habla una de determinados arbitrios que bierno tenia conocimiento por sí ó por med.o de sus a cutes del no podian ó no debían d…</t>
  </si>
  <si>
    <t>…ec repentina aparición , y sin que le arredrase el fuego de las avan tura , quedando aprobado sin discusión alguna. zadas , colocó su regimiento en uno de los puntos exteriores Ei Sr. Galiano leyó por disposición del Sr. presidente el del pueblo para correrse después con rapidez al otro extremo, dictamen de la comisión especial, nombrada para proponer la donde la infantería enemiga había formado dos cuadros entre los contestación á la memoria pres…</t>
  </si>
  <si>
    <t>…del congreso cual sea la volun El Sr. secretario del Despacho de Hacienda conviniendo en tad de la Nación fin de obrar con arreglo á ella, y obtener les principios sentados por el Sr. Galiano, y confirmando la medios nuevos que ¿1 ya no baila para sostener la defensa hasta existencia de algunos arbitrios accidentales, expuso que no po el último punto; y en paso de que 1a Nación tuviese por con cos de estos eran de mucha consideración, y que por lo…</t>
  </si>
  <si>
    <t>Galiar.o</t>
  </si>
  <si>
    <t>…o siguiente: A la, tre- de ¡a maeestad nacional; la breve alocución d.-i piiaift-nte , y n fin la pro mañana de este día he tecibido la orden de V. en que me prev-ni* posición del Sr. Galiar.o, hicieron el ef.cto de una ch-spa rketrua , y que debiendo liegar un-convoy de vív.r.-s para est: egercito, c-.ucantio todo resp-ró en aquel sagrado recinto ei amor mas puro á la patria, y per lo» pueblos de BaL-sta y Arabelí, destacase al anian-cer alcona el…</t>
  </si>
  <si>
    <t>Galíatio</t>
  </si>
  <si>
    <t>del enemigo negándose í admitir otra bate de armisticio 6 tra II Sr. Galíatio contestó que entre las concesiones- hecha» ta do que la entrega del Rey y tu Real Familia y la de la Is'a por las corus al gobierno habia unas de determinados arbitrios, gaditana' á las tropas francesas, en'la esperanza de que S. M., ya que no podían ó no deb…</t>
  </si>
  <si>
    <t>Galiauo</t>
  </si>
  <si>
    <t>…seguirnos el que dijo el Sr. diputado Bertrán de Lis, que fue lo siguient': » ‘'efior: movimiento por el camino de Francia , cuya dirección tomaron. Al Si se permite la palabra al Sr. Galiauo estando aprobada por unan mi- amanecer los hallamos en posición en el pu-bio de Ponían, y no sé dad su proposición ¡ deba permitírseme á mi y demas señores d-pu talos cual fue mas pronto, si atacarlos, ó ser dueños de sus po»ic,one&gt;. Se -nque la ti-iien p-did…</t>
  </si>
  <si>
    <t>…igodet, nombrado indivi el juramento prevenido en la Constitución los Regeu- duo de la Regencia. tes que se habían nombrado. Se aprobó una proposición del Sr. Canga para que se El Sr. Galiauo observó que Jos Sres Valdes y Cis nombrase una comisión especial que se enliendiesa con car podrían prestarle inmediatamente, y que luego el Gobierno acerca de los medios de traslación. podría verilicarlo el Sr. Vigodet, pues en la actua Fueron nombrados para…</t>
  </si>
  <si>
    <t>Galieno</t>
  </si>
  <si>
    <t>…enes del comandante accidental O. Jos. f üonapiata, con el fin de br. srcrrtat.o dei Despacho dr Estado. hacer la descubierta y ocupar las alturas inmediata» a esta vina, obser El Sr. Galieno; Qu.sicra umb.en que aunque no es costumbre vando todos ios movimientos enemigo», al mismo tiempo que perma entre nosotros so citliesacase de los D arios d- las Coitos aque la y»rnecía formado en la plaza de la Constitución el resto de ta división. ts que se…</t>
  </si>
  <si>
    <t>Galin-, Antonio</t>
  </si>
  <si>
    <t>Antonio Galin-</t>
  </si>
  <si>
    <t>…án Herrero; al ayudmte de la plana mayor D. Francisco de y egecutar el presente decreto en todas sus partes. Tendraislo entendido Paula Abilés; al capital» de caballería de Borbon D. Antonio Galin- ; para su cumplimiento , y dispondréis se imprima, publique y circule. do; al alférez del mismo D. Matías Vargas, y al cadete D. Josef Go- 1 =Rubricado de la Real mano. = En palacio á 16 de Diciembre de mez; al intrépido comandante de Lanceros de Rioja D. Fra…</t>
  </si>
  <si>
    <t>Galland, Juan Pedro Achard</t>
  </si>
  <si>
    <t>Juan Pedro Achard Galland</t>
  </si>
  <si>
    <t>…marina, y aun para oficial distin rán bien tratados y mantenidos. Para tratar de ajuste se acudiráguido en cualquier arma ,' es preciso haber consagrado á las cien en esta corte á D. Juan Pedro Achard Galland, plazuela del Ancias abstractas muchos hitos 'dé su vida; pero se sabe muy biengel, núm. 17, cuarto g.°, y en Burdeos á los armadores los secuántohaninfluidoen el carácter de la juventud actual estos es ñores J. A. Changeur y compañía.tudios mal dirigidos. Se…</t>
  </si>
  <si>
    <t>Gallardo, Isidro</t>
  </si>
  <si>
    <t>Isidro Gallardo</t>
  </si>
  <si>
    <t>…ica, no ha lugar d la formación de causa por cinco votos contra cuatro; escrito para el use de la casa de educación sita en la calle'de S. Mateo de habiendo sido por la afirmativa D. Isidro Gallardo, D. Juan Evaristo esta corte, por D.A. L. Bajo el nombre modesto de geografía astronó Castellar, D. Ignacio Andrea y San» y P. Serafin Bacigalupi, y los mica se hallan incluidas en este tratado todas las teorías que compren restantes por la negativa. Barcelon…</t>
  </si>
  <si>
    <t>Gallardo, Juan</t>
  </si>
  <si>
    <t>Juan Gallardo</t>
  </si>
  <si>
    <t>…sta fuerza : y por último que der obtener destino , cuya solicitud apoya el gefe político de aque suponía el .Gobierno se estaban carenando los navios Guerrero v lla provincia. De D. Juan Gallardo, pidiendo se le conceda carta Heroe , y las fragatas Iberia v Cortes, sobre curo punto nada te de ciudadano español. nia que decir la comisión , la cual concluía proponiendo á la deli La comisión de Negocios eclesiásticos, en vista del expediente beración de…</t>
  </si>
  <si>
    <t>…su misma denominación , tiene atribuciones inde La comls’on de Legislación , en vista del expediente promo pendientes , y en las cuales no puede intervenir la comisión de vido por D. Juan Gallardo, de nación portugués, en solicitud visita, y por consiguiente no hay esa incompatibilidad que su de carta de naturaleza y de ciudadano español , opinaba debía ac pone la comisión. aldase á su solíc tnd. A ptobado. También dice la comisión que no se atreve á d…</t>
  </si>
  <si>
    <t>Gallarlo</t>
  </si>
  <si>
    <t>…aminada que antes de haber entrado los franceses han introducido procla diese el informe que creyese conveniente. mas , y veo que se reproducen con mas acrimonia las inculpacio El Sr. Gallarlo: Lo' qüe en esta proposición se pide es que nes falsas que se nos han hecho. se haga una excitación al Gobierno para la publicación del mani Por otr'a parte los encargados de S. M. v los liberales de la fiesto. En todos los países los manifiestos se apovan en…</t>
  </si>
  <si>
    <t>Gallego, Fernando</t>
  </si>
  <si>
    <t>Fernando Gallego</t>
  </si>
  <si>
    <t>…ad de Fidelúiad (Burdeos ) y de otras varias que ya otra vez hemos citado , también ia de La-Havre de Gracia acaba de dirigir una ex Los subalternos de la audiencia de Extremadura D. Fernando Gallego posición d Gobierno francés en favor de la conservación de la paz. En vn — González, D. Bernardo García Pelayo , D. Josef Francisco de ¡a Pera, virtud de la que había hecho el comercio de Burdeos se decia ya que D. Juan Briz , D. Julián Arias Rabanal , D. Ant…</t>
  </si>
  <si>
    <t>Gallego, Victoiiano María</t>
  </si>
  <si>
    <t>Victoiiano María Gallego</t>
  </si>
  <si>
    <t>…cia de los síndicos, ha mandado citar y cial de Soria D. Miguel Cabrera de Nevares, gefe político , presidente; emplazar á todos los que se crean con derecho á dichos bienes, para D. Victoiiano María Gallego, intendente; D. Ramón de Santiyan, que dentro del término de 30 días , comparezcan por si ó por medio diputado; D. Raimundo de Oria, diputado; D. Blas Joaquín de Cere de procurador con poder bastante á deducirle en dichos autos; con aper ceda , diputado; D. S…</t>
  </si>
  <si>
    <t>Gallegos, Manuel</t>
  </si>
  <si>
    <t>Manuel Gallegos</t>
  </si>
  <si>
    <t>…ez Angulo, D. Joaquín Huerta Cevallos, D. Luis de Mata Araujo, sado , pero en pequeñas, que seguramente no asciende su número á 60 hom Conde de Floridablanca, D. Isidoro de Hoyos, D. Manuel Gallegos y bres , excepto la que fue sorprendida en Pozohondon, según á V. E. le D. Josef Castel. tengo dado parte. Dios &amp;c. Calamocha 19 de Febrero de 1823.=2 Ex- Habida la conferencia, se decidió por unanimidad n haber lugar á ¡a ceienpsitno. Sr. = Josef de Torres.…</t>
  </si>
  <si>
    <t>Galli, Leonardo de</t>
  </si>
  <si>
    <t>Leonardo de Galli</t>
  </si>
  <si>
    <t>…do ni aun de palabra. cación de los autores del reglamento del estudio reunido de me Estos son los llamados serviles, si fuera al contrario ¡ qué suce dicina y cirujía; por el Dr, D. Leonardo de Galli, cirujano dería ? la experiencia ha contestado ya. (Carta del capellán del de Cámara de S. M. con ejercicio : un tomo en 4.0 Se vende en 2° regimiento de Reales guardias Españolas.) la librería de Dávila á 18 rs. en rústica y tico pasta. EN LA IMPRENTA REAL.</t>
  </si>
  <si>
    <t>Galvez, Diego</t>
  </si>
  <si>
    <t>Diego Galvez</t>
  </si>
  <si>
    <t>…ódicos de Cádiz del ella 7. segundos ayudantes D. Ramón. González y D. Rafael Marín, Se ha publicado de oficio la siguiente noticia, comunicada des los adictos D. Josef González , D. Diego Galvez y D. Salvador de Algeciras con fecha del dia i.°: «Ha entrado en esta bahía en Josef Mirallcs. el dia de antes de ayer el laúd español Virgen del Carmen , su Primer batallón del regimiento infantería de Africa. Bata patrón Pedro Pajes, proceden te de la C i ran Canaria, con carga llón…</t>
  </si>
  <si>
    <t>Galvez, Julián</t>
  </si>
  <si>
    <t>Julián Galvez</t>
  </si>
  <si>
    <t>…á este infeliz , y io dejó muerto de repente. El Vega.” pueblo se agolpó al punto, y cercando at militar, que no pudo librarse del furor del pueblo, fue sacrificado á puñaladas. .Don Julián Galvez, presbítero, asociado de D. Francisco La guardia acudió al lugar del desorden , y quiso dispersar el Maicas y de D. Cirilo Carrillo, Racioneros de la santa Prima tropel: entonces se trabó una lucha, y el puebio hizo retirar la da iglesia de Toledo, tuvo el ho…</t>
  </si>
  <si>
    <t>Galvez, María</t>
  </si>
  <si>
    <t>María Galvez</t>
  </si>
  <si>
    <t>…porque como en este siste Se mandó quedar sobre la mesa el dictamen de la misma co ma no hay un modo legal de contrarestar al poder, ni de decir misión, acerca de la solicitud de Doña María Galvez, vtcma de públicamente la verdad , el adulador habla y escribe como quiere bantaeüa , pidiendo una indemnización en fincas. (siempre que sea liicCnSondo ai que manda j) sm temor de ser Se leyó por segunda vez el preyccto de ley presentado por desmentido. la c…</t>
  </si>
  <si>
    <t>Gamarra</t>
  </si>
  <si>
    <t>…da cordillera de los Andes , corno de esta á ios ar nos efectos que iba produciendo la expedición de mi mando. El dientes arenales de Palpa y Nasca; de ¡as cuales los cazadores de coronel Gamarra había llegado á Guallhua, ocho leguas mas acá infantería y caballería no descansaron casi un solo dia desde prin de la Nasca, con las compañías de granaderos , cazadores, y terce cipios de Diciembre, sin haber experimentado apenas una baja, ra del núm. i.°: l…</t>
  </si>
  <si>
    <t>Gamboa</t>
  </si>
  <si>
    <t>…isa a Alcaudete y Campillo, de la milicia de Bilbao, Jauregui (el Pastor), de los Martot, sin haberlo seguido ni un oficial ni un soldado de Ba Totunuriot de Vitoria * ti teniente coronel Gamboa* el co* llesteros ; antes al contrario , se ha visto abandonado de un gran mandante de batallón Zugárramurdi, el gefe de estado mayor número de los suyos, entre los que se cuentan dos escuadrones hí»lleu , y otros 33 oficiales. de los regimientos de Numancia…</t>
  </si>
  <si>
    <t>Gamonal, Antonio</t>
  </si>
  <si>
    <t>Antonio Gamonal</t>
  </si>
  <si>
    <t>…oño espero que encontrará detención , pues an Don Valentín Recio , D. Marcos Menezo , D. Julián de Furní'i, ticipé avisos i las autoridades de la orilla del Ebro , y á poco que le D. Antonio Gamonal, D. Francisco Luciano Domingu-z Vtllar.uivj, entr. tengan será sin duda alcanzado y deshecho. Estoy esperando parte D. Santiago Vicente Les , D. Juan Antonio Marco , conde de la Tor&lt; de la vanguardia, que según la proximidad á que se hallaba ya de! ene refres…</t>
  </si>
  <si>
    <t>…rren denunció en 8 del corriente un ar D. Francisco López Cotana. D. Manuel E.teban Caula. tículo que empieza:» Vamos a dar principio á las semblanza,'* , inserto D. Josef España. D. Antonio Gamonal. «a el 'periódico turnado el Ct&lt;ut tucisnal de uj ; del mismo d:a,</t>
  </si>
  <si>
    <t>…estrechando todo lo posible las márge grado. En su vista se reunió el jurado, compuesto de los Sres. siguientes: nes á fin de que contenga lo mismo que si se publicase en papel de D. Antonio Gamonal, D. Antonio Regas, D. Jaime Ruiz Abreu, mayor marca; y se darán ademas todos los suplementos que se crean D. Juan Isidoro Perez, D. Joaquín Manrique y Manrique, D. Josef necesarios para no privar al público de cuanto se considere interesante. Castel, D- Juan…</t>
  </si>
  <si>
    <t>Gamonal, Karnou Liord y D Antonio</t>
  </si>
  <si>
    <t>Karnou Liord y D Antonio Gamonal</t>
  </si>
  <si>
    <t>…orte y su calle da Tomas Torresano , D. Josef Castel , D. Juan Paz, D. Martin Zarea- la Corredera Alta de S. Pablo , núms. ly y 20, mane. 449 , que tiene dia, D. Joaquin Ceballos, D. Karnou Liord y D Antonio Gamonal. de sitio 6288 pies y $ , tasada en 185,412 rs., quededucidos Ó941 rs. y Los demas los declararon absueltos respectivamente en sus casos. 6 mrs. de cargas reales quedaban líquidos 178,470 rs. y 28mrs., y se re mató en 6oo3 rs. vn. á pagar en créditos contra e…</t>
  </si>
  <si>
    <t>Ganga</t>
  </si>
  <si>
    <t>…tando la fabricación a las mu Se mandó quedar sóbrela mesa, este dictamos. chas que tiene solas y aisladas. Aprobado. Se mando pasar al Gobierno pira que' diese su informe una. El Sr. Ganga pidió se_vofct5e un párrafo del preámbulo de exposición de varios vecinos de Patencia, quejándose de infrac este dictamen, que dice asi, .: ción de ky. Habiéndose encargado, al Gobierno por el art- 4.0 del decre La comisión de Legislación, en vista de. las co…</t>
  </si>
  <si>
    <t>…iiii terio : creo, pues, seria mas conveniente nal, cuya minuta presentaba revisada la comisión de que todus estos ramos pa asen a un imprevisto ge Corrección de estilo. neral. El Sr. Ganga pidió al Sr. presidente inquiriese A pcticien del Sr. Somoza Se leyó la facultad dé- si babia venido la imprenta nacional, y el Sr. pre cimitrrcia del art. 558 de ia Conditucio». sidente anunció qne la secretaría lo aveiiguaría. Se suspendió Ji discusión por…</t>
  </si>
  <si>
    <t>Gangoli</t>
  </si>
  <si>
    <t>…distancia de que M. deObreskeff, ge fe del departamento de las aduanas, hizo menos de iod millas italianas de aquella costa fuera del caso en su dimisión , y que le reemplazará el general Gangoli , antieuo que necesite socorro-, sera apresado y conliscado. ministro de Policía. M. M. Eiebitsch , y de Toll, están designa El Apolo estaba dedicado á seguir las costas, y á despachar dos para substituir á dos ayudantes de campo que han sido despe buqués á t…</t>
  </si>
  <si>
    <t>Gañírd, Vizconde de</t>
  </si>
  <si>
    <t>Vizconde de Gañírd</t>
  </si>
  <si>
    <t>…Wcstminster el dicho dia 3 de sigue siempre inscrito-en-la compañía de granadero»- de la guar Febrero próximo; Dado en Windsor á 18 de Noviembre dé'1823, dia Real, mandada por-el-Sr. Vizconde de Gañírd,-donde hay el cuarto de nuestro reinado.” God sarje tks King. querido ser incorporado en calidad -de' granadero; * - ’• __El Ministro de Marina ha escrito á la academia Real de las- El Teniente general Barón dé Al meras, Comandante-de laciencias que en el pue…</t>
  </si>
  <si>
    <t>Gaona, Jacinto</t>
  </si>
  <si>
    <t>Jacinto Gaona</t>
  </si>
  <si>
    <t>…or quién preten sejo de S. M., teniente primero de corregidor di esta villa, déis pelear? ¡ Acaso srreis los viles instrumentos de unos pocos refrendada de su escribano del número D. Jacinto Gaona y desesperados, y contribuiréis á la desolación de las mismas pro Loeches, se ha señalado para una junta general de acreedores é vincias que os vieron nacer? ¡Queréis despedazar vuestra des interesados á los bienes quedado» por fallecimiento de D. Ma graciada…</t>
  </si>
  <si>
    <t>…do todo género de pruebas, haciéndose su periores á la hambre, frío, desnudez, disgustos y demas desgra primero de Corregidor de está muy heroica villa, refrendada de su escribano D. Jacinto Gaona, se cita á todos los que tengan cias que han sufrido, aun sin murmurar. También nuestro ejército podia distinguirse con este título, derecho á los bienes quedados por el abintestato de Doña Josefa, porque siempre hemos creido, asi como el ejército español, qu…</t>
  </si>
  <si>
    <t>Gaona, JúatiRuiz de</t>
  </si>
  <si>
    <t>JúatiRuiz de Gaona</t>
  </si>
  <si>
    <t>…rnftü Sr.” (Siguen las Jrrrfrasc) ';; ” • y vituperios en Us personas mas juiciosas por su notoria adhe sión al Rey nuestro Señor; y por último todos los jóvenes de¡ » Sermo. Sr.: D. JúatiRuiz de Gaona, alcalde', SeéjRniéntó ’ él en número de 20 y tantos, constantes y fieles á su digno y ayuntamiento de la villay puebles de la tierra dé S. Esícbin de' Rky , abandonaron sus hogares por defender la justa causa, y Gorroaz, de vuestra provincia dé Soria; nopued…</t>
  </si>
  <si>
    <t>Gar, Esteban</t>
  </si>
  <si>
    <t>Esteban Gar</t>
  </si>
  <si>
    <t>…e Pamplona en el baile de máscaras, el gefe político llamó les buques enemigos hasta en número de 40. La tropa está entusiasma al comandante de la milicia voluntaria de artillería D. Esteban Gar da , y ha hallado el premio de sus fatigas: ya está completamente ves cía para decirle oue invitase á los individuos de ella que gustasen salir tida y bien pagada: su número se ha aumentado considerablemente , y voluntariamente ¿ nna expedición repentina á la…</t>
  </si>
  <si>
    <t>Gar, Manuel</t>
  </si>
  <si>
    <t>Manuel Gar</t>
  </si>
  <si>
    <t>…c¡tode op-racionssdel 7.°distríto:rrExcmo. Sr comrv'ar.to» se hallaban en el Congreso , diputados y espectadores, de aquelU te genual de 1.a j.1* división del egercito de mi mando D. Manuel Gar justa indignación que causa en las almas generosas una inju l:cta rea con fecha i/del corriente me dice desde Cabcrña lo que cc.pio.zeEá cometidas la sombra de la fuerza,)- cohonestada con rml pretextos comándame de batallón de lajoaslicia raciona1, activa ds…</t>
  </si>
  <si>
    <t>Gara</t>
  </si>
  <si>
    <t>…hecho el nano acoroaeto por ias Cortes. citado repart miento, s1 el Gobierno u la coimsioti. Habiéndose leído este repattim ento h.cieion varias observa Habiendo m.in;tu-t..do ti Sr. Gara que el Gobierno, mani ciones sobre el ios sci ores Scdti.o v Albwar, a ias que contes festó el expíe cu. o sr. Seoanc que desearía que la eonusion , oyen taron los señores burra v Acan. do á los se: ores diputados, Ketiíiea-e en ios expresados rep,or Deciar,i…</t>
  </si>
  <si>
    <t>Gárarc, Mariano</t>
  </si>
  <si>
    <t>Mariano Gárarc</t>
  </si>
  <si>
    <t>…ándose hallarán todo el apo gento mayor de la plaza, del alcalde de segunda nominación y yo necesario en el pueblo Je Inglaterra. El ejemplo que acaba de del capitán de caballería D. Mariano Gárarc. dar ia capital será seguido por todas las ciudades de Inglaterra, a.° Los que hubiesen entregado sus caballos en el rérmino Escocia, é Irlanda’, para manifestar el sentimiento general de la prescrito, recibirán un voleto para recogerlos cuando no sean ne Nac…</t>
  </si>
  <si>
    <t>Garc, Angel</t>
  </si>
  <si>
    <t>Angel Garc</t>
  </si>
  <si>
    <t>…la que se compone de mas de 400 Por el correo de p del corriente remitió) D. Manuel de Ro vecinos, fue destrozada enteramente por una partida de 32 mili bredo , vecino de Madrid á D. Angel Garc:a Fernandez , de 1* cianos voluntarios de Cáceres, Casar de Cáceres y Valencia de Coruña, 10 vales de á 200 pesos no consolidados de la creación Alcántara, después de haberse apoderado á viva fuerza de dicho de i.° de Setiembre de 18 ro , con los número* sigu…</t>
  </si>
  <si>
    <t>Garcái, Manuel</t>
  </si>
  <si>
    <t>Manuel Garcái</t>
  </si>
  <si>
    <t>…nstante las riñas en D. Blas del Castillo Luna; teniente, D. Ramón O.inety; subte tre las mugeres y las quejas de estas al marido. Las cuatro espo nientes , D. j jan Josef Bracho, D. Manuel Garcái, D. josef sas leg'timas se quejan de que son preferidas las esclavas, y estas Lluch, D. Bernardino Herrero, D. Juan Muros y Fernandez , y de que se las abandona á los zclos de sus amas. Si hace algún re D. Josef López Orihuehi; segundo comandante de infanterí…</t>
  </si>
  <si>
    <t>García</t>
  </si>
  <si>
    <t>…ó de Molina , todo lo gubernativo y económico , y lo tomos en 4.° Se bailarán en las librerías de Sauz, de Antoiait , y en. correspondiente i la milicia. la imprenta de Davila. Al Sr. García de la Madrid, los presos y la policía urbana. Ebota. En la gaceta del 10 , col. 3.', Un. 3(5 , donde dice dtbut Al Sr. Campes, las denuncias del campo en el cuartel bajo y le autorizársele , léase Jebe autorizársele__ En la m sma , lo* 4.J, Un de empleados. d…</t>
  </si>
  <si>
    <t>García, Andrés</t>
  </si>
  <si>
    <t>Andrés García</t>
  </si>
  <si>
    <t>…n Io- cuerpos; y solo me resta expresar á V. E. el mérito que contrajo iaravlcj forzarla las tropas rebeldes con todo liadas estas en tan ti coronel gefe de E. M. de esta división D. Andrés García .desproporciona! número, lo, intentaron subiendo los batallones 4 Camba, los oficiales agregados al E. M. y ayudantes de órdenes v i 1 á Ja altura de nuestra derecha , que mandé sucesivamente re del Sr. Valdés, coronel D. Pedro Antonio Rolando, capitanes forz…</t>
  </si>
  <si>
    <t>García, Angel</t>
  </si>
  <si>
    <t>Angel García</t>
  </si>
  <si>
    <t>…ha servido mandar que se conteste á dicho ge- primeros encabezados á IX i-rancisco de Atdama, endosado» en fe político lo qúc sigue : dicho dia p por D. Simón de Ibarra al citado D. Angel García, ” He dado cuenla al Rey de! oficio de V. S. fecha 30 de Ma valor de D. Manuel de Robredo: níim. 23,107 encabezado á yo último níim. 356, dando cuenta de lo acaecido en Cabezuela D. Ramón de Aneldo: núm. c 1,268 encabezado á Doña .An en 26 dei misino mes; y 5…</t>
  </si>
  <si>
    <t>García, Antonio</t>
  </si>
  <si>
    <t>Antonio García</t>
  </si>
  <si>
    <t>…su obstinada resistencia , y ante el escribano del número y su juzgado D. Florentino López Ba.ro í ¿del constante fuego que nos hacían, tuvieron que ceder vergonzosa solicitud de D. Antonio García , testamentario y uno de los herederos mente al valor heroico de estos oficiales,.sargentos , cabos y soldados, de Doña Josefa del Fresno, viuda que fue en segundas nupcias de Don que émulos en arrojo y: decisión nada me han dejado que desear , ha Baltasar Ga…</t>
  </si>
  <si>
    <t>…l difunto hubiese inuerto e;i defensa ¿e la patria; La misma comisión .opinaba no debia accederse á la solicitud y que ademas había tenido que atenerse á los decretos vigentes, de D. Antonio García para que se le concediese permiso para en que se fijan las reglas para la concesión de pensiones. r rifar una casa. Aprobado. El Sr. Oliver manifestó que en realidad la causa de la muer L£ comisión ,de Comercio, habiendo examinado de nuevo el te de este emple…</t>
  </si>
  <si>
    <t>…mandó la acción , y no el anidante adic triunfo. Hacen los mayores elogios del batallón de Bavbastro, de colones (sin duda este nombre está equivocado), y de León , de to al E. M. D. Antonio García como equivocadamente se dijo en el núm. 3 de este boletín ; pero aquel gefe recomienda el com los cuales dicen haber cargado á la bayoneta. /Aseguran que co portamiento de dicho ayudante que cargu á la cabeza de una mi gieron dos piezas de artillería, que hic…</t>
  </si>
  <si>
    <t>…cto luego que apareció Makoma. ves heridas de lanza que el gefe de E. M. de esta división el te La religión del profeta de la Meca, cuya moral consistía en niente coronel graduado D. Antonio García recibió por su ex un corto número de dogmas fáciles de comprender , que abría cesivo valor. una ancha carrera á la ambición, y que no ponia ningún freno á Recomiendo á V. S. los oficiales y tropa que me han acom los goces de los sentidos', gustaba harto mas á…</t>
  </si>
  <si>
    <t>García, Antonio Ruiz</t>
  </si>
  <si>
    <t>Antonio Ruiz García</t>
  </si>
  <si>
    <t>…uarde á V. E.- muchos años. Madrid 2 8 de El comandante del primer batallón del regimiento infantería de Málaga Febrero de i823.=Excmo. Sr.=El general gobernador egerci:neo funcio D. Antonio Ruiz García, con fecha de ayer desde Horra me dice lo que nes de comandante general Juan María Echcvern—Excmo. Sr. secretario á la letra copio. del Despacho de la Guerra.” ?&gt; Según dije á V. en mí carta de ayer sal! á las nueve de la noche Lista de las circulares, decret…</t>
  </si>
  <si>
    <t>García, Antonro</t>
  </si>
  <si>
    <t>Antonro García</t>
  </si>
  <si>
    <t>…ientes coro medio de una aplicación constante....... neles D. Andrés Garda Camba, nii secretario D V.cente Ga- Para juzgar del carácter moral de itv. «aii~*..-r» americanos es nn, D. Antonro García , cap tan D. Ramón Gascón y teniente preciso considerar ios principios de su conducta. Se !&lt;s cree pro D- Mariano Herreros; y m.s ayudantes de campo coronel Don pensos á la traición, porque en plena paz y sin nuuuna especie de lJab!o Echeverría, comandante de…</t>
  </si>
  <si>
    <t>García, Atanasio</t>
  </si>
  <si>
    <t>Atanasio García</t>
  </si>
  <si>
    <t>…edaron gravemente heridos.. do en su corporación un héroe, un defensor de la Religión y de — Ya hemos dicho que un médico ingles acaba de hallar un vuestra Real Persona, al mártir D. Atanasio García, á quien medio para extraer el veneno del estómago. ELNottingham— si la perversidad de los mayores enemigos de V. Al. privó de la Review, después de haber dado cuenta de una experiencia hecha vida en un cadalso, la memoria de su lealtad y fidelidad será eter…</t>
  </si>
  <si>
    <t>García, Camilo</t>
  </si>
  <si>
    <t>Camilo García</t>
  </si>
  <si>
    <t>…carta de ciudadano español. se hiciese novedad aiguna sobre lo que se solicitaba. Aprobado. A ¡a comisión de Hacienda se mandó pasar una exposición Sobre la memoria presentada por D. Camilo García; opina del ayuntamiento de Ronda sobre que se altere la práctica adop ba que sin embargo deque en ella se demuestra el zelo patriótico tada para el cobro de contribuciones, y el dictamen sobre el asun de su autor, no encuentra proposiciones de las cuales pued…</t>
  </si>
  <si>
    <t>García, Domingo</t>
  </si>
  <si>
    <t>Domingo García</t>
  </si>
  <si>
    <t>…Jabat. D. Antonio Lambea. bres de su cupo. D. Celedonio Martínez. D. Baltasar Martin Pérez. Ademas y en este intermedio ha organizado la diputación com D. Tadeo Parras Hermosilla. D. Domingo García. pletamente y en estado de servicio dos compañías de infantería y una de D. Gonzalo Cárdenas. D. Marcos Izquierdo. caballería de cazadores constitucionales, que deberán destinarse al mo D. Francisco Sainz de Rozas. D. Francisco Luciano Domínguez mento á recor…</t>
  </si>
  <si>
    <t>…ger, hijos ó parientes , lo harán presente por Joaquín Perez, D. Nicolás Alonso García, D. Francisco de escrito al inspector general del arma en que sirva, expresando el Palacios, D. Domingo García, D. Francisco del Acebal y Arnombre de Ja persona 6 personas á cuyo favor hace la asignación, ratla , D. Marceliano Torio y Torres y D. Pelayo Zorrilla, han cantidad mensual de esta, putbio y provincia en que desea que la calificado por unanimidad con la fórm…</t>
  </si>
  <si>
    <t>García, Forbin des Ignacio</t>
  </si>
  <si>
    <t>Forbin des Ignacio García</t>
  </si>
  <si>
    <t>…roposición!..... Una agitación extraordinaria so manifiesta.) món Oiaso , J-i: Pensado, Cirios Ob.’rmayen , Domingo Viliaré El presidente: Pido á la Cámara que guarde silencio. El Sr. Forbin des Ignacio García, criados que fueron de S. E. y sus legatarios, se les ci Issarts ha pedido la palabra para rcciamarel reglamento; este me obligaba ta y &lt;mp,aza por ei presente para que en el preciso y perentorio térmi í concedérsela. ¡Y ha usado de ella para reclamar el regl…</t>
  </si>
  <si>
    <t>García, Joaquín</t>
  </si>
  <si>
    <t>Joaquín García</t>
  </si>
  <si>
    <t>…e se adoptaban para asegurar el éxito de la empresa. ( Se conti teniente D. JostT Anselmo Traverso y alférez D. Félix Ttibas , ei de nuará.') igual clase de caballería de) Infante D. Joaquín García , y el cabo de ANUNCIOS, mis ordenanzas Juan Lasala, los que recomiendo a V. E. Lo que co En la librería de Sanz se ballaiA de venta la música mas moderna munico á V. E. para que se sirva elevarlo á conocimiento de 5. M., y de mejor gusto que se ha escrito as…</t>
  </si>
  <si>
    <t>…opas que la guarnecen. Uno es vues rulla hasta el 30 de Abril dicen haber sido preso el ex-goberna- tro objeto: adhcs.on al Rey, y obediencia;! las leyes é institucio dor de Marín D. Joaquín García , cabecilla de la facción de Co nes que nos gobiernan---- j. H. Kerros, corregidor.” tobad. Por barco que llegó á la Cor uña se sabia que en Laredo F.l 27 de Marzo escriben de Nueva-T ork. lo siguiente: habían entrado los facciosos, y que en Bilbao impuso Que…</t>
  </si>
  <si>
    <t>….dos leguas d$aa}u$slia raya ; Tomas Pita , condenado á dos meses.de prisión, y cumplido; últimas noticias lo daban ca Redondel*.....nM‘¡, , Don Ramón Campon , de Rivadeo. . .. ,s Don Joaquín García, D. Vicente García, hermanos, y ej uno gobernador de Marín. . .. . . - . El Monitor de 5 de Agosto copia una. cprto escrita por 111 Don Antonio Blanco, D. Matías Blanco, Francisco Va capitán.,,ayudante tic campo dei general la Rochejaqu'elcin, á lladares , de…</t>
  </si>
  <si>
    <t>García, Joscf</t>
  </si>
  <si>
    <t>Joscf García</t>
  </si>
  <si>
    <t>…ponda para su puntual cumplimiento. En Pa lacio á 23 de Junio de 1823.sE! duque del Infantado, presidente.=EI duque de Mon temar.zejuan , obispo de Osma.=Antomo Gómez Calderón. =A D. Joscf García de la Torre.*” EN LA IMPRENTA REAL.</t>
  </si>
  <si>
    <t>García, Josef</t>
  </si>
  <si>
    <t>Josef García</t>
  </si>
  <si>
    <t>…de haber si tución que se ha dado nuevamente á aquella república. do visado, autorizada con su firma. Jtitc o de jurado. 2.0 El impresor que lo imprimiere sufrirá irremisiblemente Don Josef García, preso en la c-trcel nacional de Cádiz, de la multa de ;oo duros, ademas de cerrársele la imprenta. nunció como injurioso ante el Sr. D. Pedro de la Fuente, alcalde 3.0 El autor de él, ó el individuo bajo cuya responsabilidad ó constitucional , un párrafo del…</t>
  </si>
  <si>
    <t>…n Bautista de Erro son los ^prescindibles » Teniendo en consideración la Regencia del reino los mé para que puedan verse cumplidas en un todo las justas inten ritos y servicios de D. Josef García de la Torre , fiscal del Con ciones de S. A-, ha tenido i bien nombrarle para la secr taría sejo y Cámara de Castilla, ha tenido á bien nombrarle para la de Estado y del Despacho de Hacienda, de la que vendrá á en secretaría de Estado y del Despacho de Gracia…</t>
  </si>
  <si>
    <t>…En la amargura que aflige mi Real ánimo al contemplar lomarde, D. Víctor Damian Saez presbítero, D. Juan Bautista el cúmulo de males que el maquiavelismo sin egemplo del Go Erro, D. Josef García de la Torre, D. Luis María Salazar, D. bierno francés ha traído sobre mi Persona y familia y sobre Ja Josef de San Juan y D-Josef Aznares, que respectivamente se Nación generosa que tengo la gloria de dirigir , nada agrava tan han titulado y se titulan secret…</t>
  </si>
  <si>
    <t>…Tendreislo entendido, y lo co municareis i quien corresponda para su cumplimiento.=lín Pa » Sermo. Sr.: La justicia y ayuntamiento de la villa de Jalacio á 7 de Agosto de i8a3.=A D. Josef García de la Torre. draque llegan respetuosamente á V. A. S. para manifestar por esta sencilla exposición á la faz del universo su contento, gusto Enterada la Regencia del Reino de una consulta hecha por y satisfacción por la feliz instalación de un Gobierno legítim…</t>
  </si>
  <si>
    <t>…ón de esta pretendi lo correspondiente á su cumplimiento. = Está rubricado, ce: Pala da ley, compuesta de nueve artículos, si de dificil concordia, de cio 19 de Agostod# 1823. = A D. Josef García de ia Torre.” indudable eficacia para servir de motivo á la completa expo Continúan las exposiciones dirigidas á S. A. S. ia Regencia del liación de los legítimos y antiguos poseedores de señoríos, y tras Reino. ladar i sus beneficiados colonos la propiedad d…</t>
  </si>
  <si>
    <t>Núm. 120. ( 6 cuartos. ) 447 GACETA DE MADRID. JUEVES 4 DE DICIEMBRE DE 1823. Í-Ow ARTICULO DE OFICIO. D. Antonio Gómez Calderón, á D. Juan Bautista de Erro, á D. Josef García de la Torre, á D. Juan Antonio Rojas, Ca El Rey nuestro Se?7or se ha servido expedir los Reales decretos nónigo de la iglesia metropolitana de la capital de Caracas. Los siguientes: Secretarios del Despacho serán individuos del Consejo de Estado . Exigiendo e…</t>
  </si>
  <si>
    <t>García, Josef Pió</t>
  </si>
  <si>
    <t>Josef Pió García</t>
  </si>
  <si>
    <t>…as innovaciones que acarreaba, El dia 19 del corriente tuvo la honra de presentarse á SS. MM. mereció en tales términos la gratitud de V. M., que se digno y besar sus Reales manos D. Josef Pió García, Alcalde por su concederla el título singular de Muy heróica , con el que se hon estado noble de la ciudad de Nájera, en Ja Rioja, comisionado _ ra. Procurando sostenerle con nuevos sacrificios, y dar las ma por su Ayuntamiento, y pronunció el discurso siguie…</t>
  </si>
  <si>
    <t>García, Josefa</t>
  </si>
  <si>
    <t>Josefa García</t>
  </si>
  <si>
    <t>…gorías: en tic. ellas se dis de la justa causa de la Nación, cupo en suerte del primer extrac tinguieron particularmente las casas del Sr. Intendente, Conta to de la de este día á Doña Josefa García, hija de D. Anto dor de provincia, cuartel del regimiento provincial y plazuela nio, Teniente del regimiento de dragones de Lusitania, muerto del Obispo. D. Josef María Alvarez colocó en el centro de su en el campo del honor. hermosa iluminación á S. Bartolom…</t>
  </si>
  <si>
    <t>García, Jossf</t>
  </si>
  <si>
    <t>Jossf García</t>
  </si>
  <si>
    <t>…alencia 28 de Junio y dispondréis lo necesario á su cumplimiento—Está rubrica de 1 823. = Sertno. Sr. = Fernando Pascual. = Vicente Juan Es- i do e=Palacio á 5 de Julio de i8í3.=A D. Jossf García de la cguo.cc: Manuel Agulló.zr Joaquín C tnrni; y García. = Joscf Torre. Guerau de ArellanomN.colas Mañes.:z:I-nació Baeza.=Nicolas Pedro Vercber =cV ícente Mor! rey o y Morales.” La Regencia del Reino ha tenido á bien «solver que todos Al Sermo. Sr. Duque d…</t>
  </si>
  <si>
    <t>García, Juan Francisco</t>
  </si>
  <si>
    <t>Juan Francisco García</t>
  </si>
  <si>
    <t>…pan la cuestión-de ai la Amé ra Besol, congregantes» Josef Torres, hermano de id., Pascual Perez, rica ba de quedar ó no emancipada de la Fspaña « cuestión qué’bte es Juan lázaro, D. Juan Francisco García « Francisco Ribas, D. Rafael del momento, y sobre lo que expondré yo mi opinion cuando las Cor Solo, Dr. Domingo Pitalua, D. Rafael Seguí, D. Josef González, tes se ocupen de ella. Se trata ahora únicamente de dar un proyectó D. Joaquín Gil , D. Pedro Boígues…</t>
  </si>
  <si>
    <t>García, Luis Silvestre</t>
  </si>
  <si>
    <t>Luis Silvestre García</t>
  </si>
  <si>
    <t>…bre el mismo dictamen hacia un m.liciar.o voluntario de e.-ta corte. á bien admitir ñor las Cortes no hubiesen tenido otro objeto que el de Se leyó) dicha expo.-lc.on suscrita por D. Luis Silvestre García, ti- U acompañar al Gobierno en su traslación, esto se allanaría con el dictamen que después de hacer algunas observaciones sobre el dcMiu.ir de ¡a ce:::.de la comisión; pero es menester considerar que las circunstancias diversas SiOii, proponía que los milic…</t>
  </si>
  <si>
    <t>…e españoles. talidad. Murcia 4 de Mario. D.cha comisión especial, habiendo examinado la exposición del ciuda El T.° de Marzo puso en caja el ayuntamiento de Ccza los 13 qu’n- dano D. Luis Silvestre García, leída en ¡a ses.on de ayer,cp naba que de tos de su cupo , y también otros seis que voluntariamente se han oírec.do á but añadirse ai art. x.0 de su dictamen que á ¡os que Se vuelvan d.spues del servir durante la guerra y circunstancias actuales con arreglo…</t>
  </si>
  <si>
    <t>García, M-guel</t>
  </si>
  <si>
    <t>M-guel García</t>
  </si>
  <si>
    <t>…pensión o.-..819; 69-^ de ia Península ios pueblos que recobraron Desde sus derechos, una turba de falsos pol'tícos empezó á exclamar , futra egército, haya solo una exposición de D. M-guel García de la Madrid, con la que remitía las pulidas y guardias nacionales, y sus voces han producido el deseado ob tablas cronológicas del derecho español publicadas por cl misino. jeto. La España no ha tratado de poner un egército respetable; Portugal A la de Hacie…</t>
  </si>
  <si>
    <t>García, Manuel</t>
  </si>
  <si>
    <t>Manuel García</t>
  </si>
  <si>
    <t>…as, usando de ta facul brado a D. tsebastian Fernandez Vallcsa para el ministerio de Gracia tad que se les concede por la Constitución, han decretado: Art. 1.“ Se y Justicia , y i D. Manuel García barros parí el de ¡a Gobernación de ante i'za al Gobierno para suspender, mientras io juzgue oportuno, ia la Península ; debiendo continuar los actuales conforme al decreto de admisión en ¡a Península é islas adyacentes de los buques y cfeclcs 28 de Febrero í…</t>
  </si>
  <si>
    <t>García, María</t>
  </si>
  <si>
    <t>María García</t>
  </si>
  <si>
    <t>…pide la correspondiente autorización para gunda de Hacienda acerca de la concesión de una pensión de 2 poder vender la mitad de sus bienes , por las razones que expo rs. diarios á Doña María García , viuda. nía , era de opinión que no debía accederse á esta solicitud por ca La comisión de Legislación, en vista de la solic’tud de sor recer de los documentos necesarios. Aprobado. Pascuala Pérez, religiosa serv:ta de la ciudad de Valencia, opina La misma c…</t>
  </si>
  <si>
    <t>García, María Teresa</t>
  </si>
  <si>
    <t>María Teresa García</t>
  </si>
  <si>
    <t>…r á los soldados correr por las calles con la esca que se crean con derecho á los bienes quedados por fallecimien rapela nacional en la mano, declarando altamente que habian to de Doña María Teresa García, muger de D. Antonio Col sido engañados, y que dentro de poco derribarían el edificio que menar , de esta vecindad, para que al término de 15 dias, con han ayudado á levantar, y es el gobierno de Oporto. Que el tados desde esta fecha, acudan á deducir el que…</t>
  </si>
  <si>
    <t>García, Miguel</t>
  </si>
  <si>
    <t>Miguel García</t>
  </si>
  <si>
    <t>…iendo lo dilatado de la sesión de Cortríbunalhs. i r rite d:a que le publiquemos íntegro, lo verificaremos en ehptóxi• nt. níiíneru. Por providencia de! Sr. alcalde constitucional D. Miguel García de la Madrid se cita y emplaza 4 D. Matías Perez de Tejada y D. Josef DIRECCION GENERAL DE LOTERIAS NACIONALES. Lima, para que por sí ó por medio de personas autorizadas con poder Noticia de los pueblos donde han cabido los premios mayores de bastante , asoci…</t>
  </si>
  <si>
    <t>…mponen: consta mayor parte de tan buen éxito al movimiento rápido que hizo la ca de dos tomos en 8.° marquilla i 17 rs. cada uno; también se vende en ballería al mando de su digno capitán D. Miguel García ; recomen las principales librerías del reino á jó rs. cada juego por razón de portes. dando al mismo tiempo la bizarría de los caballeros cadetes de Extre El traductof. madura D. Manuel Pecino y D Antonio Moliné. Dios guarde á V. S. Nota. En la gaceta del 25…</t>
  </si>
  <si>
    <t>…e España, al » Debo manifestar á V. E. quc .cn esta hora tengo dividida en partidas fuertes para persecución el número de mas de 700 hombres, por lo que Sr. alcalde constitucional D. Miguel García de la Madrid los núms. 39 y Con Ja poca fuerza que me queda permanezco aquí hasta recibir órdenes de (So dei Zurriago por contener proposiciones injuriosas á dicho Sr. coronel, V. E. de lo que debo hacer : yo espero algunos resultados favorables de es se reun…</t>
  </si>
  <si>
    <t>…cio y millones de la ciudad de León, con antela político da esta provincia , denunció ai Sr. a'caldc constitucio ción de les 300&amp; ducados de la quinta y sexta: situación en ca nal D. Miguel García de la Madrid el núm. 11 del Procurador beza de Gerónimo de Vera y Rótulo—Otro juro de 28,466 ¿eneral del Rey, como subversivo en primer grado. mrs. al quitar, situados en el servicio y millones de la ciudad de En su vista se reunió el jurado , compuesto de lo…</t>
  </si>
  <si>
    <t>García, Miguel Calvo</t>
  </si>
  <si>
    <t>Miguel Calvo García</t>
  </si>
  <si>
    <t>…ncias. En la audiencia territorial de Castilla da Nueva en sala segunda ci No hagamos lo que los atenienses del tiempo de Filipo, los cua vil , y escribanía de Cámara del cargo de D. Miguel Calvo García , pen les hubieron de sufrir el yugo que les impuso este ambicioso Rey por den autos en tercera instancia entre partes, de Ta una el curador áil Uno haber querido abandonar ias delicias y superfluidades del lujo para dé Manuel Pedro y Lucia Barajas , hijos de…</t>
  </si>
  <si>
    <t>García, N.</t>
  </si>
  <si>
    <t>N. García</t>
  </si>
  <si>
    <t>…os retirásemos, y hubiésemos entrado los zoo hombres, miento de Africa resid-nte en aquella plaza. hubiéramos hecho una gran carnicería ; pero al fin hubiéramos Julo D:¡ ciudadano D. N. García, expendedor mayor de efectos estan casi toda la gente, porque ellos estaban bien prevenidos para recibir cad?- en Oüvenza. nos; sin embargo, el miedo les hizo romper el fuego antes de dejarnos Del ayuntamiento constitucional de Carcageme. entrar. En esta desg…</t>
  </si>
  <si>
    <t>García, Nicolás Alonso</t>
  </si>
  <si>
    <t>Nicolás Alonso García</t>
  </si>
  <si>
    <t>…desee asignar alguna parte de sus habe Celedonio Martínez, D. Mariano de Goicochea, D. Baltasar res á sus padres , muger, hijos ó parientes , lo harán presente por Joaquín Perez, D. Nicolás Alonso García, D. Francisco de escrito al inspector general del arma en que sirva, expresando el Palacios, D. Domingo García, D. Francisco del Acebal y Arnombre de Ja persona 6 personas á cuyo favor hace la asignación, ratla , D. Marceliano Torio y Torres y D. Pelayo Zorri…</t>
  </si>
  <si>
    <t>García, Pedro</t>
  </si>
  <si>
    <t>Pedro García</t>
  </si>
  <si>
    <t>…elativo i la aolicitud del pres Sta. Cruz de Tenerife.. bítero secularizado D. Pedro Martin , para que se la aumente la pensión 28, 11 que disfruta; otro acerca da la solicitud de D. Pedro García para qua ae le satisfaga lo que se le debe por los suministros que hizo en la Art. 4* «Para la nueva organización de este cuerpo propondrá el guerra patada i las tropas de Badajoz; y otro relativo á la solicitud de primer cirujano al Gobierno los facultativos…</t>
  </si>
  <si>
    <t>García, Rafael</t>
  </si>
  <si>
    <t>Rafael García</t>
  </si>
  <si>
    <t>…nómero de los discípulos de Mahoma. mandante del tercer escuadrón del regimiento de caballería lan Solo la fe y la esperanza han podido inspirar á los griegos ceros del Soberano, D. Rafael García, que dejó tendidos en las fuerzas necesarias para llevar por tanto tiempo una vjda tan las calles siete enemigos; á D. Manuel Aufion, Teniente con aflictiva. La constancia ha sido entre ellos una virtud que ha grado de Cipitan, y uno de mis Ayudantes de campo…</t>
  </si>
  <si>
    <t>García, Santos Miguel</t>
  </si>
  <si>
    <t>Santos Miguel García</t>
  </si>
  <si>
    <t>…ca. pidiendo la abolición del derecho de décima. Continuó la discusión del reglamento para la dirección de Estudios. La comisión de Instrucción pública en vista de la solicitud de D. Santos Miguel García, opinaba que debía accederse á ella, La comisión convino en que se suspendiese por ahora la admitiéndose en depósito los documentos de créditos contra la discusión del artículo 5.0, á petición del Sr. Gómez Becerra, y asi se acordó.Nación, para revalidarse de…</t>
  </si>
  <si>
    <t>García, Tomas</t>
  </si>
  <si>
    <t>Tomas García</t>
  </si>
  <si>
    <t>…tes , ios cuales serán ridos por nuestra parte, entre ellos un oficial de Valencey, y la des en todo tiempo uno de los antemurales mzs firmas d; ia i.bcrtad es gracia de perder al coronel D. Tomas García , segundo gefe del egérci pañola. to. En elia se vió también á nuestro general dar el noble egemplo de Ojalá que estos egemplos sirvan para hacer conocer á au;stro» ene atravesar placentero el extenso y hediondo fangal que habia á la otra migos la temeridad d…</t>
  </si>
  <si>
    <t>García, Valentín</t>
  </si>
  <si>
    <t>Valentín García</t>
  </si>
  <si>
    <t>…sus destinos. Aqui verán una y otra vez disueltas sus in Idem de S. Juan: D. Pedro Bori. 1 trigas las mas finas, sin oponerles, mas que nuestra característica Idem de la catedral: D. Valentín García y D. Manuel Pró, probidad y energía.” capellán de artillería. Los espectadores de las galerías dieron algunas ipuestras de Empleados: comandante D. Juan Biutista Rullo, D. Josef aprobación. El Sr. Canga pidió que se imprimiera dicho ais-, Fábregas, alcaide de la aduana, y D.…</t>
  </si>
  <si>
    <t>…ef Pineli. Declarado el punto suficientemente discutido, se aprobó la Idem de S. Juan: D. Pedro Eori. proposición del Sr. Marau con la modificación expresada. Idem de la catedral: D. Valentín García. = D.Manuel Pró, Se mandó pasar á la comisión de Hacienda , después de decla capellán de artillería. rada comprendida en el articulo too del reglamento, una propo Empleados: comandante D. Juan Bautista Ruiio. =D. Jo sición del Sr. Albear, para que se presenta…</t>
  </si>
  <si>
    <t>García, Ventura</t>
  </si>
  <si>
    <t>Ventura García</t>
  </si>
  <si>
    <t>…edios Esteban Chaix.__En las ciases de bellas letras y en la de ir úsica de llamar la atención del general Zayas, á quien tanto temen, D. Joaquin Salcedo , accésit en bebas letras D. Ventura García é impedirle que organice el ejército que algún día ha de arro Loigorri, accésit en ia mús;ca D. Mariano Gil, á quien se ad jarlos de las Andalucías.” judicó un premio extraerá mano por su aplicación i varias c’ascs. »» Otro. Según varias cartas de Cataluña ,…</t>
  </si>
  <si>
    <t>García, Vicente</t>
  </si>
  <si>
    <t>Vicente García</t>
  </si>
  <si>
    <t>…c-ibo primero D. Manuel Velazquez Maldonado , y contusos en excede á toda ponderación, y solo de hombres libres pudiera txieitss Caspueftas los milicianos de la cuarta del segundo D. Vicente García y esperarse tanto sacrificio y tanta constancia. Madrid 3 dé Febrero de y D. Jos-f Blanco , y el agregado á la quinta D. N. Robledo. Fu-ron i8i3.=rRodrigo de Arand3. hec1 os prisioneros ry milicianos y dos cornetas de ios que escoltaban El ayuntamiento ha aco…</t>
  </si>
  <si>
    <t>…lia raya ; Tomas Pita , condenado á dos meses.de prisión, y cumplido; últimas noticias lo daban ca Redondel*.....nM‘¡, , Don Ramón Campon , de Rivadeo. . .. ,s Don Joaquín García, D. Vicente García, hermanos, y ej uno gobernador de Marín. . .. . . - . El Monitor de 5 de Agosto copia una. cprto escrita por 111 Don Antonio Blanco, D. Matías Blanco, Francisco Va capitán.,,ayudante tic campo dei general la Rochejaqu'elcin, á lladares , de igual destino. . ,…</t>
  </si>
  <si>
    <t>Garcz</t>
  </si>
  <si>
    <t>…o perder nunca de vista el ínteres del labrador: adoptar aquellas modificaciones que se creyesen convenientes. guiada por este principio ha observado que los pósitos le perjudi El Sr. Garcz: El mismo inconveniente que tenga eL estable can lejos de producirle ventajas. Se cometen en los pósitos gran cimiento de pósitos tendrá el medio subrogado del fondo pío des fraudes; Jos trigos entran en ellos de buena calidad, limpios, beneficial ; pero si e…</t>
  </si>
  <si>
    <t>Gardeabrazo, Luis Francisco de</t>
  </si>
  <si>
    <t>Luis Francisco de Gardeabrazo</t>
  </si>
  <si>
    <t>…o jurioso, calumnioso é infamatorio al regimiento de su mando; y re no lie ten lo des,yacía alguna , y solo la de haber salido herido en un unido el jurado, compuesto de los Srrs. D. Luis Francisco de Gardeabrazo d- íe-ala de" fusil mu segundo ayudante D. León González, liste zabal, D. Juan Josef de! Cubillo, D. Pedro Antonio Carrera , IX Pru dia ha sido uno de los mas g (.rieses que pueden darse á la nación es» dencio Hetnar.'d.z Sta. Cruz , D. Félix Jos-f Reinoso, I…</t>
  </si>
  <si>
    <t>Gardiner</t>
  </si>
  <si>
    <t>…ERICA. estrecho de Behring , y desde allí hasta el grado y 50 minu Nutvti-Yaiík 2 r de Atril. tos de latitud septentrional sobre la costa del Japón. La fragata Hemos sabido por el capitán Gardiner del buque la Baile-* rusa el Apolo debe enviar algunas embarcaciones, y rambicn ir na , que ha venido de las islas de Sandwich, que el bergantín la ella misma á la costa, para hacer salir los buques que se encuen Perla, capitán Chandler,de Boston, habla fonde…</t>
  </si>
  <si>
    <t>Gardncr</t>
  </si>
  <si>
    <t>…dmitido Ja cláusula condicional. Nos parece que esto echa cer un uso exclusivo de la mitad de todo el océano Pacífico. por tierra toda esperanza de Constitución. i? Sabemos por el capitán Gardncr que se halla en NuevaBerdford, y ha llegado de las Islas de Sandwich , que el bergan ALEMANIA. tín Poarl, su capitán Stevens , había arribado á dicho punto cin Augsbusyo l ~ de Jnrdc. co u.as antes que Garduer dejase la costa de Noroeste, habiéndo El siguient…</t>
  </si>
  <si>
    <t>Garibay, Pedro</t>
  </si>
  <si>
    <t>Pedro Garibay</t>
  </si>
  <si>
    <t>…as órdenes que precisamente tema se halla radicada , á decir lo que se les ofrezca en razón de una habi comunicadas al digno oficial Foxí. litación pedida á nombre de los hijos de D. Pedro Garibay , uno de n Me parece que la relación que queda hecha es la recomendación Jos inter-sados en dicha testamentaría ; -percibidos que de 320 verifi mas eficaz que puedo hacer del puñado de hombres que nan tenido la carlo l.:s pirara el periuicio que haya lugar. g…</t>
  </si>
  <si>
    <t>Garighan, Principe de</t>
  </si>
  <si>
    <t>Principe de Garighan</t>
  </si>
  <si>
    <t>…anza; y habrá* llenado tu* deberes. De Ber mento en que se disponían !ss-columnas para el ataque del Tro nardo ¿ qué te puedo decir? si se ha.de separar de ti antes de cadero , el Sr. Principe de Garighan solicitó el honor de mar estar formado, y puede viciarse en .up,,mundo tan peligroso, char con el primer escalón ,' lo que le fue concedido. Se dice mas vale que fuera uij sepcilio lab'aaor. Tú lo consultaras. La que fue uno de los primeros que pasó el foso,…</t>
  </si>
  <si>
    <t>Garin, Vicente</t>
  </si>
  <si>
    <t>Vicente Garin</t>
  </si>
  <si>
    <t>…e coronel D. Mateo Ra mírez , los Sres. oficiales de estado mayor tenientes coroneles D. An El Rey se ha servido dirigir en este dia al mínistrq de Marina el drés García Camba, mi secretario D. Vicente Garin , D. Antonio decreto siguiente : García , capitán D. Ramón Gascón y teniente D. Mariano Herreros, » Atendiendo á lo bien que ha desempeñado D. Mariano Egea en y m s ayudantas de campo coronel D. Pablo Echeverría , comandante calidad de interino el ministerio…</t>
  </si>
  <si>
    <t>Garlee, Diego</t>
  </si>
  <si>
    <t>Diego Garlee</t>
  </si>
  <si>
    <t>…la divisa de su grado en el que no han cedido el segundo comandante general goberna sin el correspondiente nombramiento dado por el comandante dor de la plaza el mariscal de campo D. Diego Garlee , el de la general de las partidas de la provincia, de acuerdo con la diputa misma clase barón de Andilla, encargado de la defensa de la de ción provincial de la misma, y visado por el comandante general recha del recinto de la muralla, y el brigadier conde d…</t>
  </si>
  <si>
    <t>Garmenclia, Josef Rives</t>
  </si>
  <si>
    <t>Josef Rives Garmenclia</t>
  </si>
  <si>
    <t>…En su vista se reunió el jurado, compuesto de los Sres. siguientes: Se leyó la siguiente proposición de los Sres. Ferrer (D. Joaquín ) y D. Carlos Romeral, D. Juan Antonio Marcos, D. Josef Rives Garmenclia: ..Pedimos á las Cortes que en atención á las circunstancias Queraltó, D. Matías Piniila, D. Zoilo Gómez Casero, D. Juan Anto en que se halla la provincia de S. Sebastian, la cual confina con Francia, nio López, D. Gaspar Aguilera, D. Bernardo Aser,jo, D. Nic…</t>
  </si>
  <si>
    <t>Garmend</t>
  </si>
  <si>
    <t>…y viendo que no llegaba la columna Hacienda , por el Sr. Romero. de esta ciudad que había salido a proteger hasta Villabona un convoy Del ayuntamiento de Iiun y dei de.... por el Sr. Garmend/a. de armas y municiones, pasaron en número de aa aunados, ademas de Délos individuos de ia milicia activa de Córdoba, del ayuntaotros ocho que qm daron ~n el mismo pueblo para ia guardia de noche, miento f milicia y cura párroco de A-mciiiua. á Oyazan , en u…</t>
  </si>
  <si>
    <t>Garmendia</t>
  </si>
  <si>
    <t>…a sesión de Cortes del 14. S* leyó el proyecto de ordenanza para reemplazo del egército, y El Sr. Serpa Pinto pronunció un largo y elocuente discurso en apo el voto particular del Sr. Garmendia. Se mandó imprimir. yo del dictamen de la comisión, aprobando la conducta del Gobierno Se procedió á la discusión del dictamen de la comisión de Código en el asunto de la Reina; la cual dijo que jncrecia una conAderacíoa de procedimientos señalada para hoy. L…</t>
  </si>
  <si>
    <t>Garmendía</t>
  </si>
  <si>
    <t>…có 46, el Sr. Munarnz uno, mis relaciones. el Sr. Becerra uno, el m. Vega nnn, ol s«. Cnas uno, d o.. Im .n,. En otras del 18 se dice : Se ha formado un Congreso para arre uno, el Sr. Garmendía uno, el Sr Fetrcr (D. Joaquin ) uno, el se glar el mido de minorar &lt;1 poder é influencia de S. Martin a su vuel ñor Escobedo dos, el Sr. Saiavia uno, el Sr. Tomas uno , y el señor ta de Guayaquil.__Han despojado de su empleo á Monteagudo ,de cu Prado uno. yas…</t>
  </si>
  <si>
    <t>…bres libres. mas y municiones, pertrechos y cualesquiera efectos de guerra. Art. 15. « Del mismo modo se le autoriza para construir, com Nota. Una de las dos felicitaciones que el Sr. Garmendia leyó á prar óernburgitr , según calcule mas útil y expedito, el número de em las Cortes en la sesión del 10 fue de la milicia N. V. de la villa de barcaciones menores necesarias para armar por ahora 150 cafioiterosque -Toloia, cuya expresión dejó de hacerse e…</t>
  </si>
  <si>
    <t>…se acordó por el citado Sr. juez tos , teniendo uno el Sr. Marchámalo. en providencia de 8 de Enero último entre otras cosas se procediese al En la t 5.a votación salió elegido e! Sr. Garmendia por 78 votos, ha secuestro de los indicados tres solares, como se ha egecutado , y á la fija biendo tenido dos el Sr. Aillon. ción de los tres edictos que previene la instrucción vigente del ramo de En la -5.a votación quedó elegido por 79 votos el Sr. Aillon…</t>
  </si>
  <si>
    <t>…a discusión de las medidas propuestis por la comi sobre las medidas extraordinarias propuestas por el gobierno: del sión especial encargada de informar sobre .a, propuestas por el Sr. Garmendia, contrario á haber sido admitido en su totalidad Gob'crno. el proyecto segundo presentarlo por la misma comisión espacia!, Art. i.° Ei Gobierno, los generales en eefe y coman y á haber sido aprobado el artículo r.° del expresado proyecto: del dante» generales…</t>
  </si>
  <si>
    <t>…con carácter de Se leyó y quedó aprobada el acta de la anterior. ley. Componíanla los Sres. Escovedo , Salva, Marau , Galiano, A la comisión de Guerra se mandó pasar un oficio del señor Garmendia, Rico, Orduña, Lis, Afonzo, Prat, Villavíeja, secretario de la Guerra, acompañando una consulta de la junta Saravia , Belda , Alix , y los Sres. secretarios Lillo y Tejeiro. de inspectores acerca de la inteligencia del art 16 del decreto de Continuó la discus…</t>
  </si>
  <si>
    <t>Garni, Vicente</t>
  </si>
  <si>
    <t>Vicente Garni</t>
  </si>
  <si>
    <t>…. conocia el peligro en que se hallaba: le dantes de estado mayor general tenientes coroneles D. Miguel de ofrecieron algunos cordiales para reanimarlo , y respondió: &lt;&gt; No Araoz, D. Vicente Garni , secretario mió , y cap tan D. Luis »tenco que tomar otro cuidado que el de preparar mi alma para Raseti, mis ayudantes de campo coronel D. Pablo de Echever dar cuenta ;í Dios de mi larga vida.” ría, tenientes coroneles D. Ramón Nadal, D. Manuel SanjuaneEl 1…</t>
  </si>
  <si>
    <t>Garnv, Martin de</t>
  </si>
  <si>
    <t>Martin de Garnv</t>
  </si>
  <si>
    <t>…opios de la misma. de Gracia y Justicia , manifestando el fallecimiento de los conse La comisión de Legislación , en vista de la solicitud de Doña jeros de Estado T&gt;. Pedro Agar y D. Martin de Garnv. Rosa Garmona pira que se le dispense de una de las cualidades que A la comisión de Casos de responsabilidad se mandaron pa necesita para ser maestra de niñas, opinaba que debía acceder se í sar dos exposiciones, una del ayuntamiento constitucional de ia esta…</t>
  </si>
  <si>
    <t>Garoz</t>
  </si>
  <si>
    <t>…s S. S. que el número indefinido de estas compañías ofrecía mayores in provinciales. convenientes que lo propuesto en el proyecto desechado; pero yo no Después de haber apoyado el Sr. Garoz , como de la comisión , es encuentro ninguno, porque se encarga su formación á las diputaciones te artículo, se declaró e. punto suficientemente discutido, y quedó provinciales, corporaciones que merecen la confianza de las Cortes, y aprebado el artículo, aña…</t>
  </si>
  <si>
    <t>…fuesen remitidos. Asi se acordó. ledo y del ayuntamiento , clero y milicia voluntaría de Yebenes, Se leyó y mandó imprimí: un dictamen de ¡i comisión de Marina presenta las por el Sr. Garoz. sobre aprehensión de desertores de !a armada. I^ual resolución recayó srbre otra exposición de la diputación proContinuó la discusión del voto particular de los Sres. Canga é Is- vinca! de Córdoba , presen :ada por si Sr. Melendez, turiz sobre el expediente…</t>
  </si>
  <si>
    <t>…tanto los arts. 283 v 284 de la Con si tucion , opinaba que debía ex oírse la ¡clamen de la comisión. responsabilidad á los cónsules que componían ei tribuna: , al-isesor D. do El Sr. Garoz sostuvo el. dictamen de la comisión, manifestando que sel Fernandez Mesa , y al escribano D. Juan Mir.uei Gutiérrez. Ap-o '••.ia. las circunstancias del suceso disminuían notablemente la culpa que podía Se aprobó la siguiente proposic-on del Sr. clauca, -pido…</t>
  </si>
  <si>
    <t>…quien están agre votos, habiendo tenido uno el Sr. Somoza. gadas esta clase de fincas, y les parará el perjuicio que haya lugar. En la 29.a votación quedó elegido por 85 votos el Sr. Garoz (tenien Por providencia desala segunda criminal de esta audiencia territorial do uno el Sr. Saivedra. de Castilla la Nueva, fecha 27 de Febrero último, se manda citar al li En la 30.a votación fue electo el Sr. Fernandez Cid por 85 votos , te cenciado D. Anto…</t>
  </si>
  <si>
    <t>…opinando deb an aprobarse varios artículos , reducidos á lo Se mandaron pasar á la comisión dos proposiciones, una del siguiente: i.° Conforme al art 5.0 del decreto de i.° de No Sr. Garoz, en que proponía varias medidas en sustitución á la viembre de 1822 se declara para los fines que en él se indican, primera desaprobada por las Cortes en Ja sesión de anoche, y serán vendidos y aplicados al erario los bienes de todos los espa otra del Sr. Ric…</t>
  </si>
  <si>
    <t>…ente: i.° Conforme ¿1 artículo 5.0 del decreto de i.° de Se mandaron pasar. í la comisión dos proposiciones; una Noviembre de 1821 se declara, para los fines que en él se indi del Sr. Garoz, en la que proponía varias medidas en lugar de can, serán vendidos y aplicados al erario los bienes de todos los la i.* desaprobada por las Cortes; y otra del Sr. Rico para españoles que siguen al egército francés, ó que formen las par que la cantidad alzada…</t>
  </si>
  <si>
    <t>…de esta leí sin limitación de grado. de dogma : a mas de que en el articulóse decía; sin - Después de algunas observaciones hechas por el per judio de sufrir la pena señalada Scc. Sr. Garoz á las que satisfizo el Sr. lluiz de la Vega El Sr. Varida impugnó el artículo en concepto puedo aprobado este artículo. de inútil, porque las palabras cpie verse priiv ipál Aid. 5. ° Cuando existan personas llamadas nu- mente sobre los dogmas ofrecía nn campo…</t>
  </si>
  <si>
    <t>Garque, Josef</t>
  </si>
  <si>
    <t>Josef Garque</t>
  </si>
  <si>
    <t>…uán admi En los dias 3, 4, 5 y ó de este mes se han celebrado exá rable es ver abandonados y dispersos dos batallones de M. N. V., menes de cuatrimestre en la casa de educación de D. Josef Garque tan útiles serian en tas presentes circunstancio*, y que se riga, calle ancha de S. Bernardo, núm. 1 , manz. 485 , á les permita residir en Cádiz á individuos que después de amotinar que ha concurrido un numeroso concurso, asi ds los padres y á Córdoba salier…</t>
  </si>
  <si>
    <t>Garrea</t>
  </si>
  <si>
    <t>…uevo. donarse los crímenes cometidos anteriormente, y entonces ñaua se con Ademas de lo que va referido tenemos nosotros i la vista una seguirá con esta medida. caita original del coronel Garrea , cuyo contenido es el siguiente: He manifestado mi opinión con franqueza ,7 no puedo menos de Carta del corctel Curren. decir que yo convendría con la comisión si el dictamen d-jese que Cahiria j de Febrero de 1 ¡¿ej. » Mi afectísimo amigo Abad : Es pudiese…</t>
  </si>
  <si>
    <t>Garrea, Manuel</t>
  </si>
  <si>
    <t>Manuel Garrea</t>
  </si>
  <si>
    <t>…prendí la marcha desde este puatoí tas doce de » Las acertadas-disposiciones de! comandante de la quinta división la noche con 4 compañías del batallón de ia .Corana , 100 hombres D. Manuel Garrea produjeron tan bridante resultado , que le hace me de Hostalrich y la compañía de vo.úntanos de Camarita, con el do recedor de la gratitud de la patria ; y uno ms votos á los de este gefe ble objeto de reforzar á Bicigahipi, y estar dispuesto para batir al en…</t>
  </si>
  <si>
    <t>Garrido, Marcelino</t>
  </si>
  <si>
    <t>Marcelino Garrido</t>
  </si>
  <si>
    <t>…a hecho el comercio de Burdeos se decia ya que D. Juan Briz , D. Julián Arias Rabanal , D. Antonio Rodríguez, S. A. R. la duquesa de Angulema suspendería su premeditado viage á es D. Marcelino Garrido , D. Josef Cepeda del Rio, D. Sancho Sanabria, ta ciudad. D. Juan Martin Carnes, D. Jacinto de las Heras, D. Francisco Caldas y Los nceocios políticos de la Alemania meridional no acaban de ada D. Pedro Duran Vera Campo , han dirigido al Rey una exposición, e…</t>
  </si>
  <si>
    <t>Garrido, Rafael</t>
  </si>
  <si>
    <t>Rafael Garrido</t>
  </si>
  <si>
    <t>…ente: particular y privativa del ramo de Mostrencos de la ciudad de Alcalá de Henares y su partido, que está ácargo del Sr. Doctor Cuerpos que componen la guarnición de la Coruña. D. Rafael Garrido, y por la escribanía de D. Benigno Vera, trímera brigada. Hombres, que ss le admitirá siendo arreglada, y se señalará día para su re mate, enterando al mismo tiempo al postor de las condiciones Infantería de Granada............................................…</t>
  </si>
  <si>
    <t>Garriga, Josef</t>
  </si>
  <si>
    <t>Josef Garriga</t>
  </si>
  <si>
    <t>…s de la patria observando la Constitución, o á triunfar con ella. Idem del Pino: D. Francisco Cabrio!, z: D. Juan Sala. = Lí Sr. Marau manifestó, que por su parte no tenia inconve D. Josef Garriga. = D. Francisco Samper.= D. Pedro Ber niente en subrurar en lugar dei término de las 48 lloras las si nardo Ala. — D. Juan Pablo Ferrer. =D. Narciso Vivar. = guientes palabras; » en ei término mas breve posible.” D. josef Pineli. Declarado el punto suficiente…</t>
  </si>
  <si>
    <t>Gas, Baltasar</t>
  </si>
  <si>
    <t>Baltasar Gas</t>
  </si>
  <si>
    <t>…testas y Dos saleros, todas de plata. Ocho mil rs. vn. en ig onzas de oro. seguridades del General Savary, que llegó por entonces, y le Los billetes se despachan en la platería de D. Baltasar Gas habló en una audiencia como enviado de Napoleón, decidieron eo, calle dé Carretas, esquina á la Puerta del Sol: en las libre á S. M. á ir ai encuentro de un supuesto aliado, á quien sus cie rías de D. Juan Pablo, calle de Atocha; en la de Fuentes, calle gos a…</t>
  </si>
  <si>
    <t>Gasalla, Bernardo</t>
  </si>
  <si>
    <t>Bernardo Gasalla</t>
  </si>
  <si>
    <t>…val, general en gefe del tercer egér- en dicho juzgado se siguen á instancia de Doña Gabriela Ruiz, viuda cito de operaciones, y gefe político de esta provincia, ha dirigido al de D. Bernardo Gasalla, sobre reclamación de once vales Ríales ex Gobierno el parte siguiente:_Excmo. Sr.: De los detalles circunstan traídos al mismo, y entre ellos los que van referidos; con apercibi ciados que h- recibido de la sorpresa hecha el 19 del anterior á los fac miento…</t>
  </si>
  <si>
    <t>Gasatr.ayor, Josct</t>
  </si>
  <si>
    <t>Josct Gasatr.ayor</t>
  </si>
  <si>
    <t>…2 piezas mandadas por Sola patriota D. Francisco Díaz de Morales qmso acompañarme. y no v D. -Miguel de Omni, sostenidas por la columna de Soria, también comunicó algunas ordenes D. Josct Gasatr.ayor , ayudan quedando las 2 restantes con escolta en la Cruz cubierta ; la dere* te de campo ale V. S., que estuvo conmigo desde que nos adelan ib.a en que estaba el 13 de línea y media compañía de cazadores tamos. El bizarro teniente coronel D. Pablo Par se hall…</t>
  </si>
  <si>
    <t>Gascón, Ramón</t>
  </si>
  <si>
    <t>Ramón Gascón</t>
  </si>
  <si>
    <t>…entes coroneles D. An El Rey se ha servido dirigir en este dia al mínistrq de Marina el drés García Camba, mi secretario D. Vicente Garin , D. Antonio decreto siguiente : García , capitán D. Ramón Gascón y teniente D. Mariano Herreros, » Atendiendo á lo bien que ha desempeñado D. Mariano Egea en y m s ayudantas de campo coronel D. Pablo Echeverría , comandante calidad de interino el ministerio de Hacienda , lie venido en nombrar de es uadron D. Ramón Nadal ,…</t>
  </si>
  <si>
    <t>…icación constante....... neles D. Andrés Garda Camba, nii secretario D V.cente Ga- Para juzgar del carácter moral de itv. «aii~*..-r» americanos es nn, D. Antonro García , cap tan D. Ramón Gascón y teniente preciso considerar ios principios de su conducta. Se !&lt;s cree pro D- Mariano Herreros; y m.s ayudantes de campo coronel Don pensos á la traición, porque en plena paz y sin nuuuna especie de lJab!o Echeverría, comandante de escuadrón D.Ramón Nadal ¡…</t>
  </si>
  <si>
    <t>Gasé, Jostf María</t>
  </si>
  <si>
    <t>Jostf María Gasé</t>
  </si>
  <si>
    <t>…. i la havonrta con ei resto de la columna, coi.-.pu. sta de los de Be- De ia sociedad patriótica de Avila , presentada y leída por el se lanzr s y .Salamanca, los pr.m ros por el capitán D. Jostf María Gasé, ñor Guevara. D. Antonio Miranda de '.astro, tenientes L). Eduardo Amado , Don De la milicia nac'onal local de Usuna.</t>
  </si>
  <si>
    <t>Gaseo, Francisco Fernandez</t>
  </si>
  <si>
    <t>Francisco Fernandez Gaseo</t>
  </si>
  <si>
    <t>…cimiento de casas de corrección y demás =!lstá rubricado de la Real mano.=:En palacio á a8 de Diciembre edificios que hace necesarios el código penal. (Gttceta. del i3.) de 1822—A D. Francisco Fernandez Gaseo. Decreto de las Cortes suprimiendo los conventos que esten en deapoblado y en pueblos que no pasen de 450 vecinos. (Gaceta del 14.) El Gobierno ha recibido los partes siguientes. Circular del ministerio sobre los derechos de estola que deben per Ejército de o…</t>
  </si>
  <si>
    <t>…to al número 8 del Procu la Rea! mano.= En palacio á diez y nueve de Marzo de mil ochocien rador general dei Rey, en concepto dé subversivo en primer grado. tos veinte y tres. = A D. Francisco Fernandez Gaseo. En su vista se reunió el jurado, compuesto de los Sres. siguientes: D. Luis de Mata Araujo, D- Juan. Antonio Marco, D- Andrea Moya Luzuriaga, D- Saturnino Lozano, D. Josef Castel, D. Andrés (4) Los español» lo conocen ; y extrañan que el Sr. Chateaubriand Al…</t>
  </si>
  <si>
    <t>…a, y los asun tos pendientes, y levantó la sesión á las tres. ARTICULO DE OFICIO. Orden de la plaza del 4 al $ de Mayo. El Rey ha expedido el decreto siguiente: Habiendo concluido D. Francisco Fernandez Gaseo la lectu Gefe de día el segundo comandante de la milicia activa ra de la memoria concerniente á Ja secretaría del Despacho de la D. Domingo Surga__ Servicio á palacio la milicia activa y mili Gobernación de la Península, que tenia á su cargo, lie venido en ci…</t>
  </si>
  <si>
    <t>…y método establecido en Esta rubricado de ia Real mano. = En el Real alcazar de Sevilla la ordenanza para el reemplazo del ejercito de 3 de Febrero últi á 28 de Abril de 1823. = A D. Francisco Fernandez Gaseo.” mo, conforme á lo que se expresará en Jos artículos siguientes: I¡rentar etel m¡ni;tt¡¡&gt; de tjaiienda. Art. t.° Luego que un miliciano de un puebio sea dado de baja El Rey , en vísta de consulta hecha por el interventor de por haber cumplido su tiempo de se…</t>
  </si>
  <si>
    <t>Gasol, Pedro Mártir</t>
  </si>
  <si>
    <t>Pedro Mártir Gasol</t>
  </si>
  <si>
    <t>…puesto guiente fue recogido en la casa de D. Matías Casanovas , y del que se la autoridad había restablecido prontamente el orden con sus buenas hicieron luego cargo los oficiales D. Pedro Mártir Gasol y D. Remigio providencias. Antes de salir de Cataluña habian depuesto i Romanillos, Barea que se presentaron con 14 voluntarios y con el sargento de la y nombrado coronel a su asistente, que se puso al instante el uniforme patrulla : los facciosos en su fuga robaron dos c…</t>
  </si>
  <si>
    <t>Gaspar</t>
  </si>
  <si>
    <t>…idad de 1573 rs., á rebajar de ellos España di jo por los años de 1796 en la plaza de los coros de Madrid las cargas que tenga sobre sí dicha finca, y á pagar el resto que resulte D. Gaspar de jovellanos. Esta edición, que acaba de salir, se aventaja conforme á los decreto» de Jas Cortes, sus dos terceras partes en papel á las demas que se han publicado, asi en la corrección como en la contra el Estado, y la otra tercera corrcspondi-nto al. denu…</t>
  </si>
  <si>
    <t>…dos en' jurado de calificación los Sres. D. Martin Zarandia, Los que deseen suscribirse á la Gaceta de Madrid ó i la Gaceta es D. Joacuin Cevallos, D. Ramón Llord,D. Josef Cartel, D. Gaspar pañola , ó bien á Ies dos, podrán hacerlo tanto en la imprenta nacional Aguii.:ra, D- Antonio Gamonal, D. Francisco Barra, D. Nicolás de esta capital, como en la misma en Sevilla, é igualmente que en to Hered.ro Mayoral, D. Juan Paz , D. Manuel Carnicero , D.…</t>
  </si>
  <si>
    <t>…para sí teger á sus s .bd tos contra las trop.iías de los jueces y demas au m emo, y en nombre’ de su amo y dtL emperador , oo.r todas las toridades eclesiásticas. Eeiipe mandó al cardenal D. Gaspar de ofensas de que se hacia mención en eí tratauo de paz, igualmente Forja, sit embajador eu Roma , que representase sobre este asun-, que de la absolución de las censuras etr que cada uno de ellos ha to , y le encar0ó en 17 de Setiembre que procurase inclinar…</t>
  </si>
  <si>
    <t>GasparNación</t>
  </si>
  <si>
    <t>…bertad, y de émcjUdores a la desobediencia en primer grado. En su v.rsu noble ambición de sacrificarse por el honor é independencia de la ‘ud *e compuesto de los Sres. siguientes: D. GasparNación española , después de haber‘accedido á tan justa solicitud, d“ 'eh^ado* a' ^J,aan Is‘doro P«ez, D. Lerna,do Asen,o, D. iv,ar man dando al inspector de caballería que destine á Eguren al cuerpo que . TrJrT l’ n T T n t 1, d‘: r°) 0S 7 le acomode de los que se…</t>
  </si>
  <si>
    <t>Gastón</t>
  </si>
  <si>
    <t>…inconsecuencias han dado motivo á que se re ria en el acto, por el cual el último bástago de esta familia, el pute á Napoleón como un hombre guinde á medi.is , y que se le sjrari duque Gastón, legó (dicen) á su Nación la libertad que sus represente haciendo esfuerzos para perfeccionar su brillante des mayores le habían tenido usurpada por tanto tiempo. potismo por los mismos medios que conducen naturalmente á los Tampoco pasa en olvido Lady Morgan…</t>
  </si>
  <si>
    <t>Gataicochea, Rafael María</t>
  </si>
  <si>
    <t>Rafael María Gataicochea</t>
  </si>
  <si>
    <t>…ión es» dencio Hetnar.'d.z Sta. Cruz , D. Félix Jos-f Reinoso, IX josef Juan paño'ri , no por el número con qu: combatieron, sino por las fatales de Puyad-, D. Antonio de CMazina, D. Rafael María Gataicochea y consecti-ncia, que s&gt;r pud; ran haber experimentado en este pais, si por IX Josef de Resust3, por unanimidad declaró no haber lugar á la for inas tiempo se hubiese d jado di destruir la mencionada facción. Los mación de causa. individuos da esta columna de…</t>
  </si>
  <si>
    <t>Gataicochea, Rafael María de</t>
  </si>
  <si>
    <t>Rafael María de Gataicochea</t>
  </si>
  <si>
    <t>…y otro oficia! , con 8 hombres muertos, Antonio de Fuentes, D. Pedro Antonio Carrera, D. Antonio Cana8; cabaih-s, todas las lanzas, fusiles, tercerolas y sables que quedaron dril, D. Rafael María de Gataicochea , D. Pedro Antonio de Aguiren mi pedir; podiendo asegurar á Ü. que ;sia facción quedo entera» re , D. Juan Josef del Cubillo y D. Francisco de Puga , por unanimi mente destruid* , pues apenas futirán poded» salvarse en dispersión de dad declaró haber lugür á…</t>
  </si>
  <si>
    <t>Gatens, Jacobo</t>
  </si>
  <si>
    <t>Jacobo Gatens</t>
  </si>
  <si>
    <t>…lamos de la Grecia, á la cual parece que destinó Adarraga: 23,779,23,780, 23,781,23,782 , 23,783,23,784 la Providencia para ser prodigiosa y sublime en todos tiempos. 24,073. Id á D. Jacobo Gatens 24,074, 24,075 y 24,076 He aquí una relación exacta de los acontecimientos mas nota Íd á D. Simón López 24,339 y 24,344. bles que ha habido en el continente que está situado fuera del Pe- La persona á quien en el viage que ha hecho el Gobierno des loponeso. d…</t>
  </si>
  <si>
    <t>Gatiano</t>
  </si>
  <si>
    <t>…s co gieron ó cubados, 19 fusile* , 7 pistolas , a lai.z.i,, 2 cargas de mu Se leyó el acts de la anterior. niciones, muchas prendas de vestuario y otros efectos de poca cunsi- El Sr. Gatiano: Desearía que para dar mayor so’emnidad al acto deracion. Por nuestra parte no hubo la menor desgiacia , sin embargo de la sesión de ayer, que debe ser una de las épocas mas memorab.es de la intrepidez con que atacaron todos los cuerpos de la división ai en !…</t>
  </si>
  <si>
    <t>…lde. Aun permanecía en este De los individuos que componen la dirección de Fomento general puesto S. S. cuando se presentaron de nuevo y por repetidas ocasiones del reino , por el Sr. Gatiano. algunos de los mismos hombres armados, y uno ó dos de ellos pidió Del resguardo municipal de Madrid. a! mismo Sr. alcalde el relevo de esta guardia, amenazándole y gri De D. Pascual Puertolas , comandante de batallón. tando que habría sangre si no se efectua…</t>
  </si>
  <si>
    <t>…pidió con el objeto de acabar con los que el de ahorrar tiempo al hacer el reemplazo que se decretaba. facciosos que infestaban los distritos 5.0, 6° y 7 'J, y no bau sido ilu El Sr. Gatiano: Me opongo á este artículo, fundando mi opinión sorias sus esperanzas, pues ha visto afortunadamente que se han dis sobte las mismas bases que ha sentado el Sr. preopinante. La respuesta minuido en el 7.0 distrito por ¡as acertadas operaciones del general de…</t>
  </si>
  <si>
    <t>…verificase no respondían de le» re fue hacer mas que archivar el proyecto.) sultados. El Sr, Isturíz manifestó que puesto que la comisión había achí;da Se leyó una proposición del Sr. Gatiano, reducida í pedir á las Cor ya este asunto no había nada que decir sobre el,particular, siendo una tes que las certificaciones que se acababan de leer comunicaras por el Mttima que is estuviese perdiendo el tiempo con un proyecto reducido Gobierno de S. M. a…</t>
  </si>
  <si>
    <t>Gatica, Juan Martínez de</t>
  </si>
  <si>
    <t>Juan Martínez de Gatica</t>
  </si>
  <si>
    <t>…a. Justamente Los procuradores síndicos 2.0 y 3.0 del Excmo. ayuntamiento de esta es todo su conato; conservarlo puro, árme, indestructible, y tan Cádiz D. Santiago de la Azuela y D. Juan Martínez de Gatica de íntegro como lo establece la Constitución, que le da una solidez nunciaron como sedicioso en primer grado, é incitador á ía desobedien eterna. cia en segundo , c! a.título comunicado inserto en el núm. 15 del pe s»S¡ la guerra es inevitable , 2ñade S. M. L…</t>
  </si>
  <si>
    <t>Gatrigá, Ramón</t>
  </si>
  <si>
    <t>Ramón Gatrigá</t>
  </si>
  <si>
    <t>…arte de ellas de los mas fendiéndose y animando á sus conciudadanos, no perdonando fatiga ni decididos por el servilismo y mas comprometidos en sus maquinacio pengrbysingularmente D. Ramón Gatrigá , vicario, y D. Cír’.'S Mi nes, asesinando dos mugeres por no sé que disputa sobre re ig on , y nió , organista.=Lo traslado á V. E. para los efectos consiguientes , no tratando á las demas personas con toda ciase de ínsu tos y vejaciones. pudiendo menos de r…</t>
  </si>
  <si>
    <t>Gatuno</t>
  </si>
  <si>
    <t>…s qu: asiscierca á dicha sesión. atontes inmediatos. E' Sr. Alonso: Pido que ad mis de hac-ise lo picpuesto por e¡ » Posteriormente habiendo tenido noticias en aquella misma noche Sr. Gatuno se publique el acta para que sea eterna la mtmor.a del dia de que se había reunido en la Girrigi con las facciones íc.endas ia de de zy.-r. Mosen Antón, envié por la matírugadu dei 16 ia vouipaiv.i de caz.co Éi Sr. Casas: Que s* imprima y se circule á todos l…</t>
  </si>
  <si>
    <t>Gaultier</t>
  </si>
  <si>
    <t>…$00 Caballos, to de la derecha , que constaba de ao hombres, y puso fuego á habiendo muerto á Fermín Estevez, vecino de S. Fronsis, que )as casas mas cercanás á la plaza; pero el capitán Gaultier , del ¿n unión de otrús rondaba en su arrabal en cumplim ento de j^,0 de línea, reforzado por una compañía escogida, volvió á ordenes que se le* habian comunicado. Como ¿ cosa de las cinco tomar luego su posición , é hizo apagar el fuego. Al misma de dicha ma…</t>
  </si>
  <si>
    <t>Gauna, Juan de</t>
  </si>
  <si>
    <t>Juan de Gauna</t>
  </si>
  <si>
    <t>…ntazgo de Madrid , en cabeza cíel contador Juan de Valer», de 7500 mrs. : otro en millones de Jacn en cabeza lien considera con disposición para el cabal desempeño de cualquier de D. Juan de Gauna , de 133,898 mrs ; y últimamente otro situadestino que exija un sugeto de patriotismo y firmeza ¿ toda prueba, do en millones de Sevii’c., en cabeza de Doña Josefa Monteser, decon las demas apreciabics cualidades que reúne Topete. 122,400 mrs. Se iuplic3 á la…</t>
  </si>
  <si>
    <t>Gauna, Juan di</t>
  </si>
  <si>
    <t>Juan di Gauna</t>
  </si>
  <si>
    <t>…s.: otro en la propia renta,mereciendo atención entre sus contestaciones la de que mejor quiere ser cabo de escuadra en su nación que general en el llamado imperio me en cabeza de D. Juan di Gauna , de 118,810 mrs.: otio en alcabalas jicano ; y añadiendo que basta le han brindado con ocho ó diez mil reales del campo de Calatrava , en cabeza de D. Francisco Maidonado de Zayas, de 11,019 mrs. : otro en el servicio ordinario dal campo depesos para que fac…</t>
  </si>
  <si>
    <t>Gavina, Juan</t>
  </si>
  <si>
    <t>Juan Gavina</t>
  </si>
  <si>
    <t>…S t ron en dicha ciudad 300 franceses heridos y un gran número dft Antonio Abad D. Agustín Contreras, D. Francisco Arizcun prisioneros (6).” D. joicf Muñoz, D. Pedro Ballesteros , D. Juan Gavina, Don *&gt; Campamento de S. Gerónimo 26 de Junio de 1823. Josef López Robredo, D. Joaquín Cortina, D. Carlos Vega, n En este instante acabamos de llegar á este campamento de D. Saturnino Heras y D. Salvador López, bajo la dirección del una gran acción y retirada…</t>
  </si>
  <si>
    <t>Gaya, Juan</t>
  </si>
  <si>
    <t>Juan Gaya</t>
  </si>
  <si>
    <t>…úblicas, perfeccionando Ei Sr. Vaidés f D. Cayetano ) presentó á las Con... -na exposición la educación de ia clase indigente, facilitando la adquisición de la pro de', clu laJano D. Juan Gaya , del comercio de Alicante , en que pi piedad, asegurando su libre y pleno goza , y fomentando el amor al tra de se dispense á su li jo único de edad de 164 años el tiempo que bajo por todos los caminos que se bailan abiertos en un pais gobernado le falta par…</t>
  </si>
  <si>
    <t>Gayoso, Bruno Antonio</t>
  </si>
  <si>
    <t>Bruno Antonio Gayoso</t>
  </si>
  <si>
    <t>…ara ser propuestos de segundos comandantes,&gt; 12000 ix Juan Ncppmuceno Mancebo. I (•según el articulo 8.° del citado decreto.............. J 1&gt;. Antonio Torres..................... D. Bruno Antonio Gayoso. . . D. -Marcos Antonio Menczo. IX Juan Castriilon. D. Juan Vidi. D. Eduardo Brett. j Segundos tenientes. . . Idem ídem ídem. io8qoD. Manuel Alaria de la Calle. D. Ramón Fabregues. D. Antonio Perez de Barragas. D. Josef Joaquín de OJaciregui D. Joaquín Martín…</t>
  </si>
  <si>
    <t>Gazron, Salvador</t>
  </si>
  <si>
    <t>Salvador Gazron</t>
  </si>
  <si>
    <t>…tado como perturbador de la tran JUeyo, núm. 103 de 20 del actual; y retiñido el jurado , com quilidad pública, y como til se le formará causa inmed atañiente. puesto de los Sres. D. Salvador Gazron de bala/ar, D. Francico 4.0 Se reproduce en todas sus partes el bando publicado por Puga , D. Félix Josef Reinoso , D- Agustín de Goicovchea , .* hm el Excmo. ayuntamiento de- esta capital en 11 de Junio de 1822, Josef María Villaianda, D. Juan F’aut-slu Vea-…</t>
  </si>
  <si>
    <t>Gcsford</t>
  </si>
  <si>
    <t>…parte no es ahora de! todo exacto J William Bentinck; entre ellas se distinguían las siguientes : lord paralelo), y apoyadas por ias del resto de Europa, quiero decir, Grosvenor , lord Gcsford, lord Lansdownc, lord Grey , lord la confederación germánica , cuyos ejércitos siguieron á Jos fran Erskine, lord Lynedoch, lord Nugert, lord John Russsll, lord ceses: iguales declamaciones hubo entonces sobre el estado de ar.trWilliam lUussell, lord Nonnanby…</t>
  </si>
  <si>
    <t>Gdtrea</t>
  </si>
  <si>
    <t>…nlíé'ndosé solo con les devengados hasta fin del se do en el campo zoo muertos , entre ellos al gobernador de aquc.las for gundo aro económico.. . . ' / talezas.‘y que él teniente coronel Gdtrea ib» en persecución de los da Art. 3.0 .«Que no había inconveniente en acceder á io que se pe mas fasciosos, que huían presurosos atrojando las armas y mochilas. dia en la 3.a propuesta, entendiéndose q'Ud lá acción del Gobierno ha Se leyó el dictatnep'de la c…</t>
  </si>
  <si>
    <t>Ge</t>
  </si>
  <si>
    <t>…e Y otra sobre eL dia desde el cual deben observarse las leyes. ría en cualquiera otra causa de falsificación, satisfaciéndose des A la comisión de Guerra se pasó una instancia de D. Ge pués los gastos de los bienes que se encontrasen á los reos como rónimo Cortes , ex—guardia, y escribiente de la secretaría de las falsificadores. Cortes , en la que exponía que en vista del condicto en que se El Sr. Marau expuso que la comisión habia mirado…</t>
  </si>
  <si>
    <t>…no* gencia del Reino que el administrador de Avüa le ha dado de combates al frente de 2$ soldados perjuros, presididos por el parte de que bailándose en dicha ciudad la d.v.uon de D. Ge cruel tirano Cabrera Nevares en Soria, hizo reventar sus pechos rónimo Merino, dispuso este que toda la correspondenc.a que en una explosión de su putriotismo. Noche del 24 de Abril, hubiese en aquella administración para sus tropas se les entre dia 26 del mi…</t>
  </si>
  <si>
    <t>…or la tesorería española, y á falta de dinero percibirán go y á la tropa sus mochilas ; j si alguno de los individuos que las raciones de-etapa de sus clases, para cuyo efecto, el.Sr. Ge vayan prisioneros tuviese1 propiedad en.-.el' tetritoiio español le neral del bloqueo la mandará por extraordinario al cuartel ge-»Krá conservada. &lt; •: 1. ¡ J ■ &gt;- :,ñi; neral de Burgos, y también se dará por efectuada aun.tufqdo Art. 5.0 Todo el material, á…</t>
  </si>
  <si>
    <t>Gefe</t>
  </si>
  <si>
    <t>…e osos muertos y ocho ó diez heridos, entre Madrid Sábado i.° Je Marzo. ellos un oficial.= Dios guarde á V. S. muchos años. Huesca z 2 de Febre ro de iHzg.czJosef de Ja Cantolla. =Sr. Gefe político de la provincia de » El Rey continúa en cama con la fluxión gotosa en ambos pías. La Zaragoza. Reina sigue aliviada. SS. AA. siguen sin novedad.”</t>
  </si>
  <si>
    <t>…ntería de Guadalajara. __A las inmediatas órdenes del Excmo. Sr. geperal en gefe el -Orden Ae ia flaza Ati ri al ja Ae Maye. coronel agregado al estado mayor de ia plaza de Madrid Don Gefe de día el segundo comandante de la milicia activa de Rafael Paredes, y al comandante de batallón retirado D- Benito Sevilla D. Domingo Surga.__Servicio á palacio la Reina y mi Villuela__ El estado mayor general del ejército ip compondrá» licia nacional local…</t>
  </si>
  <si>
    <t>27 2 cilo de operaciones que tenia señalado el territorio Blanco. —Sr. Gefe político de la provincia tic Yigo. primero y del onceno distritos militares, leas tropas --A las cinco de la mañana de que del tercer ejercito lian Uceado á osla Isla Ga lioi, habiendo llegado con la partida de mi mando ditana quedan desde luego haciendo arte…</t>
  </si>
  <si>
    <t>…n querido mes, habiendo prestado los individuos de que se compone el cor encubrir su perfidia y su iniquidad de un modo que tan claramen respondiente juramento en manos del Excmo. Sr. Gefe supe te patentiza ios motivos que los han guiado y sus intenciones da- rior político de esta provincia. Í!Ínis,noson unos hombres filantrópicos, no son unos hombres ge __El Rey se ha servido dirigirme el decreto siguiente: nerosos , no son unos caballeros de…</t>
  </si>
  <si>
    <t>…alcance para evitar ser » Soy Stc. ce:Firmada ¿= el Conde Meinadier.” alejantes acontecimientos, y perseguiré con todas mis fúerza's af Está conforme este ‘extracto. r=E! Tejiente general Gefe dé que sordo á la voz de la humanidad , y olvidado de estos sen Estado mayor general dét primer cuerpo, Conde Grundler. &lt; timientos intéiite alimentar por mas tiempo la tea de ia discor dia civil que nos devora destruyendo los saludables efectos del H Comanda…</t>
  </si>
  <si>
    <t>Gefe, Agu-tin Rodríguez</t>
  </si>
  <si>
    <t>Agu-tin Rodríguez Gefe</t>
  </si>
  <si>
    <t>…sión de este asunto; y se levantó la cesión. Orden de ¡a plaza del 19 al 20 dt Mayo. Los magistrados de la audiencia de Valladolid D. Francisco Gutiérrez Sosa, D. Angel Govantes , D. Agu-tin Rodríguez Gefe de dia el coronel de Ja Reina D. Francisco Fernandez Bahamonde, D. Josef Alaría Vecino y D. Cayetano Aluñiz, y Golfín. _ Servicio á palacio la milicia activa y la nacional local Jos fiscales D. Miguel Cornejo y D. Josef Rodríguez Busto sa de Sevilla, á las ór…</t>
  </si>
  <si>
    <t>Gefes, Juan Manuel</t>
  </si>
  <si>
    <t>Juan Manuel Gefes</t>
  </si>
  <si>
    <t>…... 6 Alcalde de Casa y Corte, refrendada del Escribano de provincia Oficiales de Jas mismas Secretaría».............................. g D. Santiago Manuel de Albóniga , se cita á D. Juan Manuel Gefes políticos......................................... 3 Chamorro, para que dentro de ocho dias, contados desde hoy, Consejeros.......................................................... I se presente en dicho juzgado á oír la providencia difinitiva dic tada en lo…</t>
  </si>
  <si>
    <t>Geió-, Ana</t>
  </si>
  <si>
    <t>Ana Geió-</t>
  </si>
  <si>
    <t>…Logroño— interesados sobre la división y partición de los bienes dei patro Otros dos juros de 3099 y tantos mrs. en millones de Valladonato de D. Nicolás Fernandez de! Castillo y Doña Ana Geió- lid y Madrid en cabeza de Doña Ana del Corral.__Otro da 479 uima de Arellano, se cita, llama y emplaza á todas las personas y tantos mrs. en millones de Valladolid y su provincia de prique se crean con derecho á dichos bienes , para que en el tér mera situaci…</t>
  </si>
  <si>
    <t>Geneial</t>
  </si>
  <si>
    <t>…os pormenores cito de los, Pirineos, y han convenido lo que sigue: •obre 1»: toma del castillo de Santi Petri , cita como que se han Art. i.# El oficial que según la propuesta del Sr. Geneial distinguido' •igüaimentfc, á los Tenientes de navio Manchand y fráfteetque manda el bloqueo, debe salir de la plaza para cer Seansnj; el Cirujano, mayor BcUocs, 7 &lt;1 Ayudante mayor ciorarse de los hachos que Tefiere dicho Sr..Qen«ai en su'iim-</t>
  </si>
  <si>
    <t>Gener</t>
  </si>
  <si>
    <t>…de loa in chas poblaciones piquiñas de Ultramar, hubiese ayuntamiento solo en ventarios de libros del monasterio de Monserrat de esta corte. Apro las cabezas de partido. bado. El Sr. Gener manifestó que por lo mismo que están diseminadas las Se leyeron varias adiciones del Sr. Juárez,.relativas á la» facultades poblaciones en Ultramar , era preciso formar en ellas ayuntamientos, de las audiencias de Ultramar , y á que en Jos partidos donde haya…</t>
  </si>
  <si>
    <t>Gener, Josef</t>
  </si>
  <si>
    <t>Josef Gener</t>
  </si>
  <si>
    <t>…que fueron puestos en libertad en virtud de un decreto _E1 capitán del bergantín español nombrado Treinta de Ma del Duque de Angulema. Las tropas francesas se opusieron á este yo D. Josef Gener dió parte al Capitán del puerto de la Coacto de barbarie y despotismo chispero; se amostazó la canalla; ruña, que á su salida de la Ha vana el 10 de Agosto último tomó las armas, y á su lado los rasgados soldados ds la fe. Se sabia que los buques de guerra es…</t>
  </si>
  <si>
    <t>General</t>
  </si>
  <si>
    <t>…las armas. En suma, ya empezamos En el boletín del ejército nacional de Lima nítm. 5 se ¿le* á contraer el hábito de no dormir,, y estamos sumamente canlo siguiente: - saclos. Él Sr. General en gefe ha recibido por conducto del briga «Esta noche pasada fue sorprendido el i:.° de infantería lige ra, y perdimos unos doce hombres. Lo que mas nos aflige es no dier Carratalá noticias oficiales del acreditado teniente coronel D. Gerónimo Villagra, coma…</t>
  </si>
  <si>
    <t>…y valor : lo IRANCUy. queAomunico á V. S. para su conocimiento y satisfaccfon. Dios Toiosa 11 df Arosio.' guarde á V. S. muchos anos. Zabaya 18 de Enero de 1823.= Gerónimo Valdés.=Sr. General en gefe del'ejército de opera ■ F.l Feo d’i ■Mfdiodiy anuncia lo'sigilientéy __Es probable que el Sumo Pontífide se aproxime á los último? ciones del Perú. dias de su vida , ,í pesar de' las esperanzas que nos hayan podido Victoria de Torata. inspirar los dia…</t>
  </si>
  <si>
    <t>…uridad tac¡on;de! 6 del corriente, lo verifica riel dian, y no podrá obligársele á'volver hasta el día 2 6 del mismo, jen do en esté „ -protección. tiempo á Burgos, desde donde el Sr. General en Gefe S. 'A: Si Art. id. Ningún, español de los que se hallen en la plaza, el Príncipe de Hóhenlohe le dirigirá á Madrid acompañado dé bien como individuo de su guarnición, vecino ó morador, de-esr un Oficial del ejército francés, y teniendo la libertad de…</t>
  </si>
  <si>
    <t>…nsegñído el primet objetó pueblo, ni pagado ni seducido; SS. MM. y AA., después de ha dé sus cuidados. ¿Cuándo, ¡-Oh hijos desnaturalizados dé ésta pa ber manifestado su bondad al Sr. General y oficialidad francesa tria que ño merecéis! .cuándo experimefatáfoft Vuestros totazo^ y española, al ayuntamiento y comunidades religiosas, y á cuan ñé* unas sé hsácibnes táñ. dulces como las qüe probáron los hl-í tas personas han tenido la dicha de ponerse…</t>
  </si>
  <si>
    <t>…pueblo','y amor, sumisión atrevemos á llegará él para presentar esta sencilla exposición sino y fidelidad á Fernando de Borson, que con su presencia sola por medio del benemérito Sr. General el Excmo. Sr. D. Josef restaura y recompensa con usuras los pesare^ y las aflicciones su Ajaría Carvajal y Urrutia, como quien habiéndonos honrado en fridas en la época de triste recuerdo que acaba de pasar.- El pue ser nuestro convecino durante sus persecuci…</t>
  </si>
  <si>
    <t>…, amor, guarnición para asistir al Te Deum que se cantó en acción de lealtad, y felicitarle personalmente por su ansiada libertad con gracias por la libertad del Rey de España, el Sr. General de la plenitud de su antigua Soberanía. No desesperábamos, Señor, Puthod les dirigió el discurso siguiente: de la salud de la monarquía, ni creimos que los.males de nuestro „¡Oficiales, soldados ciudadanos, y vosotros soldados! La. siglo fuesen incurables; la…</t>
  </si>
  <si>
    <t>…r: El Alcalde mayor, Ayuntamiento y Milicia realis ción en nombre del Ayuntamiento de Bilbao, compuesta del ta de esta vuestra ciudad de Almagro, capital del partido de Ca- Excmo. Sr. General D. Francisco Ramón de Eguía, D. Pedro latrava, con profundo respeto y acatamiento se acercan al Tro Novia de Salcedo y el Teniente Coronel D. Juan Ramón Mar no, tributando á V. M., á la Reina nuestra Señora y Real tí , por la feliz conseguida libertad de SS. MM. y A A., del modo Familia…</t>
  </si>
  <si>
    <t>General, Comandante</t>
  </si>
  <si>
    <t>Comandante General</t>
  </si>
  <si>
    <t>…M. C. en las pro términos que prescribe la Real resolución especial expedida para vincias Vascongadas, y cumpliendo con lo que me manda S. M.t este objeto, y comunicada al Excmo. Sr. Comandante General me apresuro á ofrecerme á las órdenes de V. A. R., deseoso de de la Guardia Real. tributarle, como á su augusto libertador, el homenaje de que __Los periódicos franceses se ocupan exclusivamente hace unos es capaz un corazón verdaderamente agradecido. cuantos…</t>
  </si>
  <si>
    <t>Genga, Della</t>
  </si>
  <si>
    <t>Della Genga</t>
  </si>
  <si>
    <t>…us por Salamanca á Segovia; la del Señor O-Donell e$ este asunto en Ratisbona, y en estas negociaciones fue donde brillante y bien disciplinada. Hoy cuenta ya, con inclusión de el Señor Della Genga, Arzobispo entonces de Tiro, v Nuncio los depósitos de reclutas, 3S) hombres de infantería y como 800 de S. S., dió pruebas de un gran talento y zelo por los intereses . de caballería, bien vestidos y equipados. ( Carta particular.) de la Religión. Asistió á…</t>
  </si>
  <si>
    <t>Gerardo</t>
  </si>
  <si>
    <t>…NOTICIAS DE ESPAÑA. gión acaba de consagrar, será para vosotros la insignia del ho nor y de la gloria, que en todas ocasiones sabréis sostener.” Vite, ia oq de Julio. Habiendo el coronel Gerardo recibido la bandera, la pre Ayer salió de esta ciudad S. A. S. el príncipe de Hohensentó al regimiento, y dijo : Johe, general en gefe del tercer cuerpo , para B.ibao y Santoña, » Soldados: A.¿ui teñáis la bandera prometida i vuestra fi cuya plaza está en vís…</t>
  </si>
  <si>
    <t>Gerónimo</t>
  </si>
  <si>
    <t>…as parroquias a esta habido ni siquiera un leve herido. Los prisioneros se han con cla-e de ecónomos, rest tuyéndoáe á Jas suyas, y proveyendo ducido á Plasencía á disposición del brigadier D. Gerónimo inmediatim^nte al pasto espiritual en las primeras por medio de Mermo. eclesiásticos adornados de las cualidades necesarias, y de cono La brillante acción de los Realistas de Laguniila y del Cer cida adhesión ai Rky nuestro Señor, ínterin se sacan á concur- r…</t>
  </si>
  <si>
    <t>…is ser111. Alonso, Juan Teixtdo,, Ignacio de Barros, D, Francisco Ro viva el ejército francés no se caían de las bocas de todos. Las lá dríguez Corral, escribano , Ramón Duiguez , D. Gerónimo dp grimas de gozo corrían por sus mejillas, y os aseguro que algu Aguirre, D. Pedro Roldan’, D.¡ Juan Manuel de Noriega, nos de los, nuestros no tuvieron que hacerse poca violencia para Antonio García, Ventura Vibamil , Antonio Jiménez, Ma dominarse á si mism…</t>
  </si>
  <si>
    <t>Gfdiano</t>
  </si>
  <si>
    <t>…usufruc mente la sesión ; y asi que estas resolviesen si se sus to” las siguientes: "conservará este el mero usu penderla para continuarla á las ocho de Ja mafia na. fructo."’ El Sr. Gfdiano manifestó que ademas del efecto Ar. 8.® Los patronatos y dem^s fundaciones per moral que debeiia producir sesión, aun'nu se petuas que no contengan llamamientos de líneas 111 de habían cumplido los objetos para que se había decla personas para poseer por ente…</t>
  </si>
  <si>
    <t>Giampietro</t>
  </si>
  <si>
    <t>…isericordias de Dios , y de rible ¡asesinato decretado y dirijido'por una execrable sociedad felicitará V. A. por tan importante y elevado destino, rogan secreta en la persona del Sr. Giampietro, director de policía de do á su divina Magestad asista á V. A. con ios dones de sabidu Nápolesha sido preso por un cap:tan y un cabo d; gendarmes ría , consejo y fortaleza que ha menester. S. Ildefonso 28 de Ma en el mas profundo.escondite de une oscura g.uta…</t>
  </si>
  <si>
    <t>Gibaito</t>
  </si>
  <si>
    <t>…*tc¡on • t.r.r.a! enSe leyeren tas palabras que había pror.’.tnJ 'do e! -i-, F-dcó y que t • a cíá-brar.do su- sesiones, tend é..-n-i'.s tmestro.. cuellos ; pi , r.t si reclamó el Sr. Gibaito , que poco mas ó ro-ntv, .*:sr. íes sñ-urertes: mo» al puñal nuestros p:chos porque citábamos en Cori s .xtraord ni «Cualquiera que sea la gravedad de este asunto, mar qu: s* ataque á nas , y ia camis ón r.rdi ha prev.sto ps-a :sros casos! Por v,tas razo la r…</t>
  </si>
  <si>
    <t>Gibaja, Ramiro Gil de</t>
  </si>
  <si>
    <t>Ramiro Gil de Gibaja</t>
  </si>
  <si>
    <t>…ado. sieres, centre ellos tres de los presos que soitircn de la cárcel de Aran- En su vista se reunió el jurado, compuesto de los fres, siguientes: da, y se llevaron el caballo de D. Ramiro Gil de Gibaja y el del mé D. Tadeo Perez, D. Joaquín Lumbreras, D. Francisco &lt;!■' Accvai y dico , y á poco rato entró el general Empecinado con la fuerza de 30 Arratia , D. Francisco Sainz de Rozas, L&gt;. Joscf Valls de Roca , Doa caballos y 20 infantes, y ademas 12 voluntar…</t>
  </si>
  <si>
    <t>Giben, Francisco</t>
  </si>
  <si>
    <t>Francisco Giben</t>
  </si>
  <si>
    <t>…lación para los ingresos del tesoro público, lal razones que en dicha exposición hadan presentes. y .para el pago de contribuciones. Por resultado de sus medita Otra exposición de D. Francisco Giben, vecino de Barcelo ciones propone á la deliberación de las Gortes el siguiente pro na , para que re Je admitan créditos liquidados en pago de dere yecto de decreto. chos de aduana por la indigencia en que se encuentra. Art. 1 0 Durante la guerra actual con Fr…</t>
  </si>
  <si>
    <t>Gil</t>
  </si>
  <si>
    <t>…festó que la casa de Balguerie habla su.-lto por las Cortes acerca de las solicitudes de D. Juan Corradi. estado cobrando 30 duros por tonelada, según el contrato ,. lo cual la El Sr. Gil d i la Cuadra presentó á las Cortes una exposición de los indemnizaba suficientemente de los daños qúe podía haber sufrido por alumnos de la escuela de ingenieros de caminos y canales, felicitando no haber-e verificado la expedición contratada. Añadió que est…</t>
  </si>
  <si>
    <t>…plazo de Ciudad-Real, presentada y leida por el Sr. Trujólo. El Gobierno de ios Estados-Un idos se propone tomar eficaces me Del seminario conciliar de Segorve , presentada por el Sr. Gil de didas para el exterminio de los piratas, de que tan graves daños se Orduíia. han estado siguiendo á su comercio y marina. De la milicia N. V. de la Baúeza. Por el Trafalgar , procedente de Montevideo en 68 dias, sabemos De la milicia N. V. de líírcen3. que…</t>
  </si>
  <si>
    <t>…os. Un periódico de esta capital ha insertado hoy el pri reo, se espera que si alguno fuere tenedor de ellas se sirva dirigir mero , que es á la letra como sigue: las al expresado Sr. Gil á Barcelona, ó á D- Justo García de 1» Primer boletín del ejército de los Pirineos. Mata, de SeviJ la. El ejército de los Pirineos á las órdenes de S. A. R. el du En la calle de S. Miguel entrando por frente de las Cortes, que de Angulema empezó el dia 5 á le…</t>
  </si>
  <si>
    <t>Gil, Joaquín</t>
  </si>
  <si>
    <t>Joaquín Gil</t>
  </si>
  <si>
    <t>…bre lo que expondré yo mi opinion cuando las Cor Solo, Dr. Domingo Pitalua, D. Rafael Seguí, D. Josef González, tes se ocupen de ella. Se trata ahora únicamente de dar un proyectó D. Joaquín Gil , D. Pedro Boígues, abogado, Mariano Teruel, An de instrucción para el gobierno ccooómico-político de lat propináis ds drés Ferrer, P. Hurtado, D. Josef Dolz, capitán ds artillería, P. Sal Ultramar, porque el decretado para la Península no está adecuado'I'.Iá…</t>
  </si>
  <si>
    <t>Gil, Josef</t>
  </si>
  <si>
    <t>Josef Gil</t>
  </si>
  <si>
    <t>…El Sr. gefe político ha recibido del espitan de la compañía nng 2*0 se on**t¡s esfuerzo p2r2 obli^sr ¡¿ ios brssilyños 2 cviiciíAr de cazadores constitucionales de esta provincia D. Josef Gil des la provincia, á Jo que seguiría el embarque de las tropas portu de Huécija, con fecha del 5, el parte siguiente: guesas ; y que entonces se trataría de sacar las posibles ventajas de Compimía Je cazadores constitucionales. » Esta noche sal la íntima unión…</t>
  </si>
  <si>
    <t>…gido al inspector interino de Milicias el ayuntamien no igualmente á ofrecer sus buenos servicios. El teniente coronel to de la ciudad de Sigüenza, proponiéndose, en unión con lo» D. Josef Gil, segundo ayudante general de la plana mayor, y lo* pueblos de su jurisdicción , vestir y arma* toda la tropa qua demas oficiales adictos á ella ,m¡s ayudantes de campo D. Miguel del regimiento provincial, á que da nombre, se reúna en aquella Porcell , D. Bern…</t>
  </si>
  <si>
    <t>Gil, Juan Bautista</t>
  </si>
  <si>
    <t>Juan Bautista Gil</t>
  </si>
  <si>
    <t>…cu punto de la mañana , ea una de las sala* del Excmo. ayuntamiento. te Uega í ia »*:*: queda esta intacta, y el árbol despojado de algunas El.dia 30 da Enero de este año entregó D. Juan Bautista Gil en ramas suele reproducir.otsat mas lozanía y vigorosas. En mi concepto la oficina de reconocimiento de documentos en el Crédito público una mientras la policía no tigxcomuntemente la marcha: de loa conspira certificación expedida á su favor por la contaduría…</t>
  </si>
  <si>
    <t>Gil, Leonardo</t>
  </si>
  <si>
    <t>Leonardo Gil</t>
  </si>
  <si>
    <t>…su importancia; y sin embargo de las dificultades que se han D. Benito Medrano. D. Francisco Rodríguez de Gue ofrecido con motivo de la coincidencia de los dos sorteos, y el de la D. Leonardo Gil de la Cuesta. vara. sexra pane de la milicia actira que ya se hallaba hecho desde el año D. Pedro Sainz de Baranda. D. Celestino Olozaga. anterior en casi todos los pueblos ds la provincia , ha visto con satis D. Fusebic María Balbi. D Antonio Palacios. facci…</t>
  </si>
  <si>
    <t>Gil, Manuel</t>
  </si>
  <si>
    <t>Manuel Gil</t>
  </si>
  <si>
    <t>…por mi ayudante. jado de'éxistir enteramente. Ayer estaba reducida á 18 hombres; y » El fuego ha sido muy sostenido , y duró dos horas, atribu el capitán del regimiento de Burgos D. Manuel Gil, que con su yendo su1 obstinada resistencia al oficial y soldados portugueses; columna la había perseguido por espacio de 4 leguas en territo quienes no obstante no creo dejaron de correr hasta Braganza, rio portugués, me escribe con fecha de ayer desde Requl…</t>
  </si>
  <si>
    <t>Gil, Mariano</t>
  </si>
  <si>
    <t>Mariano Gil</t>
  </si>
  <si>
    <t>…s, á quien tanto temen, D. Joaquin Salcedo , accésit en bebas letras D. Ventura García é impedirle que organice el ejército que algún día ha de arro Loigorri, accésit en ia mús;ca D. Mariano Gil, á quien se ad jarlos de las Andalucías.” judicó un premio extraerá mano por su aplicación i varias c’ascs. »» Otro. Según varias cartas de Cataluña , una división fran __En las clases de mat-míticas segundo curso, de gramát ca cas cesa de 60) hombres ha repa…</t>
  </si>
  <si>
    <t>Gil, Miguel</t>
  </si>
  <si>
    <t>Miguel Gil</t>
  </si>
  <si>
    <t>…la villa gurar que todos se han esmerado ansiando los peligros, y en de Utrera, me dirijí i la de Algatocin, y con noticia que reci particular D. Josef y D. Cristóbal Rosillo , y D. Miguel Gil, bí el 25 á las diez de la mañana de! paso por aquella inmedia de Jubrique ; D. Pascual Armenla y D. Sebastian Ti o o co,, de ción de parte del ejército llamado de reserva , á las órdenes del Algatocin; D. Juan Becerra y Sebastian Fajardo su sobrino.de ex-gen…</t>
  </si>
  <si>
    <t>Gil, Pedro</t>
  </si>
  <si>
    <t>Pedro Gil</t>
  </si>
  <si>
    <t>…el Arana fue cargada por todas las fuerzas enemigas, y á pesar de ANUNCIOS. Ja crecidísima superioridad de estas, nuestras tropas se batieron En 3 de Julio de 1822 se remitieron á D. Pedro Gil, de con el mayor entusiasmo y bizarría, retirándose con un orden Barcelona, desde Sevilla, bajo cubierta cerrada, tres certificacio prodigioso sobre Arnedillo, en donde se incorporaron con el nes de la dirección general de provisiones, expedidas en Sevilla á…</t>
  </si>
  <si>
    <t>Gil, Rufino</t>
  </si>
  <si>
    <t>Rufino Gil</t>
  </si>
  <si>
    <t>…os han de Manglano, y á los tenientes D. Ramón Artegui, D. Luis Castejon y irner el tía licenciados en cirugía medica. Madrid 23 de Diciembre de D. Esteban Cereceda, á los cadetes D. Rufino Gil , D. León Manso, *Sa;.e=Juan Olivar y García , presidente.=cMartin Serrano , diputado y al pífano Ignacio Lotea, que sin embargo de tener 13 años, y no secretario.=Pedro Juan de Zulueta, diputado, secretario.” hallarse con aúnas, cogió una del enemigo, y adel…</t>
  </si>
  <si>
    <t>Gil, Tadeo Ignacio</t>
  </si>
  <si>
    <t>Tadeo Ignacio Gil</t>
  </si>
  <si>
    <t>…a muerte que sufrieron otros, dias, pasados los cuales les parará el perjuicio que haya lugar. y el arribo de buques extrangeros con mercancías trasladadas del Por providencia dei Sr. D. Tadeo Ignacio Gil, del Consejo Jstmo de Panamá al puerto de S. Blas, han puesto á esta provincia de S. M., Alcalde de su Real Casa y Corte, se ha señalado de en un estado muy decadente en cuanto a numerario. Su agricul nuevo para el remate de varias obras de librería el miérco…</t>
  </si>
  <si>
    <t>…abundante valle de Jauja las di ANUNCIOS. latadas provincias de Huancayejica, Huamgpga, Puno y Are quipa , y verá como de todas partes ocurren los subordinados Por providencia del Sr. D. Tadeo Ignacio Gil, Alcalde de peruanos á prestar su debido hprnenage, recibir órdenes, deman la Real casa y corte, por la escribanía de D. Joaquín Sánchez, se dar justicia, y solicitar gracias á la antigua metrópoli del Cuzco, ha señalado de nuevo el dia *9 del corriente Dicie…</t>
  </si>
  <si>
    <t>…nom de S. Juan, que determinarla el establecimiento de escuelas para brado procurador judicial. la juventud; no solamente en la capital sino también en las en Por providéncia del Sr. D. Tadeo Ignacio Gil, Alcalde de comiendas , es un medio infalible para contener los funestos pro Casa y Corte, y escribanía de provincia de D. Joaquín Sán gresos de las tjocírinas del siglo. Asi como la Compañía de Jesús, chez, se ha vuelto á señalar de nuevo el dia 7 dei próxim…</t>
  </si>
  <si>
    <t>Gilafcert, Ramón</t>
  </si>
  <si>
    <t>Ramón Gilafcert</t>
  </si>
  <si>
    <t>…alidad de aquellas provincias; pero «n la aurtancia son entefamento Salvador, el P. Genaro,.de la Merced, D. Vicente Danzo, presbíte idénticos el uno y el otro. -ri : ■ 1 " 'V ro, D. Ramón Gilafcert, Josef Ortells, Jaime Rey, Lorenzo R itort, Se ha dicho que el eilado de guerrero que ie halla la América D. Juan Domemch, D. Lorenzo Martínez, escribano, D. Matías An hará impracticable» muchas disposiciones da este proyecto. A este Es tonio Herdara , D. And…</t>
  </si>
  <si>
    <t>Giliano</t>
  </si>
  <si>
    <t>…las cuales contestaron todos ios se dos los Sr:s. diputados y demas espectadores la admirable proposición ñores diputados y concurrentes con las mas expresivas aclamaciones i del Sr. Giliano; pero sin embargo creo no están cumplidos los deseos la Constitución, 4 la libertad, al héroe de la» Cabrias, 4 la representa de las Corlis. ción nacional y al Gobierno. I.a proposición, si mal no me acuerdo , porque mi agitación me quita hasta parte de la mr…</t>
  </si>
  <si>
    <t>Gilis, Fernando Bubn de</t>
  </si>
  <si>
    <t>Fernando Bubn de Gilis</t>
  </si>
  <si>
    <t>…l Sermo. Sr. Duque de Angu E. M.; D. Juan Dañóse*, coronel; D. Ramón Parada , ídem; lema, quiere acabar su obra. El ha observado desde el centro de D. Antonio Hernández,“fcapitan; D. Fernando Bubn de Gilis, la España las operaciones militares emprendidas en fas diversas comandante del batallón de Cataluña; D Jos- f Polledo, capi provincias; en el dia, que aquellas se han acabado, y que soto tán; D. Joaquín Ramos, teniente coronel; D Juan Romero y Cádiz es el pu…</t>
  </si>
  <si>
    <t>Girao</t>
  </si>
  <si>
    <t>…ó como resultado de la sonaron largo rato por las vastas bóvedas del salón : se descubrió el opinión pública. retrato de S. A’l-, y volvieron á resonar las mismas aclamaciones. El Sr. Girao impugnó el dictamen, fundándose en que no El Sr. general continuó diciendo que la opinión pública pedia la podia admitir acusaciones vagas, y dijo que se presentasen hechos: dimisión de todo el ministerio ; que esta misma era la voz gene el Sr. Javier Monteir…</t>
  </si>
  <si>
    <t>Giraoti</t>
  </si>
  <si>
    <t>…' de los diferentes cuerpos de la guarni Con motivo de esta lista dió cuenta el mismo Sr. secretarlo ción , porque todo mi cuidado se há aplicado á restablecer el or de que ei Sr. diputado Giraoti pedia licencia para retirarse per den y ¡a tranquilidad pública. Por fortuna tengo hoy la sa hallarse encargado de la defensa del puente de Alcántara. tisfacción de participar á V. E. que todo está en el mejor or El Sr. Borges Carneiro leyó) una indicación, e…</t>
  </si>
  <si>
    <t>Girón, Andrés</t>
  </si>
  <si>
    <t>Andrés Girón</t>
  </si>
  <si>
    <t>…nscripciones de Mañana se celebra consejo de guerra ordinario en las casas,.y España han tenido una subida considerable: los consolidados, que bajo la presidencia del coronel vivo D. Andrés Girón , para juz se abrieron al 74 y un octavo , subieron á tres octavos y medio, gar á los paisanos Josef de puentes y Marcos Román - acusados y parecían subir mas. Las inscripciones de España han subido uno de ladrones en cuadrilla, á que asistirán como vocales u…</t>
  </si>
  <si>
    <t>…s que había ido a! Real palacio daba cuenta de guerra ordinario en las casas y bajo la presidencia de! coronel de su encargo; y el Sr. Gómez Becerra, como presidente de ella, vivo D. Andrés Girón , que vive en la plazuela de la Ravcta</t>
  </si>
  <si>
    <t>…el beneficio de Jas estipulaciones del tratado deguerra ordinario en las casas y bajo la presidencia del coronel vi Velyky-Louky, ó si pretende hacer á la Rusia la reconvenciónvo D. Andrés Girón , que vtve en la plazuela de la Raveta, nú de que falta a sus empeños. Recibid &amp;c.”mero 4 , para juzgar á Juan López Sánchez, soldado de la tercejra compañía del tercer batallón del tren de artillería nacional, acusado de segunda deserción, llevándose en amba…</t>
  </si>
  <si>
    <t>Girón, Antonio</t>
  </si>
  <si>
    <t>Antonio Girón</t>
  </si>
  <si>
    <t>…n gran número de ciudadanos de Sanlúcar do el rio á una mitad del regimiento caballería de Sagunto con el te- deBarrameda—La M. N. V. de infantería y caballería de Vich__ Va mente D. Antonio Girón, el alférez D. Ramón Corres y el sargento rios individuos militares italianos refugiados en la Península__ La comisión graduado de oficial D. Francisco Hueso. Mientias tanto el alférez Dan de Vigilancia de Vich__ El ayuntamiento, la M. N. V. y legal con va An…</t>
  </si>
  <si>
    <t>Girón, Pedro Tellez</t>
  </si>
  <si>
    <t>Pedro Tellez Girón</t>
  </si>
  <si>
    <t>…testación digna de Los síndicos de la quiebra de Pedro Girón é hijo y de la testamen un pueblo libre , ofrecen al Gobierno todo cuanto necesite oara hacer taría del duque de Osuna D. Pedro Tellez Girón, han acordado con ver á los déspotas que el imperio de ellos acabó cuando comenzó el dt vocar á una junta general á los -creedores de todas clases para ente las laces , y que los libres hablan mas con las obras que con las pa rarles de lo qu: se ha adelantado…</t>
  </si>
  <si>
    <t>Girouu</t>
  </si>
  <si>
    <t>…n Feruel, su ayudante de campo ; a) Sr. Alingry, su oficial de ordenanzas; al Sr. Mousudun, oficial de ordenanzas del genera' Bomk; al Sr. Cretet, capitán del 7.0 de cazadores; al Sr. Girouu, tnirnte del mismo regimiento, que hizo pr stoneto al general español; al sefior de Joleau, teniente del de húsares; é los sargentos primaros Dartix y Lacrois; á los de caballería Bianc y Sansón , y álos caza dores Logan y Beleden. En el cuartel general de Ma…</t>
  </si>
  <si>
    <t>Gisallí, Domingo</t>
  </si>
  <si>
    <t>Domingo Gisallí</t>
  </si>
  <si>
    <t>…iene á aquella provincia la introducción de géneros extrang ros. S. Juan de Luz y i bocoa á visitar las chalupas de los facciosos que A la de Legislación se pasó una exposición de D. Domingo Gisallí están hace dias para cargar las municiones de guerra, á fin de des bert , vecino de Barcelona, en solicitud de que se le habióte pata exa embarcarías en la costa de Vizcaya ó donde pueda. minarse de escribano. Qucsada ha ido a S. Juan de Luz á pasar revista á…</t>
  </si>
  <si>
    <t>Gisbcirt</t>
  </si>
  <si>
    <t>…do , y ca bildo eclesiástico de esta villa, por el Sr. Velaico. NOTICIAS DE ESPAÑA. Del ayuntamiento constitucional y milicia nacional voluntaria de Tora 8 de Enero. AUoy , por el Sr. Gisbcirt. Ayer por la noche salió de aquí una guerrilla compuesta de 14 sol Del intendente y demas empleados de la Hacienda públ.-is. de Ma dados, 18 miqusletes y 8 milicianos de esta villa, la cual se dirigió á drid, por el Sr. Canga.. Sanahuja, y cogió al cabecilla…</t>
  </si>
  <si>
    <t>Gispert, Nicolás</t>
  </si>
  <si>
    <t>Nicolás Gispert</t>
  </si>
  <si>
    <t>…mitían sus' padres salir. Ha habido padre que ha El laúd S. Antonio, de 10 toneladas y 9 hombres de tri visto marchar con satisfacción á sus dos hijos, su yerno y su pulación , su capitán Nicolás Gispert, matriculado en S. Feliú, oficial, teniendo que cerrar sa fabrica. Nos ha prometido su va con destino a Gibraltar. liente y prudente comandante Barrera que nos avisará todo El bergantín el Eucdris , de 100 toneladas, su capuan Josef cuanto ocurra á la cohmsoa…</t>
  </si>
  <si>
    <t>Gispirt</t>
  </si>
  <si>
    <t>…promete de esta maneta.” partamento, y Rochrp'atte, intendente; pero no ha asistido nir.guu .Apellas el orador había pronunciado estas palabras se presentó Mr. militar francés. El Sr. Gispirt, nonistro de la regencia, no pudo asis M mu.! en a entrada próxima a. lado derecho, y toma asiento en el tir por estar enfermo. El regente ha tratado perfectamente á sus huéspe puesto acostumbrado. des , llevando su urbsai htd hasta el punto de repartir á sus…</t>
  </si>
  <si>
    <t>Gjabieito</t>
  </si>
  <si>
    <t>…, siendo un teniente y un solda salubridad de aquella ciudad. do montados del regimiento de caballería núm. 9.° los que han La comisión de Hacienda, en viita de la proposición del Sr. Gjabieito ct camina. El oficial dice que hay mucho desorden en los cuer m:z Becerra, reducida á que se extinga el año económico, adopunuo ,e pos de los facciosos, y que están muy pesarosos de haber emprendido en su lugar el civil, era de opinión que debis aprobarse, co…</t>
  </si>
  <si>
    <t>GlovcinsLey</t>
  </si>
  <si>
    <t>…r leln ministro de los Cultos y de ¡a enseñanza publica, y al mismo tiempo mar el Elefante , navio de 58 cañones , y el sloop Parthian de iz. director general de correos. El mayor general GlovcinsLey es inspector ge — Los lores del almirantazgo acaban de dirigir ¿ los oficiales de la neral de 1: s aduanes del distrito de Oremburgo: el cap tan de marina Ste- marina r-al,qu: componen lo que se llama la lista de los oficiales á ylianoff comandante del puerto…</t>
  </si>
  <si>
    <t>Gmx, Roger de</t>
  </si>
  <si>
    <t>Roger de Gmx</t>
  </si>
  <si>
    <t>…Jas descargas. Seria difícil pintar la confusión y carnicería que sentimientos. allí hubo, hasta que por último los amotinados echaron á correr En el mismo día se desp'dió el Sr. conde Roger de Gmx, persiguiéndolos siempre los soldados y los orangistas, que en encargado de Negocios de S. M. Cma. cerca de ia Regencia, seguida saquearon varias casas de católicos. con cuyo motivo dijo el d scurso siguiente: «Señores; La instalación del embajador del R-’.y…</t>
  </si>
  <si>
    <t>Gnnsai'st</t>
  </si>
  <si>
    <t>…de (a C-mi que dicen va encargado de una comisión de la mayor unpojtanc.a. ra de los Diputados de Francia , y este hecho escandaloso será un nue También había Legado a Perpiñan el general Gnnsai'st. quien sa vo borrón en nuestra historia. La sesión en que se decretó tal provi apresuró á ir j reC’b-r orden.sde la regi-ncii. D. Antonio Cesta ( Mi dencia presenta una de aquellas escenas, que no hará mucho favor á sas) había saiido d: aqueíta ciudad pu,u vo…</t>
  </si>
  <si>
    <t>Gó</t>
  </si>
  <si>
    <t>…or primero se les señala comparezcan á Baño. deducirlo por dicho juzgado y escribanía ; con apercibimiento que de no ha De D. Joscf María del Castillo, vecino de Alcaudete, por el Sr. Gó cerlo se declarará vacante y procederá á Jo demás que haya lugar. mez (D. Manuel). ANUNCIOS. Del gefe político subalterno de Algeciras, por el Sr. Abreu. De la diputación provincial de Huesca y dependientes de su secretaría, Guia de forasteros y estado milita…</t>
  </si>
  <si>
    <t>…Sr. Casas: Las personas de que habíala proposición no son á Jas diputaciones provinciales , y dando cuenta al Gobierno, pro las mismas de que habla el decreto que ha hecho leer el Sr. Gó porcionen los auxilios extraordinarios para la manutención de las mez Becerra , y de consiguiente no t ene aplicación al caso pre tropas y servicio militar. sente. Las obligaciones puramente personales que ninguna relación La comisión primera de Hacienda , en…</t>
  </si>
  <si>
    <t>…eyeron por segunda vez, y se mandaron pasar á las co donde manifiesten los señores gefes y oficiales casados por condúc misiones respect vas las proposiciones siguientes r una del Sr. Gó ele =us respectivos gefes de E. M. de la división la asignación que mez (D. Manuel) sobre ios bienes de manos muertas, d la comi gusten hacerles, expresando las plazas ó puntos en que deban per sión de Legislación; otra del Sr. Alonso sobre que las oficinas e…</t>
  </si>
  <si>
    <t>…ue desea ei trastorno opinaba se accediese á ello. Ai robado. del régimen actual, sino cierto numero de gonce perdida , lo mas La misma corn.sion , en v sta ele ia proposición del Sr. Gó vil del populacho, y unos pocos ambiciosos , hip; critas, cubier mez Becerra para que las Cortes declarasen que se prologaba por tos con la máscara de una falsa lealtad al Rey, á quien ofenden tiempo indefinido, y hasta que las Cortes determinen otra cosa, de…</t>
  </si>
  <si>
    <t>…directiva haya de de los males que debía tratarse de cor*eg.r. reunir Jos decretos de las Cortes, y esto ya se ve que es obra de Se lia impugnado ya lo bastante el dictamen ppr el Sr. Gó un oficial de la junta. Por último concluye diciendo que es indis mez Becerra, relativamente que el reglamento sobre este estable pensable qua ¡as Cortes se sirvan aprobar las bases siguientes. Es cimiento debía venir propuesto por la junta directiva, y que á…</t>
  </si>
  <si>
    <t>…rse instaladas las cortes ¡extraordinarias, convocadas en vir S. M. acerca del estado actual de la Nación. N.o puedo hablaros tud de su orden•; habiendo nombrada por presidente al Sr. Gó dei contenido ni del objeto de esta exposición,, porque no me es mez Becerra , diputado por Extremadura, y que.se ponía en su conocida; pero es bien notoria la ruste situación, á .que, desgra jUoticia por si.S. M. tenia 3 bien- concurrir á la apertura, que- s…</t>
  </si>
  <si>
    <t>Gó, N</t>
  </si>
  <si>
    <t>N Gó</t>
  </si>
  <si>
    <t>…l , opinaba debía ac pone la comisión. aldase á su solíc tnd. A ptobado. También dice la comisión que no se atreve á dar su dictamen La misma comisión, en vista de la solicitud de D. N Gó sobre esta autoridad, y pregunto, ; cómo propone k comisión mez , y Je ios informes tomado, sobre el asunto , opinaba que una porción de artículos que tratan de La junta directiva ? En esto las Cortes podían declarar abolido el derecho llamado de déci veo yo…</t>
  </si>
  <si>
    <t>Go-, Josef</t>
  </si>
  <si>
    <t>Josef Go-</t>
  </si>
  <si>
    <t>…al capital» de caballería de Borbon D. Antonio Galin- ; para su cumplimiento , y dispondréis se imprima, publique y circule. do; al alférez del mismo D. Matías Vargas, y al cadete D. Josef Go- 1 =Rubricado de la Real mano. = En palacio á 16 de Diciembre de mez; al intrépido comandante de Lanceros de Rioja D. Francisco Ruiz,; 1822.=A D. Miguel López Baños. al teniente D. Fermín Laburno, y al alférez D. Antonio Sardie.’* Circular de! ministerio de la…</t>
  </si>
  <si>
    <t>Gobernación, Francisco Crespo de Te</t>
  </si>
  <si>
    <t>Francisco Crespo de Te Gobernación</t>
  </si>
  <si>
    <t>…o de S. M. privando de todos sus honores y condeco ra d fomento de ia isla de Cuba. (Gaceta del 27) raciones a D. Joaquín de Anduaga. (Gaceta del tú.) Decreto de S. M. nombrando á D. Francisco Crespo de Te Gobernación de la Península. jada tesorero general de la Nación. (Gaceta ,•&lt;&gt;/ 27. ) Decreto de S. M. nombrando í D. Josef María Pando y á Otro Idem concediendo al Sr. secretario del Despacho de este D. Juan Antonio Yandiola, al uno secretario de Estado, y al ramo Ja gra…</t>
  </si>
  <si>
    <t>Gobernador</t>
  </si>
  <si>
    <t>…Estadoá ¡os ataques de una potencia exron su pecado en tofnar las armas, y me las entregaron. Tengo trangera, de que tratan los artículos 250 , 251 , 153 , 253 , 25,4, 'presente, señor Gobernador, las imponderables acciones de bene 355 , ij6y 257 del código penal.</t>
  </si>
  <si>
    <t>…los gefes subalter circúlense á los tenientes gobernadores. Cerro Mayo 8 de 1822. nos de todas clases que no podrán excederse impunemente en el = Isidoro Villar.zrPor mandado del Sr. Gobernador. = Manuel ejercicio de sus funciones; y si por desgracia alguno se excediere, Alegría. Es copia del original, se ha publicado en el día referen l quién de vosotros apelará á S. É. que no obtenga la satisfacción te.^ Pasco Mayo 8 de 182 2. = Zambrano-Rafael de…</t>
  </si>
  <si>
    <t>…su p,atrio- en la guerra civil, tremolando el entr.s —* v.1_¿_Rafael del Riego.M__Prescnte fui desorden verbal estandarte de la rebelión, sin haber tomado ninguna medida para del señor Gobernador de la Sala. Julián García Huerta.” asegurar el éxito de su traición £ Riego ha sido para España lo VARIEDADES. queHunt,Th¡stlewood y otros rodrigones del partido radical hu bieran querido ser hace algunos años para la Inglaterra; es decir: Luz de gas en las h…</t>
  </si>
  <si>
    <t>Gobierne, Ailfofi</t>
  </si>
  <si>
    <t>Ailfofi Gobierne</t>
  </si>
  <si>
    <t>…sidente expuso tén á ata alcance con la velocidad nrcésaria, que conforme 4 J* facultad - que dichos, artículos concedían it ' El Sri Galiano te opuso- 4 la idea pío puesta por el Sr. Ailfofi Gobierne, esté exigía, que ft (líese cuenta en sesión secreta dé de que pásate á la. comisión, pues ni esta podía tener conoci la exposición de que se hace mérito en el discurso de $. M., y miento dé los' negocios militare* para qu; estaba nombrada la qu,C.daba origen…</t>
  </si>
  <si>
    <t>Gobierno, Andrés Cantero</t>
  </si>
  <si>
    <t>Andrés Cantero Gobierno</t>
  </si>
  <si>
    <t>…zo de 1820. la secretaría establecida en la Real, casa de córreos, piso prin 6* Los retirados, jubilados, cesantes ó reformad * por el cipal, habitación del director, y á cargo de D. Andrés Cantero Gobierno legítimo antes de dicha época, en el caso de no exis López, una neta duplicada y firmada .en que se exprese el nom tir los d&gt;tos suficientes en las oficinas, exhibirán el despacho, bre del interesado, destino que teniven 7 de Marzo de 1820, y título ó Rr-al o…</t>
  </si>
  <si>
    <t>Gobierno, Francisco Rodríguez</t>
  </si>
  <si>
    <t>Francisco Rodríguez Gobierno</t>
  </si>
  <si>
    <t>…me en manera alguna á que se guarde «1 da por el Sr. 1 ,tur¡z. decoro debido á S. ,\1. respicto de su guardia , creo que la petición &lt;n| El Sr. Bec rra pr-sentó 11ra exposición de D. Francisco Rodríguez Gobierno es inoportuna, y que el aumento o'e las dos cornpaúúts "I de Led-stna , diputado que fue por la provincia de Extremadura en las alabarderos que se propone debería reservarse para cuando en la po'Xi'l Corres ríe 11111¡ y en las anteriores de 1 8: o y l'ijt , e…</t>
  </si>
  <si>
    <t>Gobierno, Josef</t>
  </si>
  <si>
    <t>Josef Gobierno</t>
  </si>
  <si>
    <t>…inaba que no debia accederse á esta solicitud. Aprobado. la ley fundamental, excepto &lt;ndose aquellos que desde luego crea el La misma comisión , habiendo examinado la solicitud de D. Josef Gobierno es conveniente emplearlos. Por consiguiente yo apruebo el de Sola, arrendataria de una encomienda de la orden de S Juan , en fondo del artículo; peto quisiera que la comisión lo redactase de otra la que pedia se le rebajase cierta cantidad del arriendo quepa£…</t>
  </si>
  <si>
    <t>Godinó</t>
  </si>
  <si>
    <t>…hicieron en glande principiarán á presencia de S. M. correr la primera sangre francesa en esta provincia , causándoles DINAMARCA. de pérdida mas de i3 hombres , según relación del general Godinó , no menos bizarros en estas criticas circunstancias y leales Copenhague 19 de Julio. á su Rey , enlazaron sus brazos con los restos de la Real briga Nuestra compañía de Asia acaba de saber que el buque titu da de carabineros y el provincial de Córdoba, destr…</t>
  </si>
  <si>
    <t>Godoy, Juan</t>
  </si>
  <si>
    <t>Juan Godoy</t>
  </si>
  <si>
    <t>…en el decreto de 9 de Julio de retirada. Tal era el imponente y sostenido fuego de nuestros valientes. 18 21 los montes de las minas de Almadén , el cual quedó sobre la El oficial D. Juan Godoy , que sucedió en el mando por la mesa. muerte de La Serna , y firma el parte que extractamos, expresa particu Eí Sr. presidente anunció que mafiana continuaría la discusión laridades que no deben quedar ocultas. Antes de espirar La Serna dió pendiente , y lev…</t>
  </si>
  <si>
    <t>Goeffieu, Teodoro</t>
  </si>
  <si>
    <t>Teodoro Goeffieu</t>
  </si>
  <si>
    <t>…No tardó en po del'honor unirán la del valiente y desgraciado Goeffieu, que -decidirse un momento; vuelve á bajar, y sacando de un cajón una murió víctima de su fidelidad al Rey. D. Teodoro Goeffieu, na pistola cargada,'sube adonde estaba su hijo y le levantó de un cido en el Leonés, era primer Teniente en las?guardias del Rey de t:ro la tapa de los sesos, entregándose este desgraciado padre á la España. Acusado de haber hecho el principa! papel en la ac…</t>
  </si>
  <si>
    <t>Goicochea, Mariano de</t>
  </si>
  <si>
    <t>Mariano de Goicochea</t>
  </si>
  <si>
    <t>…se halle destinado á los ejércitos de de Castro, D. Manuel Cunehüius , D. Lorenzo Larnbea, Den operaciones ó reserva, y desee asignar alguna parte de sus habe Celedonio Martínez, D. Mariano de Goicochea, D. Baltasar res á sus padres , muger, hijos ó parientes , lo harán presente por Joaquín Perez, D. Nicolás Alonso García, D. Francisco de escrito al inspector general del arma en que sirva, expresando el Palacios, D. Domingo García, D. Francisco del Acebal y…</t>
  </si>
  <si>
    <t>Goicoechea, Agustín de</t>
  </si>
  <si>
    <t>Agustín de Goicoechea</t>
  </si>
  <si>
    <t>…a de recogerse , con arreglo á las leyes D. Segismundo Moret, D. Pedro Antonio de Aguirre, Don sobre libertad de imprenta. En este caso el Gobierno podrá ocu Juan francisco Bidot, D. Agustín de Goicoechea, D. Luis de par y archivar ó quemar todos los ejemplares que pertenezcan al Gargollo, D. Lázaro ElejaJde y D. Juan Bautista A Iva reda. dueño de la obra; pero no recogerá de modo alguno los que ha AVISO. yan comprado los particulares para su uso. Se halla vac…</t>
  </si>
  <si>
    <t>Goicoechea, Jqgf de</t>
  </si>
  <si>
    <t>Jqgf de Goicoechea</t>
  </si>
  <si>
    <t>…aturalizados de Ja madre patria; pero no para los ver y considaf^cónes al intendente de la provincia de Valladaderos hijos de esta madre, de la que hacen el mayor aprecio, y dolid D. Jqgf de Goicoechea , por su defección del Gobierno por cuya prosperidad y felicidad están prontos á sacrificarse. legitimo á lajentrada de los facciosos en aquella capital, sin per Esta es la única respuesta que puedo dar í V. E. ' juicio de procedíf contra él en su caso á Jo d…</t>
  </si>
  <si>
    <t>Goiffieur, Teodoro</t>
  </si>
  <si>
    <t>Teodoro Goiffieur</t>
  </si>
  <si>
    <t>…rechos; para ello hacen mención del decreto de 6 defensores de la Monarquía, decreta lo siguiente: Prime.o. Hl de .Agosto de s8ii, de las pretensiones que elevaron con esic primer teniente D. Teodoro Goiffieur pasara rev.sta meuauai motivo á mis Reales macos, y de la citada mi P*cal cédula de de comisario en su cuerpo del mismo modo que si existiese en 15 de Setiembre de 1814, continuando manifestando los graves él. Segundo: Cuando «¡1 comisario lo nombre en el act…</t>
  </si>
  <si>
    <t>Goiflúur, Teodoro</t>
  </si>
  <si>
    <t>Teodoro Goiflúur</t>
  </si>
  <si>
    <t>…á nai Rea! Persona coa fe sonas que mas se han distinguido en sostener los atrechos del cha 12 de Junio último, exponiendo el dañoso y violento des Soberano; y siendo netorio que D. Teodoro Goiflúur, primer pojo que continuaban padeciendo de sus legítimas propiedades, teniente del segundo regimiento ds Reales guardias de inLny la oportunidad y justicia de que se expidiese y circulase en mi tc.iü Española, fue víctima sacrificada por una f-ccion quj Real…</t>
  </si>
  <si>
    <t>Goimier</t>
  </si>
  <si>
    <t>…e por la misma Cop dicho oficial ha llegado un gefe de.batallón en dase dé vía; ,perg:.redob'amos lps cuidados, y si lo consigue no- seráporpartárrléntarlb; le retibió el teniente coronel Goimier, coman-faita.de Vigilancia. ; i: vi - 1 datn-o de la 'plaza y le condujo con los ojos vendados á casa «Mr. Guerin des Essards, comandante de la corbeta,1’Aríe-. del iriiriscat ‘de campcrMarfngoné, con qttieñ estuvo desde lasje, estfvo en comunicación el 1 4 d…</t>
  </si>
  <si>
    <t>Goldsmith</t>
  </si>
  <si>
    <t>…ciones á 6 ri. vn. Compendio de la Historia romana, escrito en ingles para initruc-; Se hace saber al público que todas las cartas que se echaren por el cion da la juventud por el doctor Goldsmith ; y traducido al castellano buzón, dirigidas á Sevilla y demás pueblos de la carrera , se remitirán por D. Lino de Pombo O-Donell, subteniente aspirante de ingenie-: por los partes diarios qu? salen de esta capital á aquella; en la inteli ros: 2 tomes en 8.°…</t>
  </si>
  <si>
    <t>Golf.in, Francisco Fernandez</t>
  </si>
  <si>
    <t>Francisco Fernandez Golf.in</t>
  </si>
  <si>
    <t>…dujeron , que no fueron otros que í&gt; Joref María Cnlatravq, D. Juan Antonio Yandiola , Don la falta de seguridad pura la propiedad y para las personas, y ía Manuel d - la Puente y D. Francisco Fernandez Golf.in, encarga-, de aquella libertad civil , que lejos de turbar el orden de la socie d~ intenranK-ute del Ministerio de Guerra por la indisposición dad , es la que mejor le mantiene y alianza. S. M. promete á la d.l rropiennno: he venido en admitiros a todos la di…</t>
  </si>
  <si>
    <t>Golfín</t>
  </si>
  <si>
    <t>…e retirase, como lo ejecutó, len-: desembarco á las seis de la mañana, y dejando en aquel punto lamente. Los enemigos luego que observaron este- movimien-' una pequeña reserva, el coronel Golfín emprendió la iríurcha to destacaron fuertes guerrillas del parapeto y atrincheramiento/ con su tropa por un sendero que conduce al arrecife de Puer haciendo fuego, pero respetando tanto la distancia que ni aun to Real á Chlclana, habiéndosele agregado un dest…</t>
  </si>
  <si>
    <t>Golfín, Francisco</t>
  </si>
  <si>
    <t>Francisco Golfín</t>
  </si>
  <si>
    <t>…invasores cerca de D. Nicolás Chacón.__Servicio á palacio la Reina y M. N. L. á Arnedillo: no hicimos mas que indicar varias circunstancias por las órdenes del coronel de la Reina D. Francisco Golfín—Pa caracer de datos exactos; pero hoy vemos en otro periódico de rada la Reina, Infante D. Carlos y M. N. L.: el demas servicio esta capital que afirma de un modo positivo lo que nosotros no y patrullas lo detallado__ Hospital y provisiones Numancia. _ pudimo…</t>
  </si>
  <si>
    <t>Golfín, Francisco Fernandez</t>
  </si>
  <si>
    <t>Francisco Fernandez Golfín</t>
  </si>
  <si>
    <t>…eral de Vich ha publicado un bando, en que después de una __Servicio á palacio la Reina vM. N. L. de Madrid ,á las orde introducción dice ¡o siguiente: nes del coronel de la Reina D. Francisco Fernandez Golfín— En consecuencia de todo, habiendo variado tan notable Pavada Infante D. Carlos y M. N.L. de Madrid; el demas servi mente el estado de estas provincias; espirando h.ov la amnistía cio y patrullas lo detallado----Hospital y provisiones la Reina— concedida por…</t>
  </si>
  <si>
    <t>…e; pero no estoy conforme en que se le exija nin nacional local de Madrid, á las órdenes del coronel de la Reina gún derecho, puesto que se le sujeta al examen correspondiente. Si D. Francisco Fernandez Golfín—Congreso y jrdi.vo la miiica se le exige cualquiera cantidad, ciertamente es añadirle una nueva nacional local de Madrid__Parada todos los cuerpos según lo de allicdon á lo que ya ha padecido, puesto que su falta de asisten tallado__Patrullas las mismas__.Hos…</t>
  </si>
  <si>
    <t>…neras , sin que los franceses osasen zadores y tropa de marina al mando del coronel del número 5.0 cargar á los nuestros cuando se volvían á sus posiciones. de infantería de linea D. Francisco Fernandez Golfín. La columna que salió de la Carraca fue por el caño de Santo Desde el Trocadero partieion cerca de i9 hombres al mando Domingo , y habiendo salido del terreno de las salinas , y llegado del mariscal de campo D. Demetrio O—Daly , y su vanguardia basta la casa…</t>
  </si>
  <si>
    <t>…estaban fortificados en número de 400 ', próximamente en el mo enemigo, cuya pérdida debe haber sido grande. lino de Osio y su estancia, teniendo ademas adelantada una giier-■ El coronel D. Francisco Fernandez Golfín, comandante de rilla de 40 infantes y 20 caballos, que parecía marchaba hacia el * la pequeña columna que salir» por la Carraca con el fin de ame camino real. Mandó entonces adelantar una mitad de la compa nazar á los enemigos de Puerto Real por aquella parle…</t>
  </si>
  <si>
    <t>Gom</t>
  </si>
  <si>
    <t>…gun alivio en ¡as convulsiones; pero algo constipada, géneros extrangeros introducidos en tiempo habí!. ijj. AA. siguen sin novedad en su importante salud. Se leyó una adición del Sr. Gom:z Becerra 3 lo acordado ayer por ¡as Cortes, relativo á los terrenos que antes pertenecían í ¡as turnas de CORTES EXT R AORDIN ARTAS. Almadén, y se mandó pasar á la comisión. SRESI3IÍÍ-CIA DHL SBÍÍOR ISTtIRIZ. Se procedió á la discusión del proyecto de decr-t…</t>
  </si>
  <si>
    <t>Gom, Alvaro</t>
  </si>
  <si>
    <t>Alvaro Gom</t>
  </si>
  <si>
    <t>…s que los act.iupat.aban. En sus r ipurstas la d: Córdoba,)- D. Agustín Afgünírs, por la d- A-;úiias. 3.- El i Mr. Brougham no la disimulado el ministro ingles que las esp.tan hr. D. Alvaro Gom z h cerra , d.putado por ia orovme.a ee ¡ xtremazas de conservar la paz se habían disminuido materialmente; peto qua dura , egtre-rr la, fuuc.on.-s de fiscal. Madrid 8 de Marzo de iSaq. no estaban del todo destruidas , prometi-ndo dar a la Cantara cuantas l’o…</t>
  </si>
  <si>
    <t>Gom, Zoilo</t>
  </si>
  <si>
    <t>Zoilo Gom</t>
  </si>
  <si>
    <t>…del 31 publica ya el decreto de la convocatoria de las lipe López Valdenioros, D. Gonzalo Cárdenas, D. Manuel Esteban Cámaras para el 18 de Enero. Gatalá , D. Nicolás Cano Luque, D. Zoilo Gom:z Cisero , D. Joscf __La libertad nunca ha sido vencida por ¡as armas extrangeras; y tan Larreategi-.i y D. Francisco Bauza.. to las naciones antiguas como lai modernas nos presentan en sus ana Habida la conferencia, se declaró por ocho de d'chos Sres. jueces…</t>
  </si>
  <si>
    <t>Gom-z</t>
  </si>
  <si>
    <t>…-yes que rigen orgánica ; y para demostrarlo pido se lea el art. 39 de dicha íey. ( Se d: abono de tiempo.” leyó.) El articulo que se acaba de leer previene que para reemplazar El Sr. Gom-z (D. Manuel): Se ha procurado p-rjudicar lo menos las bajas el gefe del cuerp • avise al alcaide del pu b o respectivo pa-a posible á los pueb'o»; p-ro en el aitícu'o que se discute veo qu; se que complete el cupo, y la comisión m-zcls ahora en esta operación…</t>
  </si>
  <si>
    <t>Gomal</t>
  </si>
  <si>
    <t>…todas las disposiciones de las Cortes y En seguida ocapó la tribuna, y leyó la nota que pasó el Gobierno del Gobierno. Esta manifestación e» necesaria , aunque desagradan.e ai al cardenal Gomal?:; la contestación de este á nombre de S. S. , y por Gobierno ; pero ño puede pasar por otro pi&gt;í,f'j pira qi.-e ni la ros!; &gt;-cen último la nota con la cual el Gobierno acompañó los pasaportes al cía, ni tas preocupaciones, ni el fanatismo relig-oso puedan r…</t>
  </si>
  <si>
    <t>Gome</t>
  </si>
  <si>
    <t>…pues el dic decreto de 20 de Junio de 1811: ;ci mo lo serán si los conceja tamen en su totalidad. les no tienen bienes: La comisión d.ce en el art. g.° que presenta A petición del Sr. Gome? Becerra se levo el decreto de 21 que los ayuntamientos liaran los repartimientos bajo la multa que de Setiembre de :8i¿ , la orden de las Cortes de 19 de Marzo se les imponga. ¿Si no tienen bienes cómo se llevará á efécto es de 181 -4 , vel art. 2:9 del decr…</t>
  </si>
  <si>
    <t>…! acta todas estas observaciones v se 4f Para la instrucción pública. . . . 5.22&gt;.0(73 4 guardoso para m;ñaua el continuar esta disbusio». 5. Psifa el fomento de la agricultura Ei Sr. Gome?. (11. Manuel) y-el Sr. Soria hicieron y artes. . ............................. . 290.916 ot J a- iibsr r» aciones. 6. Para la beneficencia y salud pública 7.000, ooof ] 1 Ni . Valdes (1), Cayetano): He quoridorecordar tas •r; Para caminos v Canales..........…</t>
  </si>
  <si>
    <t>Gómez</t>
  </si>
  <si>
    <t>…. S., y .sí debe aprobarse directa, ya indirectamente! Acaso serán demasiado aventuradas estas el artículo. sospechas; pero el descubrimiento que acaba de hacerse las disculpa. El Sr. Gómez (D. Manuel): El Sr. López del Baño ha hecho ya En todo caso será muy conveniente que redoblemos nuestra vigilan una gran parte de tas observaciones que me ocurrían sobre este artículo. cia; y que las autoridades se aprovechen de este interesante descubri No s…</t>
  </si>
  <si>
    <t>…n como acordados por ia dipu « Señor: El ayuntamiento constitucional de esta capital, interesado tación.” vivamente en la felicidad y tranquilidad de sus representados, fiel ob El Sr. Gómez (D. Manuel); No sé per qué motivo la comisión servador de sus solemnes promesas, garantidas y aprobada» por V. M., habrá variado este artículo del modo con que lo presentó la primera cree de su deber, en justa satisfacción de la ansiedad que advierte en la ve…</t>
  </si>
  <si>
    <t>…debia admi FRANCIA. tirse esta adición, porque se daría lugar á muchas disputas sobre la ca lificación de los negocios. Aprobado. ■ Paris aI de Diciembre. Acerca de la adición del Sr. Gómez ( D. Manuel ) ai art. 30, re Las sublevaciones de los genízaros en Constantinopla se han consi ducida á que al fin de este artículo se añada, que desde i.ndeEnero de derado ordinariamente como acontecimientos de poca importancia ; pe jen de ser secretarios de…</t>
  </si>
  <si>
    <t>…s ayuntamientos; y de los Sres, Seoarie y Alix, contrario á este asunto; pero i pesar de süs argumento» no se destruye la propuesta lo resüe'to por las Cortes sobre la adición del Sr. Gómez (D. Ma de que vaya esta deuda al Crédito público.' Se dice que es una contrata; nuel^ ai an. ^^ U- i* in.uu.cinn para el B&lt;*&gt;t.i&gt;,no económico-político pero cuando entra á servir un oficial i la Nación ¡ no hace con esta de las provincias. una contrata; Sin.…</t>
  </si>
  <si>
    <t>…o permanente en la forma que se expresará. alguno , y sí solo en que asistan aquellos individuos como testigos. Arr. i.° » A este fin se hará dicho padrón en el mes de Enero de E! Sr. Gómez ( D. Manuel): Se opone «I Sr. preopinante al artí cada año, comprendiendo en él á todos los moradores del pueblo y de culo , porque cree que por él se crea un ayuntamiento nuevo ; pero á los caseríos, huertas , haciendas y demas estancias de su término, de mi…</t>
  </si>
  <si>
    <t>…i la iru-rte por de campo qu^dó cubierto de cadáveres, ocupada la villa, y hecho prisione fender las leyes .ese rico hacendado ó comerciante, que abandona gus ro el indio teniente coronel Gómez, que capitaneaba la fuerza, con solo toso sus comodidades é intereses por vengar los insutos cometidos poc la pérdida por nuestra pane de un sargento de Navarra. osas gavillas de bandoleros: ese empleado público , que cuando se tra El dia 4 fue reconocido , i…</t>
  </si>
  <si>
    <t>…solución recayó sobre otra de igual naturaleza , dirijid* por mo Liberal, son perseguidos por la misma columna victoriosa, 7 la diputación provincial de Jaén , y presentada por el Sr. Gómez (Don 2400 infames y roo cabal'os con que el general en gefe se presentó ea Manuel.) Estella la noche del y después de la acción. Nuestra pérdida en esta Igual resolución recayó sobre otra dirigida con ¡gu3l motivo por úlrma (ia de Estella) es de 21 muertos y…</t>
  </si>
  <si>
    <t>…PAÑA. De la milicia nac onal leeal voluntaria de ambas armas de la c utiad de Lucrria, por ¿1 Sr. López del Baño. Cádiz 16 de Enero. Del ayuntamiento constitucional de Jaén,por el Sr. Gómez (Don Con el mayor sentimiento toni. mos hoy la pluma para denunciar £ Manuel). U autoridad á quien corresponda un at miado contra ias leyes que nos De! gefe político, intendente y empleados en la ciudad de Soria, por ngen , cuya repetición va haciéi dose hart…</t>
  </si>
  <si>
    <t>…nero de 1823.= Por acuerdo del Excmo. ayunta taban á las Cortes por las memorables sesiones del 9 y 11 , presentada miento constitucional ss Francisco Fernandez de Ibarra.” por el Sr. Gómez (D. Manuel.) Igual resolución recayó sobre otra exposición sobre lo mismo del ARTICULO DE OFICIO. rector y demás individuos del establecimiento literario nacional de le villa de Cabra, provincia de Córdoba, presentada por el Sr. López El Gobi -no h.1 recibido…</t>
  </si>
  <si>
    <t>…mo ; y los que pudieron conseguirlas no cum en cualquier punto donde se les destine), presentada y leída por el plieron exactamente sus debites y obligac ones per no comprometerse Sr. Gómez ( D. Manuel). con la cor,e de Roma de quien dependían. De la milicia nacional local voluntaria y ayuntamiento de Maceda, De este modo se ha privado constant mente á ia Iglesia del fruto de presentadas)' leídas por el Sr. Neira. la sabiduría y piedad de los pr…</t>
  </si>
  <si>
    <t>…lejos, Nación para que se egecuten ahora estas reformas ; p ro ¡qué es lo que con uno solo había bastante. intenta la comisión en su dictamen? Restituir á la I-L-sia de España El Sr. Gómez (D. Manuel): Los Sres. que hasta aquí han impugnado *u antiguo esplendor, reformando los abusos que se oponen á la pros el dictamen de la comisión ío han hecho atacando algunos artículos suel peridad del Estado. Pues ¡cómo se cree que et pueblo e,pañol haya d…</t>
  </si>
  <si>
    <t>í8í Act. 47. « S’rá del cü'go del archivero la custodia y mejor conser- Después de haber apoyado el Sr. Gómez (D. Manuel) el dictam&gt;r» vacíos de ios ¡nteresintes documentos existentes en e! archivo , y de ds la comisión , se declaró este asunto suficientemente discutido , y qucualquiera falta será responsable., aun cuando procediese de sus de la votación no fuese, no…</t>
  </si>
  <si>
    <t>…he debido llamar al orador al orden (Multitud de voces á la derecha: Eso cir que nunca las cobrarían. no basta: es preciso impedirle que hable mas. Se le debe hacer bajar de la El Sr. Gómez (D. Manuel) manifestó que según el proyecto solo se tribuna!...... No se pueden oír tales horrores.......La agitación lleca al col disponía que ¡as diputaciones provinciales fuesen como una especie de conse mo : la mayor parte de Jos diputados de la derecha s…</t>
  </si>
  <si>
    <t>…e repitiesen concesiones de municionar la tropa permanente y milicia, y de proporcionar fon «sta naturaleza. dos para aquellas. Estamos seguros de que nada omitirá para que los El Sr. Gómez (D. Manuel): Ha dicho el Sr. preopinante que no enemigos de la nación do se atrevan á levantar la cabeza entre nosotros. hubiera tomado la palabra si no fuese de la comisión de Visita. De esto Ínterin no sepan que el Rey ha salido de Madrid estarán creídos de…</t>
  </si>
  <si>
    <t>…que hagan las Cortes de si es bado, añadiendo después de la palabra diputación «provincial materia de ley, ó de la que haga el Gobierno de sus órdenes. cuirdo este reunida, y” El Sr. Gómez (D- Manuel) impugno este art culo , manifes Art. 146. Los gefes políticos prescribirán las reglas que de tando que era demasiado amplia la facultad que se daba á ¡as di ban observarse en sus secretarías para el mejor orden, dirección putaciones provinciales d…</t>
  </si>
  <si>
    <t>…dar lugar á que los especuladores y aun corporaciones de de servir. mala fe , si por desgracia hay alguna , hiciesen loque el ayun En virtud de algunas observaciones hechas por el Sr. Gómez tamiento de Barcelona; como consta el haberse ya repetido en un Becerra se aprobó este articulo; añadiéndose después de las pala puerto de mar distante 20 leguas de esta capital. Señor: esto* bras »y que se nombrarán” las siguientes: « á propuesta suya exceso…</t>
  </si>
  <si>
    <t>…las casas rectorales y ios paiacios de ios M. R.R. hasta los copones-, pero sin embargo adoptó la modificación. arzobispos y obispos, declarándose que verificada la paz se pro El Sr. Gómez (D. Manuel) se opuso el artículo, porque con cederá á disponer de dichas fincas en ei modo que tienen decre la variación que se habla hecho resultaba una redundancia con el tado las Cortes , sin perjuicio de ocurrir la Nación á cubrir las anterior aprobado ya…</t>
  </si>
  <si>
    <t>…ó general gefe interino del estado mayor.rcBruno Gómez. por primera lectura. Gobierno político de la provincia de Madrid.__EI. diputado Se leyó por primera vez una proposición del Sr. Gómez de esta provincia D. Bernardo Parra Hermosilla , que accidental* (D. Manuel) sobre la redención de cargas que tienen algunos mente se halla en S. Martin de Valde-Iglesias , con fecha 10 del bienes vinculados que pertenecían á manos muertas. actual, me dice qu…</t>
  </si>
  <si>
    <t>…diendo se le expidiese una certificación de los por esta razcn atropelle á sus familias, sus bienes y fortunas. pueblos que contiene aquella provincia, para dirimir algunas com El Sr. Gómez fD. Manuel.): Parece según el contexto de petencias que se han suscitado entre aquellas provincias y las de este artículo que es condición s.ne qua el que para estar com León y Zamora sobre el cupo de los quintos que les corresponden. prendidos en la pena que…</t>
  </si>
  <si>
    <t>…traordinarias de 28 de Octubre de 1811 , y orden dela sesión de antes de ayer en su avt. 2.0 (,Vé*se dictia sesión.) las mismas de 20 de Diciembre de dicho año, relativos á las El Sr. Gómez (D. Manuel): La comisión habla en este ar pensiones que deben concederse á las viudas y familias de lostículo de vinculaciones, mayorazgos y señoríos; pero se ha olvi que perecen en defensa de la patria.dado de lo decretado por las Cortis sobre manos muertas;…</t>
  </si>
  <si>
    <t>…decretado lo siguiente: Las Cortes , usando de la facultad que y que se debia fijar una multa mas considerable. se Jes concede por la Constitución, han decretado lo situ.ciite: El Sr. Gómez (D. Manuel) manifestó que según la observa Artículo i.° Durante la guerra actual con Francia la parte e.ei ción que acababa de hacer el Sr. Prado debería extenderse la medi artículo 9 del decreto de 20 de Diciembre de- jfc¡2i , que pres da á tres ó cuatro ami…</t>
  </si>
  <si>
    <t>…o que debia apro durante la guerra el producto de una finca de su pertenencia, cu barse ; añadiendo en su consecuencia el siguiente artículo al decre- ya exposición la presentó el Sr. Gómez (D. Manuel). . to sobre secuestros, que deberá ser el 6°: ,,Todo pueblo en don Se mandó agregar al acu el voto dei Sr. Romero, contrario de se verifique asonada ó motín con tendencia á perseguir ó atro á la supresión de la comisión de Temporalidades. pellar á…</t>
  </si>
  <si>
    <t>…osidades, por ejemplo el nombramiento del ministerio de la Huma cultad en que se apruebe el dictamen de la comisión. da Regencia: han sido pues nombrados para ministros de Esta El Sr. Gómez ( D. Manuel): El Sr. preopinante ha contes do , Guerra, Hacienda, Marina, Gracia y Justicia, Interior tado tan acertadamente á la objeción puesta por el Sr Buey , que y Gobernación de Ultramar , los Sres. Varqas, San Juan , Erro, nada tengo que añadir sobre e…</t>
  </si>
  <si>
    <t>…tes aparecen en cantidades enormes: can estos y otros ardides que estamos en el caso de quitar ahora los póisitos. es como los interventores hacen su negocio. Ahora bien, si se El Sr. Gómez (D. Manuel): insiste, señor, aun !a comi ocasionan todos estos males en los pósitos, males que las leyes sión en que los pósitos jamas han sido útiles á los labradores; pe nunca podrán reformar , ¿que inconveniente puede haber en su ro yo no puedo convenir eo…</t>
  </si>
  <si>
    <t>…tnteí del decreto sobre liquidación de suministros. de D. Ignacio Martínez solicitando la legitimación de una hija Leído este dictamen hizo algunas observaciones sobre él el suya. Sr. Gómez ( D. Manuel), á las que cou'-stó el Sr. Surrá. La comisión de Visita del Crédito público, en vista de la ex Se declaró haber lugar á votar sobre su totalidad , y quedaron posición de D. Juan Antonio Giménez Perez de Arellano, opi aprobados los tres artículos…</t>
  </si>
  <si>
    <t>…ue ba 8 reales á cada persona; por todo lo cual no apro acredite Ja legitima introducción. El Gobierno espe baba el diclámen. dirá la conveniente orden para que por Jas aduanas El Sr. Gómez becerra contestó que era imposi $e espidan los certificados y guias det moda mas se ble dejar contentas ¿ todas las provincias; pues micu*</t>
  </si>
  <si>
    <t>…e no se abuse de ella. Por lodo es nes «pie se adoptaban para no dejar los abusos do to opino que no debo b^ber lugar á votar. la libertad de imprenta en una impunidad absoluta El Sr. Gómez ( D. Manuel ) : La comisión reco é injusta. Qne halda mui poderosas razones mui mar noce que la libertad de imprenta está íntimamente cadas en el código penal para que no se declarase res enlazada con la libertad civil, reconoce que se lian ponsable de un esc…</t>
  </si>
  <si>
    <t>…onsabilidad que se presenta el propicia rio ó se d:i por vacante su destino. les imponía , por lo cual-no aprobaba el artículo. La eoint.iion de lnstruecinn pública presentó co El Sr. Gómez ( D. Manuel} en apoyo del articu pia tic dos decreto» aprobados ya por las Lurtes y lo manifestó que la principal razón que u.ibia teni perdidos en el saqueo de Sevilla, el t. ° sobre es do la comisión para redactar el artículo de este mo tablecimientos de es…</t>
  </si>
  <si>
    <t>…ngo entendido que está puesta en práctica esta máxima; mas ei obispo enando delinque como el diurno criminal. alia harán lo que les dé la gana, y nosotros seguiremos los princi E! Sr. Gómez becerra: La impugnación del Sr. Isturiz puede ser pios constitucionales; por consiguiente no veo la necesidad de que objeto de una adición, con respecto á que se exprese que se trata hayan de concurrir cuatro secretarios del Despacho para adoptar la cambien d…</t>
  </si>
  <si>
    <t>…ejeros de Estado no puedan ser removidos sino bado dicho artículo z.° por causa legalmente probada y sentenciada ; pero ¡se trata aquí Se mandó pasar á la comisión una adición del Sr. Gómez de remover ó separar , ó se trata de declarar que ellos se han se Becerra á este proyecto de decreto. parado: La razón por que las Cortes exijieron que un magistrado Se mando insertar en el acta un voto particular del Sr. Qui no pudiese ser removido ó separad…</t>
  </si>
  <si>
    <t>…Sr. Canga rogó al Sr. Presidente que tuviese la bondad de F.1 Sr. Vuldés (D. Dionisio) manifestó que puesto que el poner á discusión á la mayor brevedad la solicitud de los indivi Sr. Gómez no había impugnado la totalidad del dictamen, y sí al duos de la comisión de Visita que estaba sobre la mesa. gunos artículos, se abstendría de contestar á ellos hasta que se El Sr. Presidente contestó que lo tenia presente. entrase, si las Córtes lo tenían á…</t>
  </si>
  <si>
    <t>…a totalidad de este dic Estov conforme con la comis’on en que la contribuí.V&gt;n &lt;Je tamen, y se ieyó c¡ art. i.° los seis meses que restan del año se haca en dos pavos; pvio r.o El Sr. Gómez. Becerra: Lo que la comisión propone en este lo estoy en que la de los ses primeros m s;s de! año que v ene &gt;e articulo es lo mismo casi que lo que se propuso anteriormente; liaca en otros dos, pues es claro que no quedará otro remedio de consiguiente , siend…</t>
  </si>
  <si>
    <t>…Jos informes Se leyó y se acordó quedase sobre la mesa el dictamen de la que se han pedido al general Vitoria. Las Cortes han dado comisión de Legislación sobre la proposición del Sr. Gómez un decreto con fecha de i.° del corriente, por el cual se man Becerra, relativa á las elecciones. da que cesen las hostilidades en varias provincias de GoatemaLa comisión del Crédito público en vista de la proposición la por su resistencia á unirse con Méjico…</t>
  </si>
  <si>
    <t>…o tiempo. Esperemos po» último los suce pas colombianas , procedentes de Santa Marta , bajo !as órdenes sos dé Cádiz: tengamos algunos días de paciencia, y sabremos inmediatas del general Gómez, el mismo que batió Morillo en entonces á qué atenernos. (Monitor ) j81700 la Margarita. E! almirante Padilla había anteriormente Idem 25. forzado la entrada del lago de Maracaibo el 8 de Mayo para Por un parte telegráfico s. ha sabido U muerte de S. S. el co…</t>
  </si>
  <si>
    <t>Gómez, Andrés</t>
  </si>
  <si>
    <t>Andrés Gómez</t>
  </si>
  <si>
    <t>…ue mandaba la reserva, tribunales. y el alférez D. Ignacio Chinchilla, pasando yo al mismo tiempo con el _ Por providencia del Sr. D. Angel Fernandez de los Ríos, ministre alférez D. Andrés Gómez. Pisar la orilla -la primera mitad , y cargar togado honorario , juez de primera instancia de esta heróica villa , dada por los, fue obra de un momento ; y á pesar de su obstinada resistencia , y ante el escribano del número y su juzgado D. Florentino López B…</t>
  </si>
  <si>
    <t>Gómez, Antonio</t>
  </si>
  <si>
    <t>Antonio Gómez</t>
  </si>
  <si>
    <t>…inguido á Ips es Excino. Sr. D. Francisco de Eguía , presidente; del teniente ge pañoles. En seguida se cantó un Te Deum en ia iglesia princi neral barón de Eróles, y de los Srcs. D. Antonio Gómez de pa! , y al siguiente dia 16 á las siete de la mañana partió el Calderón y D. Juan Bautista de Erro, aunque solo se encontra Gobierno para Vitoria entre las mismas aclamaciones que la ban presentes el primero y los dos últimos da los mencionados, víspera ,…</t>
  </si>
  <si>
    <t>Gómez, Bruno</t>
  </si>
  <si>
    <t>Bruno Gómez</t>
  </si>
  <si>
    <t>…por nuestra paite hayamos perdido mas que unos too. El do con él mismo encargo el segundo ayudante general de E. M- coronel de España recibió un balazo en la feabez». En Valencia D. Bruno Gómez , mientras se presenta el que nombre al efec se sentía un fuego vivísimo de grueso calibie, dirigido sin duda to S. M., ó el de superior clase ó antigüedad1 de los ayudantes á allanar las calles extramuros. &gt; generales destinados á este egército. __El gefe po…</t>
  </si>
  <si>
    <t>….on proponía Una fuerte contusión : se manifiesta satisfecho del teniente coro no podia contradecirse de modo alguno, á saber, que los buques nel Arvila, de los oficiales de E. M. D. Bruno Gómez y Don que rompiendo ó superando la linea del bloqueo entren en esta Juan Peman, y de los de ingenierosD. Antonio BanJaran , Don bahía, no pudiendovolver á superar dicha linea, no quedaba ctro Fermín Arteta y D. Juan Vildosola: hace el mayor elogio, y arbitrio que a…</t>
  </si>
  <si>
    <t>Gómez, Casimiro</t>
  </si>
  <si>
    <t>Casimiro Gómez</t>
  </si>
  <si>
    <t>…lidad ó perseguir á los revolucionarios , de mis Por providencia dei Sr. teniente D. Manuel Rubio y escri „ propios bienes le señalaré lo necesario para que de nada carez banía de D. Casimiro Gómez, se llaman á los parientes y ha as can ni él ni su familia ; teniendo á mucha gloria y honor ha bientes con derecho á los bienes de Rafael Alvarez, criado que sta cer este sacrificio en obsequio del Rey nuestro Señor y au fue del duque de Betwick, y murió int…</t>
  </si>
  <si>
    <t>Gómez, Eruno</t>
  </si>
  <si>
    <t>Eruno Gómez</t>
  </si>
  <si>
    <t>…cionales y extranjeros , y sufrimos toda dando con el mismo encargo ti segundo ayudante general de esta especie de vejaciones; pero nos hicieron merced de] pelie’jo. Esta do mayor D. Eruno Gómez, mientras se presenta el que nom mañana han vuelto á salir en columna cerrada, no se sabe adon bre al efecto S. M., ó el de superior clase ó antigüedad de los de, y hemos vuelto á quedar solos. ayudantes gen-rales destinados á este ejercito- Sevilla 29 de Abr…</t>
  </si>
  <si>
    <t>Gómez, Francisco</t>
  </si>
  <si>
    <t>Francisco Gómez</t>
  </si>
  <si>
    <t>…dos por el coronel D. Bernardino Asenjo, en que consistía la guarnición de aquella ciudad, y que en unión con el partidario „ Settno. Sr.; El marques de San,Felices, conde de Aleó D. Francisco Gómez había pasado á Clasatabond3, en donde se le*, grande de España, y vecino de la ciudad de Vallado!,d , s« hallaba el teniente general D. Juan Caro, á quien habian con halla penetrado del mas vivo y profundo dolor , y al mismo ducido á Ronda á fin de que tomase…</t>
  </si>
  <si>
    <t>Gómez, Jacinta</t>
  </si>
  <si>
    <t>Jacinta Gómez</t>
  </si>
  <si>
    <t>…cual puede archivarse. A la comisión de Casos de responsabilidad se mandó pasar el Aprobado. expediente del ayuntamiento de Barcelona sobre introducción de Sobre el expediente de Doña Jacinta Gómez en solicitud de granos extrangeros pedido al Gobierno, con el objeto de pasarlo dispensa para administrar sus bienes; opinaba podia accederse á su á la comisión referida. solicitud. Aprobado. A la comisión de Visita del Crédito píiblico se mandó pasar Sobre e…</t>
  </si>
  <si>
    <t>Gómez, Joaquin Severino</t>
  </si>
  <si>
    <t>Joaquin Severino Gómez</t>
  </si>
  <si>
    <t>…n en retorno para España anualmente de 6 Cuerpodiplomático, se despidió el encargado de Negocios del Rey á 8 millones de duros en plata y oro acuñado, llegando algunos de Portugal D. Joaquin Severino Gómez, sugeto que ya con es anos á 12 y 14 millones; quedando en ella solo una tercera par te carácter , ya con el de Secretario de Legación se halla en Es tir sus frutos territoriales, y las dos partes para los extrangepaña desde el año 1809, habiéndolos desempeña…</t>
  </si>
  <si>
    <t>Gómez, Manuel</t>
  </si>
  <si>
    <t>Manuel Gómez</t>
  </si>
  <si>
    <t>…1: se suplica á la persona que tuviere noticia de su muerte ó paraderc|y rompió el fuego macando la avanzada del puente , la cual se sostuvo que tenga la bondad de comunicársela á D. Manuel Gómez, prrsbitJ‘|' valerosamente hasta haberlo pasado la columna, excepto 30 granaderos ro , administrante de sacramentos de la patroquia ds S. Sebastian de cfp qu* defendían ei campo tanto ; psro cargado su flanco izquierdo por los ta corte. 1; EN I.A IMPRENTA NAC…</t>
  </si>
  <si>
    <t>Gómez, Miguel</t>
  </si>
  <si>
    <t>Miguel Gómez</t>
  </si>
  <si>
    <t>…e muy depravada bién á los ayudantes primero y segundo D. Juan Obregon y D. Ma conducta, á quienes he mandado formar la correspondiente causa para nuel Pina Espiga, al subteniente D. Miguel Gómez, y á los sargentos que recaiga sobre ellos todo el rigor de la ley. Acabo de saber en este Bonifacio Pascual, Juan Tirpo y Antonio Parra , cuyos individuos me momento que noticioso el general Torrijos de la entrada de O-Donell recen de su comandante singular…</t>
  </si>
  <si>
    <t>…rez nos ha dirigido la siguiente carta. No habiendo podido indagsT la comisaría general de Cruzada el pa Muy Sres. mios: No sé por qué fatalidad mi voto sobre el arreglo radero de D. Miguel Gómez , administrador tesorero suspenso de la del clero, que en la sesión da Cortes de 30 de Enero próximo duró diócesis de Jaén , á pesar de las mas eficaces diligencias practicadas al mas de tres cuartos de hora, ha salido tan desfigurado y contrahecho efecto, ha…</t>
  </si>
  <si>
    <t>…unal ¡U cruzada. gundo, un capellán, 20 caballos, 42 fusiles, carabinas y sables, No habiendo podido indagar la comisaría general de Cruzada con una caja de guerra. el paradero de D. Miguel Gómez, administrador tesorero sus „Por otro det alférez de caballería de Farnesio D. Vicente penso de la djócesis de Jaén, á pesar de las diligencias practica Lagunero, que me dirige desde Fuentecen con fecha 6 del actual, das al efecto, ha acordado que se le llame…</t>
  </si>
  <si>
    <t>Gómez, Tomas</t>
  </si>
  <si>
    <t>Tomas Gómez</t>
  </si>
  <si>
    <t>…artillería, que hicieron pv.s.oneros , y que tad , el de los tenientes coroneles graduados D. Gabriel Bóveda, hubieran conseguido las mayores ventajas si hubiesen tenido '--'ba y D. Tomas Gómez, ayudante de dragones del Rey D Felipe llena. Durante esta acción, que empezó por la fortaleza de Opio, Nearon , v el de los Sres. coronel de mibcas de Acar- D Juan hizo Mina que le llevasen á la muralla de Barcelona, desde don Antonio Olaechea , teniente cor…</t>
  </si>
  <si>
    <t>Gómez, Vicente</t>
  </si>
  <si>
    <t>Vicente Gómez</t>
  </si>
  <si>
    <t>…que la dejando para sostenerla tres partidas en escalones al mando del necesidad exigía atacar para imponer á los enemigos, los cuales capitán Di Francisco Ibarra, del subteniente D. Vicente Gómez, consa artillería y caballería amagaban el arrecife, mientras que y del de igual clase D. Francisco Marjil, que cubrió la retaguardia la infantería á los flancos de la casa-fueste dirigía sus fueros hasta el caño. Estas partidas y la guerrilla del centro, al…</t>
  </si>
  <si>
    <t>Gómez, Zoilo</t>
  </si>
  <si>
    <t>Zoilo Gómez</t>
  </si>
  <si>
    <t>…Nuñez (D. Toribio) por 79 votos, habiendo tenido En su vista se reunió el jurado , compuesto de los Sres. siguientes: dos el Sr. Cano. D. Juan Antonio López, D. Vicente Segurado, D. Zoilo Gómez En 17.0 el Sr. González Aguirre por 79 votos, habiendo tenido uno Casero , D. Juan Paz , D. Antonio Diaz del Moral, D. Francisco Cocada uno de los Sres. Valdés, Bustos y Cano. Jombo, D. Juan Manuel de Aréjula, D. Casimiro Martin, D. Joaquín En la r8d votación qu…</t>
  </si>
  <si>
    <t>Gomrz, Franc.sco</t>
  </si>
  <si>
    <t>Franc.sco Gomrz</t>
  </si>
  <si>
    <t>…D. Tumis de tria, tropas y milicia naciooai de este segunuo distrito! «Comandancia gen-ral dei segundo d-strito militar _ Id Fiemo. Prado; esta y la del teniente dei mismo cuerpo D. Franc.sco Gomrz cargaron inmediatamente sobre ellos, y persiguiéndolos por mas de un Sr. comandante genera', de este distrito con fecha de ayer me a ce uescuanto de legua , dejando muertos en el campo 5 de aquellos in-ames, , , _ io , mgui-nte: de Santnzo „ , ,r varios herid…</t>
  </si>
  <si>
    <t>Gon</t>
  </si>
  <si>
    <t>…o del total. Lo1- votos estaban divididos en esta forma; 2: el los peligros á que están expuestos nuestros intereses en la Ameri Sr. Cuadra; 26 el Sr. Valdes ( D. Dionisio); 18 el Sr. Gon ca del Sur, y á su consecuencia se ha mandado salir para el mar zález Alonso; 3 cada uno délos Sres. Ruiz de la Vega , Scptlcn, Pacifico un buque de línea, y se enviará muy en breve á la Ja Ovalle y Fcrrer ( D. J oaquin); ; cada uno de los Sres. Villamaica un…</t>
  </si>
  <si>
    <t>Gon, Francisco</t>
  </si>
  <si>
    <t>Francisco Gon</t>
  </si>
  <si>
    <t>…, a los Kxcmos. Sres. D. Victor Saez y D. Josct García de la T r- no ser que su locura le sugiera la idea de tentar otra salida hacia re por parte de ia de la Historia: v Rs Sres. D. Francisco Gon el Nuevo-Mtindo, donde no puede menos de inlluir su presencia zález v D. Juan Bautista Arria.’.1 por Ja F.spa" o.a : '"..'.''•cn.cose tanto como en la Península; pues con mucha razón puede lla dignado recibirlos S. M. con su IvmgMOaJ acottumbrcCj. mársele, á…</t>
  </si>
  <si>
    <t>Gon, Josef</t>
  </si>
  <si>
    <t>Josef Gon</t>
  </si>
  <si>
    <t>…en sus el licenciado Menendez, y ahora divididas y subdivididas las padres en tas ciudades y pueblos que tienen la dicha de poseer preguntas para su mas fácil enseñanza por el Dr. D. Josef Gon los. Asi es que anunciamos con mucho gusto los ejercicios pú zález , del gremio y claustro de la universidad de Osma: está blicos de filoso fia moral que sostuvieron en esta corte el 23 del aprobado por el Sr. obispo da esta ciudad. Se vende calle da pasado t…</t>
  </si>
  <si>
    <t>…cet para que las personas que se crean con derecho á la herencia de paso á los car-uí’,ges, que por esta razón han tardado mucho los bienes tanto libres como vinculados del citado D. Josef Gon tiempo en llegar á la población. Cubrían la carrera tropas fran zález Villamil, acudan en el término de go dias, contados desde cesas y españolas y Voluntarios Realistas ricamehte vestidos, la publicación de este aviso, al corregimiento de dicha ciudad y no s…</t>
  </si>
  <si>
    <t>Gon, Josef Blanco y</t>
  </si>
  <si>
    <t>Josef Blanco y Gon</t>
  </si>
  <si>
    <t>…as continúen reúnan conocimientos y actividad , he venido en conferir la Inten desde 1de Julio inmediato en la posesión y percibo de sus ci dencia del ejército y reino de Aragón á D. Josef Blanco y Gon tadas rentas en los términos que lo hacían antes del Real decre zález: la del de Castilla la Vieja á D. Justo Pastor Perez: la del to de 30 de Mayo de 1817, cuya práctica era la de que los men de Cataluña á D. Vicente Frígola: la del de Extremadura á Don cion…</t>
  </si>
  <si>
    <t>Gon, Rafel</t>
  </si>
  <si>
    <t>Rafel Gon</t>
  </si>
  <si>
    <t>…lecer la tranquilidad délos para que asi lo verificase. Aprobado. pueblos podrán valerse de Jos recursos eficaces que están dentro ■ La misma comisión, en vista d= la solicitud de D. Rafel Gon de sus atribuciones , pudiendo usar de apremios y multas hasta la zález Mer.chaca para que se le considere como cesante, opinaba cantidad de 10o pesos fuertes para hacerse respetar y obedecer se no debia tomarse resolución sobre ella, y que este interesado hi…</t>
  </si>
  <si>
    <t>Gon, Tomas</t>
  </si>
  <si>
    <t>Tomas Gon</t>
  </si>
  <si>
    <t>…á la doctrina de los santos padres , con notas sacadas de heridos, y un sargento y dos soldados contusos. También intentaron los mejores intérpretes , y algunas disertaciones: por D. Tomas Gon los facciosos atacar los parapetos de la abertura de este pueblo ; pero zález Carbajal. Esta obra, que ha merecido el mayor aprecio del pú tuvieron que retirarse bien escarmentado» por las compañías de caza blico, y que puede consideiarse como un modelo de bu…</t>
  </si>
  <si>
    <t>Gon, Toribio Albar</t>
  </si>
  <si>
    <t>Toribio Albar Gon</t>
  </si>
  <si>
    <t>…. Como el Exento. Sr. gene Relación de los individuos presos venidos de Gijon sn el ral en gefe del cuarto egército de operaciones tuviese noticia de quechemarin Joven Calixto, su capitán D. Toribio Albar Gon estas ocurrencias , salió al encuentro de Silveira , y sé, aunque zález , entregados por la autoridad civil de Gijcm de orden de no de oficio, que sus tropas se batieron con las de la retaguar la autoridad política para entregar en esta. dia de los facciosos…</t>
  </si>
  <si>
    <t>Gon-</t>
  </si>
  <si>
    <t>…ia. 1 1.11I lesolucion recayó sobre las siguientes 1 Por lo tanto creo que m las Corte» pueden autor.zar a Gcbi tro para Da !a milicia nacional activa de Soria , presentada por el Sr. Gon- este objeto, m el Gobierno d'be pedir esti autor ración , de que no ia!i t ( i). Gisildo ). necesita , con arreg.o á las lacuttades que tiene por la ConsMucior. 1 &gt;« M. N. L. V. de B jar, presentada y leída por el Sr. Pacheco. Dice el dictamen de ¡a comisión…</t>
  </si>
  <si>
    <t>…, y ordené' el ataque de estas adonde estaban reple V. E. para su conocimiento. Dios guarde á V¡ E. muchos años, barce. gados como unos 700. Las guerrillas , ai mando del bizarro coronel Gon- lona 4 de Febrero de iSrg.ixcFernando de Butrón.= Excmo. Sr. secre g..¡ f -j ¡3 bayoneta y » lacairera, protegidas de tas demas columnas, se tario del Despacho de &gt;a Guerra.” ,’iici ion dueños de las montañas, y la dispersión de la canalla fue t:l, Jxmprcstit…</t>
  </si>
  <si>
    <t>Gon.a.v.-, Manuel</t>
  </si>
  <si>
    <t>Manuel Gon.a.v.-</t>
  </si>
  <si>
    <t>…este contLcto Fueron su valor cuando no va unido can la justicia y se roza con la par electos plenipotenciarios ID. Juan Kgaña por Sai t.aro , D, Ma nuel \ovoa por Concepción . y D. Manuel Gon.a.v.- por Co- cialidad.</t>
  </si>
  <si>
    <t>Gondovia, Josefa</t>
  </si>
  <si>
    <t>Josefa Gondovia</t>
  </si>
  <si>
    <t>…no se discuta el proyecto de ley sobre que se haga el anuncio en la gaceta, á todos los herederos abintestaia el pedido de les 100 millones, por haberse votado en la de Diputa de Doña Josefa Gondovia, viuda ds D. Francisco de Arraute , natural dos cuando esta no se hallaba ni libre ni íntegra para discutirlo. El de Monforte de Lernus, en Galicia, para qua dentro de dicho término Constitucional asegura que la adopción de la ley sobre los veteranos comparez…</t>
  </si>
  <si>
    <t>Gondovia, María Josefa</t>
  </si>
  <si>
    <t>María Josefa Gondovia</t>
  </si>
  <si>
    <t>…n algunos dipu bidos que pasado dicho tétmino y no compareciendo, se declarará por tados de la derecha, que s« proponen juntarse para formar una nueva única y universal heredera á Doña María Josefa Gondovia, vecina de opcis’cion. Los mas de los periódicos de Paris anuncian para el 13 la la ciudad de la Cotuña. salida del duque de Angulema al egército, y la del mariscal Moncey ANUNCIOS. para el 1 2 ó el I3. T.os Sres. suscriptores al grabado de la Constitución qu…</t>
  </si>
  <si>
    <t>Góngora, Joaquín</t>
  </si>
  <si>
    <t>Joaquín Góngora</t>
  </si>
  <si>
    <t>…mo Soberano el br. D. Fernando vil (que campo; P* Pascual Liñan ; comandante de artillería al coro- Dios guarde), se apresuran á tributar á V. A. S. los hemenanel'djj-mismo cuerpo D. Joaquín Góngora s y para el mismo ges de reconocimiento y obediencia que son tan d-bidos, pro destilo en el Real cuerpo de ingenieros al brigadier D. Caye metiéndose que bajo los auspicios de su gobi-.ino justo y pater nal conseguirán estos habitantes enjugar las lágrimas qu…</t>
  </si>
  <si>
    <t>Góngora, Josef</t>
  </si>
  <si>
    <t>Josef Góngora</t>
  </si>
  <si>
    <t>…á el mérito á estos dignos de tal Ramiro! has muerto como mueren los héroes. En efecto, es fensores de la patria. te oficial nutrió en la noche del io. El subteniente de Zapadores D. Josef Góngora, ayudantc&lt;de El soldado Pedro Muñoz, de la Reina, mató á tres solda !a brigada de mi mando, rexibió una fuerte caída del caballo dos cíe caballería francesa , y entre ellos á un oficial; siendo de en la carga que dieron los enemigos en el barrio, y á pesar de…</t>
  </si>
  <si>
    <t>Góngora, Pedro</t>
  </si>
  <si>
    <t>Pedro Góngora</t>
  </si>
  <si>
    <t>…arte al exterminio de esas lo posible, haciendo avanzar á la caballería de !a Reina al mando del hordas infames, que han atraído sobre vuestro suelo ios horrores de la subteniente D. Pedro Góngora, con los oficiales de guardias D. Benito Diez Canseco y D. Francisco Garoz, de la plana mayor, y el teniente guerra y de la desolación. Vitoria i.° de Febrero de 18ig.=Gre¿orio del regimiento de na¡ cargo D. Joseí Osorio , sostenidos por la compa Piquero Argi…</t>
  </si>
  <si>
    <t>Goñí, Francisco</t>
  </si>
  <si>
    <t>Francisco Goñí</t>
  </si>
  <si>
    <t>…iente. . . S 1 cni’cnte coronel, primer comandante su- D. Rafael Valcarcel............ ............ipernumerario............................................................. 16000 D. Francisco Goñí.............. Alféreces...................... Capitanes supernumerarios.............................. 7200 D Andrés Romero Valdés. Tomas Esperriqueti.............. Sargentos segundos. Idem supernumerarios, Con su haber actual. Manuel Gutiérrez................…</t>
  </si>
  <si>
    <t>Goñi, Joaquín María</t>
  </si>
  <si>
    <t>Joaquín María Goñi</t>
  </si>
  <si>
    <t>…tado secretario.” =Por tanto mandamos á Moret, D. Domingo Banceí, D. Juan Bautista Carrera, D. Juin Pe todos los tribunales y justicias, gefes, gobernadores y demás autorida rez y D. Joaquín María Goñi, por unanimidad ha declarado no haber des , asi civiles tomo militares y eclesiásticas, de cualquiera clase y dig lugar á la formación de cansa. nidad , que gtiardtn y hagan guardar, cumplir y egecutar el presente decreto en todas sus partes. Tendreislo enten…</t>
  </si>
  <si>
    <t>Gonsalvi</t>
  </si>
  <si>
    <t>…la confirmación de esta noticia. El 29 partió de .Amarante la segunda división, compues liorna 4 do Marzo. ta de los cuerpos siguientes: infantería núms. 10 y 21 ; algunos 1 i El cardenal Gonsalvi se halla enfermo, y se teme mucho cazadores reunidos del 7, 9,10 y 11 ; la caballería núm. 7 y por su vida; sin embargo no se resuelve á separarse de los nego artiller a montada: esta división fue á Ovelha y sus inmediaciones cios; pero si empeora su mal , eí…</t>
  </si>
  <si>
    <t>Gonzá, Alvaro</t>
  </si>
  <si>
    <t>Alvaro Gonzá</t>
  </si>
  <si>
    <t>…creído mucho mas obvio el dictamen que presenta, y que era titud nacional. , mucho mejor para los contribuyentes; pero para poner término La comisión de Visita de la solicitud de D. Alvaro Gonzá á esta discusión contra el dictamen de los empleados del Gobier lez de la Vega, gefe de la oficina de Renovación, para que se no , y contra el mío propio, puede votarse como desea S. S. Es declarare si podía desempeñar otro encargo que le habia dado el ta ha…</t>
  </si>
  <si>
    <t>Gonzá, Antonio de</t>
  </si>
  <si>
    <t>Antonio de Gonzá</t>
  </si>
  <si>
    <t>…alteador, Todo el vecindario de esta última villa acudió á las armas; y salió á siempre que haya sido aprehendido solo , cuando consta ó apaiezca recibir i los muchos huéspedes el comandante D. Antonio de Gonzá pertenecer á cuadrilla. lez con los so individuos de su mando y 40 milicianos, disponiendo Después de una corta discusión quedó aprobado este dictamen. su gente en tres guerrillas: la del centro fue cargada por dos guerrillas La comisión de Visita del Crédito…</t>
  </si>
  <si>
    <t>Gonzá, Evaristo</t>
  </si>
  <si>
    <t>Evaristo Gonzá</t>
  </si>
  <si>
    <t>…que asistir al hospital y cárcel: las solicitudes se dirijirin hasta el la necesidad y la impotencia física y moral los constituye en la 15 de Julio al secretario de ayuntamiento D. Evaristo Gonzá precisión de sucumbir , io intentan con altanería y sin buena fe, lez de Zarate. sostmiendo el norte de sus errados principios, tan contrarios á Apología de la contaduría de rentas decimales del arzobis nuesim antiguas leyes, como parto de los deseos de domin…</t>
  </si>
  <si>
    <t>Gonzá, Juan</t>
  </si>
  <si>
    <t>Juan Gonzá</t>
  </si>
  <si>
    <t>…iosas to, el distinguido P Miguel Ifcarreta y trec ‘o'dzdos heridos, j0 doctrinas, ó descansan en la superioridad de fuerzas que las po mismo que los caballos del oficial del F M. D. Juan Gonzá ne á cubierto de sus efectos. Mas la fuerza no es eterna ; y la na lez y mi ordenanza Santiago Marín, dd retrmiento dfl Infante. ción que ayer dictó leyes á las otras, hoy es su ludibrio. Tal No elogio ni recomiendo particularmente a nadie, po.que todos 1 vez…</t>
  </si>
  <si>
    <t>Gonza.ez, Alvaro</t>
  </si>
  <si>
    <t>Alvaro Gonza.ez</t>
  </si>
  <si>
    <t>…cantidad por no Antonio Diaz del Moral por 70 votes de 77 de total , teniendo 6 Don haber lugar al decomiso, cuya sentencia no se llevó a efecto por el ¡n- Agustín de Mar», y uno D. Alvaro Gonza.ez de la Vrva. tsndente de Cádiz; la comisión en vista de lodo el expediente se con La misma junta directiva proponía en terna para com sionado es formaba con dicha sentencia, opinando que se llevase á efecto, dando pecial da la extinción de la deuda y enajenaci…</t>
  </si>
  <si>
    <t>González</t>
  </si>
  <si>
    <t>…la á 23 de Abril ceses se acercan ¿ Madrid , y por tanto es muy interesante que se de 1823. concluyan las lecturas de Jas memorias. Se leyó en seguida la siguiente preposición del Sr. González En la secretaría de Estado y del Despacho de la Gobernación Alonso: «Pido á las Cortes se sirvan acordar sesión extraordina de Ultramar se ha recibido de los comis:onados para surtir de ví ria en la noche de hoy para que se concluya la memoria de Ha veres al ejé…</t>
  </si>
  <si>
    <t>…er hostilizados los su rada comprendida en el artículo too del reglamento , y admiti yos. ¡Ya se ve! Nosotros tenemos ya muy pocos que perder, y da á discusión una proposición del Sr. González (D Josef Ma ellos muchos; clara está la urbanidad; y que los corsarios que ría ) para que las Cortes autoricen á los generales en gefe de los con bandera nuestra pueden hormiguear no es la mas agradable ejércitos de operaciones y comandantes generales de dist…</t>
  </si>
  <si>
    <t>…go si están ya trasladada» las Cortes Cortesa la Isla Gaditana: y se resolvió que el 18 se á la minina Lia, ó tendrá á bien avisarme tan pron empezarían las sesione» de Cortes. El Sr. González to como lo estén, pura los electos consiguientes. Dios Alonso hizo la indicación de que se tomasen las mas guarde á V. E. muchos años. = Puerto tle Satita-Mu- severas providencias para hacer un exeinplar escar riu, junio 1 \ de tibió. — Cayetano Valdes. —Sr.…</t>
  </si>
  <si>
    <t>…ue propusiese lo da-y 300 por la tercera, y por cada una de las siguientes que se que le pareciese conveniente. le pruebe haber vendido la misma obra; siendo estas multas líqui El Sr. González (D. Josef María) fue del mismo parecer, das á favor del propietario , pues los gastos del juzgado han de ser manifestando que un encargo de tanta consideración como el de siempre de cuenta del contraventor. Aprobado. presidente de las Cortes , era primero que…</t>
  </si>
  <si>
    <t>…ue presentaba. proposición del Sr. isiarau, y habiendo tenido presente lo ex Se mandó» quedar sobre la mesa. puesto en la discusión anterior, opinaba, que las.(Antes declarasen El Sr. González leyó el d efamen de la comisión de Guerra que el Gobierno continúe ejerciendo las facultades extraordinarias sobre la proposición del Sr. Canga , relativa á que las Cortes de concédalas por las Cóntes en sus decretos del mes próximo pasa clarasen beneméritos…</t>
  </si>
  <si>
    <t>González, Alejandro</t>
  </si>
  <si>
    <t>Alejandro González</t>
  </si>
  <si>
    <t>…= Deseando TRIBUNAIES. el Aey restituir la paz í los pueblos en que se halla turbada i impulso de las maquinaciones de los enemigos de la Nación, j persuadido Por providencia del Sr. D. Alejandro González, juez letrado de S. M. que el único medio que puedan tener efecto sus benéficas inten primera instancia fecha 20 de Diciembre , se ha mandado anunciar por ciones es el de proveer con urgencia al egército de buenos caballos, medio de los papeles públicos de es…</t>
  </si>
  <si>
    <t>…IUEUKv.lES. que había de salir de la corte, y reunírseles en aquel punto; y habien do este avisado que no vendría porque le negaban pasaporte, fue As- En virtud de providencia drl Sr. D. Alejandro González, juez in torga á verle, y quejándose de que le había engañado, le dijo aquel terino ds pr.mira instancia d» esta M. H. villa de Madrid , refrendada que fuese á Bú.gos , y encontraría mucha tropa a que agr.-gir; : la drí escribano del número y su juzgado Ansel…</t>
  </si>
  <si>
    <t>González, Alfonsa</t>
  </si>
  <si>
    <t>Alfonsa González</t>
  </si>
  <si>
    <t>…de la mis .__Quedan distantes al N.O. el navio y fragata de guerra franceses ma comisión. que esta mañana á las nueve se quitaron de la vista, y esta tarde Sobre el expediente de Doña Alfonsa González, viuda, para se han vuelto á descubrir. _ Una fragata que ayer quedó fuera, que se dispense á su hijo la edad para poder administrar sus bie y perseguían Jos enemigos puesto el sol, se quitó de la vista en la nes ; opinaba la comisión podía accederse á ello.…</t>
  </si>
  <si>
    <t>González, Alvaro</t>
  </si>
  <si>
    <t>Alvaro González</t>
  </si>
  <si>
    <t>…traer guia ni otro documento al y expedición de documentos á D. Antonio Díaz del Mora’, D Po guno, y en atención á que el tribunal supremo de Justicia había sen Agustín de Mita y D. Alvaro González de la Vega ; y trie el- «o Dea tenciado que se devolviese al citado ayudante dicha cantidad por no Antonio Diaz del Moral por 70 votes de 77 de total , teniendo 6 Don haber lugar al decomiso, cuya sentencia no se llevó a efecto por el ¡n- Agustín de Mar», y u…</t>
  </si>
  <si>
    <t>…rmo, y se temía mucho por sit vida. Las rentas ha A la comisión primera de Hacienda se mandó pasar una ex bían bajado á 88 20 cent., esto es, cerca de un medio por'100 posición de D. Alvaro González de la Vega , gefe de la oficina del valor que tenían el día anterior. La;Regencia rebelde de de Reconocimiento del Crédito público, manifestando haber sido Madrid ha desvanecido todas las dudas que anteriormente había nombrado para desempeñar interinamente el…</t>
  </si>
  <si>
    <t>…esión ; y tros taquígrafos algunas equivocaciones notables al dar noticia de S. A. S. ha tenido á bien resolver que se reintegre á dicha orden la exposición que hacia á las Córtes D. Alvaro González de la en la posesión de todos los conventos , bienes muebles y ra ces, Vega , gefe de la oficina general de Renovación y expedición de y derechos enagenados ó no enagenados, al mismo estado que tu documentos del Crédito público, á quien equivocadamente se le…</t>
  </si>
  <si>
    <t>González, Andrés Oria</t>
  </si>
  <si>
    <t>Andrés Oria González</t>
  </si>
  <si>
    <t>…” expedientes remitidos en 6 del corriente por el Sr. secretario de la Go __Hemos recibido un número de la G.trrf.r Uisvsts.í! de Li-boa , y bernación de la Península , para que á D. Andrés Oria González, Don es el correspondiente a! 6 del actual. Su redactor anunc:a que por aho Ramón Santillana y otros cursantes se les dispense cierto tiempo de ra que.li suspendido esté periódico, porque la policía le ha maulado estudios que les falta para recibirse de aboga…</t>
  </si>
  <si>
    <t>González, Antonio</t>
  </si>
  <si>
    <t>Antonio González</t>
  </si>
  <si>
    <t>…ctamen de la comisión Domingo de Castro, y el subteniente D. /Angel Paz , y los segundos 4 especia! , encareada d» fijar ai nú nieto de consejeros de que se lia de las órdenes del'teniente D. Antonio González y e¡ subteniente Don componer el consejo de Estado; y el proyecto de decreto que presentó Francisco Pineda , despreciando altamente el fuego de la canalla , y constaba de un solo artículo , qu; decía : sin que nos arredrasen su posición ni sus parapetos en la…</t>
  </si>
  <si>
    <t>…pertenece. 4o en general de habernos herido 2 de los bizarros nacionales de Orense No obslante , como el imperio de la razón puede verse «ofoctdo L&gt;. Joseí Padin, cabo primero, y D. Antonio González, miliciano, y por el de la fuerza durante un tiempo mas ó menos dilatado, y como no menos bravo un soldado de voluntarios de Aragón llamado Simón esta soberanía es la que se hace temer en España (i11® solo por una H-ipolles, que después de tendido en el suelo…</t>
  </si>
  <si>
    <t>…presidente al señor las penas que en el citado art. 2.0 se previenen. (5V continuará. ) D. Alvaro Gómez Becerra, diputado por la provincia de Extre madura; para vice-presidenio ai Sr. D. Antonio González Don Juan de Fuentes, teniente de escribano mayor del tribu Aguirre, que lo es por la de Sevilla; y para secretarios á los se nal del Consulado nacional de comercio de esta plaza , y del ñores D. Francisco de Paula de Soria, diputado por la provincia superior juzgado de Alzadas.…</t>
  </si>
  <si>
    <t>González, Baltasar</t>
  </si>
  <si>
    <t>Baltasar González</t>
  </si>
  <si>
    <t>…a) íio; público acaba de sentenciarse por el juez de primera instancia de esta táscanos 71 j napolitanos 115; sardos 79; franceses 2»; de Lúea capital D. Pedro García Oembreros. A D. Baltasar González y á An n; austríacos 3; españoles 3 : total 521. tonio Calvo (alias Nini) se ies'condena á la pena ordinaria de garro Ancona. Pontificios (la mayor parte correspondientes al cabotage te ; á Salvador López (alias Colmillico) y Juan de Leiva por ocho de Ancona…</t>
  </si>
  <si>
    <t>González, Cipriano</t>
  </si>
  <si>
    <t>Cipriano González</t>
  </si>
  <si>
    <t>…y si estos no bastasen, con los jue 14 ligero. ■ Los subtenientes D. Antonio Pujols, D. Francis ces también letrados del tribunal especial de Justicia formado co Montalvo (murió), D. Cipriano González y D. Rafael por Real decreto de 13 del corriente. Rubia: sargento i.° Manuel Vaillo: corneta Francisco Perez: cabo i.° Domingo Fernandez: soldados Samlalio Martínez, T&amp;IBUXAt DE CORTES. Francisco Sierra, Miguel Ibañcz, Antonio Moreno, Antonio Don Dionisio Valdés, diputad…</t>
  </si>
  <si>
    <t>González, Claudio</t>
  </si>
  <si>
    <t>Claudio González</t>
  </si>
  <si>
    <t>…denes lo mismo los voluntarios nacionales, que excitados con entusiasmo militares, el de milicia activada Sigüenza y los batallones ligeros se por ei primer alcalde constitucional D. Claudio González , llenaron gundo de Cataluña y Canarias. »us deberes. Cuarta división, mandada por el coronel D. Manuel Gurrea , com » Dios guarde á V. S. muchos años. Pontevedra á las 8 de la ñocha puesta del batallón de la Corona, del de Toledo , del de Mallorca, del 14 de…</t>
  </si>
  <si>
    <t>González, Donato</t>
  </si>
  <si>
    <t>Donato González</t>
  </si>
  <si>
    <t>…o noticias de que existia'én'él el resto de DIRECCION GENERAR DE ROTERIAS NACIONAIES. la gavilla del cura Merino: ai momento los atacó tocando i degüello, mientras que su ayudante D. Donato González cercó la casa donde Noticia de los pueblos donde han cabido los premios mayorea de creía que se hallaba el mismo Merino; pero desgraciadamente la equi la lotería moderna nacional en el sorteo de ayer. vocaron. Los facciosos , en número de 32 caballos y 19 inf…</t>
  </si>
  <si>
    <t>González, Fernando Saenz</t>
  </si>
  <si>
    <t>Fernando Saenz González</t>
  </si>
  <si>
    <t>…chos individuos que no tendrán necesidad de recibir este esparra 5 quintos. t-p- nJ o. La com.s.on pues debía haber tenido presente qué clase de suge_D. Juan Barrera,de Almoradí y D. Fernando Saenz González, cura tos son lo» que componen esto» batallones, la» cualidades que los acompa castrense de Mazarron, han cedido cada uno un caballo en bcnthc.o de la ñan ; y en un las mayor, s o menores ventajas que ofrecen en su conduce* Nación. para ¡-compensar sus su vic…</t>
  </si>
  <si>
    <t>González, Joaquin</t>
  </si>
  <si>
    <t>Joaquin González</t>
  </si>
  <si>
    <t>…ro del destino de ia pen.nsula ¡tabana,'y sin drid , á las órdenes del comandante accidental del Infante D. Car exponerse á cor.vuls.ones, cuyo ritmo resultado pod.a serie muy los D. Joaquin González. bien tan funesto, como á los franceses io fue el queier mandar Parada milicia act.va, Reina y la M. N. L. de Madrid, el dirtetamente en España Todo cuanto se presenta como mas pro demas servicio y patrullas io detallado. bable es que el gabinete austríaco po…</t>
  </si>
  <si>
    <t>González, Joaquín</t>
  </si>
  <si>
    <t>Joaquín González</t>
  </si>
  <si>
    <t>…es llama solamente á la única clase interesada &lt;-n que no Gefe de dia el comandante, accidental del Infante D. Carlos se observen (3); que no deja al Monarca nt aun la facultad de D. Joaquín González___Servicio á palacio el Infante D. Car elegirse una esposa (4), y que disemina, per decirlo asi, el po los , y primer batallón de la milicia nacional local de Madrid, á der público entre las manos de autoridades sin número institui las órdenes del comandante…</t>
  </si>
  <si>
    <t>…ando sus caudales para subvenir a Las necesidades y Gefe de dia el comandante accidental del Infante D. Carlos gastos de la guerra. Si al fin ella tiene efecto la Nac o» triunfará D. Joaquín González.__Servicio á palacio la M. A. y AI. N. L. sin duda, y V. M., ocupando después tranquilamente el trono de Sevilla á las órdenes del teniente coronel mayor interino de la constitucional de las Españas, sera el objete' de la veneración de Reina D. Manuel trias._…</t>
  </si>
  <si>
    <t>…l Sr. Buey dijo : Yo no mt opongo al dictamen de la co Gefe de dia el comandante accidental del Infante D. Cirios misión en cuanto á que se le admita á este interesado en la matri D. Joaquin González__Servicio á palacio la Reina y la milic.a cula como pide; pero no estoy conforme en que se le exija nin nacional local de Madrid, á las órdenes del coronel de la Reina gún derecho, puesto que se le sujeta al examen correspondiente. Si D. Francisco Fernandez G…</t>
  </si>
  <si>
    <t>González, Joaquín María</t>
  </si>
  <si>
    <t>Joaquín María González</t>
  </si>
  <si>
    <t>…conociendo que no todos de tarraza, D. Tomas López Calderón , D. Josef Diez Imbrecht, son seres violentos , sanguinarios, codiciosos que atraviesan los D. Pedro Antonio Carrera , D. Joaquín María González, Don mares en edificios flotantes en busca dei oro, y con el objeto de Francisco FernandíZ del Castillo y D. Juan Bautista Alvarcda, EN LA IMPRENTA NACIONAL.</t>
  </si>
  <si>
    <t>González, Jooef María</t>
  </si>
  <si>
    <t>Jooef María González</t>
  </si>
  <si>
    <t>…ores secretarios del Despacho. tadas por el Sr. Murfi. Se mandaron pasar á la comisión de Poderes los presen El Sr. Canga pidió la palabra-para hacer .presente á las Cor tados por D. Jooef María González, diputado electo por la pro tes lo oportuno que seria que estas se sirviesen mandar que se vincia de Granada. imprimiese inmediatamente y remitiese á las provincias el discur El Sr. presidente: Hallándose presentes los Sres. secretarios so que acababa de pron…</t>
  </si>
  <si>
    <t>González, Josef</t>
  </si>
  <si>
    <t>Josef González</t>
  </si>
  <si>
    <t>…es Juan lázaro, D. Juan Francisco García « Francisco Ribas, D. Rafael del momento, y sobre lo que expondré yo mi opinion cuando las Cor Solo, Dr. Domingo Pitalua, D. Rafael Seguí, D. Josef González, tes se ocupen de ella. Se trata ahora únicamente de dar un proyectó D. Joaquín Gil , D. Pedro Boígues, abogado, Mariano Teruel, An de instrucción para el gobierno ccooómico-político de lat propináis ds drés Ferrer, P. Hurtado, D. Josef Dolz, capitán ds artil…</t>
  </si>
  <si>
    <t>…noticias de los periódicos de Cádiz del ella 7. segundos ayudantes D. Ramón. González y D. Rafael Marín, Se ha publicado de oficio la siguiente noticia, comunicada des los adictos D. Josef González , D. Diego Galvez y D. Salvador de Algeciras con fecha del dia i.°: «Ha entrado en esta bahía en Josef Mirallcs. el dia de antes de ayer el laúd español Virgen del Carmen , su Primer batallón del regimiento infantería de Africa. Bata patrón Pedro Pajes, proce…</t>
  </si>
  <si>
    <t>…ud había entregado 46,235 r'- ' Reino. y 3 mrs, vn., únicas existencias que tenia, y exponiendo que íor mas urgentes que fuesen las obligaciones de aquella inten » Sertno. Sr.: Ei doctor D. Josef González de la Cruz , al dencia, no habia debido echar mano de unos fondos que en su calde mayor interino; D. Matías deOchoa , Santiago Hernando, mayor parte estar* destinados á cubrir las de la tesorería general, ordinarios; D. Antonio Cevallos Escalera, D. Ramón Nav…</t>
  </si>
  <si>
    <t>González, Juan</t>
  </si>
  <si>
    <t>Juan González</t>
  </si>
  <si>
    <t>…D. josef María de Ansa , Don ( Se continuará.') Martin Fernandez Elias, D. Segismundo Moret, D. Juan Bautista Al- Aviso de la imprenta nacional. vareda, D- Josef María Retortiilo, D. Juan González y D. Domingo Al siguiente día de entrar el Gobierno en Sevilla empezaré i pu Rancel; declaró haber lugar á la formación de cauta , de cuyo acuerdo blicarse en aquella capital la Gaceta; pero con el título de Gaceta es disintió solo el último de dichos jueces, que estuvo por…</t>
  </si>
  <si>
    <t>…de áci ñores D. Agustín Cintel, D. Agustín de Lanza, D. Prudencio Her do sulfúrico y un poco di ácido muriático. Esta muestra contenía tam nández Sla.*Cruz, D. Josef Bsnjum-.'da, D. Juan González, D. An bién una sustancia rojiza, que parece *er deutoxido de hierro unido al tonio Cortes y Coíl, D. Juan Josef del Cubillo , D. Pedro Josef Paul sílex y al muríate de sosa. y D. josef Diez Imbtechs, declaró por unanimidad haber lugar á la 2.0 Una incrustaci…</t>
  </si>
  <si>
    <t>…s condenas de las especies antedichas se in Camerino, D. Jelix de Aguirre, Dr. D. Francisco Fernandez sertarán en la gaceta de la corte, y también se anunciará en la del Castillo, D. Juan González, D. Juan Laserna Salcedo, misma cuando una obra ha de recogerse , con arreglo á las leyes D. Segismundo Moret, D. Pedro Antonio de Aguirre, Don sobre libertad de imprenta. En este caso el Gobierno podrá ocu Juan francisco Bidot, D. Agustín de Goicoechea, D. L…</t>
  </si>
  <si>
    <t>González, Juan Gualberto</t>
  </si>
  <si>
    <t>Juan Gualberto González</t>
  </si>
  <si>
    <t>…de sus pueblos; pero ninguno puedevier Caro.czD. Bruno Vallarino.=D. Mariano Mcrcliante.rzDon compararse con el amor y decisión que tan justamente profesan,Manuel Jiménez Guazo.=:D. Juan Gualberto González.” á V. Al. todos sus fieles vasallos. F.n todos tiempos los leales va „Señor: Vuestro Real Consejo de Jas Ordenes militares, lencianos han estado resueltos á morir antes que desconocer la, desde que el júbilo y alegría universal del pueblo de Madrid , y purez…</t>
  </si>
  <si>
    <t>González, Juan Mana</t>
  </si>
  <si>
    <t>Juan Mana González</t>
  </si>
  <si>
    <t>…or base los pr.ncipios del derecho natural; y si se consi Entro á jurar y tomó asiento el Sr. diputado por Granad» dera el carácter y la índole de la nación que quiere dominarnos, D. Juan Mana González. nos convenceremos de que las cadenas que arrastraría en este caso El Sr. Prado presentó una c.vtificacion de facultativos de la triste España, serian las mas pesadas que han oprimido jamas á Arunjuez, en la que manifestaba no poderse poner en cam no pueblo a…</t>
  </si>
  <si>
    <t>González, Juan María</t>
  </si>
  <si>
    <t>Juan María González</t>
  </si>
  <si>
    <t>…del dominio directo , según lo que remite Entró á jurar y tomó asiento en el Congreso el Sr. diputa del juicio; pero tendiá derecho á exigir las pensiones contrata do por Granada D. Juan María González. das del subtoratorio ó del segundo poseedor del dominio útil, A la comisión de Diputaciones provinciales se mandó pasar y este de las demás á quienes hcya vuelto á traspasar ' el propio un oficio del Sr. secretario de la Gobernación de la Península, dominio.…</t>
  </si>
  <si>
    <t>González, Júsef</t>
  </si>
  <si>
    <t>Júsef González</t>
  </si>
  <si>
    <t>…ra los fondos de beneficencia, sino también para esta resolución pueda calmar las desavenencias de la provincia de el Crédito público. Aprobado. Chile. Otro sobre la exposición de D. Júsef González , vecino de - J3u;nes-A¡ret r.° de Febrero___ Las noticias que tenemos la Puebla de Montalban; opinaba se pasase al Gobierno para que de Santiago de Chile nos hacen creer que está para acabar e! rei hiciese poner en ejecución ¡a ley de 8 de Diciembre de 1823…</t>
  </si>
  <si>
    <t>González, Justa</t>
  </si>
  <si>
    <t>Justa González</t>
  </si>
  <si>
    <t>Gaceta Española n.º 159</t>
  </si>
  <si>
    <t>…de Doña"' MINISTERIO DE HACIENDA. Antonia Ramírez y sus dos hermanas. Secretaria del Despacho con el sueldo del secretario , los de los dependientes, los de Doña Francisca Rivas. Doña Justa González , viuda de Don Ma los ex-secretarios, hechas ias bajas de es 88,195 merto Landáburu.1 cala , y los gastos de aquella.. ....... I&lt;432&gt;953 Los hijos de D. Sinforiano Lopcz'Alia. Contaduría mayor de Cuentas. . ................. 1.189,356 La viuda é hijos del Sr.…</t>
  </si>
  <si>
    <t>González, León</t>
  </si>
  <si>
    <t>León González</t>
  </si>
  <si>
    <t>…e ten lo des,yacía alguna , y solo la de haber salido herido en un unido el jurado, compuesto de los Srrs. D. Luis Francisco de Gardeabrazo d- íe-ala de" fusil mu segundo ayudante D. León González, liste zabal, D. Juan Josef de! Cubillo, D. Pedro Antonio Carrera , IX Pru dia ha sido uno de los mas g (.rieses que pueden darse á la nación es» dencio Hetnar.'d.z Sta. Cruz , D. Félix Jos-f Reinoso, IX josef Juan paño'ri , no por el número con qu: combatier…</t>
  </si>
  <si>
    <t>…... 150. co de pan y vino. Por mi parte no he tenido desgracia alcaná, y solo la ae haber salido herido en un brazo de bala de fusil mi Súma total......... 59528. Segundo ayudante D. León González. Este dia ha sido uno de Si la surtía no está exacta no debe extrañarse: es costumbre los mas gloriosos que puedeh darse á la Nación española, no por entre ¡os franceses esta equivocación en largas sumas. el número con que combatieron , sino por las fatales c…</t>
  </si>
  <si>
    <t>González, Manuel</t>
  </si>
  <si>
    <t>Manuel González</t>
  </si>
  <si>
    <t>…us bienes; opinaba podia accederse á su á la comisión referida. solicitud. Aprobado. A la comisión de Visita del Crédito píiblico se mandó pasar Sobre el expediente instaurado por D. Manuel González en un oficio del Sr. secretario de Hacienda, evacuando el informe pe solicitud de carta de ciudadano español; la comisión opinaba po dido sobre el cumplimiento de la orden relativa á la reunión de dia concedérsele. Aprobado. los individuos de la junta directi…</t>
  </si>
  <si>
    <t>…y dichosos de entregar sus augustos cautivos al vencedor para obtener su perdón. (Courrier). Tortosa 13 de Junio. T?n «ms últimos dias se ha visco ur. acontecimiento de los mas El capitán D. Manuel González á los señores oficiales y de trágicos, sucedido en Madox-Strett, Hannover Square. Mr. Grif- mas individuos del batallón de Orense, ahora voluntarios de fiths , hacendado rico de la Barbida, hacia algunos años que se Galicia. había retirado á Inglaterra. Tenia…</t>
  </si>
  <si>
    <t>…n francesa teme sobremanera viese , y que ya me abrirían: en esto vi por los ciaras de las aspille que se realice, y trabaja para evitarlo. Si esto es.asi debemos po ras al infame D. Manuel González, capitán del batallón de ner mas ahinco en llevarla adelante. Todo pueblo libre riene Ín Orense , comandante en aquel punto , que mezclado con los fac teres en aumentar la energía de sus operaciones á proporción de ciosos v trorn del mismo cuerpo que le guarn…</t>
  </si>
  <si>
    <t>…de 18/3. = A D. Luis Alaría de balazar. dignos vasallos del Rey nuestro Señor, ha tomarlo todos ios in formes necesarios; y después-"de un madure examen se ha ser Hacia tiempo que D. Manuel González , capitán del regi&gt;~ vido dispensar en nombre de S. M. las gracias s.quient-s: miento provincial de Orense, de guarnición en Terrosa , ansiaba Al capitán del regimiento provincial d: Orense D. Manuel Ocasión &lt;íc d.r un testimonio de su lea tad al Rey nuestro…</t>
  </si>
  <si>
    <t>González, Manuel Casildo</t>
  </si>
  <si>
    <t>Manuel Casildo González</t>
  </si>
  <si>
    <t>…ón del Príncipe, mandados por su bizarro comandante Don • Las Cortes quedaron enteradas de un oficio del Sr. diputado Félix Valcarcel, rechazaban ya con el valor con que se habían D. Manuel Casildo González, en que las manifestaba hallarse conducido en toda la acción á una de las dos columnas gruesas que convaleciendo de la enfermedad que habia padecido , y que tan tenían la audacia de ir subiendo. El de Granada sostenía el ata luego como le permitiese su salud…</t>
  </si>
  <si>
    <t>González, María</t>
  </si>
  <si>
    <t>María González</t>
  </si>
  <si>
    <t>…cimocuarto: Se pagarán en los términos ta de diezmos de la mar de Castilla, en favor de D. Juan de Landera» expresados en el art. 12, la» dos terceras partes del valor liquidado y Doña María González de las banderas: otro sobre la misma rema, de dichas lanas, ó mas , según lo permita el remanente que pueda re situado en favor de Rodrigo de Agustina, de 15,750 mrs. : otro si sultar despuet de satisfechos por todo su valor los créditos claramente tuado en l…</t>
  </si>
  <si>
    <t>González, Mariano</t>
  </si>
  <si>
    <t>Mariano González</t>
  </si>
  <si>
    <t>…u separación, tanto ma escabroso. Las guerrillas estaban mandadas, la de la derecha por yor para mí r cuanto eran grandes las pruebas que me habia dado el Capitán y Ayudante mayor D. Mariano González, y la de de fidelidad, con riesgo inminente de su vida. Restituido ahora la izquierda por el de igual clase D. Juan Moreno, y sin aguar á mí libertad y soberanía, me complazco en volverle á mi lado dar lo restante de la fuerza cargaron á los enemigos á los gr…</t>
  </si>
  <si>
    <t>González, Mariano Rufino</t>
  </si>
  <si>
    <t>Mariano Rufino González</t>
  </si>
  <si>
    <t>…rará el occidente soplaban vientos enemigos empapados en principios.y perjuicio que haya lugar. tnáxmas, qu-; solo servían para fomentare! incendio.de esta par Por providencia del Sr. D. Mariano Rufino González, del te de los Pirineos; principios que apoderados igualmente de los consejo de S. M., alcalde de su R.-al casa y corte, su fecha 18 corazón's de sue los llamados al 'gran consejo de Francia para :del corrienterefrendada por el escribano de provincia Don coop…</t>
  </si>
  <si>
    <t>…odo ’... t ' ri '• - ANUNCIOS. audacia ! ¡El horrible al dignó Nieto de S.Fernandotócon puñal' regicida brillaba levantado sobre su sagrada Cabeza, y amenaza-" Por providencia del Sr. D. Mariano Rufino González, leba en seguida lá;de ¿u .augusta y. angelical Esposa con toda'I*. íefrendada de D. ■Valdpmero Moraleda , su fecha en .esta villa i Real Familia! ¡ La-sangre que indudablemente iba á derramarse J8. del corriente, en los autos que,en dicho juzgado .sigue Juan…</t>
  </si>
  <si>
    <t>…por medio de la Gaceta del reino en «ario de Eguia, ha;tenido á bien S. M. conferirle la Comandan la forma acostumbrada &amp;c. cia general de la provincia de Tuy. Por providencia del Sr. D. Mariano Rufino González, Alcalde de la Real Casa y Corte, y escribanía de D. Val■ Al p resentarse el Csnsejo uc Castilla á besar la mana á S. M, le domero Moraleda, se hace saber á todos los que se crean dirigió su Decano la siguiente arenga: con derecho á los bienes de D. Felipe Si…</t>
  </si>
  <si>
    <t>…a Basilisa Pinilía y Perez; entendidos que no lo haciendo su frirán el perjuicio que haya lugar. i.1 en 12 de Enero, dista de la anterior..............28 dias. Por providencia del Sr. D. Mariano Rufino González, Al 2. a en 9 de Febrero..................................................28. calde de la Real casa y corte, comisionado para ciertas diligen 3. a en 8 de Marzo.................................................28. cias del Monte pió de criados distinguidos de…</t>
  </si>
  <si>
    <t>González, Martin</t>
  </si>
  <si>
    <t>Martin González</t>
  </si>
  <si>
    <t>…diputado por la piovin-ta de Bur ros, oficial cesante ds la secretaría d- Guerra----.Ayudantes dd tenicc:* go»; para sU-VÍce- presidente al br. D. Rodiigo A'aidé» Lustos , que lo general D. Martin González ds A4er.cF.aca , d espitan de ¡a M. N. ¿¡¡ es por la de Astürias , y para.secretarios á ios que firman , que son Don de Segoyia D. Joaquín Biak y Tobar—El subteniente de artillería Leonardo bantos buarez por ¡a ds Cubi, D- Manuel Llórente por D. l'cdro Gonzál…</t>
  </si>
  <si>
    <t>…s Cortes. menor-de edad, entonces -tendría buen cuidado ti A Ja comisión de Gobierno interior se mandó pa iiripresorde no imprimir un papel calumnioto; ademassar una esposieiou de D. Martin González, vocal de de que si biibiese-de hacerse responsable de un es la junta protectora de libertad de imprenta para que crito á un menor de edad serian menester-otros trá se le señale algún sueldo para subsistir. mites y cieilas pruebas, y que demasiados eran los C…</t>
  </si>
  <si>
    <t>González, Salvador</t>
  </si>
  <si>
    <t>Salvador González</t>
  </si>
  <si>
    <t>…iber ñada, que colocada en la puerta principal del fuerte, era servida por tad que he presenciado en estos memorables dtas: al bizarro comandan cuatro artilleros á tas órdenes del teniente D. Salvador González. A te de armas D. Josef Ibcr.a , coronel de la milicia activa de esta poco rato ha cesado el fuego , y algunos patriólas subimos á lo alto ciudad , corresponde en el part. que debe dar al comandante general de la torre á entonar himnos patrióticos al son de u…</t>
  </si>
  <si>
    <t>González, Vicente</t>
  </si>
  <si>
    <t>Vicente González</t>
  </si>
  <si>
    <t>…ad y alianza firmado en 5 de Julio, y tendrá la ron : D. Manuel Camuñas, D. Manuel Díaz Zapata, D. Juan misma fuerza y valor que si se hallase inserto en él palabra por Sucramper, D. Vicente González, D- Josef Guerrero, D. Jopalabra, y sera ratificado; y las ratificaciones se cangearán en e! ccí Lopéz de Castro, D. Antonio Josef Terrero, D. Alonso término de 40 dias, ó antes si fuere posible. Calvo y Pantoja, D. Josef Maroto, D. Gabriel Fernandez y En tes…</t>
  </si>
  <si>
    <t>…dió en esta madrugada á veinte y tantos f iccio como Lo hace todo hombre que aprecia la libertad: sos en tn parroquia de Barón, Ayiintamiento del mis se distinguió en esta Ocasión D. Vicente González , mo nombre, no puedo menos de instruir á V. S. de voluntario nacional dé osla • capital , que como solda las ocurrencias del periodo de la torpe invasión fac do instruido desempeñó completamente las funcio ciosa en este país por no defraudar á los nacionales…</t>
  </si>
  <si>
    <t>González, Vicente'</t>
  </si>
  <si>
    <t>Vicente' González</t>
  </si>
  <si>
    <t>…de la partida i'Og-T urinas y alistar gente, pasando Juego á la in- de su mando , como igualmente riel miliciano do; rnedifl)a de ilivim. Al instante pasé olicio á los al Cimbados D. Vicente' González y de los milicianos caldes de C.i. ril. VüL'jnan, iltihiancs. VilJanueva y locales tle Villagarcia, Y illaquaiY y Yillanueva de Alo Cambados. imtii í-iudcles esta ociirJ'encí.i. Los nacio sa-, la del alcaide y milicia del segundo pueblo, y nales tic % iil &gt;ju…</t>
  </si>
  <si>
    <t>González----, Jbaquin</t>
  </si>
  <si>
    <t>Jbaquin González----</t>
  </si>
  <si>
    <t>…as cajas de guerra correspondientes á los 6600 hombres Gefe de dia el comandante accidental del Infante D. Carlos de que debe constar mi división , y si le fuese posible algún ves D. Jbaquin González---- - Servicio á palacio la Reina y la milicia tuario para entusiasmar al paisano á que tome con gusto las armas: nacional local de Madrid á las órdenes del comandante interino nada mas me quedaría que desear si no el ser útil al Gobierno, á de la Reina D. Franci…</t>
  </si>
  <si>
    <t>Gonzaliz, Eugenio Perez</t>
  </si>
  <si>
    <t>Eugenio Perez Gonzaliz</t>
  </si>
  <si>
    <t>…mas 12 voluntarios de caballería de Nava; Josef de Leglisa y Pinedo, D. Josef Asucro , D. Míreos Izquieido y y sabiendo esta noticia se estaba disponiendo para perseguirles con di D. Eugenio Perez Gonzaliz. rección á Aza , para donde habían salido &gt; pero como dicho sugeto salió Habida la conferencia , se declaró por unanimidad haber lugar 41* de Fuentecen para esta , y le dijesen ;í ia media legua que la partida del formación de causa. cutí Merino acababa da pa…</t>
  </si>
  <si>
    <t>Gonzalo</t>
  </si>
  <si>
    <t>…déla mar de Castilla, en la de Alonso velazquez Mantilla de la Vega; Ja constancia de los patriotas americanos pude mas que la disciplina y y el último de 93,750 mrs. y cabeza de D. Gonzalo de ia Vega, en valor de las tropas inglesas. la misma renta.._A D. Juan de Suelves y de Monssrrat, marques de Si volvemos los ojos i la Francia hallaremos otro asombroso egem Timarit, se le han extraviado en tiempo de la invasión al privilegio plo de lo que p…</t>
  </si>
  <si>
    <t>Gonzalo, Marcos Lop.’z</t>
  </si>
  <si>
    <t>Marcos Lop.’z Gonzalo</t>
  </si>
  <si>
    <t>…ar á los que no han conocido sus inten nato Nuñez, se ha señalado para una junta general de acreedo ciones y amaños. Entre las muchas, ts la de llamar á los pre res al concurso de D. Marcos Lop.’z Gonzalo, vecino que fue sentes tiempos de calamidad y desventura siglo de las luces. Pero de esta corte, ei domingo 27 de Juiio próximo á las 9 en pun es menester poseer tanto caudal de ignorancia y desvergüenza to de su mañana en la posada de S. S. Lo que se hace sa…</t>
  </si>
  <si>
    <t>Gonzatez-Alonso</t>
  </si>
  <si>
    <t>…es no eran tan poco instruidos : por lodo lo cual de que mi es el des n de adquirir una popularidad debía aprobarse el diotámen. efímera eí motivo que me induce á oponerme á es El Sr. Gonzatez-Alonso «lijo que impugnaba el dtete proyecto ; pues aunque esta popularidad es el fru támen de la comisión, no solo porque restringía deto neis precioso que puede desearse , la sacrificaría masiado la libertad de imprenta sino también por ta yo en este ca&gt;o. contrad…</t>
  </si>
  <si>
    <t>Goosens, Pedro</t>
  </si>
  <si>
    <t>Pedro Goosens</t>
  </si>
  <si>
    <t>…úrbide. suspendió'para que continuase la de la comisión de Visita del Se leyó un oficio del Sr. secretario de Marina, manifestando Crédito público. haberse servido S. M. nombrar á D. Pedro Goosens, oficial ma Suspendida esta, se leyó y halló conforme con lo aprobado yor de la secretaría de la Guerra, para desempeñar interina la minuta de decreto sobre la formación de la legión extrangera. mente el cargo de secretario del mismo ramo. Se leyó por segunda…</t>
  </si>
  <si>
    <t>Goossens, Pedro</t>
  </si>
  <si>
    <t>Pedro Goossens</t>
  </si>
  <si>
    <t>…lesiástica. quedó aprobada. Se leyó un oficio del Sr. secretario de Marina, manifestando Las Cortes oyeron con agrado , y mandaron que se insertase haberse servido S. M. nombrar á D. Pedro Goossens, oficial ma eñ el diario de sus sesiones, una exposición de la sociedad econó yor de la secretaría de la Guerra, para desempeñar el cargo de se mica de Amigos del pais de esta ciudad, felicitándolas por su lle cretario interinamente hasta el nombramiento de l…</t>
  </si>
  <si>
    <t>…ientes, dejándose al ejecutivo llevarlas á efecto: y ticipaba que S. M. había admitido la renuncia que había hecho 4-c ahora mas que nunca se exija !a responsabilidad al func.oni— D. Pedro Goossens de secretario interino d J Despicl o de ia Guer rio públ co que se s&gt;.piré de sus deberes: pero la obligaron del ra, y que habia nombrado en los misinos términos hasta la lle cuerpo lerpsiat.vo es ciar al Gob.erno todos lo» medios necesar os gada del propieta…</t>
  </si>
  <si>
    <t>…de poder usar de media tirina. (Gaceta del a¿.) Otro (fe Jas Coi tes sobre el empréstito-de la casa de Pernales. (Gacetes del 29.) M.trina. H trimda. Decreto de S. AL nominando á D. Pedro Goossens para Circular de este m¡ni‘,terV) publicando un decreto de las Cor el Desp..chi&gt; interino del miniUenn de la Guerra hasta la llegada tes ‘obre la circulación de lo, nuevos pesos mejicanos. (Gaceta (Je D. Mariano /orraquin, propietario, (.t&gt;a. ■ la dei ' Ai 'i…</t>
  </si>
  <si>
    <t>Gordon, Miguel de</t>
  </si>
  <si>
    <t>Miguel de Gordon</t>
  </si>
  <si>
    <t>…mó ataca á unos bienes que la religiosidad española ha años; Palacio 5 de Junio de 2823. = JósefGarcía de la Torre.= mirado,siempre con el mayor respeto, y forman uno de loa' in A D. Miguel de Gordon. gresos mas considerables de la Real Hacienda. La Regencia del reinó, consiguiente 'en sus principios , se • Los continuos recursos qué los presos -ó detenidos: en 1» ha servido resolver que quéde sin efecto el referida dreretó de cárceles de todo's los puebl…</t>
  </si>
  <si>
    <t>Gorgon, D Joaquin</t>
  </si>
  <si>
    <t>D Joaquin Gorgon</t>
  </si>
  <si>
    <t>…Lorenzo Francisco Vergel.r=Pedro Pínula. tantísima misión. Lleno de entusiasmo atravesó al frente de sus aguerridas legiones las, elevadas montañas de los Pirineos. Su El teniente coronel D Joaquin Gorgon, comisionado por el Real preaeneja, al pisar los moribundos pueblos de España, vi mariscal de campo D. Manuel Llander, capitán general de las vificó á sus habitantes, y en vez de resistencia encontró aclama provincias Vascongadas, para felicitar á S. A. S. la…</t>
  </si>
  <si>
    <t>Gorgon, Joaquín</t>
  </si>
  <si>
    <t>Joaquín Gorgon</t>
  </si>
  <si>
    <t>…rera de S. Gerónimo. puede creer sin repugnancia que ha sido imitado por toda aque Nota. En la gaceta anterior, pág. 28, col. i.a, lío. qt, lla parte de la Extremadura baja. dice: D. Joaquín Gorgon , léase Gajyon. EN LA IMPRENTA REAL.</t>
  </si>
  <si>
    <t>Gorostidi</t>
  </si>
  <si>
    <t>…tian 3 de Febrero. el Sr. B rtran de Lis. El jueves ú’timo 30 del corriente á las 10 de la mañana apareció De los alumnos de la unive¡s:dad de Oviedo , y de la sociedad eco el mal cura Gorostidi con 150 á 160 facciosos en la venta de Lususa— nómica de am.gos del país de la misma ciudad, por el Sr. Arguelles. ga entre Astigarraga y Rentería, y pidió raciones á esta ú’tima villa. De los gefes y demas empicados en la administtacion general da Sus habita…</t>
  </si>
  <si>
    <t>…y Novillo. cio que tuvo , avisándole dé que los facciosos , en número de 180, al Ñutas. En la gaceta del 19, col. 3.a, Hn. 83, donde dice á tí*’ mando de los perversos cabecillas cura Gorostidi y algún alto, ocupa carlus , para hacer la g¡tetra , léase Inirdyes para hacer la gudrsban el último pueblo. El mismo patriota oficial que nos comunica esta __En la misma, col. q.J, lín. 29, donde dice rn vista de la noticia quedaba en Elizondo con unos 50 ho…</t>
  </si>
  <si>
    <t>…oronel D. Francisco Ignacio Asura da parte á este Sr. coman adoptado felizmente en la Península , va á generalizarse en toda Euro dante general de una acción que sostuvo contra el cura Gorostidi; pa. Ahora es cuando la Europa va á recobrar su libertad; ahora es quien con 180 hombres con armas , y zo sin ellas, había tomado po cuando la humanidad va á gozar de sus derechos: á nosotros nos cor siciones á un tiro de bala mas acá de Alegría, con el objet…</t>
  </si>
  <si>
    <t>Gorostidt</t>
  </si>
  <si>
    <t>…eayer pasó el Trapeóse «ri C dasoa á la cabeza de 100 ó 300 su país, y á derribar ios últimos monumentos de la gloria de su. padre.! defensores de la fe; parece que va á unirse al cura Gorostidt ; se cree » No, señores, la Francia á menos que se pongan á su vista las pá que el principa: objto de este movimiento es el de impedir lasandi de ginas en que citan escritas estas deplorables condiciones, no podrá creer la juventud deGu-pnrcoa, llamada á defe…</t>
  </si>
  <si>
    <t>Gorrzaiez, Manuel</t>
  </si>
  <si>
    <t>Manuel Gorrzaiez</t>
  </si>
  <si>
    <t>…bilitar para su despacho durante ella al La Regencia del Rein'o , convencida del importante servi Coronel D. Bartolomé Vasallo,' ofical mayor de la ra ima secre cio que el zelo de D. Manuel Gorrzaiez y demus que coopera taria. Tendreis o entendido, y lo comunicareis á quien corres ron i esta arriesgada empresa han hecho á la justa causa del ponde para su cnitip irmento.crEst, rubricado.^ En palacio á z3 trono, y deseosa de dar un público testrm^mo que óus…</t>
  </si>
  <si>
    <t>Gorsin</t>
  </si>
  <si>
    <t>…s 3 de Agosto de 1823.¡sitar por (os regimientos r.u y *i.° de línea, que taimados en colum orden de S. A. R.==E1 niayor general conde Guiiitininot. na cerrada había enviadocon el general Gorsin contra ¡a izquier da de Jos enemigos, los rechazaron bien presto con una pérdida Capitulación de las islas hiedas. considerable, y se apoderaron de las ^pasicioncs de las Albun- El Sr. marques de Montpezat, coronel, geíe del E. M. de la</t>
  </si>
  <si>
    <t>Gotiz, G-briel</t>
  </si>
  <si>
    <t>G-briel Gotiz</t>
  </si>
  <si>
    <t>…ce espciar que en el día concentrareis nai activa de Toledo 1). F.-l.x Gauano, el segundo ayudante de Trujimas y mas vuestra mutua correspondencia, y haciéndo.o asi , el triun 11o D. G-briel Gotiz: -z Líanos, el teniente m. de Cuenca D. Pedio fo es indudablemente de la libertad. Y vosotros, pacíficos lub.tantes Trúpita, y ei suLtenieute del primrto D. Joaquín L zana , no siendo de esta provinciapodréis cejar de cstri-cnar también 1 tresnas rela menos r…</t>
  </si>
  <si>
    <t>Gou</t>
  </si>
  <si>
    <t>…s allá de Aviles. Hubert llegó en este momento; y habiéndose reunido los 15 Habiéndose dirijido el comandante de escuadrón del 4° cazadores de á caballo que formaban su escolta al coronel Gou» húsares Beaúmctz hacia este pueblo ¿ tiempo que el general refray, persiguió este al enemigo, quien huyó en la mas com Hubert llegaba á Jijón, llevando consigo 80 caballos, parte pleta derrota, y no pudo reunirse sino á la sombra de la noche. de su Tejimient…</t>
  </si>
  <si>
    <t>Gouiez</t>
  </si>
  <si>
    <t>…. 1 t Del ayuntamiento constitucional :y -vatios ciudadanos de la villa En Sanú Cruz de Tenerife....................................... 1 . 1 de Cambit, provincia de Jaén , por el Sr. Gouiez.(D. Manuel ). En Madrid.—............................. s * De un número considerable de eclesiásticos de Álburqucrque , por En Valladolid.............................................................. I el Sr. Infante , y de los milicianos nacionales voluntari…</t>
  </si>
  <si>
    <t>Goujon</t>
  </si>
  <si>
    <t>…nanza; al capitán Rousselet, edecán rrías de la Carraca. del general príncipe de Carignan, y al teniente Brice, edecán La columna que salió á atacar el molino de Ocio, apoyada del general Goujon. por una lancha cañonera , fue recibida por la compañía de ca El coronel da estado mayor marques de Confiaos , enviado zadores del regimiento 34.0, que ocupaba este atrincheramiento, por el Sr. teniente general de Bcurmcnt al condado ds Niebla con tanta bizar…</t>
  </si>
  <si>
    <t>Gourhael</t>
  </si>
  <si>
    <t>…a , Sto. Do por haberse distinguido en el 3.a ligero á los Sres. de Lavóme mingo, Alava y Vizcaya , su cuartel general en Vitoria. S. E. y. Sce. Colombe, comandante de batallón,al capitán Gourhael el Sr. mariscal marques de Lauriston, comandante en gefe del y á.;.varios oficiales, sargentos, cabos-y. soldados , entre otros segundo cuerpo ds reserva , tendrá el mando superior de las pro al sargento Blau? que no quiso dejar el campo de batalla vincias de…</t>
  </si>
  <si>
    <t>Goutefrav</t>
  </si>
  <si>
    <t>…an sobre vuestra generosa Nicion.y sus ar miento u° de línea. Inmediatamente Campillo abandonó su dientes votos por la libertad de su augusto Pari -nt , y por el posición; pero el coronel Goutefrav del 21o, 'mnaciente de al restablecimiento de la tranquilidad en este remo. Ya t! ejercito canzar al enemigo, se puso ¿ perseguirlo', á pesar ds que aun r.o del Rey, mandado por el Príncipe á quien su corazón se com había reunido sino tres compañías sobre..+a…</t>
  </si>
  <si>
    <t>Goutieff</t>
  </si>
  <si>
    <t>…o el honor &amp;c.=ES ba mas de la perfección a que han llegado estos dos estableci a meante Jibut, enviado extraordinario y ministro plenipoten mientos bajo la administración del Sr. conde Goutieff, y U ciario de N. M. v.. cerca de S. M. B. dirección de M. Komaicff. Contestación. La comisión de la suscripción española ha Entre los cristales presentados á S. M. habia seis vasos de la recibido las 530 libras esterlinas que S. E. el duque ds S. Lo mayor d…</t>
  </si>
  <si>
    <t>Govantes, Angel</t>
  </si>
  <si>
    <t>Angel Govantes</t>
  </si>
  <si>
    <t>…e suspendió Ja discusión de este asunto; y se levantó la cesión. Orden de ¡a plaza del 19 al 20 dt Mayo. Los magistrados de la audiencia de Valladolid D. Francisco Gutiérrez Sosa, D. Angel Govantes , D. Agu-tin Rodríguez Gefe de dia el coronel de Ja Reina D. Francisco Fernandez Bahamonde, D. Josef Alaría Vecino y D. Cayetano Aluñiz, y Golfín. _ Servicio á palacio la milicia activa y la nacional local Jos fiscales D. Miguel Cornejo y D. Josef Rodríguez B…</t>
  </si>
  <si>
    <t>Govantes, Cristóbal</t>
  </si>
  <si>
    <t>Cristóbal Govantes</t>
  </si>
  <si>
    <t>…ia y puntual cumplimiento en la gial, D. Antonio Crespo, Abad. D. Josef Salcedo, Canónigo .= parte que le toca. Dios guarde á V. E. muchos años. Córdoba 26 Universidad , el Doctor D. Cristóbal Govantes. El Doctor Don de Octubre de i8íg.c=Victor Saez.=Excmo. Sr. Secretario de Antonio Maldonado.” Estado y del Despacho de..... „Señor: Los Gefes, Oficiales, Sargentos, Cabos y soldados Por el Ministerio de la Guerra se ha e.vfcdftlo la circular si del regimiento…</t>
  </si>
  <si>
    <t>Govantes, Manuel</t>
  </si>
  <si>
    <t>Manuel Govantes</t>
  </si>
  <si>
    <t>…ndrés , como se ha indicado. Se hace mérito honroso del servicio que prestaron ocho volunta ARTICULO DE OFICIO. rios á caballo artilleros de Sevilla al mando del sargento prime ro D. Manuel Govantes , ya explorando los flancos , ya condu Por el ministerio de Gracia y Justicia se ha comunicado en ciendo heridos de las guerrillas a las grupas de sus caballos , ya i... del corriente la siguiente Real orden á la audiencia territo en fin ofreciéndose gustosos…</t>
  </si>
  <si>
    <t>Goxoecheár, Pedro Nicolás</t>
  </si>
  <si>
    <t>Pedro Nicolás Goxoecheár</t>
  </si>
  <si>
    <t>La comisión de Comercio, después de haber examinado U solicitud defecto que le constituya inútil para el servicio, sedará aviso a! ai.aide D. Pedro Nicolás Goxoecheár, en que pedia automación para ne dc, que dispondrá su recmp.azo por el orden que queda prevenida , y la var á le: puertos de Ultramar (ranos efectos de la Pemnsu.a ,. ra ce opi piorna entrega del nuevo quinto en el cuerpo.” Aprobado. nión de que no estando es…</t>
  </si>
  <si>
    <t>Goycoechea, Mariano</t>
  </si>
  <si>
    <t>Mariano Goycoechea</t>
  </si>
  <si>
    <t>…e mil modos que estos deseos D. Josef Rodríguez. D. Francisco López OUvarriet»., eran la voluntad general, sin la cual mal pudieran haber llevado á ca D. Arias Gonzalo de Mendoza. D. Mariano Goycoechea. bo su loable empresa una porción de hombres valientes sobre toda D. Pedro Bustes. D. Juan Rodríguez Guillen. ponderación , pero en corto íiúmevu y desgraciados hasta entonce* , tanto D . Baltasar Joaquín Perez. D. Josef Alvarez Crespo. como reiucitos ; asi c…</t>
  </si>
  <si>
    <t>Gra</t>
  </si>
  <si>
    <t>…la fuerte de S. Luis se lomó. En esta segunda acción, no menos guardia y el regimiento 34.0 de línea, quedando en reserva el ter vigorosa que la primera , fue hecho prisionero el coronel Gra cer batallón del 36.° Los oficiales que en la noche precedente ha ses, comandante de todas las tropas destinadas al Trocadero, di bian reconocido con la mayor valentía los pasos mas fáciles del putado en Cortes, y con él otros muchos oficiales. Ames de las ca…</t>
  </si>
  <si>
    <t>Grácil, Gaipc</t>
  </si>
  <si>
    <t>Gaipc Grácil</t>
  </si>
  <si>
    <t>…Dios guarde á V. E. muchos de que se hace meticón por nuestra paite lo fue el teniente d- 'monte años. Cuartel general de Adrzll 77 de Enero de 1823. =: Exento, ir. — ría retirado D. Gaipc Grácil, que hacia el servicio desoldado volunta Francisco Espoz y Mina.=:Ejtcmo. Sr. secretario del Despacho de ia rio en las compañías del partido de Vich. Y lo tras ado a V:. E. para ’ Guerra,” que se sirva elevarlo al conocimiento de S. M.f recomendando nuca ment…</t>
  </si>
  <si>
    <t>Graffen, Nicolás von</t>
  </si>
  <si>
    <t>Nicolás von Graffen</t>
  </si>
  <si>
    <t>…, 4$ y t® m. inscritos, como igual Vilentze , vecino de Altona, y las Sras. Anna Agnese Amalia, mente para recoger las cantidades de 372 na., 15 c. y 72 m. hija de Poppe, viuda de D. Nicolás von Graffen, y Ar.na Ag 5 e. deposiradas en el oficio de décimas. üese Bernhardina, hija de Vilentze, anteriormente viuda de Esta petición judicial fue aprobada en todas sus partes, y sj Famscn, y ahora viuda de Luis, por intervención de sus cura fijó el 31 Mayo dd año 1…</t>
  </si>
  <si>
    <t>Grafteu-, Francisco de</t>
  </si>
  <si>
    <t>Francisco de Grafteu-</t>
  </si>
  <si>
    <t>…. que se hallen en la misma. S. M. ha concedido la Cruz de -número extraordinaria de la Art. 5.0 Queda garantida asimismo la Legión extranjera, á Real orden de Carlos m aí Capitán D. Francisco de Grafteu- cuyos individuos se les ciará su licencia, y á los Gefes y Oficiales vied, comandante del piquete de granaderos de la guardia Real sus pasaportes .para el punto que les convenga. Suiza de Francia que hito á'S. M. la primera guardia en el Puer Art. 6.° LaS tro…</t>
  </si>
  <si>
    <t>Granada, Capitán General de</t>
  </si>
  <si>
    <t>Capitán General de Granada</t>
  </si>
  <si>
    <t>…de la Sabría alas autoridades el limo. Sr. Obispo de Jaén y una Diputación del cabildo de de su jurisdicción con motivo del feliz éxito de i a guerra de aquella santa Iglesia , el Sr. Capitán General de Granada y otras Esgana. varias personas de distinción. Los repetidos vivas y la continua A los Señores Alcaldes del Departamento. alegría del numeroso concurso de esta población, de otras y de Mans ig de Octubre. Jaén, son una prueba de que en todas partes es S. M. i…</t>
  </si>
  <si>
    <t>Grande, María Concepción Pcrez</t>
  </si>
  <si>
    <t>María Concepción Pcrez Grande</t>
  </si>
  <si>
    <t>…e avisa al público pará su noticia. mientos idénticos, y los peligros que intimidan á los pechos co Juicio de jurados. bardes infunden la mayor energía en el corazón español. ¡Pue Doña María Concepción Pcrez Grande, como muger de blo incomparable! ¡pueblo sublime! Tú bas sido criado para las D. Nicolás de Isidro, denunció al Sr* alcalde constitucional empresas extraordinarias; á tu valor y denuedo ha confiado el D. Lino Campos un artículo inserto en el diario Nuevo, r.ú…</t>
  </si>
  <si>
    <t>Grandellac, Francisco</t>
  </si>
  <si>
    <t>Francisco Grandellac</t>
  </si>
  <si>
    <t>…propondrá el guerra patada i las tropas de Badajoz; y otro relativo á la solicitud de primer cirujano al Gobierno los facultativos que han de hacer el servi las hijas del difunto general D. Francisco Grandellac para que se les cio de hospitales entre los que sirven en la actualidad, disfruten pen continúe ei pago de una pensión que te les concedió pare cuando mu siones del erario, ó las han cedido; y para el de los regimientos hará llese su madre Dolía María del Ros…</t>
  </si>
  <si>
    <t>Grandi, Pedro</t>
  </si>
  <si>
    <t>Pedro Grandi</t>
  </si>
  <si>
    <t>…de los regimientos hará llese su madre Dolía María del Rosario Reinoto. la propuesta, teniendo presentes las mismas consideraciones, y en la A la de Legislación una exposición de D. Pedro Grandi, emigrado forma prevenida en la ordenanza general dei egército, pudiendo por piamontes, solicitando carta de naturaleza. esta sola vez el Gobierno nombrar hasta la cuarta parte de todas las A la de Visita del Crédito público la propuesta hecha por la junta cl…</t>
  </si>
  <si>
    <t>Grases</t>
  </si>
  <si>
    <t>…potencia y España dccia: *» S. M. Gómez Becerra, y los do» secretarios Valdés (D. Dionisio) y Seoane. el Emp-rador de todas las Rusias resonóte por ¡epítimas las Cortee ge El Sr. secretario Grases manifestó que ia secretaría tendría cuidado nerales y extraordinarias reunidas actualmente en Cádiz, como también de avisar á los Sres. diputados que componen esta diputación dcL dia la Constituslon que estas han decretado y sancionado.” -&gt; en que debía lleva…</t>
  </si>
  <si>
    <t>…local de caballería de la ciudad de Murcia. Lo mismo sucedió con la del Sr. gefe político de Cádiz, leída por De la plana mayor, facultativos, ministerio de cuenta y razón, el Sr. diputado Grases, y con las demas que se anotan á continuación, segundo batallón del tren y cuerpo de artillería que sirve ea Santander. leídas por los Sres. diputados nombrados por ¡a misma provincia. De los oficiales del estado mayor de Cartagena. De la diputación provincia…</t>
  </si>
  <si>
    <t>…pasase al Go Ei Sr. Borges Carneiro, despu-s de liab'ar sobre la proporción que debía guardar el egército con la población , dijo: » ¡Pera estamos noso- bierno. . . . ",. ’' , El Sr. Grases presentó una obra intitulada- Resista ñuto uta am« tri : dtora en estado de adoptar est3 medida? No r Ahora ap.ico yo al revele!Aon ds España , remitida desde Londres por D- Eduardo K«- l’ortucal lo que acaba de decir á los Estados-Unidos su presidente: qaier…</t>
  </si>
  <si>
    <t>…tros convengamos en que la observancia de " míentos, fijase otra para los individuos respecto de la población. la Gonst.tucion es incompatible con la salvación de ia patria: La El Sr. Grases: La comisión ha procurado conciliar los ex Constitución no se opone á nada de lo que sea neccsar.r,. v sino t.o tremos que quiere el señor preopinante; pero no puede lograrse Seria tan bella como es: los medios de hacerla amable son excitar ió que quiere S. S…</t>
  </si>
  <si>
    <t>…l parcialmente por libranzas ,■ para evitar la necesi El Sr. Galiano hizo presente que las razones expuestas por el dad de cuentas, y no complicar documentos; pero ¡os intendentes Sr. Grases habían quedado en pie. Se trata, dijo, de un d.stint.vo, y tesoreros de las capitales en que resida la audiencia podrán apli es verdad : .; pero para qué crearon las Cortes U orden nacional car los productos de penas de cámara de su propia provincia al de S.…</t>
  </si>
  <si>
    <t>…á salir respondiente cL autor u editor, se impondrá la cuarta parte de inmediatamente. ella al impresor, siempre que el denunciador justifique ante el Entonces tomó la palabra el Sr. Grases, y suponiendo que juez de primera instancia haberse atusado á aquel la natuialcza se quisiese hacer un convenio con los franceses, igual al que hizo del escrito antes de su publicación; y el l.brero que le venda pa en Madrid el general Zapas para conservar el…</t>
  </si>
  <si>
    <t>…y colinas inmediatas donde se por la derecha , pero no a menos distancia que los de Osio. Al habían visto enemigos ^situándose con su columna en el bosque- regresar al Portazgo el coronel Grases con la compañía de caza cilio de su frente. Én tanto la guerrilla del centro al mando de los dores del 25 y la de granaderos del primero de Madrid tuvo or tenientes del c.° y 6.° batallón D. Manuel Pintaquc y D. Fran den de pasar la barca , y se dirigió por e…</t>
  </si>
  <si>
    <t>…pañías de Vanhaien emprendieron su retirada por es den , y reforzado con dos compañías de cazadores que condujo el calones, y luego de verificarla el último, de ando el molino, lo coronel Grases, se retiró toda la tropa con un orden admirable, pasó la caballería francesa , lanzándose con arro,o sobre nuestro» y con el mismo repasó la barca. bravos granaderos, que los recibieron con serenidad y unión, El coronel D. Bartolomé Gutiérrez Acuña , comandan…</t>
  </si>
  <si>
    <t>Grases, José</t>
  </si>
  <si>
    <t>José Grases</t>
  </si>
  <si>
    <t>nombrado al coronel D. José Grases, ayudante ge por su gusto tendrán qne sufrir los súbdito* do neral de estado mayor, con destino al ejercito de íi. M. CL , pues que no se turbará la seguridad du reserva acantonado en la ciudad de S. Fernando. Las, sus empresas mientras ¡so cometan actos host…</t>
  </si>
  <si>
    <t>Grasés, Josef</t>
  </si>
  <si>
    <t>Josef Grasés</t>
  </si>
  <si>
    <t>…an caballería é infantería de re de cazadores y de caballería, mandaba el coronel ayudante gene fuerzo del Puerto de Sta. María y de Jerez, nuestras tropas re ral del Estado mayor D. Josef Grasés. En esta columna iba el cibieron orden de retirarse , y lo verificaron con el mismo orden general en gefe con el estado mayor. y serenidad que habian ejecutado su avance, sostenidas oportu De la Carraca salieron cuatro compañías de granaderos y ca namente por…</t>
  </si>
  <si>
    <t>Grau, Francisca</t>
  </si>
  <si>
    <t>Francisca Grau</t>
  </si>
  <si>
    <t>…tería y caballería, naguera, Doña Dolores Frons, Doña María Arguer y Casa, Doña Jo viene de Peñamelíera, y se apodera de Llanes, y en «odas partes despe sefa Medir y Carnesoltas , Doña Francisca Grau, Doña Bárbara Riera, dazan el precioso signo de nuestras instituciones; dan íobre ellos las Doña María Cata, Doña Teresa Miser y Catá , Doña María Torras, mismas milicias , les matan 9 hombres, les hacen 3 prisioneros y les Doña Rita Jovanet, Doña Manuela Piq…</t>
  </si>
  <si>
    <t>Gre</t>
  </si>
  <si>
    <t>…sar por Frasno para acercarse á su guarida, y el co D. Nicolás Heredero Mayoral, D. Juan Fernandez Casariego, D. Juan Isidoro Perez, D. Antonio María Espejo, D. Julián de Fuentes, D. Gre ronel Depablo talonea su fuga. n Hoy se lia incorporado ■ ia división el destacamento que proceden gorio Mendivil, D. Joaquín Ruiz, D. Manuel Merino, D. Luis de Ma te de esa corte vinia á ias ■ nir?‘ del coronel de Farneslo Martin. Para ta Araujo y D. Sebasti…</t>
  </si>
  <si>
    <t>Greeve, J.</t>
  </si>
  <si>
    <t>J. Greeve</t>
  </si>
  <si>
    <t>…mbres, á tiem y en longitud de 18o, 47', 11" al O. del meridiano de Cádiz. po que estaban reunidos para marchar, y solo esperaban que se Fueron vistas en 7 de Julio de 1745 por el capitán J. Greeve les aprontasen i9 ducados que habían impuesto después de un del buque holandés nombrado Ana Catalina , y están casi á flor vivo fuego por las calles, que duró mas de una hora, y en que de agua,'’ el cual se hatea colocado en dicha carta con la ex se distingui…</t>
  </si>
  <si>
    <t>Gregorio</t>
  </si>
  <si>
    <t>…io de este pueblo á las del oficial retirado D. Domingo Atvarez; y de i.° del corriente, diciendo haber “entrado en esta provincia lo mismo el subteniente de voluntarios de Aragón D. Gregorio por Entrimo y Riocilldo , tengo por cierto que á esta hora ha de de la Torre, que nombré por mi ayudante. jado de'éxistir enteramente. Ayer estaba reducida á 18 hombres; y » El fuego ha sido muy sostenido , y duró dos horas, atribu el capitán del regimiento d…</t>
  </si>
  <si>
    <t>Gressot</t>
  </si>
  <si>
    <t>…orsin , el conde de la Roche- Consejo Je EstaJo. Aimond , el barón Bruny, el barón Bonnemains, el conde Grundler, Por renuncia que ha hecho D. Josef Matías Cablera de la judica el barón Gressot, el vizconde Vallin, el vizconde Toussaint , ei viz tura de primera instancia del partido de S. Julián de Poulo ha queda conde Pedeport , el vizconde jamin, el vizconde Vasserot , el barón do vacante esta plaza, y para su provisión se admiten memoriales po( B…</t>
  </si>
  <si>
    <t>Gretos</t>
  </si>
  <si>
    <t>…ar conservación, y evitar la corrupción de sus hijos, cuyas reflexio de las mayores amenazas y castigos nunca se han apagado en es nes parece que desvanecen todo su argumento. F.l obispo Gretos pueblos los sentimientos de amor hacia su Rey y de ido goire sabe muy bien que la Bastilla en Francia ha hecho tanta por su religión , ¿ cuánta será, Sermo. Sr., la satisfacción que faita para impedir sus grandes convulsiones como la Inquisi habrán tenido al…</t>
  </si>
  <si>
    <t>Grey</t>
  </si>
  <si>
    <t>…peles sobre la no se trata de un asunto en el cual hayan principiado las hosmesa pat3.que SS. SS. lo examinen. tilídauis ; á las hostilidades precede generalmente una deciara-; El conde Grey contesta que hecho cargo de lo que acaba cion, y en seguida se presentan los papeles para hacer válida de decir el ministro, y reflexionando sobre las declaraciones que la declaración; pero la cosa es muy diferente, porque profesa había hecho anteriormente de…</t>
  </si>
  <si>
    <t>…cto J William Bentinck; entre ellas se distinguían las siguientes : lord paralelo), y apoyadas por ias del resto de Europa, quiero decir, Grosvenor , lord Gcsford, lord Lansdownc, lord Grey , lord la confederación germánica , cuyos ejércitos siguieron á Jos fran Erskine, lord Lynedoch, lord Nugert, lord John Russsll, lord ceses: iguales declamaciones hubo entonces sobre el estado de ar.trWilliam lUussell, lord Nonnanby, lord Ebrington , el honor…</t>
  </si>
  <si>
    <t>Grimaresr</t>
  </si>
  <si>
    <t>…a. El propio dia pasaron por allí con dirección á Sevilla 31 oficiales de guardias españo las, de los que se fugaron en Julio del año último, entre ellos los Mones y dos hijos del general Grimaresr. El 4 llegó á S.villa un partidario Realista que conducía presos al brigadier D. Pedro Delgado, regidor constitucional que fue de Madrid, y al famoso Luna, tan conocido en todos los alborotos y asonadas; entre sus papeles se hallaba la patente de masón. Tambi…</t>
  </si>
  <si>
    <t>Grimarest, Pedro</t>
  </si>
  <si>
    <t>Pedro Grimarest</t>
  </si>
  <si>
    <t>…dos.'petpetuamcnted$'laTísta militar del egér- de Alcalá, número 4; los d: milicias provinciales al mariscal cito español.'a.° Los individuos que concurrieron á tan horri de campo D. Pedro Grimarest, calle d= la Madera baja, en la ble acción serán perseguidos y juzgados según las leyes. Ten- misma inspección antigua ; y les q.ie corresponden al Sr. gober dreislo entendido, y ¡o comunicareis á quien corresponda para nador lo verificarán en la piazu Ja de…</t>
  </si>
  <si>
    <t>…e taL.naturaleza, _ ELRhy nuestro Señor se ha servido nombrar para la inspec que es preciso que convirtamos en risa y desprecio el horror que ción de Milicias al Mariscal de Campo D. Pedro Grimarest; pa nos causaban tantos motines. ¡ ra el consulado general de Paris á D. Juan Lahora; y para el de He aqui pues en que pararon los que á cada nuevo insulto Lisbba á D. Juan Bautista Ardison. Igualmente se ha servido que hacían á su .Rey, le cantaban con insol…</t>
  </si>
  <si>
    <t>…Tarazona ,.Qri- general D. Pedro Agustín dej Échavarri; y. promover á Tenientes huela, de Pamplona , de Urgel, de Ceuta, de Málaga Y de Soóona. generales á los Mariscales de Campo D. Pedro Grimarest, Don Tendreislo entendido, y dispondréis lo necesario á xu cumpii- Gregorio Laguna y D-Vicente de Quesadá. Tendreislo entendido, miento.2=Rubricado de la Real mano.=En Palacio á 14 de Di y dispondréis lo conveniente á su cumplimiento —Señalado "de la. Real ma…</t>
  </si>
  <si>
    <t>Grimarest, Pedro de</t>
  </si>
  <si>
    <t>Pedro de Grimarest</t>
  </si>
  <si>
    <t>…conseguirlo por medio del crucero El Rey nuestro Señor se ha servido nombrar Capitán gene perpetuo que forma el objeto de su institución. Esta verdad no ral de A; acón al Teniente general D. Pedro de Grimarest: Ins necesita de prueba, y nadie duda que ia marina ligera de los ca pector general de Milicias al Teniente general Conde de S. Ro balleros de Malta contuvo por espacio de 10 a,.os a ios piratas del mán : Inspector general de caballería al .Mariscal de Campo…</t>
  </si>
  <si>
    <t>Gritj, Jcsef</t>
  </si>
  <si>
    <t>Jcsef Gritj</t>
  </si>
  <si>
    <t>…- &lt;1 '.nasiado sensible , pues hallamos menos un constitucional IutoiC", rio de 1 i n.b ruja. Ih.r lo dmas lo que propone ia comisión es ti me tal como el teniente de esta indicia D. Jcsef Gritj i, que airav-sado d-‘ dro nía» expedito paia salir de los apuros del Kiomcriiu, y al mismo una bala á las 11 del dia, murió á'Ut 10 de la noche reíig10si.1n.11t0</t>
  </si>
  <si>
    <t>Gritja, Jo'sef</t>
  </si>
  <si>
    <t>Jo'sef Gritja</t>
  </si>
  <si>
    <t>…pudiendo menos de recomendar muy particularmente á la viuda del Quemaron la iglesia del Carmen sin respetar las '.{agrarias imágenes, y digno teniente da la milicia local de Torá D. Jo'sef Gritja , que murió cometieron todo lo que es de esp-rar de sem-jante canajla. El mu-ito en defensa da nuestra sabia Constitución. Dios guarde á V. E. muchos de que se hace meticón por nuestra paite lo fue el teniente d- 'monte años. Cuartel general de Adrzll 77 de E…</t>
  </si>
  <si>
    <t>Groundnetrado</t>
  </si>
  <si>
    <t>…ón, no podría levantarse hasta después nulidad política. de tres mrses. » Y el ayuntamiento actual de Sanlúcar de Barrameda , pe ___Copia de una carta dirigida a! teniente general conde Groundnetrado de estas verdades, convencido de tales sentimientos y ler, comandante superior de Madrid , por un oficial superior de la universal aceptación con que se aprecian por los amante» adicto al E. M. de S. A. R. A Sermo. Sr. Duque de Angule de la fidelidad d: la Es…</t>
  </si>
  <si>
    <t>Grundler</t>
  </si>
  <si>
    <t>…22 cañones construida en el norte de América. Mar scales rfe campo. El vizconde Corsin , el conde de la Roche- Consejo Je EstaJo. Aimond , el barón Bruny, el barón Bonnemains, el conde Grundler, Por renuncia que ha hecho D. Josef Matías Cablera de la judica el barón Gressot, el vizconde Vallin, el vizconde Toussaint , ei viz tura de primera instancia del partido de S. Julián de Poulo ha queda conde Pedeport , el vizconde jamin, el vizconde Vasserot…</t>
  </si>
  <si>
    <t>Grutídleí, Conde</t>
  </si>
  <si>
    <t>Conde Grutídleí</t>
  </si>
  <si>
    <t>…ices podrán decirlo, como igualmente podrán calcular loé siles y municiones. hombres de bien el grado de alevosía y perfidia que envuelve Igual presentación hicieron en seguida al Sr. Conde Grutídleí este atentado. Yo me Limito á publicar este suceso tal como ha Gobernador del ejército francés en Madrid, ai Capitán generad pasado, á fin de que la malignidad no le desfigure ni la ociosi de la provincia , ai Gobernador de (a plaza y á los Secretario*1 dad t…</t>
  </si>
  <si>
    <t>Gtlindo, Pedro González</t>
  </si>
  <si>
    <t>Pedro González Gtlindo</t>
  </si>
  <si>
    <t>…os, y otro para quedaron reducidos los 20,833 nm. de ¡uro, situados en millones que los directores de las provincias los remitan á la general del reino. de Salamanca, en cabeza de D. Pedro González Gtlindo , con antela Y tas tesorerías entregarán como dinero los recibos de los factores de ción á la segunda situación : otro de 9012 mrs., á que quedaron redu los depósitos militares en pago de las libranzas expedidas por la te cidos &gt;5,021 mrs. en juro de 908 mrs.…</t>
  </si>
  <si>
    <t>Gu</t>
  </si>
  <si>
    <t>…audiencia territorial de Valencia , por el Sr. G:I Ordv.ra. archiduque Ranerlo en !d dignidad de virey de -Eombardía ¿ pero antes Del juez de primera instancia del Ferrol, por el Sr. Gu:;n. ncFa. de salir para su destino contraerá matrimonio con la Prin^sa Carolina de De la universidad de segunda y tercera enseñanza'de Barcelona, porTuviera, hija del Rey , y gemela de la princesa Amalia. el Sr. Sálvalo. El Rey de Ñapóles continúa cu esta cap…</t>
  </si>
  <si>
    <t>…uel Perez , segundo de la columna que desde el Portazro se di— 180 infantes, que dejando el arrecife se dirigieron á dicha casa rigió por la barca hacia Chiclana á las órdenes del coronel Gu mientras que su guerrilla se tiroteaba con la de aquel. Las dos de sano, dice que la aproximación á la Casa blanca fortificada , con Ja izquierda á las ordenes del subteniente y sargento del 5.0 bata desprecio del fuego que desde la batería colorada y pinares…</t>
  </si>
  <si>
    <t>Gu, Alvarez</t>
  </si>
  <si>
    <t>Alvarez Gu</t>
  </si>
  <si>
    <t>…encia á todos los demas. conformes con lo acordado por las Cortes. El Sr. Alcántara: Al impugnar el voto particular de un señor in Se continuó la discusión del voto particular del Sr. Alvarez Gu dividuo d* la comisión eclesiástica, encargada de extender el proyecto tiérrez al dictamen de la comisión Eclesiástica sobre arreglo del clero. sobre el arreglo definitivo del clero, que está sometido á ia deliberación E¡ Sr. Mtlo; Me parece imposible volver…</t>
  </si>
  <si>
    <t>Gu, Conde</t>
  </si>
  <si>
    <t>Conde Gu</t>
  </si>
  <si>
    <t>…e Noviembre de i823.=Firinstruyendo el proceso, y di.tro de pocos dias se sabrá la ver mado=Luis Antonio.rrPor S. A- R. y en ausencia del mayor dad de todo. (Gaceta de Augsburgo.j general Conde Gu¡lleminot = EI Mariscal de Campo, Ayudante ina y o r genera 1,=F i rmado=Delachasse-de-V erigni RUSIA. París 28 de Noviembre. Petersburgo 9 de Noviembre. Nuestro Monarca, siempre benéfico, ha echado una mirada S. A. R. el Príncipe de Orange ha sido acompañado…</t>
  </si>
  <si>
    <t>Gu, Moreno</t>
  </si>
  <si>
    <t>Moreno Gu</t>
  </si>
  <si>
    <t>…del estala y rn que 5- extienda la inviolab.'idad de un Sr. d potado , v curad-, i* :-.l del est t cimentada su existencia política , y el hecho de pedir,: justicia por asunto del Sr. Moreno Gu*rra tai vrz »*té jo el primer.: * *«-.!-e¡r un individuo fuera del Congreso sobre su opinión, pronunciada como sus derechos, derechos q.i: tienen sus iim'.es ie.t’ur.b *n *.! * , ; ¡1-, ¿j diputado en el seno de las Cortes. Lo primero se observa en lodo» los…</t>
  </si>
  <si>
    <t>Gu-, Alvarez</t>
  </si>
  <si>
    <t>Alvarez Gu-</t>
  </si>
  <si>
    <t>…ro no sabe mas que un puco de gramá tamen de &gt;a comisión. tica , la moral de Larra.a y algo de teología escolástica: no nos equi Se procedió á la discusión del voto particular del Sr. Alvarez Gu- voquemos, señor, muchis de nuestros párrocos conservan aun do.tri tietrez sobre arreglo del clero, y pidieron en seguida La palabra vanos nas particulares que creen son de fe: por estas Tazones siempre me tenores diputados. opondré á que se susciten discusion…</t>
  </si>
  <si>
    <t>Gu-rr.i, Moreno</t>
  </si>
  <si>
    <t>Moreno Gu-rr.i</t>
  </si>
  <si>
    <t>…especial fueron sigan los trámites que prescribe la Constitución ; esto es , que pace '■» los siguientes r Va’dés ( D. Cay-, uno ) , Argtielles, Cuadra, 1'aboad.l, txpes»'ion riel Sr. Moreno Gu-rr.i á la D putacion p-rnianmf, para A ava , Merced, liaau , Bale-, Auínnat, Alca'.!-, Toro ir, Mirtí, que esta del modo qu-. ¡ocrea mas conveniente, y conforme á la misma Ben-to, Balda, Suavi.i, Ru zd-i Rio, González(D. Miau ), Manso, Constitución , pueda hacer q…</t>
  </si>
  <si>
    <t>Guada</t>
  </si>
  <si>
    <t>…mado la columna que Je indiqué, Ja que interesa ta con la adición propuesta. muy mucho permanezca en la Ratera, tanto porque continúa En el diario del 9 se publica una proclama de D. Guada su persecución, cuanto porque no será extraño pasen por diebo lupe Victoria á las provincias de Oriente y Occidente, en la punto algunos de tos dispersos. Estepa 15 de Abril.de 1823.=; que 'refiere sus sacrificios por la libertad, y se lamenta de la Bernardo…</t>
  </si>
  <si>
    <t>Guadalajara, Teruel y</t>
  </si>
  <si>
    <t>Teruel y Guadalajara</t>
  </si>
  <si>
    <t>…........ 800 60 300 tra en la villa de Infantes á derramar sangre v á tomar medidas Barbastro, Zaragoza, Calatayud, de rigor para que no se insulte a! sistema constitucional, v el Sr. Teruel y Guadalajara ..... 2800 200 5°° Argueta le dice que bien se echa de ver -&gt;que no le han enseña Delante de Lérida, AÍoiizpn y do las máximas de la pura y sana moral, ó que ha olvidado hasta en Mequinenza..............v¿....... 1200 *5° 800 los sentimientos que dicta nuestr…</t>
  </si>
  <si>
    <t>Guajardo, Agustín</t>
  </si>
  <si>
    <t>Agustín Guajardo</t>
  </si>
  <si>
    <t>…La misma comisión , habiendo examinado de nuevo el expediente Si Jos españoles nos hallamos en estado v en ánimo de doblar la cerviz sobre introducción de una partida de cacao de D. Agustín Guajardo para adnvt.r un yugo ixuang^ro , nada tenemos que hacer mas que hu y fajardo con bandera extrangera en el puerto de Santander, proce millarnos torpemente pero si los españoles qu.-r mos constrvar nuestra dente de la isla Trinidad, opinaba que el derecho que p…</t>
  </si>
  <si>
    <t>Guajardo, Joaquín María</t>
  </si>
  <si>
    <t>Joaquín María Guajardo</t>
  </si>
  <si>
    <t>…ra ¡a audiencia de Mallorca; se discutirla el dictameD de la comi- ballos de los facciosos á aquelk villa,y pedido 4S) raciones. A las cua - «ion de Comercio sobre la solicitud de D. Joaquín María Guajardo tro de la mañana me entregó un paisano uu oficio del cabecilla Ulman, y Fajardo sobre introducción de 83 fanegas decisivo; e! dictamen de que se titula gefe de estado mayor de la división volante del Ebro, la comisión Diplomática sobre la proposición del Sr.…</t>
  </si>
  <si>
    <t>Gual, Salvado</t>
  </si>
  <si>
    <t>Salvado Gual</t>
  </si>
  <si>
    <t>…francés titulado húsares del Bajo-Rhin en 891, de 1919 rs. y 33 mrs__ 892, de 4020; con el último endoso 3a primera carga de la caballería.” en Tarragona á 3 de Mayo de 1822 , por D. Salvado Gual á Ya empiezan los franceses ultras á imitar á los franceses de favor de dicho Gil; las que no habiendo llegado á su poder, é Napoleón, publicando por medio de boletines las operaciones de ignorándose si procede de extravío ó interceptación de dicho cor sus ej…</t>
  </si>
  <si>
    <t>Guarda-sellos</t>
  </si>
  <si>
    <t>…ión , que es 'be que la tfuzzf.a de Fruncía y el .VícrnísT se han negado á tora ispee a inherente á nuestro código fundamental, de los principios de intrven- de cooperación con el ministro Guarda-sellos para la redacción de la cion en los negocios interiores de otros países, excepto cuando hay Estrella. Hoy aseguran que el principal redactor de este periódico es una provocación tal que no da lugar i deliberar. Mr. Guenoude , empk-itdü en el d.partamento de N…</t>
  </si>
  <si>
    <t>Guarnan, Eugenio</t>
  </si>
  <si>
    <t>Eugenio Guarnan</t>
  </si>
  <si>
    <t>…ien i el pitan de.fragata ,*• apresó aysr]un bsrqujchueío. que saiiVide -Bar gobprn^dp? hab/a pedido el pase para la población, el cual fue celona, ,y í cuyo boido:tban dn coroneE(D. Eugenio Guarnan), recibido y conducido al hospital por ud-destacamento de caza un. teniente y un empleado,; ¡- . : ,;cr. dores nuestros. - - '&gt;'■ - » Parece que Mina trata también de escaparse por la misma Cop dicho oficial ha llegado un gefe de.batallón en dase dé vía; ,per…</t>
  </si>
  <si>
    <t>Guarro, María Josefa</t>
  </si>
  <si>
    <t>María Josefa Guarro</t>
  </si>
  <si>
    <t>…que en Vcracruz, y aun se de la justa causa de la Nacjon, cupo en suerte de) primer extrac puede decir que en todas las provincias, tenia perdida la reputa to de la de este día á Doña María Josefa Guarro, .hija de Don ción y el concepto , y que por el camino carretero de la sinceri Francisco, Subteniente que fue del: primer batallón de volunta dad y honradez no había de conseguir los premios que deseaba. rios de Barcelona, muerto en acción de guerra. «Varias…</t>
  </si>
  <si>
    <t>Gue, Francisco Rodríguez de</t>
  </si>
  <si>
    <t>Francisco Rodríguez de Gue</t>
  </si>
  <si>
    <t>…que uno y otro servicio se verifique con ia brevedad que D. Manuel Ledesma. D. Tonbio Roldan. exige su importancia; y sin embargo de las dificultades que se han D. Benito Medrano. D. Francisco Rodríguez de Gue ofrecido con motivo de la coincidencia de los dos sorteos, y el de la D. Leonardo Gil de la Cuesta. vara. sexra pane de la milicia actira que ya se hallaba hecho desde el año D. Pedro Sainz de Baranda. D. Celestino Olozaga. anterior en casi todos los pueblos…</t>
  </si>
  <si>
    <t>Guenduiain</t>
  </si>
  <si>
    <t>…pero que V. E. no será menos ge jornaleros. neroso que aquel lo fue para con el general Ballesteros , con res ¡;A El Gobierno recibirá estos auxilios en calidad de reinte pecto al brigadier Guenduiain, que con muchas menos faculta gro, y cuando las circunstancias lo permitan abonara a caca in des y mas atenciones por la dependencia que tiene de un general dividuo la suma á que se haya hecho acreedor. en gefe , están á sus órdenes , gefes, oficiales y plaza…</t>
  </si>
  <si>
    <t>Guenduiain, Jo.ef</t>
  </si>
  <si>
    <t>Jo.ef Guenduiain</t>
  </si>
  <si>
    <t>, 559 de Agosto de iSzg.e^Francisco Ballesteros.=Sr. D. Bernardo de bi;o ¡a garantía de su sagrada persona , envió al capitán D. Jo.ef Guenduiain.” Aispuruu, con quien espero tendrá V. E. la bondad de contes Convenio entre el teniente general conde de Molitor , comandan tar me. te en gefe del segundo cuerpo del ejército de los Pirineos, auto «Salvemos , Excmo. Sr. , por haber esperado ciuince&lt;¡ as , la…</t>
  </si>
  <si>
    <t>Guenduleia</t>
  </si>
  <si>
    <t>…ndo en consideración ia larga El general Bonnemaíns llegó el a-5 de Agosto á Gador, carrera de servicios , los padecimientos por su lealtad al Ruy donde halló un parlamentario del brigadier Guenduleia, co nu stro Señor, y los conocimientos de D. Ramón García Va*- mandante de un destacamento'de las tropas de ILiego en el dis Hado!id, administrador general de la contribución general de la trito de Almería: las proposiciones de este oficial , que no habia pro…</t>
  </si>
  <si>
    <t>Guer, Moreno</t>
  </si>
  <si>
    <t>Moreno Guer</t>
  </si>
  <si>
    <t>…quedándole á este individuo otro r. curso para vindicar insta ara en bieve solemnemente en territorio español. Lo mas crac.eso su honor que el de citar á juicio de conciliación al Sr. Moreno Guer es que as cartas de Francia habían de otra regencia , terceta en discor ra, so podía tachársele de haber observado en este punto una conducta dia , qu; quieren poner los ultra* de París. Según ei mismo diario , Eró anticonstitucional; y que ya que se previnie…</t>
  </si>
  <si>
    <t>Guergué, Juan Bautista</t>
  </si>
  <si>
    <t>Juan Bautista Guergué</t>
  </si>
  <si>
    <t>…se. acuerda sin enterneci tiempo ha tenido á bien S. M. nombrar Gobernador de las miento de esta asociación tan benéfica como heroica , cuyos in aduanas de Cantabria al Brigadier D. Juan Bautista Guergué con dividuos no dejaban el combate sino para orar, y la oración solo sil sueldo personal de 24O rs. anuales, atendiendo a las es— para volar en socorro del infortunio. La historia testifica por es trechezes del Real erario; pero sin ningún descuento, y con op…</t>
  </si>
  <si>
    <t>Guerra</t>
  </si>
  <si>
    <t>…urado fuese contraria al escrito , y el impresor acreditase los recelos que anuncié á V. E. en el de ayer. A dicha hora el que no ha hecho mas que reimprimir una obra publicada an capitán Guerra circundó esta ciudad con las partidas del llamado teriormente en otro pueblo de la Monarquía , se remitirá el ex el tunante, de Gallego, la de Contares y la suya, que todas reu pediente á la capital de la provincia á que pertenezca el mismo, nidas formaban un…</t>
  </si>
  <si>
    <t>Guerra, Ambrosio</t>
  </si>
  <si>
    <t>Ambrosio Guerra</t>
  </si>
  <si>
    <t>…pero si la tiene por justa, lo mar.if.sLa comisión de Hacienda presentó su dictamen acerca d: la solici Urá asi ai Gobierno con remisión del expediente para que r-. suc.va tud de D. Ambrosio Guerra , apoderado del coronel D. Tadeo Anto lo que sea mas conveniente.” Aprobado. nio Díaz de Medina, residente en Uitramar, en la que manifestaba que Art 12. » El reemplazo del egeicito permanente debe realizarse habiendo presentado á liquidar vanos capitales y c…</t>
  </si>
  <si>
    <t>Guerra, Antonio</t>
  </si>
  <si>
    <t>Antonio Guerra</t>
  </si>
  <si>
    <t>…es. diputados secretarios de las Cortes me dicen, con Instrucción púb'.iect. fecha 2 1 de Marzo último lo que sigue: Siendo, tan evidente el poderoso influjo que las ciencias exac D. Antonio Guerra , apoderado del coronel D. Tadeo An tas ejercen sobre todos los demás conocimientos humaros, pare tonio Diez de Medina , vecino de la ciudad de la Paz en ia Amé ce inútil el encarecer su estudio ; sin embargo , la situación actual rica meridional , hizo prese…</t>
  </si>
  <si>
    <t>Guerra, Auditor de</t>
  </si>
  <si>
    <t>Auditor de Guerra</t>
  </si>
  <si>
    <t>…va á hacer la Duque que fue de Osuna, y de la quiebra de la casa de giro titu guerra á muerte; pero si falleciese en la demanda, antes y des lada Pedro Girón é Hijo, ha mandado el Sr. Auditor de Guerra pués ha de quedar vengado. de esta provincia, como Juez del concurso, se cite á todos los 7.0 Los que quieran alistarse se presentarán reservadamente á acreedores ó sus apoderados para que hasta el 15 de Febrero in los ciudadanos diputados ó elegidos por-la d…</t>
  </si>
  <si>
    <t>Guerra, Francisco Figueras</t>
  </si>
  <si>
    <t>Francisco Figueras Guerra</t>
  </si>
  <si>
    <t>…císco Balleste y comandante general de la primera división de infantería, y de ros. — Excmo. Sr. secretario de Estada y del Despacho de la los ayudantes generales del mismo cuerpo D. Francisco Figueras Guerra. y D. Mariano Villa á la cabeza de la primera brigada de la cita S. M. ha visto con satisfacción el buen comportamiento de da división, que manda el coronel D. Ramón Landáburu con estas beneméritas tropas, y tendrá muy presentes ios distinguidos concepto mío:…</t>
  </si>
  <si>
    <t>Guerra, Josef Moreno</t>
  </si>
  <si>
    <t>Josef Moreno Guerra</t>
  </si>
  <si>
    <t>…ijo que formalizase una proposición. militar. La comisión especial encargada de informar sobre ia exposición de he mandó insertar en el acta el voto de los Sres. Serrano, Galiano, D. Josef Moreno Guerra, habiendo tomado de nuevo en considera Isturiz , Sedeño, Grases, Zulueta , Vaidés (D. Dionisio ), Saavedra, ción este asunto reproducía su anterior dictamen , con la sola d;f-ren- Marau, Ruiz de la Vega y otros Sres. , contrario á ia declaración ds cia de que…</t>
  </si>
  <si>
    <t>Guerra, Josef Moreno de</t>
  </si>
  <si>
    <t>Josef Moreno de Guerra</t>
  </si>
  <si>
    <t>…que e: general Riego, que ya no pasa al segundo la Isla gaditana l-.mita á sí sola su defensa tendrá que sucumbir. ejército, ha propuesto al Gobierno se pongan á su disposición El Sr. D. Josef Moreno de Guerra concluye expresando que 1500 infantes y 300 caballos escogidos, con dos millones de esta es su opinión y testamento politice , que firma en Cádiz reales, con ánimo sin duda de formar una columna pará operar á 27 de Junio de ¡823 (15).” fuera de la Isla gadita…</t>
  </si>
  <si>
    <t>Guerra, Juan</t>
  </si>
  <si>
    <t>Juan Guerra</t>
  </si>
  <si>
    <t>…e perseguida por las partidas de toda clase. realistas al mando de D. Francisco Gómez Pantisco, D. Josef Art. 4.0 Todos los militares españoles que se encuentren en Ruiz Vizcaíno, D. Juan Guerra y D. Fernando Roa en unión este momento en Málaga , cua'qAera que sea su posición , están de las tropas francesas , las que no dejarán de picarle su retaguar comprendidos en &gt;a presente capitulación. dia; y sí precipitadamente no se echa sobre la sierra de las Al- Concluida en…</t>
  </si>
  <si>
    <t>Guerra, Juan Isidoro Ministerio de</t>
  </si>
  <si>
    <t>Juan Isidoro Ministerio de Guerra</t>
  </si>
  <si>
    <t>…vas, habiéndose salvado solo Bessteres con Josef Demetrio Rodríguez , D. Vicente Segurado, D. Bernardo Asenjo, 30 hombres.” D. Francisco Javier Barra , D. Joaquín Huerta Cevallos, D. Juan Isidoro Ministerio de Guerra. Pérez, D. Andrés Alcon, D. Amonio del Alcázar , D. Joaquín Manri El Rey se ha servido mandar que el regimiento número 37 de infan que y Manrique. tería ríe linea, que tiene el nombre de Imperial Alejandro, tome desde Habida la conferencia se decidió por unan…</t>
  </si>
  <si>
    <t>Guerra, Moreno</t>
  </si>
  <si>
    <t>Moreno Guerra</t>
  </si>
  <si>
    <t>…sión especial'por 93 votos contra 30. mes en que pneden Jas actuales Cortes tratar de él. Los Sres. que aprobaron pasase á una comisión especial fueron los Yo i o este nrancio del Sr. Moreno Guerra no veo sino á I» Na siguientes: Serrano, ZulueU , Vaidés (Di Dionisio) , Grases , Surrá, ción espadóla atacada en su representación , lo cual no puede quedar Alvear , Buruag? , Posada , Domenech, Secians ,Infar.t- , Muro, Lló sin t 'Sflf o , pues que dejo con…</t>
  </si>
  <si>
    <t>…*. .• i suraban por las Cortes sus expresiones , se asacaba su invuoiab.lidad , y entera de que :a tesprtamoi y soster.em* **. ;Qa.’ ' ri.qu* v - .o c: e no en otro caso estaba el Sr. Moreno Guerra considerado como -di yo he dicho con el supuesto ataque á ia Nucir c en mas: , i r .,* ■; - ‘o putado para este hecho. Aquí llamo H atención ti: las Cortes sobre la m-snro á la representación nacional : ; E» a-a,o ¡o nr-.mo ru.. x &lt;• diferencia notabilísima d…</t>
  </si>
  <si>
    <t>…24, 115 v 1 x ó. Seoane, Reilio y Saaveú.u para formar la comisión que ha de exami •&gt; En cuanto al examen de los que aspiren á ser tales maestros, en nar la exposición del Sr. ex-diputado Moreno Guerra. cuanto al modo de hacerlo, yen cuanto á las circunstancias que han de La comisión de visita del Crédito público informando acerca del concurrir en los aspirantes, se atemperarán las diputaciones provincia oficio del Sr..secretario de la Guerra sobre que se a…</t>
  </si>
  <si>
    <t>…disciplinada, ó 18 ñor presidente ai Sr. Oliver; para la especial encargada de informar sobre meses de combinaciones diplomáticas, aun suponiendo que sea bajo el la exposición del Sr. Moreno Guerra al Sr. S irrano; para la de gobier no economico-político de las provincias al Sr. Melendez; para la de Pogobierno mas absoluto! Según escriben de Constantinopla parece que los genízaros, cada deres al Sr. Gómez ( D. Manuel ), y para la de Salud pública ai señ…</t>
  </si>
  <si>
    <t>…sionar á la Nación; y en cuanto al que pres.r.ta Se mandó pasar a la comisión que entiende en la exposición del ahora la comisión digo que nc, bastarán dentro de pocos años 120 mi Sr. Moreno Guerra una exposición del intendente de egército y de la llones de reales para pagar solamente los retiros que por él van a tener provincia de Cádiz D. Bernardo Eiizalde sobre este asunto. lugar. Se concedió el permiso que solicitaba el Sr. Meca para ir por un Si la…</t>
  </si>
  <si>
    <t>…quie cinas de lasmismas, y si quedaba tiempo el dictante., ds la comisión re evitar, pues se necesita ahora de estos recursos. De consiguiente de especial sobre la exposición dql Sr. Moreno Guerra , y el de la comieste otro modo que se propone se consigue este objeto en el momento; sion de Guerra sobre organización de la compañía di alabarderos. y luego en la legislatura ordinaria el Gobierno presentará el verdade-- Se levantó la sesión á las cuatro. •…</t>
  </si>
  <si>
    <t>…es habían oido con dr sagrado las Cortes sobre el dictamen de ia comisión que ha examinado la expo la conducta anticonstitucional de D. Bernardo Elizalde , se dijese la sición del Sr. Moreno Guerra. eonducta que en esta ocasión habla observado (re. Se aprobó la siguiente adición del Sr. Prat á la acción de gracia El Sr. Falcó impugnó este dictamen, manifestando que era un er decrlada por las Cortes ai ejercito del 7.0 distrito militar, que dncia ror sup…</t>
  </si>
  <si>
    <t>…llo y Srptien , contrario á lo resuelto por las Cortes acerca cional , y ademas qu« se cree la p aza de un s-eur.do gef: de la ciase di del d.ttamen sobre ¡a exposición del Sr. ex-diputado Moreno Guerra. genera'es, que pueda quedar encargado de ¡a guard-a dt palacio en les Se leyeron las siguientes exposiciones dirigidas á felicitar á las Cor casos en que S. M. salga en púb.ico, en los cuales tiene que acompa tes por las sesiones dei 9 y ti del pasado, y en…</t>
  </si>
  <si>
    <t>Guerrero</t>
  </si>
  <si>
    <t>…erse de hecho á que tenga puntual »Todas las provincias del N. se han declarado contra el tirano « cumplimiento esta orden, que doy en virtud délas facultades Itúrbide. =E1 famoso general Guerrero también ha levantado el «concedidas á los comandantes genérales de los'distritos que coestandarte contra el usurpador. El coronel Sánchez, gran favorito « mo este están declarados en estado de guerra , será fusilado en suyo, marchó contra Guerrero, quien abac…</t>
  </si>
  <si>
    <t>Guevara</t>
  </si>
  <si>
    <t>…t; proyec El Sr. Valdés (D. Dañino): Dos cosas me han obligado á tomar to ha hecho el Sr. preopinante, creo que ías Cortes se hallan en el caso la palabra contra este ariicu'o. Ei Sr. Guevara ha manifestada ya su de declarar que ha lugar á votar sobre su totalidad. Me fundo pira esto ficientemente los perjuicios que podrían originarse si no se fajase m el etr que por los decretos á que hace referencia rsle diclamvn está d-termi artículo una época…</t>
  </si>
  <si>
    <t>…esentarse al Congreso; incurrido el Sr. Canga. opinaba que debía aprobarse el acta , y que en cuanto á la expo El Sr. Fcrrer (D. Joaquín) dijo que la comisión de Visita sición del Sr. Guevara* se abstenia de dar su dictamen por nt&gt; cor- no podía dar otro informe ,-pero que tampoco las Cortes po rcspóhderle este asunto. Aprobado. dían aprobarlo por muchas razones:, que mucha parte de la Es A la comisión segunda de Hacienda w Brindó pasar una- ex pa…</t>
  </si>
  <si>
    <t>Guevara, Juan Rodríguez de</t>
  </si>
  <si>
    <t>Juan Rodríguez de Guevara</t>
  </si>
  <si>
    <t>…, á vuestras leyes y religión, y empuñad con denue En su vista se reunió el jurado, compuesto de los señores do el acero exterminador contra esos monstruos, que tratan siguientes: D. Juan Rodríguez de Guevara , D. Antonio S0I1de robaros todo lo que hay pata vosotros de mas precioso y va , D. Cayetano Rubio, I&gt;. Josef Segundo Monde jar, D". Josef sagrado sobre la tierra: salga finalmente de vuestros pechos á la Merelo, D. Miguel de Nájcra, D. Matías Pinilla, D. Jos…</t>
  </si>
  <si>
    <t>Guevara, Ladrón de</t>
  </si>
  <si>
    <t>Ladrón de Guevara</t>
  </si>
  <si>
    <t>…que se halle por epempio en ¡a; Los Sres. B.-lda , V.ddes y Ldlo deslucieron alguna; equivocaciones. fiont’ras de franela le será nmv giavo».s e! ti.i; a,!ar»e -,i pin ¡-'o . v El Sr. Ladrón de Guevara : Yo ctco que con esta artículo no ha- por io mismo renuncia;- * este bencnc.o. Bu: todas e;Us razones 10</t>
  </si>
  <si>
    <t>…o sucesivo sino uno de cada clase. Del juez de prmera instancia del partido de Aranda , presentada y Aunque por .lo dicho queda probada á mi parecer Ja justicia d:l I leída por el Sr. Ladrón de Guevara. dictamen de la comisión, hiré á mayor abundamiento una observa-l De varios individuos de la M. N. L. \T. de Otvera. cion que me parece importante. Cuando se discutió el decreto parad De varios ciudadano» de Moron de la Frot.Lera y del ayuntamiento guardia Iv…</t>
  </si>
  <si>
    <t>Gui, Carlos Federico Augusto</t>
  </si>
  <si>
    <t>Carlos Federico Augusto Gui</t>
  </si>
  <si>
    <t>…l Reino.” ALEMANIA. El comandante general de la división expedicionaria del Brunswick 28 de Julio. ejército Real de Navarra, dependiente del segundo cuerpo del Se sabe que nuestro duque Carlos Federico Augusto Gui ejército francés, D. Santos Ladrón , dirige á la Regencia del rei llermo, que reside ahora en Viena, tomará las riendas del Go no la exposición siguiente: bierno el 30 de Octubre próximo, en cuya época entra en los 20 » Sermo. Sr.: Con fecha 10 de Junio últim…</t>
  </si>
  <si>
    <t>Guiche, Duque de</t>
  </si>
  <si>
    <t>Duque de Guiche</t>
  </si>
  <si>
    <t>…tes, y de los muchos forasteros que vienen sin cesar á participar de tanta ANUNCIOS. ventura. Tendrán todavía mañana ia de no carecer de la pre sencia de tan ilustres viageros. El Sr. Duque de Guiche, Ma El Sr. D. Alfonso de Cavia, alcalde de la Real casa y corte, riscal de Campo de los. Reales ejércitos de S. M. Cma., y pri ha mandado convocar á junta general á los acredores de la tes mer Ayudante de Campo del Sermo. Sr. Duque de Angulema, tamentaría de…</t>
  </si>
  <si>
    <t>Guiheridos</t>
  </si>
  <si>
    <t>…2500 hombres; Cuartel general del Puerto de Sta. María 18 de Setiembre pero ía jornadadel 13 le ha costado mas de 500 entre muertos, de 1823. De orden de S. A. R. el mayor general conde Guiheridos y. prisioneros, y es probable que se hubiera concluido esta llsminot. columna si hubiese podido llegar á tiempo toda la infantería del Teniente General Bonjnemains. Como prometimos en nuestro numeró anterior, insertamos la Este Oficial general, que ha dado en…</t>
  </si>
  <si>
    <t>Guiiitininot</t>
  </si>
  <si>
    <t>…bía formado, sostenido Cuartel general de Manzanares 3 de Agosto de 1823.¡sitar por (os regimientos r.u y *i.° de línea, que taimados en colum orden de S. A. R.==E1 niayor general conde Guiiitininot. na cerrada había enviadocon el general Gorsin contra ¡a izquier da de Jos enemigos, los rechazaron bien presto con una pérdida Capitulación de las islas hiedas. considerable, y se apoderaron de las ^pasicioncs de las Albun- El Sr. marques de Montpezat, coron…</t>
  </si>
  <si>
    <t>Guilieminot</t>
  </si>
  <si>
    <t>…Greeorio Piquero Argiíe!les.=Excmo. 8r. ministro de !a (iston; pero este ya no saha de Paris, y no se sabia quien le reemplazaba : el Guerra.” g.°al mando del duque Conegliano. El general Guilieminot ha sido nom brado mayor-general; y el geneial Meriagc sub-nrayor-general. Eróles «Cuerpo de tropas expedicionario del primer distrito—Excmo. Sr en mandará el egército español en Cataluña; España el de Navarra; Longa el En este dia se han verificado los movimi…</t>
  </si>
  <si>
    <t>…anifestado, de trastornar todo ei orden y ar armas, y ños ayudaron á rechazar al enemigo. Madrid 1. de Ju monía que deben reinar entre los hombres. nio de i8í3.=cE1 mayor general, conde Guilieminot. En cuanto á la libertad legal nada tendremos que decir, con sistiendo en hacer cada uno lo que quiera siempre que no con ' Ejército de los Pirineos.—3.° Boletín. trarié á la ley ni á los principios de eterna justicia y recta razón; Conforme á las órdenes de…</t>
  </si>
  <si>
    <t>Guíliemínot</t>
  </si>
  <si>
    <t>Cuartel general de Madrid 1 de Julio de 1823. c=De orden f gsiirrio.6 A pesar de una resistencia bastante fuerte, Tue desalojado de S. A. R.—El mayor general conde Guíliemínot. 1 •1 enemigo; pero cuando Campillo llegó á reunir su jente , y vió Boletín iij.° I i qué número tan pequeño había cedido, intentó con '500 hom El mariscal de campo Hubeit comunica al Sermo. Sr. DuqUe bres volver á entrar en el pueblo ; mas el coronel Gouteír…</t>
  </si>
  <si>
    <t>Guilkminot</t>
  </si>
  <si>
    <t>…aba á ia sociedad; y sobre to Cuartel ¡general de Madrid ia de Julio de 1823. = De or do, jamas persiguió á ningún individuo, corporación ó juma den de 5. A. R. =EÍ mayor general, conde Guilkminot. (salvo si se oponían á sus miras) por malísimas que pudieran ser, cano estuvieran adornadas de la virtud de no tener dine REALES LOTERIAS. ro ; y mas si tampoco tenían sabiduría. Asi es que los mendi En la extracción celebrada en esta corte el dia 14 de Juli…</t>
  </si>
  <si>
    <t>Guillcmmot</t>
  </si>
  <si>
    <t>…también que ha habi tenido por resultado 20 muertos ó heridos, parece haber sido do un rompimiento entre S. A. R. y el Trapcnse, y que este muy diferente de la pintura que hace el Sr. Guillcmmot: algunas había sido preso por haber contravenido a las ordenes dd duque cartas de Bayona aseguraban que la pérdida de los franceses fue en su furor contra varios españoles. Ademas parece que los gefes da 300 hombres ; otras dicen que los muertos fueron 60 , y…</t>
  </si>
  <si>
    <t>Guille-</t>
  </si>
  <si>
    <t>…ejr.mplito de cosa orden y una completa tranquilidad. Madrid 4 de Junio de que puede suceder entre nosotros muy fácilmente. Cometen urr i823.=Firmado por S. A. R. el mayor general conde Guille- m-smo delito un obispo y un sacristan , un general y un ranche minot. ro: la ley, que no ha guardado consideración á las c.asrs, faHa Gerona 28 de Mayo. Todos los habitantes miran el ataque con igualdad absoluta, señalando á este delito dos ú cuatro años de V…</t>
  </si>
  <si>
    <t>Guilleinmot</t>
  </si>
  <si>
    <t>…pasatiempo. pal , que solo está diferida hasta el momento de llegar ios 1500 hom __Se han concluido ya todos los pr-p.rat vos para !a salida de' tenien bres mandados por bizun. te general Guilleinmot, grlé del estado mayor del cjerc to de ¡os P¡Habiendo ios turcos consumido sus víveres, y desesperados por la rinros, cuyo oficial geyierai aseguran se pondrá en camino h y momo, falta de socorros, intentaron verificar una sorpresa sobre Misoiunghi ; de donde…</t>
  </si>
  <si>
    <t>Guillemiaot</t>
  </si>
  <si>
    <t>…21 de Julio de 1823. De orden momento que llegó á Lorca hizo embestir la ciudad por la ca ballera , y empleó todo el dia 12 en reconocer bien las cerca de S.A.R.=E1 mayor general conde Guillemiaot. nías de la fortaleza. A las 10 de la noche hizo ooupar con gran Boletín 24.° silencio todos los puntos favorables al ataque que pensaba dar el dia siguiente con el 4.0 ligero , como también dispuso que ocu El teniente general conde Bourk ha dado parte-a S. A…</t>
  </si>
  <si>
    <t>Guilleminot</t>
  </si>
  <si>
    <t>…l por su unión á la cipe de Hohenlohe, el conde Curial, el vizconde Roussel de Hurbal, metrópoli , como también que había entrado di el puerto de-su salid* el vizconde Tirlet : el conde Guilleminot, el conde Bourck , el viz una fragata con bandera americana cargada de toda ciase de p- rtrechoi conde Castex , el vizconde Domon , el conde de Autichamp , el barón de guerra, apresada por un corsario armado en dicha isla; dando final Dode de la Brunerie, el…</t>
  </si>
  <si>
    <t>…ste , y a cual Egército de los Pirineos occidentales. S- A. R. e! duque de Angu quier fin que se dirija , que es decir, para sofocar tosa reforma que ras lema general en gefe , el general Guilleminot gcfs de estado mayor. oirás naciones quieran hacer en sus Gobiernos perversos y degenerados Primera división el conde general Molitor: 2.a d.visión el barón de para librarse de las calamidades que les causasen. Pero se hallaron. iB Damas: 3.1 división el temi…</t>
  </si>
  <si>
    <t>…al Constitucional, pues estamos muy lejos de admirarnos deí recibido ya sus gratificaciones de campaña. rencor que nos profesa el enemigo mas tenaz y mas ardiente de la indepen El general Guilleminot ha recibido su nombramiento de mayor gene dencia de los griegos, y el redactor perpetuo de todos los protocolos de la ral del egército d« España. santa alianza, ó inas bien de todos los manifiestos contra la libertad de Escriben de Prest que el dia 6 dió la v…</t>
  </si>
  <si>
    <t>…e creia la -partida de S. A. R. el duque de Angulema: pero algunos das deza uña especie de reconvención; y aunque esra es muy justa, no llevará antes ric que ¿“verifique saldrá el general Guilleminot, nombrado maior i mal S. S. el que yo insista en mi proposición, que la li ? hecho sin des general deí ryército de España. Habrá al lado de S. A. R. un consejo de conocer la situación de los señores secretarios del Despacho. Las Cortes han españoles, cuyo pre…</t>
  </si>
  <si>
    <t>…modo favore — Dicese (y nada tiene de inverosímil, según avisos que de ello tenía cer mejor la causa de la Constituc on española. Esto causó en Paris mos por buenos datos) que el general Guilleminot , mayor general del una baja repentina en los fondos. Este artículo del d':ir: ¿xpílca ef.di egército de los Pirineos, acaba de dirigir dos proclamas: la una á los vamente la neutralidad que propone de un modo que parece para ¡a voluntarios españoles, llena d…</t>
  </si>
  <si>
    <t>…uando en cuando se llenaba la campana de vapo únicamente es el Fílelo. res tan espesos, que apenas podia yo distinguir tos trabajadores que es Se asegura que acaba de retirarse al general Guilleminot el nora- taban colócalos enfrente de mí; pero este inconveniente quedaba al bxaraientcTde mayor general del egército; y añaden que se trata de or momento remediado con la renovación del aire , por medio del que ganizar nu trámenle el egército.__Hablase tambié…</t>
  </si>
  <si>
    <t>…a podido lograr el Empera riodista , ha hecho mucha sensación; y se decía que eran efecto de dor Alejandro con un formidable ejército y las mas fuertes un, informe remitido por el general Guilleminot, ge fe del E. M. amenazas. Resolvió pues el alto tribunal de los Monarcas del Ti 14 salió de Paris el mariscal Víctor, acompañado del general Norte enviar al ministro ingles, lord Strangford, con nuevas Coftlosquet. Se decía en Paris que d nombramiento del ge…</t>
  </si>
  <si>
    <t>…var á efecto el sorteo, arre Idem y. Escriben también de la misma ciudad que iban lle glándome en todo á las instrucciones de V. S., oficiando al mo gando tropas; que la caída del general Guilleminot habia hecho mento á los pueblos dél círculo de mi arribo y comisión, y para una gran sensación en Paris y en toda la Francia , y que habia ello coloqué en la plaza la guardia de prevención , y me alojé con habido un alboroto-entre los llamados por mal nombre…</t>
  </si>
  <si>
    <t>…al nos ha dicho hoy lo siguiente: « Hato saber aunque fue nombrado mayor general del ejército, se ha quedado que el general D. Carlos Espinosa me comunica con lecha de como tal el general Guilleminot sin que ss sepa la causa. ayer 21 del corriente lo que sigue: Varios arrieros que vienen El Monitor publica un párrafo de la Estrella, que dice: de Jas provincias con pescado para esa capital me han confirma «Siempre tuvimos por inevitable la guerra; mas siem…</t>
  </si>
  <si>
    <t>…an casi todo el espacioso cuadro las dife Sta Cruz 9 de Junio de 1823. = Por orden de S. A. R., el rentes castas de héroes del patíbulo. Se hallará en la librería de mayor general conde Guilleminot.” Collado, en la de Quirós y en la de Villa: su precio 2 rs. Puede ir en carta. Por cartas fidedignas recibidas de Extremadura baja se nos Exposición al Rey nuestro Señor, ó tremoria sobre el sistema ha asegurado que en la ciudad de Coria, determinados sus ha…</t>
  </si>
  <si>
    <t>Guilléminot</t>
  </si>
  <si>
    <t>…io dé íSig.rcPof orden de S; A. R.=F.l mayor ge Ballesteros , habiendo enviado tres batallones á Alicante, se hid irijido cotí el restó de su tropa al reino de Mutcia,y se haneral conde Guilléminot. Ejército de loe Pirineos—iBoletih 13.0 llé vivamente perseguido por las del segundó cuerpo. S. A. R. ha recibido noticias én esté dia dé hábfcr llegado el El Principe de Hohénlohe da parte i S. A. R. que el 19 i •onde de Bórdessoullés á Utc-erá si ii, hábiéd…</t>
  </si>
  <si>
    <t>…o de 1823. = Por orden de S• A. R. El que los tiene avergonzados, ha venido muy á propósito para aca bar con ellos. Ya nuestro ejército , que según sus pronósticos semayor general conde Guilleminot. había de haber disuelto antes de llegar á Madrid, ha entrado REALES LOTERIAS. triunfante en esta capital de las Españas después de haber com batido lo suficiente para la gloria ; pero muy poco para la hu Noticia de los pueblos donde han cabido los premios ma…</t>
  </si>
  <si>
    <t>…y mentira, asi como el partido Cuartel general de Madrid 16 de Julio de 1823. De orden á que pertenecen, y perecerían sin remedio el dia que se prepu de S. A. R. el mayor general conde Guilleminot. siesen decir la verdad; pero lo que nosotros no podemos acabar de comprender es cómo han llegado á tal grado de nulidad mo Se ha recibido de Gibraltar con fecha 3 de Julio el artículo si ral en esta parte los que se llaman constitucionales que no per guiente…</t>
  </si>
  <si>
    <t>…de ellos y herir un caballo, sin que por nuestra parte hu Cuartel general de Madrid 21 de Julio de 1823. = De or« biese la mas mínima desgracia. den de S. A. R.zrEl mayor general conde Guilleminot. » Era un placer ver este pueblo í fas seis de la mañana del inismo dia el aspecto que presentaba , tanto en la muralla cuan EJERCITO de IOS PIRINEOS. to por las caites, con todos sus habitantes armados, y hasta las Columna móvil- husmas mugeres con el mayor…</t>
  </si>
  <si>
    <t>…rol el 15 de Julio á las 10 de Cuartel general de Madrid 26 de Julio de 1823. Por orden la mañana en virtud de capitulación. La guarnición, compuesta de S. A. R.esEl mayor general conde Guilleminot. de 29 hombres, ha reconocido la Regencia instituida durante la _ Acabamos de ver un impreso remitido por persona fidedigna cautividad del Rey, y continúa haciendo el servicio de la plaza de la ciudad de Vitoria del tenor siguiente : unida con las tropas fran…</t>
  </si>
  <si>
    <t>…eneral cibe bajo la protección de las autoridades. de Bailen 7 de Agosto de t82g.c=Por orden de S- A. R.=E1 7. ° El ayuntamiento constitucional será respetado en sus mayor general conde Guilleminot. personas y propiedades, como también lo serán las de todos los habitantes de este pueblo, sin que á nadie se le moleste por opi ejercito de los pirineos. -mmmOrden general* niones políticas, manifestadas con anterioridad a este tratado. 8. ° En el caso de of…</t>
  </si>
  <si>
    <t>…críticas las mas públicas demostraciones de Sia. María 30 de Agosto da 1823. = De orden de S. A. R. de su adhesión al Rky nuestro Señor, en la piaña autoridad qu* *1 mayor general conde Guilleminot. heredó de sus gloriosos predecesores , en medio de tos peligros de que solo puede salvar á este puebio fiel la divina Providencia pot Continúan las exposiciones dirigidas á S. A. S. la Regencia de! la intercesión de su adotada patrón» en el memorable día 24…</t>
  </si>
  <si>
    <t>…aridad el príncipe de Talleyrand en su celebre segó las mieses por la parte opuesta para llevarlas al castillo. Ei discurso, que tanta impres.on hizo en todos los individuos de la general Guilleminot ha dado orden de sitiar en forma á dichas cámara de los Pares, si se exceptúan los ultras testarudos. Se les plazas. hizo presente que sus dificultades empezarían cuando llegasen a El estado actual de ¡as cosas de España causa los mayores Madrid : que si conq…</t>
  </si>
  <si>
    <t>…cación tan extraña, y que el Sr. comandante generai calibea llevado otra lección aun mucho mas sangrienta. como merece. Solo notaremos que nos pan ce muy singuiar que Ja carta del general Guilleminot tema ía fecha del 24 y no ia del Cádiz. 26 de Setiembre. 22 , y que haya tardado tanto tiempo para atravesar la ban a. Hoy han entrado en este puerto 5 embarcaciones menores de Levante con carbón, pólvora y víveres. Esta noche á las siete se han reunido las C…</t>
  </si>
  <si>
    <t>…menzó inmediatamente, y se sostuvo con la María. 12 de Setiembre de i3ig.= Por orden de.S. A. R. 3 mayor actividad , á pesar del que hacia Saqti Petri y las forti El mayor general conde Guilleminot. « '. * ficaciones de la punta de la Isla de León. El navio Tridente y 14 fragata Guerrera, que habían logrado incorporara* con el Cen~ Mientras las cortes se ven reducidas á implorar la clemencia taur», participaron también del combate i pero hallándose toda…</t>
  </si>
  <si>
    <t>…verdaderas bases, volviéndola la paz y la dicha. ¡ Gloria pues á Ja .' rancia 1 ¡Gloria ... Idem 2¿. al heroe de la legitimidad! ¡y vivan para siempre los Borbones! Se dice que el general Guilleminot ha-sido nombrado Emba Cuartel general de Tours 23 de Noviembre de iií 23.=Viz jador deConstantinopla. (La Estrella?) conde. Donnadieu, Las exequias’ del Sr. Marques de Mari a 1 va ,E naba ¡ador de París 22 de ‘Noviembre. S. M. F.,' cuya muerte anunciamos ayer…</t>
  </si>
  <si>
    <t>Guilleminot, Conde de</t>
  </si>
  <si>
    <t>Conde de Guilleminot</t>
  </si>
  <si>
    <t>…ichelena, comandante de la dante en gefe del 5.0 cuerpo. Certifico que es exacta la traduc división de bombardas y obuseras españolas; del Alférez de na ción antecedentecrEl Mayor general Conde de Guilleminot. vio Beaucée y de F. Pignatelli, patrón del bote del Coloso, á cuyo bordo fueron muertos dos hombres. Sola esta es la pérdida Tercer cuerpo del ejército de los Pirineos. que hemos tenido en este bombardeo, que ha dado el mayor ho Capitulación entre el coronel…</t>
  </si>
  <si>
    <t>Guillemiuot</t>
  </si>
  <si>
    <t>…- mayor corrieron: la misma ñera!del Puerto de St». María rZ de Setiembie d* 1833.=De suerte; y habiendo el general Saint Chamans,ds*t«ado hícia orden de S. A-R.=E1 mayor general; conde Guillemiuot. -c Veliz-Málaga ei regimiento de cazadores núm. *O vi sostenido por un escuadrón -e dragones deli-o.f, cargór^íta caballería 4 la del enemigo, persiguiéndola-utias tees leguas,ty cogió al co . Parece que ha salido recientemensq en Pottugal ün folleto, ronel…</t>
  </si>
  <si>
    <t>Guillen, Juan Rodríguez</t>
  </si>
  <si>
    <t>Juan Rodríguez Guillen</t>
  </si>
  <si>
    <t>…, sin la cual mal pudieran haber llevado á ca D. Arias Gonzalo de Mendoza. D. Mariano Goycoechea. bo su loable empresa una porción de hombres valientes sobre toda D. Pedro Bustes. D. Juan Rodríguez Guillen. ponderación , pero en corto íiúmevu y desgraciados hasta entonce* , tanto D . Baltasar Joaquín Perez. D. Josef Alvarez Crespo. como reiucitos ; asi como son vanos é impotentes ahora cuantos es fuerzos hacen esas facciones mucho mas numerosas y tan poderosa A…</t>
  </si>
  <si>
    <t>Guillennnot</t>
  </si>
  <si>
    <t>…es, y atacándolos de firme , los pusieron á María 5 de Setiembre de 1813. De orden de S. A. R.=El ma todos en precipitada fuga, persiguiéndolos hasta la Mancha Real,, yor general. conde Guillennnot. ■"4 qu- les anocheció. Franceses han muerto dos y tres heridos ; per , . Boletín 33.0 ro de ellos nose sabe todavía cuantos ; son muchos, y muchísimos prisioneros y pasados á estas horas. En otra diré con verdad el El conde Molitor / comandante en gefe del s…</t>
  </si>
  <si>
    <t>…mejante atención al general francés que las tiene sitiadas. Pero ¿que mucho que no haya respetado la de cibido el Sr. comandante general la comunicación siguiente: Carta del mayor general Guillennnot al Exento. Sr. I). Ca licadeza de las damas, cuando no lo ha hecho ni con la preciosa yetano "Vsldes.—» Puerto de Santa Mana 24 óe Setiembre de vida del Rey, ni con las de las augustas personas que componen l8cq.=Sr. gobernador: S. A. R. el príncipe generalís…</t>
  </si>
  <si>
    <t>Guillermo</t>
  </si>
  <si>
    <t>…a, sin causar Estado correrá en Madrid á cargo de una junta, que se crea les vejación ni molestia alguna durante el tiempo de su deten un virtud del presente decreto, compuesta de D. Guillermo ción. 6.a El que no se presente en su respectivo depósito, ó se Hualde, consejero de Estado; D. Antonio Alcalá Gaiiano y fugue de él, será considerado como sospechoso en cualquier pun L&gt;. Lean de la Cámara Cano, ministros del consejo de Hacien to que se le en…</t>
  </si>
  <si>
    <t>Guillon, Josef María</t>
  </si>
  <si>
    <t>Josef María Guillon</t>
  </si>
  <si>
    <t>…este ramo en la provincia ec.esi istica ios que tengan verdadera vocación pin eila ; pues como no de León. se proveen esas p ngiíis prebendas de 4, 5 (»ó£) duros, nr esos obis De D. Josef María Guillon , oficial segundo de la administración pados, que Ola, bien par Cían principados, ha desaparecido Él lucro de correos del Puerto de Sta. María. que antes ofrecía. En adelante 'os obispos co serán arbitros de crden:; Del ayuntamiento constitucional de Morales…</t>
  </si>
  <si>
    <t>Guiücnúnor</t>
  </si>
  <si>
    <t>410</t>
  </si>
  <si>
    <t>…de pino; con unu poca yesca se puede quemar el puente; parí el servicio que las autoridades crean convemcnt: designarles, las compa dia i.° de Abril estará listo para el pa-r&gt;. El general Guiücnúnor, nuñías permanecieron reunidas en su cuartel hasta que la comiYon vol yor genera! d-i! ecército , que fia llegado, oficio que la primera di viese, evacuado su encargo. Lo hizo asi á breve rato, manifestando visión del egército, mandada pnr el conde ri’Auncham…</t>
  </si>
  <si>
    <t>GuiUeminot, Conde</t>
  </si>
  <si>
    <t>Conde GuiUeminot</t>
  </si>
  <si>
    <t>…ará de favorecer nuestras operaciones en Galicia. El general Bourk debe llegar á Lugo el 10 de este mes. Cuartel general de Madrid 9 de Julio de i8-3.=De orden de S. A. R=El mayor general Conde GuiUeminot. EN LA IMPRENTA REAL.</t>
  </si>
  <si>
    <t>GuiUemir.ot.üPo</t>
  </si>
  <si>
    <t>…s. En el instante en que. quedaron en nujestro 'poder j.° dé Setiembre de iBjgiérPor orden de S. A.-R.cdEj miado, los «tiibcheramiénlos delTrocadcrtS, S.». JÍ. R. idiú‘orden á la -conde GuiUemir.ot.üPo» copia cóhforme y-et tenientegencral, flotilla española del Guadalete , compuesta de 11 cañoneras y gefe de estado mayor general del primer cuerpo, conde da bombardas, que saliese del Pueiiode Santa María para reunirse Grundler. —o-e»- i la escuadra. Aparejó…</t>
  </si>
  <si>
    <t>Guizabuzuaga, Estanislao de</t>
  </si>
  <si>
    <t>Estanislao de Guizabuzuaga</t>
  </si>
  <si>
    <t>…be la salvación de la patria : continuad Rey al coronel de- infantería D. Francisco JVÍaiJent; por sargen en vuestro sagrado empeño hasta que la Providencia , que vela to mayor al coronel D. Estanislao de Guizabuzuaga , y durante sobre la prosperidad del pueblo portugués , mejore sus horas. ia enfermedad de- este al ayudante primero D. Manuel bantos. «Cuartel general de la calle del Olivar i.° de Jumo de El corregidor de Madrid D. Joaquín Lorenzo Mozo publicó 1823.=: Jorge…</t>
  </si>
  <si>
    <t>Guliano</t>
  </si>
  <si>
    <t>…trada de los franceses en la Carolina, PRESIDEVCIA DEL SESOR JENER. El Sr. secretario del Despacho contestó que ayer mañana entre nueve y diez. Sesión ilel 25 de junio de iSa5. El Sr. Guliano preguntó qué providencias se habían Se ley ó v aprobó el acta de la anterior, mandán tunado para poner á la persona de S. VI. y á la repre dose agregar ú ella el voto particular de los áres. sentación nacional á cubierto de toda tentativa. Seoane y Escudero,…</t>
  </si>
  <si>
    <t>Gunurs</t>
  </si>
  <si>
    <t>…en el p-óx mo pr.mer guó inmediatamente por ’a buena cnuduct.* poüt ca y miliar de la dia de Enero, en el cual formaran en parada todas Jas tropa- di la uu irpartida del mando de D. Gunurs mió del Muro v H- ios mi!.cunos niciun y la milicia nacional local, y desfilaría por de ante de! vd.ficio voluntarios de la mi':cii ñau oual local de la villa d- Puent=-I&gt;-L.m . del Congreso. Los diputados asistirán á ia sesión de ceremonia. Sixto di;t-:‘o mi…</t>
  </si>
  <si>
    <t>Gurc.a, Atunasio</t>
  </si>
  <si>
    <t>Atunasio Gurc.a</t>
  </si>
  <si>
    <t>…i • e ¡a Aacioii. ApiobuJo. ambigüedad con que se presenta. La misma com «m op.milu no podía accederse á h) solicitud Añadí antes que no tnlendia suficientemente el dictamen dé de D. Atunasio Gurc.a ó..i Camilo sobre abono de sueldo?; pe la comisión; y en efecto es asi, pues la comisión no. dice termi</t>
  </si>
  <si>
    <t>Gurisa, Manuel</t>
  </si>
  <si>
    <t>Manuel Gurisa</t>
  </si>
  <si>
    <t>…Despacho d{ — Evaristo San Miguel.” la Guerra.” JEl Gobierno ha recibido los f artes siguientes. » Primer egérciio de operaciones,__Excmo. Sr.: El comandante de la 5.a división el coronel D. Manuel Gurisa,con fecha 14 del corrien Continúa el informe de la causa centra D. Domingo Un'o. te desde Camprodon, me dice lo que á la letra copio. A consecuencia Jorge Crespo fue condenado á muerte por el juez de prmera insde la orden de V. E. emprendí la maicha desde la…</t>
  </si>
  <si>
    <t>Gurrea</t>
  </si>
  <si>
    <t>…repetidas calamidades á las tropas nacionales dentro de los fuertes abandonado* por los r.bel- habían depositado en ilu stra» alnus : por toda» partes un zelo can in des; v que el coronel Gurrea, que seguía su alcance con las fu-rzas que quieto como de»cib:Ea lo impacienta y d:»¿ircu á le muchedumbre : por ñutida, les habla muerto ya 1 jo hombres, continuando lu dispersión todas partes se p.de ñ todo ei mundo ei pisaporte, y esto sucede aun a de los…</t>
  </si>
  <si>
    <t>…hallen concluidos, como asimismo el parte detallado qué en el primero ,y el último gefe de estado mayor del mismo ; ha tenido ofrece el brigadier Zorraquin, y el que debe darme el coronel Gurrea á bien promoverlos al empleo de mariscal de campo. que ha regresado ya á sus puntos.zzDios guarde á V. E. muchos años.' El Gobierno ha recibido los partes siguientes. Cuartel general de Adraíl 3 de Febrero de ;823-=;Excmo. Sr.= Franl Egército de operaciones d…</t>
  </si>
  <si>
    <t>…heridos de rencio Gilí se portó con la b zarria que le caracteriza, y el ayudante tuch.l'a ia» un cabo y un s dundo, se replegó con lo» demás de aquella d-o órdenes J,-l expresado coronel Gurrea no desmintió las prueba* que parte lucia id de la ermita do S. Esteban, que está sobre el camino de ti:ne dadas un (onitantemrnte. Ausetall , al mando del oficial de zapadores D. Josef de la Riva Ro ,,Del mismo modo qu; ios anteriores debo recomendar i V. E.…</t>
  </si>
  <si>
    <t>…sica mas moderna munico á V. E. para que se sirva elevarlo á conocimiento de 5. M., y de mejor gusto que se ha escrito asi para cantar como para tocar, uniendo mis votos á los del coronel Gurrea sobre la recomendación arreglada con toda perfección para el forte-piano. El precio de esta que hace de la sobresaliente conducta observada en dicha acción por los música será el mas arreglado , por ser el principal objeto facilitar á los ge Fes, oficiales y…</t>
  </si>
  <si>
    <t>…usodicho hermano L. H. Poppe, particularmente los entren en el territorio español. Añaden que ha llegado á Léri que tengan ó crean tener razón y causa para contradecir á los da el coronel Gurrea con a5) hombres, y D. Patricio Domín demandantes en recoger los dichos 372 m. 15 e. de banco y los guez con cuatro piezas de artillería, y que se dirigen contra Me- 72 m. 5 e. de banco. quinenza. Ultimamente, que todos los que pretendan poder contrade ARTICUL…</t>
  </si>
  <si>
    <t>…o. Murcia ó. := Pedro Chacón. frir estaban depositados en una casa para ser i\ partidos entre la 2.0 DeL i=. _ A las ocho de esta maraña salí con dheccion canalla, y el comandante general Gurrea ha hecho entregarlos á á Alcira , á fin de informarme personaim-nte del estado de ia lí sus dueños. Estos veemos al salir la división han abandonado sus nea y de ¡os facciosos; pero á mee-a legua de esta entrad o! va hogares declarando guerra de muerte' á la…</t>
  </si>
  <si>
    <t>…n á protegerlos contra los de Luis xvm. batido como leones... Estas son las voces que corren, asegurando Los revolucionarios españoles han sido encmgos natos de ios también que el coronel Gurrea ha sido hecho prisionero, y Alina ingleses, al paso que los realistas son unos amigos agradecidos se cree esté a ias inmediaciones de Urgel.... yo no se como desde la guerra de la independencia. Cuando las tropas victo vive este intrépido generai, en atención…</t>
  </si>
  <si>
    <t>Gurrea, Manuel</t>
  </si>
  <si>
    <t>Manuel Gurrea</t>
  </si>
  <si>
    <t>…lcabalas de S. Torcaz y Anchtislo , en ca __» Egército de operaciones del 7.” distríto.cuExcmo. Sr.=El teniente beza del licenciado Gonzalo Ter de los Ríos y sucesores en su mayor coronel D. Manuel Gurrea, comandante general de la quinta división razgo , de 248,500 mrs. : otro situado en las rentas de los diezmos á del ecército de mi mando con fecha de ayer desde Calviña me dice lo la mar de Castilla , en cab-zt del propio D. Gonzalo Ter de los Ai os y que á l…</t>
  </si>
  <si>
    <t>…ltura de cinco varas; y 4 tuvo el batallón de Sigiienza y demás tropa de la quinta división del no haber sido el ánimo que tomaban la tropa y paisanos, viéndome mando del teniente coronel D. Manuel Gurrea, con los oficíales romper la nieve , hubieran sin duda vuelto atrás, ater » La fuerte nevada que ha caido en estos últimos dias, y lo difícil rados por el extraordinario frió, y por las inmensas dificultades y p«que se ban hecho por esta causa las comunicacio…</t>
  </si>
  <si>
    <t>…o nocido algunos puntos, puedo asegurar á V. E. que he visto poi mí La goleta de guerra Andaluza salió de la bahía de Cádiz para Car mismo sobre 130 muertos. El coronel de Sagunio D. Manuel Gurrea, tagena el 8 del corriente á desempeñar las comisiones que se le han en comandante da la quinta división , que con algunas fuerzas ios ha dis cargado, conduciendo de trasporte al contra-almirante D. Joaquín Ro persado, y perseguido después durante todo et dia…</t>
  </si>
  <si>
    <t>…ndo al mismo tirmp- á su 1* primera línea llamaron igua:bientc la atención del comandante de alta consideración lo mucho que debe .a patria á los conocimientos é h quinta división D. Manuel Gurrea situado en tía viña. El calor con incesantes desvelos y fatigas de es», digno gefe. ")ue se empeñaban los tiros h.íciu Campmayor , ocupado por el batallón »’ Todo» los demas individuo» de los cuerpos que hsr. formado »1 dellostalrich, le hicieron conocer que…</t>
  </si>
  <si>
    <t>…Sigüenza y los batallones ligeros se por ei primer alcalde constitucional D. Claudio González , llenaron gundo de Cataluña y Canarias. »us deberes. Cuarta división, mandada por el coronel D. Manuel Gurrea , com » Dios guarde á V. S. muchos años. Pontevedra á las 8 de la ñocha puesta del batallón de la Corona, del de Toledo , del de Mallorca, del 14 de Marzo de 1823.= Antonio Muñ¡z.” del i-° de Cantabria y los batallones ligeros de Tarragona y Barcelona. Y el c…</t>
  </si>
  <si>
    <t>…nza, y los bata mas á las ocho de la noche no lo habían verificado, aunque nos llones ligeros segundo de Cataluña y Canarias. dicen que era cierto. Cuarta división, mandada por el coronel D. Manuel Gurrea, Rasgo pntrirílice. compuesta del batallón de la Corona, del de Toledo, del de Ma- Durante el sitio que los facciosos de Murvicdro pusieron á Horca, del primero de Cantabria, y los batallones ligeros de Tar esta capital en los dias 28, 29 y 30 D. bernardo Val…</t>
  </si>
  <si>
    <t>Gurrlef</t>
  </si>
  <si>
    <t>…e Marzo ha decretado lo siguiente: Las cartas de Petersburgo fechas del 10 dicen que la dimi 1° El Congreso, reunidos 103 diputados*, habiendo mas sión del ministro de hacienda el conde Gurrlef había ocasionado de la mayoría necesaria para deliberar, se halla en estado ds el rumor de que su hijo político el conde dé Nesseliode se reti continuar sus trabajos. raría también de los negocios; pero ésta noticia no sé ha con firmado , y al mismo tiempo se…</t>
  </si>
  <si>
    <t>Gut-errez, Alvarez</t>
  </si>
  <si>
    <t>Alvarez Gut-errez</t>
  </si>
  <si>
    <t>…ion como el de la ma todas estas razones creo que Ies Cortes se hallan en el caso de no ad yoría ; pero tampoco es mas practicable que el que se ha desechada , y mitir el veto del Sr. Alvarez Gut-errez. sobre todo ofrece las mismas y aun mayores dificultades en la parte El Sr. Alvarez Gutiérrez: Mi voto particular se ve atacado por dos económica, y es bien seguro que no se logrará el objeto que se ha distintas partes, una por la política, y otra por la econ…</t>
  </si>
  <si>
    <t>Gut.errez, Alvarez</t>
  </si>
  <si>
    <t>Alvarez Gut.errez</t>
  </si>
  <si>
    <t>…ir en fa verdaderamente de la mayor importancia ;perc. yo veo que no se sale vor del dictamen, no Ja unanimidad, sino Ja mayoría razonable de vo del embarazo con lo que propone el Sr. Alvarez Gut.errez , purs S. s. tos, á fin de elevarlo al carácter de disposición legislativa. Estoy bien no propone mas que la supresión de un impuesto pata subrogarle otro, seguro que si los señores individuos de Ja comisión hubieran podido que ca,¡ ti.ne los montos inconveni…</t>
  </si>
  <si>
    <t>Guterr-z</t>
  </si>
  <si>
    <t>…¡&gt;r. Afonzo : Puedo asegurar ai Congreso que cuando he tema pretenda restituirlos el autor de este proyecto , extendiendo la jurisdic do la palabra en pro del voto particular tl-1 Sr. Guterr-z , he expe ción episcopal á todas las causis civiles. Dícsse tamb en en ;! proyecto rimentado Ja mayor violencia ; prro lo hago convencido por otra paite que en caso de abuso de la autoridad paterna!, podrá acudir si agra de la necesidad absoluta de formir el…</t>
  </si>
  <si>
    <t>Gutiér</t>
  </si>
  <si>
    <t>…extraordinaria del di a 17 de Julio de 1823. ARTICULO DE OFICIO. Parte oficial de las operaciones del ejército de la Isla Gaditana ballcría y artillería, emprendió Ja columna del coronel Gutiér dejan minado de reserva. rez su retirada con el mismo orden y pausa que pudiera hacer En la mañana de hoy se ha practicado un reconocimiento en lo en una parada. El enemigo intento entonces cargar á esta co fuerza sobre todos los puntos de la línea enemiga ,…</t>
  </si>
  <si>
    <t>Gutierre, Bartolomé</t>
  </si>
  <si>
    <t>Bartolomé Gutierre</t>
  </si>
  <si>
    <t>…los siguientes documentos': los víveres que necesitan con mucha urgencia. Los ingleses, que cada. - ■ Edicto. d:a toman mayor interes en la causa de los griegos, permitieron á los D. Bartolomé Gutierre? Acuña , gefe político superior de esta pro saliólas que se hallaban en Ceíalonia, que fuesen á t-unirse con sus her vincia-:: Considerando de mi debes en la actual crisis hacer saber í" Jos manos; y á participar de sus peligros y de su gloria. Va se halla li…</t>
  </si>
  <si>
    <t>Gutiérrez</t>
  </si>
  <si>
    <t>…, cardado de razón y de justi mado (a palabra contra el dictamen de la mayaría, lo hago contra el vo cia; pero nosotros no estsmjs en el caso de tornar anota ¡a -nictat.va, to del Sr. Gutiérrez; pero ciertamente que me hubiera contentado con y por esto me opongo al voto que se discute , c nso asimismo me dar mi voto en silencio, si no hubiera visto que leja* de haber removi opondré á cuantos dictámenes se presenten qu: unzan contacto con .a do en la…</t>
  </si>
  <si>
    <t>…do el no avara de su cura que lo persigue y lo despoja ; y ¡ habremos de dar autor de ¿I. á un ministro de paz, de beneficencia y de consuelo el carácter odio Ha dicho muy bien el Sr. Gutiérrez que el proyecto no presenta so de opresor de los pueblos? ¡Y en qué dep-ndeccia de los ayunta mas que una protestación di fe y de resp:to hacia el primado de la mientos no quedarían por este medio constituidos todos ios tura;, Iglesia, p ro han dicho a'gunos…</t>
  </si>
  <si>
    <t>…l general en gefe dé el parte circunstanciado que ofrece. el fuego con el mayor arrojo en las huertas de Chichina por k Cádiz íó de Julio de 1823. parte de Sta. Ana la columna del coronel Gutiérrez, obligando nota En este momento acaba de saber el Gobierno que los al enemigo á presentar todas sus fuerzas, y forzándole á retirar franceses confiesan en su parte sobre esta acción, que han tenido su columna que habia marchado al encuentro de la de Casano. 3…</t>
  </si>
  <si>
    <t>…oria , rica en acciones he quedó) sin incluir en Ja relación nominal de los heridos, corresroicas y grandiosas, nos autorizan para esperar, que sino nos pondiente á la columna del coronel Gutiérrez , el teniente de ia abandonamos á los consejos de la seducción y de una prudencia compañía de cazadores del 2.0 de voluntarios de Madrid I), Ma mal entendida será nuestra la victoria. A pesar de 'lodo podríamos riano Torres Solanot. En el 3.0 de Madrid se dic…</t>
  </si>
  <si>
    <t>Gutiérrez, Alvarez</t>
  </si>
  <si>
    <t>Alvarez Gutiérrez</t>
  </si>
  <si>
    <t>…dei plan sobre arre Art. 9.” » La comisión llamará á sí todos los fondos y pertenencias glo del clero. existentes, de cualquiera especie que haya realizados , ó sé‘realicen en El Sr. Alvarez Gutiérrez ocupó la tribuna, y leyó su voto particu todos los puertos de la Península y Ultramar , tomando cuenta riguro lar sobre el mismo plan. Las Cortes acordaron que se imprimiese el sa y justificada á los que han manejado , sean de la clase que fuesen,ydictamen y…</t>
  </si>
  <si>
    <t>…convenientes. A esta reforma es a la que te qu: debía haber lugar á voiar sobre la totalidad d.T dictamen. ha tendido la comisión ; y el justo pensamiento de ver.ficarla lio ha El Sr. Alvarez Gutiérrez; Terr ble es la sitúa: on en que me ha nacido de ella misma , pues tiene su origen en la opinión d: todos los llo , por cuanto la importancia y gravedad riel asunto abruma entera hombres sensatos y en los deseos de las Cortes , conformes con esta mente mi ima…</t>
  </si>
  <si>
    <t>…o que el legislador atienda á las circunstancias en que s: el clero se resiste a presentar los datos necesario, para jcsn.ver este llalla la Nación que ha de recibir sus leyes. El Sr. Alvarez Gutiérrez punto; peto ; bastará para decir á nuestros .comitentes : « Nación , so ha omitido en su voto ia parte de declaración de doctrina qu; se en bre los enormes impuestos que gravitan sobre tí , da 5000 qoo molo cuentra en el dictamen de ia comisión; pero sin emba…</t>
  </si>
  <si>
    <t>…bio castellano que dice: » si el labrador contara no sembrara.” sustituir otta mzs equitativa y llevadera. Y efectivamente, Señor, si á un tabradbrlsé-le dijese; en cate año va El Sr. Alvarez Gutiérrez ha hecho un argumento contra el dicta vd. á gastar igS) rs. , diría que le era imposible gastar esta cantidad; men de la comisión, que confieso me ci usó impresión; pero me veo en pero es evidente que al fin la gasta en el año , solo que lo hace poco á la nec…</t>
  </si>
  <si>
    <t>…ue no se dirige contra vosotros, sino contra los que lítico; limitaré mi observación segunda á la dotación del clero. El manchan vuestro nombre, y no merecen vivir á vuestro lado. Sr. Alvarez Gutiérrez, llevado de un zelo seguramente muy laudable, propone quede abolido el medio diezmo , primicias y derecho de esto Madrid Lunes 3 de Febrero. la. Un solo cálculo muy sencillo bastará para demostrar que suprim.do el medio diezmo, el clero no puede menos de pere…</t>
  </si>
  <si>
    <t>…ndeo deberán estos presentar y clero de la villa de lltora, provincia de Granada , presentada y leida sus notas en la aduana para el despacho , y en las 48 si no reaidieien por el Sr. Alvarez Gutiérrez. «n los mismos puntos. Se conceden ocho dias á todo buque para su D:l ayuntamiento constitucional y varios ciudadanos de Laredo, descarga, y no verificándose en este término se le pondrá un guarda por ei Sr. Albear. í bordo ; se decomisará todo género que no…</t>
  </si>
  <si>
    <t>Gutiérrez, Alvarez y</t>
  </si>
  <si>
    <t>Alvarez y Gutiérrez</t>
  </si>
  <si>
    <t>…que presentan i los demás pueblos para persuadirlos á que testato del propio D. Melchor, y les parará el perjuicio que haya lugar. admitan sus auxilios benéficos. ANUNCIOS. El Sr. diputado Alvarez y Gutiérrez nos ha dirigido la siguiente carta. No habiendo podido indagsT la comisaría general de Cruzada el pa Muy Sres. mios: No sé por qué fatalidad mi voto sobre el arreglo radero de D. Miguel Gómez , administrador tesorero suspenso de la del clero, que en la sesión…</t>
  </si>
  <si>
    <t>Gutiérrez, Bartolomé</t>
  </si>
  <si>
    <t>Bartolomé Gutiérrez</t>
  </si>
  <si>
    <t>…e la Carraca se veri Al amanecer de este día pasaba el rio ó canal de Santi—Petri, ficó al salir el sol. El mariscal de campo D Demetrio O-daiy cerca de la bateria de Urrutia , el coronel D. Bartolomé Gutiérrez hizo marchar una columna con dirección á Puerto iCcal , man Acuña con una columna de 600 hombres , y sostenido por dos dada por el coronel Santa Cruz , y otra por su izquierda. Los lanchas cañoneras y dos botes armados, se dirigió á Chxlana pa enemigos se pre…</t>
  </si>
  <si>
    <t>Gutiérrez, Juan Mir.uei</t>
  </si>
  <si>
    <t>Juan Mir.uei Gutiérrez</t>
  </si>
  <si>
    <t>…. responsabilidad á los cónsules que componían ei tribuna: , al-isesor D. do El Sr. Garoz sostuvo el. dictamen de la comisión, manifestando que sel Fernandez Mesa , y al escribano D. Juan Mir.uei Gutiérrez. Ap-o '••.ia. las circunstancias del suceso disminuían notablemente la culpa que podía Se aprobó la siguiente proposic-on del Sr. clauca, -pido a ¿os lories haber en la conducta del gefe político. se sirvan, recomendar al Gobierna k puntual con-lusion del tra…</t>
  </si>
  <si>
    <t>Gutiérrez, Laureano</t>
  </si>
  <si>
    <t>Laureano Gutiérrez</t>
  </si>
  <si>
    <t>…su solicitud. Aprobado. Se mando pasar á ¡a comisión priméis de Legislación una ex La comisión de Instrucción publica presentó los siguientes posición del gefe político de lluelva D. Laureano Gutiérrez, pi dictámenes. diendo se haga extensivo á los demas funcionaros públicos lo pre Uno sobre una exposición del ayuntamiento de Barcelona venido en el decreto de 8 Noviembre de 1820. para que se agreguen á aquella universidad ciertas fincas, be man- La comisión…</t>
  </si>
  <si>
    <t>Gutiérrez, Marcos</t>
  </si>
  <si>
    <t>Marcos Gutiérrez</t>
  </si>
  <si>
    <t>…de aquellos malvados parece ser ria D. Pedro Peón. Capitanes: D. Juan Moa Arguelles, Don hacia Patencia ó Búrgos; pero dudo que logren pasar sin encon Francisco Heredia. Teniente D. Marcos Gutiérrez. Subtenien trarse con las tropas nacionales que puede haber por aquellos te D. Josef Mensndez Valdés. Vicario castrense D. Juan puntos.=í;r. gefe político de la Coruña. Miet CastaSon. Canónigos: D. Juan Camino, D. Manuel Bin- Dios guarde á V. S. muchos años.…</t>
  </si>
  <si>
    <t>Gutiérrez, Pedro Alvarez</t>
  </si>
  <si>
    <t>Pedro Alvarez Gutiérrez</t>
  </si>
  <si>
    <t>…hagan guardar, cumplir gas , marques de la Merced, por la de Jaén : D. Francisco Mar y ejecutar la presente ley en todas sus partes. Tcndreislo en chámalo por la de Guadalajara; y D. Pedro Alvarez Gutiérrez tendido pava su cumplimiento, y dispondréis se imprima, pu por la de Granada , contra quienes se está siguiendo causa por blique y circule. = Está rubricado de la Real mano. = En Cádiz no haberse presentado en esta Isla Gaditana el dia de la fecha á 27 de Jul…</t>
  </si>
  <si>
    <t>Gutiérrez, Ramón Maitinrz y</t>
  </si>
  <si>
    <t>Ramón Maitinrz y Gutiérrez</t>
  </si>
  <si>
    <t>…postillón del gefe del estado mayor del cuarto egér segunda división de este egército D. Demetrio O-Dafy , al co cito de operaciones, fechado en Valladolid á i» del corrien ronel D. Ramón Maitinrz y Gutiérrez y al comandanti Don te,'se me noticia que el general D. Pablo Morillo estaba en Joaquin de Aguirre. Se reconocerá por auxiliar del E. M. de comunicación con el general Do-Regó para atacar á la facción este egéicito al subteniente D Julián Pastor, y el de esta…</t>
  </si>
  <si>
    <t>Guzman, Gaspar de</t>
  </si>
  <si>
    <t>Gaspar de Guzman</t>
  </si>
  <si>
    <t>…hombres valiente*, mas firmes que la* duras roen que coto 71,021 mrs-, que procede del juro anterior: otro de 38,559 mrs. , en na n su país. dichas alcabalas de Cuenca y cabeza de D. Gaspar de Guzman : otro Iguales prodigios de valor y constancia se vieron en los holandeses de 115,045 mrs., en dichas salinas de Andalucía, lo* que también del siglo xvt cuando lucharon con el Monarca mas poderoso del mun proceden del privilegio anterior : otro de ¿5,659 mrs…</t>
  </si>
  <si>
    <t>Guzman, Luisa de</t>
  </si>
  <si>
    <t>Luisa de Guzman</t>
  </si>
  <si>
    <t>…del mun proceden del privilegio anterior : otro de ¿5,659 mrs. , en dichas alca do en defensa de su libertad. El pueblo holandés salió como por encan balas de Cuenca , y cabeza de Doña Luisa de Guzman , mugar del to de entre sus lagunas para asombrar al mundo, y mostrarle basta qué Lie. D. Francisco Antonio de Alarcon: otro de 108,659 mrs., en sa punto puede llegar el esfuerzo humano cuando lo sostiene el sagrado linas de Andalucía, ¡tierra adentro, que pr…</t>
  </si>
  <si>
    <t>Guzman, Ruiz y</t>
  </si>
  <si>
    <t>Ruiz y Guzman</t>
  </si>
  <si>
    <t>…ación de dignos de la gratitud de la patria, aunque por su situación particular la Península de mi cargo, que deban recibir sus títulos de la misma, tenga que reccmendar al citado capitán Ruiz y Guzman; al cadete de y quienes en razón de sus sueldos y con anegio al citado decreto cor la rahma compañía D. Joaquín Ruiz de Zúñiga, que mató por sí i un responda tenerlos en papel del sello primero, acudan inmediatamente oficial faccioso; al id ayudante de Sigüen…</t>
  </si>
  <si>
    <t>Guztnan, Francisco</t>
  </si>
  <si>
    <t>Francisco Guztnan</t>
  </si>
  <si>
    <t>…ranjeros a sqs nacir net «espectivas. Sres. que lo juzgaron injurioso en segundo grado: D. Francisco Concluido este acto , el trias tierno y admirable formaron los va Montenegro y D. Francisco Guztnan. lientes de los regimientos de Zurrara., Navarra , resguardo militar , ar .En tercer grado D. Joaquín de Luque. tillería y MI N. L. V. de esta plaza una columna de hermanos, cotí ANUNCIOS.dos piezas de batalla á la cabeza y la caballeriza retaguardia, interpo…</t>
  </si>
  <si>
    <t>Guztnan, Manuel de</t>
  </si>
  <si>
    <t>Manuel de Guztnan</t>
  </si>
  <si>
    <t>…enes; con apercibimiento de que pasado dicho término, sin un zelo tan eficaz , que no dudamos en proponer por ej:mplo á mas citación ni emplazamiento, se dará á los autos el curso D. Manuel de Guztnan como modelo que deberán imitar lo» que corresponda, y parará el perjuicio que haya lugar. que colocados en igual puesto, no lia* ,u dado todavía pasos enér Por el mismo juzgado y citada escribanía se cita llama y gicos para lograr el éxito que et zelo y el de…</t>
  </si>
  <si>
    <t>Guzvieron, Luisa de</t>
  </si>
  <si>
    <t>Luisa de Guzvieron</t>
  </si>
  <si>
    <t>…o de 1 iz9 mrs-, situado en la alcabala del tabaco, y cabeza de Don bradores y pastores se convirtieron en formidables guerreros cuando tu Francisco Antonio de Alarcon y Guztntn y Doña Luisa de Guzvieron que pelear por su libertad y por su patria; y todo el poder de man , su muger : otro en la propia cabeza, de 285,1*9 mrs., en al los príncipes austríacos fue i estrellarse contra los pechos invencible* cabalas de Cuenca r otro en salinas de Andalucía, tierra…</t>
  </si>
  <si>
    <t>Gyii-, Agustín de</t>
  </si>
  <si>
    <t>Agustín de Gyii-</t>
  </si>
  <si>
    <t>…mente ot: os «...bienios de Europa, he te ba!, i), Francisco de Kuhlcs, I). Francisco Puga , nido á bien, ínterin se o-la! i eco vina leuisiaeion per 3). Juan de la Serna Salcedo. D. Agustín de Gyii- manente «pie prot ja la Liheitnd moderada de la im corchca, J). Andrés José de Campos. D. Lázaro de prenta repiimieid’ ios corsos y abu.-o- que resul lil-'jalde , H. f rancisco Antonio de Carraza y D. An tan de la 1. v de 1 &gt; de Julio tlt* 1S21 , . r ar provi…</t>
  </si>
  <si>
    <t>G’Hurba, Roussel</t>
  </si>
  <si>
    <t>Roussel G’Hurba</t>
  </si>
  <si>
    <t>…de P'mfilo Lacroix. Pri que entoare:, toda ia Nación en masa tomaría las armas. Por último el Congreso aprobó ¡a propuesta de los 308 hombresmera división de caballería el tímente general Roussel G’Hurba!. Se cunda el teniente general vizconde Dumont. Artillería el mariscal de de infantería y 48 de caballería. campo bnon Berge: gefe de estado mayor Mr. Després. NOTICIAS DE ESPAÑA. Reserva compuesta de la guardia. El mariscal duque de Reggio, comandante en gef…</t>
  </si>
  <si>
    <t>Haber</t>
  </si>
  <si>
    <t>…rón do vacante esta plaza, y para su provisión se admiten memoriales po( Berge , el barón Ordonneau ,’el conde de Meynadier, el barón Vin- término de 30 dias. cent , SchaetíVr, el barón Haber, el vizconde Vionet de Maringone, el Dirección general Je corrtot. conde Quinsonas, el conde d; Rastignac, el conde de Vittré.el barón El Excmo. Sr. secretario del Despacho de la Gobernación de la de A bignac, el conde de Armand de la 1 oyere , el conde de Sa…</t>
  </si>
  <si>
    <t>Habiendo, An</t>
  </si>
  <si>
    <t>An Habiendo</t>
  </si>
  <si>
    <t>…int.ndentcs circular mas que alguna ¡nstrucc.on á de’rse á su solicitud. Aprobado. los pueblos, no debia accederse á esta solicitud. La misma comisión en vista de la exposición de Doña An Habiendo manifestado el Sr. Canga que este expediente tenia tonia Apodaca, viuda dé D. Francisco Sicnz, solicitando una relación con un punto de la memoria de Hacienda, manifestó el pens'on , y teniendo presente el informe del Gobierno , opinaba Sr. presidente que que…</t>
  </si>
  <si>
    <t>Habiendo, Antonio Ló</t>
  </si>
  <si>
    <t>Antonio Ló Habiendo</t>
  </si>
  <si>
    <t>…ibuciones de Casos de responsabilidad acerca de la queja dada por varios ve sin haber oido al secretario del Despacho de Hacienda, cinos de Parada contra su alcalde constitucional D. Antonio Ló Habiendo entrado en el salón los señores secretarios del pez Rodríguez. Despacho, el Sr. presidente dijo: Estando presentes los señores La misma comisión opinaba que se devolviese al Gobierno el secretarios del Despacho se procede á la lectura de la proposi expediente…</t>
  </si>
  <si>
    <t>Habiendo, Joa-</t>
  </si>
  <si>
    <t>Joa- Habiendo</t>
  </si>
  <si>
    <t>…anso ; quedando elegido el Sr. Moretin. Se leyó la siguiente proposición de los Sres, Salvá, Reillo, Salva- Gobierno.” to , Seoane , Muro , Prat, Oiiver, Ruiz de la Vega , Ferrer (D. Joa- Habiendo convenido en esta adición los Sres. autores de la propo quin) , Villanueva y Soria. sición , se aprobó esta con dicha adición. » Debiendo cesar desde el día de mañana las facultades extraordina Se leyeron y hallaron conformes las minutas de decreto sobre la r…</t>
  </si>
  <si>
    <t>Hacha, Ignacio</t>
  </si>
  <si>
    <t>Ignacio Hacha</t>
  </si>
  <si>
    <t>…si debía repartirse una dehe r.ts D. Fernando Rubín de éelis, y por ayudantes de campo sa que se le concedió en 1448 por los motivos que expresaba, á los coroneles D. Felipe Bros, D. Ignacio Hacha y D. Do opinaba que debía repartirse. Aprobado. mingo Mateos, al teniente coronel D. Pedro Nogues, y á los ca La comisión primera de Legislación, en vista de una solicitud pitanes D. Francisco Palacios y D. Félix Combé, y á los tenien de Doña Ana Ortiz , casada en se…</t>
  </si>
  <si>
    <t>Hacienda, Secretario de</t>
  </si>
  <si>
    <t>Secretario de Hacienda</t>
  </si>
  <si>
    <t>…, y quedó aprobada, bastante adelantados sus trabajos en este punto , retiró su pro A la comisión de Visita del Crédito público se mandó, pasaf posición el Sr. Buey. un oficio del Sr. Secretario de Hacienda, manifestando haber La comisión primera de Hacienda, habiendo examinado el circulado por segunda vez la orden para que se.vcrifique la elecúltimo arbitrio extraordinario propuesto por el Gobierno, rela cion de los vocales para Ja junta directiva del Crédito p…</t>
  </si>
  <si>
    <t>…pa-' por todo lo cual debía .aprobarse el dictamen. trotes. Se declaró el punto suficientemente disentido, y El Sr. Prpsidenle anunció que mañana se «liseuse iejó un «dicío el&lt;■ i Sr. Secretario de Hacienda por ti'ia «•! dieiámen de ia comisión de Legi-dariou, so en ni conducto, bacía presume el intendente de esta bre el modo de concurrir los militares í las elesprovincia haberse notado dos equivocaciones eu la oiones de diputados y se continuaría la discusión p…</t>
  </si>
  <si>
    <t>…decreta jo de ios foros. üipüíOuOS por ¡as provincias qne los ríe las • rutes, iceba de a ver , sobre poder ser em nombraban. pleados en comisiones militares ale-nos Sres. dipu Et Sr. Secretario de Hacienda hizo presente que tados, y en atención á las circunstancias del din ba basta tanto que se formase una nueva estadística no bia nombrado gobernador político v militar de Cádiz, pudia remediarse esto, y por lo cual el Gobierno ha y general en guie de la Armada…</t>
  </si>
  <si>
    <t>Hacienda, Secretario del Despacho de</t>
  </si>
  <si>
    <t>Secretario del Despacho de Hacienda</t>
  </si>
  <si>
    <t>…Cortes, y habiendo meditado sobre el los españoles carecían con mengua. Véndese al mismo precio último arbitrio que proponía el Gobierno en la memoria del que los tres anteriores. Sr. Secretario del Despacho de Hacienda para poner en práctica Se desea conocer un joven que ni baje de 13 años ni pase de el sistema de prestamistas, y no hallándolo conforme á la jus 15, de conocido talento y aplicación, que tenga bastantes prin ticia y equidad que debia observarse en asuntos de…</t>
  </si>
  <si>
    <t>…ción, han decretado lo siguiente: Artículo j.° Las familias y bienes de los militares, emplea articulo de oficio. dos y demas personas comprometidas por la santa causa de la Pa El Sr. Secretario del Despacho de Hacienda con fecha de tria , quedan puestos bajo la especial salvaguardia de la Nación. Art. 2.0 Esta recibe bajo su inmediata protección á los sol ayer me dice Jp que sigue. Con esta fecha se ha servido dirigirme el Rey el decreto si dados que en la actual guerra se…</t>
  </si>
  <si>
    <t>…ido de orden de suspenda, en "todos los pueblos de la Monarquía la cobranza de la Regencia la circular siguiente: los atrasos.por razón del derecho de patentes que se hallen ea Al Sr. Secretario del Despacho de Hacienda digo en i.° del' primeros contribuyentes. De orden de S. A. S. lo comunico á actual lo que sigue ¡Conformándose la Regencia del Reino con el' VV. SS. para su circulación y cpmplimiento. parecer del supremo Consejo de laGuerra, se ha servido declarar Continúan…</t>
  </si>
  <si>
    <t>…arlo del Despacho de Marina, Lunes y Jueves Nota. En la gaceta del martes pág. 420, col. 2.a al fin del ídem. párrafo, donde dice el gremio de ebanistas y carpinteros, léase so El Sr. Secretario del Despacho de Hacienda , Martes y Sába lo el gremio de carpinteros—En la del jueves pág, 424..» col. 1.*, dos idem. artículo de Londres, donde diga Sir £duarde, léaaa &gt;Sir Gui Lo que se avisa al público para su conocimiento y gobierno. llermo, I 1, ■ i F.N LA IMPRENTA REAL.</t>
  </si>
  <si>
    <t>Hallándose, Santiago</t>
  </si>
  <si>
    <t>Santiago Hallándose</t>
  </si>
  <si>
    <t>…S. M. para su inteli ANUNCIOS. gencia y cumplimiecu.'.!Madrid 15 de Enero de 1813.’’ Dirección general de lotería/ nacionales. Con fecha t." de Setiembre último se le dirigieron á D. Santiago Hallándose vacante la administración de esta renta en Badojoz y la. Sslanueva por el correo de Estalla con endoso á su favor por Doña Ri del casco en Madrid señalada con el núm. 17, se admiten solicitudes ta de Udi, vecina de Lodosa, los créditos siguientes : una certif…</t>
  </si>
  <si>
    <t>Hamelin</t>
  </si>
  <si>
    <t>…el cual desean entrar nuestros sol tas, corbetas y buques ligeros. Una.cruza en el Océano bajo las dados, y lo temen ios débiles defensores de ia Constitución. órdenes del contra-almirante Hamelin . que despucs de algún Mina debe hallarse ahora muy inmediato á Barcelona; y Milans tiempo ha enviado una fuerte división delante de Cádiz, des está entre B anes, Hostalrich y S. Celoni. Los paisanos catalanes pués de haber dejado en las costas de Vizcaya muc…</t>
  </si>
  <si>
    <t>…a‘s,ÑciA. ' ’ ' \ posición de Altafuila , y coa instrucciones relatiyas al reconoci 1 Par ir-4 de Setiembre, miento que debía veiifiparse el 28 sobre Tarragona, -.: .. . El contra-almirante Hamelin haidejado el mando.de la es v El enemigo ¿íqus sin duda tuvo noticia de fa garufa 4ei cuadra que bloquea á Cádiz, y le ha reemplazado el contra-a!- mariscal, juzgó oportuna esta ocasión para atacar la pospon» y fiiírantc barón Dupsrré, el cual salió esta maña…</t>
  </si>
  <si>
    <t>Hamílton, Archivalt</t>
  </si>
  <si>
    <t>Archivalt Hamílton</t>
  </si>
  <si>
    <t>…sa que se dijo en el mismo templo en que se hicieron las exe En la sesión del 28 Mr. Canning propuso que se emplazase ¿ quias al ilustre Portier. la Cámara para el 14 de Abril. El lord Archivalt Hamílton di __El comandante militar de la provincia de Lugo participa al jo que los ministros habían abusado demasiado de la paciencia Sr. comandante general del segundo distrito del Parlamento; que si se les concedía de tiempo hasta el 14 de Como el comandante de vol…</t>
  </si>
  <si>
    <t>Han</t>
  </si>
  <si>
    <t>…o, y tratan de volver en esta zas; para la de Guerra á D- Jcsef Torrijos, y para la de Marina á Don noche.” Ramón Roinay; y mientras elijo persona que desempeñe en propiedad la P. D. Han salido de Tortosa en dirección á Lilldecona 30Í hombres de la Gobernación de Ultramar , nombro interinamente para ella á Don en nuestro auxilio; pero dudamos si llegaron, porque otra coiumna de fac Antonio Diaz del Moral. Tendreislo entendido, y dispondréis s…</t>
  </si>
  <si>
    <t>Hanowi</t>
  </si>
  <si>
    <t>…mpréstito. Estas muni el Rey había nomb.ado son : el lord Canciller , el conde ciones seián de grande utilidad , no solo para nuestra marina, Wetsmoreland , el conde Liverpool, el conde Hanowi y el sino también para la del Perú. cond Batursr. _D*spues de las noticias recibidas de Maracaibo por la via de El lord Canciller ha leído el siguiente discurso: Curazao parece que el atáque de ia armada colombiana se ha w viiíores y Señores: S. M. nos ha man…</t>
  </si>
  <si>
    <t>Harvey</t>
  </si>
  <si>
    <t>…er mas distinguidas de esta capital, para asistir ai proceso empeza náculo-, cuando se ha conseguido la libertad suspirada, ha ento do á formar en el tribunal del Banco del Rey al Sr. Harvey y nado en las Iglesias el Te Deum; siempre constante y fiel, ha sa su colega, redactor del Diario del domingo, titulado Sttnduy bido conservar su carácter y decoro en las mas difíciles circuns Times. tancias ; y aunque en 16 de Enero último se le invitó por l…</t>
  </si>
  <si>
    <t>Hatnslin</t>
  </si>
  <si>
    <t>…ropas francesas, com tines el Lanche y el Buriato han salido hacia las costas de España. puestas en la mayor parte-de bisoños, tomaron posiciones el 14 El resto de la escuadra del almirante Hatnslin ha sufrido tanto en en los citados puntos que cada división tenia designados , y que su último crucero, que probablemente no podrá salir al mar en el 15 situaron una gran guardia compuesta de dos compañías en muchos meses. A su regraec de París se dice que aq…</t>
  </si>
  <si>
    <t>Hauranne, Duvergier de</t>
  </si>
  <si>
    <t>Duvergier de Hauranne</t>
  </si>
  <si>
    <t>…an aconsejado semejante guerra se fian hecha réoi bien pronto solicite puesto de rodillas su auxilio. del crimen de alta traición contra el Rey y contra la Natrón, de la aun », Ei Sr. Duvergier de Hauranne nos ha indicado en un discurso es inseparable. Apoyo la adición.” ’ notabilísimo el objeto , y ha expuesto los riesgos de la guerra que va NOTICIAS DE ESPAÑA. mos a emprender; pero el Sr. presidente del consejo no^ se ha atre vido á seguirle en esta important…</t>
  </si>
  <si>
    <t>Hautz, Juan Bautista</t>
  </si>
  <si>
    <t>Juan Bautista Hautz</t>
  </si>
  <si>
    <t>…olumna deshecha» te como un vil criminal Por nuestra ptite hubo la desgracia de ser gravemente herido el es suficiente el dictado de Fernandina, es censurada hasta el ayudante del general D. Juan Bautista Hautz, oficial del egér grado terrible de exigirle responsabilidad, ¡ Fernando ni vili cito francés, y sugeto de las mas recomendables circunstancias. pendiado con el terrible atributo de impotencia moral! ¡El des Por otro parte se ha recibido la noticia oficial de…</t>
  </si>
  <si>
    <t>Hcsiüchc</t>
  </si>
  <si>
    <t>…, atendiendo á los instrumentos prisioneros revolucionarios que condujeron ayer aqui, se les ma- do reflexión de(«quella época y á tes malas estimas, no habría í2ron ^9 incluso su comandante Hcsiüchc, y tuvieron muchos dificultad alguna en creer que este bajo , y el nuevamente des heridos, que huyeron por el puente de la Misericordia; los res cubierto por D. Ignacio Domingo del Corral, fuesen uno mis tantes hubieran sido destruidos á no haberse embarcado…</t>
  </si>
  <si>
    <t>Hcurique</t>
  </si>
  <si>
    <t>…las se asegura que corría la noticia de que una fra gen, y ha estado durante mucho tiempo agregado á la persona gata española de 48 cañones, una corbeta de 28 , y dos goletas, del príncipe Hcurique, hermano del gran Federico , desde cuyo procedentes déla Havana, habían llegado á Puerto-Cabello, y tiempo se halla al servicio de la Prusía. habían tenido un combate con tres buques de la escuadra colom ITALIA. biana, de los cuales habian apresado dos: á sab…</t>
  </si>
  <si>
    <t>He, Fran Parts</t>
  </si>
  <si>
    <t>Fran Parts He</t>
  </si>
  <si>
    <t>…uy quebrada . se acercaron l tiro de pistola , les hicieron fuego,. ob¡ .'sudóle.. huir en d-.i--r.kn. Barcelona 11 Je Julio. La guerrilla de Soria ai mando dei capitán . 1 acuaco D. Fran Parts He ¡a acción habida en la tarde del 9 del corriente con los cisco Calvct flanqueó la posición de los esclavos en la altura de esclavos que tienen el nombre de franceses, y una columna de ¡a Torre de Casas: el primero de cazadores de provine a avanzó soldados lib…</t>
  </si>
  <si>
    <t>He, Nicolás</t>
  </si>
  <si>
    <t>Nicolás He</t>
  </si>
  <si>
    <t>…Matías Piniila, D. Zoilo Gómez Casero, D. Juan Anto en que se halla la provincia de S. Sebastian, la cual confina con Francia, nio López, D. Gaspar Aguilera, D. Bernardo Aser,jo, D. Nicolás He se observe lo que en otras guerras se ha observado , relativo á la forma redero Mayoral: habida la conferencia, se declaró por unanimidad haber lu ción de batallones de miñones, para lo cual se autorice á su diputación gar á la formación de causa. provincial…</t>
  </si>
  <si>
    <t>Heccta, Josef de</t>
  </si>
  <si>
    <t>Josef de Heccta</t>
  </si>
  <si>
    <t>…tado el conocimiento de las causas El estado mayor general del ejército lo compondrán por aho de estos reos con grave perjuicio de la vindicta pública, y por ra el primer ayudante general D. Josef de Heccta, los segundos lo mismo pedia á las Cortes se sirviesen declarar que los cuerpos ayudantes generales D. Francisco Jaramillo y D. Francisco Oca de la M. N. L. están autorizados por el art. 65 de su reglamento, ña, y los adictos D. Francisco Valiente y D. Miguel…</t>
  </si>
  <si>
    <t>Helvética</t>
  </si>
  <si>
    <t>…a del almojarifazgo mayor de Sevilla, en cib:za de zas, ace 7. Colla dan , doctor en medicina, individuo de la suciedad Doña Isabel de Nebe. Otro da 4224 mrs., situado en l.i rema general Helvética de tiendas naturales &amp;c., según se halla en ¿a Biblioteca de pescados, en cabeza de D. Felipe de Oini Pacheco. Otro de 113,500 universal. mrs. , situado en la rema de millones de Toledo, en cabeza de Don Entre las muchas aplicaciones de las ciencias á las art…</t>
  </si>
  <si>
    <t>Henriqu</t>
  </si>
  <si>
    <t>…mún de los hombres unas gefe político , comandante milita-, intendente y juez de prime-a ins manos teñidas en la sangre de sus hermanos ! El evangelio le manda ser tancia , por el Sr. Henriqu*r. humilde , y se manifiesta orgulloso: le dice que e¡ ministerio apostoli- De la M. L- V. de Arroyo del Puerco, cura ecónomo y otro- feo t0 es un ministerio de paz, y se arroja en medio de los combates. Es Másticos de dicha vriia , del ayuntamiento constituc…</t>
  </si>
  <si>
    <t>Henriqucz</t>
  </si>
  <si>
    <t>…hombres que de Guayaquil envió á Lima el gene que formaba mi mayor sentimiento: en este apurado caso el ral Bolivar, y que se hallaban de guarnición en dicha capital, ma valiente capitán Henriqucz del tercer escuadrón de la guardia se nifestaban ideas solapadas que hicieron desconfiar al Gobierno del ofreció á vencer cuantos peligros presentaba el campo, hasta pasar Perú; y persuadido de que Bolivar Ies hubiese inspirado disposi á verse con V- S., é in…</t>
  </si>
  <si>
    <t>Henrique</t>
  </si>
  <si>
    <t>…l general Lamar que es del enemigo, que en número de 43 hombres me esperaba en to taba al frente del Gobierno de Lima, se había resuelto su em das las desembocaduras del valle. El capitán Henrique poco des barque para Guayaquil. pués de separarse de mí fue advertido por los enemigos que le En Octubre del año pasado se creó papel moneda por el va obligaron á tomar la dirección del mar, perseguido por una par lor de 4005) pesos, el cual desde el primer d…</t>
  </si>
  <si>
    <t>Henriquez</t>
  </si>
  <si>
    <t>…s. y 21 mrs. nido uno el Sr. Romero, otro el Sr. Marchámalo , y 3 el Sr. Villaboa. anuales que le paga aquella villa , mientras dure la guerra con Francia, y esté En 12.0 lugar el Sr. Henriquez por 91 votos, habiendo tenido uno el ¿L en aquel destino; mandando al mismo tiempo que se le den las gracias Sr. Marchámalo. en su Real nombre, y que se publique por medio déla Gaceta. En 13.0 lugar el Sr. Ruiz de la Vega por 82 votos, habiendo tenido g el Sr…</t>
  </si>
  <si>
    <t>Henriquez, Antero</t>
  </si>
  <si>
    <t>Antero Henriquez</t>
  </si>
  <si>
    <t>…ue reuniendo dispersos tratan íi» cabe El Gobierno ha recibido la exposición siguiente: cillas de levantar - ..v.-ite. Con la restante fuerza me dirijo sobre » Señor: E1 ciudadano D. Antero Henriquez yCevallos, teniente Daroca en observación de la división mandada por Bessieres y el Ro coronel de los egércitos nacionales, ex-gobernador militar y miliciano yo , á ver si continúa en la dirección de Navarra ó contramarcha al nacional voluntario de caballería…</t>
  </si>
  <si>
    <t>Henriquez, Custodio</t>
  </si>
  <si>
    <t>Custodio Henriquez</t>
  </si>
  <si>
    <t>…riente fueron interceptados que se les señala comparezcan en el juzgado y escribanía principal da «1 só por una partida de facciosos entre Lerma y Madrigalejo. Guerra del cargo de D. Custodio Henriquez por medio de procurador Lo que se avisa al público para su conocimiento. con poder bastante á exponer y pedir lo que les convenga ; prevenidos Juicio de jurados. que pasado sin haberlo verificado, se dará curso i las instancias pen En la página 90 del libro q…</t>
  </si>
  <si>
    <t>Henriquez, Francisco</t>
  </si>
  <si>
    <t>Francisco Henriquez</t>
  </si>
  <si>
    <t>…temen Los que se crean con derecho á la sucesión de todas ó algunas te sus créditos en el término ds seis meses , que empezarán á contarse de las cuatro vinculaciones que fundaron D. Francisco Henriquez de desde i.° de Octubre deiSri (como se anunció en la gaceta de Gobier Estrada y ZúBiga, Fr. D. Josef Alfonso Clavero y Sesé, D. Pedro de no de 14 de dicho mes de Octubre),y concluye el 31 de Marzo de Peñalver, presbítero, y el Dr. D. Juan de Peñalver , compa…</t>
  </si>
  <si>
    <t>Her, Antonio García</t>
  </si>
  <si>
    <t>Antonio García Her</t>
  </si>
  <si>
    <t>…balternos, ion al píe de las piezas todo el tiempo del fuego, dirigiendo este. pues lie conocido :í uno de estos desventurados que estaba muy El voluntario de-caballería de Madrid D. Antonio García Her lejos de tener opiniones anárquicas, ni ana alma cruel. Yo esta reros estuvo á mis inmediatas órdenes, quien cumplió con cuan ba proscrito por los revolucionarios, y me dió asilo. Vi con dolor to ¡e previne, haciéndose todos acreedores á la gratitud de Ja pa…</t>
  </si>
  <si>
    <t>Her, Prudencio</t>
  </si>
  <si>
    <t>Prudencio Her</t>
  </si>
  <si>
    <t>…ador a la desobediencia i y reunido el jurado, compuesto de los se i.° Sulfate de hierro de color amarillo con grande cantidad de áci ñores D. Agustín Cintel, D. Agustín de Lanza, D. Prudencio Her do sulfúrico y un poco di ácido muriático. Esta muestra contenía tam nández Sla.*Cruz, D. Josef Bsnjum-.'da, D. Juan González, D. An bién una sustancia rojiza, que parece *er deutoxido de hierro unido al tonio Cortes y Coíl, D. Juan Josef del Cubillo , D. Ped…</t>
  </si>
  <si>
    <t>Heras, Saturnino</t>
  </si>
  <si>
    <t>Saturnino Heras</t>
  </si>
  <si>
    <t>…n Gavina, Don *&gt; Campamento de S. Gerónimo 26 de Junio de 1823. Josef López Robredo, D. Joaquín Cortina, D. Carlos Vega, n En este instante acabamos de llegar á este campamento de D. Saturnino Heras y D. Salvador López, bajo la dirección del una gran acción y retirada que hemos tenido, en la que hemos P. Ildefonso Milla. El respetable concurso que los presenció librado la vida por una chiripa. La acción fue dei modo si quedó muy complacido al ver cuán profundamente se halla…</t>
  </si>
  <si>
    <t>Here, Nicolás</t>
  </si>
  <si>
    <t>Nicolás Here</t>
  </si>
  <si>
    <t>…es que los absolvieron en esta parte 1 D. Antonio Puigblanch, s&gt; Habiendo procedido las Cortes extraordinarias á la renovación de D. Francisco Martínez Marina , D. Valentín Recio, D. Nicolás Here su presidente, rice-presidente y secrstario mas antiguo, que Jo era el dero Mayoral y D. Loienzo Lambía. Sr. D. '•*;-tin Serrano, han salido electos pira presidente el Sr. Don Señores que los declararon sediciosos: Villanueva y Rives. Francisco Javier Isturiz…</t>
  </si>
  <si>
    <t>Heredero, Nicolás</t>
  </si>
  <si>
    <t>Nicolás Heredero</t>
  </si>
  <si>
    <t>…aquin Ruiz , O. Josef Rives, D. Manuel Esteban Catalá , D. Manuel Merino y D. Lorenzo Lanrbea. Lo declararon subver Total..................... 20.201,808. .20 sivo en tercer grado D. Nicolás Heredero, y ab.uelto D. Francisco Xravesedo y el conde de Floridablanca. ~ El Gobierno ha recibido el parte siguiente. TXIBCjíALES. »»Excmo. Sr.: Para el debido conocimiento de S. M. tengo el honor Por providencia dictada por el Sr. D. Francisco de Sales Sanche»de inc…</t>
  </si>
  <si>
    <t>Heredia, Josef</t>
  </si>
  <si>
    <t>Josef Heredia</t>
  </si>
  <si>
    <t>…es del fuerte, y despreciando triotismo de estos voluntarios .y milicianos de Ateca , dignamente el fuego vivo que se les hacia desde el convento de dominicos, cargan mandados por D. Josef Heredia , D. Joaquín Catalina y barón de Krsobre una avanzada , hacen dos prisioneros, y el valiente patriota in ruz, de los cazadores d: Calatayud y sus tres comandantes, de los ofi tendente interino D. Bsltasar Pallete se apoderó de cinco ó seis fusiles ciales reti…</t>
  </si>
  <si>
    <t>Heredia, Narciso de</t>
  </si>
  <si>
    <t>Narciso de Heredia</t>
  </si>
  <si>
    <t>…digentes levantan las manos al cielo, veneran los arcanos por aquellas cantidad alguna pasado el termino prefijado. de la Providencia, y bendicen la mano omnipotente que ha sal El Sr. D. Narciso de Heredia, nombrado por Real decreto vado á V. M. de la cautividad á que le había reducido la mas escandalosa rebeldía. Las ciencias delicadas por su naturaleza, que de 2 del corriente Secretario de Estado y del Despacho .der,V|?'' se habian sostenido contra los ataque…</t>
  </si>
  <si>
    <t>Herir</t>
  </si>
  <si>
    <t>…rmados á .Aprobando las-Cortes el dictamen de la comisión de Legisla ninguna hora : y si por la noche se encuentran mas de cuatro jun ción concedieron carta de ciudadano español a D. Herir ¡que d« tos 7 que puedan causar alguna sospecha, serán detenidos por la Moró) y á D. Juan Bautista R. vaocal. fuerza armada, que zeiará al inter.ro. La comisión de Instrucción pública , en vista de la exposición «Toda persona que haga resistencia á la tropa ,…</t>
  </si>
  <si>
    <t>Hermil, Juan Pedro</t>
  </si>
  <si>
    <t>Juan Pedro Hermil</t>
  </si>
  <si>
    <t>…mo un mo Rafael Redia: 188 [—.295 30, orden de González Quijano. Di flo de civismo. De Real orden lo digo á V. E. para su inteligencia chos billetes han sido endosados en favor de D. Juan Pedro Hermil, y cumplimiento. Madrid 14 de Marzo de r8a3.=:Sr. comandante gene de este comercio, de D. Miguel de Zavaleta y de Doña Ramona lé ral del décimo distrito. gaña e hijo ; y para que llegue á conocimiento del público s: insería este aviso para que cualquiera que…</t>
  </si>
  <si>
    <t>Hermo-, Bernardo Parras</t>
  </si>
  <si>
    <t>Bernardo Parras Hermo-</t>
  </si>
  <si>
    <t>…ar, y las medidas que debo adoptar, en GOBIERNO POLITICO DE LA PROVINCIA DE MADRID. el caso en que el Gobierno francés hiciese en el congreso las pro El diputado de esta provincia D. Bernardo Parras Hermo- posiciones que Mr. Villele me ha hecho á mí con remecto a una silla, que accidentalmente se halla en la villa de S. Martin de declaración de parte de los aliados. (Se continuará.) EN LA IMPRENTA NACIONAL.</t>
  </si>
  <si>
    <t>Hermosilla, Antonio</t>
  </si>
  <si>
    <t>Antonio Hermosilla</t>
  </si>
  <si>
    <t>[OI Btr?a g de Enero. D. Antonio Hermosilla. El orador leyó dicha exposición. La partid:. de cazadores de esta villa va limpiando estas cercanías El Sr. Seoane : Una comisión del batallón de jóvenes de esta capi da facciosos, y los persigue hasta los garages mas ocultos donde tratan tal me ha presentad…</t>
  </si>
  <si>
    <t>Hermosilla, Bernardo Parra</t>
  </si>
  <si>
    <t>Bernardo Parra Hermosilla</t>
  </si>
  <si>
    <t>…estado mayor.rcBruno Gómez. por primera lectura. Gobierno político de la provincia de Madrid.__EI. diputado Se leyó por primera vez una proposición del Sr. Gómez de esta provincia D. Bernardo Parra Hermosilla , que accidental* (D. Manuel) sobre la redención de cargas que tienen algunos mente se halla en S. Martin de Valde-Iglesias , con fecha 10 del bienes vinculados que pertenecían á manos muertas. actual, me dice que habiéndole dado parte al alcalde i.° constitu…</t>
  </si>
  <si>
    <t>Hermosilla, Tadeo Parras</t>
  </si>
  <si>
    <t>Tadeo Parras Hermosilla</t>
  </si>
  <si>
    <t>…mponen los 774 hom P&gt;. Juan Jabat. D. Antonio Lambea. bres de su cupo. D. Celedonio Martínez. D. Baltasar Martin Pérez. Ademas y en este intermedio ha organizado la diputación com D. Tadeo Parras Hermosilla. D. Domingo García. pletamente y en estado de servicio dos compañías de infantería y una de D. Gonzalo Cárdenas. D. Marcos Izquierdo. caballería de cazadores constitucionales, que deberán destinarse al mo D. Francisco Sainz de Rozas. D. Francisco Luciano Domí…</t>
  </si>
  <si>
    <t>Hermovo.vió, Josef Gómez</t>
  </si>
  <si>
    <t>Josef Gómez Hermovo.vió</t>
  </si>
  <si>
    <t>…: en Agosto de 14 con El Jacobinismo: obra útil en todos tiempos, y necesaria en sejero del Almirantazgo; y suprimido este en el año de 818, las circunstancias presentes. Su autor D. Josef Gómez Hermovo.vió al conseja de Guerra y Marina con su misma plaza , y tilla. Esta obra se publicará por cuadernos de cuatro pliegos de últimamente fue jubilado y condecorado con los honores del impresión , del mismo tamaño, letra y papel que el prospecto consejo de Estado en…</t>
  </si>
  <si>
    <t>Hernández</t>
  </si>
  <si>
    <t>…stancados.salobre: soldados Esteban Hernández, Juan Cano, Rufino Guer rero, Doroteo López, Miguel Perez, Josef Ayu so, Antonio El Rey se ha servido admitir la cesión que.ha hecho; Don Hernández, Josef de Vaya, Cipriano Escolar, Salustiano Mar Agustín Romero i administrador de salitres de Murcia, de la ter tin, Hilario Velorio Antonio dé Alba, Ramón Viamant, Ma cera parte de su sueldo mientras duré la actual guerra , mandan teo Gtizman Diaz,juan Jose…</t>
  </si>
  <si>
    <t>Hernández, Antonio</t>
  </si>
  <si>
    <t>Antonio Hernández</t>
  </si>
  <si>
    <t>…después de tantas desgracias, el Sermo. Sr. Duque de Angu E. M.; D. Juan Dañóse*, coronel; D. Ramón Parada , ídem; lema, quiere acabar su obra. El ha observado desde el centro de D. Antonio Hernández,“fcapitan; D. Fernando Bubn de Gilis, la España las operaciones militares emprendidas en fas diversas comandante del batallón de Cataluña; D Jos- f Polledo, capi provincias; en el dia, que aquellas se han acabado, y que soto tán; D. Joaquín Ramos, teniente co…</t>
  </si>
  <si>
    <t>Hernández, Francisco</t>
  </si>
  <si>
    <t>Francisco Hernández</t>
  </si>
  <si>
    <t>…a á sus costumbres (3), una una plaza de fiscal de la audiencia de Puerto-Príncipe, en la isla de Cu Constitución que pueda poner sus virtudes al abri¿o de las inconstancias ba, á D. Francisco Hernández, auditor de Guerra en Costa-firme. de la fortuna y del capricho de los hombres (6).” Empréstito nacional. D.rice después un apostrofe á los españoles, diciendo entre otras cosas: «Vosotros sacasteis á la Europa del yugo que los imperios mas Habiendo determina…</t>
  </si>
  <si>
    <t>Hernández, Manuel López</t>
  </si>
  <si>
    <t>Manuel López Hernández</t>
  </si>
  <si>
    <t>…n efectivo metálico............................................................................... .................... 159,214- 2 ) Igual. © Madrid Marzo 6 de 1S23—EI interventor general Manuel López Hernández. b!os y su vecindario, producciones , ed'ficio» notabte», calidad de »ui ANUNCIOS. posad.s , número de legua» que distan entre sí, con todo lo demás qu&lt;¡ Itinerario del camino de Madrrd á Sevilla, con la descripción de pueda interesar al viagrro. Véndese «n l…</t>
  </si>
  <si>
    <t>Hernández, Prudencio</t>
  </si>
  <si>
    <t>Prudencio Hernández</t>
  </si>
  <si>
    <t>…auxi- Cn ‘á55-' a Jio , el que le facilité proporcionándole varios voluntarios al man Habiendo perd.do Enrique n en 10 de Acosto de iser la do del teniente de la primera compañía D. Prudencio Hernández famosa batalla de S. Quait.n , se consternó de tal manera Pau de Santa-Cruz. E tc mandó inmediatamente, y prestí) todo el ser lo tv, que se apresuro á pedir la paz en el momento que el du vicio que le Fue posible hasta el momento de ser herido levemen que de…</t>
  </si>
  <si>
    <t>Hernández, Vicente</t>
  </si>
  <si>
    <t>Vicente Hernández</t>
  </si>
  <si>
    <t>…guerra la persona que sapa el paradero de dichos juros lo avise en la calle de que puede enderse á toda la Europa, y acarrear un nuevo trastorno S. Onofre, núm, 23 , cuarto i.°, á D. Vicente Hernández. en Francia. Luis xvm está dominado por un partido, y no tiene vo Habiéndose extraviado dos juros, el uno de &lt;589 mrs., situado soluntad propia para atender al bien del pueblo francés ; y la posteridad; hre millones de Segovia , en cabeza de la capellanía que…</t>
  </si>
  <si>
    <t>Hernández, Zoilo</t>
  </si>
  <si>
    <t>Zoilo Hernández</t>
  </si>
  <si>
    <t>…pasado en herencia de padres á hijos; pero llegó un momento introdujo por el balcón de la casa donde se hallaba el enemigo en que se apuró la paciencia cristiana. fortificado, y á D. Zoilo Hernández, Capitán y Ayudante Loa griegos ,que han luchado tanto tiempo con ’a cruel alter yor del regimiento caballería lancero* del Sobbrano, que con nativa de abrazar el alcorsn ó la muerte, cansados al fin de su su asistente rindió en el campo á seis caballos, deja…</t>
  </si>
  <si>
    <t>Herniosillapor, Josef</t>
  </si>
  <si>
    <t>Josef Herniosillapor</t>
  </si>
  <si>
    <t>…ro como aprobada por la Divinidad; y de S. Carlos D. Josef Ignacio Flores, y al distinguido ded mis la enemistad que-reinaba entre las diferentes sectas cristiana^ fa mo escuadrón D. Josef Herniosillapor el extraordinario valor cilitó el buen éxito de !a empresa de los árabes, y aun se ha con que se condujeron á los propios lances. El comandante de acusado á los nestorianos de haber coadyuvado por medio de in este cuerpo D. Gerónimo Villagra se ha portado tan…</t>
  </si>
  <si>
    <t>Herrera, Josef de Tarasena y</t>
  </si>
  <si>
    <t>Josef de Tarasena y Herrera</t>
  </si>
  <si>
    <t>…as dos gavi Copia del memorial ajustado en ios autos por pleito de hidalguía en la llas reunidas del Rojo de Valderas y Periquillo. Dios guarde i V. E. ciudad de Valí: dolid entre D. Josef de Tarasena y Herrera y el fiscal muchos años. Valtadoüd 13 de Enero de iÜ23.c=Excmo. Sr.=Mariano de S. M. Traslado de la fundación del patronato de lego» y capellanía Breson.e=Excmo. Sr. secretario de Estado y del Despacho de la Guerra.” que fundó D. Cristóbal de Cañedo, y la pos…</t>
  </si>
  <si>
    <t>Herrera, Josef Manuel</t>
  </si>
  <si>
    <t>Josef Manuel Herrera</t>
  </si>
  <si>
    <t>…Se confirman las noticias que participé ayer 3 4 las seis de la tarde dirige el secretario de Relaciones exterio V. E. de la entróla en Búrgos de los facciosos y aproximación res D. Josef Manuel Herrera al del consejo de Estado D. Juan de las tropas francesas, y en ta! situación m: replegó á SomoGómez Navarrete, poniendo en su noticia que el capitán gene sierra con la tropa que me acompaña, según las instrucciones ral de la provincia de Veracruz le acompañab…</t>
  </si>
  <si>
    <t>Herrería, Francisco Antonio</t>
  </si>
  <si>
    <t>Francisco Antonio Herrería</t>
  </si>
  <si>
    <t>…se , en conformidad con ei sistente. detamen de la comisión expresada , á D. Francisco Velasco, á Art. 2.0 Para procederá esta liquidación, y terminar este D. í.esmes Cifuentes, á D. Francisco Antonio Herrería, á Don negocio sin ulterior recurso, se autoriza plenamente al Gobierno Manuel Gómez Fernandez , á D. Rafael Velazquez, y á Don ■ de S. M. para comprometerlos en arbitrios, con arreglo á los ar Manuel Cialan. tículos 2íjo y 2¡íi de la Constitución; pero cuida…</t>
  </si>
  <si>
    <t>Herrero, Antonio</t>
  </si>
  <si>
    <t>Antonio Herrero</t>
  </si>
  <si>
    <t>…lealtad. . servación de V. A. S. c * r &gt; « El ayuntamiento faltaría á su deber y al justo elogio que «Villafranca 23 de Júnio de 1823—Setmo. .r—A- L. i. merece su bmmérito párroco D. Antonio Herrero , si en esta de V. A. S.erJorge H dalgo Saavedra.rrQuhu n Marr o A berocasión no manifestase á V. A. S. que acaso toda la constancia ca.ccjosef Antonio Ropero.rr 3gust n .Man tuz—JuGsn Man que este pueblo heióico ha manifestado se la d.be al zelo y rique Pueb…</t>
  </si>
  <si>
    <t>Herrero, Bernardino</t>
  </si>
  <si>
    <t>Bernardino Herrero</t>
  </si>
  <si>
    <t>…s quejas de estas al marido. Las cuatro espo nientes , D. j jan Josef Bracho, D. Manuel Garcái, D. josef sas leg'timas se quejan de que son preferidas las esclavas, y estas Lluch, D. Bernardino Herrero, D. Juan Muros y Fernandez , y de que se las abandona á los zclos de sus amas. Si hace algún re D. Josef López Orihuehi; segundo comandante de infantería, galo á una de ellas , le da algún gusto, ó le permite ir al baño , al D. Saturnino Samaniego; teniente ,…</t>
  </si>
  <si>
    <t>Herrero, Germán</t>
  </si>
  <si>
    <t>Germán Herrero</t>
  </si>
  <si>
    <t>…»t civiles como militares y eclesiásticas, nel graduado de Soria D. Gregorio Vera, y al subteniente del mismo de cualquiera clase y dignidad, que guarden y hagan guardar , cumplir D. Germán Herrero; al ayudmte de la plana mayor D. Francisco de y egecutar el presente decreto en todas sus partes. Tendraislo entendido Paula Abilés; al capital» de caballería de Borbon D. Antonio Galin- ; para su cumplimiento , y dispondréis se imprima, publique y circule. d…</t>
  </si>
  <si>
    <t>Herrero, Luis Gómez</t>
  </si>
  <si>
    <t>Luis Gómez Herrero</t>
  </si>
  <si>
    <t>…sto de 1823. crExcino. Sr. = Francisco Plasencia. de Julio de i823.=Manuel de la Puente. __ Ejército de reserva. = Excmo. Sr. = Con esta fecha me dice el médico mayor del ejército D. Luis Gómez Herrero lo que El Rey se ha servido dirigirme el decreto que sigue: sigue. ~ Encargado del servicio sanitario de este cantón desde el D. Fernando vii por la gracia de Dios y por la Constitución día 25 del mes anterior , tengo la satisfacción de poner en cono de la Al…</t>
  </si>
  <si>
    <t>Herreros, Agustín</t>
  </si>
  <si>
    <t>Agustín Herreros</t>
  </si>
  <si>
    <t>…uedó aprobado este dictamen. cientemente discutido. La comisión de Gobierno interior habiendo examinado la A petición de varios Sres. diputados se preguntó sí la vota solicitud de D. Agustín Herreros, mazero del Congreso nacional, ción seria nominal , y se acordó la negativa por 53 vetos con- pidiendo que en virtud de sus servicios en el ejército por espacio tra 43. de muchos años, y la circunstancia de estar declarado benemérito Se declaró después no hab…</t>
  </si>
  <si>
    <t>Herreros, Alanuel García</t>
  </si>
  <si>
    <t>Alanuel García Herreros</t>
  </si>
  <si>
    <t>…eguía infatigable en organizar y completar nombrar para desempeñar el ministerio de la Gobernación de la cuerpos: y el conde de! Abisbal, no 'menos activo, hace cuanto Península á D. Alanuel García Herreros, y para el de Marina á está de su parte porque al fin se conserve ileso el honor nacional, D. Francisco de Paula Osorio, que debería desempeñar interina y triunfe mas tarde ó mas temprano la justa causa de nuestra in mente el de la Gobernación de Ultramar. de…</t>
  </si>
  <si>
    <t>Herreros, Mariano</t>
  </si>
  <si>
    <t>Mariano Herreros</t>
  </si>
  <si>
    <t>…ey se ha servido dirigir en este dia al mínistrq de Marina el drés García Camba, mi secretario D. Vicente Garin , D. Antonio decreto siguiente : García , capitán D. Ramón Gascón y teniente D. Mariano Herreros, » Atendiendo á lo bien que ha desempeñado D. Mariano Egea en y m s ayudantas de campo coronel D. Pablo Echeverría , comandante calidad de interino el ministerio de Hacienda , lie venido en nombrar de es uadron D. Ramón Nadal , y capitanes D- Juan Díaz de Riv…</t>
  </si>
  <si>
    <t>Hevia, Bernardo Valdés</t>
  </si>
  <si>
    <t>Bernardo Valdés Hevia</t>
  </si>
  <si>
    <t>…os remite para darle publlciderechos que la Constitución da solamente á nuestro Rey el se cidati el escrito que sigue: ñor D. Fernando vn ; es adelantarse todavía mucho mas. Napo «D. Bernardo Valdés Hevia, diputado provincial de Oviedo, león no se atrevió) á tanto. y D. Félix Cantalicio de la Ballina , alcalde 2.0 constitucional de »Se toma por pretexto para tales novedades tumultuarias y esta ciudad , me escriben cada uno su carta respectiva desde Luararbitra…</t>
  </si>
  <si>
    <t>Hezcta, Josef de</t>
  </si>
  <si>
    <t>Josef de Hezcta</t>
  </si>
  <si>
    <t>…á palacio la Reina y mi Villuela__ El estado mayor general del ejército ip compondrá» licia nacional local de Madrid á las órdenes del comandarte inte por ahora el primer ayudante general D. Josef de Hezcta, Iqs rino de la Reina D. Francisco Casto!ló—Parada la milicia acti segundos ayudantes generales D. Francisco Jaramillo y P. Fran va y la nacional local de Madrid: el demas servicio y patrullas cisco Ocaña, y los adictos D. Franciscp. Valiente y P. Manuel lóde…</t>
  </si>
  <si>
    <t>Hguía, D Francisco</t>
  </si>
  <si>
    <t>D Francisco Hguía</t>
  </si>
  <si>
    <t>…ltas crestas del Pirineo, que componen el Corregimiento he tenido á bien nombrar para la plaza de Decano al Capitán de Talara , rinden hoy á los pies de V. M., restituido á la ple general D Francisco Hguía en remuneración de su acrisolada nitud de sus derechos, el homenage sincero de su respeto, que lealtad y dilatados servicios, concediéndole cédula de preminen solo puede ser igualado por su amor á V. M., y por su recono cias; y para las demas plazas de Consej…</t>
  </si>
  <si>
    <t>Hidaico, Juan Nepomuceno García</t>
  </si>
  <si>
    <t>Juan Nepomuceno García Hidaico</t>
  </si>
  <si>
    <t>…n los pueblos nuestros enemigos se declare que no La misma comisión, habiendo tomado en consideraran% ' se entrará nunca en transición con ellos , mientras no se tome solicitud de D. Juan Nepomuceno García Hidaico para cue se por base ei resarcimiento de todos los daños. No se admitió á dis le dispensen las pruebas que necesita para condecorarse con la cruz cusión. de (.-'ríos ni , opinaba que las Cortes podían acceder á esta A la comisión primera de Hacienda se pasó l…</t>
  </si>
  <si>
    <t>Hidalgo</t>
  </si>
  <si>
    <t>…omercio, ademas de que hallándose en vista del cruel degüello que sufrieron mas de 400 en 1810 por á:g3óleguas de 1 aNueva-Orleans, sé surte por el puerto deS.Eer- disposición del cura Hidalgo. ‘En el dia puede asegurarse que to nardo y bahía de Orcoquizac. Sufrió en 1813 una invasión pos da la referida riqueza desapareció, y puede añadirse que para gente aventurera,\colectada panel americano Toledo; y quedó mucho tiempo.' ' sin españoles, porque u…</t>
  </si>
  <si>
    <t>…alleja, gefe enton en prensa, y se dará con la brevedad posible: la suscripción con ces de aquella brigada, con la que derrotó en Acúleo, Guana— tinúa abierta. juato y Calderón al cura Hidalgo, primer rebelde de este reino El Añalejo ó Directorio para el rezo divino para el Arzo (el que llegó á reunir mas de iooS&gt; hombres). Los soldados de bispado de Toledo, su matriz, y villa y corte de Madrid, se ha aquella brigada merecieron el nombre de Fieles…</t>
  </si>
  <si>
    <t>Hidalgo, Francisco</t>
  </si>
  <si>
    <t>Francisco Hidalgo</t>
  </si>
  <si>
    <t>…eficacísima- tista Vea Murguia , D. Jocquin Alvar-z , D. Juan Francisco Espalomente i conservar la dignidad y el honor ae la Nación, el trono cone • sin , D. Miguel García Oilit , D. Francisco Hidalgo y D. Antonio d* titucional, y por consiguiente la Constitución de la Monarquía españo Olazarra , dec'aró por unanimidad haber lugar á la formación de causa. la. Solo la idea de una invasión de franceses con objeto de imponernos __Don Juan Perez , comandante del segundo ba…</t>
  </si>
  <si>
    <t>…el cuerpo en general; y reunido el jurado , compuesto de los Sr:s. D. Juan Perez, D. Gerónimo Martínez Enrile,D. Jo F.í Rfy ha expedido el decreto siguiente! sef María Recortillo, D. Francisco Hidalgo, D. Juan Josrf del Cubi « Don Fernando ni por la gracia de Dios y por la Constitución de llo, D. Pascual Boiaños y Novoa, D. Antonio ds Oiazarra , D.Franla Munarquía española , Rey de las Espadas , á todos !o¡ que las pre cisco Carranza y D. Josef María de Ar…</t>
  </si>
  <si>
    <t>Hidalgo, Juan Nepomuceno García</t>
  </si>
  <si>
    <t>Juan Nepomuceno García Hidalgo</t>
  </si>
  <si>
    <t>…go era envolverme) como dejo dicho, amenazando hasta mi Se mandó pasar á la comisión de legislación una solicitud de retaguardia con sus principales fuerzas, manteniéndose como pa D. Juan Nepomuceno García Hidalgo, para que se le dispensase sivas ias que me habían atacado por el frente: entonces -determiné de las pruebas para obtener la condecoración de la cruz de Car hacer un cambio de frente para rechazarlas y cargarlos á la bayo los 111 con que S. M. le habia agraci…</t>
  </si>
  <si>
    <t>Hide</t>
  </si>
  <si>
    <t>…la tribuna., y El Sr. Escudero dijo que las provincias fronterizas eran por su situa piden la palabra. ción las inas recargadas por este proyecto, al paso que habíans ido las que Sr. Hide : Pido que se vengue á la Francia: ■mas hablan sufrido por los facciosos. Presidente: No puedo concederos la paiabra. (Llega á su colmo ¡a El Sr. Vuldes (D. Dionisio) manifestó que la comisión habia visto la agitación en todo el salón. A Ja derecha continúan…</t>
  </si>
  <si>
    <t>Hijar, Duque de</t>
  </si>
  <si>
    <t>Duque de Hijar</t>
  </si>
  <si>
    <t>…uan de Mena y Prados, Secre ,,Señor: Luego que la ciudad de León supo la deseada y mi tario de Cabildo.” lagrosa libertad de V. M., dió las debidas gracias á Dios, y ma El Ecxino. Sr. Duque de Hijar y el Sr. D. Mariano Lobera, nifestó su placer con públicos regocijos y las mas vivas efusiones Ministro cesante del Consejo supremo de la Guerra, tuvieron la de amor á V. M., a la Reina nuestra Señora y Sermos. In honra de presentarse al Rey nuestro Señor, y…</t>
  </si>
  <si>
    <t>Hila, Félix de</t>
  </si>
  <si>
    <t>Félix de Hila</t>
  </si>
  <si>
    <t>…, que presentarán en esta secretaría pa ro, y á ¡os subtenientes del mismo D. Josef Sánchez, contuso también, ra extender el correspondiente títmo, que cuidarán de recoger; adviry D. Félix de Hila. El teniente ds voluntarios de Camaraza D. Fran liendo que estando impresas las plantas de estos títulos bajo diferentes cisco Pediois recibió una herida y una contusión, y seria demasiado formas, según la calidad de los destinos, los gefes políticos, los dir…</t>
  </si>
  <si>
    <t>Hipa, Miguel</t>
  </si>
  <si>
    <t>Miguel Hipa</t>
  </si>
  <si>
    <t>…os que hayan recibido de cada pue guientes: D. Cayetano Romero, D. Juan Manuel de Aréjula, Don blo. Y estos presentarán á los referidos directores los recibos de los Andrés Alcon, D. Miguel Hipa , D. Casimiro Martin , D. Lorenzo encardados, para que comprobándolos con los testimonios, justificación Calvo de Hozas, D. Celestino de Olozaga , D. Antonio Sandatio de y notas, los retengan, abonen á los pueblos su importe (incluso como Arias, D. Gonzalo de…</t>
  </si>
  <si>
    <t>Hlíc, Javier</t>
  </si>
  <si>
    <t>Javier Hlíc</t>
  </si>
  <si>
    <t>…or S. A. Si la Regencia han dehida hacer coa anterioridad * la expresada ¿poca de t.? del. reinq:«c han celebrado las exequias por el alma del teniente .de Junio: ■ . ■- , . J ’i” general D. Javier Hlíc. En la tarde del 3 fue conducido su ca i,° Que no obstante ls.mandado en dicha resolución de al dáver desde S. Agustín á la catedral con la mayor pompa,y en .de Junio »;se abonen los, sueldos á los empleados en , tpdas las la mañana del 4, habiéndose celebrad…</t>
  </si>
  <si>
    <t>Hohenlohe</t>
  </si>
  <si>
    <t>…ficio que acabo de r.. ■ r. pos: eli.° al mando del duque de Reggio : el i.°al del general Molitor: eL 3.° Dios guarde á V. E. muchos años. Vitoria 27 de Febrero de iSrg.ee al del príncipe Hohenlohe: el 4.0 debía estar i las órdenes del marques Lau- Excmo. Sr.=Greeorio Piquero Argiíe!les.=Excmo. 8r. ministro de !a (iston; pero este ya no saha de Paris, y no se sabia quien le reemplazaba : el Guerra.” g.°al mando del duque Conegliano. El general Guiliemin…</t>
  </si>
  <si>
    <t>…eras y betunes.................. 104,217- 6 Península , se trastornó inadvertidamente el orden con que debie Pago de fletes y construcción de algunas ron colocarse la proclama del príncipe Hohenlohe y la alocución Lanchas cañoneras. 10.000,000 de la junta particular de Vitoria á los Alaveses. Colocándose I* una en lugar de la.otra quedará salvada esta inadvertencia; y en Suma. *8.651,957..13 tonces los comentarios de entrambas guardarán el orden corres p…</t>
  </si>
  <si>
    <t>Holland</t>
  </si>
  <si>
    <t>…e Lisboa: tranquilizaos: yo nunca desmentí el amor qua __En la sesión del Parlamento de Inglaterra del dia 1; de Aíaos consagro: por vosotros me sacrifico, y dentro de poco que yo lord Holland reprobo en un elocuente discurso el s.itcma d&lt;¡ daran satisfechos vuestros mas caros deseos. neutralidad adoptado por la Gran Bretaña , y concluyó dic endo: ’■ La experiencia, esta suba maestra de ios pueblos y* de los »i ¡Deberemos ver con ind.ferencia que e…</t>
  </si>
  <si>
    <t>Honra, Manuel</t>
  </si>
  <si>
    <t>Manuel Honra</t>
  </si>
  <si>
    <t>…zados de oír lo que nos cuentan las los tres últimos de sus dignos gefes D. Josef Domingo Vidart, personas que diariamente vienen de Cádiz, y sobre todo cuando D. francisco Solé y D. Manuel Honra , marchan en medio del les oímos decir que en las conversaciones particulares y en los peligro como en una parada : todo es terror, todo es espanto en corrillos públicos se habla sin rebozado nuestra falta de medios los contrarios: huyen de un campo que tan f…</t>
  </si>
  <si>
    <t>Hontas, Bartolomé de</t>
  </si>
  <si>
    <t>Bartolomé de Hontas</t>
  </si>
  <si>
    <t>…resolvió ia jur&lt;i» de gefes que se vendiese Ja fragata Lucía, como ya se habia hecho antes con el navio de línea S. Francisco de Paula , entregándose los 31© rs. de su producto &amp; D. Bartolomé de Hontas, par* que continuase con dichos su ministros, respecto de que por fa-ta de licitsdores no se había conseguido realizar la contrata de víveres. Ei a• mirante de Cartagena termina su carta al min-i «tro «n estos términos: ** Y como quiera que esta medida es una…</t>
  </si>
  <si>
    <t>Hore, Rafael</t>
  </si>
  <si>
    <t>Rafael Hore</t>
  </si>
  <si>
    <t>…o, pues .todos los individuos que se han fugado de distinción de Vitoria, Tolosa y otras, encargado por el bri de allí después dicen que han sido destruidas muchas casas, y gadier D. Rafael Hore, gobernador de la plaza de Santoña , y que los habitantes se hallan en la mas extrema consternación. iel Mariscal de Campo Schoefter, Caballero del mérito militar, ¿oS gfcfes revolucionarios se valen de todos los medios imagina -Comendador de la orden Real de…</t>
  </si>
  <si>
    <t>Horna</t>
  </si>
  <si>
    <t>…las que ofrece la diferencia enorme mo momento mandé al escuadrón de dragones de Arequipa, con de fuerzas con que combatieron. Tampoco hablo de la pérdida ducido por su esforzado comandante Horna , que cargase a la ledel enemigo y nuestra, porque V. S. sabe bien una y otra, ni de legion: lo efectuaron tan oportunamente, que las lanzas y sables Jas fuerzas rebeldes, porque V. S. las ha reconocido. Recomien de nuestros dragones llegaron sobre el enemigo…</t>
  </si>
  <si>
    <t>Horna, Manuel</t>
  </si>
  <si>
    <t>Manuel Horna</t>
  </si>
  <si>
    <t>…e frente, apoyando su derecha alas alturas del Pi fante , y escuadrón de dragones de Arequipa al mando de su co no , y su izquierda hacia el rio Surco: su frente quedó pa mandante D. Manuel Horna : me ocupé de las alturas situadas en ralelo al nuestro , y cubierto por varios órdenes de tapias, for tre la laguna de la Molina y la llanura del Cascajal .camino deLu- mando el terreno una especie de anfiteatro. Inmóvil aquel de rin , y desde ellos descubrí…</t>
  </si>
  <si>
    <t>Horner</t>
  </si>
  <si>
    <t>…del observatorio, y un entendimiento tierno de vuestros discípulos, fortifiquéis su co- método fácil y breve para corregir las distancia lunares, con va rias tablas nuevas por el doctor Horner: uu tomo en 4.0, y ú la. (i) El estudio práctico-de la Religión ó el de la virtud debe rústica, su precio 22 rs. vn. Estas obras, con las demas que lia ser obra ¡de-toda la vida;-pero el estudio especulativo solo obliga publicado la Dirección hidrográfica de…</t>
  </si>
  <si>
    <t>Horric</t>
  </si>
  <si>
    <t>…otras dispo le. El conde Bordessoulle recomienda particularmente en el ío.° siciones que habia tomado de antemano , mandó que se retira de línea al coronel de Mo^xalm, ai teniente coronel Horric , á sen sus tropas, í excepción de las que estaban en los puestos ios comandantes de batallón Lachapetle y Humblet; á los capita fortificados; pero el ardor de que estaban animadas no les per nes Fernel, Didie.r y Menuissier; á los ayudantes mayores Dejean mi…</t>
  </si>
  <si>
    <t>Hoses, Juan Ramón de</t>
  </si>
  <si>
    <t>Juan Ramón de Hoses</t>
  </si>
  <si>
    <t>…sobre su felicidad, con presencia del voto general nal que el 21 le dirigieron ío» comisionados dei Rey de España acordaron en este día lo siguiente: Art. 2.0 Siendo inconcuso que D. Juan Ramón de Hoses y D. Santiago de Irisarri, manifes la soberana reside esencialmente en la nación se instalará el tando los objetos de su comisión cerca del Gobierno establecido Congreso á la mayor brevedad posible__ Art. 2.0 La"convocato en el imperio, el cual de orden del Emperador se pasaba al su r…</t>
  </si>
  <si>
    <t>…con oficia del del Excmo. Sr. general en gefe. nao el original que el ar le dirigieron los comisionados del »Se dice también, con referencia á un arriero que vino de Rey de España D. Juan Ramón de Hoses y D. Santiago de Tolosa, haberse oído fuego bastante vivo en la parte de S. Se Iriurri, manifestando los objetos de su comisión cerca del Go bastian , y que una división francesa tomó la dirección de Pim bierno establecido en el imperio, el cual de orden del Empera plóos.” dor se pa…</t>
  </si>
  <si>
    <t>Hoyos</t>
  </si>
  <si>
    <t>…ón de «largos años de servicio." (Gaceta del 30.) sión de él manifestaré á V. E. lo ocurrido. Idem otra, que contiene ;¡r. decreto comunicado por el minis u Cargó á la bayoneta el comandante Hoyos al frente de sus terio de la Gobernación, por el cual S. M. revoca los efectos de dos compañías de la milicia activa de Valladolid, y sin disparar ¡os de 28 de Febrero y 16 de Abril de este año, en que se nom un tiro hizo replegar la columna que tenia á su fr…</t>
  </si>
  <si>
    <t>Hoyos, Francisco Paula de</t>
  </si>
  <si>
    <t>Francisco Paula de Hoyos</t>
  </si>
  <si>
    <t>…todiaba de o'dcn del mismo Silveira , en __Se han publicado en esta los siguientes partes. traron en Zamora , y de allí pasaron con-dicha escolta á reunir El comisionado en Játiva D. Francisco Paula de Hoyos con se al egército constitucional á las órdenes del Sr. gene») Regó. fecha 32 del actual á las 8 de la noche me dice lo siguiente: Asi me consta por cartas y oficios del correo de hay. , Por el Sr. gefe político de esta provincia se me acaba fa Por oíros ofic…</t>
  </si>
  <si>
    <t>…e Abril de 1823 —Pedro Chacón. que se salvaron, los mas salieron hondos en .a cu.vza v venas paites del cuerpo. K1 mar ha arrojado a la onda un cjc'.u«r v El comisionado en Játiva D. Francisco Paula de Hoyos con muchos efectos de madera. fecha 23 del actual me dice lo siguiente : Después se ha sabido haber atrojado el nnr sc-&gt; ciivlave res, y i) A consecuencia del movimiento que hizo ayer nuestra co que en puntos inaccesibles de la costa se divisaban otros tuictu…</t>
  </si>
  <si>
    <t>…genstein, y la cancillería polaca del Emperador, que estaba en Gobierno superior político— En parte que he recibido de camino desde Varsovia para Petersburgo, recibió orden de vol D. Francisco Paula de Hoyos con fecha 25 del actual desde Jáver al punto de su salida. tiva se me dice lo siguiente : Las fuerzas de los dos mencionados ejércitos rusos ascenderán á » Aunque en el dia de hoy no ha ocurrido novedad alguna unos 3001) hombres, á saber , ioo5) del ejército…</t>
  </si>
  <si>
    <t>Hoyos, Isidoro</t>
  </si>
  <si>
    <t>Isidoro Hoyos</t>
  </si>
  <si>
    <t>…ón del Señores que declararon dicho impreso subversivo en primer grada clero................................................. ' 75,970-27 D. Sebastian Andrés, D. Saturnino Lozano, D. Isidoro Hoyos, D. Juan; Contribución corriente del clero...... 534&gt;93^"25 Antonio López, D. Joaquin Ruiz , O. Josef Rives, D. Manuel Esteban Catalá , D. Manuel Merino y D. Lorenzo Lanrbea. Lo declararon subver Total..................... 20.201,808. .20 sivo en tercer grado…</t>
  </si>
  <si>
    <t>Hoyos, Isidoro de</t>
  </si>
  <si>
    <t>Isidoro de Hoyos</t>
  </si>
  <si>
    <t>…uientes- D. Josef Luis de Amandi, D._ Josef Demetrio Rodríguez, D. Fran «Cuerpo de tropas exp-dic'onarlo del primer distrito. Excelentísi cisco de Travesedo, D. Julián de Fuent.s, D. Isidoro de Hoyos, Don mo Sefior : Ayer tarde continué la marcha en d.reccion á este , donde Juan Manuel de Aréjula, D. Josef Antonio Ponzoa , D. Antonio según noticias se hallaban los enemigos; pero en el camino supe que á Regas y D. Francisco Luciano Domínguez Villanueva. la…</t>
  </si>
  <si>
    <t>…rtidas que ha pa nandez Angulo, D. Joaquín Huerta Cevallos, D. Luis de Mata Araujo, sado , pero en pequeñas, que seguramente no asciende su número á 60 hom Conde de Floridablanca, D. Isidoro de Hoyos, D. Manuel Gallegos y bres , excepto la que fue sorprendida en Pozohondon, según á V. E. le D. Josef Castel. tengo dado parte. Dios &amp;c. Calamocha 19 de Febrero de 1823.=2 Ex- Habida la conferencia, se decidió por unanimidad n haber lugar á ¡a ceienpsitno. Sr.…</t>
  </si>
  <si>
    <t>Hoyos, N.</t>
  </si>
  <si>
    <t>N. Hoyos</t>
  </si>
  <si>
    <t>…nueva línea; y yo me hallaba exhor minuta de decreto sobre el modo de impedir la deserción de los tando al de M. A. de Valladolid, que según los deseos de su b¡- ■ quintos. zarro comandante D. N. Hoyos y mios debia dar una carga á El Sr. presidente anunció que mañana después de darse cuen la bayoneta á la columna que se dirigia á él. En este momento ta de los oficios del Gobierno se procedería á la elección de pre crítico en que debía decidirse la acción re…</t>
  </si>
  <si>
    <t>Hualde, Guillermo</t>
  </si>
  <si>
    <t>Guillermo Hualde</t>
  </si>
  <si>
    <t>…or una facción anár » Sermo. Si.: El ayuntamiento, cura párroco y clero de Sal quica, ve por fin llegado el suspirado asomenro de manifestar los merón, representados por el Excmo. Sr. D. Guillermo Hualde, verdaderos sentimientos de sus habitantes á una autoridad legíti tienen el honor de presentarse £ V- A. S., felicitándole por ma por el voto sincero de todos ios españoles. El maligno influjo su instalación, como único medio ds sostener los derechos del de u…</t>
  </si>
  <si>
    <t>Huber</t>
  </si>
  <si>
    <t>…castigar con una misma pena un delito igual briendo á Santander, y formando el bloqueo de Sanloña. que hayan cometido aquellos dos individuos, pues al segunda El mariscal de campo barón Huber,' que manda la van debe mirarlo no solo como que ha hecho un mai , sino también guardia del tercer cuerpo , está á los alrededores de Búrgos con como que no ha hecho ningún bien.También la ley ha de aten una colunma movible, pronta á dirigirse á cualquier pun…</t>
  </si>
  <si>
    <t>…nido un considerable número de 12,085.... 500.....:......... Gusdalajara. heridos. El cazador Luce ha sido herido de un balazo. I.I31—- 5°°............... Zaragoza. Después que el general Huber hizo pasar el Navia al resto 14,898.... 500................ Madrid.de sus tropas, continuó su movimiento; el 8 llegó á Figueras, é inmediatamente destacó al conde de Beaumetz, comandante de la vanguardia, para que siguiese al enemigo sobre Mondoñe- Tenemos eu…</t>
  </si>
  <si>
    <t>Gaceta de Madrid n.º 453 (extraordinaria)</t>
  </si>
  <si>
    <t>…ibido la noticia oficial de que la plaza y puerto del Ferrol se rindió por capitulación, firmada el 14 del corriente á las 11 de la noche, y que el siguiente 15 hizo su entrada el general Huber con 2^ hombres, reinando la mayor tranquilidad y orden en aquel dia y noche siguiente , á pesar de oírse cañonazos en la Coruña, que parece se defináis por hallarse en ella Quiroga, y muchos revolucionarios que se refugiaron allí; pero es bien sabido que aque…</t>
  </si>
  <si>
    <t>…letín 25.0 guardar cierta circunspección el recibimiento que ha tenido, y El teniente general conde Bourk comunica á S. A. R. que se ha pasado el dia observándose unos á otros. el general Huber entró en el Ferrol el 15 de Julio á las 10 de Cuartel general de Madrid 26 de Julio de 1823. Por orden la mañana en virtud de capitulación. La guarnición, compuesta de S. A. R.esEl mayor general conde Guilleminot. de 29 hombres, ha reconocido la Regencia inst…</t>
  </si>
  <si>
    <t>Hubert</t>
  </si>
  <si>
    <t>…íritu de que se hallan animados los del 7.0 ligero, ai.° y 35.0 de línea, que habían sido puestas á habitantes de nuestras provincias, ponemos á continuación d tes sus órdenes. El general Hubert elogia igualmente el zelo y valor timonio que se ha recibido de la junta del Señorío ds Vizcaya. de Longa, no menos que de su actividad en protejerle. Ya en nuestro número del 26 de Junio insertamos otas actas Las tropas del 21.0 de línea son las únicas que h…</t>
  </si>
  <si>
    <t>Hueso, Francisco</t>
  </si>
  <si>
    <t>Francisco Hueso</t>
  </si>
  <si>
    <t>…ería de Vich__ Va mente D. Antonio Girón, el alférez D. Ramón Corres y el sargento rios individuos militares italianos refugiados en la Península__ La comisión graduado de oficial D. Francisco Hueso. Mientias tanto el alférez Dan de Vigilancia de Vich__ El ayuntamiento, la M. N. V. y legal con va Andrés Gómez , ayudante de esta columna, colocaba los 70 hombres rios ciudadanos de Orellana la Vieja ( Badajoz). Dos ciudadanos de Trude la milicia activa de V…</t>
  </si>
  <si>
    <t>Hugues</t>
  </si>
  <si>
    <t>…en el ejército 15 años obtendrán el estaba guarnecido de diamantes. En el primer momento no pudo retiro de subtenientes á los jo años de servicio; y á los seis el de descubrir el Sr. Hugues en ninguna de sus facciones cosa que sargento primero. anunciase aquel genio sanguinario , aquella ansia de venganza, Art. 3.0 Los que hayan pasado ó pasaren á esta compañía aquella ambición desenfrenada, aquella disimulación impenetra en la clase de cabos se…</t>
  </si>
  <si>
    <t>Humara, Rafael</t>
  </si>
  <si>
    <t>Rafael Humara</t>
  </si>
  <si>
    <t>…er las pasiones rateras de un extranjero 1 R-cordad lo que vuestras invictas provincias , vuestras e-poeas, familias y aun vosotros t,° n Excmo. Sr. : El oficial de la plana mayor D. Rafael Humara mismos padecisteis en la guerra contra Napoieon. Bessieres fue un instru desde Guadalajara con ficha de ayer á las nueve de la noche me dice mento suyo; ¡ y permitiréis por mas tiempo que este satélite, que os des lo siguien'e : Exento. Sr,: Acabamos de saber…</t>
  </si>
  <si>
    <t>Hunt, Henrique</t>
  </si>
  <si>
    <t>Henrique Hunt</t>
  </si>
  <si>
    <t>…ayudar á dichos es sociedad (la cual se resiente de contarlo en su número) , y que pañoles en su gloriosa lucha. desde la nada que era lo elevó á su graduación el mejor de los El Sr. Henrique Hunt ocupó la poltrona, y antes que la Monarcas el Sr. D. Fernando vn (que Dios guarde), cierta junta se disolviera ya se habían votado dos fusiles y un billete mente que no seria tan audaz que incidiese en el delirio de que de banca de una libra estetlina. Este ú…</t>
  </si>
  <si>
    <t>Hurbal, Roussel de</t>
  </si>
  <si>
    <t>Roussel de Hurbal</t>
  </si>
  <si>
    <t>…s : tjlle Tenientes generales. El barón Canuel, el conde Molitor , el prín en la Nueva-Valencia y coro era et guto general por su unión á la cipe de Hohenlohe, el conde Curial, el vizconde Roussel de Hurbal, metrópoli , como también que había entrado di el puerto de-su salid* el vizconde Tirlet : el conde Guilleminot, el conde Bourck , el viz una fragata con bandera americana cargada de toda ciase de p- rtrechoi conde Castex , el vizconde Domon , el conde de Aut…</t>
  </si>
  <si>
    <t>Hurel</t>
  </si>
  <si>
    <t>…ltimos días ha sido muy ventajoso; marques de Vence, al coronel Tholose , gefe de estado meyer pues que ha impedido el que Mina ganase las montañas como de la quinta división , al coronel Hurel; del 6.a de infantería pretendía, y ha tenido que retroceder por el camino que va á ligera, al conde de Bcaumont, coronel del 18 de cazadores, al</t>
  </si>
  <si>
    <t>Hurta, María Juana</t>
  </si>
  <si>
    <t>María Juana Hurta</t>
  </si>
  <si>
    <t>…el Consejo, cuyo na , en casa de S. S. para una junta general de acreedores á los órgano soy por dicha para ofrecer á V. M. en este venturoso bienes quedados por fallecimiento de Doña María Juana Hurta día el homenage de su inalterable lealtad, ha participado mas do de Mendoza, vecina que fue de esta corte; lo que se hace sa principalmente del alborozo de una trasformacion tan tierna ber á los interesados y acreedores para que concurran á dicha con aquella…</t>
  </si>
  <si>
    <t>Hurtado, Eugenio</t>
  </si>
  <si>
    <t>Eugenio Hurtado</t>
  </si>
  <si>
    <t>…uestros corifeos en retribución de tan duro é igualmente útil á los marmolistas y maestros de primeras le cautiverio! Vanas palabras de libertad ¿ igualdad, semejantes i tras, por D. Eugenio Hurtado. Vive calle de San Roque, nú los globulillos de espuma de jabón con que acostumbran entre mero 29, cuarto segundo. tenerse los niños; los cuales á pequeña distancia del tubo se des Tratado del álgebra, ó de las dislocaciones, fracturas y de vanecen en el aire…</t>
  </si>
  <si>
    <t>I'eirer</t>
  </si>
  <si>
    <t>…; pero cuando publicamos esta noticis o« netas. Por todas estas razones creo no debe aprobarse la proposición. temamos mas fundamento que el de verla inserta en otros periódico’El Sr. I'eirer (D. Joaquín): Dicen los Sres. que han impugnado la En el dia podemos ya asegurar que efectivamente hay en Tolota (Franproposición que las circunstancias son las mismas que aquellas en que se cia ) dos regencia, .¡ue se anatematizan una á otra. concedió la aut…</t>
  </si>
  <si>
    <t>I, Angel</t>
  </si>
  <si>
    <t>Angel I</t>
  </si>
  <si>
    <t>…les en este punto , que no quie tiempo; de cuyo resultado daré cuenta ¿V. E. oportunamen ren conocer los límites de la naturaleza , al mismo tiempo que es te__ El capitán de navio D. Angel I.aborda dará cuenta á S. M. tán sintiendo su salud deteriorada. También contribuye ¿ ello su detalladamente por el ministerio Je Marina de este feliz aconte alcoran , pues el profeta tuvo ¿ bien insertar un artículo relativo cimiento; y yo le participo á V. E.…</t>
  </si>
  <si>
    <t>I, Carlos y M. N.</t>
  </si>
  <si>
    <t>Carlos y M. N. I</t>
  </si>
  <si>
    <t>…Carlos y M. M.L., á las órdenes del comandante interino de la Reina D. Francisco __Hemos recibido hoy la siguiente carta, que creemos deber pu Castellón.__Parada la Reina, Infante D. Carlos y M. N. I____ blicar. liosp tal y provis ones la Reina___ Guardia al Congreso y ar Sres. editores de la gaceta : Muy Sres. mios: con grande ad chivo la M. N. L___Teatro principal esta noche á la» siete la miración he leído en la del 27'de Abril , que en el Constitucio…</t>
  </si>
  <si>
    <t>I, Francisco Antonio</t>
  </si>
  <si>
    <t>Francisco Antonio I</t>
  </si>
  <si>
    <t>…guientes: vinieron á ser fundadores de una colonia. D. Luis Gafgollo, D. Josef Vea-Murguia, D. Domingo One En 1797 fue cuando la sociedad de las misrones de Londres to. Suplentes. D. Francisco Antonio I.nrrasa , D. Tomas López empezó á pensar seriamente en introducir el cristianismo en las Calderón. Cádiz 13 de Setiembre de 1823 , año cuarto de la res islas de la Sociedad, y al efecto Gnvió algunos misioneros á las tauración de la libertad de las Españas.zzCi…</t>
  </si>
  <si>
    <t>I, Francisco Serrano y</t>
  </si>
  <si>
    <t>Francisco Serrano y I</t>
  </si>
  <si>
    <t>…en roca la Europa culta por el »:• emp-'-ad'-s; ios br,gadi-:i,» D. Luis Midi ..lena, D. .Francisco Moreda, gundo Quijote. Ksm ciicunst.mcia lia producido la necesidad de pnbácat D. Francisco Serrano y I) Josnf de Fuente P.ta—,.Comandante genual una nu.-.y,i historia de ¡as Aventurar Je Gil Ti!,a . corrigiendo lo»em’ril de art iletia ; el corone! L&gt;. Joaquín tjsrna , comandante del qu.mo dis del IV Isla , y dando un Ínteres ititin lamente ratui.r á la chía po…</t>
  </si>
  <si>
    <t>I, Jos.-</t>
  </si>
  <si>
    <t>Jos.- I</t>
  </si>
  <si>
    <t>…[8*.. 497 féSSSgHX GACETA ESPAÑOLA. CADIZ VIERNES 22 DE AGOSTO DE 1823. --------——1—* noticias de ultramar. Gramajos , donde el 10 del corriente entró el desnaturalizado tucumano D. Jos.- I_nac:o Helguero, y mandó saquear indistin PROVINCIAS DEL RIO DE £A PLATA. tamente todas las casas de aquel vecindario, cuyas mugeres fue Tucuman 3¿ de Aínrzt?. =lncansables los facciosos de esta ron. Violadas: s.endo el resultado de todo el robo de py cabezas…</t>
  </si>
  <si>
    <t>I, Josef</t>
  </si>
  <si>
    <t>Josef I</t>
  </si>
  <si>
    <t>…na fragata de Por subinspector de caballería al brigadier D. josef Manon. guerra sin pabellón , y con banderas de señales en el tope mayor, Por comandante general de artillería al brigadier D. Josef I o- la misma que en seguida fondeó en la bahía de Gibraltar.” EN LA IMPRE IA NACIONAL.</t>
  </si>
  <si>
    <t>I, Lázaro</t>
  </si>
  <si>
    <t>Lázaro I</t>
  </si>
  <si>
    <t>…le da algún gusto, ó le permite ir al baño , al D. Saturnino Samaniego; teniente , D. Ramón Am.indi; subte instante quieren las demas lo mismo, y se confabulan para hacer niente, D. Lázaro I.oaiza; teniente coronel de infantería, D. To causa común. Para que luya paz se ve precisado el polígamo á mas Samper; capitán, I). Antonio García Luían; Teniente, mandar como un déspota, y entonces ya no ve en ellas mas que D. Francisco Martínez ; capitanes, D…</t>
  </si>
  <si>
    <t>I, Lorenzo</t>
  </si>
  <si>
    <t>Lorenzo I</t>
  </si>
  <si>
    <t>…urado, compuesto de los señores L&gt;. tn número ú vr, contándose en este mímelo ei cabecilla Ikjsr , el lla Tornas López Caide.-sn , D. Salvador Garzón de Salazar, D. Francisco mado coronel Lorenzo I.abarra y otro oficia! , con 8 hombres muertos, Antonio de Fuentes, D. Pedro Antonio Carrera, D. Antonio Cana8; cabaih-s, todas las lanzas, fusiles, tercerolas y sables que quedaron dril, D. Rafael María de Gataicochea , D. Pedro Antonio de Aguiren mi pedir; po…</t>
  </si>
  <si>
    <t>I, Melchor</t>
  </si>
  <si>
    <t>Melchor I</t>
  </si>
  <si>
    <t>…bar los arbitrios pro Art. 3.0 Hasta el fallo definitivo de los arbitrios continuará puestos. la retención de fondos decretada por ei Gobierno en 7 ele Agos Sobre la exposición de D. Melchor I.uque, vecino de la vi to de 820 en calidad .de garantía de los derechos del Estado. lla de • Arrambla, eu la provincia de Córdoba, en solictud de Se declaró haber Ilutar á votar sobre la totalidad de este dic moratoria para pagar "200 fanegas de trigo que debe…</t>
  </si>
  <si>
    <t>I, Miguel del Pino y</t>
  </si>
  <si>
    <t>Miguel del Pino y I</t>
  </si>
  <si>
    <t>…cosa aiguna que interese , pues aquilio» países no llate , D. Juan Bautista Vea Muren a , D. Lope Manuel de Luen ofrec-n mas que apatía e indiferencia , abatimiento y yugo. gas , D. Miguel del Pino y I.opez, D. Juan José; del Cabillo, D. Ma Va se sabia la llegada del ministro m&lt;les A Confuí.(inopia , y se tías Olave , D. Clemente Zulueta , D. Prudencio Hernández Santa conc-bian esperanzas de piz, teniendo.as también los griegos de que la Cruz y D. Bernardo d…</t>
  </si>
  <si>
    <t>I-ernando</t>
  </si>
  <si>
    <t>…lla circular fue tan solo el de dicha de representar la sagrada Persona y autoridad ae nuestro que desapareciesen de los pueblos las partidas sueltas, sin fuerza amado Soberano el Señor D. I-ernando vn , ms vecinos de constante , formadas al arbitrio de cualquiera , sin otra autoriza Breña, provincia de Córüobe , ,ansiaban y suspiraban ción que su voluntad, y que alucinando con el sagrado objeto, por el apreciable instante de unir sus votos en publico á…</t>
  </si>
  <si>
    <t>I-Iervás, Antonio Muñoz y</t>
  </si>
  <si>
    <t>Antonio Muñoz y I-Iervás</t>
  </si>
  <si>
    <t>…omo en uso de licencia tem S. Fernando y de Quiroga , grande de España de primera ciase, poral é ilimitada, se presenten desde luego ó den noticia d-l consejero de Estado &amp;c&lt;s., y D. Antonio Muñoz y I-Iervás , co lugar de su residencia, donde no haya gefes de marina, á tos res misionados para cumplimentar á S. A. por la villa de Migudpectivos comandantes militares de su distrito , quienes deberán turra, provincia de la Mancha, y el primero le dirijió el discur pa…</t>
  </si>
  <si>
    <t>Ib</t>
  </si>
  <si>
    <t>…ipu queda cumplida la voluntad del testador. Esto en nada se opone tación solidaba. á los decretos vigentes , pues en ellos se ha dispuesto que no pa Después de haberse opuesto el Sr. Ib leo á este dictamen, se sen estos bienes á manos muertas, mas no que dejen de pasar,ai declaró haber lugar á votar, y quedó aprobado. Crédito público, porque este recibe las propiedades , no pura La comisión de Legislación en vista de una instancia de Don amo…</t>
  </si>
  <si>
    <t>Ib.-ido'</t>
  </si>
  <si>
    <t>…mo de la comisión apovó ci dic diado entre este v el Sr. diputado Riego, con mo tamen de esta conIestatuid á las observaciones d« l tivo de haberle nombrado S. M. segundo del gene Sr. Ib.-ido', y maní les la tul o que la comisión estaba ral en gofe del 2. 0 ejército de op 'raciones. persuadí «la- de que para-llevar á cabo el decreto «pte Se leyó y mandóqnctlar sobre ía mesa el dictamen efi- el actual dic.Líirien se cita, era necesario totear de la…</t>
  </si>
  <si>
    <t>Ibabe, Pedro Josef de</t>
  </si>
  <si>
    <t>Pedro Josef de Ibabe</t>
  </si>
  <si>
    <t>…r que; no seria feliz el mundo hasta haber Consejo de S- M., su Alcalde de Casa y Corte, por la escribanía ahorcado al último Monarca con los intestinos del, ■último Saierdote. de D. Pedro Josef de Ibabe, en el término de 30 dias, contados ■, ,, Abandonados á su propio.corazón, sima»del. mas insufri desde la publicación de este anuncio, donde se admitirán las ble orgullo y de la ambición mas desmedida; sin conocimiento posturas que se hicieren siendo arreglad…</t>
  </si>
  <si>
    <t>Ibafi, F’abfo</t>
  </si>
  <si>
    <t>F’abfo Ibafi</t>
  </si>
  <si>
    <t>…tro 2, núm 25, de i.°Ei rodé 1822, á favor de D. Mateo P.-reZ , da [083 rs—Otro id., registro 3 , número7BRCER kgercito de oi’ERACioNits—Orden general del 7 de Ahí!. 40,3 favor de D. F’abfo Ibafi. z , de 4813 rs, y 18 mrs—Otro id., La infantina se dividirá por ahora en dos divisiones, y cada una registro 4, núm. 45 , á favor dei mismo Ibañez , de 3610 rs. y 20 de estas tendrá dos brig-das compuestas de los batallones siguientes. mri,_Otro , registro 4…</t>
  </si>
  <si>
    <t>Ibafiez, Ramón</t>
  </si>
  <si>
    <t>Ramón Ibafiez</t>
  </si>
  <si>
    <t>…de Agosto de 1822 se : eunieroi* los nueve jueces de hecho que salie de Isasi. Si alguno supiere la existencia de todos ó alguno de ellos,ron senterdos O. Sebastian de la Cuesta , D. Ramón Ibafiez , D. Bese servirá avisarlo en la casa y calle del Sacramento, rúna. 3 , cuarton 10 santos, D. Diego Bisadre , D. Gregorio Moreno del Molino, D. Jcnef Ar-as Carvajal', D. Pedro Santisteban, D. Benito Sama- bajo de la izquierda. nieto y D, Josrf de did’- . y pr…</t>
  </si>
  <si>
    <t>Iban, Josef</t>
  </si>
  <si>
    <t>Josef Iban</t>
  </si>
  <si>
    <t>…enfermo, pueblo de Besalú, donde permanecía aun á las seis déla mis con la pequeña fuerza naciona!„quc mando he tenido ¡a sensible ma tarde el general Milans. pérdida del cazador D. Josef Iban, y herido gravemente el vo Las noticias de Barcelona del 28 confirman la intención de luntario de caballería D. Josef Campillo, y levemente el segun los enemigos de invadir á Gerona aquella misma noche ó á la do comandante de cazadores D. Vicente Rodríguez, e…</t>
  </si>
  <si>
    <t>Ibañez, Pedro</t>
  </si>
  <si>
    <t>Pedro Ibañez</t>
  </si>
  <si>
    <t>…ombate naval hacia las costas de Lem— su plaza en la Secretaría, y que sirva interinamente por él en la nos entre la flota del Capitán bajá y la escuadra de los griegos, Dirección D. Pedro Ibañez , Contador general de la Renta, á en el cual estos perdieron 8 ó 10 buques entre quemados y arro quien S. M. ha concedido los honores y antigüedad de Director jados á la costa. general. El Sztala-Bey, tercer almirante de la flota, encargado de perseguir la es…</t>
  </si>
  <si>
    <t>Ibangrande, Conde de</t>
  </si>
  <si>
    <t>Conde de Ibangrande</t>
  </si>
  <si>
    <t>…rminos y foíma que se Palacio á 28 de Noviembre de 1823.=A D. Victor Saez. ejecutaba antes de la época de la rebelión. Llamando muy particularmente mi soberana atención el esta El Sr. Conde de Ibangrande ha acudido á esta Dirección, ex do en que han quedado mis pueblos, y la necesidad de que las poniendo que por Real orden de 9 de Junio de este año se ha rentas sean dirigidas por personas que á su probada fidelidad lla mandado que los dueños de las rentas ena…</t>
  </si>
  <si>
    <t>Ibarra</t>
  </si>
  <si>
    <t>…exiona. hombre esta matando las reses que roban los del ¡ rden , y de la Por ahora para la instrucción pública solo ponemos la pieza que misma carne mantiene á los blandengues del Sr. Ibarra. La fuerza que han traído es como de co hombres. la mayor siüue: , . , 0 0 Boletín num. 7. parte sant ¡agüenos de Ovdonez , mandados por el cantor de v .ba Ejército pacificado- de la provincia del Tucuman. litas Josef fgnacio Helguero. Acaba de llegar m; bomb…</t>
  </si>
  <si>
    <t>Ibarra, Antonio Leal de</t>
  </si>
  <si>
    <t>Antonio Leal de Ibarra</t>
  </si>
  <si>
    <t>…onsumido 1100 granadas de riiaLa Real Marina de la provincia de Almería, que manda su no, 700 tiros de cañón y 200 de fusil, fuera de los muchos fue Comandante el Capitán de Navio D. Antonio Leal de Ibarra, po gos artificiales proyectiles, y los mixtos de los navios que soste seída del mayor júbilo al saber que S. M. se hallaba en libertad y nían la plaza, que fueron dispuestos y ejecutados en el castillo en el pleno goce de sus derechos, acordó con este ilustr…</t>
  </si>
  <si>
    <t>Ibarra, Di Francisco</t>
  </si>
  <si>
    <t>Di Francisco Ibarra</t>
  </si>
  <si>
    <t>…libres hiciesen un esfuerzo digno de ellas , que la dejando para sostenerla tres partidas en escalones al mando del necesidad exigía atacar para imponer á los enemigos, los cuales capitán Di Francisco Ibarra, del subteniente D. Vicente Gómez, consa artillería y caballería amagaban el arrecife, mientras que y del de igual clase D. Francisco Marjil, que cubrió la retaguardia la infantería á los flancos de la casa-fueste dirigía sus fueros hasta el caño. Estas parti…</t>
  </si>
  <si>
    <t>Ibarra, Joaquín</t>
  </si>
  <si>
    <t>Joaquín Ibarra</t>
  </si>
  <si>
    <t>…ntes rectores del espíritu público en la époferencias fue embarcar inmediatamente al otro dia al general ca pasada, véase los que tienen en la presente dentro de la plazaO-Donell, general D. Joaquín Ibarra, y á los brigadieres Don de Cádiz, y fórmese idea en lo poco que extractaremos ds losPedro Gazteiu y D. Joaquín Lacerda (estos tres últimos de los muchos disparates que contienen aquellos miserables papeluchos.expulsos de Valencia por haber rehusado autorizar…</t>
  </si>
  <si>
    <t>Ibarra, Josef</t>
  </si>
  <si>
    <t>Josef Ibarra</t>
  </si>
  <si>
    <t>…s de Orense,. Vígo ,:Coruna, Lugo;y ViUafranca.;^_Está » Consiguiente al oficio que pasé á V.S. esta mañana, le trasla conforme. ' „-k do el parte que acabo de recibir del alférez D. Josef Ibarra, co Al publicar la orden antecede ntedel Excmo. Sr. conde de mandante de la partida de cazadores de esta provincia , que sa Cartagena", general engefe del cuarto égércit» de operaciones, lió anoche de esta capital en persecución de facciosos.érVivá la tenemos…</t>
  </si>
  <si>
    <t>…debemos oponer á los Gabinetes , que alta El mismo con la misma fecha comunica el parte del coman mente ingratos á nuestros beneficios creyeron intimidarnos con dante de cazadores D. Josef Ibarra, en que dice: «Ocho faccio sus insolentes notas. sos , 11 caballos, varias armas y pertrechos de guerra, han sido el fruto de una mala noche , y también algún dinero y bastante ro NOTICIAS DE LA PENINSULA. pa. Todo ha ocurrido en Godojos. El Morrcte no estaba…</t>
  </si>
  <si>
    <t>Ibarra, Juan Felipe</t>
  </si>
  <si>
    <t>Juan Felipe Ibarra</t>
  </si>
  <si>
    <t>…stos ve comprobado por el parte que da el comandante D. Doroteo ganados robados se venden en la plaza de Santiago, y que se ha Aguilar , cuyo tenor es como sigue. cen por orden de D. Juan Felipe Ibarra. Esto desde luego no pa- Parte del comandante Asuilar. Señor gobernador: Anoche los del orden han avanzado á los Da también noticia de un auxilio que acababa de proporcio puestos de los Gramajos, y han saqueado todas las casas y viola nar al coronel Urdininea…</t>
  </si>
  <si>
    <t>Ibarra, Simón</t>
  </si>
  <si>
    <t>Simón Ibarra</t>
  </si>
  <si>
    <t>…s hacer do prescindir de conceder desde luego esta distinción al mismo coman una salida hasta el centro de la ciudad para sorprender al enemigo , y dante de armas, í su hermano el coronel D. Simón Ibarra , y al de la al mismo tiempo socorrer el fuerte de las-Descalzas de algunos uten misma clase de ta milicia activa de Toledo, aprovecho también con silios y víveres ;en un momento los voluntarios de Calatayud, seguidos indecible gusto la ocasión de encomiar ba…</t>
  </si>
  <si>
    <t>Ibarra, Simón de</t>
  </si>
  <si>
    <t>Simón de Ibarra</t>
  </si>
  <si>
    <t>…, estos ocho muerto; S. M. se ha servido mandar que se conteste á dicho ge- primeros encabezados á IX i-rancisco de Atdama, endosado» en fe político lo qúc sigue : dicho dia p por D. Simón de Ibarra al citado D. Angel García, ” He dado cuenla al Rey de! oficio de V. S. fecha 30 de Ma valor de D. Manuel de Robredo: níim. 23,107 encabezado á yo último níim. 356, dando cuenta de lo acaecido en Cabezuela D. Ramón de Aneldo: núm. c 1,268 encabezado á Doña .An…</t>
  </si>
  <si>
    <t>Ibcr.a, Josef</t>
  </si>
  <si>
    <t>Josef Ibcr.a</t>
  </si>
  <si>
    <t>…l del fuerte, era servida por tad que he presenciado en estos memorables dtas: al bizarro comandan cuatro artilleros á tas órdenes del teniente D. Salvador González. A te de armas D. Josef Ibcr.a , coronel de la milicia activa de esta poco rato ha cesado el fuego , y algunos patriólas subimos á lo alto ciudad , corresponde en el part. que debe dar al comandante general de la torre á entonar himnos patrióticos al son de una música marcial: recomendar e…</t>
  </si>
  <si>
    <t>Ibcrn, Antonio</t>
  </si>
  <si>
    <t>Antonio Ibcrn</t>
  </si>
  <si>
    <t>…ó muestra dificultades que entorpezcan el Presb.teros: D. Antonio Va!parda. — I). Lorenzo No vellos ndo~Ur Ies s de salvación , las Cortos tu-nen i:&gt; pu'-r- Can&lt; meo de Sta. Ana: D. Antonio Ibcrn. — Párroco de lC:bes ta para exigirle la responsabilidad. Este pues es el único medio, D. Josef Mescíans. aunque no soy amigo de amenazar con ia responsabilidad, para Servirás: P. Anselmo Parer». “ P. Isidro Riera. =P. Maria que el inundo cutero vea que no ha…</t>
  </si>
  <si>
    <t>Ibero, Antonio</t>
  </si>
  <si>
    <t>Antonio Ibero</t>
  </si>
  <si>
    <t>…consecuencia las variaciones que el tieot* Presbíteros :D. Antonio Valparda, D. Lorenzo Novell, ca po y la experiencia puedan hacer necesarias, á formas fijas y nónigo de Sta. Ana D. Antonio Ibero, párroco de Ribes Don precisas, que la nación pondrá en práctica cuando convenga, sin Josef Meselans. que ningún otro poder sobre la tierra tenga la facultad de alte Servitas: ?. Anselmo Parera,P.Isidoro Riera,P. Mariano rarlas , ni de arrogarse una iniciativ…</t>
  </si>
  <si>
    <t>Ibu</t>
  </si>
  <si>
    <t>…io mv artículo . también sospechosa!, em.cuyo casoisi se había de aguardar á la que repitiese aquella resolución. formación de causa para prenderla, es bien seguro que no se ia El Sr. Ibu¡7 de la Vega contestó que podria comunicarse ai encgritraria ya. ÍLa comisión lo que quiere es que siempre que Gobierno aquella resolución, ora fuese por separado ó por articu las autoridades tengan alguna sospecha contra ciertas personas, lo i.° de este decr…</t>
  </si>
  <si>
    <t>Icazace, Josef</t>
  </si>
  <si>
    <t>Josef Icazace</t>
  </si>
  <si>
    <t>…ución, y comen: r Sr. Carratalá voces con que significar el mérito que han contraido los antes ser sepultados entre las ruinas d: España, que iomítidosa. capri tenientes graduados D. Josef Icazace y D. Felipe Aramburo con los 40 cho de los despotas. granaderos de S. Carlos que mandaban , y que causaron (a derrota de _ Los g fes , oficia’es y demás clases que componen el primer reg'Quirós r sobr- todo se ha distinguido ei granadero Casimira Cárdenas, nuento de infictería de…</t>
  </si>
  <si>
    <t>ICriegelstein, Francisco Binder de</t>
  </si>
  <si>
    <t>Francisco Binder de ICriegelstein</t>
  </si>
  <si>
    <t>…» El Emperador se ba dignado confiar á su enviado extraor NOTICIAS DE ESPAÑA. dinario y ministro plenipotenciario en la corte de Ccrdcña, el Puerto de Santa Marta I¿ de Ag,.sto. •barón Francisco Binder de ICriegelstein, una misión extraordi LíneA de circunvalación. Ei Gobieino de Gidiz ha nom naria en la corte de Portugal con el carácter de Ministro. S. M. brado al general Zayas comandante general y general en gefeha nombrado en su lugar á Mr. el conde Rodolfo Lutzow, in de…</t>
  </si>
  <si>
    <t>Id</t>
  </si>
  <si>
    <t>…rdia Real graduado de teniente cotonci D. Francisco Velarrle período de su legislatura ordinaria ; y iian elegido paia su presidente al Secretario del general en gefe, el teniente coronel Id. Gaspar He,,c. hr. D. Mar.uel Flores Calderón , diputado por la piovin-ta de Bur ros, oficial cesante ds la secretaría d- Guerra----.Ayudantes dd tenicc:* go»; para sU-VÍce- presidente al br. D. Rodiigo A'aidé» Lustos , que lo general D. Martin González ds A4…</t>
  </si>
  <si>
    <t>ID</t>
  </si>
  <si>
    <t>…comisión el brigada del tercer ejercito de operaciones que defendieron a Ma que se suprimiese, tanto mas cuanto que de aprobarlo resultarían drid en 20 del corriente, y a su digno general ID. Jcseí de Za indotadas las cátedras de que se trataba, y por lo tanto defrauda ras. Quedó aprobada. da ¡a uuiveísidad de ellas , ó de lo contrario seria necesario re La comisión del Crédito público, en vóra de una exposición currir á otros medios para cubrir…</t>
  </si>
  <si>
    <t>…ANGF.RAS. Todos los señores gefes y oficiales de la división se portaron RUSIA. con el mas intrépido valor; paro r.o puedo menos de d.stinguir Petersburgo sg de Julio. al teniente coronel ID. Lorenzo Benitez, gefe de estado mayor El Emperador ha rega ado una sortija preciosa guarnecida de la caballería auxiliar, y á su ayudante D. Mmuol María Sal de brillantes al correo de gabinete español Da cal que ie llevó la vadores , quienes cogieron un trom…</t>
  </si>
  <si>
    <t>…erá la aprobación de das las tropas , y para ocultar mejor esta idea , mandé al batallón todos. No siendo de modo alguno decoroso que cuando Jas tro de la Union á las edenes de su comandante ID. Francisco Caini- pas r-.ac.onules se ponen o hadan sobre las armas usen para su ser 11eri, que al paso de carga llegase hasta las primeras casas de di vicio los toques de guerra que tullen adoptados los cuerpos del cho arrabal sostenido por ó: escuadrón de l…</t>
  </si>
  <si>
    <t>Ida, Be</t>
  </si>
  <si>
    <t>Be Ida</t>
  </si>
  <si>
    <t>…ma D. Ramón García Jiménez, ha manda Del batallón de la M. N. A. de Si-Lienza , presentada y lcida por el do citar y emplazar, como por el presente se hace, á todas y cualesquiera Sr. Be Ida. pcr,on.is que se crean con derecho á la referida finca, para que al término De la M. N. V. de Iznar, provincia de Málaga , par el Sr. López cl«j de cuatro meses y 20 dias que por primero se les señala comparezcan á Baño. deducirlo por dicho juzgado y escriba…</t>
  </si>
  <si>
    <t>Ídem, Francisco Javier Pinilla Otro</t>
  </si>
  <si>
    <t>Francisco Javier Pinilla Otro Ídem</t>
  </si>
  <si>
    <t>…a por general con el producto de las minas de azogue cxe., y otros par* la sala tercera de la audiencia de Sevilla. (G neta -el ticulares. ( Lie". ) Decreto de S. M. habilitando á D. Francisco Javier Pinilla Otro Ídem disponiendo lo que se debe pavar por la extracción para el Despacho del ministerio de la Gobernación de la Penín de sal de la Península para los puertos de Ultramar, i Gaceta sula hasta la llegada del propietario D. Josef María Calalrava. del J7 ) (Gaceta de’…</t>
  </si>
  <si>
    <t>Idiaz-zn, Juana de</t>
  </si>
  <si>
    <t>Juana de Idiaz-zn</t>
  </si>
  <si>
    <t>…de ;lo qu: el barón de Carondelet, arreglándose á rnis órdenes, ha empren -dido su marcha i aquel punto, con el objeto de atacarlo» en donde los 1509, situación id., en cabeza de Doña Juana de Idiaz-zn :z: otro de hade, io qu- podra hacer con ventaja, pu:s qus deben habérsele re 83,333 &gt; situación id. , en cabeza da D. Juan Ruiz de Yustamendi y sucesores: otro da 67,170, situación id. , cabeza id.: otro de 23^,375,unido las trepas que mandé marchar á relorz…</t>
  </si>
  <si>
    <t>Idiazquez, Isabel de</t>
  </si>
  <si>
    <t>Isabel de Idiazquez</t>
  </si>
  <si>
    <t>…neral de Trapa 30 de Diciembre de i8iz.=Excmo. br.csManuel de Ve- cabala! de Sevilla , en cabeza de Martin de Arrióla: otro de 6o9, si tuado en alcázares de Sevilla, en cabeza de Doña Isabel de Idiazquez:Jasco.—Excrro. br. secretario riel Despacho de la Guerra." otro de jo9,táo, situado en el nuevo derecho de lanas , en cabeza de Juicio ile jurados. D. Juan de Zivala Irala: otio de 96.410, situado en el :o por 100 En la ciudad de la Coruña, habiendo sido denu…</t>
  </si>
  <si>
    <t>Idiazquez, Juan de Isasi</t>
  </si>
  <si>
    <t>Juan de Isasi Idiazquez</t>
  </si>
  <si>
    <t>…vilegios originales de juros siguientes: uno de 3t2,coo mrs., situado en diezmos de la mar ds Castilla, en cabe- • Agustín Millan.El Gobierna ha recibido ei parte siguiente. za de D. Juan de Isasi Idiazquez: otro de 62,500 , situación ídem, ca- 1 Comandancia general del 6.ü distrito miliiar.csExcmo. Sr.rs’, Ten beza id.: otro de 93,550, situación id., en cabeza del síndico de San go la satisfacción de anunciar á V. E. que el comandante general del Francisco de T…</t>
  </si>
  <si>
    <t>IDoa</t>
  </si>
  <si>
    <t>…stola de K1 enemisto hizo un peque 'o alto en el Albujon , y siguió su Valencev, cuvo cuerpo les hizo la horr.ble descarga que se retirada á Murcia. Nuestra perdida consiste en el brigadier IDoa llevo todo el frente de la caballería francesa, y u su coman Pablo Miranda que me acompaño toda la mañana , y l úe victima dante, que a vista de todv's cayo con su caballo. \ a ¡des mande» de un casco de granada , en el teniente de granaderos de- la Union hac…</t>
  </si>
  <si>
    <t>ÍEjENANOO</t>
  </si>
  <si>
    <t>…sla á su mandil y fdar" por. Uboíldo aquel de prestar jutameptq dejidelidad á.nuestro augusto SobeeasoícI sistema ; el• Af untamiento de sit éáoilál- fue al instante'repuesto JSr. D. ÍEjENANOO ;,G.*)• A- este fin.me establecí &gt;al al estado que tenia antes del«7 dé Márzo ídé i&amp;jo ,; qfíietx, eo su 'frente.felá bandera , del ^batallón de línea .níuavd x,.0,i.en dbnde pciméra sesión acordó dar gracias-al-1 Tódoóoderójo .pót tamaño presté yl juramento,…</t>
  </si>
  <si>
    <t>Ifr-</t>
  </si>
  <si>
    <t>…público las cantidades necesarias para el pago de los res inconvenientes que Jos que trajo la reducción del año civil a¡ ex-monees secularizados, y ej i.° sphre la proposición del Sr. Ifr- económico. turiz, para que las Cortes declaren que mientras este vigente el de.r Ultimamente yo desearía que la cornis ón fuese franca, y di creto de 10 de Mayo último , se -dispense al Crédito público de jese si podia ó no hacerse esta reducción. En ramo yo…</t>
  </si>
  <si>
    <t>Ig</t>
  </si>
  <si>
    <t>…D. Antonio Gutiérrez Pando y D. Joscf Fernan tenemos." Las noticias que contiene eí parte inserto se confirman con dez Flores sobre partición de los bienes quedados por muerte de D. Ig otro que lie recibido del alcalde de Riaza, que dice asi: » La partida nacio y Doña Teresa Fernandez Flores , vecinos que fueroD de la villa del cabecilla Isidoro con 54 hombres montados salió el día de ayer de de Cangas ds Tineo; apeicibidos que de no verifi…</t>
  </si>
  <si>
    <t>Igartu.butu, Luis</t>
  </si>
  <si>
    <t>Luis Igartu.butu</t>
  </si>
  <si>
    <t>…o , compuesto de los Sres. D. Juan Bautista Vea Murguia; D. Bernar su duración. Solo la enipniuJcié para conquistar la paz que el estado do de la Peña Díaz; D. Francisco Carranza; D. Luis Igartu.butu; Don actuatde la España hace imposible.” Fernando Gargollo: D. Josef Carreño; D. Pablo Mateu; D. Matías La guerra puede evitarse ; para ello no se necesita mas que los go üiave, y D Cayetano Rodríguez Moran; después de tenida (a conferen bernantes de Francia…</t>
  </si>
  <si>
    <t>Igartuburu, Luis</t>
  </si>
  <si>
    <t>Luis Igartuburu</t>
  </si>
  <si>
    <t>…ra hacer mer grado; y reunido el jurado, compuesto de los Sr». O. Lope Ma la guerra del mismo modo que á los soldados del egéicito permanente. nuel de Luengas, D. Antonio Canadeü, D. Luis Igartuburu , Don Alt. 2.0 Los oficiales, sargentos y cabás de la rifer da milicia tendrán Joaquín María Goñi, D. Juan Bautista Carrera , D. Josef María la los mismos haberes que en sus respectivas provincias esten señalados á los Arroyo, D. Josef Perez Torroba, D. Ramón…</t>
  </si>
  <si>
    <t>Ignacio</t>
  </si>
  <si>
    <t>…ignándose en tan importante destino, y concurriendo todas estas circunstan viar á V. AL el ángel consolador y titular en tan prolongadas é cias en el Ministro del Consejo y Cámara D. Ignacio .Martínez inauditas tribulaciones, y el extermmador para derrocar los de Villela, he tenido á bien nombrarle Gobernador de mj Con monstruos de la revolución, de la iniquidad y de la impiedad sejo Real, vacante por renuncia que hizo de la Presidencia el mas ne…</t>
  </si>
  <si>
    <t>Iicast</t>
  </si>
  <si>
    <t>…l reino. Nada sabemos de positivo acerca de que en fuerza de las observaciones que habia hecho en su favor el corno se ha recibido el trastorno de Ja Constitución en ia Beba, 2&gt;r. conde Iicast ministro de bajonia , el de Rusia se había con M ¡ño, Traslosmontes y Algarbe. tentado con la reprensión que el Gobierno de Hildbourghausen —Las cartas de Sir Roberto YVilson del xy de Junio manifies había dado á los editores de la Gaceta, y que estos mismos…</t>
  </si>
  <si>
    <t>Iiuei, Antonio Remolí Zarco del Va-</t>
  </si>
  <si>
    <t>Antonio Remolí Zarco del Va- Iiuei</t>
  </si>
  <si>
    <t>…de mi cargo. Dios guarde á V. S. muchos años.— cuyo elogio seria inferior á su merecimiento. Cuartel general de Guadalajara 30 de Enero de t8a3.=Excmo. Sr.reMa» El general segundo gobernador D. Antonio Remolí Zarco del Va- Iiuei de Velasco. = Excmo. 5c. secretario del Despacho de la Guerra.”' ííe ha sido para mí de la mayor utilidad por su» conocimientos y zelo, habiéndome aliviado en mucha parte. La corbeta de guerra Temis fondeó en ei puerto del Ferrol, proce » Los oficiales del es…</t>
  </si>
  <si>
    <t>ILego</t>
  </si>
  <si>
    <t>…tinuó hasta ayer 21 á las nueve de la mañana, consta que se ha apacigua de Oporto 25 de Febrero de ríi13.“Antonio Lobo Te:¡eirá de Barra;, do por la proximidad de las fuerzas del general ILego, que se hallaba • ya á brigadier encargado del gobierno de las armas de 3a ciudad y partido di las inmediaciones de aquella ciudad. Oporto.” Otra de Vianna del 24. Es extraordinario el entusiasmo de este pueblo desde el momento que Lisboa 3 2 de Febrero. se s…</t>
  </si>
  <si>
    <t>Illa, Salvio</t>
  </si>
  <si>
    <t>Salvio Illa</t>
  </si>
  <si>
    <t>…destino. (Monitor.') El Rey nuestro Señor ha tenido á bien reponer en sus etnr ' FRANCIA. píeos de Cirujano mayor y Boticario mayor de los Reales ejér París ¿ de Octubre. citos á D. Salvio Illa y D. Agustín Josef Mestre; no !p Se ha cantado en la metrópoli y en todas las iglesias un Te- asimismo para Proto-Médico a D. Hilario de Torres, r- segun Z&gt;rum en acción de gracias por la elección del nuevo Papa, que do Médico de Cámara. .ha tomado el nombre de León xn. .__El Gobernad…</t>
  </si>
  <si>
    <t>Illn, Diego Martin de</t>
  </si>
  <si>
    <t>Diego Martin de Illn</t>
  </si>
  <si>
    <t>…a una proclama que el alcalde de Poían personas que se crean con derecho :» los bienes quedados por fa (partido de Toledo) ha dirigido í sus convecinos el i8 del úl llecimiento de D. Diego Martin de Illn rstrosa , ocurrido en timo mes con motivo del decreto de 10 de Junio de este año , que esta corte ta noche del 21 de Noviembre de 1815 , para que en manda la organización de voluntarios realistas: sentimos qm su el término de 15 dias precisos y perentorios, c…</t>
  </si>
  <si>
    <t>ILodas, Bernarda Martinez de</t>
  </si>
  <si>
    <t>Bernarda Martinez de ILodas</t>
  </si>
  <si>
    <t>…e la comisión primera de Hacienda sobre ia nivelación La comsion segunda de Hacienda, en vista de la exposición del presupuesto de los gastos y rentas, y medios de cubrir el dé de Doña Bernarda Martinez de ILodas, y de los documentos ficit ; y anunció igualmente los asuntos que se discutirían en la por los cuales se acreditan los servicios que esta interesada prestó sesión de mañana , y levantó la sesión. á la causa de la libertad en el alzamiento del ejército de la c…</t>
  </si>
  <si>
    <t>ILomc.ro</t>
  </si>
  <si>
    <t>…casa , á dar en ella algún baile, ó por su familia. También encuentro muy oportuna la observación que. que haya obsequiado ai alojado , puedan decretar la ocupación de ha hecho el Sr. ILomc.ro. Supongamos que á un individuo. se.le^ sus bienes. Esto no lo creo yo conveniente, y,, sí que el poder obliga á ¡luminar su casa por los franceses por cualquier motivo judicial sea el que entienda en este negocio , pues que es priva Bajo pena de multa: ¿se co…</t>
  </si>
  <si>
    <t>Ilubrr</t>
  </si>
  <si>
    <t>…do el manda reconocen ia Regencia instituida durante la cautividad horor de dirigirle el discurso siguiente: de S. M. C. «Señor: La Regencia de España é Indias durante la cauti El general Ilubrr, que no ha cesado de perseguir los restos vidad del Rev mi amo, me encarga, como embajador exttaor- de los cuerpos revolucionarios que ¿1 mismo y el general á’.-Vldinano, «i alto honor de tubular á V- M. el homenage de tu bignic habían derrotado ea Asturias,…</t>
  </si>
  <si>
    <t>Iluiaña</t>
  </si>
  <si>
    <t>…Gobierno, habiendo cr ido üeyat,-, el ca»o Del comandante de armas de..................presentada y leída por el de la ncc-sidad de la traslación, consultas: á la ü tutac un perma Sr. Iluiaña. nente, o en su caso ai presidente y secretarios de i » Ceuta . y cual O - ¡os individuos di; la columna volante de Santander en persecu quiera de estas corporaciones no asintiese á la prepuesta del Gcbi-rno, ¡qué sucedí na! ¿Quien decidiría esta discordia? G…</t>
  </si>
  <si>
    <t>Imaz, Josef de</t>
  </si>
  <si>
    <t>Josef de Imaz</t>
  </si>
  <si>
    <t>…y cómo lian de ser tratados. (Gaceta del /ó.) la provincia en que reside S. M., autorizándole ademas el Ex Decreto de las Cortes suspendiendo algunas de las formalida celentísimo Sr. D. Josef de Imaz , director general en comisión des presentas en el cap. 3.0 del íit. 5.0 de Ja Constitución. (Ga de las Loterías nacionales, y asistiendo asimismo el Sr. D. Ma ceta de ry.) nuel Perca Cabellos, director interino del Gran Libro de Ja deu Decreto de las Cortes…</t>
  </si>
  <si>
    <t>Imbrecht, Josef Diez</t>
  </si>
  <si>
    <t>Josef Diez Imbrecht</t>
  </si>
  <si>
    <t>…u parte á formar Félix de Aguirre , D. J osef de Resusta , D. Francisco Antonio mejor concepto de los europeos, y van conociendo que no todos de tarraza, D. Tomas López Calderón , D. Josef Diez Imbrecht, son seres violentos , sanguinarios, codiciosos que atraviesan los D. Pedro Antonio Carrera , D. Joaquín María González, Don mares en edificios flotantes en busca dei oro, y con el objeto de Francisco FernandíZ del Castillo y D. Juan Bautista Alvarcda, EN LA…</t>
  </si>
  <si>
    <t>In, Duque del</t>
  </si>
  <si>
    <t>Duque del In</t>
  </si>
  <si>
    <t>…la, y agregándose el Con el motívo de haber salido en la mañana del 19 del cor mayor de los de América para componer la mayoría, fue por riente con dirección á Andalucía el Eximo, Sr. Duque del In último aprobada y presentada á mi sanción Real, que no ture fantado, presidente de la Regencia, acompañado del Sr. minis i bien dar; pero repetida la discusión en el año próximo si tro de Estado, S. A. S. ha expedido el decreto siguiente: guiente por la nueva…</t>
  </si>
  <si>
    <t>Inarte, Lron</t>
  </si>
  <si>
    <t>Lron Inarte</t>
  </si>
  <si>
    <t>…a dic 10 ..azicor ,e pegaron de i viva fuerza con la que yo mandaba , mientras el capitán de dichos culatazos, y le tuvieron atado toda la noche ccrr ua paio en la mano cazadores D. Lron Inarte y el sargento del resguardo D. Félix Ro guardando tas ovejas de qu: luce i V. fi mmc.on cu mi citado parte mero, ambos con tg hombre* cada uno, conservaban dos puntos inte de ayer , las cuale* tampoco las devolvieron. resantes. Los facciosos al principio trat…</t>
  </si>
  <si>
    <t>Incenga</t>
  </si>
  <si>
    <t>…que casi todas las conmociones po gel Incenga, á 8 rs.Duetillo nocturno en italiano, con acom pulares que desde el año once ha sufrido aquel pais han sido pañamiento de piano, del Sr. Incenga, ambos grabados por efímeras y provocadas por advenedizosS ¿y quién las ha sofocado ’VVirmbs, á 6. Se hallarán con un gran surtido de música vocal sino los peruanos? ¿quiénes sino ellos les hicieron morder la é instrumental moderna y del mejor gusto á precios…</t>
  </si>
  <si>
    <t>Indiano</t>
  </si>
  <si>
    <t>…fí. Jl. tu? halla en un estado que no le permito elegir lo me tiene por con» emente la traslación. jor: las Corles pondrán á Y. JE en el camino real.'' Tomó de»pues la palabra el Sr. Indiano , v e.qu fíe eslefulni í;i proposición del Sr. Ualiano, y Llegó ya la crisis que debía estar j've'i-t.i Incc mu-</t>
  </si>
  <si>
    <t>Inf-nte</t>
  </si>
  <si>
    <t>…dose en tanto conflicto , no se acobar de Badajoz, y de la sociedad patriótica de Medina de las Torres por dó : se defendió valerosamente , pues fue atacado dos veces á la bayo el Sr. Inf-nte. neta , y rechazó al enemigo. De la diputación provincial de Lérida , por el Sr. Praf. Al fin le intimaron la rendición; psro'él no quiso rendirse ni en- Del ministro español en Lisboa y demás ciudadanos residentes en •regar su espada , parque eran la mayor p…</t>
  </si>
  <si>
    <t>Infame</t>
  </si>
  <si>
    <t>…lio próximo. Art. 7.0 En todos los los oficiales de las secretarías de Guerra, Marina, E&gt;tado y Hacienda. cuerpos de la milicia nocional tcí¡v» Jj&gt;s sedados que se despidan por El Sr. Infame presentó otras tres exposiciones sobre el mismo obje sorteo antes de haber servido seis eños, entrarán en todas ias quintas to dt ¡os oficiales que componen la inspección de infantería , del ayun que se decretaren, á no ser que hayan adquirido excepción; pero…</t>
  </si>
  <si>
    <t>…vói . De los individuos de la división del general Manso, perteneciente at secretarios del Despacho dice S- M. que los actuales deben permanecer- egército del j.° distrito, por el Sr. Infame. eh sus destinos basta que lean sus memorias. De hacer responsables el pa De los individuos dei batallón de milicia nacional activa de Lugo , por triotismo y 2elo de los actuales secretarios del Despacho desde ahora hasta’ dicho Sr. Infante. el último momento…</t>
  </si>
  <si>
    <t>…es ramos del ministerio y sobre algu había preparativos para su recibimiento; que allí le visitaría e! Sermo. nas peticiones de particulares; pero los bancos de la izquierda y del Sr. Infame D. Francisco de Paula, y que era conveniente que acompa centro izquierdo estaban vacíos lo mismo que en lat anteriores. ñase ’al Rey y su Real familia en su viage i Búrgos. Asegura también Según el Diario de 'Dolosa, el duque de Angulema debía llegar el 10 que le refirieron el pro…</t>
  </si>
  <si>
    <t>Infantado, Duque del</t>
  </si>
  <si>
    <t>Duque del Infantado</t>
  </si>
  <si>
    <t>…e la Frontera TÚ de Setiembre. tinuaban sin novedad en su importante salud en los días 15, 16 A lis 6 de esta'tarde sitió á paseo por el camino.de fianlúcai y 17 del corriente. el Sr. Duque del Infantado, Presidente de la Regencia de Espa ña é Indias , en compañía del Sr. Secretario de Estado D. Víc También ha recibido parte de que en virtud de la capitula tor Saez y algunas otras personas ; y habiéndose alejado unos trea ción ajustada entre los generales Con…</t>
  </si>
  <si>
    <t>…te Deo, Pruder.tia, Vktrkibus armis , jura Regum Firmavit. El Rey nuestro Señor ha tenido á biej^reponer al Excelen La otra medalla representa al Sermo. Sr. Duque de Angule tísimo Sr. Duque del Infantado en la presidencia de Castilla» ma con este letrero en el reverso: LuJavica Júnente, Augustae sin perjuicio de! empleo de Comandante general y Director in stirfis gloria Antonias, Virtute, Armis, Rebelles Debellavit, HíV- terino de la Guardia, que S. Al. ac ha…</t>
  </si>
  <si>
    <t>…de su mañana. El de Galeras, ción el primor de la fuente de la Villa, y el gusto majestuoso el puerto y la plaza de Cartagena.serán puestas igualmente á dis de la casa del Excmo. Sr. Duque del Infantado: la Real Impren posición de las mismas tropas pasado mañana 3 á la misma hora. ta, casa de la Real Compañía de Filipinas, y otras muchas asi Art. 8.° Sí se suscitase alguna duda sobre cualquiera de los de particulares como establecimientos públicos y común ¡d…</t>
  </si>
  <si>
    <t>…tentativa que se dirija á hacerles ceder á bajo precio los Conformándose el Rey nuestro Señor con lo expuesto por el documentos justificativos de los suministros que hayan hecho, Sr. Duque del Infantado, Teniente general de los Reales ejérci bajo pretexto de temor de que no se les satisfaga su importe. Las tos , y Comandante general y Director interino de la Guardia autoridades locales deberán vigilar no se introduzcan especulado Real, sobre el tílodo de lij…</t>
  </si>
  <si>
    <t>Infante</t>
  </si>
  <si>
    <t>….L’ del decreto de ner el modo de hacer este sacrificio , deben ser muy circunspectas y de 31 d ■ Ocluiré-. ten das para que en su egecucion haya los menores inconveniente» po- El Sr. Infante manifestó que la comisión fto tendrin inconveniente sibi s L..S Corle» , convencidas de que ias leyes que regían anterior en fijar el 1 5 de Enero para que este decreto chimase; y habiendo pe mente relativas al modo de hacer el reemplazo tenían muchos vicios…</t>
  </si>
  <si>
    <t>…d:l e.rbj'szo qu; esta apuración ocasicniría, Discutida suficientemente este artículo quedó aprobado. es pr.cis i t-n-r presente, qu: &lt;t; cualquier mod / que 5; haca este ali». Kl Sr. Infante: El art. 3. lo retira ia comisión, y hace 3.0 e! que tami r.to, e! resuniu será si nitor- qu : lo, pu-b'o-» i¡;n&lt;r. ob ¡¿ación antes eta 4. modificxGO en estos términos. d: tener siempre completos lo. cairp.s respetivo* -. de molo qu; si á Art. 3.“ » H! sorte…</t>
  </si>
  <si>
    <t>…as adiciones á este proyec originó el expediente que Ha producido el dictamen de la comisión. El to dé decreto. Gobierno, aunque compuesto dé tantos individuos, reconociendo la JA Sr. Infante manifestó que la comisión no podía menos de des urgencia de este asunto , lo ha remitido á la deliberación de las Cortes hacer una equivocación involuntaria que se había padecido en la re extraordinarias; por estos trámites se ve que hay precisión de declarar…</t>
  </si>
  <si>
    <t>…ritualizados? B.en está, se averiguará cu les son , y se dejarán á la mismo buque.” Aprobado. parte espiritual, es decir, que esta parte de bienes que por una opera A petición del Sr. Infante se agregó á la comisión de Guerra pan ción químico religiosa se han espiritualizado, se dejarán como deben que la auxiliase en lo relativo al código prual militar ¿ los Sres. Ruiz estar., ínterin las Cortes no digan lo que debe hacerse. de la Vega y Romero. S…</t>
  </si>
  <si>
    <t>…. Iq Reina está mejor. SS. AA. El Sr. Zuiueta dijo que la mesi había ya cumplido con lo prevenido siguen sin novedad en su importante salud.” en el ait. 133 de la Constitución. El Sr. Infante dijo que las Cortes estiban autorizadas pan entrar CORTES EXTRAORDINARIAS. en esta discusión, porque el Gobierno había p dido un reemp azo fRHSlDENCIA DKL SEÍJO* ISTUKIZ. que se le acordó, y ai .'-itmo tiempo los in dio, para llevarío á efecto; pero como esto…</t>
  </si>
  <si>
    <t>…de residencia fuera de! pueblo, contado este año desde 1.“ El Sr. Arias: Pido se lea el art. 46 de la Constitución (se leyó). de Enero del anterior ai en que se hace el padrón. El Sr. Infante - En cuanto á la objeción que ha hecho el Sr. Yai5 0 Los que hallándose en el mismo cavo,aunque con mas tiempo dé» diré que aquí no s-t trata de establecer un ayuntamiento nuevo , y de residencia fuera del pueblo , hayan manifestado su ánimo de conti »olo el…</t>
  </si>
  <si>
    <t>…los prófugos, y excitandode milicia nacional activa dé Cuenca , Trujólo y Bujalance , que pre pSr *1 segundo'á lias beneméritos habitantes de aquella capital á que cal-' sentó el Sr. Infante , las cuales sé leyeron también. nicn su inquietud , y confien en «1 zeio y patriotismo de sus autoridades, Se continuó la discusión sobre el proyecto de la Ordenanza del municipairi., reemplazo. .. Los 'periódicos' de la Corufia no contienen ninguna noticia…</t>
  </si>
  <si>
    <t>…oblaciones es donde se albergan; en las tabernas y mesones Cortes dcb*n desechar el proyecto en su totalidad. y en las casas sospechosas es donde puede fácilmente aprehenderlos El Sr. Infante: Este proyecto que se discute no guarda armonía una autoiidad zr-lnsa; y limetas las poblaciones, lo estarán también los Con el que las Cortes desecharon: en este se establecía por base que en caminos, porque en estos : ¡en vivir constantemente. todas las pro…</t>
  </si>
  <si>
    <t>…s en la propia inspección sobre lo no se puede hacer fuera de la provincia sin.un permiso particular dé tnómo. las Cortes. No puedo menos de apoyar que se páse al Gobierno para El Sr. Infante leyó una exposición d- varios ofieiales que han sido que su prudencia determine qué parte de esta milicia será útil que satde la guardia Real, y que en las ocurrencia* de Julio último pertene ga-ahora, haciendo las Cortes á f*toi benemérito* milicianos una ma…</t>
  </si>
  <si>
    <t>…u mi entender ninguna diferencia entre estos dos servicios ; y asi quisiera sia, y el otro i la Francia. (Repetidos aplausos ') que los Sres. de la comisión me explicasen esto. EL Sr. Infante: Poco hay que decir en esta cuestión. Yo vec deci El Sr. Muro manifestó que ¡a comisión no tenia inconveniente en didos i todos líos señores diputados á apoyar la exposición hecha por la fijat igualmente el abono de la tercera parte del tiempo para los qus mi…</t>
  </si>
  <si>
    <t>…ncia concedida por esta disposición á za, felicitando i las Cort.-s por las sesiones de 9 ru dr: correrte. los toldados hará trasformar dentro de poco el Gobierno turco en una El Sr. Infante leyó otra de los individuos de: batallón de infarteoligarquía militar, y el Sultap se verá reducido en su trono de Cous— ría de. Infante D. Antón o , residente en Cuenca, y otra de los indi tantinopla al estado precario de un dei de Argel. viduos que componen…</t>
  </si>
  <si>
    <t>…mas el plazo para las La misma comisión , en vista de una proposición del Sr. Ferrer pa reclamaciones. ra que se exceptuare é la villa de Pasages de lo resuelto en la instruc- El Sr. Infante contestó que ya habrían observado las Cortes que en ■ cinn del gobierno económico-político sobre el número de alcaldes que todos los artículos de este proyecto se había dejado tiempo suficiente debe haber en loa pueblos ; opinaba que por las circunstancias pa…</t>
  </si>
  <si>
    <t>…a un at miado contra ias leyes que nos De! gefe político, intendente y empleados en la ciudad de Soria, por ngen , cuya repetición va haciéi dose harto escandalosa en mengua de el Sr. Infante. Dutsito decoro y con desprecio del rég m:n que para la Hacienda' pú De los oficiales de la secretaría del ttibunal especial de Guerra y blica han sancionado los legisladores &lt;-n el augusto Congéno. Alarma. Hará como cinco ó seis semanas que amaneció con dire…</t>
  </si>
  <si>
    <t>…en- por rl Sr Garoz , y del bata’ler. de milicia r.aeionat activa de la ciu lo no Ies hará mas sabios en la materia, y si por maucia del 111 sino dad de Almena, presentaría p r el Sr. Infante. modo fajarán a la ve:dad aunque jun-n. Lo que deberla procurarse era El Sr. presidente anuoe'ó que mañana s ■ c‘-',ir.uaria la discusión no exponer 4 los nombres á que tal vez juren falsamente, pu s qui de la ordenanza de reemplazo , y levantó la sesioa ú ia…</t>
  </si>
  <si>
    <t>…obre el mismo asunto respecto de la milicia nacio Del juez de primera instancia , promotor fiscal y demas emplead;» nal activa. en el juzgado de primera instancia de Tecla, por el Sr. Infante. El Sr. presidente anunció que mañana se discutiría ti dictamen de De la milicia nacional local de todas armas de Málaga. la comisión de Hacienda sobre venta de géneros prohibidos y seguiría De la milicia nacional local de Murcia. la discusión pendiente, y le…</t>
  </si>
  <si>
    <t>…b;jrvó este cierto resplandor de se ocupasen en el plan del estado mayor del egército. los fusiles, que indicaba que á corta distancia había una emboscada, Habiendo manifestado el Sr. Infante que la comisión de Guerra lo y rompió el fuego con el mayor ardor , sin embargo de que los faccio tenia ya formado desde la legislatura anterior, se acordó que se im sos estaban al abrigo de buenos parapetos en los vallados de las hereda primiesedes y caserío…</t>
  </si>
  <si>
    <t>…e fue se declaró haber lugar á votar sobre su totalidad. iid, pres ntada por el br. Meló. Se aprobaron los artículos siguientes. D i regimiento de milicia activa de Huesca, por el Sr. Infante. Del ayuntamiento constitucional de la ciudad de S. Roque y de la Proyecto Je decreto para la formación del estado mayor del epé. c'to. milicia nacional de la tn sina , por el ir. Abreu. Are. r.° ■&gt; El cuerpo de esta lo mayor de los ejércitos naciona'e* Del s…</t>
  </si>
  <si>
    <t>…iendo de cobrar en dinero lo que las personas parti Se acordó que se prorogase la sesión por una hora mas. culares deban hasta el referido tiempo r quede autorizado el Gobierno £1 Sr. Infante: Una de las cosas que la comisión ha meditado en para transigir acerca de las cantidades según las circunstancias de la dea» este asunto ha sido Ja que ha manifestado el Sr. Becerra, y en cuan &lt;U y la pos.bilidad de loa deudores, y para cobrar en frutos ó en…</t>
  </si>
  <si>
    <t>…de Tudela , presentada y leída poc plona. Gan-.baite tiene su caballería en la ribera, aunque en muy mal estado. Se nota de algún tiempo a esta parte, y sobre todo desde queja el Sr. Infante. . De a milicia activa de Zaragoza , presentada y leída por el mismo junta de Imti se marchó á Francia, que no hay aquello»socorro» de Lies, ni aun de municiones; es verdad que la estación no les favorece, Sr. diputado. D* lá junta de partíc'pes legos de Mala…</t>
  </si>
  <si>
    <t>…S D2 ESPAÑA. de alabarderos. Por estas razones creo que las Cortes r.o deben ctD' veni- en el aumento de las dos compañía» que propone ia c-ruinon Madrid Martes Ji di '¿Irsrti. El Sr. Infante: La impugnación que ha hedió el Sr. O ira tendiil lugar en mi conc -pto si la comisión hubiera propuesto este aunua El Rey y U Reina siguen con mejoría. S3- AA. siguen sin nove . to ex'stiendo la guaidra R al tai como las anteriores Cortes lad’cnta. dad en su…</t>
  </si>
  <si>
    <t>…e tapias; reconocí á favor de la luna el terreno , y misión creo que las Cortes no di ben dudar en aprobarlo. viendo que presentaba un campo donde p^ dia maniobrar nuestra caba El Sr. Infante, después de hab-r respondido á las objeciones hechas llería y ocultarse la infantería, dispuse que ¡os d siacamu tos de ¡os por el Sr. Arlan, ampliando algunas datas razones dadas por ei sm-or cuatro bataih.-n-ts B , G, D , E formasen rn batalla paral: lana.…</t>
  </si>
  <si>
    <t>…lave de la América del Sur; siendo hor De un considerable número de ciudadanos de la ciudad de ILzi, rorosa la pintura que hacen de su estado actual, que atribuyen á la apa por el Sr. Infante. tía é indiferencia con que nuestro Gobierno lia mirado aquellas fértiles De la milicia nacional local Voluntaria de (a ciudad de Teruel ,por y vastas posesiones. el Sr. López Cueva». » Es probable (dicen) se declaren estas comarcas independientes, De la mili…</t>
  </si>
  <si>
    <t>…............................. s * De un número considerable de eclesiásticos de Álburqucrque , por En Valladolid.............................................................. I el Sr. Infante , y de los milicianos nacionales voluntarios de Oicpesa, En Vitoria.................................................................... t por el mismo Sr. diputado. En Búrgos.................. r De los individuos que componen el resguardo militar de la pro En…</t>
  </si>
  <si>
    <t>…ha necho otra cosa que advertirnos de que en su opinión las Cortes extraordinarias cerraban sus sesiones. el riesgo es ir.n-iner.te: que no se puede decir si hoy ó mañana será El Sr. Infante: Señor , se han expuesto ya tantas y tan poderosas mayor; pero la que si sabemos á no poderlo dudar es que el que ha razones en apoyo del dictamen de la comisión , que parece excusado el conminado a la Esp.iia con que en adelante sera gobernada al atbltr:o ex…</t>
  </si>
  <si>
    <t>…oderosas aconte» ño! septien se ha extendido á algo mas, y quiere que se hable 3 la jan que se adopte la medida propuesta. Nación, lo cual se hace todos ios dias, como ha dicho el Sr. Infante, Él Sr. Septien ha dicho que antes de tomar esta medida seria con sin necesidad de ningún manifiesto; pues á la verdad seria muy ex veniente hablar á la Nación ; yo ciertamente no me opondré i que se traño que *n circunstancias criticas, ames de entrar en la…</t>
  </si>
  <si>
    <t>…hacer responsables el pa De los individuos dei batallón de milicia nacional activa de Lugo , por triotismo y 2elo de los actuales secretarios del Despacho desde ahora hasta’ dicho Sr. Infante. el último momento de su encargo nos resultarán evidentes ventajas. - las Cortes quedaron.enteradas de un oficio del Sr. secretario de Gra Por lo mismo exc-to á las Cortes paraqne admitan las dos indicaciones' cia y Justicia, en que comunicaba á las mismas qu…</t>
  </si>
  <si>
    <t>…ocumentada, de las viudas, a .as dos y cuarto. hijos ó madre de los que fallecieren en actual servicio en los cuerpos,y pi Brota La felicitación It-ida en ia sesión de ayer por el Sr. Infante era dan pensión de viudedad, ó de Jas mugeres de los prisioneros que soliciten dei general Mílans y de los individuos que componen su división , y no del la media paca de estos ó de igual naturaleza, serán examinadas en las ins general Manso, como se dijo equ…</t>
  </si>
  <si>
    <t>…to es como la nubeia nacional de Madrid si tratase de- comprar este Setv co , y el repodré aprobarle, íultaelo seria desorganizar y destru-r la mil-cía nac onal de esta corte. F.l Sr. Infante: Puede decirse que descosa de acertar la comisión, cada El Sr. preopinante se ha alarmado en demasía , temando que se com uno de sus individuos prcs.tit un proyecto paitiui.ar , y que el que se ha prometa á los milicianos de Madrid á un serv c o mas act vo no…</t>
  </si>
  <si>
    <t>…Se abrió á las once meno* cuarto; y leída el seta de 3a «e»ion anterior, adopte la propuesta indicada. quedó aprobada , mandándose agregar á ella el voto particular de los seño El Sr. Infante apoyó las razrnes del Sr. Lillo, después de lo cual se res Meca , Alix , Arcllano , Alonso, IsturÍ2 , Velasco, Soria , Neira , Rei- tuvo por retirado el dictamen, y se adoptó la propuesta de este Sr. dJlo, AiUon y otros , contrario i la aprobac oh de varios a…</t>
  </si>
  <si>
    <t>…de Hacienda, -acompañando la tarifa de El Sr. Sotos: Si mi propuesta fuese concebida en el modo como el los sueldos que se necesitan para los dependientes de Ja lúbrica de sal de Sr. Infante ha dicho, seguramente que tendría los inconvenientes que S. S. S. Fernando. ha expuesto; pero mi propuesta está reducida á que ios ayuntamientos Satis Del misino Sr. secretario,acompañando la tarifa de queháblael.artícu- fagan las pensiones de cuenta del Esta…</t>
  </si>
  <si>
    <t>…rian admitidos en las filas de los facciosos. No se hallan en el plazados como últimos segundos tenientes.” mismo caso los que permanecieron en palacio: entre estos no hay duda El Sr. Infante convino con esta idea, y en seguida quedó aprobado que habría muchos culpables: á estos debe tratárseles como correspon el artículo del modo que lo había propuesto el Sr. Benito. de; pero también los hay que estuvieion conteniendo * la tropa insu Art. 10. » L…</t>
  </si>
  <si>
    <t>…ra D. Domingo Baso. - 3,* Para consternar la Real familia,y obligarla i que.se trasladase Por Real decreto de 22 de Marzo de 1820 se convocaron Cortes i Búrgos manifestó al Sermo. Sr. Infante D. Francisco- de Paula que crd uarias para el 9 de Julio del propio año, dia memorable, en que un partido republicano atentaba contra sus vidas, y le rogó que avisa ei Monarca había de prestar , como presto , el solemne juramento de se de ello á S. M. .para que tomara las medidas c…</t>
  </si>
  <si>
    <t>…restó á la egecucion del proyecto trazado por D. Dominga las do. de su tarde de este afío de la fecha en el lugar de Huertas de Baso , á pesar de que habiendo acompañado al Sermo. Sr. Infante Don Animas, arrabal de la ciudad de TrujilLo, y con separación de vere Francisco de Paula la noche que se presentó en la casa de aquel, de das , el diezmo serrano lanar, haciéndose la venta de él al fiado , y pa bió saber que el último despreció la noticia del republica…</t>
  </si>
  <si>
    <t>…dos y expuestos, y acom visto el estado deplorable que amenaza á la Francia en sus mismos de pañando á Baso cuando este fue á hablar del partido republicano al partamentos. Sermo. Sr. Infante D. Francisco de Paula, ya ajustando carruagea para El Times publica una carta dirigida por un gran número de ingleses las diligencias que se ofrecieron, y ya los tiros que se habian de apos pudientes á lord Beminclc, designado para reemplazar á Sir A'Courten tar , y se apostaron e…</t>
  </si>
  <si>
    <t>…ntado á SS. MM. y A A. Estí tarde ha habido corrida ds stvell; y anuncia siempre un viento fuerte de este que pocas veces deja toros, 3 ¡a que han asistido S. M. el Rey, el Sermo. Sr. Infante Don de levantarse i muy poco rato, habiéndose manifestado algo antes al Francisco de Paula y la Serma. Sta. Infanta su Esposa; manifestando el otro lado del canai. El memento d* bajar mas cómoda y fácilmente es pueblo en cuantas ocasiones se han ofrecido el mayor…</t>
  </si>
  <si>
    <t>…dier D. Antonio López Santa Ana, noticiándole haber S. A. R. la Serma. ára. Infanta Doña Luisa Carlota, espo se recibido el acta eon el mayor júbilo y satisfacción en Alva- sa del Sr. Infante D. Francisco de Paula, ha dado á luz un ro rado , Orizaba y Córdoba; á los que contesta dicho brigadier, busto niño con toda-felicidad , al cual se ie ha puesto por nom manifestando que en Veracruz al momento del recibo de los re bre Henrique; y S. M. le ha concedido el título de…</t>
  </si>
  <si>
    <t>…creído convemente autorizado, y con él se logrará que este reglamento pro niente darles esta facultad, porque los comandantes generales co duzca los efectos que todos deseamos. El Sr. Infante: Ya hace tiempo que di mi opinión sobre es nocerán mejor el modo tn que deben constítu rse y formarse en cada país las partidas de* guerrilla, los auxilios que neces'ten, y tos cuerpos, y dije lo mismo que diré ahora. Estos cuerpos han todo lo demas que desea…</t>
  </si>
  <si>
    <t>…ismo no puedo menos de des Ja guerra que tenemos que sostener tenga un resultado fel'z , es aprobar el ari'culo. preciso que los españoles contribuyan con sus esfuerzos á hacer El Sr. Infante: Desventajosa es la posición de la comisión si la , y es seguro que Ja seducción cada día se aumentará sino se los Sres. diputados impugnan el dictamen con razones filosófi toman medidas duras y violentas. cas ; pero , señor, la primera cosa que hay que consi…</t>
  </si>
  <si>
    <t>…nga en práct ca lo que ya está mandado en el art. 27 ó 29 • tes las disposiciones que la comisión propone. de la ley constitutiva del ejército: por ella está impuesta á ios pue El Sr. Infante p.dió se leyese el artículo adicional á este pro blos esta obligación , con la diferencia que allí se impone por un yecto que el Gobierno había remitido últimamente, y con ei se tiempo indefinido, y aqui solo por ei Termino de un año. Intere conformaba la com…</t>
  </si>
  <si>
    <t>…lo se castigue á quien no lo es. Congreso sobre este punto. Ei Sr. Muri¡; Las leyes, tumo muy oportunamente ha dicho A Ja de Casos de responsabilidad se pasaron dos quejas, una el Sr. Infante, tienen declaradas Jas penas que corresponden á de D. Manuel Trinidad Moreno, acerca de la causa secunda por los desertores y encubridores: lo que se trata ahora es de que si D. Francisco Mallon contra D. Josef María Campo; y otra de se desea que la Nación te…</t>
  </si>
  <si>
    <t>…blo. Ademas de esto, si se medita con detención se observará por el dictamen de la comisión ro se consigue nada. que están satisfechos los deseos del señor preopinante, pues en El Sr. Infante: Yo no he dicho que el d.ctamcn fuese con los pueblos pequeños habrá menos probabilidad de que se deser trario á la Constitución, y quisiera que los Sres. que dicen que se ten'los milicianos que le competen que en los pueblos grandes, pueden evitarlos malí s…</t>
  </si>
  <si>
    <t>üiccon con los anteriores, y de consiguiente no puede aprobarse. que la .ley. del asilo les concedo este beneficio; pero quién nos Ei Sr. Infante: El Sr. preopinante cree que la pena de dos asegurará de que entre estos emigrados ó refugiados no vengan meses de arresto es demasiado leve en proporción de la que en muchos Sir.oncs que conviertan contra la patria las armas que es les otros artículos se imp…</t>
  </si>
  <si>
    <t>…A petición dei Sr. Saavedra se levo el informe sobre el par ejercito invasor ; pero de ningún modo respecto de los de otras ticular del gefe de estado mayor general. naciones. El Sr. Infante: La impugnación que se hace á este artrcu!o El Sr. Infante: No reproduciré las razones que se han dado parece que no se dirige á que no hav.l ia com.s on que en ei se ya en defensa deL proyecto de Ja comisión. El proyecto tendrá propone, smo á que sea el gene…</t>
  </si>
  <si>
    <t>…a esta base diré alguna cosa con respecto á lo que ha di ro que las Cortes aprobarán la proposición que se discute. cho el Sr. preopinante. Aunque soy enteramente de su opinión El Sr. Infante: A mí siempre me arredraría el legajo de pa no dejare de suplicar 4 la comisión de Hacienda que supuesto peles que la comisión nos ha presentado; pero si se hubiesen de circunstancias imprevistas nos han privado de un ministro de Ha ir registrando todos ellos…</t>
  </si>
  <si>
    <t>…Gobierno para que pueda admitir en trega del todo Se mandó imprimir. cambio de dichas posesiones , ó í pagar sobre su valor ya realiza- Se leyó por primera vez una proposición del Sr. Infante pa doj y sobre la suma anual de $oo9 pesos sobre las cajas de Ma ito que el artículo 6P del cítenlo de t.° de Noviembre último, nila, armamento, municiones y pertrechos de guerra , y cualquie anulado por otro de 18 de Hbrsro próximo pagado vuelva á su</t>
  </si>
  <si>
    <t>…za. El general enemigo D. Mariano Mantilla, que se halla ma , como ha asegurado en la sesión de Cortes de ayer el señor ba en Rio-Hacha con un cuerpo de tropa poco aventajado para diputado Infante, creemos que se podrá organizar el egército llamar la atención del general en gefe, se embarcó para Carta en poco tiempo, si, como esperamos, las diputaciones provin gena por ia difícil posición en que le puso la' ocurrencia de San ciales de los distritos ref…</t>
  </si>
  <si>
    <t>…dados formar. No se admitió á discusión por ej artículo, de nada servia el que se discutía. votos contra 3 1. El Sr. Velasco dijo que debían expresarse las alhajas que ha Otra del Sr. Infante, leída por segunda vez, relativa á qui bían de quedar en Jas iglesias, aunque Ja plata y el oro no eran voh/icse á su fuerza y v:cor el art. ó.° deí decreto de ¿.°de No necesarios para el culto divino; y propuso se dijese que en cada viembre último, anulado p…</t>
  </si>
  <si>
    <t>…ndó Art. 3.0 ,,Se autoriza al Gobierno para que pueda admitir imprimir. en cambio de dichas posesiones, ó á pagar sobre su valor ya rea Se leyó por primera vez una própoticion del Sr. Infante pa lizado, y sobre la suma anual de goo2&gt; pesos sobre las cajas de ra que el art. 6.a del decreto de i.° de Noviembre último, anu Manila, armamento , municiones y pertrechos de guerra, y cual lado por otro de 18 de Febrero próximo pasado, vuelva á su quiera p…</t>
  </si>
  <si>
    <t>…ritas en el art. anterior-, y ademas á ia en sus destinos no auxilian en nada al cjétc.to invasor; y tam multa. bién quisiera que hiciese la cotn-s on una c.stincion entre aque El Sr. Infante: Las razones alegadas por el Sr. preopinante llos que solicitan destino del Gobierno intruso , y los que solo me hacen tanta fuerza que no puedo menos de convenir con su continúan sirviéndolos. señoría en que la pena es algo corta- Ciertamente, señor, que el…</t>
  </si>
  <si>
    <t>…n yo suplico á las Cor Premios de la anterior legislatura sobre la consulta del Gobierno tes se sirvan aprobarlo. acerca del sueldo que debia abonarse á D.-Juan Alvarez Guerra, El Sr. Infante: He pedido la palabra en contra solo para ha secretario que fue del 'Despacho de la Gobernación de la Penín cer una pregunta á los señores de la comisión , reducida á si este sula desde el dia 11 de Mayo de 1814, que fue preso hasta el dictamen podrá en algún…</t>
  </si>
  <si>
    <t>…comisión Especial encargada de informar sobre las propo ocurrido sobre este expediente particular: pero que es extensiva á siciones de varios Sres. diputados, en vista de una del Sr. Infante, todos los de igual clase; de consiguiente es preciso que se dé una informada por el Gobierno; accediendo á ella opinaba que las regla general. Esta regla general ha de recaer sobre si han de ser Cortes podían acordar que el art. 6° del decreto de i.° de No v…</t>
  </si>
  <si>
    <t>…aber satisfecho los argumento* del señor ha podido relevarnos, los cuales invoco en este momento, por que los representantes de una Nación religiosa no pueden desenpreopinante. El Sr. Infante: He pedido la palabra en contra para que los tenderse de su fuerza. señores de la convsion se sirvan aclararme una dificultad. Puede Pero como desde entonces acá se han multiplicado los areusuceder el caso en que por hallarse dividido un cuerpo en dife mentos…</t>
  </si>
  <si>
    <t>278 que posee, opinaba que las Cortes accediesen á esta petición. El Sr. Infante: A la comisión r,o ha venido mas que una ex Aprobado. ’ posición del interesado, en que pide se aclare si los jueces deipriLa -misma comisión , en vista de un -oficio del Gobierno , ma mera instancia deben estar comprendidos en-el reemplazo-del ejer nifestand…</t>
  </si>
  <si>
    <t>…s noticias que había, y segurr el ral , intendente y gobernador de la plaza.” estado en que estaban las cosas , pues si los enemigos hacían algu También se aprobó la siguiente del Sr. Infante. «Pido á las nas marchas forzadas no darían lugar á la traslación , y por lo Cortes que se nombre una comisión que proponga á Jas mismas tanto que convenia la salida de su persona y de las Cortes á la el número de individuos que hayan de componer la Regencia.…</t>
  </si>
  <si>
    <t>…DE TALES. El brigadier Josef de Sousa Sampayo, comandante del regimiento de infantería ném. 23, y el coronel Dautel , comandante de de caballcría núm. 4, acompañaron á S. A. S el Sr. Infante D. Miguel á Villaftanca el día 27 del mea pasado, quien publicó luego una proclama. El general Manuel Ignacio Martina Pamplona, que se hallaba después de coen su quinta » tuvo la honra de reunirse el mismo día á S. A. S. y aceptar de su mano la dirección y despacho de…</t>
  </si>
  <si>
    <t>…para responder á las preguntas que acababan de tendente y gobernador de la plaza." hacérsele , ni había podido ponerse de acuerdo con sus compa También se aprobó la siguiente del Sr. Infante: » Pido á lu ñeros , tanto mas que dos no estaban en el salón , y que podia cortes que se nombre una comisión que proponga á las mismas asegurar á las cortes que el ministerio estaba firmemente persua el número de individuos que hayan de componer la Regencia.…</t>
  </si>
  <si>
    <t>…standarte de la lealtad contra el de ia rebelión, y son ios sugetos si guientes: Generala promovidos por S. M, F. después de restituido a su plena libertad. Generalísimo el Sermo. Sr. Infante D. Miguel: ayudante general el teniente gene ral marques de Villa-Rsal: capitán general de la provincia de Tras-os Montes el conde de Amarante: capitán general de la provincia del Minlio el general Gaspar Tejcira Lacerda : de la provincia de Beira Alta el general Berna…</t>
  </si>
  <si>
    <t>…grafe ello es que parecerá, cuento ,* pero ha manifestado vivos deseos de ver á sus hijas y de que las acom es un sucedido, se refiere una anécdota de un arriero que pedia pañe el Sr. Infante D. Carlos, puedo asegurar que S. M. F. solo la restitución de un pollino, y que por tal tomaba á un minis desea que sus dos hijas y nietos pasen en Portugal estos dos meses tro. Los editores, al hacer presente que el diputado á Cortes que del rigor de la estación, en q…</t>
  </si>
  <si>
    <t>…ar cuándo empieza, que solo depende de la licencia del Rey por estar en sus atribu y qué medios hay para ev.iarla. Un pa.sano, ¿quien hacia esta ciones, El augusto padre del mismo Sr. Infante obtuvo del Señor pregunta un capitán, le contestó que marcharse ó ir á tomar D. Cárlos iv una licencia ilimitada para residir en Portugal, media oncita de plomo á las avanzadas de la Isla__Los edito adonde no ha perdido los derechos de sucesión al referido ma…</t>
  </si>
  <si>
    <t>…ior se hiciese Jos despachos , era el mismo que otro dado antes por las Có.rtes respecto del tercer ejército de operaciones , proponía otro dicta á consecuencia de proposición del Sr. Infante , pues que se nota men , por el cual se hacia igual declaración respecto del mencio ba alguna diferencia en !a redacción. nado ejército. Quedó) aprobado este dictamen. El Sr. González Alonso manifestó) que este decreto era el La comisión de Guerra , en vista…</t>
  </si>
  <si>
    <t>…ernar á ningún extrangero: prohibie Gast®» de la Cámara de la Rema............... 640,000 ron ademas el u»o de ia lenjuu csjraiioiu, y no creyendo a ios je Consignación del Sermo. Sr. Infante Don suítas españole» bastante desprendidos de su patria, llevaban con</t>
  </si>
  <si>
    <t>…Idem de los cesantes de propios y pósitos ña Francisca de Asis, su esposa.............. 600,000 agregados al archivo. . . ........................... 86,900Consignación del Sermo. Sr. Infante Don Gastos'de escritorio de la secretaría.............. 80,000 Francisco..................................................... 1.650,000 Pagaduría é intervención del ministerio........ 217,000Gastos de la Cámara de la Serma. Sra. Do ña Luisa, su esposa......................…</t>
  </si>
  <si>
    <t>…ares, Hoy se han celebrado con el mayor regocija y satisfacción __Nuestros diarios revolucionarios están sobremanera coléricos general en esta corte los dias de S. A. R. el Sermo. Sr. Infante contra los periódicos españoles y franceses, porque traen que D. Miguel. Las innumerables personas que han concurrido al cuando Sir Guillermo A’Court fue presentado al Rey Fernan Real Palacio de Bemposta para cumplimentar á S- A. R. por do en Sevilla le felic…</t>
  </si>
  <si>
    <t>…está en Chatarn, pasará á Gihraltar al 17.0 de igual El Rey nuestro Señor se ha servido conceder el Toison de arma, que desde allí dará la vela para las Antillas. Otros dos Oro al Sr. Infante D. Sebastian. regimientos de Irlanda pasarán inmediatamente al mismo punto, Y ha nombrado Gran Cruz de Carlos m al Duque Mateo porque el estado de las colonias inglesas ofrece motivos para se Montmorency , Par de Francia. rios temores, que calmarán con una fuerza respetab…</t>
  </si>
  <si>
    <t>…idelísima y conse- pedición de dicha carta. .; / giúdo el permiso deítcner una audiencia particular con S. A. R. . 4.a Los que soliciten pasaporte para salir -de, la corte debe el Sr. Infante 1); Miguel, dirigió ¿este Príncipe, con tal ocasión rán igualmente presentarse al Alcalde de barrio respectivo coa el discurso siguiente: - persona que lo?- fie ó abone, y previo el V.s £.° del Señor Co &gt; • Sermo. Sr.: Encargado ppr S- M, el Emperador mi augu…</t>
  </si>
  <si>
    <t>…ones, su origen , doctrina y máxi ,,E1 Sr. General Vizconde de Varzea, habiendo hoy recibi mas: tercera edición__Historia de la nueva Antígona : un tomodo orden de S. A. el Sermo. Sr. Infante D. Miguel , Comandan en 8.°__El Judío errante, ó Compendio histórico de los princite en gefe del ejército, pata disolver el cuerpo de observación pales personages y de los mas ruidosos acontecimientos desde elreunido hasta ahora en esta provincia, cumple con el grato d…</t>
  </si>
  <si>
    <t>Infante, Facundo</t>
  </si>
  <si>
    <t>Facundo Infante</t>
  </si>
  <si>
    <t>…por 60 votos de 9r. la universidad central han formado un batallón , cuyo mando han da La comisión de Hacienda &gt; en vista una solicitud de D. Agustín do al Sr. diputado de Cortes D. Facundo Infante. Los señores oficiales Guajardo y Fajardo para que se le permita introducir en bandera es- de las secretarías del Despacho han formado también una partida , asi trangera en el puerto de Santander una partida de cacao, que ea el va como los oficia’es de la ins…</t>
  </si>
  <si>
    <t>…cibido ci put" siguiente di rigido r.l intendente dr: la provincia de Vico : ,,Eí --Se asegura que el benemérito diputado á Cortes traidor Vázquez, que nuevamente ha tratado dr in D. Facundo Infante ha sido nombrado jefe del Es surreccionar este pus ( Cotovad ) pa¡.a lo que se em tado mayor del ejército de reserva. plearon Mis agentes, como ya yo tenia noticias, cre yendo sin díala llegado ya el mono uto, se presen =La Diputación provincial ha comprado 5…</t>
  </si>
  <si>
    <t>…ficiales y tropa, los guias cuyo rescate , hecho por un segundo avance dirigido por el salineros, y cuantos concurrieron á la expedición mostraron valor subinspector de infantería D. Facundo Infante, llenó de ale y entusiasmo; que fue preciso contener en vez de estimularlo, gría á la columna, por desgracia de corta duración por haber ‘pero que el cabo de cazadores del 5."batallón Alfonso Jaén y el muerto al fin de sus heridas. El comandante Perez conclii…</t>
  </si>
  <si>
    <t>Infante, Josef Miguel</t>
  </si>
  <si>
    <t>Josef Miguel Infante</t>
  </si>
  <si>
    <t>…cast.-o. Esto se.un parece visional á una ¡unta administrativa, compuesta de los ciudadanos tiene por objeto dar a Jt.ubide otro destino diferente que eL de D. Agustín Eizaguirre, D. Josef Miguel Infante y D. Fernando vivir en Italia con el api rato de un principe. Errazuris, por cuanto no hay en ia actualidad una representación En la sesión del ¡Ó se discutió la proposición sobre suprimir nacional ante ia cual pueda yo .hacer mi renuncia, y porque la el Consejo de Estafo,…</t>
  </si>
  <si>
    <t>Infante, Julián Francisco</t>
  </si>
  <si>
    <t>Julián Francisco Infante</t>
  </si>
  <si>
    <t>…nes del coronel de Enero de t8i8 , a favor de IX León García Vitlareal, de 72 j rs. de Mallorca D. Joeef Jcisqü'n Marqu'z Donallo, __Otro, registro i.°, núm. 18 de id., á favor de D. Julián Francisco Infante D. Culos 1100 hombres. Mallorca iS). Bujalance 700. To de Ibarra , de 722 rs__Otro, registro 9, núm. 423 , á favor de Doña tal :8co. Francrica Muñoz, del mismo año de 18, de aid5 rs—Otro, número Primera brigada de la s’gunda división. 542 , de i.° de Setiembre de 1807…</t>
  </si>
  <si>
    <t>Infanzón, Vega</t>
  </si>
  <si>
    <t>Vega Infanzón</t>
  </si>
  <si>
    <t>…minos di.berá tener la últimamente sos, y sobre los préstamos del consulado de Cádiz. concedida para conferir comisiones ó destinos á los consejeros de Esta Se concedió permiso al Sr. Vega Infanzón para trasladarse i su pais da , pedimos que igualmente cesen desde este dia.” por un mes á restablecer su salud. Se declaró comprendida en el art. too del reglamento; y admitida La comisión de Guerra , en vista de la adición del Sr. Prado sobre i discusión, t…</t>
  </si>
  <si>
    <t>…r. modo creo que se conseguiría enteramente el objeto de las Cortes, y por Se aprobaron los artículos siguientes. lo tanto haré proposición formal sobre este punto. TITULO XIV. El Sr. Vega Infanzón dijo que aun faltaba que fijar definitivamente el punto señalado para la traslación. He la» obligaciones de los inspectores generalesEl Sr. presidente contestó que S. M. le habia ya fijado en Sevilla, y de Art i.° „Los inspectores vigilarán que los cuerpos de…</t>
  </si>
  <si>
    <t>…so que habien do por la comisión Primera de Hacienda. do dado el Señor presidente de la diputación la res ■ -La'comisión'opiraba que las Córtes podían aprobar puesta de S. M. , el señor Vega Infanzón quiso in los dos siguientes artículos: terpretarla, v se pidió al spftor Valdes que fija c li Primero: Se'señalan para los gastos de la Gober teralmente las palabras, no porque dudasen las Cor nación debía' Península en ci año próesimó iq.5o8,55o tes &lt;1.. su…</t>
  </si>
  <si>
    <t>Infarte</t>
  </si>
  <si>
    <t>…o nos De los individuos que componen la pagaduría del ministerio de 1a retiramos á los dos fuertes, y el fuego cesó en todas partes. Gobernación de la Península, presentada por el Sr. Infarte. » A poco rato hemos observado que estas mismas columnas se re A la comisión Eclesiástica se mandó pasar una exposición del cura plegaban, y desde luego auguramos felizmente; con efecto entonces ya . párroco de Albalate, manifestando haber leido en el extract…</t>
  </si>
  <si>
    <t>Inferimos</t>
  </si>
  <si>
    <t>…ería francesa y tropas var pliegos al general español conde de Cartagena, lo que le fue ligeras. concedido y verificó su salida. Por extraordinario que acabo de recibir del Excmo. Señor Inferimos de este último paso que su objeto será pedir la conde de Cartagena, pongo en noticia del leal y sensato pueblo mediación del conde para con el general frunces. da Santiago para su satisfacción, que en la noche de ayer han Habiendo arrojado las olas á un arena…</t>
  </si>
  <si>
    <t>Ingozo</t>
  </si>
  <si>
    <t>…que se conseguirla mejor empe jor sus pe'rfidos fines. Después de haber hecho - ai as runchas re le ñando en eho á todas las tropas Leales, y armando las milicias sione» , dijo ei Sr. Ingozo que era necesario conservar ¡a Cons nacionales: que estas eran medidas verdaderamente enérgicas y titución , pero que también lo era tv.ur ia anarqu a: que la co no ia deposición del ministerio. Hablo del nombramiento del misión había lijado toda su atención…</t>
  </si>
  <si>
    <t>Iniesta, Juan Antonio</t>
  </si>
  <si>
    <t>Juan Antonio Iniesta</t>
  </si>
  <si>
    <t>…diputaciones provinciales, pueden formar las Se mandó pasar á la comisión de Gobierno interior una expo jiinti, que deben nombrarse en virtud del decreto de 27 del cor— sición de D. Juan Antonio Iniesta y otros empleados en la se r ente Jumo , las que aunque no se compongan de individuo al cretaría de las Cortes, individuos todos de la M. N. V. de Ma guno de elccc'on popular usarán délas facultades concedidas á las drid , exponiendo tenían orden para pasar á…</t>
  </si>
  <si>
    <t>Intenden</t>
  </si>
  <si>
    <t>…y que la muchedumbre se agolpaba á recogerlo, sin Madrid 20 de Octubre. hacer ninguno la menor demostración de querer participar de ¿lio. El mismo Contador, comisionado por dicho Sr. Intenden reales loterías. te, pasó á felicitar al ayuntamiento, y ofrecerle en su nombre En la extracción de la Reál Lotería primitiva, celebrada ea para refresco á los voluntarios Realistas Un tonel de 36 cántaras la tarde de este dia, salieron sorteados los números…</t>
  </si>
  <si>
    <t>Intendente</t>
  </si>
  <si>
    <t>…as que la hagan aplicable a ca morzando. da individuo. Inmediatamente los condujo á su población, desde donde Ocupando como ocupáis el destino oficial de Vice-cónsul ofició á este Sr. Intendente , manifestándole que se dirigía coa déRusia en el puerto de........ en virtud de las instrucciones que ¿i á ponerlo á su1 disposición. l(e recibido, me apresuro á comunicaros las declaraciones .A las cuatro y media de la tarde llegó, aquí este venturoso adjun…</t>
  </si>
  <si>
    <t>…plaza de la catedral hicieron jada de Paris al Excmo. Sr. Duque de S. Cirios; para el Minis salva pór todo el diá. terio de Viena al Excmo. Sr. Conde de Casa-Flores, y para el Él Sr. Intendente, aunque se hallaba postrado en cama, no ,de Rusia al Conde de la Alcudia. Para Mayordomo mayor de pudiendd cónteñér el júbilo dé su corazón, mandó que por todo su Real Casa al Excmo. Sr. Conde de Miranda, y para la Pre el mt» se suspendiesen los apremios desp…</t>
  </si>
  <si>
    <t>Interior, Secretario' del Despacho del</t>
  </si>
  <si>
    <t>Secretario' del Despacho del Interior</t>
  </si>
  <si>
    <t>…osta los agentes españoles por todas: to. Dios guarde á V. E. muchos años. Jerez 2 ae Octubre de partes, determinaron poner fin á un estado de cosas, que era el 1823. Víctor Saez.=Sr. Secretario' del Despacho del Interior* escándalo universal, que caminaba á trastornar todos los Tro LA REGENCIA Á LA NACION ESPAÑOLAnos y todas las instituciones antiguas, cambiándolas en la irre ligión y en la inmoralidad. “ . espaSoles: .....................Encargada Já Fraricia de tan santa em…</t>
  </si>
  <si>
    <t>Introductores, Juan Garrido Manzana</t>
  </si>
  <si>
    <t>Juan Garrido Manzana Introductores</t>
  </si>
  <si>
    <t>…163,707.-14 manca................................................................. 9,000 Pensiones....................................................... 59'9I^,,24 Jubilación de D. Juan Garrido Manzana Introductores de embajadores........................ 48,000 res , maestro de primeras letras dé Hucte. 2&gt;7E&gt;° Auditores de la Rota romana...................... 60,800 Archivos de Simancas........................................ 43,000 Gastos secretos y eventuales..........…</t>
  </si>
  <si>
    <t>Inzenga, Angel</t>
  </si>
  <si>
    <t>Angel Inzenga</t>
  </si>
  <si>
    <t>…la procesión, donde iba formada la milicia local de dicha Oda patriótica de D. J. B. Arriaza, puesta en música por ciudad , y en seguida arrojándose sobre ella todo el paisanaje, D. Angel Inzenga, y egecutada en el teatro del Príncipe de es logró desarmarla sin ninguna desgracia, procediendo á derribar ta corte en la noche del 30 de Mayo último, dia onomástico la lápida, reponer las autoridades del año 20, y proclamar la del Rey nuestro Señor (Q. D- G…</t>
  </si>
  <si>
    <t>Iorr, Josef María</t>
  </si>
  <si>
    <t>Josef María Iorr</t>
  </si>
  <si>
    <t>…doloridos. La Reini y Justicia á D. Josef Zorraquin , de Hacienda Y Lorenzo L.jIvo ce Ro continúa aliviada. SS. A A. continúan sin novedad en su importante suiud. zas, de Guerra á D. Josef María Iorr.|Os, de Mar.11a a D. llur -- R— may; y que mientras elegía p-.rsona que desempe.vasc el :v&gt; m,te....» O. a CORTES. Gobernación de Ultramar ti aba nombrado ir.í.-r.num.vte pira el m.»:::.i á D. Antonio Díaz del Moral. luis Cortes qucoavor crural.;-. rofSJDENCI…</t>
  </si>
  <si>
    <t>IR, Fuentes del</t>
  </si>
  <si>
    <t>Fuentes del IR</t>
  </si>
  <si>
    <t>214</t>
  </si>
  <si>
    <t>…an hecho tución liberal en lo posible, que reúna las voluntades de todos acreedores los defensores de Valencia. los españoles: que una parte considerable del pueblo bajo no tie El Sr. Fuentes del IR i o hizo una proposición para que la co ne opinión ninguna; habla por la costumbre inveterada que le misión de Casos de responsabilidad diese su dictamen sobre el hace respetar lo mas antiguo como lo mas justo, y que el medio expediente promovido contra el ge…</t>
  </si>
  <si>
    <t>Ir, Juan de</t>
  </si>
  <si>
    <t>Juan de Ir</t>
  </si>
  <si>
    <t>…3. Dios guarde á V. E. muchos años. Manila 23 de Noviembre de 1822. — Excmo. Señor. =; Juan Antonio Martínez. ANUNCIOS. El Rey ha expedido el decreto siguiente: Por el juzgado del Sr. D. Juan de Ir. Torre, juez secundo Don Fernando vn por la gracia de Dios y por la Constitución de primera instancia de la ciudad de Córdoba , y escribanía de de la Monarquía Española, Rey de las Españas, á todos los que número de Barroso, se llama, cita y emplaza á Eran.'s…</t>
  </si>
  <si>
    <t>Ir, Pedro Fermín</t>
  </si>
  <si>
    <t>Pedro Fermín Ir</t>
  </si>
  <si>
    <t>…y poder de S. M. C.: de Pste modo La Regencia del reino ha nombrado para el gobierno mili nuestras comunicaciones directas con Cataluña y Valencia se tar y político de Alicante al brigadier D. Pedro Fermín Ir&gt;ber- hallan aseguradas con la posesión de esta plaza importante. ri, que lo era de Orihuela; y para esta rcsuita al coronel Don En toda la Mancha los paisanos se unen á las tropas france Carlos Uiman, que lo fue de Peñíscola. sas y españolas , y se, apoderan…</t>
  </si>
  <si>
    <t>Ir.rrí'</t>
  </si>
  <si>
    <t>…de imprenta; en cuya consecuencia la ley absolvió á D. Félix Ramón de Alvarado y Velaustcgui responsable de dicho impreso; y el se actual absoluta impot ocia Acabo de recibir del brigadier Ir.rrí' -1 parte, de que tengo el honor ñor juez de primera instancia D. Ramón de Argos mando que se le pu de incluir la adjunta copla para el dexáo rr.ximiento de S. M. Dios guar siera en libertad , y declaró que este procedimiento no debía pcrjud.caile de á V. E. m…</t>
  </si>
  <si>
    <t>Iraban, Vicente</t>
  </si>
  <si>
    <t>Vicente Iraban</t>
  </si>
  <si>
    <t>…esta tarde, se fue lo restante al Pont de Rebenti. fraile mínimo, cogido varios efectos y rescatado cinco patriotas que lleva » Nuestra pérdida ha consistido en el primer ayudante D. Vicente Iraban presos. ñeta, el cabo Juan Guaza y soldado Juan Saz heridos, y muerto el caza „ Egército de operaciones del 7.0 distrito.— Excmo. Sr.= El brigadier dor Fernando Diez. La del enemigo, según las noticias que recibo, es de D. Antonio Roten , comandante de la cua…</t>
  </si>
  <si>
    <t>Irala, Juan de Zivala</t>
  </si>
  <si>
    <t>Juan de Zivala Irala</t>
  </si>
  <si>
    <t>…eza de Doña Isabel de Idiazquez:Jasco.—Excrro. br. secretario riel Despacho de la Guerra." otro de jo9,táo, situado en el nuevo derecho de lanas , en cabeza de Juicio ile jurados. D. Juan de Zivala Irala: otio de 96.410, situado en el :o por 100 En la ciudad de la Coruña, habiendo sido denunciado por Don de lanas, en ccbeza id.: otro de 158, situado en alcabalas de GuiFrancisco ziuloapa, vecino de dicha ciudad, un impreso firmado por púzcoa, en cabeza de Juan…</t>
  </si>
  <si>
    <t>Iraola, Nicolás de</t>
  </si>
  <si>
    <t>Nicolás de Iraola</t>
  </si>
  <si>
    <t>…de Miguel Camerino, D. Baltasar Valcarce, D. Juan Francisco Vielot, Alcántara, mancados por su capitán. La izquierda, ccn La compañía de D. Antonio Puga, D. Pedro Ruiz de Lolzaga, D. Nicolás de Iraola cazadores y 20 caballos de los mismos cuerpos, ai cargo de D. Cirilo D. Josef Pascual ds Guillenca, D. Jostf ds Resusta y D. Ciemenr? da María Pascual , teniente del mencionado cuerpo , y el centro al dil co Zulueta, por unanidad declaró haber lugar á la form…</t>
  </si>
  <si>
    <t>Iraúcta, Vicente</t>
  </si>
  <si>
    <t>Vicente Iraúcta</t>
  </si>
  <si>
    <t>…y buena dirección de los Líquido.............. 4.657,291..30 fuegos rechazar y retirarse el enemigo después de algún rato. En lo mas vivo de la pelea fue herido el primer ayudante D. Vicente Iraúcta, ofi ¡( Notas. cial cuya serenidad y valor infundía mucho aliento á la tropa, y cuya des 1. * Sé hace presente que en las expresadas noticias faltan las correspon gracia hubiera sido taascendental á no ser esta tan buena, y haber recaído dientes á la aduana d…</t>
  </si>
  <si>
    <t>Irazabal, Joaquín</t>
  </si>
  <si>
    <t>Joaquín Irazabal</t>
  </si>
  <si>
    <t>…ntes cometida por el ene guiente proposición: »l^ido á las Cortes se sirvan disponer que la migo en 4a persona del coronel. Casa no, y pedia que se le decla memoria presentada por D. Joaquín Irazabal pase á una co rase benemérito de la patria en gTado heroico, se asignase íntegro misión especial.” á su esposa el sueldo que disfrutaba, mientras no pasase á segundasLos Sres. Adan, Arguelles y Galiano hablaron en contra de nupcias, y se cuidase por la Nación…</t>
  </si>
  <si>
    <t>Irazabal, Joaquin de</t>
  </si>
  <si>
    <t>Joaquin de Irazabal</t>
  </si>
  <si>
    <t>…dación, reconocimiento y expedición de documen-' dos al efecto por las Diputaciones provinciales , fueron electos tos de 3 del presente mes acerca de si debe entregar los vales re D. Joaquin de Irazabal, D. Francisco de la Carrera , D. Ramón novados y documentos de liquidaciones hechas á los individuos Viton, D. Francisco Colon, D. Josef Manuel Aranalde, Don que se presentan, á recogerlos con los resguardos correspondientes, Miguel Mayora y D. Tomas de Urrut…</t>
  </si>
  <si>
    <t>Irazabal, Luciana</t>
  </si>
  <si>
    <t>Luciana Irazabal</t>
  </si>
  <si>
    <t>…a un gentío inmenso, compuesto be aprobó el dictamen de la comisión primera de Hacienda, de lo mas lucido y hermoso de este elegante pueblo, la alegra relativo á que se señalase á Doña Luciana Irazabal , viuda del que respiraba , y el estruendo de la artillería confundido con los mariscal de campo y ministro que fue de la Guerra D. Esta ecos de las músicas militares , daban á este espectáculo majestuo nislao Sánchez Salvador , Ja viudedad de 120 rs. vn., qu…</t>
  </si>
  <si>
    <t>Iriarte, León</t>
  </si>
  <si>
    <t>León Iriarte</t>
  </si>
  <si>
    <t>…nder nuestra columna, y según relación del espitan de la primera suevo egército tema orden de marchar contra aquella provincia, que compañía de caza core* provinciales de Pamplona D. León Iriarte lo no quiere ni al Emperador ni á su Constitución. Se creía que tam ventearon del modo siguiente: bién fuese batido, y que el partido de oposición contra Itúrbide es Dice dicho occial que estando esperando mi regreso observó qus peraba este momento para decla…</t>
  </si>
  <si>
    <t>Iribarren, Francisco de</t>
  </si>
  <si>
    <t>Francisco de Iribarren</t>
  </si>
  <si>
    <t>…ón de fondos. D. Manuel Loprz Concia. D. Valentín Recio. Juicios de jurado. D. Pciayo Zorrilla. D- Eugenio Aravaca. D. Francisco Aceval y Arratia. D. Jtisr.f P.rez Atórales. EISr. D. Francisco de Iribarren denunció en 8 del corriente un ar D. Francisco López Cotana. D. Manuel E.teban Caula. tículo que empieza:» Vamos a dar principio á las semblanza,'* , inserto D. Josef España. D. Antonio Gamonal. «a el 'periódico turnado el Ct&lt;ut tucisnal de uj ; del mismo d:a…</t>
  </si>
  <si>
    <t>Iribuyentes</t>
  </si>
  <si>
    <t>…imiento del año económico , pues sucedía siem comisión de guerra. pre que cuando se llegaba á hacer el repartimiento tenían ios eunAsimismo quedaron enteradas de un oficio del Sr. secretario Iribuyentes dos plazos vencidos, y se hallaban ya casi sin frutos de Gracia y Justicia acompañando una nota del número de secu pava pagarlos; y de aquí se originaban los apremios y otros mu larizados que se hallan empleados en curatos, cuyo total ascendia chos niales par…</t>
  </si>
  <si>
    <t>Irriberri, Pedro</t>
  </si>
  <si>
    <t>Pedro Irriberri</t>
  </si>
  <si>
    <t>…un sargento, un cabo vía soldados. hecho 230 pris'onéros, 62 de ellos heridos, en cuyo número se El batallón cjs la Reina nombrará un sargento, dos cabo» encuentra el ex-brigadler D. Pedro Irriberri, capitán que fue de y jó hombres, que inmediata ¡nenie pasarán de guardia á la fá carabineros, y el ex-guardia D. Juan DavaÜflos, con otro oficial: brica del tabaco t donde se halla colocada la tesorería general, pira se Ies ha tonudo Un estandarte ,'27 cabal…</t>
  </si>
  <si>
    <t>IRuiz</t>
  </si>
  <si>
    <t>…ro , y algunos pobres lativo corresponde el resolver las dudas sobre este negocio. Ade pretendientes ó mas bien suplicantes, cuyo humilde ademan mas la observación que ha hecho el Sr. IRuiz de la Vega sobre manifestaba bien claramente que no tenían para comprar una este artículo tiene mucha fuerza; porque en efecto tratándose en audiencia. Al lado de la puerta que va al segundo pat.o había él del recurso ó juicio petitorio , es indudable que ¡a…</t>
  </si>
  <si>
    <t>Is-</t>
  </si>
  <si>
    <t>…eyeron por segunda vez y se mandaron pasar á las respec tado de un proyecto de ley habría oido el d.clamen de ios abocativas comisiones una proposición del Sr. Varela , y otra del Sr. Is- gados. turlz, leída por primera vez en zg del corriente. Lo que el Sr. Becerra lia creído que es tan fácil de hacer, estov Se procedió á la discusiou del dictamen de la comisión pri yo persuadido que es muy diiicil , v ¡a experiencia me !o ha d ■mera de Hacie…</t>
  </si>
  <si>
    <t>Isabel</t>
  </si>
  <si>
    <t>…en esta; pero se presume sea la fuer Memorias da la academia de la histeria, tomo vr, que contiene el za como d-- 200 hombres, según ellos lian dicho.” elogio de la Reina Católica Doña Isabel , y 21 memorias o ilustra Todo lo que pon,o en noticia de V. fi. para su conocimiento , y ciones sobre varios asuntos importantes y poco conocidos de su reinado, que pueda dictar las providencias que juzgue oportunas; debiendo te escritas por el individuo de…</t>
  </si>
  <si>
    <t>…n de quedar necesitadas á usar del derecho indicado por su apoderado D. Gabriel Sali en los días de fatigas. Sí, amados convecinos, les dice , entre nero en ios autos formados por Doña Isabel de la Riva Roble otras cosas, » no puedo menos de dirigiros mi voz, hija del mas do y su hijo D. Josef Gabriel de Robledo para la apertura de » sencillo afecto hacia nuestro amado Rey y Señor, bien y de- unatienda en la calle de Postas, esquina á la de S. Jac…</t>
  </si>
  <si>
    <t>Isabel, María</t>
  </si>
  <si>
    <t>María Isabel</t>
  </si>
  <si>
    <t>…los pueblos! ¡cuánta sangre vertida por quierda se extendía por las Delicias hasta mas allá del puente de este fatal error! No subiremos i buscar egempios en los tiempos la Reina Doña María Isabel, formando el total de unos 14$) remotos ; bástanos presentar los que por nuestra malhadada hombres de todas atmas. El aire marcial de las tropas, tanto suerte hemos alcanzado en los que vivimos: tales son ia revolución frrncesat como suizas, su instrucción y…</t>
  </si>
  <si>
    <t>Isaño</t>
  </si>
  <si>
    <t>…leyó el voto particular del Sr. Canga, y después de haber para diez y ocho meses, vienen á decretarse todas las dd primer impugnado el dictamen este Sr. diputado, y contestado el Sr. Isaño de la legislatura venidera ; y como la Constitución dice que turiz, se declaró el punto suficientemente discutido, y quedó apro las Cortes anualmente decretarán las contribuciones, creo que se bado dicho dictamen. faltaría ú ella decretando las de 18 años. Yo…</t>
  </si>
  <si>
    <t>Isembourg, Y.</t>
  </si>
  <si>
    <t>Y. Isembourg</t>
  </si>
  <si>
    <t>…ro con Junot. Drouet, conde de Erlon. Dubourriel. Ducos. Chiclana el 5 de Marzo. Villemorprisionero con Junot. Wattier. Duelos. Dufour , prisionero con Dupont en Bailen. Duhesme , general Y. Isembourg, principe. de Catalura. Dulong. Dupeyroux. Dumoneau. Dumoustier. Dupont, Madrid Lunes js de Marzo. pr sionero en Baiien con todo su egército en 19 de Julia de 1808 por Gobierno político de la provincia de Guadalajara. ei general Castaños. Duvernct. » Excmo. S…</t>
  </si>
  <si>
    <t>Isi</t>
  </si>
  <si>
    <t>…biertamente con el que d.ctó respecto á D. Francisco ca, y detuviésemos por un momento la respiración, á fin de que con Barrio, Jorge Crespo, D. Lorenzo Sainz, 1&gt;. Dionisio Carro, D. Isi este egercicio pudiese obrar el aíro en la trompa de Eustaquio; pero esto dro Astorga y D. Manuel Yoldi , que fueron aprehendidos con armas, nada aprovechó á mi compafieto. Cuando volvimos á ponernos en mo band'tas ae rebelión , actas de ia junta , proclamas…</t>
  </si>
  <si>
    <t>…ha remitido.” y concluye «aunque sea para saludarlo,” denun garán por las tesorerías de provincia, á excepción de las en que ciado por D. Pedro Sánchez Trapero , la ley absuelve á D. Isi residan las oficinas del distrito, en virtud de cartas-órdenes del doro Perez responsable de dicho artículo; y en su consecuencia pagador militar, como previene el art. 74 del reglamento inte mandó se alzase la caución ó fianza que tiene prestada, sin que rin…</t>
  </si>
  <si>
    <t>Isidoro</t>
  </si>
  <si>
    <t>…. Pedro Alvaro Delgado, D. Francisco Luciano Domínguez Villaesfuerzos que han hecbo los Príncipes y Reyes mas poderosos para nueva , D. Antonio Puigblanch, D: Juan Isidoro Perez , D. Isidoro d:stru:r ia libertad con la fuerza. Una nación poco numerosa, pobre y de Hoyos , D. Nicolás Cano de Luqui, D. Joaquín Manrique y Man rústica fue la primera que dió á ia Europa un egemplo asombroso de rique , D. Francisco Travesedo y D. Juan Pablo Pascual. lo…</t>
  </si>
  <si>
    <t>Isidoro, Juan</t>
  </si>
  <si>
    <t>Juan Isidoro</t>
  </si>
  <si>
    <t>…_ rallos, D. Luis de Mata Araujo , D. Saturnino Lozano, D. Juan An Se mandó pasar i la comisión de Guerra una propuesta remitida por tonio López, D, Joaquín de la Vega y Quintana, D. Juan Isidoro •1 Sr. secretario de este ramo, para que las Cortes acuerden lo conve Perez, D. Vicente Segurado. Habida la conferencia, se declaró por niente, á fin de evitar la deserción de los quintos en los reemplazos unanimidad haber lugar á la formación de causa. que s…</t>
  </si>
  <si>
    <t>Isidro</t>
  </si>
  <si>
    <t>…la libertad. . Valentín Recio, D. Manuel Zulueta, D. Josef Valls y Roca, — La diputación provincial á los ciudadanos milicianos y de D Antonio Palacios , D. Santiago Vicente Les, D. Isidro mas patriotas de la provincia de Madrid. Francés Cabañas y D. Nicolás Cano de Luque. «Españoles: El egército francés ha invadido nuestro terri Habida la conferencia, se declaró por unanimidad haber lu torio,/ según las últimas noticias parece que dirige su mo…</t>
  </si>
  <si>
    <t>Isidro, Juan</t>
  </si>
  <si>
    <t>Juan Isidro</t>
  </si>
  <si>
    <t>…uará y substanciará por su ausencia y rebeldía con nuel Aréjula, D. Juan Antonio López, D. Gaspar Aguilera, D. Luis los estrados. de Mata y Araujo, D. Joaquín ds Vega y Quintana y D. Juan Isidro Por el presente se cita á los que se crean acreedores á la testamen Perez. taría de D. Tomas Sánchez de Madrid, marques que fue de Casa-MaÁ-id , el que falleció en Cádiz el año de 1786 , para que acudan por sí TRIBUNALES. ó por sus apoderados con poder bastante ,…</t>
  </si>
  <si>
    <t>Isidro, Nicolás</t>
  </si>
  <si>
    <t>Nicolás Isidro</t>
  </si>
  <si>
    <t>…r comandante general. El ayuntamien proyectos de los facciosos y sus secuaces. Entre los prisioneros to ha dispuesto que una comisión de su seno, compuesta de los heridos se halla D. Nicolás Isidro, el cual es probable que haya Sres. D. Joaquín Velasco, regidor, y D. Manuel Cuadros, pro muerto. Zayas envió inmediatamente un parte al general francés curador sindico, pase á conferenciar con el general francés, con para que activase su venida en vista del…</t>
  </si>
  <si>
    <t>Isidro, Nicolás de</t>
  </si>
  <si>
    <t>Nicolás de Isidro</t>
  </si>
  <si>
    <t>…ados. bardes infunden la mayor energía en el corazón español. ¡Pue Doña María Concepción Pcrez Grande, como muger de blo incomparable! ¡pueblo sublime! Tú bas sido criado para las D. Nicolás de Isidro, denunció al Sr* alcalde constitucional empresas extraordinarias; á tu valor y denuedo ha confiado el D. Lino Campos un artículo inserto en el diario Nuevo, r.úOmnipotente el desenlace de las grandes crisis del género huma mero 95 , en concepto de injurioso.…</t>
  </si>
  <si>
    <t>Isidro.esExcmo, Nicolás</t>
  </si>
  <si>
    <t>Nicolás Isidro.esExcmo</t>
  </si>
  <si>
    <t>…o ; en Búrgos en la de D. Rosendo Revilla; y avisaré á V. E. de cualquier resultado. Acompaña á Bessieres el ex en Vitoria en la de D. Pedro Barrio ; en Zaragoza en la de D. Josef coronel D. Nicolás Isidro.esExcmo. Sr. secretario de Estado y del Des Sánchez; en Sarcelcr,. en la de D. Juan Francisco Piferrer y en la de pacho de la Gobernación de la Península. la viuda é hijos de Brusi; en Valencia en la de D. Ildefonso MomMinisterio de la Guerra. pié; en Granada en la d…</t>
  </si>
  <si>
    <t>Isluriz</t>
  </si>
  <si>
    <t>…pronto efecto de las medidas preventivas, descansa dándome en estas razones no puedo aprobar el artículo. ba tranquilo en sus atribuciones; pero al ver con dolor que aun no se El Sr. Isluriz contestó que el objeto de la comisión al extender este han cumplido , y presagiando los resultados que desea de todos modos artículo había s,do sin duda el de que ios negocios tuviesen un pronto evitar , no halla otro medio que el pedir á V. M. ponga en pract…</t>
  </si>
  <si>
    <t>Ispresentase</t>
  </si>
  <si>
    <t>…e este expe ciales retirados que vuelvan al servido activo. diente debía volver á la comisión de Guerra para que desde lueuo No se admitió á discusión la siguiente proposición del Sr. Ispresentase su dictamen. turiz : «Pido á las Cóntes que se sirvan discutir el dictamen de la Después de una breve discusión se desaprobó) el dictamen de comisión de Legislación sobre las facultades extraordinarias con la comisión, y habiéndose leído el oficio riel Gobier…</t>
  </si>
  <si>
    <t>Issarts, Forbin des</t>
  </si>
  <si>
    <t>Forbin des Issarts</t>
  </si>
  <si>
    <t>…fsEl presidente: Las reclamaciones sobre el reglamento siendo preferen bricacion de la barrilla, con el laudable objeto de contribuir por su par tes á cualquiera otra materia, el Sr. Forbin des Issarts tiene la palabra. te en todo lo que puma ai fomento de la industria y comercio. Mr. Forbin de Issarts: He solicitado hablar acerca del reglamento, es decir , acerca de un caso que está fuera del reglamento. (Murmullo á la El ciudadano D. Josef de! Castillo ,…</t>
  </si>
  <si>
    <t>IsserdofF, Barón Ernst do</t>
  </si>
  <si>
    <t>Barón Ernst do IsserdofF</t>
  </si>
  <si>
    <t>…queña altura que domina ei paseo de privado actual, y Ministro Plenipotenciario de S. M. el Empe Atocha estaba coronada de un numeroso gentío; y tanto en este rador de Rusia, y el Sr. Barón Ernst do IsserdofF, Consejero y sitio como en todas las calles y balcones del tránsito no han ce Ministro de S. A. R. el Duqueí—Y*de Weimar. sadoregidorlosdirigióvivas yconsinceraseste motivodemostracionesla proclamade alearía.siguiente:El Sr. Cor Escriben que la salud de S. M.…</t>
  </si>
  <si>
    <t>Issición</t>
  </si>
  <si>
    <t>…os con tras no se tome por base el resarcimiento de todos los daños. sejos, tribunales y ayuntamientos perpetuos; asi como la repo A la primera de Hacienda se mandó pasar otra del Sr. Issición de los diezmos, conventos y colegios extinguidos por el turiz. „ Se declara que todo sueldo corresponde á los destinos, Gobierno constitucional. * y no á las personas, quedando estas sin derecho á él desde que 6. a Las ventas y enagenaciones que haga el invas…</t>
  </si>
  <si>
    <t>IstuBase</t>
  </si>
  <si>
    <t>…ovincia se hara por hiciesen varias aclaraciones sobre el último reemplazo. la diputación entre todos los pueblos de ella. Se nombró para la comisión de Medidas extraordinarias al Sr. IstuBase 4.a Se reputará como una obligación especial de cada pueblo •riz; para la de Diplomacia a! mismo Sr. ísturiz ; para la de Poderes al el pago de las dotaciones ó asignaciones hechas á los párrocos coadjuto Sr. Serrano, y para la de Guerra al Sr. Alonso, todos…</t>
  </si>
  <si>
    <t>Istunz</t>
  </si>
  <si>
    <t>…es que lian tenido hasta aqui. se admitió á discusión y se mandó pasar á la comisión de Le La misma habiendo examinado una adicción del Sr. Ferrer al gislación una proposición del Sr. Istunz , reducida á que siendo art. 2.0 del mismo proyecto; opinó, conformándose con ella, que posible que los acontecimientos de la guerra impidan el puntual las Corles podían aprobar los dos siguientes artículos que serán cumplimiento de las elecciones parroquiale…</t>
  </si>
  <si>
    <t>…ó en aquel pun Se procedió á la discusión del dictamen de la comisión de to. Las baterías hicieron fuego muy acertado en tocias partes , Salud pública acerca de la proposición del Sr. Istunz , relativa á aprovechando los momentos oportunos. Ei ayuntamiento ce fian que se busque un medio supletorio de conciliar los intereses par femando dió en aquel acto providencias para recoger ios heridos, ticulares con la conservación de la salud pública, dest…</t>
  </si>
  <si>
    <t>Istur</t>
  </si>
  <si>
    <t>…El Sr. Falco deshizo algunas equivocaciones en que J:;o había qu ere decir esleí s.no que en teclas cpoc.l» 1 a pete.Ki ei cien, el incurrido el Sr. preopinante, á que contesto el Sr. Istur./. diezmo entero o el medio d.e/mo , ro se qu-eie que se t.ate de El Sr. Prado: Ali impugnación se d.nge no contra la instruc su arrecio; Fls menester pues que las Coitc» a...veten se ve Cite ción , sino contra su ejecución, porque es contraria , como c-Li ya…</t>
  </si>
  <si>
    <t>Istur.z, Francisco Javier</t>
  </si>
  <si>
    <t>Francisco Javier Istur.z</t>
  </si>
  <si>
    <t>…acudir a ios espías de la poli blecimiento en esta cort- y d-nm que se expresa en d cho d-.cr-to , í cía , á fin de que en lo» días siguientes no dejaran entrar á Mr. Ma los tires D. Francisco Javier Istur.z , diputado por la provincia de i ánuel en el sa on , habrían podido evitar tanto esc índalo , y el funesto diz, D Josif Canea Argüdies, diputado por la d.- A,tur.as , y Don cgemplo que han presentado a ía Europa; pero arrebitados de la pasión, Pedro Mura , di…</t>
  </si>
  <si>
    <t>Isturiz</t>
  </si>
  <si>
    <t>…consiguiente las Cortes deben ocuparse de este asumo, poique es de ¡a za. Estas y otras ventajas que cunto tiene este codigo en comparación mayor trascendencia. del ann ¡lio. -Kl Sr. Isturiz: El asunto de que se trata está reducido i haber &gt;1 G Resulta de loque llevo expuesto que no siendo la base única y ex demandado D. Jo»ef Moreno Guerra ante un alcaide cc.nst.íucu na! por clusiva del códi.-o penal el establecimiento del jurado, no hay obsíá-…</t>
  </si>
  <si>
    <t>…endientes. Se procedió á la elección de presidente , v:ce-presidente y secretario. Nos hallábamos ya en el año 1823 , y todavía Ignorábamos Eos re Para presidente qu-dó elegido el Sr. Isturiz por 61 votos de sao, sultados de lo que se había deliberado en el congreso de Verona. Aun habiendo tenido 43 el Sr. Jener, 13 el Sr. Calderón, y uno cada uno no existía un documento que nos diese luz para saber cuál habla sido de ios señores Munaniz, Infante…</t>
  </si>
  <si>
    <t>…contribuciones , pues no debe olvidarse que cuando se discutirá el plan manera se puede transigir con él. de las contribuciones se dijo que estaba én guarismos, y que en guaris E! Sr. Isturiz m; ha precedido en una observación qu: tenia que mos quedaría, porque eran excedentes á la posibilidad de los pueblos. hacer sobre el dictamen, á saber, que es llegado ya el casa de establecer Por lo demas yo seré el primero en clamar contra el Gobierno si la…</t>
  </si>
  <si>
    <t>…políticas , sabrán consolidar su reposo bajo ia pro cual no debia aprobarse el dictamen de la comisión. tección de nuestras actuales instituciones, sin dejarse seducir jamas de El Sr. Isturiz manifestó que debia aprobarse el dictamen de la co las falsas promesas de monstruos como S- Martin y Monteagudo , que misión, porque de otro modo se verían los diputados en la precisión sin mas ínteres que su sórdida avaricia y su desmesurada ambición, de no…</t>
  </si>
  <si>
    <t>…presente que aunque se verificase una tranj cree que es llegado el tiempo de verificarse la traslación. sacion con las potencias extranjera» que nos amenazan , no por eso se-éviEl Sr. Isturiz: Hablo sobre esta materia con toda la imparcialidad de taria la invasión , y se aumentarían adema» los partidos; y voy á probar ini carácter , y no se crea que me mueve ningún ínteres particular en de— lo. Es preciso tener presente que no bastaría la simple r…</t>
  </si>
  <si>
    <t>…miento constitucional, cura párroco y M. N. L. de k villa ciembre último, que están cada vez mas unidos para reprimir teda revolu de Estela, provincia de Cádiz , presentada por el Sr. Isturiz. ción é insurrección en dondequiera que aparezca, bajo cualquier forma De la Al . N. V. de k ciudad de Almagro y de la sociedad patriótica que se manifieste, y cualquiera que sea el objeto que se proponga. Llaman de k misma, presentadas por el Sr. Truj.llo. i…</t>
  </si>
  <si>
    <t>…s y Cano. Jombo, D. Juan Manuel de Aréjula, D. Casimiro Martin, D. Joaquín En la r8d votación quedó electo el Sr. Romero por 85 votos, ha Manrique y Manrique. biendo tenido uno el Sr. Isturiz. Habida la conferencia, se declaró por unanimidad haber lugar i la En la 19.* votación fue electo ei Sr. Serrano por 90 votos, habiendo formación de causa. tenido uno el Sr. Suarez. En la 20.a votación fue elegido el Sr. Villanueva por 91 votos, ha TRIBUNALES…</t>
  </si>
  <si>
    <t>…i gracia ó no. Es bien sabido que los que sirven en la milicia voluntaria ha i.° de Marzo de til23.” cen ufl servicio mas pasivo que los del egército: y pregunto yo: ¡se sigue Del Sr. Isturiz: Siendo el servicio que la milicia va á prestar tan ex de esto ventaja á ios miliciano» de que se trata: Quisiera el br. Falco que traordinario como las circunstancias que lo motivan, “y quedando suicto* ir hubiese hecho extensiva la crac.a de que habla el ar…</t>
  </si>
  <si>
    <t>…isión de Visita del Crédi das al arbilro de Jos gefes militares. to público. K1 Sr, Gaimrndia manifestó que en atención’á la situación local En la primera votación salió electo el Sr. Isturiz por 63 votos, de la América, y A Jas circunstancias que en ella ocurrían, seria lo mas siendo el toral 8g. conveniente se remitiese a las provincias de Ultramar el reglamento fin la segunda votación fue electo clSt. Canga por eo rotos, sien •probado por la» C…</t>
  </si>
  <si>
    <t>…ta discusión quedaron aprobados. por el erario. Se leyó y declaró de primera ¡rttu:a la s*j-.i.nti proposición del Ia comisión de Visita de! Crédito público, en vista do la exposi Sr. Isturiz: •&gt; l’ido ó las Cortes deciaren qu: loao sue.no cor -.onde á ción de ia junta directiva de este ramo sobre nombram.er.to de empica ios destinos y no á ias personas, quedando estas sin derecho a ei desde dos del mismo . opinaba que debía unirse al expediente g…</t>
  </si>
  <si>
    <t>…orcionar al Gobierno los de una nación vecina; pero el Gobierne no tiene todavía ledos recursos que necesita. los datos oficiales que le son necesarios para proceder á la publi El Sr. Isturiz: Yo debería renunciar la palabra después de cación de este manifiesto, ni tampoco á la declaración de guerra lo que ha manifestado el Sr. preopinante. En efecto, el Congreso del Gobierno español; pero tenga por cierto el Congreso que no tiene ya oteo medio qu…</t>
  </si>
  <si>
    <t>…tu ia ei d cla mcddas que crean oportunas para llenar aquel objeto. He pedido men sobre espolio» v vacantes , el de gob.cmo-político de Ultra sí la palabra para apoyar la idea del Sr. Isturiz de que se lean las mar , y otros v.ir.os expedientes . y si quedaba t empo »e leería la memorias de los secretarios del Despacho. Los individuos que memoria del Sr. secretario de Estado, y levanto la sesión a ¡as actualmente desempeñan los ministerios lo dese…</t>
  </si>
  <si>
    <t>…ón de guerra, no ha llegado aun el caso de presen luego todos los batallones de milicia activa que corresponden á tarlos como dejo manifestado. las seis provincias de su mando. El Sr. Isturiz: El Gobierno da cuenta á las Cortes de la de El Sr. Alonso: Cuantos pasos hemos dado hasta ahora para claración de guerra que hace á una Nación extrangera, y esto no el arreglo del clero hemos visto que han sido infructuosos: vemos puede mirarse como un simpl…</t>
  </si>
  <si>
    <t>…quieren que haya ejército, y que tenga la fuer creo debe aprobarse en su totalidad el proyecto que se presenta. za que tienen decretada , es preciso adoptar medidas que llenen El Sr. Isturiz dijo, que no atribuía la deserción á la falta de este objeto; y llenándole la de que se trata, creo no hay incon patriotismo de los pueblos ni de las diputaciones provinciales co veniente en aprobarla. mo algunos señores opinaban , porque diariamente daban pr…</t>
  </si>
  <si>
    <t>…s diputaciones provinciales, se deduzcan, de su importe ias sumas que la urgencia reclama, y puedan valerse de cualquier recurso para la manutención de las se hayan decretado.” El Sr. Isturiz habló contra dicha proposición , consideran--tropas, y destruir al enemigo, : Se acordó que estas proposiciones pasasen i una .comisión dola como ineficaz, é insistiendo siempre en su primera opinión de que d.b'.a darse cuenta de las memorias, sin perjuicio d…</t>
  </si>
  <si>
    <t>…n. existan actualmente en España ó se presenten voluntai.amente pa Habiéndose hecho algunas observaciones sobre este art culo ra defender la causa de la libertad. Aprobado. por el Sr. Isturiz, á petición de los señores de la comisión se Art. s¡.° En cada ejército de operaciones, y á la inmediación acordó) que volviese á la comisión para redactarlo de nuevo. del aeneral en gefe, se formará una cornisón de tres individuos Art. ?.° Las compañías, bat…</t>
  </si>
  <si>
    <t>…usta ¡a medida no es asi; ; pues qué se adelanta con este decretó • Si los franceses mientras no se generalice mas. bloquean los puertos de la península, como yo creo que lo ha El Sr. Isturiz: El proyecto ba sido atacado por dos sef ores rán, fundados nosotros ó el Gobierno en este decreto, podremos diputados; pero verdaderamente impugnado no lo ha sido por vernos burlados, porque tal vez no se respetará la bandera neu ninguno. El Sr. zYrgiielks h…</t>
  </si>
  <si>
    <t>…que nes de Código de procedimientos e Instrucción pública; al señor varios cuerpos franceses se habían extendido por la izquierda del Suarez para las de Legislación y Ultramar: al Sr. Isturiz pira ibro. F.1 • j salieron miliciano» de infantería y caballería condu la primera de Hacienda, y al Sr. Nuñcz (D. lonb.o) para la ciendo los presos a Eadajoz. de Diplomática; y levantó la sesión á las tres menos cuarto. Orden de la plaza del i.° al a de Mayo…</t>
  </si>
  <si>
    <t>…ba que las Cortes podían acceder á esta A la comisión primera de Hacienda se pasó la siguiente pro cilud, pagando eí interesado á los establecimientos de beneficencia posición del Sr. Isturiz: » Se declara que todo sueldo corresponde La entidades que deben satisfacerse por estas Gracias. Quedo so á los destinos y no á las personas, quedando estas sin derecho á bre la misa. él desde que dejen de servirlos por cualquier causa.” La m'sma comisión opi…</t>
  </si>
  <si>
    <t>…Alonso pidió que este dictamen quedase Art. 107, Zelarán para que los presupuestos se presenten sobre la mesa. con Ja distinción y claridad conveniente, demostrando el gasto de El Sr. Isturiz: Desde que se hizo primera lectura de esta* las obras que hayan de emprenderse, y el producto qu: deba ren proposiciones hasta ayer que se mandaron pasar á la comisión dir el arbitrio propuesto. b¡ se trata de llenar Jas atenciones ordi lian tenido tiempo los…</t>
  </si>
  <si>
    <t>…822 que habia citado el Sr. Diez eñ su-díjeestos nuevos propietarios. Ciertamente señor que seria muy ex curso.traño que habiendo las Cortes por el ds'Cfieto de 3 de .Sttiembré El Sr. Isturiz: Confieso que mi posición es desventajosa cuarrprometido que los propietarios después de tomada la posesión de do tengo que impugnar e¡ discurso de una persona instm’.di en su linca nada tienen ya que ver con el Estado, no cumplieran esta materia; pero la cue…</t>
  </si>
  <si>
    <t>…ayor brevedad se imprimiese este dictamen en el Es mo previene Ja ley sean los que deban recibir estas óndenes. pectador , de cuyo periódico se respartirian ejemplares á los se El Sr. Isturiz dijo que habiendo venido á las .Cortes el arzo ñores diputados. Asi se acordó). bispo de Granada con una duda impertinente, y no habiendo La comisión de Hacienda, en vista de una exposición de Don ejecutado como correspondía las órdenes de las Cortes, debia p…</t>
  </si>
  <si>
    <t>…incia el ejercicio de da , la cual, oyendo a! Gobierno , informe lo que crea oportuno. las facultades del Real patronato, según y como lo han practicado . En seguida leyó el mismo Sr. Isturiz dicha exposición, en la los gobernadores de aquellas provincias en toda su extensión , con cual se manifestaba el mal estado de las fortificaciones de Cádiz, forme á las leyes y disposiciones posteriores. Aprobado. y se proponían tres arbitrios, con los cuale…</t>
  </si>
  <si>
    <t>…dor síndico. Josef Manchón, secretario. los comandantes generales, que podrán proporcionar medios mas Orden de la plaza del 7 al 8 de Mayo. eficaces para verificar la cobranza. El Sr. Isturiz, contestando á lo que habia dicho el Sr. secreta Gefe de dia por atrasado el comandante del segundo batallón rio de Hacienda, dijo que la comisión no habia adoptado el siste de ia M. N. L. de Sevilla D. Antonio Perez Duran---- Servicio ma de presíamistas, por…</t>
  </si>
  <si>
    <t>…se refieren al proyecto de decreto que se próximo pasado están autoriza Ais para que en caso de que el acompaña. medio diezmo y primicia no a.entizaren á cubrir la dotación de El Sr. Isturiz: El decreto que se acompaña, y al que se re los individuos del clero y las fábricas de las iglesias, puedan re fiere esta base, tiene por única garantía la séptima parte de los tener las fincas del clero , instruyendo expediente en la forma bienes que el cler…</t>
  </si>
  <si>
    <t>…consumos; y pocas razones bastarán para convencer me ha precedido en una observación, á la cual no na contestado de ia injusticia é inexactitud de la primera. de ninguna manera el Sr. Isturiz. Asi que, atendiendo á lo que La comisión supone que mientras mayor arriendo se paga por dejo manifestado, con referencia á esa séptima parte de bienes una casa, mayor debe ser la posibilidad del sugeto para pagar la del clero, que es de lo que trata la bula…</t>
  </si>
  <si>
    <t>…evidente de las resoluciones de las Cortes de 8 de Noviembre de 18:0 y para los contratos y negocios de comercio. 29 de Jumo de 182 i, deben ser reintegrados los part culares, El Sr. Isturiz apoyo las razones alegadas por el Sr. Alonso, que reuniendo fondos en los p&gt; s tos fueron extraído, p ira el man añadiendo que los corredores son unos monopolistas del comer tenimiento de las tropas; entendía que no debía dudar c! gele po cio é industria, y q…</t>
  </si>
  <si>
    <t>…ilitares y milicianos volun nados puntos que crea necesario, prohibiendo al propio tiempo tarios que la tengan. el trasporte por mar de los granos y semillas desde tales puntos El Sr. Isturiz presentó una exposición de los diputados de á los demas libres de la Península.” Cádiz, en la cual manifestaban el mal estado de las fortificacio Art. 4.0 „ El Gobierno queda igualmente autorizado para nes de aquella plaza, y proponían varios arbitrios para r…</t>
  </si>
  <si>
    <t>…o lo Zuiucta no he pensado ni remotamente ofender á nadie. El se contrario, porque ei decreto r.o admite duda. ñor Zulucta me conoce demasiado para creer lo contrario. Ha dicho el Sr. Isturiz que se debia hccer valer ia presunción El Sr. Zulueta: Ya he dicho yo que no recibía para mí es de que estos géneros hablan sido legítimamente introducidos, y tas expresiones. no el contrario: este argumento á mi ver no tiene toda aquella El Sr. Isturiz: Pues…</t>
  </si>
  <si>
    <t>…lítico tampoco se puede conceder si se examina el caso de que asuntos que interesan mas que este á la Nación. se hace mérito en el expediente para pretender esta pensión; sobre El Sr. Isturiz: Apoyo en un todo las observaciones que se han todo la comisión tiene los decretos de las Cortes relativos*! esta hecho contra este dictamen"; y no puedo menos de añadir otra clase de pensiones que le sirven de regla , principalmente el de las respecto de él,…</t>
  </si>
  <si>
    <t>…ascienden las contribuciones á que se demasiado , pues por las matrículas anteriores no han pagado mas refiere. que gqóS) rs. por esta contribución, y ahora se les obliga á pa El Sr. Isturiz: La comisión, estimulada por los Sres diputa gar mas de poS9 rs.; por consiguiente ni la diputación provincial dos , como sucede repetidas veces, se ha visto en la necesidad de podrá repartir estas contribuciones, ni ios pueblos podrán pagar anticipar sus tra…</t>
  </si>
  <si>
    <t>…del Sr. Romero se leyó el artículo 249 del códi aprobación de este artículo, aunque con una ligera adición que go penal. que me atrevo á proponer. Puede haber un caso en que un El Sr. Isturiz: En otra época me abstendría de tomar la pa español que resida actuahneDte en Francia no esté en la po labra sobre este asunto; pero las Cortes aprobando los artículos sibilidad de venir á España: el código no habla sino de los anteriores de este proyecto , y…</t>
  </si>
  <si>
    <t>…o particular so vincias no podrán contribuir , y por consiguiente que no habrá bre el art. 2.0 de este dictamen. proporcionalidad : Me opongo pues á este proyecto por ineficaz, El Sr. Isturiz como de la comisión dijo: Las Cortes notarán aunque estoy conforme con la base. alguna diferencia entre el dictamen de la comisión y la propues El Sr. Isturiz: El Gobierno se ha puesto de acuerdo con la ta del Gobierno; pero es en la apariencia , pues en el f…</t>
  </si>
  <si>
    <t>207 dos sean indemnizados ademas de ser restituidos en.sus bienes. comisión de Diplomacia sobre la memoria del Sr. secretario de El Sr. Rico: EL Sr. Isturiz me ha prevenido en las observa- - Estado, con ¡o cual levanto la sesión. ciones qae pensaba hacer : yo quisiera que se expresase terminan— ■ Or len ar Ai p.az.i cíe- :e al 2 l de Mayo. teniente que los compradores deben indemnizar, á ios dueños de Gefe de día…</t>
  </si>
  <si>
    <t>…dor la alegación Se mandó pasar á esta comisión la siguiente proposición del del derecho de posesión por ser nula. Sr. Becerra: » Pido que la comisión que acaba de nombrarse to El Sr. Isturiz: Yo quisiera que en el artículo se expresase me también en consideración el importante servicio que hecho que los compradores de los bienes de que se trata eran detentó el segundo ejército de operaciones.” les, y que por lo mismo debían indemnizar á los dueño…</t>
  </si>
  <si>
    <t>…-9, y quedó aprobado, añadíértdoíe Já pa castigados lo siguiente: «cada uno rntrKCsxttísstdewesst^ » peti labra especial después de las siguientes puedan puestas bajo ¡a. ción del Sr. Isturiz. Leído el art. i.9 quedó aprobado. Se leyó y halló conforme con lo aprobado Ja minuta de de El 3.0 se aprobó, añadiéndose después de las palabras se le creto sobre la enajenación de las fincas pertenecientes á los con alonará las siguientes, en el pueblo que…</t>
  </si>
  <si>
    <t>…i., bitivas. PRESIDENCIA DEL SEÍtOR ÍKRRER C D- JOAQUIN). El Sr. Sánchez dijo que por su parte no tenia inconveniente alguno , y creía que l'a comisión tampoco. Sesión del 51. El Sr. Isturiz expuso que en este caso deseaba que el Gobier no presentase lo mas pronto posihle las modificaciones pro Se leyó y quedó aprobada el acta de la anterior. puestas. A la Comisión primera de Haciéndase mandó pasarla planta El Sr. secretario de Hacienda añadió.qu…</t>
  </si>
  <si>
    <t>…le : per ie&gt; mismo creo que sg le comprenda en el decreto de 4 de Enero de 1823 , era de deben estar exceptuados. Opinión que las Cortes podían declarar que pueden obtener tier El Sr. Isturiz: Por mas que se chita no puede destruirse Ir» ras de bald'os los Vecinos casados que no teniéndolas propias po que ha dicho el Sr. Becerra. Ante todo es preciso que no :io- en seen las de sus tnugeres. Aprobado. videmos en Sevilla de los sentimientos que nos…</t>
  </si>
  <si>
    <t>…clamar cualquiera exceso que hubiese A la de Diputaciones provinciales se pasó el expediente pro en su regulación. movido por el ayuntamiento constitucional de Calandra , sobre El Sr. Isturiz se opuso á este dictamen, manifestando que de la aprobación de los impuestos de propios. ningún modo debia el Crédito público pagar estos derechos, pues Se leyeron y hallaron conformes con lo acordado por Jas no se presenta como parte sino por el interes que…</t>
  </si>
  <si>
    <t>…á las Cortes siendo diputado, 1 rá á las atenciones del Estado el caudal que quedase , satistechos pues que ahora solo atendía á las circunstancias. íj aquellos religiosamente. El Sr. Isturiz dijo que no debía ya recaer discusión sobre es- J ■; Art. -|.° El ministerio de Hacienda hará en el ramo de cor le dictamen, porque k comisión lo había retirado, y Jo había reos y portazgos todas las reformas posibles en los gastos admi hecho por la misma cau…</t>
  </si>
  <si>
    <t>Ns'jh. 62. [ 7 cuartos. ] 3°7 I W ; .di Ki¿Z GACETA E S P A N O LA. SEVILLA DOMINGO 8 DE JUNIO DE 1823. NOTICIAS DE ESPAÑA. El Sr. Isturiz contesto que esta observación hubiera vertido bien en ia d sais on Je ia e.ir.r.JuJ que se había de ex:_.r : p.ro Sevilla 7 de Junio. OC ahora que estaba ya aprobada. COATES. El Sr. Becerra man fest* , que puesto que el objeto de- la pro posición era ei que $…</t>
  </si>
  <si>
    <t>…tunda A la comisión de Casos de responsabilidad se mandó pa mente d'ce que necesita para la salvación de la patria. sar una exposición del cura párroco de Sto. Domingo de Alar- El Sr. Isturiz; Es difícil impugnar ei dictamen de la comi con, pidiendo se exija la responsabilidad al provisor de la dió sión, cuando para apoyarlo no se alega sino la necesidad de des cesis de Cuenca. tinar unos sujetos que no pueden ser empleados, aunque otra vez se Se…</t>
  </si>
  <si>
    <t>…espon acerca de la consideración que debía tener D. Jaime Lapuerta; den como las demas corporaciones y ciudadanos. opinaba que habiendo ya fallecido dicho Sr. Lapuerta no debía El Sr. Isturiz se opuso á este* dictamen; y habiéndole conteshaber lugar á resolver sobre ello. Aprobado. bado el Sr. Oliver , quedó aprobado. Otro sobre la sohcitud de D. Victoriano Torrecilla, opinan La comisión de Casos de responsabilidad , en vista de k ex do que á pesa…</t>
  </si>
  <si>
    <t>…ión. suspendida en .Sevilla, y sobre la cual baldan h'áhla- Las Cóites quedaron enteradas de ¡as comunica &lt;ío varios .Señores. ciones remitidas ' por el Gobierno, y que han me 'El Sr. Isturiz como de la comisión apovó ci dic diado entre este v el Sr. diputado Riego, con mo tamen de esta conIestatuid á las observaciones d« l tivo de haberle nombrado S. M. segundo del gene Sr. Ib.-ido', y maní les la tul o que la comisión estaba ral en gofe del 2. 0…</t>
  </si>
  <si>
    <t>…cto que presen ma, y lo sabe nc&gt; por meras sospechas, sino por datos positivos. taba la misma comisión especial. El extranjero que ha citado el señor Argüe!les, y que estuvo en El Sr. Isturiz: Solo las circunstancias en que nos hallamos Si villa, tuvo el Gobieruo noticia de su conducta, y no le queda pueden hacer que el Congreso acuerde medidas tan fuertes como ba duda alguna de sus maquinaciones, y sin embargo no tuvo las que se proponen. Yo encu…</t>
  </si>
  <si>
    <t>…ica esta máxima; mas ei obispo enando delinque como el diurno criminal. alia harán lo que les dé la gana, y nosotros seguiremos los princi E! Sr. Gómez becerra: La impugnación del Sr. Isturiz puede ser pios constitucionales; por consiguiente no veo la necesidad de que objeto de una adición, con respecto á que se exprese que se trata hayan de concurrir cuatro secretarios del Despacho para adoptar la cambien de las comunidades religiosas, cabildos ¿…</t>
  </si>
  <si>
    <t>…ente mientras la» actuales ses.obailándose coa esta perdida privados unos acreedores tan reco nes del Congreso. mendables de ver realizadas sus esperanzas al cabo de tres años, El Sr. Isturiz fue de opinión de que podía aprobarse el ar durante los cuales se ha estado formando este espediente , que v* ticulo suprimiéndose la segunda parte de el. tocaba á su conclusión ; no siendo posible ni justo formarte de El Sr. /Arguelles apoyo c¡ articulo, dem…</t>
  </si>
  <si>
    <t>…s y determina ción de 100,000 rs. para auxiliar á los españoles, y casi los 45 ciones judiciales que correspondan. que se opusieron no alegaron en contra mas que motivos de eco El Sr. Isturiz dijo que si solo se imponía á los españoles in nomía. El efecto moral de este rasgo amistoso debe ser infinita dignos de este nombre que siguiesen el partido enemigo Ja pena mente mas ventajoso para los españoles que su valor material, de no ser comprendidos…</t>
  </si>
  <si>
    <t>…rso era común en la Península, con los cuales se burlaban los Fuerza pasiva. . . . 63,634,545.. 14 bloqueos mas estrechos, cuyo comercio debía tenerse en consi deración. r - 20 El Sr. Isturiz manifestó que la cuestión estaba reducida á si Se pideo. . . . 728.140,483.. 1 se había de renunciar ó no al comercio con las provincias de Ul tramar , importando á la Península los frutos de ellas: que en el Diferencia por Ja reducción estado actual de las c…</t>
  </si>
  <si>
    <t>…se leyese el decreto que habia citado daría tiempo á los empleados para vertirse, y también se saba el Sr. Marau. que el secretario del Despacho de la Guerra , aquel valiente v El Sr. Isturiz; La impugnación del Sr. Marau es tan sencilla desgraciado general, no pudiendo sobrevivir á pasos que había que la contestación debe ser de la misma naturaleza. Su señoría dado, se degolló él mismo ; por qué pues privar de sus destinos ha atacado el dictamen…</t>
  </si>
  <si>
    <t>…o ecl .ar el dictamen de la comisión, mandando llevar a efecto ¡o bierno proponía. acordado en 10 de Marzo de este año. El Sr. Gómez Becerra se opuso á este dictamen manifestan El Sr. Isturiz contestó que habiendo manifestado el Go do que por muchos que fuesen Jos perjuicios que pudieran se bierno que encontraba grandes inconvenientes en abolir desde guirse de la reducción del año económico ai natural, eran infini luego el año económico, la comisi…</t>
  </si>
  <si>
    <t>…todo lo cual debían las Cortes aprobar cio y en los de pobres de solemnidad; pero no en aquellos m el dictamen. que sean parte los establecimientos ó las corporaciones que por El Sr. Isturiz contestó que aprobándose este dictamen se es privilegio sean consideradas como pobres. Sevilla 8 de Junio tablecía la ortodoxia literaria después de la ortodoxia religiosa. Es de 1823.=2Tomas Jener, presidente. := Domingo Eulogio de la necesario (dijo) que la…</t>
  </si>
  <si>
    <t>…ombres que no tienen mas ídolo que su bien particular, y nían, manifestando ser suficientes cinco directores. para quienes no hay mas patria que su ínteres ;quien se atreve sin El Sr. Isturiz manifestó estar conforme con el artículo, si los exponerse á los mayores peligros, á descubrir sus intrigas y mal señores de la comisión se convinieran en decir que estos empleos versaciones; ¡quién se atrevió á decir una sola veidad á Carlos iv de directores…</t>
  </si>
  <si>
    <t>…irrefragable de que la patria puede contar con ellos , y de intermedio entre el Gobierno y los establecimientos. que no hay género de sacrificio que n» esten dispuestos á hacer El Sr. Isturiz dijo que no veia la utilidad que resultaria de en defensa de sus santas leyes. » -que la dirección general de Estudios fuese un cuerpo intermedio, Sí, franceses ominosos, enemigos implacables del honor y de y que fuese también el ejecutor de las leyes: que si…</t>
  </si>
  <si>
    <t>…ulema ha declarado que s&gt; el erario de Francia no biese este estímulo para ios que se dedicasen á ios estudios. puede ya continuar ios sacrificios que ha hecho hasta ahora para El Sr. Isturiz dijo que ninguna conexión tenia el tratamien sostener el ejército de la fe.” En Londres se habia propuesto cele to con los estudios, siendo aquel nada mas que un resto de la brar la victoria conseguida en Madrid contra el despotismo el 7 ignorancia; pero que…</t>
  </si>
  <si>
    <t>…. El Sr. Canga dijo que en el dia constaba haber entrado cu Tesorería nacional del Crédito público nueve millones desde que NOTICIAS DE ESPAÑA. se dió el decreto de las Córtes. El Sr. Isturiz como individuo de la comisión después de ma Cádiz, a / de Julio. nifestar que el dictamen de la comisión se apoyaba en principios CORTES. de justicia, dijo que la impugnación del Sr. Oliver no había si do de ninguna manera al dictamen, sino a que por las circ…</t>
  </si>
  <si>
    <t>…ilias y el cuidado de la suerte de la Pe votar sobre la totalidad del dictamen. nínsula: ; Quién no se admira al ver el modo ingenioso con rué Se leyó la siguiente proposición del Sr. Isturiz: ” Pido á las han buscado medios de auxiliarnos en la espantosa lucha que sos Córtes se sirvan declarar que mientras esté vigente el decreto de tenemos contra el monstruo dei fanatismo y contra el ominoso 10 de Mavo por el cual se pusieron á disposición del G…</t>
  </si>
  <si>
    <t>…des , como las diputaciones provinciales y ayuntamientos, unos ne judicial mi dictamen es que no debe admitirse. gocios que por su naturaleza y objeto no pertenecen á ellas. En El Sr. Isturiz: Yo no desconozco la fuerza de los argumentos tre estos asuntos que se someten á su deliberación no hay duda al del Sr. preopinante; pero .miro el artículo bajo un aspecto muy guna que habrá varios gubernativos, pero también habrá otros diferente, á saber, el…</t>
  </si>
  <si>
    <t>…e le manifestó cyae solo podía hablar de la exactitud ó in ñaba. Se leyó dicho edicto. exactitud del acta , con lo cual quedó esta aprobada. En seguida se leyó una proposición del Sr. Isturiz, reducida A la comisión de Hacienda se mandó pasar una exposición á que habiendo informado ai Gobierno ser cierto el decreto de remitida al Gobierno por el gefe político de Huelva , del ayun la llamada Regencia de España é Indias, paraque_se reintegre al tami…</t>
  </si>
  <si>
    <t>…iente .- las cartas dicen que en la capital hay Se mando pasar á la comisión de Salud pública una proposi partidos, pero que el mas pujante es el republicano; que los iturción del Sr. Isturiz, para que la comisión de Salud pública pre bidistas trabajan mucho, aunque con poco fruto; que en el Go sente con urgencia un medio supletorio de colocar los buques bierno se advierte mucha apatía; que Echavarri está nombrado procedentes de América de modo qu…</t>
  </si>
  <si>
    <t>…cree que el bajá de Egip Sr. Varela, 6 el Sr. Posadas y 3 el Sr. Vlzmanos. to favorece secretamente á los griegos, porque á los persas será Para tercer ind.video quedo elegido el Sr. Isturiz por 63 fácil sujetarlos después que el imperio esté asegurado por la parte votos de 109 , habiendo tenido 38 ei Sr. Zuiu.ta, 4 el Sr. baide Europa contra sus mas poderosos enemigos. El buen éxito de vato , 3 el Sr. Arguelles y uno ei Sr. Stirrá. la causa de l…</t>
  </si>
  <si>
    <t>…Aprobado. soi) buscados los consumos como en las marítimas., y en otras Se procedió-á-la discusión del dictamen de la comVon del no tanto. Crédito público sobré la proposición del Sr. Isturiz , relativa á También ha dicho el Sr. preopinante que están cargadas las con que mientras esté vigente-el decreto de io de Mayo, por el cual tribuciones territorial y de consumos con el servicio extraordina se pusieron á disposición del Gohierno los fondos del…</t>
  </si>
  <si>
    <t>…s á los respect.vos pueblos, La comisión de Legislación ha examinado detenidamente la sin que esto perjudique á la facultad extraordinaria que 1c -.stá antecedente proposición del Sr. Isturiz, y para informar sobre otorgada para suprimir los demas que le parezca conv.nicnt--. ella ha creído necesario buscar los fundamentos de su dictamen Se leyó y quedo aprobado el dictamen de la comisión de en la ley de i.° de Octubre de 1810. Los hechos atestigu…</t>
  </si>
  <si>
    <t>…ificó) su defección, y perma dieron otras facultades extraordinarias al Gobierno. necieron firmes en sus juramentos en defensa de su patria, sean En virtud de haber manifestado el Sr. Isturiz que presentaría declarados beneméritos de la patria; y que para que asi se verifi proposición sobre este asunto , no se procedió á la discusión de que mande el Gobierno formar expedientes, ú fin de que esta este dictamen. honorífica recompensa nanga precisa y…</t>
  </si>
  <si>
    <t>…ses de América una garantía que ñores , no nos engañemos; con mucha extraúcza se ha estado no tenemos. r mirando por el mundo entero la conducta que hemos observado A petición del Sr. Isturiz se leyeron los artículos a.°, 3.® con respecto á la América , ademas de que la comisión de r.:ntuy q.n del decreto de 9 de Enero de iHig. na manera ha propuesto se reconozca la urdependenc a , poique El Sr. Galerno en un largo discurso dijo cutre otra» cosas:…</t>
  </si>
  <si>
    <t>…que el de ningún modo podía suscribir á que se renovasen las que le es Gobierno había solicitado de las G rtcs. taban concedidas, pues ni en su concepto se necesitaba esta espe El Sr. Isturiz contestó que la comisión nn pudo ni debió hacer cie de confirmación , ni era decoroso el que los decretos o reso otra cosa que ampliar las facultades al Gobierno para que usas-..' de luciones de las Curtes hubiesen de ser renovados para su obser cuantos arbit…</t>
  </si>
  <si>
    <t>…sponden á la autoridad militar! Pues si nada de esto hay junta como autoridad revestida de tales facultades. no veo el inconveniente de que se halle revestida de las facultades El Sr. Isturiz apoyó el dictamen bajo los mismos principios que las Cortes lian tenido á bien decretar á favor de ella con el de deber el gobernador ser árbitro de la defensa de la plaza; y de fin de que lleve á efecto cuantos recursos gradué oportunos para, clarado el punt…</t>
  </si>
  <si>
    <t>Istuviz</t>
  </si>
  <si>
    <t>…en discusión El Gobierno ha recibido el parte siguiente. exigía solamente que se le quítase el empleo siendo empleado. Excino. Sr.erlncluyo á V. E. tres ejemplares del anuncio El Sr. Istuviz contestó que la comisión se había ceñido á la que ha dirigido á los pueblos de esta provincia el coronel coman proposición del Sr. Canga, y que esta disposición era sin perjui dante de la columna volante D. Rafael de Ceballos Escalera de cio de las demas á qu…</t>
  </si>
  <si>
    <t>IsUiriz</t>
  </si>
  <si>
    <t>…porque se sabe su grande oposición á la guerra elegido el Sr. Gómez Becerra del total 103 , habiendo tcn.cU de los persas, la cual se hace con el fin de aumentar el poder de 37 el Sr. IsUiriz, 3 el Sr. Ar-riielles , y uno cada uno de ios se Ja Magnanimidad, y concluir con la sumisión del imperio turco ñores Zulueta, Domenech V Galiar.o. al dominio de Rusia , á no ser que los griegos aseguren antes el En la elección para segundo individuo quedó ele…</t>
  </si>
  <si>
    <t>Italinsky</t>
  </si>
  <si>
    <t>…r el ayuntamiento Del estado actual de Tebets (rn Egipto)--- Carta del Señor comt.tucional de esta ciudad para la exacción del préstamo forzo Alejandro Achiles de Smitk á S. E. eí Sr. Italinsky, minis so de ocho milloius de rs. , y estos se distribuirán por la base del tro plenipotenciario de 5. AI. el Emperador de todas las Rusias serv.cío extraordinario de ciento sesenta , decretada por las Cortes. cerca de la santa sede úrc. &lt;Ec. 2.u Se deja á la…</t>
  </si>
  <si>
    <t>Itizo, Romero</t>
  </si>
  <si>
    <t>Romero Itizo</t>
  </si>
  <si>
    <t>…a porque no los rehabi vincias de Qmto y Pastos' que Polivur habia incorporado i la lita para hacer servicio. República, acaban de p; Geminarse en contra: ¿hasta donde para El Sr. secretario Romero Itizo presente que habiéndose extra rá esto: yo no lo sé. Morales dicen unos que se dirigirá sobre viado en las ocurrencias de Sevilla varios decretos con carácter de Venezuela; si asi fuera tendríamos este respiro; pero mas son los ley que habían sido devueltos po…</t>
  </si>
  <si>
    <t>ÍTrangford</t>
  </si>
  <si>
    <t>Jeria Carretería y el refrendatario del imperio) para tratar con Srcs. D. Ignacio Cadolino, Secretario de la Nunciatura; Con *1 drogman del lord ÍTrangford sobre tos' medios de hacer cesar de Cabria*,“Secretario de embajada de Francia; Boatur^in, Co ¿estos abusos. El tschaouthbachi no tendrá, derecho {. visitar los; ronel y Edecán del Emperador de Rusia. Cruces supernumerarias de la expresada J3rden á los Srei.…</t>
  </si>
  <si>
    <t>Iturbi, Agustín</t>
  </si>
  <si>
    <t>Agustín Iturbi</t>
  </si>
  <si>
    <t>…á alguno de que ha conducido la fragata mercante Tarántula con el tipo del los expresados señoríos perteneciere algún foro ó enfiteusis que nombrado Emperador de aquellos dominios D. Agustín Iturbi— se haya subforado ó vuelto á establecer por el primer poseedor de : y en su vista se han servido las mismas Cortes acceder á la del dominio útil, solo este será el obligado á dar la fianza pres propuesta del Gobierno, y resolver; i.° que se Bdmitan á circuí…</t>
  </si>
  <si>
    <t>Itúrbide</t>
  </si>
  <si>
    <t>…erá ha gado la diputación. cerse con los nuevos pesos mejicanos qué ha traído una fragata Continuó la lectura de la memoria, y el Sr. presidente la española con el sello del-nuevo emperador Itúrbide. suspendió'para que continuase la de la comisión de Visita del Se leyó un oficio del Sr. secretario de Marina, manifestando Crédito público. haberse servido S. M. nombrar á D. Pedro Goosens, oficial ma Suspendida esta, se leyó y halló conforme con lo aprobado…</t>
  </si>
  <si>
    <t>…la Europa: la sublime moral del Evan 7.0 Se declara nula y de ningún valor para lo sucesivo la an gelio á penas se trasluce por entre el velo de las ceremonias ridi terior dada al Sr. Itúrbide, y las que dio en consecuencia á Don culas que se practican continuamente, y que el pueblo prefiere á Dic.-o J3arry y D. Dannies A-Smith, ó pueda haber dado a al los actos de verdadera piedad, porque son para él ana especie gunos otros. de espectáculo á que s…</t>
  </si>
  <si>
    <t>Itúrbide, Agustín de</t>
  </si>
  <si>
    <t>Agustín de Itúrbide</t>
  </si>
  <si>
    <t>…te él dia nor educación. La Nación debe esperar mucho mas de estas bene 8 de Abril: méritas clases del estado que de aquellos á quienes la fortuna -i.° Que siendo la coronación de D. Agustín de Itúrbide hizo herederos de padres opulentos , y se han acostumbrado á vi obra de la violencia y de la fuerza, y nula de derecho, no ha vir del sudor ageno, mirando con fría indiferencia la miseria de lugar á discutir sobre la abdicación que hace de la corona. sus seme…</t>
  </si>
  <si>
    <t>…nza no les restablezca prontamente. 100 , proporcionado por D. Dionisio A. Smith , negociante de »j S. A. R., al mismo tiempo que manda se dé publicidad Baltimore, y contraído por D. Agustín de Itúrbide; el supremo á estos sentimientos, se halla animado del mas vivo deseo da tribunal ha decretado y decreta lo -siguiente. hacer la felicidad de los colonos, y de mejorar su propio pais. i.° Que revoca y anula toda especie de poder conferido por » La experiencia…</t>
  </si>
  <si>
    <t>Itúrbide, Ramona</t>
  </si>
  <si>
    <t>Ramona Itúrbide</t>
  </si>
  <si>
    <t>…de Estado acaso no pudo discutir aquel pedido al Gobierno sobre el expediente promovido á instancia de proyecto en los 24 dias; y asi que su opinión en que d término Dona Juana y Doña Ramona Itúrbide acerca de la pensión que señalado para la sanción no debia contarse en este caso desde que les fue concedida por las Cortes á consecuencia de la muerte de se remitió á la sanción aquella ley. su hermano en la acción dei dia 7 de Julio. El Sr. Eevrer (D. Joaqu…</t>
  </si>
  <si>
    <t>Itúrbids, Agustin de</t>
  </si>
  <si>
    <t>Agustin de Itúrbids</t>
  </si>
  <si>
    <t>…e Mataró que Rotten ha impuesto una nueva cedente de Veracruz , en un buque ingles, el llamado ex-em- contribución: los que no pagan van á la cárcel, aunque sean perador de Méjico D. Agustin de Itúrbids con su familia, que gefes de los voluntarios, tal como Gironella: Nadal y Casíañeá parece ha sido desterrado de allí con precisión de fijar su resi también están presos. Los moradores que en adelante hayan de dencia en Italia, y que ha elegido en consecuencia…</t>
  </si>
  <si>
    <t>Iturriza, Elias</t>
  </si>
  <si>
    <t>Elias Iturriza</t>
  </si>
  <si>
    <t>…D. Narciso López , en número de 90 gine- dias en Garabuya á lude Noviembre de i8a2.=Franc¡sco Tomas Mo tes , ha dado muestras á la del enemigo, que aunque inferior en núme rales. =Sr. D. Elias Iturriza, comandante del castillo de S. Culos de ro, es superior en valor y arrojo, pues la primera carga que dió fup la Barra.” ' suficiente para introducir el terror pánico á los rebeldes, y todavía siguen en su persecución en dirección del Rio Hacha, sin perder de…</t>
  </si>
  <si>
    <t>Izaguirre, Joaquín</t>
  </si>
  <si>
    <t>Joaquín Izaguirre</t>
  </si>
  <si>
    <t>…a de Dios y por ¡a Constitución también la voluntad de S. M. que desde luego pase á las inrnede la Monarquía Española , Rey de las Españas, á todos los que d.atas órdenes de V. S. D. Joaquín Izaguirre , oficial de la co las presentes vieren y entendieren, sabed: Que ¡as Cortes han de misión de Clasificación que habia en Madrid, el cual se halla cretado lo sumiente := Las Cortes , usando de la facultad que se agregado en el dia á la Tesorería general, y cua…</t>
  </si>
  <si>
    <t>Izqui, Márc'-s</t>
  </si>
  <si>
    <t>Márc'-s Izqui</t>
  </si>
  <si>
    <t>…no le tributen.lágrimas, que arrancan alterna D. Francisco Rodrigu z de Guevara , D. Pedro Salnz de Baranda, tivamente ya el dolor, ya el entusiasmo , según los varios afectos que D. Márc'-s Izqui :rdo , D. M./uet de Nájera , D. Lorenzo Lambea, se apoderan del héroe. La fluidez del verso , los rasgos de historia , en I). Juan Rodil,-nf/Guillen , D. Vicente Segurado, D. Juan Regis que se hace un» ligera reseña de nuestros Beyes desde Carlos v, y los de…</t>
  </si>
  <si>
    <t>Izquieido, Míreos</t>
  </si>
  <si>
    <t>Míreos Izquieido</t>
  </si>
  <si>
    <t>…ia , D. Francisco Sainz de Rozas, L&gt;. Joscf Valls de Roca , Doa caballos y 20 infantes, y ademas 12 voluntarios de caballería de Nava; Josef de Leglisa y Pinedo, D. Josef Asucro , D. Míreos Izquieido y y sabiendo esta noticia se estaba disponiendo para perseguirles con di D. Eugenio Perez Gonzaliz. rección á Aza , para donde habían salido &gt; pero como dicho sugeto salió Habida la conferencia , se declaró por unanimidad haber lugar 41* de Fuentecen para est…</t>
  </si>
  <si>
    <t>Izquierdo, Marcos</t>
  </si>
  <si>
    <t>Marcos Izquierdo</t>
  </si>
  <si>
    <t>…ermedio ha organizado la diputación com D. Tadeo Parras Hermosilla. D. Domingo García. pletamente y en estado de servicio dos compañías de infantería y una de D. Gonzalo Cárdenas. D. Marcos Izquierdo. caballería de cazadores constitucionales, que deberán destinarse al mo D. Francisco Sainz de Rozas. D. Francisco Luciano Domínguez mento á recorrer la provincia con el objeto que expresa el decreto ds D. Nicolás Cano de Luque- Villanueva. las Cortes de 1." d…</t>
  </si>
  <si>
    <t>Izturiz</t>
  </si>
  <si>
    <t>…al ministerio, quien las pasará al Crédito pusieron el pie en ella , y se puede asegurar que no hay Na público. ción que no haya hecho algo para sublevar aquellos países, y tal El Sr. Izturiz manifestaba que se abstenía de dar su ”oto vez estarán esperando que las Cortes reconozcan la independen- particular sobre este punto por ser interesado. csa para oprimir la misma América. Se declaró haber lugar á votar sobre este dictamen , y queda En cuanto…</t>
  </si>
  <si>
    <t>J, Esteban</t>
  </si>
  <si>
    <t>Esteban J</t>
  </si>
  <si>
    <t>…. »»Excmo. Sr.: Habiendo tenido noticias que los franceses se J-RESIBENCIA OKI SKSOS ÍKNER. dirigían desde Vich á Manrcsa, dispuse que la vanguardia de esta división, al mando del brigadier D. Esteban J.!obera , marchase Se‘ton del ara { r. desde la posición de Parapés, en donde se hallaba hacia S. Fekú Se levó y quedó aprobad», el acta de ¡a anterior. de Codinas y Castelltersol para que poniéndose en relación con la Quedaron publicad.» como leyes ios decuto»…</t>
  </si>
  <si>
    <t>J, Josef</t>
  </si>
  <si>
    <t>Josef J</t>
  </si>
  <si>
    <t>…s priegos que V. E. me ha dirigido zados para dirigirle, por encargo del mismo ayuntamiento , los ciuda paca él, y.un oficio mioea que le hago las prevenciones convenientes, danos D. Josef J^adon , profesor de matemáticas, D. Miguel Antonio siguitndo las instrucciones que V. E. se ha servido comunicarme , cu de Zumalacaricgui , individuo del tribunal supremo de Justicia , Don yas bases son los movimientos que me pioponga hacer , cubriendo esta Jo…</t>
  </si>
  <si>
    <t>J, Manuel Lo-</t>
  </si>
  <si>
    <t>Manuel Lo- J</t>
  </si>
  <si>
    <t>…nte el plan proyectado de destruir la cuúativos que quieran optar á esta plaza é informarse de los requisito* | Constitución. que exige para obtenerla dirigirán sus solicitudes al Sr. D. Manuel Lo- J » Se harán concesiones; se prodigarán solemnes promesas, y se pro pez deOchoa', presidente del ayuntamiento constitucional, prsentáncurará tener oculta la verdadera intención de los santos aliados; pero la dose para hacer tus egercicios en dicha villa desde e…</t>
  </si>
  <si>
    <t>J, María</t>
  </si>
  <si>
    <t>María J</t>
  </si>
  <si>
    <t>…ución , no solo entre los ciu qué se crean con derecho á los bienes quedados por4 el falleci dadanos, sino también en el ejército, que debería s r el verdade miento abintrstatorde Doña María J osefa Gómez,'natural de ro apoyo del trono y la seguridad de la nación. E! Soberano Novcleja, viuda de D. Juan Ramón Matute, fiscal que fue del clemente de la Francia se ha visto: precisado á tomar medidas de consejo de Navarra, para que en el preciso término…</t>
  </si>
  <si>
    <t>J, Miguel</t>
  </si>
  <si>
    <t>Miguel J</t>
  </si>
  <si>
    <t>…nes, ministros y oficiales ;a¿a&gt; y cspiro»a&gt; circunstancia». ■■-¡cr." *&gt; .terr Señor: domestica on acontecimiento Si, las su aras, infantas en se hallaban de infante palacio: y el D. Miguel J.O, n v;l »!' pa*3: taac setas blindad respeto que la perada, &lt; el una se hadaban el consejo tribuna: cuetpo diplomático el de lutado y • 'V."H el .‘n la fu Uv ,5 g-í-.V &gt;&gt; de tmpl-.ar y penosa necesidad La data las cesaron repetidos y aclamaciones en suyas: vi…</t>
  </si>
  <si>
    <t>J, Valentm Josef</t>
  </si>
  <si>
    <t>Valentm Josef J</t>
  </si>
  <si>
    <t>…rmaron con esta determinación. vativa de las Cortes. La comisión de Gobierno -nteríor informando sobre la expo Los Síes de la comisión convinieron en la modificación pro sición de D. Valentm Josef J.menez, captan de la segunda puesta por el Sr. Becerra. compañía de granaderos del 2.0 batailon de la AL N. L. V. de F.i Sr. Aillon dijo, que á pesar de la adición que se hab a Madrid, escribiente de ia secretaria de las Cortes, para que estas hecho al artículo…</t>
  </si>
  <si>
    <t>Ja</t>
  </si>
  <si>
    <t>…£&gt;. PruJeucto Bueno como subversivo y sedicioso, y reur. do el juracomisarios de guerra qu,: exija - sus atenc-ones y circunstancias , un cd- do compuesto de los Sres. siguientes: D. Ja me Ru z Abreu , D. Doministradoi,y un cantador en .cada hospital militar con los empleados mingo Villamil, D. Santiago Delgado, D. Szbzst-an Andrés, Don necesarios.si no estuviese por contrata. F.n escaso de que los ramos de Zoií , G m z Casero, D. Gonza'o Cá…</t>
  </si>
  <si>
    <t>…ardín botánico: otro relativo áá la soovse viel fUl’Op. (ÍC a i^ux.que ín.le J1CIU4hecha 1FranciscolauwiaVG fze»ipara pjlpor j.Fontanalsvmaima.» cc'inuun.continúe iivJLUUlicitud U.D. Ja significa palabra cionario libertad ju, sitia. fuerza y deJ. „1el en..- rs. que-------- ..y se 1___________i:ale concedió acompañando -....................................tercero la&gt; pensión o.-..819; 69-^ de ia Península ios pueblos que recobraron Desde sus…</t>
  </si>
  <si>
    <t>…rovisional. De este modo no habrá tratado algu __ Creemos muy conteniente publicar que en Sevilla ha reinado no que no pueda infringirse, ni palabra que no pueda quebran siempre y reina Ja mayor tranquilidad y el mayor orden: nos tarse. Fue útil á la Rusia firmar un convenio claro, terminante, obliga á esto el ver en la correspondencia de Madrid que en cuando en él veia que por este medio iba á salir del riesgo inmi aquella capital se esparcen…</t>
  </si>
  <si>
    <t>…as tomaron en consideración el grave asunto de ia guerra der lograr el darles una embestida según permitan las fuerzas de entre España y Francia. En el discurso pronunciado por el lord Ja parte de la compañía que viene conmigo: mi dirección es por Liverpool se resume, digámoslo asi, lo inas interesante de la aran la parte de Olot; en caso de encontrarlos sera tal vez por Prats, cuestión.política. Principió haciendo una breve reseña de los"su—…</t>
  </si>
  <si>
    <t>Ja'calie, Vá</t>
  </si>
  <si>
    <t>Vá Ja'calie</t>
  </si>
  <si>
    <t>…batir la puerta del castillo y le facilitase la este año. entrada á la infantería: vino aquella , y hallándose ya inmediata á Se leyó y quedó aprobada la siguiente proposición del Sr. Vá Ja'calie que va á dicho fuerte vimos que absolutamente no podía rela: ” Pido á las Cortes manden se dé curso al decreto de las mis maniobrar en vila por ?u estrechez. mas , declarando que están expeditos los obispos de Ultramar En este estado se reforzaron los puntos…</t>
  </si>
  <si>
    <t>Ja, Francisco</t>
  </si>
  <si>
    <t>Francisco Ja</t>
  </si>
  <si>
    <t>…ones de lo» Li misma comisión, con presencia de cuanto expone el juez Sres. González Alonso y Oliver al rirt. g.'J del dictamen aceita de p-imera instancia de jerez de la Frontera D. Francisco Ja del papel sellado, e! cual quedó aprobido. vier burga, para que se aclare si está ó ho líbre de! reemplazo El Sr. presidente cejo que se iba á leer una comunicación unriel ejercito permanente, era de opinión que no está libre del re jtortariíe hecha por el Go…</t>
  </si>
  <si>
    <t>…Ayuntamiento en la reveren El Conde de Tcrre-Muzquiz.nrD. Ignacio O-Mulrrian.—D. An te exposición que dirigió á la Regencia del Reino. tonio Gamiz.rcD. Francisco Ibañez de Le¡va.=D. Francisco Ja ,,La historia presenta épocas en que los Reyes de España han sido sobremanera amados de sus pueblos; pero ninguno puedevier Caro.czD. Bruno Vallarino.=D. Mariano Mcrcliante.rzDon compararse con el amor y decisión que tan justamente profesan,Manuel Jiménez Gua…</t>
  </si>
  <si>
    <t>Ja, Francisco del Acebal y Arnombre de</t>
  </si>
  <si>
    <t>Francisco del Acebal y Arnombre de Ja</t>
  </si>
  <si>
    <t>…tes , lo harán presente por Joaquín Perez, D. Nicolás Alonso García, D. Francisco de escrito al inspector general del arma en que sirva, expresando el Palacios, D. Domingo García, D. Francisco del Acebal y Arnombre de Ja persona 6 personas á cuyo favor hace la asignación, ratla , D. Marceliano Torio y Torres y D. Pelayo Zorrilla, han cantidad mensual de esta, putbio y provincia en que desea que la calificado por unanimidad con la fórmula de .1 bateíta el artículo cobre, y fec…</t>
  </si>
  <si>
    <t>Ja, Mateo de Montmorcncy</t>
  </si>
  <si>
    <t>Mateo de Montmorcncy Ja</t>
  </si>
  <si>
    <t>…letín del palacio Real__ »S. A. R. nes que ha habido entre este Gobierno y la corte de Portu ml, la duquesa de Angulema ha pasado hoy revista á las guardias y me ha manifestado el duque Mateo de Montmorcncy Ja corres á un destacamento de i 50 hombres del regimiento 49 de infan pondencia de los ministros franceses con Mr. de Lesscps. tería ligera , y ha quedado muy satisfecha de su buen porte. _ Aparece por esta correspondencia que el Sr. Oliveira, en A las once rec…</t>
  </si>
  <si>
    <t>Jaabominable, Juan</t>
  </si>
  <si>
    <t>Juan Jaabominable</t>
  </si>
  <si>
    <t>…in cuento. 1823___Nueve de la creación de i.° de Enero de 1822 , cuyos — Aunque la guerra con la Francia , ó por mejor decir con su créditos corren desde 29 de Junio encabezados á D. Juan Jaabominable y tiránico Gobierno, parece que debe llamar exclusi cobo Gatens: 1987, 2991,2992,2993 y 3080. Id. á D. Ven* vamente nuestra atención, sin embargo no debemos olvidarnos tura de la Peña 3343, 3344, 3345 y 3346.—Seis de la crea absolutamente de esa nación que en…</t>
  </si>
  <si>
    <t>Jabat</t>
  </si>
  <si>
    <t>…la suerte con anticipación de Negocios extrangeros habia dado un gran convite al nuevo enviado entre dos propuestos por dichas autoridades: que todos los facultativos español, el Sr. Jabat, y entre otras personas asistieron á él el duque reunidos en número impar en U diputación provincial practiquen los de Wellington y el lord Sommcrset. reconocimientos de los males que imposibiliten los quintos para el ser EL 27 de Diciembre estaban en Viena l…</t>
  </si>
  <si>
    <t>…de correos dé Burgos___La AL N. \r. mismo camino la satisfacción que experimentaban al verlo. dei pueblo de Murgados. ( JV continuará. ) En Eiackheath se encontró el duque con el Sr. Jabat, y entró en. su ARTICULO DE OFICIO. coche: Jos postillones estaban adornados con cintas encarnadas. Por todo el camino fue saludada la comitiva con continuos vivas. En medio del cami Con arreglo á lo resucito por los ‘á—s diputados á Cortes individuos no de K…</t>
  </si>
  <si>
    <t>…anga, para que á la mayor brevedad proponga un proyectonado con pliegos de Londres remitidos por el ininis. español de decreto sobre sanidad, opinaba se dijese al Gobierno remitie Sr. Jabat para el Gobierno, y se anadia que el objeto del comi se los trabajos que tuviese sobre el proyecto que acerca, del mis sionado era concertar eL desembarco de 10Q voluntarios vestidos mo asunto se le había mandado formar. Aprobado.. ; y armados á su costa. No…</t>
  </si>
  <si>
    <t>…todos los demas excita la atcnc.on: este es ei memuranuwn Sin la consolidación de estas bases todos los sacrificios son nulos. relativo á la conducta de Espa. a comunicado por el Sr. Jabat al Yo me lisonjeo de que los dignos gefes y oficiales que lenco á Sr. Canninü en Febrero último. Todos los hechos asentados en mis órdenes no desconocerán la fuerza de este axioma m.litar. este documento son curiosos; pero el contraste que en él mismo Convenc…</t>
  </si>
  <si>
    <t>…y sus constantes deseos de 30—Ei Sr. Machado, cónsul generar “que ba sido en París, que el cielo bendiga su» desvelos hasta conseguir recobre nues 1300—El conde de Totano 2600—E&gt; almirante Jabat, mi tro amado Soberano los derechos que por divina ordenación nistro en Lóndres, 5200—Total 13,780 francos. le competen , y la observancia de nuestras leyes patrias , defen Aprovecho esta ocasión para oirecer á vds. en nombre de soras de la pureza de la relig…</t>
  </si>
  <si>
    <t>…y décima TampoEspaña del carácter de sus habitantes, no dudo que triunfarán de co presentaron ninguna novedad.sus enemigos. La conducta de los franceses y de sus aliados, por __£1 Sr. Jabat al remitir la precedente relación anuncia concuyos consejos se dejan gobernar, es sumamente injusta y absur mucha confianza que el expresado producía de la suscripción de au da : dicen que el actual Gobierno de España es ilegitimo porque xilios deberá acrecen…</t>
  </si>
  <si>
    <t>…tiró las preposiciones que tenia hechas, poique víó la mala cara que presentaba la causa de los hermanos. de la noche. » Exento. Sr.: Ayer á las cinco de la tarde mi destacamen El Sr. Jabat se lamenta de que no se haya verificado á cual to que guardaba el puente de S. Payo, fue atacado por unos quier costa el empréstito por que tanto anhelaba, y dice condo negocia.700 hombres que venían de Vigo, y eran las tropas mas selec lido: n Seis semanas s…</t>
  </si>
  <si>
    <t>Jabat, Juan</t>
  </si>
  <si>
    <t>Juan Jabat</t>
  </si>
  <si>
    <t>…e Inglaterra con España. ción española. A bordo de dicho paquete venia ei mayor británico Bristow fie mandó imprimir este dictamen, y el Sr. presidente anun con pliegos dd Exento. Sr. D. Juan Jabat, enviado extraordi cio que se señalaría día para su discusión. nario de S. M. C. cerca de S. M. B. , pera el Gobierno español, El Sr. Ramírez Ardi.-mo tomóla palabra y dijo: Esta maña á fin de poder acordar con este ía venida á Vico ó Coruña de na se me ha en…</t>
  </si>
  <si>
    <t>…lee lo siguiente—/ bía traer los fusiles, y según el cácelo de las 5o go itl de junio de itizó.—El enviado nuestro en Lon horas (¡ue debía eiripleaisc cu ia travesía, es regu dres D. Juan Jabat dice á este ¿ir. ge fie político , con lar cpie el domingo entrase en dicho puerto. El mis fecha 10 dei actual lo siguiente: mo barco de vapor llegaría á Sevilla en 126 horas Mui Sr. mío : por ei liaren de vapor el Ideal Jor desde Inglaterra con pasageros y p…</t>
  </si>
  <si>
    <t>…rar á ia salsente ataque contra la libertad de España, se atacan indirectamen te la libre Constitución , y los beneficios de su libertad de im vación de las libertades patrias; El Sr. D. Juan Jabat......................... libras esterl, 200prenta , que á pesar de la guerra que la hace la Santa Alianza la D. Die go Colon, primer .secretario. . . 3°considero como el baluarte de la libertad de Inglaterra, y espero D. Teófilo Bouligni, segundo secretario.…</t>
  </si>
  <si>
    <t>…uiente noticia de dos de ellos; Isere, y el dia inmediato 17 fue conducido por los mismos aprehensores y escoltado por dicho bergantín a!, puerto de Pa- El primero es una caita de D. Juan Jabat fecha en Lóndrn el 17 de Junio dirigida al llamado ministro de Estado, en que sages. acompaña varios documentos relativos al empréstito de 40 mi Carta del general Morillo conde de Cartagena a! teniente gene llones, que no ha tenido efecto, con la casa de los…</t>
  </si>
  <si>
    <t>Jabut</t>
  </si>
  <si>
    <t>…nstitucionales hasta los Num. e.° Traduce on.__ Memorándum relat vo a la con gefes de los facciosos.” Ei hecho siguiente es también, una prue ducta de la España, comunicado por el Sr. Jabut al Sr. secreta ba de lo mal recibáis que ha sdo ¡a tal proclama. rio Canmng en 18 de febrero de 1823__ Si se mees taran prue Parece que en Bayona habían ofrecido á los monees benedic bas de la moderación de la España , y del poco fúndame rio con tinos de Oña…</t>
  </si>
  <si>
    <t>Jacin</t>
  </si>
  <si>
    <t>…y otra de tiradores. con fecha de 2 de Junio último lo que sigue : ■ Art. 2.0 Para llevar á efecto lo prevenido en el art. ante Las Cortes , enteradas de la adjunta exposición de D. Jacin rior se suprimen las dos últimas compañías , y el distrito del ba to Barrera , vecino de Taya, en Cataluña, en la que mani tallón se dividirá entre las que quedan de fusileros. fiesta haber sido nombrado regidor del ayuntamiento de dxho Art. 3.0 Las compañías…</t>
  </si>
  <si>
    <t>Jacinto</t>
  </si>
  <si>
    <t>…igenciá-y obligación que tienen los empleados de la* ‘oficinas nacionales1 de saber la partida doble para llevar la cuenta y ra Comandancia general del tercer distrito—Excmo, Sr.: Don Jacinto zón, »e repite el ofrecimiento hecho en Julio del próximo pasado Toledo , capitán del regimiento de caballería de Farnesio , comandan año de instruir por medio de cartas á los q'ue residan fuera de ésta cor te de la columna desuñada &amp; la persecución de las ga…</t>
  </si>
  <si>
    <t>…ríguez, S. A. R. la duquesa de Angulema suspendería su premeditado viage á es D. Marcelino Garrido , D. Josef Cepeda del Rio, D. Sancho Sanabria, ta ciudad. D. Juan Martin Carnes, D. Jacinto de las Heras, D. Francisco Caldas y Los nceocios políticos de la Alemania meridional no acaban de ada D. Pedro Duran Vera Campo , han dirigido al Rey una exposición, en tarse : se entreve sin embargo que Jos Gobiernos absolutos del Norte, co que manifiestan s…</t>
  </si>
  <si>
    <t>…1823. tud y longitud. ANUNCIOS. VARIEDADES. Por providencia del Sr. D. Manuel Josef de Rubio, tenien Aviso á los navegantes. te de corregidor de esta villa, y por la escribanía de D. Jacinto Don Antonio Alonso y Gutiérrez , segundo piloto parti Gaona y Loeches, se llama á los parientes é interesados á los cular, y segundo capitán del bergantín mercante español nom bienes del difunto D. Manuel de Cisneros, para que dentro del brado el Triunfante, navegando del puerto de Ja Hava…</t>
  </si>
  <si>
    <t>Jaco</t>
  </si>
  <si>
    <t>…itoria. . . D. Juan Moscoso, comandante militar de ia provincia de Cádiz. Nosotros tenemos en el dia noticias mas exactas sobre este Ettado mayor. Los segundos ayudantes generales D. Jaco particular, y. diremos que todavía es maypr el número de enemi bo Oreiro y D. Vicente Bausat. gos ..que ha entrado en la Península; pero no dd mido que lo Primer batallón del regimiento infantería de la Reina. Se cita el Abrí, iador. Los informes mas exactos…</t>
  </si>
  <si>
    <t>Jacobo</t>
  </si>
  <si>
    <t>…con el fin de evítat hecho acreedora al reconocimiento nacional. Como asimismo cl capi que se fuese á pique , perjudicando el puerto, y que se trataba de extraer tán de artillería D. Jacobo buazo, qu: voluntariamente quiso acompa le el enjunque y demas que se pudiera. ñarme con el ¡rcansabh; D. Josef del Barco, mi ayudante de campo. No ANUNCIOS. me es dado echar en olvido á los distinguidos patriotas D. josef Ra Caricaturas nuevas del asno médic…</t>
  </si>
  <si>
    <t>…al de Sevilla. Juan Moscoso, comandante militar de la provincia de Cádiz. Mañana se celebra consejo de guerra ordinario en el cuarto Estado mayor: Los segundos ayudantes generales D. Jacobo de banderas del tercer regimiento de artillería, y bajo Ja presi Oreiro y D. Vicente Bausa. dencia del gefe de escuela interino D. Antonio Miralles, para La primera división la compondrán los cuerpos de todas ar juzgar á los sargertos del tercer regimiento de…</t>
  </si>
  <si>
    <t>Jacqueminot</t>
  </si>
  <si>
    <t>…leyes no tengan por válido otro matrimonio lo fabricante en una sociedad de artes. Entre los expulsados se que aquel cuyo acto religioso subsiga inmediatamente al civil, cuenta al coronel Jacqueminot que acaba de establecer á mucha habiéndose observado en este punto un descuido opuesto á las costa una fabrica de hilado, que puede rivalizar con los estable buenas costumbres. cimientos mas hermosos de Francia. Tenia un derecho á ios pre Sobre que se ejecute…</t>
  </si>
  <si>
    <t>Jaén, Francisco Javier</t>
  </si>
  <si>
    <t>Francisco Javier Jaén</t>
  </si>
  <si>
    <t>…la secretaría, se lle de la Carne, y en el referido del Sol. mande que rectificándose por la misma secretaría las equivocaciones ó íclirrncias que pueda contener El presbítero Dr. D. Francisco Javier Jaén ma la indicada sesión cu la redacción que de ella lince nifiesta d la M. N. i. y II. cíñalad de Cádiz que la Gaceta del Gobierno, se présenle á la nación es en virtud de los actuales acontecimientos ha disuel pañola y al mundo entero tal cual pasó , evitando…</t>
  </si>
  <si>
    <t>Jaén, Obispo de</t>
  </si>
  <si>
    <t>Obispo de Jaén</t>
  </si>
  <si>
    <t>…B.eal Palacio los recibieron e! Excmo. Sr. D. Víctor Saez, primer Secretario de Estado y del Despacho, Circttlar que ha dirigido el Prefecto de la Sabría alas autoridades el limo. Sr. Obispo de Jaén y una Diputación del cabildo de de su jurisdicción con motivo del feliz éxito de i a guerra de aquella santa Iglesia , el Sr. Capitán General de Granada y otras Esgana. varias personas de distinción. Los repetidos vivas y la continua A los Señores Alcaldes de…</t>
  </si>
  <si>
    <t>Jai</t>
  </si>
  <si>
    <t>…es. siguientes: D- Nicola, H«edcro y Mayoral , Don ciando el fuego- El teniente coronel Barco , con el resto de Coraposte- Tomas Torresano, D. Valentín Recio, D. Lorenzo Lam'oea , D. Jai la, siguió por la derecha á flanquearlos sufriendo un fuego terrible, me Ruiz Abreu, D. Manuel González del Campo, D. Luis de Mata se les persiguió vivamente, y solo faltó media hora de dia para que Atauio, D. Joaquín Manrique y Manrique, D. Andrés Navarro. l…</t>
  </si>
  <si>
    <t>Jaime</t>
  </si>
  <si>
    <t>…e* relevar- «ente. Del expediente resulta'-que el .previsor cojtCedió-pcrmiso para cele á dicho gefe político de la formación de causa que contra ¿1 se pecha. brar el matrimonio á D. Jaime en el concepto de sor escribano público: El Sr. Ruiz de la Vega dijo: Observo que se trata de disculpar por como para este cargo se requieren 25 anos cumplidos, cschro que debió la comisión la conducta del gefe político de Cuba , fundándose s.n duda cti consi…</t>
  </si>
  <si>
    <t>Jaime, Eduardo</t>
  </si>
  <si>
    <t>Eduardo Jaime</t>
  </si>
  <si>
    <t>…ión al proponer los medios para cubrir el déficit, oficio del- Sr. secretario de Gracia y Justicia, manifestando que ha consultado la experiencia de lo pasado y las circunstancias D. Eduardo Jaime, nombrado visitador para una de las audien presentes, no pudiendo negarse que debe darse la preferencia á cias dél reino, habiá evacuado ya su encargo. las contribuciones ya conocidas, para proponer sobre ellas los A la1 comisión de Hacienda una exposición de…</t>
  </si>
  <si>
    <t>Jaimes</t>
  </si>
  <si>
    <t>…e la elección de presi cuales en el dia están exceptuados. dente , vice-presidente y un secretario , continuarla la discusión de lo* Después de haber hecho varias observaciones el Sr. Jaimes , á que asuntos pendientes , y levantó la sesión á las cinco y media. contestó el Sr. Valdés ( D. Cayetano), quedó aprobado el artículo 4.0 __El discurso de S. M. Luis xvm acaba de manifestarnos que el Ptevia una ligera discusión entre ios Sres. Bel da y Oliv…</t>
  </si>
  <si>
    <t>…ublicaremos luego que los sepamos.” Se declaró no estar comprendida en dicho art. too del re —Otro periodista dice con fecha del ig desde Barcelona : glamento otra proposición del Sr. Jaimes y otro señor diputado, " .Acaba de llegar el laúd valenciano Santo Cristo , v su pa para que se expresase cuáles han debido ser los productos de la trón Manuel Iglesias dice: que el 11 por la mañana Ucearon á contribución de patentes en los años últimos , y s…</t>
  </si>
  <si>
    <t>Jalón, Ambrosio</t>
  </si>
  <si>
    <t>Ambrosio Jalón</t>
  </si>
  <si>
    <t>…la fuerza de 103 hom patearlas. bres, compuesta de 63 individuos de la segunda compañía del resguar Un cazador de la primera compañía de prov ocíales de Pamplona, do al mando del capitán D. Ambrosio Jalón, y 40 de los cazadc~es que acaba de llegar , me ha asegurado que lu go que los francos* nos constitucionales correspondientes á la primera compañía, conseguí sor despidieron de lo» Alduides, vistieron y arm*r..n i L»&gt; sci» pasioneros prenderlos al amanecer de…</t>
  </si>
  <si>
    <t>James, Juan</t>
  </si>
  <si>
    <t>Juan James</t>
  </si>
  <si>
    <t>…ciado y corrompido de manera que quisie niente coronel graduado capitán de cazadores del primero del Imperial sen ahora someterse á un poder extrangero que no ofrece mas que escla D. Juan James, oficiales y tropa de su compañía. Los Sres. brigadieres vitud y vilipendio! Lejos de eso, creemos que acordándose de lo que fue D. Juan Antonio Monet, D. Juan Loriga y D. Josef Carratalá, con ron y de lo que son, harán cuantos sacrificios sean imaginables pa…</t>
  </si>
  <si>
    <t>…rlos. *&gt; La compañía d; cazadores del primero riel imperial M (ce. No tema s: el nt smo ejército , que por. dos veces los hizo huir antes r.-ón. 2), in-miada por su bizirru captan D. Juan James, ataca con de la capital, esta pronto á escarmentarlos t-erc-ra vez , y á í.carrr.entar- dbnuedo en llanco al enemigo: e¡ coman íatite g.-nrral de cabañería en los para siempre , pues se prepara í ponerse en marcha inmediatamente, el instante se presenta con…</t>
  </si>
  <si>
    <t>…nes del Perú, granaderos déla G uanlia, La compañía de cazadores del r.u del imperial, mandada por y tres piezas de artillería. La inLuitería íuc al cargo del brigadier su b.zarro capitán D. Juan James ataca con denuedo cu flanco al D. Juan A n ton i o Monet, y la caballería mandada por el co enemigo; el comandante general de caballería en el instante se mandante general de esta arma brigadier D, Juan Loriga. El ge- presenta con la guardia en batalla, y hús…</t>
  </si>
  <si>
    <t>Jamin</t>
  </si>
  <si>
    <t>…rimar cuerpo de re gimiento y muchos oficiales de la brigada Quiozonas se hau se serva, tendsá el mando superior del reino de Sevilla y de las ñalado igualmente. Este general y el general Jamin haíen un operaciones al frente do Cádiz, su cuartel general Puerto de grande elogio del valor y bizarría de sus ayudantes de campo. Santa María. Esta división podrá recibir modificaciones segu¿- El teniente general conde de Espina , comandante de ¡a di ulteri…</t>
  </si>
  <si>
    <t>Janin</t>
  </si>
  <si>
    <t>…emplo da Salomón, á la plaza. . &gt; está toda sacada de las historias de los Judíos en el Viejo Testa Él Sr. mariscal marques de Lauriston da también parte 4 mento. S. A. R. como el general Janin ha dirigido las operaciones del 3.“ Las columnas que hay en sus logias representan las del ataque con un esfuerzo y actividad extraordinaria, y que el ge templo de este Rey; las logias el templo, y el templo la ley cío neral Qtiimonas fue el que tomó el arrab…</t>
  </si>
  <si>
    <t>Jaramillo, Francisco</t>
  </si>
  <si>
    <t>Francisco Jaramillo</t>
  </si>
  <si>
    <t>…de la vindicta pública, y por ra el primer ayudante general D. Josef de Heccta, los segundos lo mismo pedia á las Cortes se sirviesen declarar que los cuerpos ayudantes generales D. Francisco Jaramillo y D. Francisco Oca de la M. N. L. están autorizados por el art. 65 de su reglamento, ña, y los adictos D. Francisco Valiente y D. Miguel Camparon. y por la ley de 17 de Abril de 1821 para perseguir los ladro Interin se ponen estos cuerpos en disposición de operar, y se or nes y…</t>
  </si>
  <si>
    <t>Jáuregtti, Manuel Francisco de</t>
  </si>
  <si>
    <t>Manuel Francisco de Jáuregtti</t>
  </si>
  <si>
    <t>…mismo Darfur están amenazados de caer bajo su donnmo; para que compongan el tribunal expresado en clase de jueces al los beduinos de Mareotis, los habitantes del país Natrón y los brigadier D. Manuel Francisco de Jáuregtti, teniente de Rey de de Egipto son sus soldados natos , y muchos aventureros de todos esta plaza, el cual ejercerá ademas el cargo de presidente; á Don los puntos del imperio turco se enganchan en el cuerpo de los Juan Pedro Quijana, letrado y tefe político in…</t>
  </si>
  <si>
    <t>Jáuregui</t>
  </si>
  <si>
    <t>…el de Pablo , y el mismo dia mucho sobre su alcance , habién sus esperanzas : los i:usos tienen á Ja v-sla un feliz desengaño , y la pa dole prevenido se pusiese de acuerdo con el coronel Jáuregui , y se au tria reconocida, y todas las clases de ciudadanos bendicn en la efu xiliasen mutuamente. Entre tanto con los regimientos de Valencey y sión de su granad á los valientes y esforzados de Farnesio, que en el Vitoria y parte del escuadicn de la Reina vo…</t>
  </si>
  <si>
    <t>…ión entera, han cometido vincia el Sr. D. Joaquin de Albistur__ Ayer entró en esta plaza el infa un atentado horroroso, y se harán execrables á los ojos de todos los hele* tigable coronel Jáuregui con una fuerte columna, compuesta de muy luci y honrados portugueses. da tropa de España, milicia activa de Avila y lklanzo» con algunos caba ’&gt; Conciudadanos: El ayuntamiento , íntimamente convencido de vues llos de ia Reina. tros patrióticos sentimientos ,…</t>
  </si>
  <si>
    <t>…ha expedido los decretos siguientes : Cuerpos de que se compone—Tropas del mando del coro Don Fernando vm por la gracia de Dios y por la Constitu nel Scoane, tropas del mando del coronel Jáuregui, resguardo ción de la Monarquía española, Rey de las Espaúas , á todos los militar de Guipúzcoa , voluntarios de S. Sebastian y Vitoria, vo que las presentes vieren y entendieren, sabed: Q&gt;ue las Cortes luntarios franceses, voluntarios de Madrid, batallón de…</t>
  </si>
  <si>
    <t>Jav, Francisco</t>
  </si>
  <si>
    <t>Francisco Jav</t>
  </si>
  <si>
    <t>…ancés, no menos que de ios diputados de estaba reunido en el camino real de la puerta de Francia. El al ayuntamientos y corporaciones respetables de varios puntos li caide primero D. Francisco Jav er López Berrosteguicta saludó bres enviados al efecto : el Gobierno, infatigable en ¡a grande 4 S. A. 8. con un discurso, que no dejaron percibir las voc s y obra de procurar la unión y concierto en todas las operaciones, gritos de viva el R y , viva ia reli…</t>
  </si>
  <si>
    <t>Javat</t>
  </si>
  <si>
    <t>…invasores, al verlos disfrazados con la misma Miguel de Nájera y D. Pedro Sainz de Baranda. De estos, í máscara de hipocresía y política, al contemplar el misterioso excepción del Sr. Javat, que lo calificó de sedicioso en segundo velo con que quieren cubrir sus ideas, y al considerar que vie grado,y del Sr. Radon que lo calificó en tercero, todos los de nen auxiliando á unas gavillas de miserables sin honor, sin cré mas lo calificaron de sedici…</t>
  </si>
  <si>
    <t>Javat, Juan Bautista</t>
  </si>
  <si>
    <t>Juan Bautista Javat</t>
  </si>
  <si>
    <t>…por la pérdida de las personas que mas Sres. que lo calificaron de sedicioso; D. Josef Escarano, Don amabais, quisiera separar de vuestra horrorizada vista semejante Josef Asuero, D. Juan Bautista Javat, D. Pelayo Zorrilla , Don cuadro de desolación; pero al ver i la puerta de vuestros hoga Josef Radon , D. Joaquín Ceballos, D. Francisco Palacios ,Don res los mismos invasores, al verlos disfrazados con la misma Miguel de Nájera y D. Pedro Sainz de Baranda. D…</t>
  </si>
  <si>
    <t>Javier</t>
  </si>
  <si>
    <t>…Los suscriptores á las Poesías de. Horacio, traducidas en ver dido mas de un 5o por 100 anual, á causa de que la misma fal sos castellanos, con not3S y observaciones criticas por D. Javier ta de caudales de los españoles en las provincias del Este, ha he de Burgos, obra dedicada al Rey, se servirán acudir á la librería cho decaer las fábricas de mantas y otros tejidos que vestían los de Paz, frente á las Covachuelas, á anticipar el importe de l…</t>
  </si>
  <si>
    <t>Javier, Francisco</t>
  </si>
  <si>
    <t>Francisco Javier</t>
  </si>
  <si>
    <t>…sef Manso, coronel retirado dsl cuerpo de artillería D. Javier Macia, el teniente compuesta de! destacamento del Inmemorial del Rey, segundo batallón coronel vivo de la misma arma D. Francisco Javier baravia, el co de Cantabria , ídem de la Princesa, regimiento de infantería de Málaga, mandante de voluntarios nacionales D. Francisco Calviño, el subrebatallón de la M. A. de Orense y el ligero de llostalrich. nienie D. Josef María Patino y otros retirados e…</t>
  </si>
  <si>
    <t>…ramar. - . ' • , Se leyó uii oficio deí Sr. secretario de Gracia y Justicia, par Se aprobaren varios artículos, y se mandó qíre volvieran ticipando i las Gorte» el nombramiento de D. Francisco Javier otros á la coiúrsioti. PiniJla para -que desempeñe, hasta la llegada del Sr. Calatrava, Se levantó la sesión. el encargo de ministro de la Gobernación de la Península. Sesión ordenaría del 7. Se aprobaron 23 artículos de la ordenanza para el gobierno Se abrió…</t>
  </si>
  <si>
    <t>JB</t>
  </si>
  <si>
    <t>…lg de Setiembre de I i‘22. « Hace algún tiempo que un sugeto que pasaba por coronel Continúa el parte del Sr. general en gtfe del ejército de! Pe&lt;u. francés, v tomaba el nombre de conde JB. de B., se estableció en Bl 18 amanecieron sobre las alturas de San Lorenzo y San la buiza francesa, viniendo de Inglaterra , donde había estado em Juan de Dios como 500 enemigos de infantería y caballería , con pleado en comisiones secretas: de la policía. L…</t>
  </si>
  <si>
    <t>JBAVIERA</t>
  </si>
  <si>
    <t>•'TTS----GACETA ESPAÑOLA. CADIZ SABADO 9 DE AGOSTO DE 1823. Jmmmm NOTICIAS EXTRANGERAS. como me han mandado un anónimo en nombre del general JBAVIERA. francés de Sevilla , aconsejándome entregara la plaza, y prome Augibuigo ir ¡if Junio, tiéndome cuantas garantías podrían lisonjearme , á cuyas infames Escriben de Hidra con fecha de 8 de Víayo que las escuadri propuestas, tan agenas de mi decisión por el si…</t>
  </si>
  <si>
    <t>JBourke</t>
  </si>
  <si>
    <t>…ualidades. El voto de los que generales y oficiales apenas pudieron contenerla.__Desde esta pueblos lo llamaba á ocupar tan augusto encargo antes de que se nueva posición envió el general JBourke otro parlamentario, el verificase la elección, y en nombrarlo lian seguido los electores la cual esta vez fue admitido; pero suponiendo el gobernador que senda que aquellos le indicaron. de esta circunstancia se fiabian sacado ventajas para avanzar, le » Para…</t>
  </si>
  <si>
    <t>JBuruaga</t>
  </si>
  <si>
    <t>…mas ts lo que el Gobierno ha hecho en este caso , que lo 171, facultad tercera del Rey. es remitir los dos ejemplares para que se archiven ; pero de nin Apoyando esta idea hizo el Sr. JBuruaga la proposición si guna manera ha sido esto dar cuenta de ello; por consiguiente el guiente: wPido á las Cortes que en conformidad á la facultad Gobierno no ha faltado ni ha podido faltar á la obligación que tercera del Rey constitucional inmediatamente se pre…</t>
  </si>
  <si>
    <t>Jcideti</t>
  </si>
  <si>
    <t>…en todos los buenos. la de Orense , y habiéndose casi disipado las facciones de la de Ruego i vds. encarecidamente, señores editores, se sirvan Lugo, siendo últimamente batido el conde Jcideti (asi se titula publicarlo en su apreciable periódico para conocimiento dei pú un tai Cedrón , nx-oficial reinado) en las inmediaciones de VIblico, y para demostrar al mundo entero que esta provincia y su liafranca. Anteayer regresó á esta capital el comandant…</t>
  </si>
  <si>
    <t>Jcs</t>
  </si>
  <si>
    <t>…e marchaba delante, todo el lado López, D. Bernardo ds la Peña Díaz, D. Juan Francisco Vídot, Don izquierdo se levanta por un movimi uto indeliberado, y exclama: Segismundo Moret, D. Jcs;f María ds Ansa y D. Josef María Villa••¡Cómo! ¡ La guardia nacional ! ¡ La guardia nacional es la que se randa , y declaró haber lugar á la formación de cansa por seis votoi, •lige para violar el santuar.o de la representación nacional! ¡ La guardia de cuya…</t>
  </si>
  <si>
    <t>Jcsef</t>
  </si>
  <si>
    <t>…D- Narciso de Heredia, mi Consejero de Guerra to Exposiciones dirigidas al Rey nuestro Señor.gado: para la de Secretario de Estado y del Despacho R Ia Guer ra al Mariscal de Campo D. Jcsef de la Cruz, y para la de Se ,,Señor; D. Antonio Reguera Villamil, Caballero de la Real cretario de Estado y del Despacho de Hacienda á D. Luis López y distinguida Orden Española de Carlos in¡ como Diputado ge Ballesteros, de irú Consejo cíe Hacienda, y Direct…</t>
  </si>
  <si>
    <t>Jdaqurn</t>
  </si>
  <si>
    <t>…sus lev s ni aliviar su suerte cuan lidad al tribunal que había sentenciado sobre este asunto. do ¡o tenga por conveniente, o por mejor decir, cuando le obligue á El Sr. Ferrér ( D. Jdaqurn) contestó que el litigio instaurado per ello la necesidad, como ha sucedido á U Nicion e.pañola! los interesados en este asunto no habia sido en realidad mas que sobre Pa li es de la Europa y drl mundo todo, e,ia Nación magnánima ti la deuda de que se trataba…</t>
  </si>
  <si>
    <t>Je</t>
  </si>
  <si>
    <t>…fallecieron pre taciones hechas a las t oríes con motivo de ías cé ebr's s sion.s de o sentaron carácter epidémico ó contagioso, indicando la hurna asisten y II del pasado por ei juez Je frimera insto"., i 1 dsi juez.ido remera cia del soldado, el estado de los hosp.tales , y los medios que en su .le Mdloz.i y cursantes de l.i universidad de (arana.i.1 , en ct:vo ulti concepto pudieran adoptarse para corregir los males presentes y preca mo ex…</t>
  </si>
  <si>
    <t>…emoriales po( Berge , el barón Ordonneau ,’el conde de Meynadier, el barón Vin- término de 30 dias. cent , SchaetíVr, el barón Haber, el vizconde Vionet de Maringone, el Dirección general Je corrtot. conde Quinsonas, el conde d; Rastignac, el conde de Vittré.el barón El Excmo. Sr. secretario del Despacho de la Gobernación de la de A bignac, el conde de Armand de la 1 oyere , el conde de Saint- Península con fecha del 2 me dice: » Hago saber á los…</t>
  </si>
  <si>
    <t>…CULO DE OFICIO. •cntacion , manifestando los ardientes deseos que les asisten de ver puesta cn segundad á toda costa y con la brevedad posible la interesante persona del Dirección general Je contribuciones directas. Rey y su Gobierno, llevándose á efecto la traslación decretada por las Sitado que manifiesta la recaudación hecha en el mes de Enero próximo Cortes. pasado por las contribuciones y ramos que á continuación se expresan. _ Debiendo dars…</t>
  </si>
  <si>
    <t>…en api bar el plan de arvcg'o d«r « En la orden general de este día se dió á reconocer por ge oficinas que acompaña. Sí leyó este plan. neral en ge fe interino de este ejército al mariscal Je campo l5ort E! Sr. Salva tomo la pr’abra en contra del provecto , v d jo. Miguel López de Baños. Confieso que me pongo a temblar siempre que se trata de &lt;. tic.— » Dios guarde á V. E. muchos aáos.mCuartel general de De ñas y empleados , pites vo hubiera queri…</t>
  </si>
  <si>
    <t>…podrían ser mini-l ros sosteniendo la Cons fíres. diputados, quedó ;• probada. titución sin v,!rílieais&lt;; la traslación. fíe recibió el oíicio de que S. JI. brida señalado El Sr. secretario Je &lt;&gt;raci-.t y Justicia contestó que la hora de, las cinco para recibir la Diputa .ion ; y no escalar prevenido para responder á las preguntas salió esta, compuesta de lo» Sras. \ al Jes { L). Caveque nc- iJialt ¡ji Je hacérsele , ni podía Laber-e poe to t.mo ;…</t>
  </si>
  <si>
    <t>…ballería enemiga , que no se atrevió á cargar á vengar ¡a sangre de los" Ubres vert endo ¡a de sus enemigos. El las: ia reserva paso por el molino , y á esta parte de el ocupo una capitán Je granaderos del 16 de Enea D. Miguel l.’ader.as , y al posición .ventajosa para defenderlo, y el te.-i o lo pasó también subteniente de zapadores D. Josef ia Riba Robledo no estando</t>
  </si>
  <si>
    <t>…que su seguridad en las bayonetas , es infalible su naufra ¡Qué espectáculo para los Reyes y para toda la Real Familia! gio si no se reconcilia con las leves: y asi créanos el Sr. duque Je ¿Y quién responde en medio de aquel espantoso conflicto, en Angulema, v persuádase firmemente que aunque lograra ( no lo medio de la exasperación de los ánimos , en una palabra , en me perm.ta Dios) entrar triunfante en Cádiz, y dejar sepultados en dio de los…</t>
  </si>
  <si>
    <t>Je, Cisooiro</t>
  </si>
  <si>
    <t>Cisooiro Je</t>
  </si>
  <si>
    <t>…turnea.! Aquí ■ &gt; el d ct de Casos men de ce re»vOnsib:l dad, la Milans. ia umm rr de lo» grane;».». ‘á&gt;C'» Ivála ur de que b.ii.i con motive todv . te ap'oo1 de la queja dada por D. Cisooiro Je ’&gt; Tone contra .os en vM.i .. 1, v. -xadj de su. encarga c« ya es buscade , y va cu aument</t>
  </si>
  <si>
    <t>JELico</t>
  </si>
  <si>
    <t>…do. Ja sesión de ayer á los Sres. Gil de ia Cuadra , Galiano, Canga, Se tuvo por de primera lectura la siguiente proposición deí Infante , Saravia , Herrera, IBustanunte y Benito. Sr. JELico: » Pido que la resolución que las Cortes acaban de dar Se dio cuenta de ocho exposiciones de todos los ayuntamien suprimiendo el tribunal de espoiios y vacantes , sea extensiva á la tos constitucionales £ menos uno) del partido de Sahagun , en la colecturía g…</t>
  </si>
  <si>
    <t>Jen-zr</t>
  </si>
  <si>
    <t>…la mismo Gaceta. dice el Celador de Valencia, que los sitiados Je Sesión de Cortes del dia 11 tie junio bajóla pre jMurviedro han hecho ya proposiciones para entregar sidencia del Sr. Jen-zr. —Se leyó v quedó aprobada el el fuerte , siendo una de ellas que se Jes permita sa acta do la anterior. lir con armas y tambor batiente; pero Dille' Leros Quedaron publicados como leyes ios decretos si les ha contestado que ó rendirse á discreción ó ser guie…</t>
  </si>
  <si>
    <t>Jener</t>
  </si>
  <si>
    <t>…vía Ignorábamos Eos re Para presidente qu-dó elegido el Sr. Isturiz por 61 votos de sao, sultados de lo que se había deliberado en el congreso de Verona. Aun habiendo tenido 43 el Sr. Jener, 13 el Sr. Calderón, y uno cada uno no existía un documento que nos diese luz para saber cuál habla sido de ios señores Munaniz, Infante y Marchámalo. la suprema voluntad de los diplomáticos de Verona, Todo cuanto sa Para vice-presidente fue elegido el Sr. Se…</t>
  </si>
  <si>
    <t>…usto soria, ó por lo menos quedaría sujeta al capricho de una au dien y ordenen los expedientes y papeles, y que sus subalternos toridad. asistan las horas señaladas. Aprobado. El Sr. Jener contestó que la Inglaterra m'sma habla dado Art. 147. Asi como el gefe político será responsable de los facultades á los gobernadores de su, colonias para que pudiesen abusos de su autoridad , también será respetado y obedecido de to suspender la ejecución de…</t>
  </si>
  <si>
    <t>…s &gt; y la alegría mas pura mezclada con la in Se declaró ser primeva lectura la que se hizo de una pronos!— dignación propia de hombres iibres cuando se encuentran insulta cion del Sr. Jener para que se lleve a efecto el art. óí del* re dos resaltaba en sus semblantes. El regimiento llamado el fijo de glamento general de instrucción pública, por el que se manda dicha ciudad, representó al Gobierno ofreciéndose, si Jo creia establecer una universi…</t>
  </si>
  <si>
    <t>…Jas Cortes un plazo oportuno para facilitar la bienes. Aprobado. venta de estas existencias! ;No se ha prorogado este plazo! Con Se hizo la segunda lectura de una proposición del Sr. Jener, que quiere decir que dentro de ao dias ó un mes se acudirá otra reducida i que habiéndose decretado en la isla de Cuba el derecho vez á las Cortes á pedir otra próroga, : No es mejor decir que no de dos rs. por cada pipa para mantener las cátedras de náutica…</t>
  </si>
  <si>
    <t>…ado por las Cortes ó por la En la primera votación para presidente no hubo elección, ha diputación provincial respectiva , y este llamamiento no’podia ve biendo tenido 51 votos el Sr. Jener, 20 el Sr. González Alon rificarse , según lo prevenido en la Constitución, sino en el caso so, 10 el Sr. Cano , y hasta el Iota! 1 r6 entre ios Sres. Pacheco, de una incapacidad absoluta del propietario, ó de una causa per ístiñez f IX Tonino) , Tsturiz , Sa…</t>
  </si>
  <si>
    <t>…probado este articulo. bre de 1822 sobre reuniones para discutir materias políticas. Habiendo vuelto la diputación que había ido á palacio, dijo ( Gaceta del 7. ) su presidente el Sr. Jener, que había puesto en manos de S. M. Decreto de las Cortes aprobando seis medidas extraordinarias los deeretos con carácter de ley que las Cortes 1c habían entrega con motivo de las que fueron propuestas por S. M. (Gace- . do , y que S. M. los había recibido c…</t>
  </si>
  <si>
    <t>…pendiente del. informe de la comi -El Sr. Ferrer (D. Joaquín ): Me es tanto mas sensible en sión de Ultramar. J : trar en esta discusión, cuanto que me ligan con la América mu El Sr. Jener: Me levanto á impugnad el 1 dictamen , porque chas relaciones; pero debo sacrificar todos mis alectos particula 110 lengo poderes para autorizar la emancipación de la América, res, y votar como representante de la Nación española , comba pues que no los tengo…</t>
  </si>
  <si>
    <t>Jener, Tomas</t>
  </si>
  <si>
    <t>Tomas Jener</t>
  </si>
  <si>
    <t>…ión de su presi ción se expresa. dente, vice-presidente y secretario mas antiguo, hn salido elec El cuarto ejército de opéraciones se compondrá de tres divi tos para presidente el Sr. D. Tomas Jener , diputado por la is siones de infantería, de la reserva de esta arxna y de una de caba la de Cuba; para vice-presidente el Sr. D. Santiago Sedeño, di llería, en la forma siguiente. putado por la provincia de Segovia , y para secretirio el Sr. Don Primera div…</t>
  </si>
  <si>
    <t>…del mismo cap tulo, y.á lo que previniere el regla D. Alvaro Gómez Becerra, diputado por la provincia de Ex!: cmento de hospitales. Art. 15. En los.mismos términos se aten madura; D. Tomas Jener, que loes por h de la Hilvana; Don día ; los consultores de cirujía en lo relativo á su facultad á lo que francisco Javier Isturiz, por la de Cádiz; D. Francisco de P.n.'a se previene á los de medicina en los alternos 36 , 37, 38 , 39, de Soria , por la de Gr…</t>
  </si>
  <si>
    <t>Jesticrude</t>
  </si>
  <si>
    <t>…el 7 en Etizondo otro digno patrióla,agre real y medio. gado á las fuerzas nacionales en aquella comarca , que el dia 6 á las 4 Viacrucis y meditaciones sobre la pasión de nuestro señor Jesticrude la tarde salió de este último pueblo el comandante D. Miguel to , sacadas riel santo evangelio por el limo. Sr. D. Santiago Jo»' Gastón , dirigiéndose por Santistiban ai pueblo, de Elrasun con la se Brncomo , obispo de Astorga , y el mejor que se conoce para…</t>
  </si>
  <si>
    <t>Jesucristo</t>
  </si>
  <si>
    <t>…-españoles no a,pira á mas que gozar del y respeto. Los malvados, solos el.os, que abrigan un odio im Gobierno paternal del Sr. D. Fern ando yii , su amado Rey, placable á nuestro señor Jesucristo sen los que aborrecen una libre y absoluto, y que sea restituido á la plenitud de sus atri institución que se opone á ¡as horrendas blasfemias y sacrile buciones y derechos, conforme 3 las leyes fundamentales de la gos insultos hechos con impío alarde á Dios…</t>
  </si>
  <si>
    <t>…la de Eimeo. Eí Rey y varios de sus sub dría la eficacia, de regenerarlos completamente , y que e] amor de ditos han aprendido ce los misioneros á leer y escribir. Tienen nuestro Señor Jesucristo llegarla á ser para ellos un manantial de ya catecismos , colecciones de cánticos , extractos del nuevo Tes todas las virtudes. Estos dos métodos tienen sus ventajas y sus in tamento, impresos en su lengua , que se les han remitido de Portconvenientes, pues c…</t>
  </si>
  <si>
    <t>…ntrarios. continuándole la música. „Por último, Señor, besando ansiosamente L. R. P. de Concluido el Te Deum, volvió S. S. á su carroza con el mis V. M., deseamos que Dios nuestro Señor Jesucristo, que os ha mo acompañamiento, y se dirigió á Monte-Caballo en medio de librado de las manos de los perversos, os prospere la vida y las mismas aclamaciones. afiance vuestro Trono por muchos años. Rus i de Noviembre NOTICIAS DE ESPAÑA. de i323.=Señor.=A L. R.…</t>
  </si>
  <si>
    <t>Jfts</t>
  </si>
  <si>
    <t>. . . . . 291 La misma comisión, en vista de fe propos'c'on 'cid Sr. Jfts . • ver f-jccron la siguiente proposic.on , que quedó aprobada: •• Pcmire/- Arellano sobre establecimiento en Córdoba de una univer- d.nros que pi.a ¡a disensión sobre el ramo de correos se cite ¿ vdad'de segunda enseñanza , sai perjuicio de continuar el cole…</t>
  </si>
  <si>
    <t>Ji</t>
  </si>
  <si>
    <t>…bservado en la expedición á que bajo mi dirección y » las in a'? y del 10 á Ja plana mayor general por la de Logroño. De ellos re mediatas del digno comandante del tercer batallón D. Ji"sf Mar s sulta que los facciosos de aquella provincia son los que se han le Montero os habéis prestado, rn? i-t indispensable hac-rlo pí sente a los vantado estos últimos dias en varios pueblos de la Rioja alavesa , que cuerpos en la orden general, i fin de q…</t>
  </si>
  <si>
    <t>…e en medio de sus triunfos. __Servicio de los ayuda*, tes de placa para la semana próxima. El mismo se demuestra impaciente por firmar la paz. ¡Quién, Comandante general y consejo D. Ji.*n Manuel Chacón----Go pues, de pronto le inspira tanta moderación, y libra al Austria bernador y orden D. Almud Nudez. — De causas D. Juan de de un conquistador altamente ofendido é irritado! ¡quién! La Rojas. _Teatro y toros D. Antonio \\ ai lúa y D. Josef…</t>
  </si>
  <si>
    <t>Ji'</t>
  </si>
  <si>
    <t>…entia, que dispuesto en lo, d.er.to. de ..o s'.’iUv \po ba.lo. fiambrado el nuevo m'.ni -terio no se dieren la» provideim as nece- l.i misma com.son , en vota de la ,'-pos , en de D. Ji',Y sin.is. — Palacio délas Cuites 27 de Mayo de iíl:g.' Qiuuei; Maro Can ' no, . v.. r :&gt; óz e a &gt;..&gt;;• 1 . pea cu. -e .. ,n::. u.n ¡as firmas. ) por el La.:.:o p.,Lv.co ios p.d.Aic, de la ,ap , .t e.. se</t>
  </si>
  <si>
    <t>Ji, Josef Diaz</t>
  </si>
  <si>
    <t>Josef Diaz Ji</t>
  </si>
  <si>
    <t>…os pn'x mo í distinción. Ofició de pontifical el limo. Sr. co- Regente D. Juan la habitación de la berma. Sra. Duquesa de Angulema. J re, Cavia González, obispo de Osma; y predicó D. Josef Diaz Ji anos hi que se intentó otro semejante en el palacio mismo de ménez , predicador de S. M. S. M. Luis xviti , y la Francia apenas acaba de verse libre de CORREGI MIENTO DE MADRID. una multitud de incendios sistematizados y ejecutados en todo» » Exento. Sr.: La…</t>
  </si>
  <si>
    <t>Ji, Mariano</t>
  </si>
  <si>
    <t>Mariano Ji</t>
  </si>
  <si>
    <t>…ue se adelanten D. Josef Muro; el de España Libre al de igual cUse D. Anto un poquito mas para manifestarles nuestro agradecimiento por las nio Viladomar; el de Cortes al teniente coronel D. Mariano Ji felicidades que vienen á traernos. Tenemos buena guarnición ; la ménez Bagusé ; el de Independencia nacional al coronel D. Josef milicia está entusiasmada, víveres no faltan, las autoridades son Montero y Vigodet; el de Soberanía nacional al teniente coronel…</t>
  </si>
  <si>
    <t>Jijón, Domingo Sánchez</t>
  </si>
  <si>
    <t>Domingo Sánchez Jijón</t>
  </si>
  <si>
    <t>Gaceta de Madrid n.º 1113</t>
  </si>
  <si>
    <t>…ue los españoles son ardorosa Nota. En la Gaceta núm. 108, pág. 404, lín. 6.*, donde mente vengativos de las ofensas cuando estas se hacen á toda su dice: el Presbítero de Sevilla D. Domingo Sánchez Jijón, debe Nación , y que odian al extrangero cuando este se declara su decir , el Presbítero de Toledo &amp;c. enemigo; y en este sentido se debe entender, pues vemos que en Otra, En la Gaceta núm. 110 del martes 11 del corriente, todo lo demás nos hace la debida jus…</t>
  </si>
  <si>
    <t>Jiménez</t>
  </si>
  <si>
    <t>…los momentos. de Oviedo, presentada y leída por el Sr. Canga. Hay ademas un incidente particular que apoya mis observaciones. Res De la diputación provincia) de Zaragoza , por el Sr. Jiménez. peto las facultades constitucionales de S. M., como siempft las he respetad • De los empleados de la Hacienda militar del 5.° distrito, por el mis do desda que tuve el honor de contribuir con mi voto á que se le dieran;' mo Sr. Jiménez. pero no por eso creo"…</t>
  </si>
  <si>
    <t>…robaron todo esto que ha entrado en España es de tío y tan las Corles el acta do di» ha sesión. tos mil hombres, y entre ellos un cuerpo de io&lt;) ca Se levó una osposirioii del Sr. diputado Jiménez, ballos. en la que manifestaba que habiendo observado no El cuerpo de la capital se ba hecho tres divido- hallarse en el acta de la sesión del 11 su roto con nos : la piimera que rompió se dirijió sobre Tala ve trario á la aprobación de la proposición del Sr.…</t>
  </si>
  <si>
    <t>Jiménez, Antonia</t>
  </si>
  <si>
    <t>Antonia Jiménez</t>
  </si>
  <si>
    <t>…e,mandaba D. Miguel da Céspedes-, compuesta da 35 hombres dií caba D. Juan Redondo, primer cirujano de la armada; Fr. Francisco Jimé llería j siete de á pie, incluso el gefe. nez; Doña Antonia Jiménez; D. Manuel Belticnate , con su rspo^c, Murcia 17 de Marzo. una h’’B y ani criada; D. Ver-tura Alisas , D. Josef Antorio Bimof D. Juan Antonio Loredo , D. Josef de la Cámaro , D. Manuel Ra El espíritu público cada día va mas en aumento; y pocos son los mos, D.…</t>
  </si>
  <si>
    <t>Jiménez, Cayetana</t>
  </si>
  <si>
    <t>Cayetana Jiménez</t>
  </si>
  <si>
    <t>…licitudes de Do excepción en favor de estos y en contra de los demas acreedores ña Angela ...............viuda de un oficial de la Dirección general del ¡Estado. de Estudios, y de Doña Cayetana Jiménez, viuda de un emplea El Sr. Oliver añadió que también resultaría en perjuicio de do en el Observatorio astronómico de este departamento, en las las atenciones militares que se pagaban por tesorería , y en el dia qué pedían se les señalase alguna pensión. ton l…</t>
  </si>
  <si>
    <t>Jiménez, Ines</t>
  </si>
  <si>
    <t>Ines Jiménez</t>
  </si>
  <si>
    <t>…. Todo lo que digo á V. para su inteligencia y cumplimien La comisión segunda de Hacienda, en vista de la exposxicn to. Cuartel general de Vitoria 18 de Abril de 1823. = Eguía, de Doña Ines Jiménez para que se la entreguen 50© rs. en bie presidente. nes nacionales por indemnización de"Tus~perjuicios que ha sufri CORTES. do , según manifiesta en su exposición , opinaba, vistos los infor PRESIDENCIA DEL SEÑOR FERRER (DON JOAQUIN). mes del Gobierno , que n…</t>
  </si>
  <si>
    <t>Jiménez, Josef</t>
  </si>
  <si>
    <t>Josef Jiménez</t>
  </si>
  <si>
    <t>…de sierra del Corp; y dirigiéndome yo por úUimo al mismo punto con la Peña, secretario y único vocal que ha quedado de la janea de gobier la compañía de cazadores, mandada por el teniente D. Josef Jiménez, no del monee-pío de criados distinguidos de los granjea de España, ha fueron desalojado» los enemigos de coda la altura. Eua posición fue creído oportuno convocar por los periódicos de gaceta y diario á todas atacada varias veces, según le llegaba el refuerz…</t>
  </si>
  <si>
    <t>Jiménez, Josef Antonio</t>
  </si>
  <si>
    <t>Josef Antonio Jiménez</t>
  </si>
  <si>
    <t>…s, esta ya impreso, y puede García, D. Jaime Fabregucs Boisar, D. Francisco Juárez Val- servir como de maestra para los que gusten suscribirse al tomo dés, D. Santiago Fontaines , D. Josef Antonio Jiménez, Don 2.1, que se está imprimiendo, y contendrá lo restante del Nue Pedro Angel de Zt bala, Doña Rosa Joaquina y Dona Pascua vo Testamento, y ademas unas notas ¿enerales en forma de dic la Septiem, D. Manuel haenz López y Cabezón, O. Antonio cionario para inte…</t>
  </si>
  <si>
    <t>Jiménez, Luis Alemani y Josef</t>
  </si>
  <si>
    <t>Luis Alemani y Josef Jiménez</t>
  </si>
  <si>
    <t>…ación á la Casa blanca fortificada , con Ja izquierda á las ordenes del subteniente y sargento del 5.0 bata desprecio del fuego que desde la batería colorada y pinares hacían llón D. Luis Alemani y Josef Jiménez estaban en observa los enemigos , fue el primer ensayo de las guerrillas que cubrían ción de alguna fuerza que se veia por su lado sin tener oca la columna en ademan de ataque, á cuyo tiempo fueron reforzados sión de batirse, como ni el resto de la columna, e…</t>
  </si>
  <si>
    <t>Jiménez, Manuel Vicente Martínez y</t>
  </si>
  <si>
    <t>Manuel Vicente Martínez y Jiménez</t>
  </si>
  <si>
    <t>…de gobernador en i" Petersburgo 23 de Mayo. este arzobispado durante lo* seis últimos meses de la vida del El teniente general conde de Wotomow, ayudante general dignísimo é limo. Sr. D. Manuel Vicente Martínez y Jiménez; de S. M., acaba de ser nombrado gobernador general de las pro y después de su muerte nombrado por este cabildo metropolita- vincias de la Nueva Rusia y comisario plenipotenciario en Beee vicario general sede vacante; y estando'por esta virtud á la saravía. c…</t>
  </si>
  <si>
    <t>Jiménez, Ramón García</t>
  </si>
  <si>
    <t>Ramón García Jiménez</t>
  </si>
  <si>
    <t>…es di en providencia de 3 de este mes , refrendada del secretario de S. M., y es rigirlas á felicitarlas por las sesiones de y y 11 de Enero último. cribano del número de la misma D. Ramón García Jiménez, ha manda Del batallón de la M. N. A. de Si-Lienza , presentada y lcida por el do citar y emplazar, como por el presente se hace, á todas y cualesquiera Sr. Be Ida. pcr,on.is que se crean con derecho á la referida finca, para que al término De la M. N. V. de…</t>
  </si>
  <si>
    <t>Jíorgo, Pózza di</t>
  </si>
  <si>
    <t>Pózza di Jíorgo</t>
  </si>
  <si>
    <t>…18-0 de lím;a, un batallón del t.° ligero y un gidos á nado. escuadrón del .13.0 de cazadores. París 22 de Agosto. En otra relación diré á V. E, los sugetos que se han distin Mr. conde Pózza di Jíorgo, embajador de Rusia, dará matía- guido. El enemigo no tiene un almacén ni punto de apoyo des-</t>
  </si>
  <si>
    <t>Jipcll, Franc.sco</t>
  </si>
  <si>
    <t>Franc.sco Jipcll</t>
  </si>
  <si>
    <t>…o se dejará por ahora tste asunto Se mando pasar á la com s.on de Hacienda una exposición del coronelen su actual estado , reservándose el discutir los punios que no ésten todavía D. Franc.sco Jipcll, administrador de Jotcrías que lu. ot ia antigua proresueltos cuando se rama la próxima dieta de Su.za. Vario* cantones han vincia de Cataluña, queiár.víosv. de habérsele p- ivaihode aquel dv^tmo v.npublicado entre tanto sus reglamentos relativos á las med da…</t>
  </si>
  <si>
    <t>Jium, IX</t>
  </si>
  <si>
    <t>IX Jium</t>
  </si>
  <si>
    <t>…adornado á la nación portuguesa. nuestra independencia y de nuestras libertades, y queaiuestro in Valientes militares del ejército que hasta ahora habéis conser comparable Rey el Sr. IX Jium vi ha sostenido con una cons- vado intacta vuestra fidelidad y vuestro honor, este es el mo. tanda..que lejiará, á juicio de Ja posteridad, superior á su pro ■mento en que la patria reclama vuestro valor y vuestra firmeza, pio trono y á su propia grandeza. •y…</t>
  </si>
  <si>
    <t>JJahataunds, Josef</t>
  </si>
  <si>
    <t>Josef JJahataunds</t>
  </si>
  <si>
    <t>…propios v baldíos de ¡3 tn**tn 1 z-z.uicc-rKijjona!• 1yr r-nientengan en-ademasrr\ o v ti.Ja suficiencia____ ___ y demás, re uUCfcitOS diputación provincia: de Málaga; y o tía de D. Josef JJahataunds sobre prehciitos en ia&gt; leyes. qu; se le habilite para obtener algún destino, aunque no goza sueldo -Ocsjáucj de una corta discusión quedaron aprobados. por el erario. Se leyó y declaró de primera ¡rttu:a la s*j-.i.nti proposición del Ia comisión de Visita de…</t>
  </si>
  <si>
    <t>Jlea'l</t>
  </si>
  <si>
    <t>…iles á lot hombres de Esta desea ver establecida entre todos sus súbditos. lít ki'rno mi itui' .1 Cá.liT. do, extractadas de la historia crítiía de la inquisición ,ícEspatla , por D. Jlea'l sintonía Lloi ccte. M. N. V. a.° batallón. Tan pronto como el dia 13 por la mañana principió el fuego de los enemigos, y recibí la orden de En lugar de hacer la paz con condic’ones razonables , el Papa V. S. para que el batallón de mi cargo se pusiese sobre l…</t>
  </si>
  <si>
    <t>Jluregui</t>
  </si>
  <si>
    <t>…í el oficio de V. E. á combatir pan acabar con ella de una vez. Al siguiente dia 7, des de ayer, rn que me prevenía lo mismo que estaba egecutando, pues pués de haber prevenido ai coronel Jluregui , que ocupaba con &lt;a se convencido de lo útil que seria mi pronta llegada a 11 inmediación del gunda sección el punto de Olcoz , estorbase á todo trance que la fac. enemigo conducía la tropa con algunos carros , para que descansasen cion contramarchase por la…</t>
  </si>
  <si>
    <t>Jo</t>
  </si>
  <si>
    <t>…mayor trascendencia. del ann ¡lio. -Kl Sr. Isturiz: El asunto de que se trata está reducido i haber &gt;1 G Resulta de loque llevo expuesto que no siendo la base única y ex demandado D. Jo»ef Moreno Guerra ante un alcaide cc.nst.íucu na! por clusiva del códi.-o penal el establecimiento del jurado, no hay obsíá- el intendente de Madrid ,á causa de las expresiones que d:jc vi 's - Mo cu.o para que se ponga en observancia , excepto en aqurEo que d…</t>
  </si>
  <si>
    <t>…io, definitivo, han nombrado á este, fin y pira este ,de él se hubiese hecho ó se h ci-ere c-mio un motivo que pueda na objeto por sus plenipotenciarios , a sabet S. M. católica á D. Jo»ef No cer rehusar su liquidaron y pe ,0. El presente articu‘o separado t.r.dri guera , su secretario con vgcrcicio , oficia! de la secretaría de Estado, la misma fuerza y valor que s: estuvhse ias:ito palabra per palabra caonJ-ro de la muy distinguida orden d…</t>
  </si>
  <si>
    <t>…y Juan Jiménez, lodos del infante , que con prisioneros , r en la misma noche del 26 reuní en Estrila tod; la divi ellos hizo proezas, y el distinguido de granaderos de ¡a Corona D. Jo sión: al día siguiente marché í Tafallo , en donde hicieren las guerri sef de Cr»ttn. También fallaría á la justicia si no ricomenda»e á V. S. llas i prisioneros , por cuyas declaraciones , contestes con las noticias particularmente al espitan del batui'on li…</t>
  </si>
  <si>
    <t>…dad Landaburiana del núm. 10 del periódico tilidarey, por lo que suplico á V. S. I. se digne sacar mi despacho, el de do el Patriota español, se convocó por el Sr. alcalde primero D. Jo mi hermano D. Josef María del Castillo Rengifo y el de D. Eus sef Pío de Molina el jurado , compuesto de los Sres. D. Manuel Ga taquio Babilonia, pues somos acreedores y dignos de toda merced por llego , D. Simón González Yuste, D. Jaime Ruiz Abren , D. Joa l…</t>
  </si>
  <si>
    <t>…n'guna atención es primero —Ha entrado la corbeta la Faina, procedente de Veracruz y la Havaque ia de salvar ia patria. na , y conduce i varios oficiales , entre ellos al teniente general D. Jo6“ Todo propietario y comerciante eitaráobligado á pagar dos dé sef Dávila: trae para particulares varios efectos y 466,';$8 \ pesos fuer cimas. tes en plata, y 11,412 en plata labrada, 81,520 en onzas de oro, y y.° Todo empleado público que tuviese un millón…</t>
  </si>
  <si>
    <t>…stido en dos caballos muevtos, y seis ei de Pansdes lo que copic.~Éxcmo. Sr.esiEi teniente coronel mayor del soldados y tres caballos heridos. Entre los heridos se halla el cadete D. Jo remírenlo de Málaga D. Froilan Mendez de Vigo, comandante del pun sef Percevál.—Lo que traslado á V. E. para su conocimiento, y que *e sir tóle Mora de Ebro, con f. ha 18 del corriente me da el parte siguiente: va elevarlo al de S. M.rrDios guarde á V. E.- mu…</t>
  </si>
  <si>
    <t>…María Caldas, alias la Marieta tte Jieuj, con 15. Jaime to, y admitida á discusión se mando pasar .1 k coiMisain de Guerra. Caldas, mclior de edad , sin el consentimiento del momo D. Jo jet María, Solevo otra proposiríon del Sr. .' íourc, reda, ida a que hab I endose su padre; era de opinión que dicho vicario Abellá había incurrido en la acordado la traslación A- las Cortes y dei Gobierno a ciudad de Scv.i.a, responsabilidad, y debía haber l…</t>
  </si>
  <si>
    <t>…dos dictámenes de la comisión de Guerra so En este momento salió, la diputa.iun encargada de presentar ¿ S. M. bre que no podía accederse á las solicitudes de pensiones hechas por D. Jo— la contes!.'..ion al discurso de apertura , que dice asi: tef .María Mauri y Doña Francisca N; viuda de un capitán de Alinansa. « Señor: Los glandes y nobles sentimiento» que V. M. ha manifestado Se leyó por segunda vez el proyecto sobre dotación de! elero.…</t>
  </si>
  <si>
    <t>…tiempo desde que habían sido presentados. tan pundonorosi, incapaz de transigir con la injusticia ni la infamia, zelo- A Ja comisión Eclesiástica se mandó pasar una exposición de D. Jo sa de sus derechos, y amante de la gloria y de las acciones grandes que sef María Alens , solicitando ascender ,. s sagradas órdenes. S cmpre la han distinguido, no dudan que asi como sostuvo con tanta Habiendo vuelto la diputación de j...,acio dijo el Sr. ha…</t>
  </si>
  <si>
    <t>…cayeron dichas suertes en las ciudadanas Doña Merced Forminado Morillo, en número de 200 hombres de infantería y caballería, naguera, Doña Dolores Frons, Doña María Arguer y Casa, Doña Jo viene de Peñamelíera, y se apodera de Llanes, y en «odas partes despe sefa Medir y Carnesoltas , Doña Francisca Grau, Doña Bárbara Riera, dazan el precioso signo de nuestras instituciones; dan íobre ellos las Doña María Cata, Doña Teresa Miser y Catá , Doña M…</t>
  </si>
  <si>
    <t>…medía , y se leyó el acta ele,la anterior, y al capitán D. Vicente Valcareel; y empleados á sus inmedia quedando aprobada. tas órdenes al coronel D. Andrés A rango, al subteniente D. Jo El Sr. Becerra manifestó , que según el acta un oficio del vi sef de Zayas á D. Antonio Masoni, teniente de la M. N. A. sitador ele la audiencia de Sevilla, D. Manuel Trinidad Moreno, de Toledo, y á D. Francisco Fringas, teniente de la M. N. L. se habla pasado á la…</t>
  </si>
  <si>
    <t>…primera división á las órdenes del coro ra de Rícote, prendieron á dos, mataron otro, y les quitaron cinco caballos, una muía, algunas armas y tres cargas de ropa nel de Mallorca D. Jo"f Joaquín Márquez Donado. que la tarde anterior habían robado á unos comerciantes de For Fuerza. Infante D. Cario» tí. Mallorca tí?. BujaUace 8co. Total aSoo. tuna y Algezares en el puerto de la Mata muger.</t>
  </si>
  <si>
    <t>…r á la comisión de Hacienda , después de decla capellán de artillería. rada comprendida en el articulo too del reglamento, una propo Empleados: comandante D. Juan Bautista Ruiio. =D. Jo sición del Sr. Albear, para que se presentasen los datos estadísti sef Eábregas , alcaide de la aduar..!. = D. Marín Vidal. cos que hubiese para el repartimiento de las contnbuc.ones direc Sabemos que son otros los deten‘dos, cuyos nombres no he ta y de consu…</t>
  </si>
  <si>
    <t>d'spon-írc’s lo conveniente 1 su cumpKm'cnto. Alcázar de S-.vi- ríos, (i qu en il:sde luego prevendrá en nombre de í&gt;. Ai. que dia 1 j’; de junio de i c¡ i g.— A D. Jo»-f M ir a Ciiatrava. riamente de uv.so a este ministerio del progreso de la causa en (Jon vete motivo ti br. Sánchez SjivaJor h.i dirigido á S. M. cuanto io p-.nn.ta su csí ido y naturaleza. De Real orden lo co jj exposición siguiente : munico á V. S. para su…</t>
  </si>
  <si>
    <t>…el término de un mes: es pueblo de óoo vecinos. tando quedar enterado.” Instrucción cristiana y política: antídoto que presenta un » Eli Constitucional núm. 178. Hace presente el Sr. D. Jo maestro do primeras letras á sus discípulos para precaverlos de séf Moreno de Guerra que habiendo sido inútiles los esfuerzos la infernal víbora del filosofismo, instruyéndolos conforme á la para restablecer el ministerio de los Sres. Florez-Esttada , Calvo s…</t>
  </si>
  <si>
    <t>…mi Samaniego y D. Fernando Palacio de Azana, conde de Mon es licianos de Madrid y otros pueblos, y que d.rigiéndose á un mo Claros__En la calogtafia D. Jos.f de Brugada , accésit D. Jo lino inmediato á Chiclana, echaron á correr los gabachos como sef de castro—En la de R.ipaida y Flcun D Manuel Mtresqui. gamos, abandonando á merced de los libres 38 sacos de harina.” __En las clases de historia sagrada y ciernen :os de gramática cas h El Esp…</t>
  </si>
  <si>
    <t>…dicho ahora de los ministros D. Francisco Javier Ochoa, decano; el [■u.bio en número de 80 á roo hombres; que solo tenían una marques de Ciileruelo; D. Josef de ia Calle y Cepeda; D. Jo* avanzada de 4 hombres en las mismas calles del m:&gt;tno; que sef Lledó; D. Angel Fuenes; D. Femando Velez, y ¡os su tenían echada una contribución de 3© rs., 40 fanegas de ce pernumerarios D. Fernando Pantoja y D. Pedro Gómez de la bada y una porción de pares…</t>
  </si>
  <si>
    <t>…el 3, agre Dios guarde á V. E. muchos anos. Córdoba i.° de Mayo de gándose á aquellas eí que los enemigos quedasen ya sin quien nos de iSay.rczExcmo. Sr.i=Gerónimo Valdes.zzExcmo. Sr. D. Jo observase por aquella parte. sef de la Serna, virey del Perú. «Con mis marchas y contramarchas no solo iba cons'guiendo VARIEDADES. hacer replegar á Gamarra sobre lea, como lo verificó iuego que supo el suceso de Cuereo, sino que llevaba por delante á cuantos…</t>
  </si>
  <si>
    <t>Jo, Barhot</t>
  </si>
  <si>
    <t>Barhot Jo</t>
  </si>
  <si>
    <t>…M. Cató condenar muy luego, asi como nosotros, :n gcbirrno que seria lica en manos del coronel del 2.0 de linea. en la Península medio revolucionario, me,lio realista , y que á El general Barhot Jo remite a Pau para enviarlo de alli á nadie había de satisfacer. España. ( Por el telégrafo.") El Rey no está todavía en libertad; pero se espera esta __Sí suele decir que un hecho es lo mas testarudo que se cono plausib e noticia. Creemos que la guerra y Ja r…</t>
  </si>
  <si>
    <t>Jo, Santiago</t>
  </si>
  <si>
    <t>Santiago Jo</t>
  </si>
  <si>
    <t>…4 Viacrucis y meditaciones sobre la pasión de nuestro señor Jesticrude la tarde salió de este último pueblo el comandante D. Miguel to , sacadas riel santo evangelio por el limo. Sr. D. Santiago Jo»' Gastón , dirigiéndose por Santistiban ai pueblo, de Elrasun con la se Brncomo , obispo de Astorga , y el mejor que se conoce para andar gunda compañía del resguardo y 25 individuos de los pelotones asala con fruto e:te santo egercicio. Se hallati en Jas lib…</t>
  </si>
  <si>
    <t>Jo-</t>
  </si>
  <si>
    <t>…ndividuo del tribunal supremo de Justicia , Don yas bases son los movimientos que me pioponga hacer , cubriendo esta Josef Zorraqujn, iriem, D. Juan Bautista Toires, comerciante , D. Jo- parte de la provincia delante de la capital. En la fuerza de infantería sef Martínez y García , magistrado de la audiencia territorial , que son y caballería no ha ocurrido novedad de alta ni baja desde anoohé.as los primmos que se han comprometido al servici…</t>
  </si>
  <si>
    <t>…istas de esta Corttf se rtunieroa ayer todo* sus Oficíale» Riego cohoce á Ballesteros , cuando tal presumía de mí , ni sabe uniformados , y el Gómáadaíiíe general de estos cuerpos D. Jo- apreciar las virtudes militares de este ejercitó. Si el sinceró pla sef Ayaíeíifch; MaHscfettte Campo de ios Reales ejércitos, en cer que experimentaron muchos de mis soldados al ver concluid las casas del AyuntáíhfébtO » for cuyos individuos fueron reci da a…</t>
  </si>
  <si>
    <t>Jo-rf</t>
  </si>
  <si>
    <t>…ión, en vista de la consulta del intendente de esta Se mandaron pasar i la comisión dos adiciones del Sr. Pedral vez provincia en virtud de las proposiciones que hizo el ciudadano D. Jo-rf á los arts- 14 y 17 de este proyecto. bel les, comandante de la partida destinada á perseguir el contrabando, La comisión de Hacienda, en vista del proyecto presentado por el opinaba que se remitiese ai Gobierno este expediente para que dé su ciudadano D. Vic…</t>
  </si>
  <si>
    <t>Jo.cf</t>
  </si>
  <si>
    <t>…ontinua cesario á su cumplimiento.—Está rubricado de ia Real mano. = observación del enemigo, han marchado las tropas con la mavor ReaL Alcázar de Sevilla á 28 de Abril de 182.3—A D. Jo.cf tranquilidad y en el mejor orden; lo mismo han ejecutado las . Manuel Vadillo.” demas, y todas han sido tan perfectamente asistidas como pu dieran serlo en guarnición; no ha quedado uno tan solo rezagado, los Sres. diputados secretarios de las Cortes han comu…</t>
  </si>
  <si>
    <t>Joa</t>
  </si>
  <si>
    <t>…e Molina el jurado , compuesto de los Sres. D. Manuel Ga taquio Babilonia, pues somos acreedores y dignos de toda merced por llego , D. Simón González Yuste, D. Jaime Ruiz Abren , D. Joa lo muy fieles que somos a la corona de nuestro amado Monarca. quín Manrique y Manrique, D. Juan Fernandez Casariego , D. Benito n Los vecinos de esta ciudad ofrecen todos unánimes perder la últi Ortega Romanillos, D. Manuel M-rino, D. Domingo Fernand a An ma…</t>
  </si>
  <si>
    <t>…D. Juan María Pardo para comisionado especial de la extinción de la quía. Coruñz Enero 19 de 1833.” (%uzn las firmas.} deuda, incorporación y enajenación de bienes nacionales; y 3 D. Joa quín Suarez del Villar para comisionado especial de administración y lista tlt los jueces de hecho nombrados para el presente año de 182 j, recaudación. Madrid 17 de Marzo de 1823.= Manuel Flor.-s Ca'dercn, con arreglo al artículo ll, título 7.0 de las adicio…</t>
  </si>
  <si>
    <t>…y son los Sres. Saavedra, Herrera BuStamante , Galiano, Alix, tirse el dictamen de la.manera que se ha hecho , cuando en el no Salva, Belmontc, González Alonso, Llórente ,Ferrer.(D. Joa se hace mas que añadir un grado de facultad mas á ¡a autoridad quín ) , Ojero , Sánchez, Jener, Meca, Oliver , Ordnña, Buey, que está conferida al Gobierno. Rojo , Muro , Valdés ( D. Dionisio ), Bauza. Se me dirá que esto podrá comprometer í la? Cóit.-s ai re…</t>
  </si>
  <si>
    <t>Joa, Carlota</t>
  </si>
  <si>
    <t>Carlota Joa</t>
  </si>
  <si>
    <t>…proposición del Sr. Franzini, en que pedia r_ dees-tase una pensión para el re.-uLiado que esperan: \Mediten, y tiemblen! atender á la precisa subsistencia de ¡a ex-R ina la Sra. Doña Carlota Joa quina. La mayoría de la comisión proponía que so pusiesen á disposición Madrid Viernes ai’ de Febrero. del Rey las rentas de las llamadas casas de !as Reinas, á fin de que hicie n El Rey' siyue en cama con la hinchazón gotosa de los p e» , que se ha se entreg…</t>
  </si>
  <si>
    <t>…1823.—Miguel Cabrera de Nevares.zc Sr. gefe político de Sevilla. dicos extrangeros, y de ellos copiado en otros de esta corte, una carta, que se dice escrita por la Reina la Sra. Doña Carlota Joa quina de Eorbon á su augusto esposo, estamos autorizados pira Orden de la plaza del ig al 20 de Abril de l82¿p. declarar que aquella carta es apócrifa.” A vista de lo referido Gefe de dia el brigadier coronel de Numancia D. Nicolás puede suponerse la circulac…</t>
  </si>
  <si>
    <t>Joaouia</t>
  </si>
  <si>
    <t>…l de 1/ de Febrero último, acusándolo de injurioso te estaban un capitán de la guardia nacional y ua comandante de ba • su autoridad , te reunió el jurado , compuesto de los Sres. D. Joaouia tallón de invslidos. Goñi, D. Josef Carreño, D. Felipe Echevarrí, D. Miguel Pino y A vista de la guardia nacional, que marchaba delante, todo el lado López, D. Bernardo ds la Peña Díaz, D. Juan Francisco Vídot, Don izquierdo se levanta por un movimi uto indel…</t>
  </si>
  <si>
    <t>Joaqu.n</t>
  </si>
  <si>
    <t>…gan tomando to de la patria , única ley que en circunstancias apuradas debe consultarse. das las medidas necesarias pata administrarnos la dosis abundante de opio El i&gt;r. ferrer ( D. Joaqu.n); Apoyo por punto general en todas sus y narcóticos para adormecemos! partes la proposición del Sr. Canga; pero como autor de ia primera propo Por una razón de analogía los Gobiernos extrangeros que se han atrevi sición me parece que tengo derecho para hablar…</t>
  </si>
  <si>
    <t>Joaquín</t>
  </si>
  <si>
    <t>…abilidad de los diputados, sin la cual no po nas del Sr. Conde da Tor-.no y D. Francisco Martina? de la Rosa; se ma haber representación nacional. acordó 4 petición del Sr. Eerrer(D. Joaquín) que fuese nominal la vo Ei Sr. Arguelles: Sí alguna divergencia puede haber en las opinio tación sobre si habia de pasar ó no á una comisión especial la exposi nes délos Sres. diputados , es sóbrelos trámites que debe seguir este ción de D. josef Moreno Guer…</t>
  </si>
  <si>
    <t>…á í parar en un pleito mandando al coronel Costa se ponga inmediatamente en movimiento judicial. sobre Cardedeu; y por si ips enermgos avanzan en su retirada i San El Sr. Ferrer ( D. Joaquín) pidió se leyese el oficio del Gobierno, Ceioni ,- mediante i no pbdéasa-dirigii.hacia, el Monseni por la mucha con el que se acompañaba este expediente , y verificada que fue su lee • nieve que ha caído, he prevenido al comandante general de la línea tura di…</t>
  </si>
  <si>
    <t>…elogio*; pero Admitida á discusión, pidieron la palabra sucesivamente los selló a !a ¡'3i de esto no pueden Es Costes guardar una actitud pasiva, y et les Saavedra, Canga, Ferrer (D. Joaquín), Arguelles , Galiano, pruebo que viendo en cieno modo amenazada nuestra libertad , d gan Alonso , Marau, Infante , Munarriz y Buruaga; y bañ ándose Indo la al Rey que la Nación entera está resuelta á hacer los mayores sacrir lista , la pidieron en segu-da un…</t>
  </si>
  <si>
    <t>…pa Gil Orduña, Riego, Rico, Posada, Adanero , Sierra, Belmonte, tria. Primeramente podía decirnos el Sr. Nesselrods si cundo vino en Baiges , Prat, Moreno , Villanueva , Ferrer ( D. Joaquín), üoberon, el año 14 el Rey Fernando fueron ó no perjuros los soldados que se Gartnendia , Villaboa, Sánchez, Lodares, Blake , Torner, Rubi declararon contra el orden existente que habían jurado. Debían serlo, y nas , Lamas, Alcalde, Septien, Navarro Tejeiro,…</t>
  </si>
  <si>
    <t>…comisiones, asi que , yo pido que la co anotarán en el documento original que previamente habrá de expe misión me explique este asunto. dir la comisión liquidadora. El Sr. Ferrer (D. Joaquín): Cuando la comisión tuvo el honor de Art. 14. » Hrcha la liquidación general, y publicadas y oídas Jas presentar hace pocos dias este mismo dictamen, mostró el Sr. preopi reclamaciones por término de 30 dias , la comisión dará cuenta de! re nante la misma in…</t>
  </si>
  <si>
    <t>…e las adiciones hechas por algunos Sres. diputados álo* Juan de Muguiro é Iribarren , espitan de la guardia.” artículos de la misma instrucción. Quedaron aprobados. El Sr. Ferrer (D. Joaquín): Señor, si alguna prueba le quedaba El Sr. Adan ocupó la tribuna, y leyó una exposición de los seño que dar-á la noble y á la valiente milicia nacional de Madrid de su res oficiales de las secretarías de F.stado y del Despacho de Hacienda y patriotismo, esta…</t>
  </si>
  <si>
    <t>…de la provincia de Quedó aprobado, añadiéndose é su final: al cual estará frésente Jaén, presentada por el Sr. Lillo. ílfísico siempre que pasen de 20 , á petición del Sr. Ferrer (D. Joaquín). Los individuos del batallón de milicia activa de Hellin, 6° ligero. Se aprobaron los artículos siguientes: El ayuntamiento constitucional de Cartagena. Art. 9R » En las grandes faenas de elevarse , dar fondo , amarrar Varias autoridades, párrocos y comandan…</t>
  </si>
  <si>
    <t>…isbeit , Quiño lelocior.'* nes , Pacheco, Villavieja, Fuentes del Rio , Castejon , Fatcó, Diez, ARTICULO DE OFICIO. López del Baño , Becerra, Alvarez (D. Manuel) , Roset y Ferrer (D. Joaquín). El Gobierno ha recibido el parte siguiente. Se leyó un oficio del Sr. secretario de la Gobernación de la Pe nínsula, en que manifestaba que S. M. se habia servido señalar la hora Primer distrito militar. —Comandancia general.= Excmo. Sr.: Por de la una del…</t>
  </si>
  <si>
    <t>…ha de presentar el tregar. proyecto de dotación del clero á los Sres. Canga, Casas, Velasco , Pra Art. 15. v Será atribución de la junta de inspectores decidirlas du do , Ferrer (D. Joaquín), Adan y Oliver. das y r-ciamaciones que ocurran sobre la antigüedad de los empleos Las Cortes c/eron con agrado y mandaron insertar en el diario las en todas las clas-s de las armas del egército en que esta da algún de siguiente felicitaciones por las sesion…</t>
  </si>
  <si>
    <t>…Se dispondrán cruc ros en Se nombró á los Sres. Infante, Qliver, Valdés (D. Cayetano), todos aquellos puntos en que nuestras costas puedan ser amenazadas de Canea, Marau, Eerrer (D. Joaquín) y Benito, para formar la comi algún peligro. lón que ha de examinar las propuestas del Gobierno. *, Si la guerra es inevitable , pondré todo mi conato en estrechar su M Sr. presidente anunció que mañana se discutirían varios exps- círculo y en limitar su dur…</t>
  </si>
  <si>
    <t>…bustez y talla necesarias. De los oficiales del batallón de milicia nacional activa de Tolosa, Art. 6JJ n También podrán ser admitidos voluntarios con las mis» por el Sr. Ferrer (D. Joaquín ). mas circunstancias. De la M. N. V. de Rus, del ayuntamiento constitucional, M. N. V. Art. 7-u » Para que este reemplazo se verifique de un modo pron y vecindario todo de Ibros, provincia dejare, por el Sr. Litio. to y egecutívo las diputaciones provinciale…</t>
  </si>
  <si>
    <t>…orque la tos el Sr. Ruiz de Ja Vega y 47 el Sr. Sánchez, reuniendo ios restan cantidad que circula es de poca entidad, y se cuenta con unos fondos tes hasta 11 z los Sres. Ferrer (D. Joaquín), Nuñez(D. Tonbio) - Flo que pueden amortizarla. tes Calderón , Falcó, Escúdelo, Sedeño, Meiendci y Pedralvez. En este suceso, como en lodos los de igual clase comunmente, ya Habiéndose procedido á segundo escrutinio entre los Srcs. Ruiz de se persuadirá vmd.…</t>
  </si>
  <si>
    <t>…son siempre gubernativos, y por consiguiente los liti ias Cortes en acordar lo que he indica 10. gios de que se habia hablado serán unos casos muy raros y de poco El nr. Ferrer ( D. Joaquín }*. Un.* de los señores de la conrís-cn ha perjuicio , por lo cual creía que no debía aprobarse e-1 articulo , asi co dicho ya , respondiendo á tas •.mpucoacion-» que se he;- h-.-.S*-. a! dicta mo porque debía considerarse como peligrosa y perjudicial esta me…</t>
  </si>
  <si>
    <t>…D. Juan Ma emplazarle se continuará y substanciará por su ausencia y rebeldía con nuel Aréjula, D. Juan Antonio López, D. Gaspar Aguilera, D. Luis los estrados. de Mata y Araujo, D. Joaquín ds Vega y Quintana y D. Juan Isidro Por el presente se cita á los que se crean acreedores á la testamen Perez. taría de D. Tomas Sánchez de Madrid, marques que fue de Casa-MaÁ-id , el que falleció en Cádiz el año de 1786 , para que acudan por sí TRIBUNALES. ó…</t>
  </si>
  <si>
    <t>…as Cortes al egército del 7.0 distrito militar. Micu-.l Antonio Zamora, manifestando qu; habiendo caído quinto El Sr. Prat dijo que habia sido uno de los individuos que ha su hi;o D. Joaquín , y hallados; en la acción de Roa , donde fue der bían tenido el honor de firmar la proposición , y que entonces no tuvo rotado el cura Merino , á las órdenes del coronel Obregon , pedia que presente que entre al egército de que se trataba habia también milic…</t>
  </si>
  <si>
    <t>…glesa. Adan , Pedralvez, Falcó, Cano, Tejeiro, Scptien, Lapuetta, Caías y Esta observación recuerda otra circunstancia, y es que el ministro Montesinos; y en pro los Sres. Ferrer (D. Joaquín), Muifi y Mén de Inglaterra en Madrid asistió, acompañado de los principales em dez. Los Sres. Arguelles , Marau , Saavcdra , Calderón , Alonso y Valpleados de su legación, á la sesión de Cortes del 9 de este mes , en la dés (D. Cayetano) como individuos de l…</t>
  </si>
  <si>
    <t>Joaquin</t>
  </si>
  <si>
    <t>…e nominal. Se nombró para componer esta comisión Especial á los Sres. Argue Se procedió á ella , y quedó aprobado por 84 votoJ contra 53. lles , Infante, Soria, Caslejon , Ferrer (D. Joaquin), Santafe y Gaioz. Señores que aprobaron el ’-rrtculo: El Sr. presidente anunció que mañana se continuaría ia discusión Grases, Valdés (D. Dionisio), Seoane, Muro, Surrá, Valdés ds las ordenanzas militares, y se continuaría la lectura del código da (D. Cayeta…</t>
  </si>
  <si>
    <t>…probarse la proposición. Sr. Oiiver leyó su voto particular sobré la misma materia , suscrito por El Sr. Falcó : Las Cortes acaban de autorizar al Gobierno para que él Sr. Ferrer (D. Joaquín ). Se mandaron imprimir. pueda emplear en comisiones ú otros encargos á los individuos del con S« leyó y aprobó la minuta de decreto sobre la cesación del Go sejo de Estado que tenga por conveniente, y ahora se pide en la pro bierno en la facultad de disponer…</t>
  </si>
  <si>
    <t>…afé , Ladrón de Guevara, Oliver , Romero y Fosada. tes extraordinarias ; instalación de dichas Guies: el balser rec-b-.do :o-■ ■ Primera de Hacienda. Sres. Canea, Sánchez, lcrrer (D. Joaquín), podientes sobre ’hfracciones de Constituc.o;-. . y una nuul.n.d de -o. » : — &gt; Surrá, Ojero, Ovallc y Zulucra. y reclamaciones particulares que de ningún modo pevtimc an a ¡.o y . Guerra. Sres. Riego, Infante, Grases, Blake , l.uque , Sarabia , Li- extraord…</t>
  </si>
  <si>
    <t>…esta estado de las relaciones con la Francia, y si es ó no llegado el tiempo de memoria. Asi se se acordó. trasladarse el Gobierno á punto seguro.” Quedó aprobada. El Sr. Ferrer ( D. Joaquín): Yo no me opondré á tjue se imprima El sr. presidente manifestó que entre tanto que llegaba el ministerio se e'tu memoria, asi como la de los Sres. secretarios del Despacho; pero en iba á leer la lista de los expedientes pasados por la Diputación permanente.…</t>
  </si>
  <si>
    <t>…de subversivo e injurioso. soluta preferencia.” Aprobada. En su vista se reunió el jurado, compuesto de los Sres. siguientes: Se leyó la siguiente proposición de los Sres. Ferrer (D. Joaquín ) y D. Carlos Romeral, D. Juan Antonio Marcos, D. Josef Rives Garmenclia: ..Pedimos á las Cortes que en atención á las circunstancias Queraltó, D. Matías Piniila, D. Zoilo Gómez Casero, D. Juan Anto en que se halla la provincia de S. Sebastian, la cual confin…</t>
  </si>
  <si>
    <t>…spectivos gefes , que las remitirán i esta dirección general para que pueda tenerlas presente al hace* k propuesta del menc.onado empleo.ss mandó pasar al Gobierno. El Sr. Ferrer (D. Joaquín) presentó una exposición de los oficíale» de los batallones de guardias constitucionales de infantería, en que renova El dia 26 del mes próximo pasado fue sorprendido el correo proce ban la exposición que ya tenían hecha para que se les fije su suerte, desti…</t>
  </si>
  <si>
    <t>…endo tenido uno Casero , D. Juan Paz , D. Antonio Diaz del Moral, D. Francisco Cocada uno de los Sres. Valdés, Bustos y Cano. Jombo, D. Juan Manuel de Aréjula, D. Casimiro Martin, D. Joaquín En la r8d votación quedó electo el Sr. Romero por 85 votos, ha Manrique y Manrique. biendo tenido uno el Sr. Isturiz. Habida la conferencia, se declaró por unanimidad haber lugar i la En la 19.* votación fue electo ei Sr. Serrano por 90 votos, habiendo formación…</t>
  </si>
  <si>
    <t>…liese con los partícipes legos, Se leyó y procedió á la discusión del voto particular de los año esto t¡ , que los pagase: el clero no ha cumplido ; y por consiguiente ra Ferrer ( D. Joaquín ) y Oliver. yo entiendo qne los partícipes Legos dtben también entrar á percibir de El Sr. Surrá dijo: siempre que se ha tocado esta discusión del estos bienes prediales. medio diezmo he pedido ia palabra, y hasta hoy no me ha tocado Otra de las bases que pro…</t>
  </si>
  <si>
    <t>…que con un pretexto reiig'o-.o sus particular de los Sres. Oliver y Ferrar (jD. Joaquín). citaron la guerra de la lina, puede reproducir en nuestra época todos los Ei Sr. Ferrcr (D. Joaquín): La desaprobación que sucesivam;nte tr.aics que afligieron entonces á ¡a 1 rancia, y que no perdonaron á la casa de han sufr do todos los provectos de esta especie me hace temer que corra Valuik. la mismr suene el voto part.cular que presentamos: tan d;ficil…</t>
  </si>
  <si>
    <t>…ia , Muro , Rolp , Navarro Tejeiro, Rico , Murfi , Seoar.e, nomoza, ayuntamientos para darles este destino? Y si nada alcanza,ia para lus Moure, Pai-ges, Prat, Vdlanueva, Frrrer ( D. Joaquín), R:,o, Bueclesiásticos del mismo pueblo, ; llegaría acaso á manos de los obispos saña, Giroz , Paterna, A'varez Gutiérrez , I.turiz, Gaiiano , Zu uey canónigos de la capital: Hablemos de buena fe: ¡a dotación pro ta, Serrano, Saavedra , Marau, Cano , Ab:eu ,…</t>
  </si>
  <si>
    <t>…illo se desechase una propuesta d: esta na hasta el arrepio d-finitivo del Crédito público. turaliza. La comisión de Hacienda, en vista de ia instancia de Manuel Ro El Sr. Ferrer (D. Joaquín) contestó, entre otras cosas, que desde dríguez, vecino de Salamanca, y familiar que fue dei colegio de Alcán la regeneración del s.itema no se había presentado un proyecto tan se tara por espacio de 50 arios, psr» que se le concediese una p-nsion, ductor com…</t>
  </si>
  <si>
    <t>…diga cuando ha de venir. mentiremos como hasta aqui las calumnias de nuestros viles detractores. Se declaró el punto suficientemente discutido , y se acordó á peti K. Sr. Ferrer (D. Joaquín): Señor, drsde que las potencias extranción del Sr. Arguelles que la votación sobre si el dictamen debía ó no geras nos enviaron sus netas, hemos d-.bido ya s pararnos de ebrar aprobarse fuese nominal. por considerac on á lo que digan de nosotros ¡os extrange…</t>
  </si>
  <si>
    <t>…el González del Campo. D. Antonio Soliva. los patriotas para continuar sus donativos en favor de la libertad é D. Josef Valla y Roca. D Ramón Queraltó. independencia de la Nacioa. D. Joaquín déla Vega y Quintana. D. Cayetano Rubio. D. Luis de Mata y Araujo. D. Bei nardo Asen jo. _ Debiendo empezarse desde luego las operaciones preliminares par.» D. Gregorio Mendivil. D. Josef Francisco Muiguiru. ci pago del dividendo de 30 rs. por acción en metíl…</t>
  </si>
  <si>
    <t>…rer las necesidades do ya el Sr. secretario ríe Estado, y yo he quedado satisfecho; y de la patria. 2.0 á que se promuevan por: cuantos medios sean imaginables Jos El Sr. ferrer ( D. Joaquín); Siento mucho tener que disen recursos que son necesarios para atender á una guerra tan justa, tir de la opinicn del Sr. Qaliano, porque yo no solo no creo im tan legítima y fan ¡nd.spcnsable, para sostener el honor y la in pertinentes, las preguntas, sino q…</t>
  </si>
  <si>
    <t>…tar fueron los Sres. Santos, decreto. Suarez, Llórente, Soria, Lilio, Navarro Tejeiro , Posada , Saivi, Asi Impugno el decreto , sintiendo mucho separarme de mis Infante, Lcrrer ( D. Joaquín), Rojo, Surrá, Euruaea, Riceo, compañeros; y ruego á Us Cortes que si le admiten, se sirvan Domenech, Rico, Pum.irejo, Somoza, Baiges , Prat^ Moreno, adoptar las dos medidas que he tenido el honor de proponerlas, Villanueva , Moure , Trujillo , Rnbinat, Sánch…</t>
  </si>
  <si>
    <t>…e presente que en las actuales Cortes hemos visto ejempla los Srcs. Argiielles, Valdés (D. Cayetano), Gaiiano, Ferrer res de haberse hecho excepciones muy semejantes á la que vo ( D. Joaquín ) y Salvato. solicito, como fue la que se hizo respecto al consejo de Estajo. El Sr. presidenta levantó Ja sesión á las once de la noche. El Sr* presidente: Hay que observar sobre lo que acaba de decir el Sr. Riego que los diputados están imposibilitados por…</t>
  </si>
  <si>
    <t>…podía decirse de Se leyó y mandó quedar sobre la mesa el proyecto de ley finí tivamente qué teníamos. . sobre señoríos, reproducido por la comisión de Legislación. El Sr. Ferrar (D. Joaquín) preguntó a! Gobierno si había El_Sr. piesidsnte anunció los asuntos que se discutirían en bicho algún manifiesto á la nación y i la Europa entera sobre la la mañana siguiente , y dijo que si quedaba tiempo, se leería la . jmt cía de nuestra Causal i lo que c…</t>
  </si>
  <si>
    <t>…de la persona que gada á ella, presentada y leída por el Sr. Romero. lo ha de desempeñar en propiedad. ’ El Sr. Adán pidió y obtuvo la palabra para hacer presente á El Sr. Fcrrcr (D. Joaquín) hizo presente que haciendo pocos las Cortes que haciéndose mérito en la memoria que habia leido dias que se habia leido un oficio del Gobierno, en que se inserta el' Sr. secretario de Hacienda de la lista del repartimiento de con ba un decreto del Rey por el…</t>
  </si>
  <si>
    <t>…iarlos: yo quisiera que un buque de guerra y en que el contrabando se aumentará escandalosamente. francés interceptase un buque ingles , porque la Gran Bretaña nos El Sr. Ferrer ( D. Joaquín ) : Los principios de economía abriría un camino para acabar con mas facilidad con los franceses. general que ha pronunciado el Sr. preop nante son los mismos El último Sr. preopinante no ha impugnado verdaderamente que profesa la comisión. Las Cortes habrán…</t>
  </si>
  <si>
    <t>…de esta sociedad patriótica D. Tomas Juan Serrano y otros. á las Cortes , pidiendo que los obispos españoles sean reintegrados ___Se está reimprimiendo aquí la preciosa obrita de D. Joaquín en sus derechos. Lorenzo Viilanueva , cuyo título es: v Mi despedida de la curia __En los puertos de España han sido detenidas muchas embar caciones francesas en represalias de las que nos han embargado romana.” __ Parece que la junta diocesana ha proporciona…</t>
  </si>
  <si>
    <t>…mensa activa; los cuales fueron aprobados. ge abordado a los Sres. Arguelles, Vaidés (D. Cayetano), Ga- Art. 3.0 » Los ayuntamientos que á los 15 dias de haber re iiano, Ferrer ( D. Joaquín) y Salvato. cibido el aviso de la deserción de algún individuo de la milicia Se leyó y halló conforme ia minuta de decreto con carácter nacional activa ó del egército permanente no presenten al mismo de ley sobre señoríos, revisada por la comisión de Conecten…</t>
  </si>
  <si>
    <t>…idente, vice-presidente y ra amiga desde los puertos que se hallen libres de las tropas secretario. enemigas á los ocupados por ellas.” Para presidente salió electo el Sr. Ferrer (D. Joaquín) por Art. 3.0 »Igualmente podrán trasportarse en tales buques 87 votos del total 112. desde los puertos que están ocupados i. los libres trida clase de Para vice-presidente salió electo el Sr. Bauzá por 68 votos frutos, efectos y manufacturas nacionales; pero…</t>
  </si>
  <si>
    <t>JOAQUIN</t>
  </si>
  <si>
    <t>…. Sevilla 4 de Mayo. Tampoco se admitió á discusión por 63 votos contra 41 CORTES. otra proposición del Sr. Marau para que las Cortes se sirviesen I&gt;KE$mF.KCIA DEL SEÍÍOR FKKRER ( D. JOAQUIN), nombrar una comisión de su seno, que á la mayor brevedad li retracto de la talón del 2 de Mayo. presentase una minuta de alocución ó proclaiVia á Ja Nac on es Aprobada el acta de la anterioc, se leyó un oficio del Sr. se pañola, en que se k manifestase la i…</t>
  </si>
  <si>
    <t>…de lo ocurrido en aque las Cuevas, D. Ramón Bernad, D. Isidoro Uñarte, D. josef lla ciudad. Su te—,r es como sigue: «Habitantes de Brest: La tar Taberné, D. Juan García Paredes , D. Joaquín de los Ríos. de de ayer se señaló con escenas lamentables. Varios ciudadanos D. Angel Díaz del Castdlo , y los coroneles D. Josef Saravia, han tenido que quejarse de ¡a violencia ejercida en sus personas. D. Joaquín Cavaleri y D. Bruno Josef de Prad.cr Villal…</t>
  </si>
  <si>
    <t>…iones de tal. El infrascrito, después de ha Extracto de la sesión de Cortes del día 4. ber desempeñado el sensible deber de hacer al Sr. encargado de PRESIDENCIA DEL SEÑOR FERRER (D. JOAQUIN.)negocios del Gobierno francés las declaraciones que le han sido mandadas, reitera á su señoría las protestas de su particularcon- Leída y aprobada el acta de la sesión anterior , se leyó un slderaclon.=Silvestre Pinheiro Ferreira. oficio del Sr. secretario d…</t>
  </si>
  <si>
    <t>…de la Junquera, llegando sus avanzadas al Extracto de. la sesión de Cortes del dia 9. Pont de Capmany. Uta 19. Se extendieron á Cabanas y Peralada. PRESIDENCIA DEL SEKOR FERRF.R (D. JOAQUIN.) Día 20. Ocuparon á Castellón de Ampurias. Se abrió á las .11, y ieida el acta de la anterior, quedó apro Dia 21. Se extendieron hasta Rusas. bada. Día 22: Por la mañana extendieron su línea por los pue Se leyeron dos oficios del Sr. secretario de Gracia y J…</t>
  </si>
  <si>
    <t>…debe al pósito de su pueblo; la comisión opinaba podía accederse á ello. Aprobado. CORTES. Otro sobre la solicitud de María de Herran, vecina de Col— PRESIDENCIA DEL SESOR FERRER (D. JOAQUIN). jnenar Viejo, para qué se la perdonen 9 fanegas de trigo que debe al pósito de dicho pueblo; opinaba podia accederse á ello. Aprobado. Sesión del 20. Se leyó un oficio del Sr. diputado Nuñez Falcon, dirigido Se leyó y quedó aprobada el acta de la anterior.…</t>
  </si>
  <si>
    <t>…ón Eclesiástica. CORTES. La comisión segunda de Hacienda presentó su dictamen nue vamente reformado , con. arreglo á las observaciones que se hicie PRESIDENCIA DEC SEÁ'OR FERKER ( D. JOAQUIN). ron en ¡a discusión sobre la exposición de Doña -Ana Requena, viuda del capitán de navio D. lilas Salcedo (véase ia sesión de SeilQfi íi'l '2 I. ayer); opinaba que por! i a aprobársela adición del Sr. Valdés, y Se leyó y quedó aprobada el acta del anterior.…</t>
  </si>
  <si>
    <t>…cargo: 2.0 CORTES. Que los gefes de los mismos remitan á ia plaza de Barcelona su» cajas y oficinas, á fin de que queden tan desembarazados como se •RESIDENCIA DEL SESOR FERP.ER (D. JOAQUIN). necesita para los movimientos, los cuales deberán quedar al cui dado de un oficial, un cabo y un soldado. 3.0 Que todos los in Sesión del 22. dividuos de tropa que bajo cualesquier pretcsto se hallen separa Se leyó y quedó aprobada el acta de la anterior. d…</t>
  </si>
  <si>
    <t>…res v á CORTES. sus secuaces, que osaron profanar aquel suelo , arrollarlos v hacer mas prisioneros que individuos tenia nuestra brizada. Al mismo T RESIDENCIA DEL SEN’OR FERRER ( D. JOAQUIN); tiempo y con el mayor entusiasmo combatieron á los enemicos Sellen del 2J. interiores, logrando de este modo mantener la tranquilidad pú Se leyó y quedó aprobada el acta de Ja anterior. blica. Este suceso es digno de la atención de ias Cortes; y si bien A l…</t>
  </si>
  <si>
    <t>o. préeba positiva del sentimiento y amargura que le lia ocaiíona- tramarinos , cuarto 3.0: los de artillería al coronel D. Joaquín d&amp;.este-suceso, de«cta lo siguiente : r;° El regimiento deinfam- de Góngorr, calle del Arenal, núm.ro 1.° , c£aito.a.u; los de terís de lín;a de Guada.ajara y el de caballería ligera de J¿úsl- ingenieros y zapadores al brigadier D. Cayetano Zapino , calle tan…</t>
  </si>
  <si>
    <t>…sidente, secretarios y escrutado prima todos los empleos y olieinas qm tenga por conveniente.’’ res en escrutinio secreto podían registrar las cédulas aL tiempo de Eli Sr. Ecrrcr (D. Joaquín): Son loables las intenciones del entrenarlas, ó no debían hasta hacer el cómputo de 'los votos-, ha Sr. preopinante, y surtirían efecto si se tratase solo de ¡a loter a bía temido por conveniente la comisión variar el dictamen ante moderna ; porque no es mas…</t>
  </si>
  <si>
    <t>…t.iua loncos su por an o mot.vo 1.0 debía aprobarse La piopos.c.on respecto de ficientes. uta pinte. La comisión de Legisiac on , en v stade una sc;le:tue’ de Do El br. 1 errer ( D. Joaquín) dijo que no podía menos de ex ña María Joaqu na de Ai ce, VeC.na de Arbac.tc . e'pT.aba eiue trañar la eijii.c.e de apatía ton que se m,robar, estos negocios, de- el art. d.° ele ia icy de 1 ce- bet..mbrc de k¡:c , rv puede .111bando ha^-rae con la mayor ael…</t>
  </si>
  <si>
    <t>…que Sb procedió á la disensión del presupuesto uel mi profesaba á sus súbditos le permitía salir de Sevilla. nisterio de la Gobernación de la Península, presenta El señor I t-rm’ (D. Joaquín) esposo que habien do por la comisión Primera de Hacienda. do dado el Señor presidente de la diputación la res ■ -La'comisión'opiraba que las Córtes podían aprobar puesta de S. M. , el señor Vega Infanzón quiso in los dos siguientes artículos: terpretarla, v…</t>
  </si>
  <si>
    <t>…Lan de hospital y pro Se leyó p| arLícuio primero, y el Sr. Gómez Be- visiones: San-Marcial. cerrar, le impugnó. Despees de una ligera discusión entre los Señores Canga y Gerrer ( D. Joaquín) convino la comisión en mollificar el artículo primero de este modo: «Se Ayer salieron de este puerto algunos buques estranseñalan para los gastos de la Gobernación de la Pe geros, y tuvieron que volverse, sin que se sepa de fijo nínsula por un año ¿ke. cual…</t>
  </si>
  <si>
    <t>…e los medios de traslación. podría verilicarlo el Sr. Vigodet, pues en la actua Fueron nombrados para componerla los Sres Fer lidad se bailaba ocupado en asuntos de la mayor rer ( D. Joaquín), Ganga ¿ luíante, Escobedo \ importancia. Sánchez. Se leyeron los artículos de la Constitución que Entró la comisión que acompañó á la Regencia, tratan del modo cómo debe prestarse el juramento pop. y su presidente el Sr. Riego dijo que la Regencia los indiv…</t>
  </si>
  <si>
    <t>…los dos estrenaos de la presunción y cs-guardias D. Luis y D. José Pafiflo, como los vo de la desconfianza. En esto daremos al mundo una luntarios nacionales D. Francisco Porras, D. Joaquín nueva nueva de cordura y de valor; y nos granjea Canuda . D. Vicente Losada, D. Jacobo Sobreira , D. remos el aprecio del mundo entero. Mauro Migueles, D. José de Puga y D. Joaquín Can dil, tod os de Santiago, silenciando la conducta de ARTÍCULO DE OFICIO. mi…</t>
  </si>
  <si>
    <t>…su sanción. do «piiere seducir, engañar v oprimir á la gente f ueron nominados pura componer1 dicha diputa sencilla. El n'nno y el altar , nombres de que tan ción los Sres. Fcner (D. Joaquín), Alomo, ¡Navar to se abusa, form .n la primera rueda de la máqui ro T'\eiro, Posadas, Soberon, Velasco , Roset , na con que los absoloti tas tratan de arrastrar los Ib-eudero. Prado, Ramírez de A rellano, Montesinos, pueblos a la esclavitud, y los que acaban…</t>
  </si>
  <si>
    <t>…que un escrito podra ser subversivo ro sién rior , anune.ando conforme á la preposición aprobada del señor dolo , no quisiera imprimólo; con io v.ua¡ tstov sesmo caer .a de Tener (D. Joaquín), que las Cortes suspendían sus sesiones en una vez ia libertad de imprenta. Tov esta razón vo suplicaría a Sevilla para continuarlas en la Isla Gaditana. las Cortes que no mirasen solamente [as circunstancias aetu..ic&gt; al Sesión del dia yo. decretar esta ley…</t>
  </si>
  <si>
    <t>…osiciones han ton:ida cretario de Hacienda, se procedía ;'¡ la discusión del dictamen de sus medidas. Ja comisión de Comercio sobre la proposición de ios Sres. Ge- El Sr. Ferrer ( D. Joaquín ): No se puede menos de c entesar ner, Santos Suarez y Varela, relativa ¿que en virtud de las cir de que no hay ninguna compensación para el conterco ‘te nuestra cunstancias actuales y de la imposibilidad de exportar los frutos marina , pues en el estado que…</t>
  </si>
  <si>
    <t>…ucir en este ramo las mejoras que son tan pues que lo tomarían del extranjero á un precio mas barato. urgentes para que conste y sepa la Nación cómo y en qué se in El Sr. Ferrer ( D. Joaquin) manifestó, que la comisión se vierten las enormes sumas que absorve este presupuesto. hallaba dispuesta á adoptar la observación del Sr. Arguelles, y que éT presentaría una adición, con este objeto.Continuó la discusión del dictamen de la comisión de Comerci…</t>
  </si>
  <si>
    <t>…contraída por hipotecas ó préstamos deducidos uc la fusión de la sición del Sr. Ailion, en la que después de hacer una relación deuda general del Estado,” que dirigía alas Cortes D. Joaquín del buen comportamiento y bizarría del ejército de reserva de la Irazabal, individuo de la junta directiva del Crédito público. isla, y de la conducta que observó en el reconocimiento que ve Habiendo opinado el Sr. Lagasca que seria conveniente que rificó en…</t>
  </si>
  <si>
    <t>…este caso desde que les fue concedida por las Cortes á consecuencia de la muerte de se remitió á la sanción aquella ley. su hermano en la acción dei dia 7 de Julio. El Sr. Eevrer (D. Joaquín) manifestó que no debían quedar Las Cortes quedaron enteradas de un oficio del Sr. secretario inutilizados los 24 días en que se podia dar la sanción , pues re de la Gobernación de la Península, manifestando que por no te sultaría un anacronismo en la histori…</t>
  </si>
  <si>
    <t>…omisionados independientes de la junta directiva. La daba. Aprobado. comisión añade que la junta no tiene responsabilidad, inas yo Se leyó la siguiente proposición del Sr. Ferrer (D. Joaquin). aseguro que no sé como puede asegurarlo así. »P¡do á las Cortes que durante el sitio y bloqueo de la Isla Cuando se creó la junta por el decreto ele 12 de Junio an Gaditana por ¡os franceses, y dos meses después, se admitan en terior no se dijo que fuera re…</t>
  </si>
  <si>
    <t>…A la comisión primera de Hacienda se mandó pasar un ofi las pensiones que les concedieron las Córtes. cio de! Sr. secretario del mismo ramo, acompañando una tarifa El Sr. Ferrer (D. Joaquín) expuso , que las mismas razones formada por el intendente y diputación provincial de Canarias, que en el pisado le habían movido á impugnar el dictamen, le conforme á la resolución de las Cortes de 20 de Enero de 1822. movian también ahora á impugnar el artí…</t>
  </si>
  <si>
    <t>…a expuso el orador otras razones por las cuales no coronel D. Antonio Casano, siendo de parecer que debia infor pudo aprobar el dictamen. mar el Gobierno. Aprobado. El Sr. Ferrer (D. Joaquín) dijo que no veia contradicción Habiéndose anunciado que continuaba la discus'011 del regla ni diferencia alguna entre este, proyecto y la ley citada do 25 de mento para la dirección general de Estudios , el Sr. Velasco, in Enero, y al contrario que no se hac…</t>
  </si>
  <si>
    <t>…á las Cortes la facilidad culo 140 de la Constitución y 109 del reglamento; y habiendo de negociar un empréstito , que al presente seria impracticable. •contestado el Sr. Ferrer (D. Joaquín) á estas observaciones, que „ . J: J 1.,^ ••ir'*&gt;«-&gt; /*»•*»» C»* K-lÜ-lrs !a-\c l'or ebia rá¿oú , aiciiusuu» i*:&gt; do-aprobado el dictamen. españoles, nuestros compatriotas no deben olvidar que «el que Se leyó una minuta de decreto visada por la comisión de dá…</t>
  </si>
  <si>
    <t>…leyeron los artículos 2.0 y g.° de la Constitución sus palabras , y las mías sobre el nombramiento de la Regencia á p.ticion del Sr. Santafe. se han escrito ahora. El Sr. Ferrer ( D. Joaquín). No puedo menos de confesar El Sr. Galiano: Yo he hablado sobre un hecho y no he sen que me han escandalizado tanto ¡as palabras del Sr. Rodriguez tado hipótesis: por lo demás si acaso me excedí en la discusión Paterna, como la conducta misma del conde de Ca…</t>
  </si>
  <si>
    <t>…es de la segunda do Hacienda , señalando 40S) zs. de sueldo á los resolución que podía proponer. cx-minislros que no tengan otro por razónele sus destinos : dicho El Sr. l errer ( D. Joaquín ) observó primeramente que este dictamen es á consecuencia de una proposición de un Sr. diputa asunto no había venido a las Cortes como debía , según las t.icu|. do que no se comprendió, motivo por el cual no »e puso en la tades te.* del art. 1Ó1 de la Consti…</t>
  </si>
  <si>
    <t>…conclusión de las sesiones Después de haber hablado en contra de este dictamen Jos ordinarias de este. año. Las Cortes quedaron enteradas. Sres. Muro, Beltran de Lis, Rey, Ferrer (D. Joaquín) y SepEl Sr. presidente nombró para componer dicha diputación tien, y en pro los Sres. Alvarez (D. Elias) , Salva, González á los Sres. Canga Arguelles , l'lorez Calderón , Salva , Lagasca, (D. Manuel Casildo ), Soria y Gómez Becerra , se declaró el Moure, Se…</t>
  </si>
  <si>
    <t>…distinguidas por sus conocimientos, por sus servicios y adhesión batallas dadas y ganadas a los moros en ios campos orctano,: lo al Rey nuestro Señor; y reuniendo estas cualidades D. Joaquín hicieron ver en la guerra llamada de sucesión á ia coronarle Es María de Acosta, ¡rendente que fue por S. M. de Is provincia paña por su decisión particular en favor de la dinastía reinante: de Córdoba, y D. itamon Antonio Pico, que lo e&gt; en Ja ac lo patentiz…</t>
  </si>
  <si>
    <t>…se hallaron conformes A petición del Sr. Sotos se leyó el decreto de 13 de Mavo con lo aprobado. de S21. Se continuó la discusión pendiente del. informe de la comi -El Sr. Ferrer (D. Joaquín ): Me es tanto mas sensible en sión de Ultramar. J : trar en esta discusión, cuanto que me ligan con la América mu El Sr. Jener: Me levanto á impugnad el 1 dictamen , porque chas relaciones; pero debo sacrificar todos mis alectos particula 110 lengo poderes p…</t>
  </si>
  <si>
    <t>…rovecha él para sacar multas a los con esta exposición á una comisión especial, para la que tueron nom vertidores y á los convertidos. brados los Sres. Isturiz, Arguelles, Eerrer (D. Joaquín , Salvato, Generalmente hablando los cristianos de Egipto, sean de la lilio, Navarro Tejeiro , Galiano y Nuñez (D. Toriblo). secta que fueren, son tan ignorantes y supersticiosos como sus se A la misma comisión se mando pasar el último parte pre ñores; pues t…</t>
  </si>
  <si>
    <t>…, Fernando 6 de Setiembre de mano inerte por las Cortes al Gobierno pira lEvur.o» a cueto. loag.ssExcnio. Sr—Antoni j Burrie!.=E.ccmo. se..or secretario Los Srcs. Oiiver, L'errer (D. Joaquín), Canga y Marau , es de Estado y del Despacho de la Gua ra. forzaron las ideas ya indicadas de que el Gobierno tenia medio de cubrir las atenciones urgentes, echando mano de todos los arbitrios Concluye el decreto Real s abre la distribución de ios fondes eme…</t>
  </si>
  <si>
    <t>…de los niente coronelD. Feliciano Asin y Gamarra, comandante del cuerpos, equipajes y ganado , resolví esperar los enemigos en Ya 2.0 escuadrón D. Francisco Solé, y supernumerario D. Joaquín cango, y defender proporcionalmer-te Jas posiciones que ofre Lira marcharon sobre la legión peruana , y á pesar del terrible cían alguna ventaja sobre el cambio. A las nueve y media ya se* fuego que sufrieron de este batallón, y de los dos del Rio de la Pla h…</t>
  </si>
  <si>
    <t>…s 4 los pode res. que sos cohfiriciou; no estaba ñores Infante, Alava , Sánchez (D- Josef), Prat, Escovedo y en nuestras manos elegir otra regia de nuestra conducta , y no ^errer ^D. Joaquín). . ; debíamos olvidarnos do los sagrados juramentos que luv.mos En seguida.ae leyeron los artículos tat y iag de la consti gue prestar. tución , y el aói del reglamento interior; y hallándose presenr j&gt; Cualquiera que sea la tuerte ¿ gue estemos destinados,…</t>
  </si>
  <si>
    <t>…sase esta exposición á una comisión especial, para la que fuá- la lista de las mencionadas cuotas al Gobernador militar de esta ron nombrados tos Sres. Istmia , Arguelles, Ferrei (D. Joaquín), plaza pata su recaudación , con dicho recargo en el citado dia 8. Sairato, Olirer, Lillo, Navarro Tejeiro, Galiana y Nufiez Desorden de S. M, lo comunico i V. E. para su cumplimiento. (D. Toribio.) ' * Dios, guarde "£ V. E. muchos años. Cádiz 6 de Setiembre…</t>
  </si>
  <si>
    <t>…í mismos, bajo las for con mano fuerte por las cortes al gobierno para llevarlos á efecto* malidades y seguridades comp:tenies en estos casos. No duda la Los Síes. Oliver, Ferrer (D. Joaquín) , Canga y Marau es Real Junta, que apreciarán esta invitación los capitalistas para forzaron ¡as ideas ya indicadas de que el gobierno tenia medio proporcionar cuanto antes este alivio á los que gimen entre el de cubrir las atenciones urgentes , echando mano…</t>
  </si>
  <si>
    <t>…levadizo, para:atender desde habríamos superado: ,¡ Es tan fácil arrostrar las desgracias cuando alli adur.de se le mandase. Los oficiales de artillería D. Diego y están lejos! s D. Joaquín "Jiménez nada me dejaron que desear, pues estuvio- Si , llamo desgracia al crimen de los regicidas subalternos, ion al píe de las piezas todo el tiempo del fuego, dirigiendo este. pues lie conocido :í uno de estos desventurados que estaba muy El voluntario de…</t>
  </si>
  <si>
    <t>Joaquín'</t>
  </si>
  <si>
    <t>…po sostener su independencia sabrá generalmente han tenido todo- -os Gob’crnos que no están fundado* sostener su libertad. sobre bases justas, (aplauso repetidos.") El Sr. Ferrer (D. Joaquín'?: Parecerá imposible que en el siglo en Habiendo manifestado el Sr. presidente que el Sr. Arcíidles tenia qu: nos hallamos pongan en duda esas notas al hombre racional de si la palabra, prorumpió el público espectador en aplausos y vivas á la nos hallamos en…</t>
  </si>
  <si>
    <t>JoaqumN</t>
  </si>
  <si>
    <t>…llerías. nor Sepilen, 29 el Sr. Llórente, ; el Sr. Valde» Busto», 3 el El paps'l austriaco no llalla compradores en Inglaterra , por Si. Seivato , 4 el Sr. Salva, : ei Sr Ierre: ¿ D. JoaqumN : el que es imposible que aquel Estado tenga crédito después que se Sr. Ovaíle, y uno respectivamente los Sve» Tomas . Ra e d. !a llan reducido ( con arreglo á un convenio según se dice) a tres Vega, Alaran . Galiana . Ar-uFics, Ad.ineio v IVdr.tlvez 1 no mil…</t>
  </si>
  <si>
    <t>Joarpiin</t>
  </si>
  <si>
    <t>…la objeción hecha por el Sr. Fei rcr sobre «jiie S&lt;¿ mandó p.var s la comisión de Hacienda una. se favorecía á la industria y á la* fábricas de Fran proposición &lt;lpl Sr. Ferrer ( D. Joarpiin ) p*ra que ela, no debía perderse «le vista que las mercaderías se p-miita en e-ta plaza la introducción de las ha IVansesas no podían ¡ni rodiicir.sr en la Península riño rinas, aunque proceda «le ios puertos de la Penínsu por inctl-.o ile fniqtios de otra*…</t>
  </si>
  <si>
    <t>Jocif</t>
  </si>
  <si>
    <t>…de semejante grandeza de alma? diencia de i'evilla, para la plaza de tasador y repartidor de pleitos dn No, porque la causa que defendéis no puede inspiraros jamas estos su ella á D. Jocif de la Barrera; admitiéndole S. M. al mismo tiempo blimes sentimientos. Él poder absoluto degrada á los hombres de la la renuncia que ha hecho á favor de la Nación de la cantidad que por nobleza de su esp -cié; asi es que nunca podra formar guerreros compa vía…</t>
  </si>
  <si>
    <t>Jocito</t>
  </si>
  <si>
    <t>…isco Pascual Andrés, alcalde ccmlitucicna!, te la suerte de soldado en cualquiera de los reemplazos que para el egér- y juez interino del mismo partido: para la del de Peñíscola á D. Jocito y milicia activa han de celebrarse en esta villa , continuará en el sef Mar.n García ; y para una de la ciudad de Granad* á D. Joscf j cuerpo de M. N. V. que acompaña al Gobierno , abonándosele el tiem Aguilera. po que sirviere como si fuese en el egército pe…</t>
  </si>
  <si>
    <t>Jodd, Tomas</t>
  </si>
  <si>
    <t>Tomas Jodd</t>
  </si>
  <si>
    <t>…taña , de 15 las noticias siguientes de Ultramar. la de España y” Portugal, y comisionado para este encargo el se » Según periódicos de Buenos-Aires, que alcanzan hasta 2 ^ de ñor D. Tomas Jodd—W alson. Enero, los habitantes de Montevideo se habían negado á entregar Estado del reemplazo extraordinario decretado por la» Cortes al general Lecor cierta suma que acostumbraban á pagarle; y aun en 8 de Febrero del corriente ano en el dia de la fecha. que…</t>
  </si>
  <si>
    <t>Joegemplar</t>
  </si>
  <si>
    <t>…ue la amenazaron en tan críticas circunstancias. lado por el general en jefe D. Francisco Espoz y Mina; pues con ésta No sucedió asi con respecto al gefe político que entonces era D. Joegemplar los rebeldes que existen en ciertos pueblos no prestarán á ja sef Martínez de S. Martin , pues en su conducta se notó aun mayor facción, como hanti ahora la han efectuado, toda clase de auxilios. debilidad é indecisión que en la del Gobierno, negándose á la r…</t>
  </si>
  <si>
    <t>Jogocios, Vicente</t>
  </si>
  <si>
    <t>Vicente Jogocios</t>
  </si>
  <si>
    <t>…eloso y constitucional ayuntamiento, junta municipal de ha rehusad» ya por dos veces la mediación de la Inglaterra en los ne beneficencia , milicia N. V. de todas armas , patriota D. Vicente Jogocios de España, una vez propuesta por el duque Wellington, , sef Vázquez y otras .personas, cuya lisia se publicara á su debido crtra por sir W. A’Court. tiempo. Esto hace ver que el Gabinete francés está mas inclinado á seguir Todos los individuos de nuestro Excmo. ayuntam…</t>
  </si>
  <si>
    <t>JoNó</t>
  </si>
  <si>
    <t>…ía general dei reino dé Valencia al teniente general D. Fd¡. recoje las armas y uniformes, y les da lie ocia para sus casas. pe Saint Marcq¡ para la de Andalucía a! de igual clase D. JoNó quiero escribir mas por la poca fe qu1: tengo de la llegada scf María Carvajal; y para la comandancia general del campo de í sus manos. Se quitó la piedra, y reina Fernán, o en su lugar; Gibraltar al mariscal de campo D. Gregorio Laguna. pero sin um v. ¿ des-…</t>
  </si>
  <si>
    <t>Jopalabra</t>
  </si>
  <si>
    <t>…ndrá la ron : D. Manuel Camuñas, D. Manuel Díaz Zapata, D. Juan misma fuerza y valor que si se hallase inserto en él palabra por Sucramper, D. Vicente González, D- Josef Guerrero, D. Jopalabra, y sera ratificado; y las ratificaciones se cangearán en e! ccí Lopéz de Castro, D. Antonio Josef Terrero, D. Alonso término de 40 dias, ó antes si fuere posible. Calvo y Pantoja, D. Josef Maroto, D. Gabriel Fernandez y En testimonio de lo cual , nos los infr…</t>
  </si>
  <si>
    <t>Jordá, Miguel</t>
  </si>
  <si>
    <t>Miguel Jordá</t>
  </si>
  <si>
    <t>…de acuer ton lo» siguiente»: el canónigc Soler, D. Miguel Francés, el vicario do con Ja España europea. De otro modo los Señorea qué han impug de Sta. Catalina D. Vicente Climent, D. Miguel Jordá y D. Vemu- nado el proyecto, sin quererlo anticipan la cuestión-de ai la Amé ra Besol, congregantes» Josef Torres, hermano de id., Pascual Perez, rica ba de quedar ó no emancipada de la Fspaña « cuestión qué’bte es Juan lázaro, D. Juan Francisco García « Francisco Ribas…</t>
  </si>
  <si>
    <t>Joresultaren</t>
  </si>
  <si>
    <t>…a comisión encargada del nuevo régimen de sa que las profieran serán responsables de las consecuencias que de ellas nidad le habia manifestado serle muy útil ver los proyectos que D. Joresultaren. 3.'' Que no se podrá obligar á persona alguna á que contes »ef María Salamanca y D. Manuel Diaz Moreno presentaron i las Cor-</t>
  </si>
  <si>
    <t>Jos</t>
  </si>
  <si>
    <t>…el nuevo, bajo el estar conforme con lo acordado por -1 Con,,:;.- -. s:.'to d que ni en uno ni en otro hay jurado , y siempre resu tari be leyó una expos c.on del &gt;r. ex-cipua :o D. Jos í Moren.- Gu. qu. prefer bis el nuevo código. En este ss encuentra ta cUridad, ra, en que maniLstaba zl ata jue dado a la mr;; .1. ,;a; J. io&gt; ja contormidad con las instituciones liberales y luces del siglo : en dos, hall endo »i-lo demandólo ante el aka oe…</t>
  </si>
  <si>
    <t>…o este artículo quedó aprobráo. ía á su soiic.tud, v propon a la terna siguiente para bactr ¡a elección, Art. 66. ” ce entenderá qu: han servido seis años, aunque no los á siber , D. Jos f Tofe y Bosuct , D. Josef Urrutia y Arratia y Don hayan completado : FeJ'p? López Valdemoro. i.J » J.os que perteneciendo al egército de S. Fernando ó í otros Las Cortes aprobuon la primera parte del dictamen; y en cuanto á quo hayan obtenido igual gracia co…</t>
  </si>
  <si>
    <t>…neral de la Seo có y esparció la alarma en el resto de la línea. de Urgel 4 de Febrero de i823.e=Excmo. Sr. =FTancisco Espoz y Mi» Acompañado del comandante de la primera división D. Jos:f na.zzExcmo. Sr. secretario del Despacho de la Guerra.” león me he dirigido inmediatamente á los almacenes de pólvora de « Excmo. Sr.: En todo el día da hoy no ha ocurrido cosa alguna la ciutíadela para precaver todo accidente, habiéndolo verificado en los d…</t>
  </si>
  <si>
    <t>…ha es an El Rey, á propuesta del consejo de Estado, te ha servido nom terior á la detre'í y 'lis.uii del cabecilla Album. brar para la plaza de juez letrado del partido de Caspe á D. Jos f ••Comandancia general del segundo distrito militar eíExcmo. Sr.=: Mix mo de ia Pardina; y para la del de Sta. Coioma de Farnés á El coronel D. Josef Fermín Conget, comandante de las tropas des» D. Pedro Figuerola y Bosch. ¿ lanadas i la persecución de los f…</t>
  </si>
  <si>
    <t>…den que V. S. me comunicó de ata car el puente, de hacer salir otras dos, D una de Santiago, al mando satisface on i heró c &gt; pueblo y * todos ios que p • can por su patria, de su teniente D. Jos:!" Tato, y la otra de Aragón al de! subteniente proporcionándola día. de gioria con.tr* todos l-.s malvados que inten D. Alejo Vasallo; el fuego que estas empezaban llamó la atcnc on de tan sumirnos en la anarquía. , las otras dos extraviadas de Erado y Gómez…</t>
  </si>
  <si>
    <t>…de estacó de la otra manera, y al Soria, los segundos ayudantes D- Ramón.González, D. Rafael Crédito'público emsu lugar. Las cargas ;no quedarán desatendidas, Marín, y los adictos D. Jos:, fjcnzalcz, O. Pitsc Gaivez.y porque no posean, laí .manos muertas; y bajo este concepto yo D. Salvador Josef Miralles, Primer batallón del regimiento in apoyo el proyectó en su tbtalidad, sin perjuicio de las objeciones fantería de Africa. Batallón de milic…</t>
  </si>
  <si>
    <t>…gunos dia^ en ciss de Mr. el habiendo recogido dos oficiales y 50 y tantos prisioneros: el co conde Araktsehejew, é irá después i Tuichin: de allí pasar! á mandante de mi batallón D. Jos l Moran , el capitán de caza Moscow , donde hace algún tiempo tiene sus equipages. S. M. dores D. Antonio Armero y Moreno, y el oficial D. Diego estará aquí de vuelta para la fiesta de S. Pedro. Perada trabajaron con zc!o imponderable; el coronel de mi es tad…</t>
  </si>
  <si>
    <t>…rmente al'secretario general de policía de Ginebra ili. Un nú mando. A la vista de aquel pueblo recordaron estos ¡ntamcí ion , del cual decía que habia servido por mucho tiempo al duque Jos vicios en que habian vivido en el enccn¡gados, y que jantes de Cazes, añadiendo que. Girón se 1c habia 1 presentado a el mis males La traído i la disciplina de este ejército: compararon cobardes mo suplicándole que se interesase con el barón de Mounier paia t…</t>
  </si>
  <si>
    <t>Jos, Aletternich y</t>
  </si>
  <si>
    <t>Aletternich y Jos</t>
  </si>
  <si>
    <t>…aria de Gerona , presentada y leída por nentales, y que se trate de lomar algunas providencias militares. Se obser el Sr. Euruaga, va aquí que hay frecuentes conferencias entre el príncipe Aletternich y Jos De la milicia nacional voluntaría de ambas armas de Vínaroz y por el embajadores de Francia y de Rusia. Sr. Dc-mencch. El archiduque Francisco , hijo segundo del Emperador , reemplaza al De *u audiencia territorial de Valencia , por el Sr. G:I Ordv.ra. archiduqu…</t>
  </si>
  <si>
    <t>Jos, Antonio</t>
  </si>
  <si>
    <t>Antonio Jos</t>
  </si>
  <si>
    <t>…59- del Código penal.” Se aprobó el articulo con esta variar ,m. estilo. Art. y.J Cuando se sorteen los jueces de hecho, de que hablan La.de Guerra informó sobre la exposición de D. Antonio Jos arts. 43 y 53 de la ley de 22 de Octubre de 1820 , se sacará Matear sobre abono de años de servicio, y opinaba debia acceuna tercera pane mas del número que cu los mismos se designa, derse á esta solicitud. Aprobado. Se leyó una proposición del Sr. Canga Argi…</t>
  </si>
  <si>
    <t>Jos, Banquells y</t>
  </si>
  <si>
    <t>Banquells y Jos</t>
  </si>
  <si>
    <t>…individual « calificándolo de &lt;to por su seguridad individual, y han creído estar próxima ' atropellamísnto. mente amenazados de ser sustraídos á la autoridad competente, » Si el juez Banquells y Jos demás interesados han incurrido bajo cuya sombra experimentan los elimínales su castigo, y ¡a en el execrab'e crimen de conspiración «sufran la pena de la ley; inocencia encuentra su amparo. Si tan raros y extraordinarios pero júzguelos ia autoridad designada…</t>
  </si>
  <si>
    <t>Jos, Jcsef del Cas</t>
  </si>
  <si>
    <t>Jcsef del Cas Jos</t>
  </si>
  <si>
    <t>…as. Han caído en poder de los españoles mas de 200 !us¡ es. dos de ellos levemente. Este es y será siempre el resultado que tendrán El movimiento empezó desde Loreto, dirigido por D. Jcsef del Cas Jos que combaten contra las armas de la libertad. tillo Rengifc y D. Eustaquio Babilonia. Habiéndose distinguido, asi cfrciaLes como tropa, con el oatriotisLima iU de Agosto. mo y valor propio de hombres libres, seria injuriar á los demas si se Se hi formado en e…</t>
  </si>
  <si>
    <t>Jos-i'</t>
  </si>
  <si>
    <t>…rrero , proponía para reempla los otros delitos menos giaves. zarle ios suecios contenidos en la terna siguiente: La comisión pues no puede prescindir de proponer en el artíaño «I D. Jos-i' he tipo rfc Morenti, D. Audi** García del Corral, Don uso de una clemencia ilimitada, y considera que con esta medida que Josíf Fernandez ÍVlafiso. propone a ias Cortes se reconocerán esos ilusos, y volverán sí: cu.tSe aun,dó quedar sobre la mesa. lesqulera q…</t>
  </si>
  <si>
    <t>Jos.f</t>
  </si>
  <si>
    <t>…ado josel .Antonio Gu.rre.ro; para el de lo Interior jó lia van recibido , abonándoseles al que por si se las haya costeado; se! Antonio l-aria de Carvallo: para el de Hacienda el Sr. Jos.f que conforme al artículo 137 de la ordenanza de ia M. N. L. Javier Alozinho de Si! ve ira: para el de Marina el ex-maver ge Jos cuerpos desde el momento en que salgan á este servicio que neral de ¡a armada Sr. D. .Manuel Juan de bocio: para vi de den sujetos…</t>
  </si>
  <si>
    <t>Joscf</t>
  </si>
  <si>
    <t>…creto de la convocatoria de las lipe López Valdenioros, D. Gonzalo Cárdenas, D. Manuel Esteban Cámaras para el 18 de Enero. Gatalá , D. Nicolás Cano Luque, D. Zoilo Gom:z Cisero , D. Joscf __La libertad nunca ha sido vencida por ¡as armas extrangeras; y tan Larreategi-.i y D. Francisco Bauza.. to las naciones antiguas como lai modernas nos presentan en sus ana Habida la conferencia, se declaró por ocho de d'chos Sres. jueces les pruebas demostr…</t>
  </si>
  <si>
    <t>…hos de la armada nacional nombrados Sta. Clara, Intrépido x Cm.f lo previne, y con quiméiicas inquietudes sobre lo futuro. lan, al mando de los alféreces de navio D. Josef Alton , D. Joscf « Las medidis mas sabias de los Gcbieruos ao prosperarán, las me Gumbarda y D. Félix Angosto, procedentes de Tarragona en tres joras un» bien combinada» lio tendrán feliz, éxito, la cor.tiniza final días de navegación. mente no se restablecerá entre tos hombr…</t>
  </si>
  <si>
    <t>…del mismo partido: para la del de Peñíscola á D. Jocito y milicia activa han de celebrarse en esta villa , continuará en el sef Mar.n García ; y para una de la ciudad de Granad* á D. Joscf j cuerpo de M. N. V. que acompaña al Gobierno , abonándosele el tiem Aguilera. po que sirviere como si fuese en el egército permanente ó milicia acti va , según su caso. A consulta del consejo de Estado se ha servido 3. M. nombrat 8.° » A los individuos de la…</t>
  </si>
  <si>
    <t>…r, d: ser conducidos á esta de Belchit.*, entre ellos Tesalia , de Macedón:a y Romelia, que formaban lo mas selecto de la» •I cab cilla J-os-f MilUn {alia. Misas) , con el llamado teniente Joscf tropas turcas , »e habían dirigido á ellas de todos los puntos en las úl Gasteib i , y el sublímente Antonio Z anzo, gefes de aquella facción, timas expediciones : los que penetraron en el Peloponeso formaban por que parece corresponde: paite á 1a gavilla de…</t>
  </si>
  <si>
    <t>…io, que con fecha del 2 5 de Enero en Mégico á las seis unidos en el alojamiento del general en gefe para tratar sobre la de la tarde dirige el secretario de Relacione* exteriores D. Joscf toma de la plaza de Veracruz, y de los peligros que amenazan á Manuel Herrera al del consejo de Estado D. Juan Gómez Na la patria por la falta de representación nacional (único baluarte va» etc , poniendo en tu noticia que el capitán general de la pro que sos…</t>
  </si>
  <si>
    <t>…eguida se suspendió esta ti «ubre de beneficencia militar. discusión. •La comisión de Legislación, en vista de una consulta del se- Aja comisión de Guerra se pasó una instancia de D. Joscf fc.-e secretario de Gracia y justicia sobré quién deberá entender Páramo,.teniente de caballería, para que por las razones que ex ti: las causas que sigan ¡os jueces de primera instancia cuando pone se sirvan las Cortes rvcome-.idarle al Gobierno, á fin de qu…</t>
  </si>
  <si>
    <t>…toda universal de la Gu.-ria en ei tiempo de la indisposición que pa comunicación üc las tropas constitucionales de Cataluña con las dece su actual secretario cDmariscai de campo D. Joscf de nan- demas de ¡1 Península. juan , ha venido en habilitar para su despacho durante ella al La Regencia del Rein'o , convencida del importante servi Coronel D. Bartolomé Vasallo,' ofical mayor de la ra ima secre cio que el zelo de D. Manuel Gorrzaiez y demu…</t>
  </si>
  <si>
    <t>Joschin</t>
  </si>
  <si>
    <t>…aquí, tal como se pu timos, vuestro sistema es el mas santo y el mas bueno. ; Po blicó el dia 10 de este mismo mes. dréis negar los males incalculables que nos ha acarreado? Y si Don Joschin de l orenzo y Mezo &amp;c. fués-ílj de buena fe y convinieseis en que es una verdad que por Ayant eté informé qu’il s’etait operé une tiés forte auglos efectos se conocen las causas , t no confesareis que la Cons tnentation sui les denreés tí les comestibles qui…</t>
  </si>
  <si>
    <t>Josd</t>
  </si>
  <si>
    <t>…jo de las puertas po drían considerórse corno'no.prrblicados, pues nunca se ARTÍCULO DE OFICIO. entregan de ellas los tmesí ejemplares. El Gobieruo ba recibido el parte siguiente:—D. Josd El Sr. Salva expuso entre otras cosas,, que en Montos, teniente do caballería de Aluiansn. que se Lael artículo.se presenta el caso de esnenderse' ejem liaba comisionado en el condado de Niebla, se vio plares antes de. entregarse ios tres citados eu el acosado y pe…</t>
  </si>
  <si>
    <t>José</t>
  </si>
  <si>
    <t>…resuelto S. M. se les den las gracias en su ban . mandudos por su digno alcalde , oficial retirado Reíd nombre con la tmyor solemnidad posible, exord«l cuerpo de Marina . v por su comandante D. José tándidos á que continúen-prestando iguales servicios Manuel lJai)ñ«, se presentaron á las tres y inedia de á la patria, v que los c¡tildo:;-partes se publiquen en esta manar.a en esta villa para reunirse á otros tre la Gaceta y en cualesquiera'otros periódico…</t>
  </si>
  <si>
    <t>…os y abu.-o- que resul lil-'jalde , H. f rancisco Antonio de Carraza y D. An tan de la 1. v de 1 &gt; de Julio tlt* 1S21 , . r ar provi tonio Olazarra, para ver la denuncia hecha por D. José sionalmente en esta ciudad uu.i comisión compuesta IMuia v ib Juan Antonio de la Cruz. Romero, del tic cinco indiv (dúos, inteii entes v «le piobidad á di articulo con que principia el periódico titulado el vo cargo t--l«: censurar lis periódicos, proel.unas…</t>
  </si>
  <si>
    <t>…KL Te vos, con los demas mi* Secretarios de Estado y del Qgspach.o^ niente Coronel segundo Comandante del mismo, Pedro Villa— D- José García de la Torre, del de Gracia y Justicia; D. José » nueva.=El segundo'Cbmandante del mismo, Rafael de Grima— Sanjuan del dt Guerra; D. Luis María balazar, del de Marina; rest.zhEl Capitán mas antiguo del-mismo, Valentín Rojo.crEl y D. Juan de Erro, del de Hacienda; forméis un Consejo, que primer Capitán’, Ju…</t>
  </si>
  <si>
    <t>José, Juan</t>
  </si>
  <si>
    <t>Juan José</t>
  </si>
  <si>
    <t>…ues aquilio» países no llate , D. Juan Bautista Vea Muren a , D. Lope Manuel de Luen ofrec-n mas que apatía e indiferencia , abatimiento y yugo. gas , D. Miguel del Pino y I.opez, D. Juan José; del Cabillo, D. Ma Va se sabia la llegada del ministro m&lt;les A Confuí.(inopia , y se tías Olave , D. Clemente Zulueta , D. Prudencio Hernández Santa conc-bian esperanzas de piz, teniendo.as también los griegos de que la Cruz y D. Bernardo de la Peña Díaz , d…</t>
  </si>
  <si>
    <t>Josec</t>
  </si>
  <si>
    <t>…go hice llamar al citado Moret, á quien le rogné me viese, y to he resuelto que quede desde ahora extinguido el Ministerio lla despaché á Cádiz á mi Ayudante el Capitán de fragata D. Josec mado del Interior, y cesen ios Comisarios Regios, volviendo to Fernandez de las Peñas con el objeto de que hiciera presente al das sus atenciones y las de la citada secretaria a las demas de mi Comandante en gefe francés Conde de Bourmont mis apuros en Despac…</t>
  </si>
  <si>
    <t>Josef</t>
  </si>
  <si>
    <t>…Escalante y sus ascendientes que llegar, hasta el afio conocimiento de todo á S. M. tendrá la bondad de hacer presente el ds 722, en certificaciones originales que á instancia de D. Josef de'Tadistinguido mérito, que tanto el capitán comandante de la columna rasena y Herrera , natural, y vecino por aquella su fecha de la villa de D. Jacinto Toledo, como todos los demas oficiales y tropa de que se Yunquera, mandó librar D. Francisco Lozano Romá…</t>
  </si>
  <si>
    <t>…folk (Estados-Unidos) con fecha de 28 de Noviembre avi medido ó reconocido otro individuo que haya sido declarado excluido san haber llegado el 27 4 Hampton en 31 días de Alvarado D. Josef por el ayuntamiento, irá también con los quintos y sustitutos, y se Manuel de Loizaga, embajador del imperio mejicano cerca de los Es- socorrerá con los 3 ti. diarios á expensas del que lo reclame , á quien tados-Unidoi, con su secretario &amp;e. se reintegrará d…</t>
  </si>
  <si>
    <t>…illas le tras , y traducida al castellano é ilustrada con notas críticas y varios Diciembre último me dicen lo siguiente: Enteradas las Córtes extraordinarias de las instancias de D. Josef apéndices sobre la literatura española por D. Agustín García de Ar ríela. Bien conocido es en la república literaria el célebre, autor de estaMunuer» y-D. Manuel Rssiz y Quevedo, que V- E. les ha remitido con oficio de 10 dei actual , relativa la del primero…</t>
  </si>
  <si>
    <t>…esmedida ambición , fue ace al recomendable cuerpo de nuestra marina nacional. ron repartiéndose la Polonia en diferentes épocas; y en la última, en El 13 se hallaba el comandinte D. Josef La Serna en Miranda de que borraron de la lista de las naciones aquel reino, alegaron por moti Ebro, y allí recibió órdenes, diciéndole que era preciso dividir las fuer vo, en nombre de la Santísima é indivisible Trinidad, las disensiones zas de su mando en dos divisi…</t>
  </si>
  <si>
    <t>…dico titulado el Patriota español del sábado i.° cisco de Borja Leonardo, escribano del mismo juzgado, y pasquines fi del mismo , en el cual denunció el Sr. -fiscal de imprenta al Sr. D. Josef jados contra dicho Borja&gt; se ha^ mandado citar por edictos á.Benito Ur Pío de Molina, alcalde primero constitucional de esta villa, como se bano , pregonero que fue en dicha villa, y uno de lo* reos en ella, diciosas é incitadoras á la desobediencia en primer…</t>
  </si>
  <si>
    <t>…de la Nación , cupo en la suerte del primer extracto de la de darme yo á mí mismo ios parabienes , y beldárselos con el debido de este dia á Dona María Josefa González , hija del sargento Josef respeto á S. Xl. y á la Nación por medio de V- E.-, me limito á pedir muerto en el campo de honor. ’ á V. E. se sirva premiar y excitar el buen zelo de aquel vecindario y ARTICULO DE OFICIO. de- todos-aquellos dominios -, haciendo que se concedan las gracias…</t>
  </si>
  <si>
    <t>…o hasta ahora aun ¿ las mas li La comisión do Visita de tribunales, habiendo renunciado la plaza geras insinuaciones de sus representantes, no puede dejar de perdonar de visitador D. Josef dé *a Puente Herrero , proponía para reempla los otros delitos menos giaves. zarle ios suecios contenidos en la terna siguiente: La comisión pues no puede prescindir de proponer en el artíaño «I D. Jos-i' he tipo rfc Morenti, D. Audi** García del Corral, Don…</t>
  </si>
  <si>
    <t>…osef María da 1* Macorra , vecino da Ceuta , cuatro certifi cuantos medios esten á nuestro alcance, i evitar el abismo en que se-, caciones de ««dito sin intere* á favor del mismo D. Josef, reconoméjantes calamidades sumergirían á nuestro país; y en este momento cidas en «1 Crédito público con ios núms. 33,008 : 33,009, 33.68* no podemos valernos de otro medio que del de una respetuosa instan y 33*^3» 7 habiendo sido interceptado dicho correo ,…</t>
  </si>
  <si>
    <t>…to de injurioso. En su vista se reunió el jurado, com ro. Si á juicio de los intendentes hubiese necesidad de vender al puesto de los Sres. siguientes: D. Joaquín Huerta Cevallos, D. Josef gunos frutos, ó se considerase útil hacerlo , se verificará mediando su Antonio Ponzoa, conde de Floridablanca, D. Antonio Díaz del Mo orden y con todas las formalidades y precauciones que convengan a ral , D. Francisco Barra , D. Miguel Ripa , D. Cayetano Ro…</t>
  </si>
  <si>
    <t>…rea no desmintió las prueba* que parte lucia id de la ermita do S. Esteban, que está sobre el camino de ti:ne dadas un (onitantemrnte. Ausetall , al mando del oficial de zapadores D. Josef de la Riva Ro ,,Del mismo modo qu; ios anteriores debo recomendar i V. E. al , bledo , el cu-1 con arreglo ; las instrucciones del expresado gefi.’ de la teniente ¡&gt;. Josef Roca, z! subteniente D. josef Orion, v al cabo yx¿-J^r linea , se dirigió inmediatamen…</t>
  </si>
  <si>
    <t>…marina» siguientes: D. Josef Baldasano, P. Matiano Pardo v k' los restos del cabecilla Albuin por el valle de Fequin, me Manso, D. Josef Bu:trago, D. Juan Vibavicencio y Pareja , D. Josef de que aquel s: dirigía a pasar el Navia por el Sena , por lo Seidel y Aurrich, D. Juan Martínez y León , D. Santiago Perez y encontrarlo á Fomria: aili supe que el enemigo contramar- Camino, D. Fernando Mergelina y Barreta , D. Joaquín Anguiano, l?Jii 9naba…</t>
  </si>
  <si>
    <t>…la industria y comercio. Mr. Forbin de Issarts: He solicitado hablar acerca del reglamento, es decir , acerca de un caso que está fuera del reglamento. (Murmullo á la El ciudadano D. Josef de! Castillo , vecino de Má'aga , con el con izquierda. Varias voces á la derecha. Está bien, está bien: hable V.....) sentimiento paterno se ha ofrrcido á suvir voluntar amrnte armado y El reglamento no ha podido prever el caso er. que nes hallamos en ei equ…</t>
  </si>
  <si>
    <t>…l Aparicio ; en Búrgos en la de D. Rosendo Revilla; y avisaré á V. E. de cualquier resultado. Acompaña á Bessieres el ex en Vitoria en la de D. Pedro Barrio ; en Zaragoza en la de D. Josef coronel D. Nicolás Isidro.esExcmo. Sr. secretario de Estado y del Des Sánchez; en Sarcelcr,. en la de D. Juan Francisco Piferrer y en la de pacho de la Gobernación de la Península. la viuda é hijos de Brusi; en Valencia en la de D. Ildefonso MomMinisterio de…</t>
  </si>
  <si>
    <t>…rancisco de Iribarren denunció en 8 del corriente un ar D. Francisco López Cotana. D. Manuel E.teban Caula. tículo que empieza:» Vamos a dar principio á las semblanza,'* , inserto D. Josef España. D. Antonio Gamonal. «a el 'periódico turnado el Ct&lt;ut tucisnal de uj ; del mismo d:a,</t>
  </si>
  <si>
    <t>…D. Antonio Gamonal, D. Antonio Regas, D. Jaime Ruiz Abreu, mayor marca; y se darán ademas todos los suplementos que se crean D. Juan Isidoro Perez, D. Joaquín Manrique y Manrique, D. Josef necesarios para no privar al público de cuanto se considere interesante. Castel, D- Juan de Luque Solano , D. Carlos Martin del Romeral, A los suscriptores que esten abonados á la Gaceta de Madrid por D. Francisco Luciano Domínguez Villanueva. mas tiempo que…</t>
  </si>
  <si>
    <t>…e. nez; Doña Antonia Jiménez; D. Manuel Belticnate , con su rspo^c, Murcia 17 de Marzo. una h’’B y ani criada; D. Ver-tura Alisas , D. Josef Antorio Bimof D. Juan Antonio Loredo , D. Josef de la Cámaro , D. Manuel Ra El espíritu público cada día va mas en aumento; y pocos son los mos, D. Juan Orcullo , D. Josef Fernandez , D. Antonio Sola , Pon que se manifiestan indiferentes. Los partidos liberales se van aumentan Vicente y D. Avustin Eguia ,…</t>
  </si>
  <si>
    <t>…a brillante jornada, por lo que es digno de toda de obrar de estos desertores de la patriai ya han visto ellos también el recomendación, hace referencia de los decididos patriotas D. Josef tesón de sus buenos hijos, y han conocido cuán difícil es luchar con la Marlasca, que con sus conocimientos en el pais contribuyó mucho al vrrud y con el valor de hombres libres: seguid siempre la misma con logro de la acción, y á D. Pedro María Ruiz y D. Bal…</t>
  </si>
  <si>
    <t>474</t>
  </si>
  <si>
    <t>…lan pormenores curiosos sobre ANUNCIOS. el proyecto de traducir la Biblia i la leugua china. A consecuencia de una memoria d* W. Mosety se tomó la resolución de enviar ¡í aquellcs D. Josef d: Espinosa , miliciano voluntario de los de Madrid en el países algunos hombres instruidos para publicar en ellos un texto de ¡as primer batallón , 3/ compañía , y agente d* negocios bastante instrui Escrituras. El primero ú quien se nombró para llevar i cab…</t>
  </si>
  <si>
    <t>…tanto ha Murcia, M. A. de Murcia, y batallón ligero de Barbastro. trabajado estos dias por vosotros, y con los demás gtfts que os Segunda división, al mando del marisca! de campo D. Josef dirigen : yo velo por vuestra segundad , y esta no peligra mien Mamo, compuesta del destacamento deJ Inmemorial del Rey, tras exista vuestro conciudadano—Diego Clarke. segundo batallón de Cantabria, idem de la Princesa, regimiento Idem j de Abril. de infanter…</t>
  </si>
  <si>
    <t>…y va , D. Cayetano Rubio, I&gt;. Josef Segundo Monde jar, D". Josef sagrado sobre la tierra: salga finalmente de vuestros pechos á la Merelo, D. Miguel de Nájcra, D. Matías Pinilla, D. Josef manera de un torrente de fuego la ira reconcentrada por tanto Sainz de Rozas, D. Aniceto Moreno. tiempo en vuestro corazón atrozmente agraviado , y que una Habida la conferencia se declaró por unanimidad haber lu prudencia peculiar de vuestro carácter generos…</t>
  </si>
  <si>
    <t>…chez de la mañana, hora en que conocí que ARTICULO DE OFICIO. estarían en la misa, dispuse la salida de la gente de mi mando en ríes trozos; el primero mandado por el subteniente D. Josef El Rey ha espedido el decreto siguiente: Guiso fue á ocupar la salida del pueblo hacia Orista; el segundo, Por cuanto el territorio español ha sido invadido por las tro á las órdenes del subteniente D. Juan Cardona, ocupó la salida pas del Gobierno francés sin decla…</t>
  </si>
  <si>
    <t>Joséf</t>
  </si>
  <si>
    <t>…agrados derechos. Beneficiados de Sta. Maria: D. Lorenzo..Mas y Dr.Bli. » Aqui volverán á experimentar que nunca transigimos con Idem del Pino: D. Francisco Cabriol, D. Juan Sala, D. Joséf la iniquidad ni con nada de cuanto pueda comprometer nuestro: Garriga, D. Francisco Sampere, D. Pedro Bernardo Ala, Don honor ni el decoro de la gran nación que ha 'puesto en nuestras Juan Pablo Ferrer, D. Narciso Viver y D. Josef Pinell. manos sus destinos.…</t>
  </si>
  <si>
    <t>…36 de Abril. « Asimismo ha llegado á mis manos otro desde Albatera del No puede darse mayor esmero ni mayor energía que la que comandante de la columna expedicionaria de M. N. L. D. Josef nuestras autor.dades han empleado en todos los ramos de la ad Barrera, en que me manifiesta la disciplina , honroso comporta ministración pública; verdad es que t.enen la ventaj3 de que en miento y patriótica decisión de los individuos que la componen; los ha…</t>
  </si>
  <si>
    <t>…del comandante general de las islas conceder este permiso. Aprobado. Canarias, felicitándolas por las sesiones del 9 y 11 de Enero La misma comisión, en vista de la exposición de D. Josef último. Ayala, diputado provincial de la de Badajoz, solicitando se le La comisión de Guerra, después de haber visto el oficio del exonere de este cargo por no tener medios para subsistir, opina Sr. secretario de la Gobernación de la Península sobre la necesi…</t>
  </si>
  <si>
    <t>…por la fuerza armada encargada Servicio de los ayudantes de plaza para la semana próxima. de protejerle. Vuestros magistrados procedieron desde luego á las _ Excmo. Sr. comandante general D. Josef délos Reyes---- Se competentes diligencias para averiguar este delito: y estad seguros ñor gobernador D. Antonio Warleta-----De orden D. Juan de que se hará severa justicia á los culpados. Confiad pues en su Manuel Chacón___Causas D. Juan de Rojas-----Teatro…</t>
  </si>
  <si>
    <t>…ardo Elízalde.__Por subinspector de infantería de línea y de la sesión. los cuerpos de milicia nacional activa el brigadier D. Dominio Martínez__ Por subinspector de caballería al brigadier D. Josef ■■■'■ El Sr. diputado ¡á'Cortes D- Manuel de Latrc fue -puesto en Marrón-Por comandante general de artillería el brigadier Don el número de ios-que en la sesión de Cortes del 8 propusieron !a Josef López—Por comandante general de ingenieros á......—Por medida…</t>
  </si>
  <si>
    <t>…efino las que le hizo ia casa de Fe niales, quedar sobre la mesa. que aunque establecida en Londres se titulaba española. Con esta La misma comisión , en vista de la exposición de D. Josef casa formalizo cí contrato , siendo una de sus condiciones el que Garces para que se le permita capitalizar el sueldo que disfruta adelantase al Gobierno español 80 millones de reales cr. liaras es por su retiro , era de opinión se accediese á su solicitud en…</t>
  </si>
  <si>
    <t>…Aprobado. de una alteraríaponía quela imprimiéndosecuota de ellos. yLarepartiéndosecomisión, enestevistaproyectode todose señalapro La misma comisión, en vista de la exposición de D. Josef se día para su discusión, á-fin de que pueda decidirse este asunto Garrido, vecino de Cartagena, para que se le reintegre de 4JÜ) £-tiempo , y recaer sobre los cupos la aprobación dd Congreso. reales que se le adeudan por aquel ayuntamiento de adelanto? que E…</t>
  </si>
  <si>
    <t>…libra al Austria bernador y orden D. Almud Nudez. — De causas D. Juan de de un conquistador altamente ofendido é irritado! ¡quién! La Rojas. _Teatro y toros D. Antonio \\ ai lúa y D. Josef ¡os Nación española que le llama toda su atención y ocupa sus me Reyes.__Mañana es dia de corte, á cuyo efecto se hallaran en palacio á las doce los señores gefes y oficiales de Los cuerpos de lajores fuerzas. ' Si Napoleón desde Moscou vuelve fugitivo á Pari…</t>
  </si>
  <si>
    <t>…ciado en 19 de Marzo por el Sr. síndico tercero del Exce facultad que se les concede por la Constitución, lian decretado lo lentísimo ayuntamiento constitucional, la ley condena á D. Josef siguiente: Art. i.° En Matanzas, Trinidad y demas puertos d« García , responsable de dicho impreso, a la pena de cuatro años la isla de Cuba , habilitados para el comercio extrangero, se exi de prisión, según lo dispuesto en el art. 2 o del tít. 4.“ girá una…</t>
  </si>
  <si>
    <t>…eerla la mas segura y fidedigna. No es este el momento de ha bado. cer todas las reflexiones que estos nuevos y extraordinarios acon La misma comisión en vista de Ja exposición de D. Josef tecimientos dan de si; pero á lo menos haremos dos: Primera: Oclioa, vecino de Sevilia, pidiendo se le conceda la gracia de pa Que por ellos se confirma y prueba con la mayor evidencia gar en cinco años la cantidad que adeuda al pósito de esta c.udad, que no…</t>
  </si>
  <si>
    <t>…aber el 17 los franceses; que una pequeña partida de infantería y ca relevado una brigada de él á las 9 de la mañana todas las guardias ballería al mando del teniente de esta arma D. Josef zLntonio y puestos, que cubrirán hasta dicho momento las tropas de mi Focsa, ha desecho una facción que recorría los pueblos del mar mando. quesado de Moya, haciendo varios prisioneros, y cogiendo 16 Encargado’de conservar el orden durante este intervalo, es…</t>
  </si>
  <si>
    <t>…sirvió jii.itnkst.ti — la poesía vendrá en auxilio de los invasores. No faltara quien dt- nos en papel de U de Octubre del año próximo pasado , ici.it,ga, como se dijo al llamado rey Josef: vamentc a quién deberá conceder o negar la licencia para qu. ios Mas que el cañón tronante; alcaldes constitucionales puedan ausentarse de su» pueblo» ii.i-.r.Mas que la ardiente espada; vos, se han servido declarar i." Los alcaldes cot.-.titu-ah* Mas que la…</t>
  </si>
  <si>
    <t>…s demas. Comandante general y consejo D. Antonio Warleta__ Go bernador y de orden D. Juan Chacón.__Causas D. Juan de Ro ARTICULO DE OFICIO. jas__ Teatro y demás funciones públicas D. Josef de los Reyes y D. Manuel Nuñez... Circular dirigida por el secretario del Despacho de Estado a Mañana hay corte, á cuyo efecto se hallarán en pala cío á las los agentes diplomáticos de S. M. en Jas Cortes extranjeras. n los Sres. gefes y oficiales de los cuer…</t>
  </si>
  <si>
    <t>…ente: Segunda división. __ Comandante general el brigadier D. Fran Artículo i.° Se establecerá y exigirá un derecho cosí el nombre cisco Moreda; D. Ramón Carreño , gefe interino ; D. Josef de servicio por la concesión de honores relativos í toda clase de Martínez Bernal auxiliar. empleos civiles. Art, Gobierno formará y remitirá á la Cuerpos de que se compone.__Batallones: Tuy, Astorga, aprobación de las Corres la tarifa de este derecho , procu…</t>
  </si>
  <si>
    <t>…osición de D. Rafael Camaño, capitán de fragata de la arma- Se mando pasar a la comisión de Hacienda una ex pos.c ion de 0:1 nacional , para que se exija Ja responsabilidad al Dr. D. Josef D. Josef Alava Giménez , solicitando la liquidación para cubrir Fernandez de Losarla, primer alcaide constitucional de Santiago, una deuda que tiene en favor del Crédito publico con una can opinaba debía exigirse la responsabilidad al citado Fernandez. Se tidad que este le adeuda.…</t>
  </si>
  <si>
    <t>…de vosotros. Dios guarde á V. E. Secretaría de Estado de los Negocios de Dado en las casas consistoriales en 29 de Mayo de 1823.—. Hacienda á 2 de Junio de 1823. = Illmo. y Excmo. Sr. Josef En sesión extraordinaria y permanente.zcCoino presidente Juan Antonio Guerreiro.=Josef Javier Mousinho de Silveira. Rufino Alves Basto. =Juaquin Gregorio Bonifacio. == Manuel Respuesta al oficio que precede. Ferreira Lima.—Pedro Alejandro Carvoé. limo, y Excmo.…</t>
  </si>
  <si>
    <t>…objeto; él ^oironél menor1 n ¿ comprende:,;cste&gt;tómo«á*A A a. m a. _ í h. - el elogió________ de• Já/RcmL.Doña‘ 1 ' ’ ' ' -' ■ '1 de Jlt general-‘de csrado mayor príiriernyüdánre D. Josef s Güerrtro : Torres ¿ él áir¿«z dé cabállcríizy ayudante de ctinpo dL S. E., D. Nicasib Sánchez' Boado y; el iprimér ajaidantó :deli fegímietito EN LA IMPRENTA NAClONzLL</t>
  </si>
  <si>
    <t>…cerme en ai del corriente estando en la villa gurar que todos se han esmerado ansiando los peligros, y en de Utrera, me dirijí i la de Algatocin, y con noticia que reci particular D. Josef y D. Cristóbal Rosillo , y D. Miguel Gil, bí el 25 á las diez de la mañana de! paso por aquella inmedia de Jubrique ; D. Pascual Armenla y D. Sebastian Ti o o co,, de ción de parte del ejército llamado de reserva , á las órdenes del Algatocin; D. Juan Becerra y Sebastian Fajardo su…</t>
  </si>
  <si>
    <t>…ón pú dispondréis lo correspondiente á su puntual cumplimiento. =r blica de sus máximas. Art. 4.0 Quedaran sujetos á la purifica Está rubricado. = Palacio 27 de Junio de 1823.es A D. Josef ción de su conducta potítíca , á theto de continuar ós"r repues García de la Torre. tos, los empleados nombrados por S. M. antes del 7 de Mar20 No siendo compatible la tranquilidad pública con el tránsito de 1820, que al restablecimiento del sistema constituc…</t>
  </si>
  <si>
    <t>…cordó.Nación, para revalidarse de segundo ayudante de Farmacia. Apro Art. 6.a Será de su obligación en caso de vacante pasarbado. La comisión de Guerra en vista de la solicitud de D. Josef inmediatamente aviso al presidente de la Academia Nacional para Orgas, de Nación francés, para que se le recomiende al Gobier que con los cuatro individuos de la misma que señala el re no , á fin de que se Je admita en el arma de caballería, opinaba glamento…</t>
  </si>
  <si>
    <t>…r las nio Viladomar; el de Cortes al teniente coronel D. Mariano Ji felicidades que vienen á traernos. Tenemos buena guarnición ; la ménez Bagusé ; el de Independencia nacional al coronel D. Josef milicia está entusiasmada, víveres no faltan, las autoridades son Montero y Vigodet; el de Soberanía nacional al teniente coronel excelentes ; qué hay pues que temer: D. Manuel Lujan: el del Invencible y puerta del Mar a! coronel Los enemigos han hecho hoy un…</t>
  </si>
  <si>
    <t>…e ry.) nuel Perca Cabellos, director interino del Gran Libro de Ja deu Decreto de las Cortes mandando que al tiempo de dividirse da pública (durante la ausencia del propietario el Sr. D. Josef ios bienes vinculados se traíga á colación el valor de los que ios Antonio de Uriartc en servicio dei Estado), el Sr. D. Antonio poseedores actuales hayan enagenado (Gaceta del iS.j de Vcamurguíu, regidor del Excmo. ayuntamiento constitucio Dccn. to de las Co…</t>
  </si>
  <si>
    <t>…abérsela concedido á dos profesores trances.» que solo llemand. por observar, y acaso de lejos, aquella terrible dolencia , obtuvie A la de Legislación el expediente promovido por D. Josef ron también aquella distinción. María González, vecino de esta ciudad, sobre habilitación para Se veto por partes, v quedo aprobada la primera, desaproba administrar sus bienes sin necesidad de curador. da la segunda, y que volviese ¿i la comisión. A la comis…</t>
  </si>
  <si>
    <t>…a parte de el ocupo una capitán Je granaderos del 16 de Enea D. Miguel l.’ader.as , y al posición .ventajosa para defenderlo, y el te.-i o lo pasó también subteniente de zapadores D. Josef ia Riba Robledo no estando</t>
  </si>
  <si>
    <t>…lla se hallaba toda alojada en dicho ahora de los ministros D. Francisco Javier Ochoa, decano; el [■u.bio en número de 80 á roo hombres; que solo tenían una marques de Ciileruelo; D. Josef de ia Calle y Cepeda; D. Jo* avanzada de 4 hombres en las mismas calles del m:&gt;tno; que sef Lledó; D. Angel Fuenes; D. Femando Velez, y ¡os su tenían echada una contribución de 3© rs., 40 fanegas de ce pernumerarios D. Fernando Pantoja y D. Pedro Gómez de la…</t>
  </si>
  <si>
    <t>…leos en Guardas. Idem attualeSi Sueldo anual rs. va. Capitán, coronel. . . Coronel, primer comandante. 24000 D. Manuel Alaria Lergeant. . D. Manuel Loustau. D. Juan Martin Agmlar. D. Josef xMaria Mena. D. Pedro Magarola. Tenientes coroneles, primeros comandantesD. Josef Ramón Solís. ^ Primeros tenientes. . supernumerarios. ...................................................IX Pedro Morell. 16000D. Josef Maria Rcat. D. Josef Bueréns. . D Josef M…</t>
  </si>
  <si>
    <t>…amente la junta directiva del Crédito público, que estable por los enemigos, ó suspender la entrega hasta averiguar si aque ce el decreto de a 2 de Junio del año próximo pasado; y D. Josef llos prestan ó han prestado servicios al invasor ; y en su vista se Vea Murguia y D. Fernando de la Sierra, como suplentes en de han servido las mismas Cortes acordar , que se deben entregar li fecto de aquellos. Lo avisamos á V. E. para que se sirva po breme…</t>
  </si>
  <si>
    <t>…seguida entre la junta y el general Freire. Rafael Casimiro Lodares y D. Miguel Sánchez Casas por la de En ella encontrareis que este general ha declarado formalmente la Manchal: D. Josef z\poita por la de Vizcaya: D. Dominco que ni él ni el ejército están sujetos á ia junta , y que no reco Cortés, D. Francisco Enriquez, D. Josef Alcaide y D. Ramón noce en ella autoridad alguna sobre la fuerza militar, cuyo Lamas y Melendcz por la de Galicia:…</t>
  </si>
  <si>
    <t>…a un pueblo saivage que con desprecio de nuestras antiguas Abril ry de il!e:.=r Excmo. Sr. = josef Cante rae.= Excmo. Sr. costumbres ha venido á profanar d monumento en que descan D. Josef de la Serna, Virey del Perú. saba : y considera que ya el sepulcro de ios Sachcms es semejante á todos los demas sepulcros desde que le ha saqueado por una V A R I E D A D E S. bárbara ralea. Tu madre pide venganza, porque mientras no lle Rrtszix fiel carácte…</t>
  </si>
  <si>
    <t>…_ García su marcha es mas regular: cada día adelantará mas en mantener «1 orden.” Con este motivo hace nuestro Cutir ie las observacio Camba. Parte del brigadier gefe ¡ie E. M. G. Don Josef í arratalá, nes siguientes. _ comandante general de la ,tinaón centra:, al Sr. general en Ya manifestamos en otra ocasión nuestro dictamen acerca de las dificultades que había en esta regularidad de conducta que G-fe. , Núm. 31. El renombrado Ranlet, uno de l…</t>
  </si>
  <si>
    <t>…r mar de nuevo la dirección de Córdaba , y el 2 de Abril habien hecho reconcentrar en aquel punto todos ior cuerpos y partida'; do mandado adelantar al Sr. comandante de cazadores D. Josef enemigas , para que todos juntos pereciesen , y la de haber tran María Pereira con unos yo hombres de su batallón , y la com- quilizado un terreno rico y bien poblado de ciento cincuenta le pafiía de cazadores del 2.0 del primer regimiento , se consiguie guas…</t>
  </si>
  <si>
    <t>…en tres colum Este dia se celebró una junta de guerra , en la cual hice ver nas paralelas con frente cada una de mitad de compañía y distan al Sr. gobernador el mariscal de campo D. Josef de la Mar ios cias enteras. La primera de estas se componía de toda la caballe oficios é instrucciones de V. E., y este Sr. man.fcstó la imposi ría, la segunda de la infantería y artillería, y la tercera del baga- bilidad de evacuar é inutilizar Ja plaza, com…</t>
  </si>
  <si>
    <t>…e de des de dragones de la Union , adelantando los granaderos de dicho sus acreditados, sentimientos, esperamos que guiados de ellos v batallón y una de las mitades que mandaba el teniente D. Josef del convencimiento que para adquirir la seguridad es necesario María Sola: estos valientes, unidos al coronel Valdés sobre el ofrecer los esfuerzos individuales que formen el conjunto de los pueblo, atacaron A sus órdenes las alturas de retaguardia, posición…</t>
  </si>
  <si>
    <t>…la Inquisición, Capitán de Ingenieros por una parte; y los Señores D. Miguel' contra quien rió pudieron prevalecer durante su permanencia los Jordanes, teniente de artillería , y D. Josef dé Inzar, teniente tiros de las falsas doctrinas, y en el que como una impenetrable de ingenieros de la otra, harán el inventario del material de ar roca se estrellen en lo sucesivo los sectarios sus enemigos, y cu tillería y de ingenieros existente en la pla…</t>
  </si>
  <si>
    <t>…ones.” entendido, y dispondréis lo conveniente á su cumplimiento.2= Aqui se creé que esta proposición se ha hecho á los griego* Está rubricado. = Palacio i.° de Octubre de 1823.=^ D. Josef mediante los consejos del Embajador de Inglaterra ; consejos da Aznarez.” dos á nombre de torios los Soberanos reunidos en el Congreso de Viena. Pero esta proposición , que hubiera sido admitida ha El Comandante general de Granada cm fecha 27 de Sc tiem~ ce d…</t>
  </si>
  <si>
    <t>…sión atrevemos á llegará él para presentar esta sencilla exposición sino y fidelidad á Fernando de Borson, que con su presencia sola por medio del benemérito Sr. General el Excmo. Sr. D. Josef restaura y recompensa con usuras los pesare^ y las aflicciones su Ajaría Carvajal y Urrutia, como quien habiéndonos honrado en fridas en la época de triste recuerdo que acaba de pasar.- El pue ser nuestro convecino durante sus persecuciones, ha sido testigo b…</t>
  </si>
  <si>
    <t>…de su dictadura. Se habia establecido un nuevo Rey Soberano y absoluto. Madrid 18 de Octubre de 1823 — reglamento, que mudaba los derechos y el modo de transacion de El Comandante general Josef! Aimerich. e=Brigadier Comandante los negocios. Se habian elegido los individuos del Congreso, Josef María Arratibel. =: El Teniente Coronel mayor Joaquín quienes debían reunirse luego, y se creía que cambiarían entera de Acosta, Capitán i.°sEl Capítan de gra…</t>
  </si>
  <si>
    <t>…nuevo el dia *9 del corriente Diciembre á las do donde desde ci año a i ha fijado su residencia el Tepíente general ce, en su audiencia y escribanía del citado, para el remate de D. Josef de la Serpa, Virey por S; Al. Católica, que Dios guar las fincas juntas ó separadas anunciadas en el Diario de esta ca de , en cuyo nombre manda aquellos vastos dominios. Levante pital el lunes 2 de Julio de 1821; y son á saber: una casa er. la un poco su tel…</t>
  </si>
  <si>
    <t>…máximas er conveniente á su cumplimien to.-ecüeñaíado de ia Real mano.—En róneas-y. de los pasados extravíos, y qué los venerables pastores, Palacio á 14 de Diciembre de iSag.isA D. Josef de la Cruz. restituidos al seno de sus ovejas enjuguen sus lágrimas, y cuiden del rebaño de que son responsables. Bien quisiera mi corazón Deseando manifestar de un modo especial mi reconoci dar á todo el Clero un premio qua patentizara mi gratitud ; pero mie…</t>
  </si>
  <si>
    <t>…arque.rrEl Mar „Señor: A L. R. P. de V. M. están el Corregidor de la ques de Artasona. =2Antonio Caves, Síndico. = Francisco BlasM. N. y L. ciudad de Alcaraz y su Regidor perpetuo D. Josef co.srjaime Gabas.rrNicolas Amcto, Secretario de la ciudad.” Sarrion, en cuyo nombre dan á V. M. las mas cumplidas enho rabuenas de que se halle fuera de la esclavitud en que ha estado, „Señor: Tiempo habia que este ejército de Cataluña, que y libre de sus ene…</t>
  </si>
  <si>
    <t>Josef, Diego</t>
  </si>
  <si>
    <t>Diego Josef</t>
  </si>
  <si>
    <t>…..."................................... 1110.169,819..33 Agosto de 182.3. 22: josef Mam Calalrava. Impoite de los valores de las rentas, contribuciones y arbitrios extraordinarios D. Diego Josef de la Torre y de Hita , vecino de la Hilvana, ha ofrecido mantener á su costa un soldado mientias dure la guerpara un año..................................................... 1211.927,405..32 ra ; y S. M., a! admitir su oferta, ha mandado se le di n las gra D…</t>
  </si>
  <si>
    <t>Josef, Félix</t>
  </si>
  <si>
    <t>Félix Josef</t>
  </si>
  <si>
    <t>…mente nerla, presenten sus solicitudes en el preciso término de cuatroa vituperar la conducta anti-patriótica de los grandes que han dias en la secretaría de sala plena á cargo de D. Félix Josef defirmado la exposición, los cuales no son Ja grandeza como ellos Bormás, establecida en el hospital demugeres; teniendo entendidoquieren suponer, sino unos cuantos individuos de ella ; pues aun los pretendientes que en igualdad de circunstancias será preferi…</t>
  </si>
  <si>
    <t>Josef, Gabriel</t>
  </si>
  <si>
    <t>Gabriel Josef</t>
  </si>
  <si>
    <t>…yes greso sobre la provisión de la dignidad de tesorero de la santa igle vigentes, impugno á aquel como no necesario, pues solo en un sia de Cuenca , reservada también á S. S., en D. Gabriel Josef caso singularísimo es cuando se necesita proponer alguna declara Gil, y la comisión de Legislación fue de parecer que debia ser ción particular. válido el nombramiento , ¡sor exigirlo asi la fe sagrada con que El Sr. Ruiz de la Vega: La misma razón de ser el…</t>
  </si>
  <si>
    <t>Josef, Juan</t>
  </si>
  <si>
    <t>Juan Josef</t>
  </si>
  <si>
    <t>…olo la de haber salido herido en un unido el jurado, compuesto de los Srrs. D. Luis Francisco de Gardeabrazo d- íe-ala de" fusil mu segundo ayudante D. León González, liste zabal, D. Juan Josef de! Cubillo, D. Pedro Antonio Carrera , IX Pru dia ha sido uno de los mas g (.rieses que pueden darse á la nación es» dencio Hetnar.'d.z Sta. Cruz , D. Félix Jos-f Reinoso, IX josef Juan paño'ri , no por el número con qu: combatieron, sino por las fatales de…</t>
  </si>
  <si>
    <t>Josef-Sokr</t>
  </si>
  <si>
    <t>…inar con tan plausible motivo las funciones mag medicina D. Esteban Font y el Comandante interino de arti níficas que se han celebrado en esta ciudad en los dias 25, 2ó, 27 llería D. Josef-Sokr. y 28 del anterior. La marina Real de Almería, siempre fiel á su Rey, tiene el Para la elección de los regocijos de la marina ningún pensa placer ,de haber hecho iguales demostraciones de júbilo en la en miento pareció mas digno de representarse que el del bl…</t>
  </si>
  <si>
    <t>Josef-Tejerina</t>
  </si>
  <si>
    <t>…enemiga de 6 á 78 hombres se hallaba aqui de paso á su destino , y el capitán de la milicia na: de infantería y de 500 á 600 caballos llegó á media hora del cional activa de León D. Josef-Tejerina, que se hallaba enfermo, pueblo de Besalú, donde permanecía aun á las seis déla mis con la pequeña fuerza naciona!„quc mando he tenido ¡a sensible ma tarde el general Milans. pérdida del cazador D. Josef Iban, y herido gravemente el vo Las noticias de Barcelo…</t>
  </si>
  <si>
    <t>Josefa</t>
  </si>
  <si>
    <t>…echar d'e la tribuna á los diputados, Sezilla hf de Marzo. y vosotros no tenéis este derecho, reconocedlo pues, cese esta discu- Es singular el rasgo patriótico que ha manifestado Doña Josefa lioa, volved á la de los reo millones, olvidad si es pos.ble todo lo Diez de la Cortina, viuda dql limo. Sr. D. Juan de Morales y Te&gt;vdv| que ha pasado , y unios al ínteres general de la nación. Pido queso pa- vecina de la villa de .Marchena, la que teniendo…</t>
  </si>
  <si>
    <t>…on D. Ramón Zavala, oficial de la secretaría del 11.° distrito militar. el mas sincero respeto acredito que soy vuestro atento servidor, A lá segunda de Hacienda una exposición de Doña Josefa xioverto W¡lson.^.Mr. W'eatherstotv. Melendez , vecina de I.apion , provincia de Jaén, sobre que se 1» perdone cierta cantidad que adeuda á la Nación. NOTICIAS DE ESP AÑA. La comisión de Ultramar opinaba que debía aprobarse la planta de la secretaría de la di…</t>
  </si>
  <si>
    <t>…les. Adan era tan justa que k comisión misma nos lo está acreditan A la comisión segunda Je Hacienda se mandó pasar una do con .consecuencias que saca de Ja memoria. exposición de Doña Josefa 1 Enojosa, viuda , para que se le con El Sr. Adarr dijo positivamente que las Cortes no tienen da tinúe el pagci de la pensión de g¿) rs. que le fue concedida. tos ni antecedentes para poder resolver con seguridad sobre la ma La couvsiou de d.putJcioncs piovm…</t>
  </si>
  <si>
    <t>…ita á todos los que tengan cias que han sufrido, aun sin murmurar. También nuestro ejército podia distinguirse con este título, derecho á los bienes quedados por el abintestato de Doña Josefa, porque siempre hemos creido, asi como el ejército español, que de Gondovia, viuda de D. Francisco Arraute, y natural de c llegaríamos á conseguir la libertad del Rey Fernando , llevan Monforte de Lemus, en Galicia, para que dentro del término de do un Borbon…</t>
  </si>
  <si>
    <t>JosefBrodini</t>
  </si>
  <si>
    <t>…ontra los facciosos, pidiendo se le conceda Alta. Los tenientes coroneles D. Francisco Mon , D. Francisco la misma gracia que á las demas viudas que se hallan en el mis Vallarino, D. JosefBrodini, D. Juan Ignacio Cervera, Don. mo caso se Ira concedido, y del informe del Gobierno que Mauricio conde de Balbiani. Los capitanes D. Felipe Saint-March, apoya esta solicitud, es de parecer se le conceda; y se conforma D. Carlos Benbenuti . D. Josef Saint Marc…</t>
  </si>
  <si>
    <t>JosefOsorio</t>
  </si>
  <si>
    <t>…autoridad á En conformidad de lo acordado en junta general de acreedo quejarse del despotismo de estos Oficiales; los cuales han sido cas res á los bienes de la testamentaría del Sr. D. JosefOsorio, y en tigados por haberse presentado en el Palais-Royal con uniforme virtud de providencia del Sr. D. Manuel Josef Rubio, teniente militar, habiendo dado primero una satisfacción al dueño del de Corregidor de esta villa, refrendada del Escribano D. Manuel caf…</t>
  </si>
  <si>
    <t>JoseGintor</t>
  </si>
  <si>
    <t>…que destine á Eguren al cuerpo que . TrJrT l’ n T T n t 1, d‘: r°) 0S 7 le acomode de los que se hallan en los 5.° , 6.a ó 7.° distritos milita- ™dr« Atl-°n ► ?• lomas To,resano y D. JoseGintor.,0 3 onzoa Hares, ha resuelto que se publique ea artículo oficial para cgemplo de . blda &gt;■ conferencia, se decidió por unanimidad haber lugar a ¡a forma -jj e!0,t de causa. os uituS ciu a anos. . ^ — Don Pedro Sánchez Trapero denunció al Sr. alcalde constitu…</t>
  </si>
  <si>
    <t>Josei, Pedro</t>
  </si>
  <si>
    <t>Pedro Josei</t>
  </si>
  <si>
    <t>…fati de este anuncio , en el juzgado de primera instancia del Sr. D. Alejan ga ; pero le fus imposible seguir adelante, porque en aquella mañana dro González por ia escribanía de D. Pedro Josei" de Ibabe , donde traia andadas 8 leguas, en virtud ds las órdenes que precisamente tema se halla radicada , á decir lo que se les ofrezca en razón de una habi comunicadas al digno oficial Foxí. litación pedida á nombre de los hijos de D. Pedro Garibay , uno…</t>
  </si>
  <si>
    <t>Jossf</t>
  </si>
  <si>
    <t>…día en la Península, y sí en país tx- »* Teniendo en consideración la Regencia del reino los mé Irangt-ro, ha resuelto nombrar para que sirva la misma secreta ritos y servicios de D. Jossf_GaiCÍa dz la Torre, fiscal del con ría interinamente á D. Víctor Damian Saez , de cuy&lt; s conoci sejo y Cámara de Castilla, ha tenido a bien nombrarle para la mientos, ilustración ¿ íntima adh.sion á la sagrada Persona de secretaría de Estado y del Despacho de…</t>
  </si>
  <si>
    <t>Jostf</t>
  </si>
  <si>
    <t>…La compañía de D. Antonio Puga, D. Pedro Ruiz de Lolzaga, D. Nicolás de Iraola cazadores y 20 caballos de los mismos cuerpos, ai cargo de D. Cirilo D. Josef Pascual ds Guillenca, D. Jostf ds Resusta y D. Ciemenr? da María Pascual , teniente del mencionado cuerpo , y el centro al dil co Zulueta, por unanidad declaró haber lugar á la formación de causa. mandante segundo del mismo D. Santiago ll.ro. En esta disposición so emprendió el ataque con…</t>
  </si>
  <si>
    <t>…ndo sálalo una partida dei ni .sino regimiento dirigida líticos y diputaciones provinciales respectivas, y en su defecto que por el benemérito cura párroco del Barco de Valdeorres D. Jostf se constituyan en el cuartel .general á las órdenes de dichos gene Vare-la en su seguimiento, fueron tan acertadas sus disposiciones, rales en gefe, ó en ios puntos adonele tuvieren por conveniente y tal la acjt.vidad de los oficiales y tropa, que el día 20 p…</t>
  </si>
  <si>
    <t>JoufrVoy</t>
  </si>
  <si>
    <t>…ursos suplementarios del presupuesto de dos ignominiosamente a! despotismo; la nota del 23 de Diciembre úl j8ig , cuyo valor es de 10.287,106 francos, y el sobrante de lo timo d«l conde JoufrVoy dirigida al duque de Montmcrency al reunir que se reciba de lo respectivo al presupuesto de »8aa, que importa se en el Congreso de Verona; la respuesta que dió anteriormente el du 32.658,801 francos; y segundo, un crédito tn rentas al 5 por 100 que de Orleans…</t>
  </si>
  <si>
    <t>JouíFroy</t>
  </si>
  <si>
    <t>…arando Añadió que este era el objeto del Gobierno francés, pues sernambí hacia dos meses una expedición, que salió por fin el 17 de Diciembre. taba claramente por la confesión del conde JouíFroy en su carta á Esta expedición , que se componía de 16 brulotes y de otros 80 buques Montmorency. con 9O nombres de desembarco, tomó el 23 ia isla de Scio, habiendo Mr Curveen se propuso hacer en adelante algunas observaciones. quidado muertos los turcos que n…</t>
  </si>
  <si>
    <t>Jovanet, Rita</t>
  </si>
  <si>
    <t>Rita Jovanet</t>
  </si>
  <si>
    <t>…de nuestras instituciones; dan íobre ellos las Doña María Cata, Doña Teresa Miser y Catá , Doña María Torras, mismas milicias , les matan 9 hombres, les hacen 3 prisioneros y les Doña Rita Jovanet, Doña Manuela Piqueras y Doña Agustina Pir. cogen 13 cabillos, sin que en todos estos encuentros y en tan diversos Después de varios vivas á la Constitución, se dió la sopa á mas da punto- hayan tenido ios patriotas una sola desgracia , señal bien risible 600…</t>
  </si>
  <si>
    <t>Jove, Gregorio María de</t>
  </si>
  <si>
    <t>Gregorio María de Jove</t>
  </si>
  <si>
    <t>…scf Zulueta. para hacer el misino servicio, se les considerará el tiempo que le pres ten como de asistencia á sus respectivas cátedras , pudiendo continuar Habiendo hecho renuncia D. Gregorio María de Jove , vecino de su carrera ó curso en la universidad de Sevilla. Gijon , del título de vizconde de Campo-Grande, se ha servido S. M. j ,,De Real orden lo comunico á V. E. para que disponga !o necesario, admitírsela por Real orden de ia de Diciembre último, median…</t>
  </si>
  <si>
    <t>JpSef</t>
  </si>
  <si>
    <t>…el i g de Abril publicamos muy circumiañe !ael brigadier D. I todero Calvez. lamente la lista de las tropas francesas que &lt;L ian entrar por 1; un Estado tn.nnr. El primer ayudante general D. JpSef. Azpi* 1 Cataluña; citamos los cuerpos, sus fuerzas v hasta. ... los días de voz , que lo es de la división. El segundo ayudante general Don u Uceada. Resultaba de aquel estado que las tropas destinadas si</t>
  </si>
  <si>
    <t>Jr</t>
  </si>
  <si>
    <t>16i expuestas por D. Jr«cr María Calatrava, había tenido á bien acerca de los derechos que deben su ‘«facerse por los señeros, exnombrarle para desea ,¡- en propiedad la secretaria del Despa tiangcros existentes- en la actualidad, y que .legítimamente se hu cho de Gracia y Justicia…</t>
  </si>
  <si>
    <t>Jr.tucesas, La</t>
  </si>
  <si>
    <t>La Jr.tucesas</t>
  </si>
  <si>
    <t>…IJ l!&lt;r 'IS í; pan pruvlll- div 1- ion de ó'i hombres de La.'.las armas v cuatro me ci;i de ,S.mi ar.de r , puede decii e ser Únicamente las zas , al mando del general Molilor. Ll general La Jr.tucesas . que en número de mú seiseu líos ilujll- croix oenpa ú fraga con otra división de igual mí bres bloíjuean por ¡ierra á Sau’eña. i guarní ion oe mero &gt;00o mas ó meuos. Los enemigos parece tr itaii ].-. plaza si ise animosa v recibiendo con frecuencia IKJ- de…</t>
  </si>
  <si>
    <t>JR.uiz</t>
  </si>
  <si>
    <t>…otra cosa las palabras escrutinio secreto, y la misma com cen Tas contribuciones solos gocé) reales, y por lo mismo se de paración de este articulo con los jr y 88 citados por el Sr. JR.uiz be tratar de no aumentar mas los gastos en aquella isla con el es de la Vega confirma mas y mas esta idea. El mismo Sr. JRuiz tablecimiento de este gefe político subalterno y una secretaria, de la Vega ha manifestado ya que vale mas dejar sin saberse mucho me…</t>
  </si>
  <si>
    <t>JRANCIA</t>
  </si>
  <si>
    <t>…abrumado jamas á los hombres con un cúmulo de males y de mi Se leyó y aprobó el acta de la anterior. serias tan temblé." F1 Sr. Moreno dijo: Ay' oyeron las Cortes por conducto del señor JRANCIA. Becerra los sentimientos patrióticos del gcíe político de guerrea y su París 4 ele Uñero. ayuntamiento constitucional: hoy si se me concedep-rm &gt;0 para ocupar ' Di Peta, i.rabal de Constantinopla, se ha recibido una carta, en la tribuna, oirán los de aquella…</t>
  </si>
  <si>
    <t>JRoig</t>
  </si>
  <si>
    <t>…y 11 que no. La La comisión de Diputsciones provinciales presentó su dicta comisión concluyó pues que cuando la opimon está de este modo men acerca de la proposición hecha por el Sr. JRoig sobre que se dividida es claro que no está conocida la utilidad' del estableci ponga en Mahon un gefe político subalterno. Ademas de esta miento , y propuso que no se estableciese. La segunda razón es proposición habia examinado la comisión la solicitud del a…</t>
  </si>
  <si>
    <t>JRuiz</t>
  </si>
  <si>
    <t>…ción de este articulo con los jr y 88 citados por el Sr. JR.uiz be tratar de no aumentar mas los gastos en aquella isla con el es de la Vega confirma mas y mas esta idea. El mismo Sr. JRuiz tablecimiento de este gefe político subalterno y una secretaria, de la Vega ha manifestado ya que vale mas dejar sin saberse mucho menos cuando esto es nuevo en aquella dicha isla , pues cierto delito , que no establecer un sistema de suspicacia muy age- que…</t>
  </si>
  <si>
    <t>Jsnin</t>
  </si>
  <si>
    <t>…el anatema que los condenó hasta el fin de ios camino de Tolosa, á la séptima división bajo las órdenes del ge siglos á vivir errantes y vagabundos por entre todas las nacio neral vizconde Jsnin , que se componía del 3.0 ligero, 6.°, 9.0 nes , sin patria, Rey ni ley. y 14.0 de iínea. Este ataque comenzó á las cinco y media de la Siendo el fin político de los Masones ó Judíos'él restableci mañana, y á las siete y media de la misma nos habíamos ya mien…</t>
  </si>
  <si>
    <t>Jtun</t>
  </si>
  <si>
    <t>«no consiste en conducir á ¡03 Lomares por medio de las itic's; y con la solicitud de D. Jtun. Mtc-e.rnhor , contratista para el suministra ’de siderándolas como seres inteligentes , los hace intervenir siempre qu- pan y pienso a las tropas y caballos Ai los distritos militare» t.° y 6.', puede en la administración pública, empleando sus facultades mo…</t>
  </si>
  <si>
    <t>Ju</t>
  </si>
  <si>
    <t>…obierno , cualquiera que sea el ramo á que unas España. Sin embargo , ro ha podido ev.tav que al repnv-ert irse )' otras pertenezcan. Aprobado. en el teatro de Burdeos ¡i ópera de D. Ju , y al ver a los es Art. 154. Para este electo hatin imprimir todas la» disposi pañoles con las castañuela» Ckc. , haya manifestado el público el 9*</t>
  </si>
  <si>
    <t>…iguel.” Exento. Sr.: El Rey se ha servido separar de su destino a! __El ayuntamiento constitucional de Lisboa envió una diputa director general del papel sellado y penas de cámara D. Ju:.to ción al Rey, p.diéndoíe que volviese á la capital; y este no con Josef Banquea, en atención á que contra lo prevenido en circu testó otra cosa que referirse á su proclama. También había recibido lar de 1 3 de Abril último no se ha presentado en esta ciuda…</t>
  </si>
  <si>
    <t>…troceder su retirada , y dan cente Mat sinz. r: Manuel Vetasen. =: Manteo '^isnero-.er 'fado margen á los demas pueblos de Castilla para imitar, como tiis Viilanu vi y V¡i;rgas. = D. Ju»-f Mana Rojas y K«balo hicieron, su ejemplo. go. ssFuUcncio Matanza V:liegas. = Antonio Icsgeto. == Fran » El ayuntamiento da gracias a! Todopoderoso por las mise cisco Ace ves y Santos, secretario.” ricordias que se ha dignado derramar sobre nuestra amada pa…</t>
  </si>
  <si>
    <t>…que resulte del ajuste que se les haga bajo de la* reglas in dicadas Madrid ad de Agosto de i8jg.=:Juan de Erro. En atsflcion i les distinguidos méritos y servicios del té» niente general D. Ju n Caro , y á su notoria y acrisolada adhe La dirección general de rentas ha consultado á la Regencia sión i la causa del Rey nuestro Señor, se ha servido la Regen del Reino si los cesantes y jubilados que lo eran antes del 7 de cia del Reino conferirle la cap…</t>
  </si>
  <si>
    <t>Juan</t>
  </si>
  <si>
    <t>…dictamen por partes , quedando aprobado hasta las pa labras suplente ijue corresponda ; pero no lo restante, quedando aprotema, pues que la mayor injuria que se pedia hacer al Si. D. Juan vr, nuestro buen Rey constitucional, era el decir que los ministros le ha bado en seguida el voto particular del Sr. Romero. bían obligado a conducirse asi, demostrando por este medio que no te La comisión de Guerra presentó sus dict&gt;mcnes acerca de las soli…</t>
  </si>
  <si>
    <t>…rido pueblo de Piedra por no pede* mismo cuerpo, que ocupaba la ermita llamada Trovada. subiesen á la continuar hasta aqui. sierra nombrada de Corp con el ayudante de estado mayor D. Juan ” Arriesgada y terrible ha sido la jomada de hoy; pero también Montaña para observar el movimiento de los facciosos; estos sin duda indispensable oor la falta que en todas partes rae hacían ya las mu lo conocieron, y suspendiendo el fuego por squella parte ,…</t>
  </si>
  <si>
    <t>…gos del reposo público, pe norario , juez de primera instancia en esta M. H villa y escribanía al reque carecen de guarnición, oponga n con sus milicias locales una resis cargo de D. Juan de la Pefta , se hallan pendiente» los autos de con tencia digna de la sublime causa que sostienen. S. M. , que conoce y curso hecho por D. Manuel Antonio Prieto Portocarrero, al cual en aprecia el interes de la pstria en tan recomendable servicio, y no tre o…</t>
  </si>
  <si>
    <t>…n María de ia Torre y Muñoz : para la del de Cíepara vestirlos, con el laudable fin cte dar un público testimonio de los za á D. Fernando María Segovia: para ía del de Cogolíudo á D. Juan benéficos y generosos sentimientos que abrignn en su corazón loe vence de MataGarralon; y para.la del de Sigüenza á D. Vicente de Paul dores del y de Julio y todos los buenos españoles. Madrid a a de Enero Camin. de 182?. Asimismo, en vista de las propuestas…</t>
  </si>
  <si>
    <t>…,2^ GACETA DE MADRID. DOMINGO 26 DE ENERO DE 1823. NOTICIAS EXTRANGERAS. res d* este rico y dilatado continente; y deseando yo que se conser ven 'as armas que dió á este reino el Sr. D. Juan vr, mi augusto pa tSOCATKRItA. dre, por su pragmática d.- 13 de Mayo de i8i6, y ai mismo tiempo Ldndres 4 de Enero. recordar el primer nombre que se te puso en su fciiz descubrimiento, E! Nezv-Tímes disea tan ardientemente que se reconozca el dere honrando i…</t>
  </si>
  <si>
    <t>…enza , en que me comunica la noticia que ha tenido de que el » No puedo menos de recomendar á V. E. con la mayor :£:’.cia secretario del gobierno político de la provincia de Soria D. Juan de al ayudante segundo de estado mayor D. Pedro Alonso , que desde la Cuadra con 18 caballos que llevaba a sus órdenes ha sorprendido el principio del bloqueo está trabajando constantemente, y al capitán 13 facciosos en el pueblo de Relio, principio de la fac…</t>
  </si>
  <si>
    <t>…uan Manuel de Aréjula , D. Josef Demetrio Rodríguez, el preciso término de ocho dias, contados desde la publicación de este D. Higinio Antonio Lorenie , el conde de Floridablanca, D. Juan anur.c’o, sus proposiciones en la misma factoría, en donde por cl gcfe Antonio Marco, Di'Saturnino' Lozano , D. Tomas Torresar.o , D. Mu de ella se les ciará noticia del dia en que haya de celebratse el remate nuel Carnicero y D. Lorenzo Latnbea. de ia empres…</t>
  </si>
  <si>
    <t>…en vista del informe del Gobierno sobre la "V. M. , bien penetrado de la injusticia y monstruosidad de tales pre solicitud de D. Miguel figueroa, para que se rehabilite á su hijo D. Juan tcnsión s, ha contestado dignamente las notas de las potencias continen en el empico de sargento mayor , que le fue conferido en z\.mérioa , y aten tales de la santa alianza, haciéndoles ver en esto con íirme resolución que diendo al expresado informe cid Gob…</t>
  </si>
  <si>
    <t>…declararon dicho impreso subversivo en primer grada clero................................................. ' 75,970-27 D. Sebastian Andrés, D. Saturnino Lozano, D. Isidoro Hoyos, D. Juan; Contribución corriente del clero...... 534&gt;93^"25 Antonio López, D. Joaquin Ruiz , O. Josef Rives, D. Manuel Esteban Catalá , D. Manuel Merino y D. Lorenzo Lanrbea. Lo declararon subver Total..................... 20.201,808. .20 sivo en tercer grado D. Nicol…</t>
  </si>
  <si>
    <t>…a directiva proponía en terna para com sionado es formaba con dicha sentencia, opinando que se llevase á efecto, dando pecial da la extinción de la deuda y enajenación de bienes á D. Juan order. para que se expida el libramiento, y se devuelva al interesado Pardo, D. Román Corona y D. Joseí Srnan y Veiazquez; y quedó eledicha cantidad. £’do D. Juan Fardo por 54 votos de 71 de total, teniendo &lt;6 D.Ro K1 Sr. Arguelles dijo que este dictamen debí…</t>
  </si>
  <si>
    <t>…dió el 6 del corriente un vale de zoo pesos de la creación de Entro de :8zz, F.t Rey lia expedido el decreto siguiente : enc ib-zado al marque* de Camama, y cedido por dicho Sr. i D. Juan &gt;. D or. Fernando va por la gracia de Dios y por la Constitución de Antonio de Santibafiez , con cuya firma en blanco se perdió , y se su 1* Monarquía español*, Rey de -as hSpjxa», a todos ios que las pm- plica al que le haya encontrado se sirva entregarle al…</t>
  </si>
  <si>
    <t>…lugar i la formación de causa i los autores de los impresos acu Se halla vacante la plaza de cirujano de la villa de Valencia de sados por abusos de libertad se lee lo siguiente. D. Juan , provincia de Leen , y su provisión ha de ser indispensable Los infrascritos jueces de hecho, habiendo examinado la denuncia mente en el día 15 de Mayo próximo: su dotación rs., pagados de hecha por D. Josef Ramón de Sala y D. josef iuñer, tenientes del re p…</t>
  </si>
  <si>
    <t>…ballería di 'a misma D F mando López. Resulta que este El Sr. Munarnz ; A! pedir la palabra en contra del dictamen no ¡e adelantó con la caballería i la cortijada llamada Casas de D. Juan es mi ánimo desconocer que la benemérita ciudad de Barcelona exige Pedro , á Sn de adqu rir noticia» di tos facciosos que se decía haber una plaza pública , pues las que hay en ella no pueden llamarse tales. por aquella parte. Habiendo observado la avanzada q…</t>
  </si>
  <si>
    <t>…lo ocasiones de apagar la guerra civil entre portugueses hijos de un padre, atribuye á la violencia que sobre él egercen los ge fes del partido que lo nuestro augusto Soberano el Sr. D. Juan vi. No he omitido diligencie dominas de modo que parece no tener mas que un iuleres único y ex alguna para conseguirlo; pero por esa parte parece no ha habido el mis clusivo, á saber , el de conservar sus empleos. mo deseo, ó que a lo menos no se han tornado…</t>
  </si>
  <si>
    <t>…á la persona que le baya bailado se sirva en de aquí las contradicciones de los que se examinan, la, incoherencia da tregarle.i. 1&gt;. Juan Bautista Gil Calderón, hijo del nominado D. Juan sus dichos, la. oscuridad .y los efugio; que ae inventan para «ludir las -Bautista', que vive calle de Atocha, tienda vidriería, inmediata al preguntas del juez, vagas por ló común y sin objeto , como que catees jcoovcsui de trinitarios calzados , quien agrad…</t>
  </si>
  <si>
    <t>…ería de Mallorca, Ja peni de perdimiento ds todo el género, aplicándose ia mitad al su- y hace mención honorífica en abo grado del gefe político de Guadalageto que lo delate. jara D. Juan de la Cuadra , que infatigable en todas direcciones sobre 7.1 Ningún vendedor da carnes de carnero , macho cabrío ni vacu el fuego, condujo la tropa con el mayor tino y pericia al exterminio no podrá vender la mas mínima porcton de ella mas que para los en de…</t>
  </si>
  <si>
    <t>…salojados por una guerrilla de voluntarios nacionales, consternan í los pueblos; estos los que exallan las pasiones destructoras, que con riesgo de la vida, en particular su bravo sargento D. Juan y los que ven á sangre fría llenas las cárceles y ensangrentados los ca Montero, los perseguía mas de cerca. dalsos, y el luto, y el llanto, y la desolación en la triste Galicia, don •&gt; No puedo explicar á V. ¡i. el noble entusiasmo con que las dos de antes r…</t>
  </si>
  <si>
    <t>…cuanto D. Antonio Crespo Rascón, vecino de la ciudad de Sala puedo manifestar á V. E. ocurrido de notable en este distrito de manca, remitió por el correo del 29 de Enero último 4D. Juan mi mando. Zaragoza 2 de Abril de 1823.” Antonio Sánchez, vecino de Madrid, dos certificaciones despa Noveno distrito militar. «El general Villacarapa desde chadas por la contaduría de consolidación en cabeza de o cho Granada con fecha del 12 dice lo que sigue…</t>
  </si>
  <si>
    <t>…mer . . S. M. ha nombrado gobernador de la plaza de Cádiz y co batallón de la milicia nacional voluntaria dió mas realce á la mandante militar de su provincia al mariscal de campo D. Juan solemnidad. Interpolados Zamora y milicia, fueron á repetir los Mcscoso, y gobernador interino de esta plaza de Sevilla ai bri vivas y ias muestras de su entusiasmo debajo de la lápida cons gadier D. Josef López. titucional. La mas completa alegría y bullicio…</t>
  </si>
  <si>
    <t>…spués la absuelto el impreso titulado Observaciones sobre ia probable di plaza en el que gradúe benemérito, previos los informes necesa solución' del Estado-, y la ley absolvió al Sr. D. Juan .Romero rios de idoneidad y demas circunstancias que,le constituyan en Alpuente , magistrado de la audiencia territorial de Castilla la estado de obtenerla. Nueva, responsable de dicho impreso: en cuya consecuencia los A D. Buenaventura Piñeiro se le han extr…</t>
  </si>
  <si>
    <t>…las seis de la tarde dirige el secretario de Relaciones exterio V. E. de la entróla en Búrgos de los facciosos y aproximación res D. Josef Manuel Herrera al del consejo de Estado D. Juan de las tropas francesas, y en ta! situación m: replegó á SomoGómez Navarrete, poniendo en su noticia que el capitán gene sierra con la tropa que me acompaña, según las instrucciones ral de la provincia de Veracruz le acompañaba con oficia del del Excmo. Sr. g…</t>
  </si>
  <si>
    <t>…s probable disolución del Estado, denunciado en 17 de Marzo de de ios pueblos, reservándose estos expresamente los pastos, el este año por el fiscal de imprenta, la ley absuelve á D. Juan dueño que quiera adquirir el dominio por entero deberá admitir Romero Alpuente, responsable de dicho impreso; y" en su con sobre la finca un canon redimible, que no excederá del 3 por 100, secuencia mandarnos que sea puesto inmediatamente en libertad, graduán…</t>
  </si>
  <si>
    <t>…s contratos en el código civil , que la cuota que á las adquisiciones de los derechos señoriales, puesto que el señor con ei nombre de ¡au.tnnio, ¡uismo ú otro equivalente se deba D. Juan n priva por esta ley el traspaso de estos derechos por pagar al señor del dominio directo siempre que se enagene la finca Considerarlo contrario á las leyes del reino: aqui invoco yo la enfeudada, no ha de exceder de Ja cincuentena osea dei 2 por too consider…</t>
  </si>
  <si>
    <t>…r sin encon Francisco Heredia. Teniente D. Marcos Gutiérrez. Subtenien trarse con las tropas nacionales que puede haber por aquellos te D. Josef Mensndez Valdés. Vicario castrense D. Juan puntos.=í;r. gefe político de la Coruña. Miet CastaSon. Canónigos: D. Juan Camino, D. Manuel Bin- Dios guarde á V. S. muchos años. León 24 de Abril de ioi. Vicario de $. Pelayo D. Manuel Coelio. Ex-monge Don 1823.—Antonio Ayarza. Tomas Mariño. Presbíteros : D…</t>
  </si>
  <si>
    <t>…las _ Excmo. Sr. comandante general D. Josef délos Reyes---- Se competentes diligencias para averiguar este delito: y estad seguros ñor gobernador D. Antonio Warleta-----De orden D. Juan de que se hará severa justicia á los culpados. Confiad pues en su Manuel Chacón___Causas D. Juan de Rojas-----Teatro y demas zelo: escuchad su voz paternal, y conservad en estas circunstan— funciones públicas D. Manuel Nuñez. __ Asistencia al consejo c as la…</t>
  </si>
  <si>
    <t>…te del tra Los señores que la declararon sediciosa en tercer grado fue tado de amistad y alianza firmado en 5 de Julio, y tendrá la ron : D. Manuel Camuñas, D. Manuel Díaz Zapata, D. Juan misma fuerza y valor que si se hallase inserto en él palabra por Sucramper, D. Vicente González, D- Josef Guerrero, D. Jopalabra, y sera ratificado; y las ratificaciones se cangearán en e! ccí Lopéz de Castro, D. Antonio Josef Terrero, D. Alonso término de 40…</t>
  </si>
  <si>
    <t>…es cion de una causa seguida contra un cabo de dicha arma y con presos de la causa dcí 7 de J ulio. sortes , opinaba que correspondía al cuerpo de artillería. Apro Los brigadieres D. Juan de la Porte Despierne, D. Carlos bado. conde de Aíoy, D. Gaspar Rocabruna, D. Manuel del Mazo. La comisión segunda de Hacienda , en vista de la exposición Los coroneles D. Francisco Marimon, D. Fernando Salamanca, de la viuda de un soldado del resguardo milit…</t>
  </si>
  <si>
    <t>…comisión de Instrucción publica, después de haber exami llas tropas, segundo manifiestan ios periódicos de Lausana. Tam nado con particular atención les proyectos científicos que D. Juan bién se nota, dice el expresado periódico, algún movimiento en Líacayo, taquígrafo de las Cortes, presento en ia legislatura or las tropas rusas , cuyo objeto pudiera ser el mismo que se supo dinaria anterior, opinaba que dichos proyectos eran dignos de ser n…</t>
  </si>
  <si>
    <t>…as Cortes Conformándose las Cortes con los d etémenes de la comisen de 4 de Agosto tie 1820 , no le queda otro derecho á esta casa de Legislación concedieron carta de naturaleza á D. Juan zVde— que á las resultas de la liquidación que debe hacerse de la tran cora , y de cudidano español á D. Josef María Castellani. sición celebrada en i.° de Abril de 11&gt; ió entre ella y el Go Igualmente concedieron las Cortes dispensa de edad para ad bierno de…</t>
  </si>
  <si>
    <t>…mpañías de infantería ser.-n tropas i.acras , v el El 13 del corriente, día del cumpleaños de S. Al. el Se vestuario será ¡cual á las ligeras de infantería, cir.paanuose el pa ñor D. Juan vi, se ha solemnizado en Lisboa con la mayor mag ño pardo en defecto del verde , peí o con. todas tus dlvsas. nificencia y alegría. Por la mañana hubo eran parada, á la cual 6.° Las de caballería serán cazadores y lancero», cuyo vesS. Al. asistió con el unifo…</t>
  </si>
  <si>
    <t>…que al La misma comisión presentaba su informe sobre la consulta gún día podrán tener de la compasión de sus contrarios, de la de! Gobierno acerca del sueldo que deberá abonarse a D. Juan cual se hacen indignos por sus crueldades.” También esta expre Alvarez Guerra , secretarlo que fue del Despacho de la Gober sión es la misma que en iguales casos usan los bandidos, á quienes nación de la Península, desde el día 11 de Mayo de 1814 en todavía n…</t>
  </si>
  <si>
    <t>…paz. ¡Quién, Comandante general y consejo D. Ji.*n Manuel Chacón----Go pues, de pronto le inspira tanta moderación, y libra al Austria bernador y orden D. Almud Nudez. — De causas D. Juan de de un conquistador altamente ofendido é irritado! ¡quién! La Rojas. _Teatro y toros D. Antonio \\ ai lúa y D. Josef ¡os Nación española que le llama toda su atención y ocupa sus me Reyes.__Mañana es dia de corte, á cuyo efecto se hallaran en palacio á las…</t>
  </si>
  <si>
    <t>…sa de la Nación , ha cabido en suerte del primer extracto de la do las Cortes merece el aprecio y admiración de los hombres de este día á Doña María de los Dolores Lator , hija de D. Juan, bien de todos los paises, asi como nuestros enemigos solo capitán del regimiento infantería de Osuna, muerto en el campo han sabido provocar la execración general. Nuestros errores, del honor. si los hubiésemos cometido, no son de aquellos que pueden desfigu…</t>
  </si>
  <si>
    <t>…y. de la firme resolución en que se halla ciones de júbilo y alegría, y se repitieion los vivas mas expresi el Congreso de sostener hasta el último extremo la Constitución vos al Sr. D. Juan vi Rey constitucional de Portugal, á la Cons que juró. Tercera'; que se declare la sesión permanente mientras titución y á las Cortes.) dure la terrible crisis que amenaza nuestra existencia política. Continuó el ministro su exposición , manifestando los cuer…</t>
  </si>
  <si>
    <t>…ales » Ai presente se halla aqui el segundo batallón de Granada, banqueros de Viena las negociaciones (rotas ya dos veces) rela que pasa á Santo ña con el gobernador de esta plaza D. Juan tivas á un empréstito de 30 millones de florines. Se hacen su Patarea; también hay algunos reclutas con unas pequeñas parti puestos mas ó menos regulares sobre el motivo de ello. das que pertenecen al cuarto ejército, cuyo general en gefe está en Valencia de…</t>
  </si>
  <si>
    <t>…, ex S. f emando. El duque de Angulema debía asistir , y se preparó poniéndonos á las calamidades con que los malhechores sueltos una buena función , sin olvidar el himno nuevo de D. Juan flau acostumb: sus perversas intenciones. Estos acontecimien tista Arriaza. tos , de los cuales solo puede convencernos la evidencia, prueban i&gt;e mi ¡olttin del cuartel general de Burgos 14 de Mayo— que sois digr.os de mejor suerte , y que nadie puede sin inj…</t>
  </si>
  <si>
    <t>…cu que decía que ks tlecc ones cuanto á la primera parte. Aprobado. de diputados á Cortes para los años de 1822 y :gse habían hecho La misma comisión, en vista de la exposición de D. Juan sin sujetarse á la división de punidos opinaba que no haba méri Francisco Martínez , cura párroco de Jerez de la frontera, opi to pava exigir la responsabilidad a ninguna corporaeon. Aprobado. naba que debía estarse á lo prevenido en las leyes dadas por las L…</t>
  </si>
  <si>
    <t>…de Rivas. esta plaza de Madrid y su rastro, su fecha 19del corriente, re Esta primera maniobia se debió principalmente al fuego ac frendada del escribano de provincia y comisiones D. Juan de la tivo que hicieron los franceses y á su heróica decisión; y es Peña Martínez, se cita , llama y emplaza á todas las personas lo que dió lugar al coronal Vidal para ir i sorprender al ene que se crean con derecho á los bienes quedados por el fallecimien m…</t>
  </si>
  <si>
    <t>…como las ocho, se jora acuda ante el Sr. alcalde de Casa y Corte D- Joaquín Alpresento una columna de infantería de 200 hombres, que ha mazan y escribano de provincia del cargo de D. Juan de la biendo salido de Ronda, llevaba el objeto de vengar la afrenta Peña Martínez, en la inteligencia de que se halla señalado para que había recibido la gavilla constitucional en el dia anterior. el nuevo remate de todas ellas el dia 15 del próximo Julio á…</t>
  </si>
  <si>
    <t>…. pueblos vecinos la requisición de granos y dinero que tenia dis • Los tratados que ex;st:n entre el Portugal y la Inglaterra han puesta la guarnición. sido concluidos con ei Rey D. Juan vi, y no con los revolu Se dice que Mina , dirigiéndose i Conca, había retrocedido cionarios. El Rey admitió i su servicio á lord Beresford y á hacia Oliana. Aseguran haberle visto en sus alrededores , y que los demas oficiales ingleses, y las cortes los desp…</t>
  </si>
  <si>
    <t>…xcmo. Sr.: Esta mañana á las ocho de ella he llegado á la vis pueblo, cuya operación , vista por dicha columna y el continuo ta de esta plaza , y á las 10 fue ei ayudante de campo D. Juan toque de somaten , logramos arrojarlos de nuestro territorio di. de Vellengero á proponer en nombre de V. E, i su gobernador rijiéndose hácia el de la villa del Romeral ¡ no cesan(j0 en'es la entrega de la plaza á las tropas del Rey , y habiendo este ta vigil…</t>
  </si>
  <si>
    <t>…deliberación de las Cór mente sobre amortización de capellanías. Aprobado. tes varias medidas acerca de este ministerio, reducidas: La misma comisión, en vista de la exposición de D. Juan 2 ,a Que el ^Gobierno presente inmediatamente á la aproba Nepomuceno Garcia y Dávila, haciendo presente que habiéndo ción de las Córtes la planta de Ja Contaduría mayor de cuentas y tele dispensado por las Córtes de las pruebas que se exigen para la de la com…</t>
  </si>
  <si>
    <t>…3) Tiempo han tenido de prepararlo desde principios del ma, publique y circulo. == Está rubricado de la real mano. = En año 20. el Real A Lazar de Sevilla á 2 de Jumo de fu q.;.—4 D. Juan (4) Buen modo tienen los atiriliares de tratar á sus aliados. Antonio Yandiolu. Y Jo tras hielo á V. de orden de S. M. pa Pero ni estos merecen mas ni aquellos pueden dar otra cosa. Una ra su inteligencia v efectos coiixiuu.entes. D.os cujrde á V. mu religión…</t>
  </si>
  <si>
    <t>…ales clases dt la servidumbre de SS. MM., y otras personas de ceta número 22 otio inerndio sucedido en Burd.-os pn'x mo í distinción. Ofició de pontifical el limo. Sr. co- Regente D. Juan la habitación de la berma. Sra. Duquesa de Angulema. J re, Cavia González, obispo de Osma; y predicó D. Josef Diaz Ji anos hi que se intentó otro semejante en el palacio mismo de ménez , predicador de S. M. S. M. Luis xviti , y la Francia apenas acaba de vers…</t>
  </si>
  <si>
    <t>…ta de la solicitud de D. Ramón sobre el derecho de patentes. Garcia , inscrito en la milicia nacional activa de esta ciudad, pa A la de Diputaciones provinciales una exposición de D. Juan ra que se le descontasen de ¡os seis años que debe seivir en día de Lascrna, en nombre del ayuntamiento de la ciudad de las cuatro que ha servido por medio de sustituto, opinaba debía acPalmas, en Canarias, haciendo varias observaciones, y acompa ccderse á es…</t>
  </si>
  <si>
    <t>…ia y remitido al Sr. secretario de Estado y del Despacho de la Guer amor. Dígnese V. A. aceptarlo con benignidad, Ínterin queda ra los partes que ba recibido del mariscal de campo D. Juan rogando ai Todopoderoso por la pronta libertad y regreso á su Courten , comandante militar de la Mancha, y de D. Manuel capital de nuestro adorado Rey y Señor D. Fernando vil (que Adamé, el Locho, comandante general de la división de su Dios guarde) para la t…</t>
  </si>
  <si>
    <t>…sildo González por la de Soria: D. Antonio Ferrer y D. An políticos, las diputaciones provinciales é intendentes délas provin tonio Roig por las Islas Baleares: D. Josef Sangenís, D. Juan cias ocupadas circulen con toda brevedad por ellas la presente ley. Josef Jaime y D. Manuel Lasala por la provincia de Aragón: Cádiz 18 de Junio de 1823.=: Por tanto mandamos á todos D. Josef Alcántara y D. Miguel Busutil por la de Málaga: Don los tribunales,…</t>
  </si>
  <si>
    <t>…no de todo género de armas, pueblos def tiánsito para esta capital. Por ellas se ve que el Go acudirán ahora , no lo dúdentes, á las mas prohibidas, mas bierno legítimo del Rey el Sr. D. Juan vi sigue tranquila viles y rateras, á la mentira y á la calumnia: calumniare setnmente curando las llagas que abrió en aquella nación el jacobi per aliquid haeret, es máxima de su maestro Maquiavclo. No nismo de los constitucionales, habiendo tomado por medid…</t>
  </si>
  <si>
    <t>…el mis sildo González por la de Soria: D. Antonio Ferrer y D. An ino periódico el discurso de Luis xvur en la apertura de las tonio Roig por las Islas Baleares: D- Josef Sangcnís, D. Juan últimas Cámaras, anunciando que ioo9 franceses mandados Josef Jaime y D. Manuel Lasala por la provincia de Araron: por un príncipe de su familia, venían á reconciliar Ja España D. Josef Alcántara y D. Miguel Busutil por la de Málaga: Ron con la Europa , hace…</t>
  </si>
  <si>
    <t>…posiciones se cumplan exactamente y sin la menor para su cumplimiento. Está rubricado. Madrid 19 da Agosto contemplación ó disimulo, para que cese este desorden y se ob de i8i3.=A D. Juan .Bautista de Erro. serve lo que previenen las'Reales ordenanzas, como lo requiere la utilidad del ejército.” Palacio 14 de Agosto de 1817. Madrid El gran número d* oficiales que desconociendo el sagrado 18 de Agosto de i8a3-z=Sanjuan. interes del Rhy y de la…</t>
  </si>
  <si>
    <t>…uralla de Barcelona, desde don Antonio Olaechea , teniente coronel graduado del de Chancha, de logró ver y seguir los movimientos. D. Josef Robles, v el capitán de dragones de lea D. Juan bau « Se habla de otros varios encuentros muy Serios ocurridos el tista Arana , como que fueron de los primeros a sembrar e: ter 19; pero aun no se han sabido los detalles. Todo lo relativo al ror y espanto en Qtiiros y sus cómplices La tropa y demas ofi Ejér…</t>
  </si>
  <si>
    <t>…ceta aei 7.) sildo González por la de Soria: D. Antonio Ferrer y D. An Resolución de las Córtes sobre un expediente promovido tonio Roig por las Islas Baleares: D. Josef Sangenís, D. Juan con motivo de un juicio de jurados en Córdoba. (Gaceta Josef Jaime y D. Alanucl Lasala por la provincia de Aragón: del 8 ) D. Josef Alcántara y D. Miguel Busutil por la de Málaga: Don Resolución de las Córtes declarando que no escucharán propo Emetcrio Martí…</t>
  </si>
  <si>
    <t>…azan , del delineada, y prueba cuasi hasta la evidencia el vilipendioso y horrible fin de los Masones liberales, «cuál de vosotros, i nó consejo de S, M., refrendada del escribano D. Juan de la Pena Martínez, se han mandado sacar á pública subasta varios efectos ser del mismo gremio , dejará de abominar esta pestífera asocia embargados para hacer pago á un acreedor, los que consistan en ción, que vomitó el mismo infierno , á manera de las 'aso…</t>
  </si>
  <si>
    <t>…as tener derecho. choso ¿ la humanidad; pero no puedo menos de hacer espíe al Bien paveemos que por grande que sea la bondad del Mo mención del capitán de milicias de Nueva España D. Juan josef narca le será imposible dejar satisfechas todas las pretensiones, Moiillo, que no soio se ofreció desde el princ:pio á acompañar pero su sabiduría dará la debida recompensa al mentó y á los nos como voluntario del batallón de ia Independenc a , siró que…</t>
  </si>
  <si>
    <t>…ue en la apertura de los estudios del Real Seminario de Vergar con la miel, y qué- se yo^st alguna-wezel■ mal no penetra en el; -n el dia i.° de Octubre, leyó su maestro principal D. Juan alma sin que ¿1-eivtendimiento 1 ¿iba luz alguna ruiev'aí ’Pondé— Henrique de.Urrutia , que se nos ha pasado del ministerio del In ransecon entusiasmo las virtudes,;&lt;tíVitfafe V;l4s ínstituciones-socia— terior , porque hallamos en él ideas muy luminosas, que…</t>
  </si>
  <si>
    <t>…ta su sobrino Don dice con fecha de ró del corriente lo que sigue; Habiendo dado Fernando, como lo habia sido la Archiduquesa Doña María cuenta á S. M. de una consulta del Capitán general D. Juan. Isabel de Parma en el reinado de los Señores D. Felipe v y Don María Villavicencio, sobre que una de las medidas que había to Fernando el vi, en el concepto de Nieta de Rey, y según algu mado luego que llegó al Departamento de Cádiz fue la de que nos ejempla…</t>
  </si>
  <si>
    <t>…ner. Por providencia del Sr. D. Antonio Alvarez de Contreras, ,,La Francia debe conocer á sus legisladores, y no puede con juez protector de los Reales Hospitales, y escribanía de D. Juan seguirlo en tiempo tan corto, que apenas es suficiente para que Villa y Olier, se cita á los que se crean con derecho á los bienes *e conozcan los legisladores unos á otros. de Joscf Villanueva, natural de! lugar de Riotorto, en el obis „Se ha hablado mucho,…</t>
  </si>
  <si>
    <t>Juan'M-ndez</t>
  </si>
  <si>
    <t>…samente el plan , y satisfac. las objeciones que se le propo A los capnanes dsl citado regimiento D. Joaquín Eixan y nen. Habla i los oficiales de su mayor confianza y conocida de D. Juan'M-ndez grado de teniente corone: ríe infantería. cisión por la causa dei Rey, y á todos los sargentas y cabos de Al teniente coronel graduado D. Manuel de la 5 erra, capi su batallón: el capitán D Antonio María de Castro y tí subte tán d-Jl propio cuerpo, gtado de c…</t>
  </si>
  <si>
    <t>Juan, Josef San</t>
  </si>
  <si>
    <t>Josef San Juan</t>
  </si>
  <si>
    <t>…var en España. Ttndreislo entendido, y lo c municareis á n En atención á los méritos y servicios del mariscal de cam quien corresponda para su cumplimiento , y al expresado Don po D. Josef San Juan ha tenido á bien la Regencia del reino Antonio de Vargas y Laguna por un extrordinario , en aten nombrarle para la Secretaría de Estado y del'Despacho de la ción á no encontrarse en el oía en la Prnínsuia.=Esiá lubrica Guerra , previniendo al mismo tiempo que…</t>
  </si>
  <si>
    <t>Juan, Tornas</t>
  </si>
  <si>
    <t>Tornas Juan</t>
  </si>
  <si>
    <t>…a'de Ja libertad. Desde alii se dirigió toda íntima ensre todos tos amantes de la libertad. la multitud gozosa á ia p:aza de Ja .Constitución , donde hubo Ocupó después la tr buna D. Tornas Juan -Serrano para nuevos discursos ye aclamaciones, concluyendo con un pasco manifestar que estando tan próxima la continuación de las sesio patriótico y canciones-análogas á.nuestra alegre situación Los nes de las Cortes, y hallándose privada ta Nación española…</t>
  </si>
  <si>
    <t>Juana</t>
  </si>
  <si>
    <t>…e , y que ademas ds su aprobación mereció tiZ en su testamento, bajo del que falleció. últimamente la del Emino. Sr. Cardenal de Borbon, arzobispo Los herederos fideicomisarios de Doña Juana deSoto y San de Toledo, previa censura de una nueva junta. A pesar de tojo tander , rectora que fue del Real colegio de niñas de Ntra. Se eso , penetrado el traductor de Ja delicadeza é importancia de /a ñora de Lorelo de esta corte, que falleció el día 9 de…</t>
  </si>
  <si>
    <t>…ciones de los exclaustrados. tenga por convenientes sobre este asumo. Creo pues que no debe La comisión segunda de Hacienda, en vista de la exposición admitirse la proposición. de Doña Juana y Doña Ramona Itúrbidc, y de los informes pe El Sr. Gil Orduña: Es cierto que el Gobierno al dar cuenta didos al Gobierno sobre el particular, era de op.nioa que las de la traición de un indigno español, manifestó también que en</t>
  </si>
  <si>
    <t>JuanAi</t>
  </si>
  <si>
    <t>…ncarguen ia vigilancia y cuidado cí a referico Reai mano. = En el Misil. aillcacar de Sevilla á de Mayo depósito. Sevilla 21 de Maj o de t á2 g.ccj uaqum Mur a btrrer, de ili-3.—A D. JuanAi4,njoniv Tundióla. presidente. == Manuei ¡dórente, diputado secretario. — Domingo Eulogio de la Torre, d.püt-do secretario.znPor tanto ¡Tundamos Don Fernando vn filloa li: gracia de I)ios y por la Constitu á todo» los tribunales, justicias, gefes , gobernadore…</t>
  </si>
  <si>
    <t>Juancheo</t>
  </si>
  <si>
    <t>…ccediendo á ¡a celebración de un mercado semanal. A pobj do. b.m ento que en Inglaterra se ha hecho al duque de b.m Lorenzo, m As La de Caminos y Canales opinaba que la memoria de D. Juancheo tro de Espiiia en París , al retirarse á Londres en el banquete dado al Correa Quiñones, sobre establecimiento de cam nos y posadas y segur.d.iJ de los caminantes, se tuviese presente cuando se tratase de este'punto. nt smo duque por el m.n.'stro C.i.ming; y…</t>
  </si>
  <si>
    <t>Juárez</t>
  </si>
  <si>
    <t>…ros del monasterio de Monserrat de esta corte. Apro las cabezas de partido. bado. El Sr. Gener manifestó que por lo mismo que están diseminadas las Se leyeron varias adiciones del Sr. Juárez,.relativas á la» facultades poblaciones en Ultramar , era preciso formar en ellas ayuntamientos, de las audiencias de Ultramar , y á que en Jos partidos donde haya doa tanto para evitar el perjuicio que se teguiria i los pobladores de tener ó mas juzgados de…</t>
  </si>
  <si>
    <t>Juchereau, Barón de</t>
  </si>
  <si>
    <t>Barón de Juchereau</t>
  </si>
  <si>
    <t>…rrAprobado por nosotros el legión de Honor, caballero del Mérito militar Wurtemberg, ca Mariscal de campo D. Josef María Torrijos, Comandante ge ballerizo del Rey de Francia; y el Sr. Barón de Juchereau de neral del octavo distrito y el Brigadier Gobernador de la plaza de $. Denis, Coronel, gefe de Estado mayor de la sexta división, Cartagena D. Vicente Sancho. En Cartagena el dia 3 de Noviem Comendador de la legión de Honor, caballero de S. Luis y del bre d…</t>
  </si>
  <si>
    <t>JUEVES</t>
  </si>
  <si>
    <t>Núm. 83. f 7 cuantos. ] 387 G A C E T A D E M ADR!D. JUEVES 20 DE MARZO DE 1823 Oc^-O-Ci NOTICIAS EXTRANGERASi ción que se mí acaba de dirigir no puedo reconocer el lenruage de la conveniencia ni el déla justicia. rr./.vcr^. A la derecha: sí, sí: al ord:n, al orden. París 7 de Marzo. A la izquierda: no, no tiene razan…</t>
  </si>
  <si>
    <t>Ntfm- i *• ^6 cuartos.) „. r. . 3$. G ACETAD E M AD R I D. JUEVES *2 DE JUNIO DE 1828. ARTICULO DE OFICIO. “ ■ voluntarios, para qué pueda dar las correspondientes i efecto de -que *«' verifique con la prontitud yforrtulidad que se requiere. La Regencia del reino duranía.la cautiv'idaddel Rp.y ■ Árr. 8.° Este servicio de lo…</t>
  </si>
  <si>
    <t>Jueves, Madrid</t>
  </si>
  <si>
    <t>Madrid Jueves</t>
  </si>
  <si>
    <t>…n la competente legalización del mi A la» cinco de la tarde del a8 del mes último salió del pueblo de nisterio de Estado. Elizondo para el de Valcarlos una columnei ai ii.«ndo del comandante Madrid Jueves 9 de Ere-:-. de operaciones D. Fermín Legma, compuesta de unos ido hombres, á saber, 8o del batallón ligero cazadores de Pamplona, 4.1 compañía, •» El Rey se resiente nuevamente de un ligero ataque de gota en el que según tenemos insinuado en uno de nuestros…</t>
  </si>
  <si>
    <t>Juez</t>
  </si>
  <si>
    <t>…nto no se acogieren á deducirle, y exponerle en debida forma en el expediente que se ha formadoesta benéfica disposición del Congreso: que en atención 4 que el Sr. gefe ante dicho Sr. Juez de primera instancia á petición de la parte del Doapolítico de Calatayud había por sí señalado el plazo de 24 horas para es Juan Josef Mauleon y Vela , para que se deciare, pasados dos años , que perar el último resultado , abundando yo en los mismos principi…</t>
  </si>
  <si>
    <t>…que deben ser juzgados por fiquen solemnemente en sus respectivas declaraciones, se les cita, un tribunal militar. La efervescencia de la clase baja h.» subido de mandato de dicho Sr. Juez , para que en el término preciso al mas alto grado, y persigue a todos los hombres comprome de quince dias contados desde la publicación de este aviso acu tidos, y los asesina cuando los halla (7). dan á su juzgado á ratificarse en sus respectivas declaracion…</t>
  </si>
  <si>
    <t>…e, asi contados desde esta fecha, comparezcan por sí ó por medio efe como subsiste cualquiera otro cuerpo que se renueva sin cesar procurador á deducir su acción ante el expresado Sr. Juez y no por la salida y entrada de nuevos individuos. tada escribanía; con prevención que pasado dicho término sin „Acordémonos del origen que tuvo entre nosotros la reno haberlo hecho, se les dará á las autos el curso correspondiente, y vación parcial, y veremo…</t>
  </si>
  <si>
    <t>…n que si se hubieran consumado, vo los acreedores en 642,673 rs. Quien quisiere hacer postura acud» laran á descubrir la obra de tamaña iniquidad. Mas tarde ó tem ante el referido Sr. Juez: y dicha escribanía, que se admitirá prano el triunfo de los malos será seguro. Ellos marchan uni siendo arreglada. formes; sus agentes no dan la cara , y son astutos y tercos. En Quien quisiere tornar en arrendamiento por seis años tres fá tre tanto los buen…</t>
  </si>
  <si>
    <t>Julia, Leonardo</t>
  </si>
  <si>
    <t>Leonardo Julia</t>
  </si>
  <si>
    <t>…r.cia^iaia ase derechos de catedrático de la universidad de Salamanca. Igualmente se gurar la paz á costa de los ultras, asi como hace pocos días se quería pasó otro promovido por D. Leonardo Julia para que se le habiliten en locamente asegurarla í costa de los liberales de las tres naciones. la universidad de Zaragoza los cursos de Constitución y Economía polí Dejando ahora que la diplomacia siga surumbo, lo que importa tica que ha seguido privadamente…</t>
  </si>
  <si>
    <t>Julia, Lorenzo Gatrido y</t>
  </si>
  <si>
    <t>Lorenzo Gatrido y Julia</t>
  </si>
  <si>
    <t>…del teniente de Farnesio enseñanza, hijo la dirección y cargo del director de academia teófeoD. Manuel Calzada, y otra del resguardo militar preséntanos en el práctica de comercio D. Lorenzo Gatrido y Julia, quien instruirá de momento d: romper mi marcha, secundaban mi movimiento- Ha resul todos los potmenoces. tado de esta operación el que á pesar de la resistencia y bastante orden ANUNCIOS. que por algún tiempo han guardado los facciosos , ha sido batida dicha…</t>
  </si>
  <si>
    <t>Julián</t>
  </si>
  <si>
    <t>…— ffiiariv cjcÍcijuS , v a confuir»**-** uii runín f c-tárcríi^s ¡iiuunos c:ou. Li cap ten D. Lcoii . vrueUo , corr.inei mt- C. c .eauir i vr .os de este cscv'to , dntno del mismo conde D. Julián, ó de que ha salido de cta cap (si en pus, cuc.cn del i'.;», c .V,es, ctuiqu era otro t.ador famoso. » Cien mil soldados (dice), man me dice desde Piedrah.ta con ficha de ■: i d-, 1 ar.t-.ior io qu. si de,! : por ci li jo de su corazón (de Luis xvtit), S. A.…</t>
  </si>
  <si>
    <t>…anos y español, núm. 10, en su capítulo de Sociedad patriótica tanlos suspiros de los amigos. Cuando en vuestros rostros miro re daburiana , en cuya consecuencia ha sido condenado D. Julián tratada la imagen del mudo dolor; cuando noto que aun están Fernandez, responsable de dicho impreso, en la pena de dos frescas las heridas que os causaron vuestros enemigos en el año años de prisión, la pérdida da los empleos y honores si los tu de 1808, y cu…</t>
  </si>
  <si>
    <t>…sido- reconocido el primer cuaderno de las obras escogidas del obispo de Bolo por s» turco. El oficial de esta guardia, queriendo disculparse', nia; y Mr. Ouiraud su tragedia del conde D. Julián. como si semejante atentado tuviera disculpa , aseguré que cuan do gritó á los del barco que se acercasen, no quisieron obedecer; GRECIA. y que entonces fue cuando los atacó. Seto 16 de Marzo. Hace algunos dias que gozamos de tranquilidad. {Especia* El pachi…</t>
  </si>
  <si>
    <t>…mbres, que le habían quedado únicamente de su nuel Sebastian con 40 hombres de su guerrilla impedia por el tan decantada expedición. flanco izquierdo los progresos del enemigo, el capitán D. Julián El 21 de Enero Alvarado con sus 43 hombres se hallaba Encarta con 80 hombres de la segunda contenía la mayor parte detenido en Moquegua, donde tuvo su primer encuentro con el de su fuerza , que intentaba forzar el derecho , y el teniente co general del ejército…</t>
  </si>
  <si>
    <t>Julio, Dionisio de</t>
  </si>
  <si>
    <t>Dionisio de Julio</t>
  </si>
  <si>
    <t>…po dei general la Rochejaqu'elcin, á lladares , de igual destino. . , j;o .otro general;residente eu Taris , fecha delanj^ideiia Coiuña-el \j Don Domingo Basso, D. Isidro Astorga, D. Dionisio de Julio último, por llevar consigo, comgidicftdjcho periódico, Carro, D. Josct Erroz, D. Jorge Crespo, ÍD. Anroniq OrdqT el carácter de la verdad y. de 1.a banquera militar; y por ser tan ñez, D. Francisco Osarrio y D. Agustin Escudero, procedentes larga .arntjinos n…</t>
  </si>
  <si>
    <t>Junquera, Quintín</t>
  </si>
  <si>
    <t>Quintín Junquera</t>
  </si>
  <si>
    <t>…pesos y medidas, co con 34 dias de navegación, Ja goleta española nomb ada San ocho de ellas por hab-r vendido pan sm el peso correspondiente. Juan Bautista , su capttan y ma-stre D. Quintín Junquera , el Doce por recibir obreros sin píibza visada. cual declara que a su salida Pu rto Rico, Puerto Cafe-lío y MaDoce ; or turbar el orden y por injuria». Tacaibo estaban tranquilos, y sostenidos por ia* tropas del gene Once por contravenciones relativa» á cloa…</t>
  </si>
  <si>
    <t>Jurado, Antonio</t>
  </si>
  <si>
    <t>Antonio Jurado</t>
  </si>
  <si>
    <t>…tan interesantes. Con este objeto me dirijo A V. S. manifes mitad de granaderos de la guardia, mandada por el esforzado tándole que meprometo que los vecinos de está ciudad , cuya teniente D. Antonio Jurado, que cargó con la mas indecible va adhesión á la causa que defendemos es tan notoria , se prestarán lentía , y acabó de deshacer enteramente este cuerpo enemigo, gustosos á asistir á las obras, si el ilustre ayuntamiento los que fue completamente derrotado, d…</t>
  </si>
  <si>
    <t>Justicia, Juan Diego Martí</t>
  </si>
  <si>
    <t>Juan Diego Martí Justicia</t>
  </si>
  <si>
    <t>….) de Junio último, para que al término de odio dias comparezca en la Riso ucion de S. M. sobre una exposición del tribuna; supremo d« escribanía de Cámara del crimen del cargo de D. Juan Diego Martí Justicia y de la contaduría mayor de cuentas, pidiendo el papel de ofi nez en la misma audiencia , á efecto de hacerle saber el auto proveído cio que necesitan. (Gaceta del 14") por dicho tribunal en vista de la causa formada por el juez de primera Circular del minist…</t>
  </si>
  <si>
    <t>Justicia, Secretario de Gracia y</t>
  </si>
  <si>
    <t>Secretario de Gracia y Justicia</t>
  </si>
  <si>
    <t>…ciese alguna advertencia para que todo el mundo sepa jo el segundo, no tendré inconveniente en darle mi voto. que aquí no se trata de los intereses , y sí solo de Jas personas. El Sr. Secretario de Gracia y Justicia: Creo no haber dicho El S r. secretario de Gra-cia y Justicia: Cres&gt; que los ¿res. ds que para salvar el estado en estas circunstancias era menester un la comisión no tendrán reparo en que se hayan las modificaciones poder absoluto: tampoco creo haber dicho q…</t>
  </si>
  <si>
    <t>…ticas. Cada uno de los jueces por turno formará el sumario, y liará he cont'ini'i ia discusión interrumpida. de po nenie en todos losactos en que deba darse cuenta al tribunal. E¡ Sr. Secretario de Gracia y Justicia; Si no me equivoco, me Art. 8.° parece que ha dicho el Sr. preopinante que no s.endo noird'iaJ»*» En todo lo demas la sustanciacion, excepto en las causas de estos tribunales á propuesta del consejo de Estado , dejar, de ser va.’o, , bol,tázanos y mal entrete…</t>
  </si>
  <si>
    <t>…de un modo tan general á todos Jos empleados, habría necesidad de que 'as Cortes la tomasen en consideración. privándolos de sus destinos ? Desapruebo, pues, el dictamen de la El Sr. Secretario de Gracia y Justicia: Contestaré á una es comisión. pecie de inculpación que se ha hecho al Gobierno, á saber: que El Sr. Canga: Yo deseo que el Sr. secretario de Hacienda me la ley de que ha hecho mención el Sr. Marau no ha sida ejecu diga si los varios empleados del ministerio…</t>
  </si>
  <si>
    <t>…forme'af oficio de convo tes de Cádiz, y quién por fin ba ¿e hacer que te admita la capí» catoria. ; ■ (elación que les concede el Piíncipe Generalitmo (la cu»l *o- . un °®cl° del Sr. Secretario de Gracia y Justicia, par do» desdan) sin que se diga que las cortes han cedido, ni loa asir ticipando que S. M.' se había aervido señalar lá hora dé las cinco' .aístros tampoco. ; , de esta-tarde para recibir á la diputacion que debía poner en sa Cádiz 6 de Setietñbn. noticia la…</t>
  </si>
  <si>
    <t>Justicia, Secretario del Despacho de Gracia y</t>
  </si>
  <si>
    <t>Secretario del Despacho de Gracia y Justicia</t>
  </si>
  <si>
    <t>…guir los club, , que como sabe todo el mundo Art. 7.0 . En los mismos términos se suspende la d,aposición ha habido en la, capitales de España. del art. 293 de la ConsfitucioH. El Sr. Secretario del Despacho de Gracia y Justicia expuso Alt. 8.° _ También se suspende de la misma numera la dis que hasta ahora no se había impugnado el proyecto e-r la totai*-</t>
  </si>
  <si>
    <t>…Estado , los Miércoles y Sábados desde do lu mano á su augusta Esposa, acompañado de su Real Fa la una en adelante. milia y demas de la comitiva. Se hallará en el almacén de es El Sr. Secretario del Despacho de Gracia y Justicia, Miér tampas , calle Mayor, y en el puesto de Hermoso, á 4 rs. en coles y Sábados ídem. negro y á 10 iluminadas. También se hallará en dichos parages El Sr. Secretario del Despacho d* la Guerra, Martes y Sá- ' otra .estampa del mismo tamaño de los voluntarios…</t>
  </si>
  <si>
    <t>Justiniani, Josef</t>
  </si>
  <si>
    <t>Josef Justiniani</t>
  </si>
  <si>
    <t>….... D- Eduardo Sentmanat. D. Juan Chinchilla. D. Antonio González Estéfani. Alféreces tenigntes. . . Tenientes. 6840 D. Rafael Aguilar. D- Joaquín de la Torre.................... D. Josef Justiniani............................ D- Antonio Anguiano Ramos. D. Félix Valdés. D. L uis Zaforteza. D. Francisco de Paula Borei. D. Francisco Brú de Salas. D. Federico Roncali. Cadetes...................... - Alféreces, 6coo D. Josef Allende. D. Joaquín Roca. D. Jose…</t>
  </si>
  <si>
    <t>Juta</t>
  </si>
  <si>
    <t>…aria Ruiz de la Vega, presidente.cx chat.au, membro déla academia francesa, ex-ninii.ro de! interior, jos.f Grases, diputado secretario.c^Matco Geoane Sobral, diputado se suaui.it D. Juta .Antonio Llórente, qu; lo es de otras variar obm cretar o.” b¡ n conocidas: un toma en 8.ü be hiíiará de venta en la librería it l'or tanto mandarnos i todos los tribunales, justicias, gefes , go Antoran á &gt;4 rs. en rúnica y r&lt;5 cu pr.ti. lí.t.i obra fu: eicn…</t>
  </si>
  <si>
    <t>Jutn, Josef de San</t>
  </si>
  <si>
    <t>Josef de San Jutn</t>
  </si>
  <si>
    <t>…audiroits y comisarios ordenadores y de res individuos presentes de la Reg-.nda er Palacio á 30 de Ma guerra, que deben hacerlo al Excmo. Sr. capitán genera!, en la yo de i8z3.=A D. Josef de San Jutn.” plazuela de Sta. María, casa que vivió Romanillos, cuarto 2.a Madrid 30 de Mayo de 1823. La Regencia deí reino nombrada durante la cautividad del Exposiciones dirigidas á S. A. S. la Regencia del reino. Rey nuestro Señor se ba servido nombrar capitán genera…</t>
  </si>
  <si>
    <t>JVf</t>
  </si>
  <si>
    <t>…nderá 18 rea de 30 dias, contados desde su publicación, se presenten á ios les cada teme para ios suscriptores, y á 22 para tos que no lo síndicos D. Leandro Rodrigo de la Torre y D. JVf guel Gonzá sean. El Sr. Torres Amat, después de haber hab ado en el pró lez de Zurbano, de quienes darán razón en la escribanía del logo del mérito de la versión del limo. Seto , manifiesta el mo número de D. Jacinto Gaona y Loaches, donde se halla radica tiv…</t>
  </si>
  <si>
    <t>JVÍaiJent, Francisco</t>
  </si>
  <si>
    <t>Francisco JVÍaiJent</t>
  </si>
  <si>
    <t>…ta a todo cénero ce Madrid al mariscal de campo D- Pascual Liban ; por teniente de horrores. A vosotros se debe la salvación de la patria : continuad Rey al coronel de- infantería D. Francisco JVÍaiJent; por sargen en vuestro sagrado empeño hasta que la Providencia , que vela to mayor al coronel D. Estanislao de Guizabuzuaga , y durante sobre la prosperidad del pueblo portugués , mejore sus horas. ia enfermedad de- este al ayudante primero D. Manuel bantos.…</t>
  </si>
  <si>
    <t>JVlolitor</t>
  </si>
  <si>
    <t>…que conducía varios pasageros, entre ellos un de ticipando con ellas el mas vivo deseo de alcanzar al enemigo. pendiente del comercio á quien se le reconoció su baúl , á pesar El conde JVlolitor llepó él"7 á Murcia, donde fue tecib-do con de la gratificación que ofreció al dep-ndiente de rentas: con el mayor-entusiasmo; y no ío fue menos en -1 hermosa y neo efecto se le hallaron 19 cartas cerradas; y después de reconocidas país que acab-ba de atraves…</t>
  </si>
  <si>
    <t>Kanyei, Funs-ca</t>
  </si>
  <si>
    <t>Funs-ca Kanyei</t>
  </si>
  <si>
    <t>…c.on , y altamente desprecia lil Sr. presidente anunció que se procedía á la discusión del proda coa;: absnrd», &gt;uñv rsiva y ant-constitucional. yecto de Ir-y sotwe reemplazos» Hl Sr. Funs-ca Kanyei di|o; La Reina se hallaba en libertad para jurar ó no ci pacto social, y para ser ó no portugu sa : no qu.so hacer i l cr. González Alón,o dijo que siendo esta ley para circunstancias ordinarias, no d.-bÍ3 establecerse por regla general el qu: todos ios eslo:…</t>
  </si>
  <si>
    <t>Ker-</t>
  </si>
  <si>
    <t>…colocando la otra inedia compañía al frente de ¡a derecha Los voluntarios del 6-° batallón de milicias de esta cap ral , el de la posic.on mandada por el teniente coronel graduado D. Ker- cabo D. Francisco de A»'s Noguts, y los voluntarios D. Ramón mrdo Uncete. Principió en el camino real el fuego de guerrillas, Sans y D. Francisco Duran se agregaron a ¡a compañía de cara el que se sostuvo como media hora sin mayor empeño. dores de Soria y est…</t>
  </si>
  <si>
    <t>Key</t>
  </si>
  <si>
    <t>…les otros á locuras de nueva especie, pues no tardare pericia y gran z.-io en Ja construcción de la .hermosa batería del mos en ver que á S.. M«-. 1- Agustín i.° va á suceder otro señor Key , al Cap’tan Auriouste, que mandaba ¡a Falaise , que e» I* imperial llamado Antonio x.° quí: ha tufndo el fu go mas acertado del enemigo; a losTanirn- Ya es tiempo de terminar estas farsas revolucionarlas, tanto t«i Oubjé, Gerardin, Comogn» y Lsbrun ; á los s…</t>
  </si>
  <si>
    <t>Kguaguirrc, Andrés</t>
  </si>
  <si>
    <t>Andrés Kguaguirrc</t>
  </si>
  <si>
    <t>…e- con la misma comisión hasta esta capital, adonde llegamos anoche, galmrnte el pacto qu: unía á la nación con la familia reinante, y que bajo las órdenes del corcnel de egército D. Andrés Kguaguirrc. Du está ya cercano el momento en que la fuerza de las bayonetas va á rante la marcha ha ocurrido la acción deque hace tnéiito el expre sancionar el derecho nacional.” sado coronel en el parte que J:a diiigido al Gobierno, y para que con Añade la carta que el…</t>
  </si>
  <si>
    <t>Kilmaine</t>
  </si>
  <si>
    <t>…tención marcada y un un hecho que no cuenta, aunque merece saberse, es que ia or profundo ínteres. En cuanto á los oyentes tenían las cejas conden de ejecutar este baile la dió el general Kilmaine , coman tractadas y los labios abiertos; movían la cabeza al escuchar las dante de la Lombardia , á nombre del general en gefe Bonapar- aventuras de Godofredo y de Reinaldos; unos medio se levanta te, que entonces marchaba hacia Laibach. ban por efecto de su…</t>
  </si>
  <si>
    <t>KLersosig</t>
  </si>
  <si>
    <t>…de cantidad de fusiles que estaban amon namente protejtdo por el teniente d :l 17.° de cazadores Duez, y tonados en el puerto han sido arrojados al mar por sus mis hace elogio del teniente KLersosig, de los brigadieres Chape) icr mos soldados, quienes la mayor parte se han ocultado en la y Constant, del 4.0 de húsares, asi como del sargento del 17.0 ciudad para pasarse después á nuestras tropas. Doce piezas de i 24-, una de á 12 , a'gunos fusiles, 20 caj…</t>
  </si>
  <si>
    <t>Knu</t>
  </si>
  <si>
    <t>…fa llería de Medina de Rioseeo___El ayuntamiento de Trujdlo—El ayunta necas v 6 celemines de trico en miento de Clicercs___La M. N. V. de todas armas de Aviles y Kcbcrga. favor de D. Knu&gt;i»no Totur........... a 000. A'vicdo)___Ei ayuntamiento y patriotas de Mavorga (Yaliadolidú---- Ya— Otro de 8400 rs. , con reditos 8 fa ríos ciudadanos del Ferrol__ La M. N. V. de todas armas de Ciudad- necas de trico en favor de la parReal. __El ayuntamiento…</t>
  </si>
  <si>
    <t>Kras.nsk</t>
  </si>
  <si>
    <t>…a nocer como legítimos los titulo» de »u» amos. No puede concebirse una do. de Italia: el Rey de Prusia, que se mantendrá simple espectador da contestación mas valiente que la del general Kras.nsk,. , los acontecimientos, con tal que no se le inquiete en la posesson da en «efe de las tropas polacas bajo el mando de Bonaparte, cuando der las provincia, que adqu rió ,n .8.4;™ Mr. de Mont.norenc, no rotado este les imimó que rindiesen las arma» a Alandro…</t>
  </si>
  <si>
    <t>Kuiz, Francisco</t>
  </si>
  <si>
    <t>Francisco Kuiz</t>
  </si>
  <si>
    <t>…una comisión de la audíen- . que quedará inutilizado.” cia, y hoy salió el ayuntamiento con el misma objeto hasta el Cádiz 8 de Abril. punto llamado de Torreblanca. Por. parte de D. Francisco Kuiz, dado el 5 desde Medina- SS. MM. y A A. han sido recibidos del modo siguiente; sidou.a, sabemos que llegó el 4 á las 10 de la noche á aquella El tercer escuadrón de artillería con cuatro piezas se hallaba ciudad , en donde los valientes da S. Marcial, los mil…</t>
  </si>
  <si>
    <t>L, Carlos y M. N.</t>
  </si>
  <si>
    <t>Carlos y M. N. L</t>
  </si>
  <si>
    <t>…ciales de la península remitan te accidental del Infante D. Carlos D. Joaquín González___Pa en el término de ocho d as el estado que debieron haber enviado rada la Reina , Infante D. Carlos y M. N. L.: el demás ser en i.° de Marzo, relativo á si se ha verificado en todas ellas el vicio y patrullas lo detallado __Hospital y provisiones Nunian— repartimiento de propios y baldíos; y la otra para que las mis da.__Teatro principal esta noche a las 7 y media la…</t>
  </si>
  <si>
    <t>…e indicar varias circunstancias por las órdenes del coronel de la Reina D. Francisco Golfín—Pa caracer de datos exactos; pero hoy vemos en otro periódico de rada la Reina, Infante D. Carlos y M. N. L.: el demas servicio esta capital que afirma de un modo positivo lo que nosotros no y patrullas lo detallado__ Hospital y provisiones Numancia. _ pudimos hacer por no estar cerciorados de los hechos. El mencio Guardia al Congreso y archivo de Cortes la AI. N. L…</t>
  </si>
  <si>
    <t>L, D Manuel Bertrán de</t>
  </si>
  <si>
    <t>D Manuel Bertrán de L</t>
  </si>
  <si>
    <t>…presidente que continuaba la sesión; y le¡Se suspendió esta discusión para dar cuenta de una exposi da el acta de la anterior se aprobó después de algunas ligeras re ción del Sr. diputado D Manuel Bertrán de L s . fecha 14 de flexiones. Mayo desde Vaiencia, en la cual manifestaba á las Cortes que El Sr. secretario Carballo y Sousa dió cuenta de un oficio estando disponiéndose para venir con las Cortes á esta ciudad tuvo que había recibido del ministro de la Justici…</t>
  </si>
  <si>
    <t>L, Joaquín</t>
  </si>
  <si>
    <t>Joaquín L</t>
  </si>
  <si>
    <t>…riun 11o D. G-briel Gotiz: -z Líanos, el teniente m. de Cuenca D. Pedio fo es indudablemente de la libertad. Y vosotros, pacíficos lub.tantes Trúpita, y ei suLtenieute del primrto D. Joaquín L zana , no siendo de esta provinciapodréis cejar de cstri-cnar también 1 tresnas rela menos r:conicndsb.e el subteniente de Zipadoies L&gt;. Ignacio Mane,, á ciones con los que defienden vuestros hogares? F jad un poco ia aten quien por su activ.daj en ¡a cunstru…</t>
  </si>
  <si>
    <t>L, Manuel y</t>
  </si>
  <si>
    <t>Manuel y L</t>
  </si>
  <si>
    <t>…de » Yo habia ido á tomar órdenes del general, y quedaron á la cabe empleados , tanto civiles como militares, ro tan solo aquellos qcr sa za de la partida entre ramo mis hermanes D. Manuel y L&gt;. Mariana len de esta corte par* sus cuerpos ó destinos , sino también i jos que con mi hijo LX Josef ( que no pudo seguir su escuadrón por habérsele virtiendo ya socorridos en los puntos en que luit.n rameada su ie»ipuesto enfermo el caballo , y se reunió á…</t>
  </si>
  <si>
    <t>La-</t>
  </si>
  <si>
    <t>…etario de Gracia y Jus dicho comandante del vapor. Aprobado. ticia, participando que atendiendo el Rey á que hasta ahora 110 se La nnsma comisión habiendo examinado la adición del Sr. La- han presentado mas que dos magistrados de la audiencia de Sevi gasca al decreto sobre fábricas de salitre y pólvora para que se lla , y que en los pueblos de esta provincia podría causar algún estableciese una de este último efecto rn la ciudad de Zaragoza, p…</t>
  </si>
  <si>
    <t>La-Serna</t>
  </si>
  <si>
    <t>…o las cos i.iem Je 5 de Marzo. tumbres, y afligido á los infelices pueblos de esta provincia. Se sabe por conductos fidedignos que ha vuelto á poder de Cádiz 2 de Julio. ' nuestro general La-Serna ia capital del Perú (Lima) , y que la CORTES. ocupa desde fines de Setiembre último. México arde en la mas horrorosa anarquía , habiendo llegado PRESIDENCIA DEI SEÑOR JENEE. ya á las manos unos partidos con otros. EL obispo de Puebla, Pé Extracto de Ia snion…</t>
  </si>
  <si>
    <t>Labajoniere</t>
  </si>
  <si>
    <t>…Sfueva-Yorck. 6 de Mayo. lo fueron también por la esplosion del arca; pero felizmente Los últimos diarios de Charlestosvn traen algunos detalles MU heridas 90 son ele gravedad: el Sr. Labajoniere, tenien sobre la caída de Ituíbidé. He aquí la proclama del Congreso te de artillería á caballo de la Guardia, ha dado un excelente ejemplo: eí Príncipe de Saboya-Cariguan trabajó personalm.nte mejicano. « Agustín ItúrbTde, convencido ds la nulidad ds su proc…</t>
  </si>
  <si>
    <t>Laban-, Pedro Alcántara Díaz de</t>
  </si>
  <si>
    <t>Pedro Alcántara Díaz de Laban-</t>
  </si>
  <si>
    <t>…Lcíoícc» y vntuobu. \ o— bumientos : para la intendencia de Madrid á D. Josef Rey y sotros habéis sido testigo; de mis desvelos por conservar la tran .■vida; id. de Guadalajara .1 D. Pedro Alcántara Díaz de Laban- quilidad pública, la inviolabilidad de vuestras propiedades v el de duo: id. de Avila á D. Felipe Morales: id. de Soria á D. Ali- coro de vuestras familias, y de que he consagrado á esto toda ia c-uci F.olíri: para el corregimiento de Gu.puzcoa á D. Antonio v…</t>
  </si>
  <si>
    <t>Labarthe</t>
  </si>
  <si>
    <t>…espada fuese capaz los movimientos combinados de un destacamento del regimien de querer enseñar á los catalanes cuáles eran sus propios in to 11.° de cazadores y del que manda el coronel Labarthe, ge fe tereses. de estado mayor de la división del conde de España. Estas tro (3,) «Cómo no hicieron lo mismo en la guerra pasada? Coa pas fueron eficazmente auxiliadas por las gentes del país, y el que ó aquellos hombres eran otros, ó la causa es muy distint…</t>
  </si>
  <si>
    <t>Labatour</t>
  </si>
  <si>
    <t>…que llegó á rozar __Nada adelantan las noticias de Pernambuco , sino que corría el se con ellos clamó por su separación. Hubo en efecto rencillas rumor de haber sido derrotado el general Labatour por las tropas muy pesadas entre las tropas francesas y los facciosos, y se der portuguesas de Bahía— En las islas de Madera y Azores conti- ramó sangre por ambas partes; pero instando Jos franceses por nuaba'”remando la mayor tranquilidad y adhesipnal sistem…</t>
  </si>
  <si>
    <t>Labattu</t>
  </si>
  <si>
    <t>…tículo 8.° del tratado, entre los Eítados-Uninosyl» dicha ciudad que se dirigen 4 Lisboa. Cuentan los pasageros que Espeá ; pírmite 4 las saverde este-última potencia entrar en «¡ general Labattu fu* hecho prisionero, tres meses hace , y ha los riósjbahías,-radas ^puertos ds los Estados-.Unidos:,cuando bía sido devuelto el mando de las tropas que sitian 4 Bahía ti fe vean obligados á- ello-por el mal temporal, por el. enemigo, Coronel Joaquín Josef de…</t>
  </si>
  <si>
    <t>Labora, Francisco</t>
  </si>
  <si>
    <t>Francisco Labora</t>
  </si>
  <si>
    <t>…ca! ,dei 60.°; al grito de constitución, las autor,újd s envidas en e’la comisio cabo L clrr, de la cuarta compañía del primer batallón del 6a.°; naron al subteniente de Cantabria D. Francisco Labora para al cabo Chanoz de cazadores del 32.0, y al cazador Delahayc del presentar á este ayuntamiento las órd-nes mas estrechas 1 fin mismo teg m ento: estos dos últimos han sido heridoe.rsE' mi‘ de que sm dilación a.guna se jurase y proc’imase sol&lt;-mnrmenriscal…</t>
  </si>
  <si>
    <t>Laborda, Manuel</t>
  </si>
  <si>
    <t>Manuel Laborda</t>
  </si>
  <si>
    <t>…ud. Aprobado. tít. I.° de la misma, y por lo tanto debían considerarse dichos La comisión de Instrucción pública, en vista de la exposición bienes como quedados abintestados. y de D. Manuel Laborda para que se le admitiese en la matrícula Después de leerse las citadas dos leyes á petición de los seño del 5.0 año de su facultad, dispensándole de la asistencia que le res Prado y Romero quedó aprobado el dictamen. faltaba del q.°, la cual no habia podido p…</t>
  </si>
  <si>
    <t>Laborde</t>
  </si>
  <si>
    <t>…as provincias disfrutando el sueldo de 30© rs., que es el se de las últimas de guerra, y dos al parecer mercantes. ñalado á los Mariscales de Campo, ú otro mayor al que les cor El comandante Laborde se dirigió desde luego á las dos cor responde por sus años de servicios; se ha servido S. M. mandar betas, que lo esperaron á tiro de pistola, á cuya distancia, y sien-. que todos los Brigadieres que se hallen retirados ó con destino do las cuatro y media de…</t>
  </si>
  <si>
    <t>Laborde, Angel</t>
  </si>
  <si>
    <t>Angel Laborde</t>
  </si>
  <si>
    <t>…mero de interesados. foiraó que aunque varios pelotones pasaron por allí , partieron =1 mo mento en diferentes direcciones, y muchos, perdida su loca esperanza El capitán de navio D. Angel Laborde desde el puerto de Santiago y ¡leños de temor , se retiraban ai seno de sus familias. Visto que ia fac de Cuba , y con fecha de j 2 de Diciembre próximo pasado , ha dado par ción ss encontraba en tal estado de nulidad, y que según los elementos te á S. M. por…</t>
  </si>
  <si>
    <t>…n capitán de dicho batallón, otro del de la Reina, muy recientemente tenemos hecho las mayores exhortaciones al dos del de caballería de Numancia , y dos del cuerpo de artillería. comandante D. Angel Laborde pava que regrese lo mas pronto La misa del Espíritu Santo se dirá á las nueve en la parroquia de posible con los recursos que le fuere dable conseguir en la HavaS. Lorenzo por el capellán del expresado batallón; por este se na. Creemos que nuestra ansiedad pr…</t>
  </si>
  <si>
    <t>…n para los cuerpos de infantería y fin deseado, y muy recientemente" tenemos hechas las mayores artillería de marina, se han señalado los dias 2 y 21 del corrien exhortaciones al. comandante D. Angel Laborde para que regre te y 5 de Junio próximos para los tres remates que han de pre se lo mas pronto posible con los recursos que le fuere dable con ceder á la contrata, que ha de celebrarse en la casa de la inten seguir en la. Havana. Creemos que nuestra ansiedad p…</t>
  </si>
  <si>
    <t>…io Pallera, que tomó el de la Carabobo; y yendo de los pueblos del reino. él mismo en persona, consiguió, después de pasar á bordo de ellas El Capitán de fragata da la Real Armada D. Angel Laborde, dos noches de trabajo y fatiga , verlas fondeadas en el puerto. comandante de Marina del apostadero de Puerto-Cabello , con Expresa Laborde los justos elogios á que se han hecho dignos todos los beneméritos individuos que han servido á sus órdenes, fecha 8 d…</t>
  </si>
  <si>
    <t>Labrador, Alaría Abad</t>
  </si>
  <si>
    <t>Alaría Abad Labrador</t>
  </si>
  <si>
    <t>….Sr. Pessanha se opuso al dictamen lo mismo que el señor La comisión de Hacienda , informando sobre las soüe'tudes de Brandaon Pereira y Bettencourt; añadiendo este último que el Doña Alaría Abad Labrador y Doña Josefa Sánchez , viuda de ministerio caería sin duda por las invectivas que se habían hecho un dependiente del resguardo de Sevilla, soiic'taiulo la primera el contra él, pues que el Rev les daría su dimisión ó él la pediría; perdón ile las cantidades que su difunto marido…</t>
  </si>
  <si>
    <t>Labre, Barón de</t>
  </si>
  <si>
    <t>Barón de Labre</t>
  </si>
  <si>
    <t>…r actualmente, para ir á su destino. las credenciales de Embajador cerca de S. M.; y fue conducido _El Sun aseguraba ayer que se trata de un-aumento de 10D á esta audiencia por el Sr. Barón de Labre, introductor de Em hombres en el ejército ingles; pero e! Courler le responde hoy: bajadores. Esta aserción es falsa. Si debe habeT algún aumento en nues __El Conde de Jucl, enviadó extraordinario, y Ministro pleni tras tropas de tierra, solo será el necesari…</t>
  </si>
  <si>
    <t>Laburno, Fermín</t>
  </si>
  <si>
    <t>Fermín Laburno</t>
  </si>
  <si>
    <t>…. Josef Go- 1 =Rubricado de la Real mano. = En palacio á 16 de Diciembre de mez; al intrépido comandante de Lanceros de Rioja D. Francisco Ruiz,; 1822.=A D. Miguel López Baños. al teniente D. Fermín Laburno, y al alférez D. Antonio Sardie.’* Circular de! ministerio de la Guerra. TRIBVNAtES. Ve Los Sres. diputados secretarios de las Cortes extraordinarias con fe cha di 29 de Diciembre último me dicen lo siguiente: Los Sres. de la sala segunda del crimen de la aud…</t>
  </si>
  <si>
    <t>Laccrda, Antomo</t>
  </si>
  <si>
    <t>Antomo Laccrda</t>
  </si>
  <si>
    <t>…ón. _ licia del ataque que sufría reforze aquel punto con la compañía dri regi Habiendo a pe yado el Sr. Canga lt propuesta de! S¡, (.sal ;r;o . o...o miento de liona al mando del capitán D. Antomo Laccrda , que ss me el Sr. presid-.niei be imprimirán los discutes pror.tsrc.auc* en la se-</t>
  </si>
  <si>
    <t>Lacerda, Correa de</t>
  </si>
  <si>
    <t>Correa de Lacerda</t>
  </si>
  <si>
    <t>…dia, y qué tropas tenia en aquel punto; que el El Sr. Abbade de Medroes pidió permiso para leer una indi bizarro regimiento núm. 18 se martuvo fiel á sus juramentos J cación : el Sr. Correa de Lacerda dijo: «j Si es para mantener la conservó su honor, y que el Gobierno confió tanto en su valor y Constitución que tenemos jurada, lea enhorabuena, y si no no patriotismo que no dudó entregarle la guardia de la sagrada per lea.’’ El Sr. Medroes continuó diciend…</t>
  </si>
  <si>
    <t>…laba la patria estaba pronto para guardia del regimiento número 18 al dar ios vivas á la Const (Li todo , v que iba desde luego á encargarse del ministerio , deseando ción, que el diputado Correa de Lacerda con : 1 Constitución en que el Todopoderoso le iluminase para mantener y hacer que se la mano saltó rápidamente del coche, y poniéndose en frente ¿ guardase la Constitución de 1822 que juró , y por la cual derra la guardia le dirigió eí discurso siguiente. ma…</t>
  </si>
  <si>
    <t>Lacerda, Gaspar Tejcira</t>
  </si>
  <si>
    <t>Gaspar Tejcira Lacerda</t>
  </si>
  <si>
    <t>…ayudante general el teniente gene ral marques de Villa-Rsal: capitán general de la provincia de Tras-os Montes el conde de Amarante: capitán general de la provincia del Minlio el general Gaspar Tejcira Lacerda : de la provincia de Beira Alta el general Bernardo de Silveira Pinto: de la pro vincia de Beira Bija el general Juan de Silveira: del reino de los Algaibes el general Antonio de Silveira Pinto: de ia provincia de Alentejo el general conde de Barbazena: de la…</t>
  </si>
  <si>
    <t>Lacerda, Joaquín</t>
  </si>
  <si>
    <t>Joaquín Lacerda</t>
  </si>
  <si>
    <t>…ue tienen en la presente dentro de la plazaO-Donell, general D. Joaquín Ibarra, y á los brigadieres Don de Cádiz, y fórmese idea en lo poco que extractaremos ds losPedro Gazteiu y D. Joaquín Lacerda (estos tres últimos de los muchos disparates que contienen aquellos miserables papeluchos.expulsos de Valencia por haber rehusado autorizar el horrendo « El Constitucional núm. 173, con el epígrafe á los verdadeasesinato del glorioso mártir de la libertad Eií…</t>
  </si>
  <si>
    <t>Lacoma, Francisco</t>
  </si>
  <si>
    <t>Francisco Lacoma</t>
  </si>
  <si>
    <t>…amente, di tiempos, y someterse á las decisiones en que se funda la paz bujado por el pintor de cámara de S. M. D. Josef Ribera por general. el original que pintó de cuerpo entero D. Francisco Lacoma. ,,Pafa volver á la Orden de S. Juan de Jerusalen su existen Véndese á 20 rs. el ejemplar en el despacho de las obras del cia basta concederle una isla donde pueda^plantar de nuevo el Depósito Hidrográfico, calle de Alcalá, donde también se halla estandarte i…</t>
  </si>
  <si>
    <t>Lacroix, P'mfilo</t>
  </si>
  <si>
    <t>P'mfilo Lacroix</t>
  </si>
  <si>
    <t>…al conde Cuiial : 2.ardivis:on el tímente general vizconde Don- España , es bastante para acabar con la raza de los agresores , ad.rnas de nadieu: 3.a división el teniente general vizconde P'mfilo Lacroix. Pri que entoare:, toda ia Nación en masa tomaría las armas. Por último el Congreso aprobó ¡a propuesta de los 308 hombresmera división de caballería el tímente general Roussel G’Hurba!. Se cunda el teniente general vizconde Dumont. Artillería el mariscal de…</t>
  </si>
  <si>
    <t>Lactoíx, Pamfilo de</t>
  </si>
  <si>
    <t>Pamfilo de Lactoíx</t>
  </si>
  <si>
    <t>…e la caballería de van Bordesoult. Un regimiento suizo y la guarnición de Lila se dirigen á guardia , que mandó el teniente coronel Pintado, la tomó unas cargas de la frontera. El general Pamfilo de Lactoíx debía llegar i Tolosa el paño, y s: le pasaron los artillero* que fueron prisioneros en la acción 34. Ei embajador de Ñipóles habia dado un convite al cuerpo diplo del &gt;4.=Dios guarde í V. E. muchos años—Buendia 30 de Enero ds mático, al cual no habia asistid…</t>
  </si>
  <si>
    <t>Lacy</t>
  </si>
  <si>
    <t>…ón y triunfo de nuestro be El Excmo. Sr. comandante general de este distrito acaba de recibir néfico sistema en este pais. los siguientes partes oficiales 1 «Compañero del invicto general Lacy, renovaré y continuaré mis » Excmo. ár.: Tengo el honor de pone* en conocimiento de V. B. esfuerzos para contribuir en cuanto pueda a la salud de ¡a patru: pro que el general Velasco se halla en Fraga con el designio de sitiar á Me- curaré , siguiendo las pis…</t>
  </si>
  <si>
    <t>…y aun la benemérita Diputación provincial de le acuerde el nombramiento de sargento segundo que hizo en su esta ciudad ha adelantado ya varias cantidades á cuenta de este favor el general Lacy; opinaba que las Cortes debían autorizar al servicio extraordinario. Por otra parte aunque Jas circunstancias Gobierno para que acordase este grado. Aprobado. de hallarse ocupadas algunas provincias por el enemigo hayan im Otro sobre la exposición de D. Juan…</t>
  </si>
  <si>
    <t>Ladoubert</t>
  </si>
  <si>
    <t>…de los cazadores para* 1de húsares al coronel Maller por la rapidez con que sostuvo hacerles escalar la cabeza del puente. Apenas marcharon estos i •I ataque de ios cazadores, al capitán Ladoubert, al ayudante (laso dé carga, el enemigo evacuó el reducto y levantó el puen mayor Pétin, al subteniente Lefer, al ayudante Hairf, ios apo te levadizo, habiéndose escapado en el tiempo que se empleó sentadora ;Dumaine é Geille, al brigadier Deischy y a! húsar…</t>
  </si>
  <si>
    <t>Ladrón</t>
  </si>
  <si>
    <t>…n segundo lugar quedó elegido el Sr. Aillon por 79 vetos, tenien digno y apreciable cuerpo, cuyo comandante es el mismo que al lado do 10 el Sr. Marchámalo, 7 el Sr. Veiasco, 6 el Sr. Ladrón de del invicto Riego fue siempre su inseparable compañero en sus glorias y Guevara, 2 el Sr. Soria, 2 el Sr. Eulate, y uno cada uno de los señores desgracias t un batallón en fin que está dispuesto en pro de la unión á Escudero, Benito, Fernandez Cid y Oliver…</t>
  </si>
  <si>
    <t>Ladrón, Leandro</t>
  </si>
  <si>
    <t>Leandro Ladrón</t>
  </si>
  <si>
    <t>…sus sesiones. (Gaceta del 6. ) Gómez Villaboa por la de León: D. Fcrmin Aivarez Eulate Oficio de los Síes, diputados que componen la Diputación por la de Navarra: D, Josef Cano y D. Leandro Ladrón de permanente de Córtes , participando al Gobierno la instalación Guevara por ¡a de Avila: D. Manuel Pío de Arias por la de de la Diputación permanente. (Gaceta de¿ 7.) Cuenca: D. Joaquin Fuentes del Rio por la de Sevilla: D. Fé Decreto de las Córtes aboliend…</t>
  </si>
  <si>
    <t>Ladrón, Santos</t>
  </si>
  <si>
    <t>Santos Ladrón</t>
  </si>
  <si>
    <t>…cuya lectura es insufrible ; y para refutar los absurdos y mentiras de que se compone , respondere Madrid aó de Junio. mos al Sr. Mora, que cosorros acostumbramos por hábito á El brigadier D. Santos Ladrón da parte al Sr. capEító geiWguiar dos mas por los hechos que por las opiniones , y á creer ral de Aragón desde Tamarite con fecha del ib , de la gloriosa mejor los acontecimientos que las predicciones. acción ganada 4 las ttopas de la guarnición de Lérida. Es…</t>
  </si>
  <si>
    <t>…s guarde]), me conformo y las ratifico; y con to á la ratificación de estos artículos por el general de la divi respecto á ios empleados civiles y demas que no dependan de la sión D. Santos Ladrón. ■ guarnición ni del ejército constitucional , deberán quedar estos Art. 3.0 EL dia de la entrega el comandante del bloqueo asegurados, asi p’.ra d?r sus respectivas cuentas, como para estar nombrará un o6cial con 20 hombres, que á las seis de la ma sujetos á…</t>
  </si>
  <si>
    <t>…guen lamentos y lloros del invicto Sertorio que hárian llo lencia. El 2 2 el fuette de Monzon, en Aragón , se entregó al rar á la vieja mas dura que los oyese: pide nada menos que brigadier D. Santos Ladrón, que formaba su bloqueo algún tiem hombres, víveres, municiones; y lo que debía pedir era.....á po había. Las islas de las Medas , sobre la costa de Cataluña , se Dios misericordia para que le trajese á verdadero conocimiento. rindieron igualmente el 16 á un…</t>
  </si>
  <si>
    <t>…sión expedicionaria del Brunswick 28 de Julio. ejército Real de Navarra, dependiente del segundo cuerpo del Se sabe que nuestro duque Carlos Federico Augusto Gui ejército francés, D. Santos Ladrón , dirige á la Regencia del rei llermo, que reside ahora en Viena, tomará las riendas del Go no la exposición siguiente: bierno el 30 de Octubre próximo, en cuya época entra en los 20 » Sermo. Sr.: Con fecha 10 de Junio último tuve «I alto años, cesando entonc…</t>
  </si>
  <si>
    <t>Lafrenoy, Merlin</t>
  </si>
  <si>
    <t>Merlin Lafrenoy</t>
  </si>
  <si>
    <t>…quienes de Estaples, en el departamento Dupas de Calais en Francia; los haya ofendido en vida, honra y hacienda, suplicando como su cua les se dirigirán para darse á reconocer al Sr. Merlin Lafrenoy; plico á la Iglesia, al Trono y á todos los españoles no se acuer abo gado y recaudador que fue del Hospicio civil en la ciudad de den tanto de mis excesos corno de esta exposición sucinta y ver- Boulogne, que tiene que com unicarles noticias relativas á sus…</t>
  </si>
  <si>
    <t>Lafuente, Mar.ano</t>
  </si>
  <si>
    <t>Mar.ano Lafuente</t>
  </si>
  <si>
    <t>…ostumbrados de ests ciudad. Cuses consisto trajo herido , á cuyo hecho contribuyó también el cadete de zapadores riales de Valencia á 39 de Marzo de i8:a.=Salvador hanjuan , alcal D. Mar.ano Lafuente. de primero constituciona1.=Joaquin Fcrri, alcalde citarte .=; viáx.mo » Asimismo recomienda Steger el zelo, valor y actividad del digno Alcon erjosef García, regidores.crtDe orden dei ilustre ayuntamiento comandante D. Víctor Sierra y su columna, pues apenas…</t>
  </si>
  <si>
    <t>Lagai-</t>
  </si>
  <si>
    <t>…por ei momen nuevo en consideración el punto de que se trata. to comunicar los cupos respectivos á los puebk.- , procederán á Se declare) el punto suficientemente discutido, y el Sr. Lagai- la cobranza de todas las cantidades que debian sat.síacer los vec'rca dijo: Tengo que hacer una ligera observación , á saber; que la nos en los meses de Mayo y Junio próximo por las cóntribuc-ci Imprenta nacional ha hecho obras cuya publicación es sumamen nes…</t>
  </si>
  <si>
    <t>Lagasca</t>
  </si>
  <si>
    <t>…0 dos cartas: una del Sr. diputado Pedralvez al catedrático Piguillcny; y otra Necesitando la fábrica nacional del papel sellado goo cajones, de de un profesor de Cartagena al Sr. diputado Lagasca. EN LA IMPRENTA NACIONAL.</t>
  </si>
  <si>
    <t>…de pena de este delito los consejeros de los extinguidos consejos, los cabildos. inquisidores, magistrados de las antiguas chancillerías y audien No se admitió á discusión una del Sr. Lagasca para que st cias, corregidores y alcaldes mayores, regidores perpetuos, ecle declare que en atención á los daños que causan á los pueblos siásticos seculares y regulares, y colegiales mayores que respec nuestros enemigos, no se entrará en transacion con ellos…</t>
  </si>
  <si>
    <t>…istribución de bienes de capellanías' Se ¡«probó un dictámen de la comisión Primera de sangre. de Hacienda proponiendo se discutiesen desde luego Las Cortes concedieron permiso al Sr. Lagasca el pr puesto del ministerio do la Gobernación de para que pueda pasar á Sevilla Cmii el fin de resca si le Cíese posible , una paite «le los manusla 1'aM.ola. y el reparto lie contribuciones do cuo tar, ta (•«, •: 1 os ajenióla res presentaba impresos al efec…</t>
  </si>
  <si>
    <t>…que pu tinas sin causa legalmente probada y sentenciada. diese circular en todos ellos este decreto en pocos dias. El Sr. Argüelles contesto que ayer se liabia propuesto negar El Sr. Lagasca manifestó que las proporciones para que los su voto al dictamen que presento la comisión; pero que hoy empleados pudiesen trasladarse á esta,ciudad eran ahora mas di veía satisfechos sus deseos con los artículos propuestos por el se ficultosas que en la guerr…</t>
  </si>
  <si>
    <t>…ría del ejército de reserva de la Irazabal, individuo de la junta directiva del Crédito público. isla, y de la conducta que observó en el reconocimiento que ve Habiendo opinado el Sr. Lagasca que seria conveniente que rificó en el dia 16 del corriente, hablaba particularmente de la pasase esta memoria á una comisión especial, formalizó la si escandalosa violación del derecho de gentes cometida por el ene guiente proposición: »l^ido á las Cortes se…</t>
  </si>
  <si>
    <t>…ebia darse á la Junio, y hay también un núrpero del Morning-Shron&gt;cle da x.° dirección el tratamiento de Alteza. del corriente. En artículo de Paris se dice que la Regencia galoEl Sr. Lagasca contestó que el otro dia se habia insistido hispnna hace los mayores esfuerzos para sacar del país ocupado •mucho en que la dirección general de Estudios no tuviese sueldo por los enemigos de la independencia y libertad de España los au alguno, y ahora pareci…</t>
  </si>
  <si>
    <t>…viene; y empezará á feg.r par-, mandándose volver á la Comisión. elección de diputados en las legislaturas de los años de j Siq , Se hizo la primera lectura de una proposición del Sr. Lagasca, y siguientes, para lo cual el Gobierno espedirá las ci denos y re relativa al modo de procederse á la renovación de los vocales de glamentos conducentes. Cádiz 7 de Julio de i82g.=Aibear. la junta de beneficencia. La comisión de Legislación, después de haber…</t>
  </si>
  <si>
    <t>Lagasca.cuando</t>
  </si>
  <si>
    <t>…buir con mi voto á que se le dieran;' mo Sr. Jiménez. pero no por eso creo" que es preciso abstenerse de censurar el uso de ellas Del ayuntamiento constitucional de Teruel, por el Sr. Lagasca.cuando sea preciso. He visto que al comunicar el nombramiento de nuevói . De los individuos de la división del general Manso, perteneciente at secretarios del Despacho dice S- M. que los actuales deben permanecer- egército del j.° distrito, por el Sr. Infame. eh sus…</t>
  </si>
  <si>
    <t>Lagatea</t>
  </si>
  <si>
    <t>…sar ¡í la co fuera de los cuerpos en comisiones pasivas , el general en gefe ve misión primera de Hacienda. con escándalo que no lo han verificado muchos que acaso han ol Otra del Sr. Lagatea para que en consideración á los daño*</t>
  </si>
  <si>
    <t>Lagirde</t>
  </si>
  <si>
    <t>…ministerio, el barón de Vincent, embajador de Austria, imagen de un porvenir dichoso. ¡ Que chas de calma y de prosperidad no el conde Pozzo—di—liorgo , embajador de Rusia , y el conde Lagirde, recién hubieran sido ya estos para la España sin la funesta d.vtsion que la perfid a llegado de su embajada de Midi id, y á quien el Rey acaba de elevar a ¡a ha introducido1. ; Y que felicidad la mía si los continuad-&gt;s d i&gt; que piso dignidad de Par. Tenemos…</t>
  </si>
  <si>
    <t>Lagu, Gregorio</t>
  </si>
  <si>
    <t>Gregorio Lagu</t>
  </si>
  <si>
    <t>…ado, por mí.” niente de Corregidor de esta villa, refrendada del escribano dei número D. Manuel Mejía, se ha'señalado para una junta gene Convente,hecho entre el Mariscal de Campo D. Gregorio Lagu ral de acreedores de D. Julián Victor Bourdet, vecino y del na, Capitón general nombrado por S. M. de la provincia Je Ex-, comercio de esta corte, el dia 7 de.Diciembre próximo á laá tremadura, y el Teniente Coronel, Gefe de estado mayor del ejér misve en pun…</t>
  </si>
  <si>
    <t>Laguna, Amonio Vargas</t>
  </si>
  <si>
    <t>Amonio Vargas Laguna</t>
  </si>
  <si>
    <t>…M., y por su recono cias; y para las demas plazas de Consejeros al Duque de San Cir cimiento a la Providencia, que se dignó velar sobre sus días pre ios, á D. Juan Pérez Villamil, D. Amonio Vargas Laguna, á ciosos en medio de los riesgos que le rodearon desde que, alzado</t>
  </si>
  <si>
    <t>Laguna, Antonio de Vargas y</t>
  </si>
  <si>
    <t>Antonio de Vargas y Laguna</t>
  </si>
  <si>
    <t>…nacionales de dicha provincia de Guadalajara, y 34 ca do admitírsela. Pero deseando at mismo tiempo dar al estado ballos con sus equipos correspondientes, teniendo la satisfacción D. Antonio de Vargas y Laguna una prueba nada equívoca del de no haber tenido maa desgracia por nuestra parte que nn caba aprecio que le merece por sus dilatados servicios, conocimien llo herido levemente, y otro que se despeñó al paso por la tos y adhesión á la augusta Persona del Rey nu…</t>
  </si>
  <si>
    <t>Laguna, Antonio Vargas y</t>
  </si>
  <si>
    <t>Antonio Vargas y Laguna</t>
  </si>
  <si>
    <t>…del Despacho de Es res á la gratitud de V. S. y á la de todos los pueblos de aquella tado, para la propiedad de este ministerio, vacante por renun comarca.” cia que de él ha hecho D. Antonio Vargas y Laguna , en con sideración á sus distinguidos y relevantes méritos; y á la cons Continúan las exposiciones dirigidas á S. A S, la Regencia del tancia con que siempre ha sostenido los imprescriptibles dere Reino. chos del trono y de la religión. Tendreislo entendido,…</t>
  </si>
  <si>
    <t>Laguna, D- Antonio de Vargas y</t>
  </si>
  <si>
    <t>D- Antonio de Vargas y Laguna</t>
  </si>
  <si>
    <t>…s acerca de la inviolabilidad do de Enviado extraordinario y Ministro plenipotenciario en la las propiedades , aunque sean de enemigos, tendrá pleno efecto Corte de Roma al Excmo. Sr. D- Antonio de Vargas y Laguna. en el caso del artículo anf.ríov en los territorios de los Gobier Igualmente S. M. ha tenido á bien nombrar segundo Cabo nos que ratifiquen esta convención , y recíprocamente. de la provincia de Extremadura y Gobernador de la plaza de Art. ti. Luego que el G…</t>
  </si>
  <si>
    <t>Laguna, General</t>
  </si>
  <si>
    <t>General Laguna</t>
  </si>
  <si>
    <t>…ión, Excmo. Sr. D. Gregorio Laguna, nombrado por S. M. para.es-: gozando en el seno de un Gobierno paternal las delicia¿ de la ta provincia. paz y de la prosperidad. ¿ Art. 2.0 El Sr. General Laguna, en.-nombre de S. M. el Se ñor D. Fernando vn (que Dios guarde), garantiza la seguri Deseando el Rey nuestro Señor manifestar de un modo ter dad individual de todos los militares del ejército y provincia minante al ejército .libertador su augusta Real estimac…</t>
  </si>
  <si>
    <t>Laguna, Gregorio</t>
  </si>
  <si>
    <t>Gregorio Laguna</t>
  </si>
  <si>
    <t>…: tengo de la llegada scf María Carvajal; y para la comandancia general del campo de í sus manos. Se quitó la piedra, y reina Fernán, o en su lugar; Gibraltar al mariscal de campo D. Gregorio Laguna. pero sin um v. ¿ des-, monada, y todos muy gozosos (bien que VARIEDADES. como no hemos quedado aqu¡ mas que los hombr s de bien , no hay que t^ner recelo), aunque de los que han entrado hay aku- En uno de los periódicos di Francia hemos leído el siguiente no…</t>
  </si>
  <si>
    <t>…d del Rey nuestro ' El Rey nuestro Señor se ha servido nombrar Capitán gene Stefior. Todo él pueblo se puso en movimiento, y arrojándose de ral de Extremadura al Mariscal de campo D. Gregorio Laguna, sus camas , cóíria por las calles gritando cOn el mayor entusias y el empleo de segundo Cabo de la de Granada al Mariscal de mo: El Rey en libertad, el Rey en-libertad t repitiendo mil vi Campo D. Diego Ballesteros; y para la Inspección general ca vas , que…</t>
  </si>
  <si>
    <t>…ficarle, haciendo que sufriera todos’ los dolores de la Pa La plaza ,de Badajoz ha capitulado con el Capitán general sión, y después de haberlo expuesto á i mofa del populacho, le D. Gregorio Laguna, según avisos oficiales que se han recibido condujeron vestido de loco á los plátanos de Calotchesma,.don por el Ministerio de la Guerra ■ y por el Sr. Mariscal Duque de de se le había dispuesto una cruz. Reggio. Llegados aili, le despojaron de sus vestidos;…</t>
  </si>
  <si>
    <t>…colonias vdlvérSh á su total tranquilidad, y prestan su obediencia, asimismo que á su Capitán- gerieral .el permanecerán unidas á la patria.; á quien deben su civilización, Excmo. Sr. D. Gregorio Laguna, nombrado por S. M. para.es-: gozando en el seno de un Gobierno paternal las delicia¿ de la ta provincia. paz y de la prosperidad. ¿ Art. 2.0 El Sr. General Laguna, en.-nombre de S. M. el Se ñor D. Fernando vn (que Dios guarde), garantiza la seguri Deseando e…</t>
  </si>
  <si>
    <t>Laguna, Luis de</t>
  </si>
  <si>
    <t>Luis de Laguna</t>
  </si>
  <si>
    <t>…brar para la se » La Regencia del reino ha tenido í bien nombrar para la cretaría de Estado y del Despacho á D. Antonio de Vargas y secretaría de Estado y del Despacho de Marina á D. Luis de Laguna; no habiendo podido dudar S A- en el acto mi.-mo de Sa azar, consejero de Estado, teniendo S. A. en consideración su instalación que debía ofrecer esta prueba de su confianza á sus distinguidos méritos y servicios. Tendreislo entendido, y lo uno de los primer…</t>
  </si>
  <si>
    <t>Lahemand</t>
  </si>
  <si>
    <t>…Entre Sos 30 oficiales franceses que acaban de embarcarse en Ing'aguno las personas que trabajan tn esta buena obra; pues los nu-dios lerra para ir á scrv.r en España, se halla el general Lahemand , qu# que se emplean para abrir los ojos i los soldados son tules, que pueden hab ia llegado hace poco tiempo de les Estado» Unidos. ponerse en egecuciqn en medio de la calle y delante de todos los saté Landres id de Alario. Ayer hubo en el m.tiisterio de N-y…</t>
  </si>
  <si>
    <t>Lahitte</t>
  </si>
  <si>
    <t>…n excelente ejemplo: eí Príncipe de Saboya-Cariguan trabajó personalm.nte mejicano. « Agustín ItúrbTde, convencido ds la nulidad ds su procla en salvar tas municiones: el teniente coronel Lahitte, ayu mación , y de lo incompatible de sü vida política con la segu dante de campo da S, A. R., merece ser citado con elogio. ridad y el honor de este Estado, cediendo á los remordimientos El conde de BordesouUe se dirige en derechura sobre Cá qué le causan su…</t>
  </si>
  <si>
    <t>Lahora, Juan</t>
  </si>
  <si>
    <t>Juan Lahora</t>
  </si>
  <si>
    <t>…so que convirtamos en risa y desprecio el horror que ción de Milicias al Mariscal de Campo D. Pedro Grimarest; pa nos causaban tantos motines. ¡ ra el consulado general de Paris á D. Juan Lahora; y para el de He aqui pues en que pararon los que á cada nuevo insulto Lisbba á D. Juan Bautista Ardison. Igualmente se ha servido que hacían á su .Rey, le cantaban con insolencia trágala ferro. S. M. .conferir el consulado de Burdeos a D. Isidro Montenegro,…</t>
  </si>
  <si>
    <t>Laíayette</t>
  </si>
  <si>
    <t>…recha se pide que se cierre la discusión. opone ai reglam nto y á las yrccticas, y no puedo ponerla á votación. Presidente: No ha lugar á «^liberar sobre que se cierre la discu El general Laíayette: fci reglamento no ha podido prever el infa sión : esta se halla pronunciada , y soto se trata de deliberar acerca de me golpe que vais á dar. los términos en que debe concebirse la cuestión. Mr. Mechin apoya !a proposición de Mr. Sappey. No habiendo hecho pr…</t>
  </si>
  <si>
    <t>Laliuno</t>
  </si>
  <si>
    <t>…r.n^o 4 ficaron las palabras de S. M. ron la espresion de que 3:-Para el gobierno político de las no saldría de Sevilla. ’ provincias....................... ... 6.$'j¡4.3Qó' 2t El Sr. Laliuno pidió que se discutiesen por paríos 5-Para la manutención de los milicialos piltros controvertibles del acta. ‘ nos de Madrid que signen al Ei Sr. piesidcnte contestó que había dcterminftdo Gobierno........................................... 5.000, oorv fe in…</t>
  </si>
  <si>
    <t>Lallemand</t>
  </si>
  <si>
    <t>…las comisio fantería , con el objeto de incorporarse á la legión francesa que nes de Legislación y Eclesiástica sobre el juramento que prestan se forma en España á las órdenes del general Lallemand, que se los obispos al tiemjpo de su consagración, y pidieron la pa.abra halla en Sevilla tratande con nuestro Gobierno, y en su ausen en contra tos Sres. Prado , Faicó, Buey y Osas, y en pro los cia a ¡as del coronel Favier. Sres. Vclasco , Sedeño, Oliver, A…</t>
  </si>
  <si>
    <t>Lam'oea, Lorenzo</t>
  </si>
  <si>
    <t>Lorenzo Lam'oea</t>
  </si>
  <si>
    <t>…re-, puesto de los Sres. siguientes: D- Nicola, H«edcro y Mayoral , Don ciando el fuego- El teniente coronel Barco , con el resto de Coraposte- Tomas Torresano, D. Valentín Recio, D. Lorenzo Lam'oea , D. Jai la, siguió por la derecha á flanquearlos sufriendo un fuego terrible, me Ruiz Abreu, D. Manuel González del Campo, D. Luis de Mata se les persiguió vivamente, y solo faltó media hora de dia para que Atauio, D. Joaquín Manrique y Manrique, D. Andrés N…</t>
  </si>
  <si>
    <t>Lamar</t>
  </si>
  <si>
    <t>…pasar Perú; y persuadido de que Bolivar Ies hubiese inspirado disposi á verse con V- S., é instruirle d* la localidad de mi tropa y la ciones contrarias á las que quería seguir el general Lamar que es del enemigo, que en número de 43 hombres me esperaba en to taba al frente del Gobierno de Lima, se había resuelto su em das las desembocaduras del valle. El capitán Henrique poco des barque para Guayaquil. pués de separarse de mí fue advertido por los…</t>
  </si>
  <si>
    <t>Lambca, Lorenzo</t>
  </si>
  <si>
    <t>Lorenzo Lambca</t>
  </si>
  <si>
    <t>…nto de mi llegada dispuse sa tes, D. Matías Pinilla , D. Manuel González del Campo,D. Manuel Me liesen tres partidas fuertes de ¡nfanv-ría y caballería con las instrucciones rino, D. Lorenzo Lambca, D. Josef RivesyD. Manuel Carnicero. Ha y ira la persecución y aprehcii'-.i-n de otos infames: igualmente procederé, bida la conferencia se declaró por unanimidad » haber lugar á la forma según los avisos que vaya adquir n. .la salida de otras por el rio Celd…</t>
  </si>
  <si>
    <t>Lambea, Antonio</t>
  </si>
  <si>
    <t>Antonio Lambea</t>
  </si>
  <si>
    <t>…aballería también de línea: 66 para idem ligera: 13 para artilfrI&gt;. Josef Brull. D. Juan Muguiro. lía , y otros 13 para zapadores, que en todo componen los 774 hom P&gt;. Juan Jabat. D. Antonio Lambea. bres de su cupo. D. Celedonio Martínez. D. Baltasar Martin Pérez. Ademas y en este intermedio ha organizado la diputación com D. Tadeo Parras Hermosilla. D. Domingo García. pletamente y en estado de servicio dos compañías de infantería y una de D. Gonzalo Cá…</t>
  </si>
  <si>
    <t>Lambea, Lorenzo</t>
  </si>
  <si>
    <t>Lorenzo Lambea</t>
  </si>
  <si>
    <t>…D. Francisco Rodrigu z de Guevara , D. Pedro Salnz de Baranda, tivamente ya el dolor, ya el entusiasmo , según los varios afectos que D. Márc'-s Izqui :rdo , D. M./uet de Nájera , D. Lorenzo Lambea, se apoderan del héroe. La fluidez del verso , los rasgos de historia , en I). Juan Rodil,-nf/Guillen , D. Vicente Segurado, D. Juan Regis que se hace un» ligera reseña de nuestros Beyes desde Carlos v, y los de Castro y D. l adeo P.-rez. altes principios de…</t>
  </si>
  <si>
    <t>…ua á una otros limítrofes que carecen de facultativo, po, D. Cayetano Rubio, D. Nicolás A-onso, D, Aquilino y deparan al de Domingo Perez frecuentes apelaciones. Los pro Palomino, D. Lorenzo Lambea, D. Josef Ptrez Morales, Don fesores que teniendo la cualidad enunciada quisieren pretender el Marcelino Torio, D. Arias González de Mendoza, D. Fran partido , dirigirán sus memoriales pot el correo, franco de porte, cisco Zazo de Lares,. D. Miguel de Nájera,…</t>
  </si>
  <si>
    <t>Lambía, Loienzo</t>
  </si>
  <si>
    <t>Loienzo Lambía</t>
  </si>
  <si>
    <t>…dinarias á la renovación de D. Francisco Martínez Marina , D. Valentín Recio, D. Nicolás Here su presidente, rice-presidente y secrstario mas antiguo, que Jo era el dero Mayoral y D. Loienzo Lambía. Sr. D. '•*;-tin Serrano, han salido electos pira presidente el Sr. Don Señores que los declararon sediciosos: Villanueva y Rives. Francisco Javier Isturiz , diputado por la provincia de Cádiz; para vice Señores que declararon rio serlo: los restantes. presid…</t>
  </si>
  <si>
    <t>Lamotheen</t>
  </si>
  <si>
    <t>…rarse de la ciu al capitán primero Víctor, comandante del primer escuadrón' dad. El enemigo reunió sus tropas en las alturas detras de Jaén, al capitán comandante'Detscurniel , al teniente Lamotheen dirección á la Mancha Real; pero bien pronto lo desalojaron Rouge , al teniente ayudante mayor Touífait, á los subtenien de esta posición i paso de ataque el 4.0 ligero y el segundo ba tes Legal y de Unge, i los sargentos fremige y Lefebre, i los tallón del i…</t>
  </si>
  <si>
    <t>Lancho</t>
  </si>
  <si>
    <t>…s d. ¡os tid eu'c. vorables y tan variadas, que por serlo tanto nos parecen muy periore» establéenlo» en S. Agustín y Pama. ¡s , cu ti tai.; ei poco verosímiles.__El 1 e, salió el brigadier Lancho , comandan respectivo de L» Mórula», estarán y se, hallan autor ..ido, ; te de aquella provincia, para Y cela , Jumilla y Cándete, de la este decreto á aJinilu y transigir tonas las uciamj-o:., s de .0. provincia de Chinchilla, con una columna de mil e s loca…</t>
  </si>
  <si>
    <t>Landa, Femando</t>
  </si>
  <si>
    <t>Femando Landa</t>
  </si>
  <si>
    <t>…sca de la Puente, actual algún acontecimiento tuviere la dicha Sra. que ausentarse de la ex poseedora , puede disponer de ellos como tales. presada ciudad , darán razón en cata de D. Femando Landa , frente de Por no tener dueño conocido se declaró Vacante la casa sita en las la portería de las monjas de Sta. María de Gracia. calles Ancha de S. Bernardo y de la Cruz Verde, núm. 10 , manza ANUNCIOS. na 488, que comprende 1481 pies cuadrados, tasada en 12…</t>
  </si>
  <si>
    <t>Landáburu, Ramón</t>
  </si>
  <si>
    <t>Ramón Landáburu</t>
  </si>
  <si>
    <t>…o D. Francisco Figueras Guerra. y D. Mariano Villa á la cabeza de la primera brigada de la cita S. M. ha visto con satisfacción el buen comportamiento de da división, que manda el coronel D. Ramón Landáburu con estas beneméritas tropas, y tendrá muy presentes ios distinguidos concepto mío: llegué sin novedad ninguna á Játiva, donde se servicios que han hecho en esta ocasión á ia causa pública , ha me reunió sobre el mismo movimiento la columna que estaba al bién…</t>
  </si>
  <si>
    <t>Landazuri, Nicolás</t>
  </si>
  <si>
    <t>Nicolás Landazuri</t>
  </si>
  <si>
    <t>…or prontitud las tres trincaduras armadas perte V. E. El ayudante primero del regimiento de caballería de Es necientes á la plaza, con objeto de sostenerlo en caso de ser nue paña D. Nicolás Landazuri, nombrado gefe de E. M. de es vamente atacado. Añade que conociendo su posición arriesgada en ta columna , desempeñó sus funciones con el valor y triunfo el referido puesto, remolcado por las mismas trincaduras, saltó al que tiene acreditado. Los demas Sres.…</t>
  </si>
  <si>
    <t>Landera, Juan de</t>
  </si>
  <si>
    <t>Juan de Landera</t>
  </si>
  <si>
    <t>…rez , y son los simientes: uno de 1700 mrs. , sluado en la ren la comisión Real de París. Decimocuarto: Se pagarán en los términos ta de diezmos de la mar de Castilla, en favor de D. Juan de Landera» expresados en el art. 12, la» dos terceras partes del valor liquidado y Doña María González de las banderas: otro sobre la misma rema, de dichas lanas, ó mas , según lo permita el remanente que pueda re situado en favor de Rodrigo de Agustina, de 15,750 mrs.…</t>
  </si>
  <si>
    <t>Landriís</t>
  </si>
  <si>
    <t>…mas'absoluciones los ilustrísimos Sres. arzobispo de re man o de estos mrqtreletes escondido bajo una cama en casa dei -Tanógona y obispos-de Plasencia, deMainás y a uxiliarde. Ma Sr. Landriís. EÍ ¡¡¡p se oyó Uti vivó tiroteo. Nuestro correspon drid.-1;* música era nueva y compuesta- por el Sr. D. Miguel sal nos'profflíte qye en sii ptírtiera'cárta nos anunciará la rendi »£opez-Rfemacha , -y -ejecutada-por te» músicos ds la Realcámación dei fuertej…</t>
  </si>
  <si>
    <t>Langeron</t>
  </si>
  <si>
    <t>…uina de la Polonia , y una luego que llegue nuestro Emperador. Se le espera en Vanovia oara el constitución que facilitase tos adelantamientos del pueblo, hubieran 11 de Enero. El general Langeron, gobernador de la Crimea, WTftndo hecho bien pronto que la Polonia fuese el prime; astado del norte. orden de reunirse al Emperador, sea en Verana , sea en algún otro puu- FRANCIA. to del camino que debe seguir cuando salga de aquella ciudad. París 4 de Enero…</t>
  </si>
  <si>
    <t>Lansdownc</t>
  </si>
  <si>
    <t>…ora de! todo exacto J William Bentinck; entre ellas se distinguían las siguientes : lord paralelo), y apoyadas por ias del resto de Europa, quiero decir, Grosvenor , lord Gcsford, lord Lansdownc, lord Grey , lord la confederación germánica , cuyos ejércitos siguieron á Jos fran Erskine, lord Lynedoch, lord Nugert, lord John Russsll, lord ceses: iguales declamaciones hubo entonces sobre el estado de ar.trWilliam lUussell, lord Nonnanby, lord Ebrington…</t>
  </si>
  <si>
    <t>Lanza, Agustín de</t>
  </si>
  <si>
    <t>Agustín de Lanza</t>
  </si>
  <si>
    <t>…esta erupción: incitador a la desobediencia i y reunido el jurado, compuesto de los se i.° Sulfate de hierro de color amarillo con grande cantidad de áci ñores D. Agustín Cintel, D. Agustín de Lanza, D. Prudencio Her do sulfúrico y un poco di ácido muriático. Esta muestra contenía tam nández Sla.*Cruz, D. Josef Bsnjum-.'da, D. Juan González, D. An bién una sustancia rojiza, que parece *er deutoxido de hierro unido al tonio Cortes y Coíl, D. Juan Josef de…</t>
  </si>
  <si>
    <t>Lanzarote, Josef Moreno Guerra y</t>
  </si>
  <si>
    <t>Josef Moreno Guerra y Lanzarote</t>
  </si>
  <si>
    <t>…Murfi : «Pido á Jas Ramón Sánchez y D. Bonifacio Castillo sean detenidos y trasla Córtes se sirvan habilitar el puerto de Arrecife en la Isla de dados á las Islas Canarias; y que D. Josef Moreno Guerra y Lanzarote, como de segunda clase." D. Josef Aricochea sean detenidos donde quiera que se hallen, No habiéndose declarado comprendida esta proposición en ;! y trasladados á dichas Islas. art. 100 del reglamento, la retiró su autor. La comisión de Visita del Crédito públ…</t>
  </si>
  <si>
    <t>Laplana, Antonio</t>
  </si>
  <si>
    <t>Antonio Laplana</t>
  </si>
  <si>
    <t>…los comandantes de las pro guido muy particularmente los coroneles D. Juan Viliarmtva, vincias y plazas que se hallen embebidas en cada comandancia Don Josef Zigara, el .teniente coronel D. Antonio Laplana, superior, deberán corresponderse con los Señores mariscales y y. el alférez del Infante D. Cirios Espinare, quien libio de oficíales generales señalados, y ejecutar las órdenes. Esta presen manos del enemigo dos soldados franceses heridos gravemente, te orde…</t>
  </si>
  <si>
    <t>Lapucrta</t>
  </si>
  <si>
    <t>…Papas sión Eclesiástica dijo el otro dia que el derecho de estola en España destronaban á los Reyes! producía 300 millones; yo no examinaré si esto es cierto ; pero repar Dice el Sr. Lapucrta que tn tiempo de mas ilustración y en tiem tidos estos 300 millones entre ao3 párrocos que hay en España, ¡pue po de mayor calma seria mas adecuada la reforma; pero yo digo que den quedar en la indigencia! Siendo cierto este cálculo , ¡para qué ahora; asi com…</t>
  </si>
  <si>
    <t>Lapuerta</t>
  </si>
  <si>
    <t>…cían lies , y se verá de y y' r I cel pasado. que todos están conformes en esta autoridad de ia potestad civil. El Sr. presidente anunció que mañana se discutiría el voto parti El Sr. Lapuerta lia hablado también de concordatos ; i pero no he cular del Sr, Alvarez Gutiérrez , y i. vantó ia sesión á las cuatro. mos visto igualmente que á varios obispes electos no se les han expedi do Us bulas á pesar de lo establecido en aquellos mismos concordatos*…</t>
  </si>
  <si>
    <t>…que el Gobierno avísase la muerte del ex por el arriendo de la casa de su domicilio, en el pucho de su ve cindad. A los que habitan en casas de su propiedad se íes graduapresado .Sr. Lapuerta. ^ Se leyeron por primera vez varias proposiciones del Sr. Can rá por los ayuntamientos según las demas de igual clase". De cual ga, relativas á que la comisión de Guerra presente un proyecto quiera arriendo qtte se aparente menor se exigirá la muirá de una d…</t>
  </si>
  <si>
    <t>…ontribuciones que le correspon acerca de la consideración que debía tener D. Jaime Lapuerta; den como las demas corporaciones y ciudadanos. opinaba que habiendo ya fallecido dicho Sr. Lapuerta no debía El Sr. Isturiz se opuso á este* dictamen; y habiéndole conteshaber lugar á resolver sobre ello. Aprobado. bado el Sr. Oliver , quedó aprobado. Otro sobre la sohcitud de D. Victoriano Torrecilla, opinan La comisión de Casos de responsabilidad , en vis…</t>
  </si>
  <si>
    <t>Lapuerta, Jaime</t>
  </si>
  <si>
    <t>Jaime Lapuerta</t>
  </si>
  <si>
    <t>…lece en el presente decreto. certificación dada en Aranjuez, donde se manifestaba haber falle 2. -1 Se aph'ca al reintegro de este scrvicio-la séptima parte de cido en aquel sitio D. Jaime Lapuerta, diputado por la provin los bienes que el clero español debe entregar á la Nación, confor cia de Aragón. ‘ me á la bula de S. S. Habiéndose hecho la pregunta de si se pasaría aviso al suplen q.a Por med'da ó tipo de la posibilidad de cada contribuyen te se op…</t>
  </si>
  <si>
    <t>…eposición de los empleados en anunciando haber fallecido en aquel sitio el dia 23 del pasado de los ramos de la administración bajo de las reglas siguientes: muerte natural el Sr. diputado D. Jaime Lapuerta. 1. a Todo empicado cjue no lo hubiese sido por el Rey nues Tai comisión de Comercio en vista de la exposición de D. A ntro Señor antes del atentado cometido en y de Marzo de 1820 dres García de Hoyos, quejándose de la exacción del derecho de quedará desde lu…</t>
  </si>
  <si>
    <t>…ba que es Otro sobre la exposición de la dirección general de Estudios te e^tabiccim ento debe pajar las contribuciones que le correspon acerca de la consideración que debía tener D. Jaime Lapuerta; den como las demas corporaciones y ciudadanos. opinaba que habiendo ya fallecido dicho Sr. Lapuerta no debía El Sr. Isturiz se opuso á este* dictamen; y habiéndole conteshaber lugar á resolver sobre ello. Aprobado. bado el Sr. Oliver , quedó aprobado. Otro s…</t>
  </si>
  <si>
    <t>Lar, I-Uib</t>
  </si>
  <si>
    <t>I-Uib Lar</t>
  </si>
  <si>
    <t>…a, lodo corazón bierno de España mas patente ¡a icel tud ele su, serum cr-te-s \ »a cencí o».dad de sus .nter.c cines, lia elegido poi w.o ele w» eos eom.s.on.iefi.s a! e tado Sr- D. I-Uib Lar t! c.A.u 1 ..Jcnisb víu bLi O} Son bien públicos los efisturb.os y desorde’nes que* lian muclia instruec ein , ^‘.oLuistJ V afir ir a i»i :u&gt;tA'G ruñe 1a i.locuriido vn Buenos—.Aires v su inste situación política adua! , y curntancia de ser r.aUiMl uív VuÁo.…</t>
  </si>
  <si>
    <t>Lar, Manuel</t>
  </si>
  <si>
    <t>Manuel Lar</t>
  </si>
  <si>
    <t>….......,... 315,111. 840 que el.bizarro ayudante de caballería de Viilaviciosa D. Josef Benito Azcuénaga con 8p..caba!ios y *5 itifant-s, á tas ordenes del teniente a9&gt;973 de León D. Manuel Lar and i, hizo una batida por aquellas mnied.aciones, en ia cual aprehendió, á los cabecillas Miguel Naves (jabas Jusr- ■ Art. 3° ” tas diputaciones provinciales harán que se realice este Remplazo , bien por quinta ó sustitución , según mejor les convenga; tü )…</t>
  </si>
  <si>
    <t>Lara, Facundo de</t>
  </si>
  <si>
    <t>Facundo de Lara</t>
  </si>
  <si>
    <t>…P.onda, se de latín D. Josef Negrete , accésit D. Manuel Arizcun.—1 n la observa que lo que parece cierto es que unos 4 ó 6 pueblos fue de aritmética D. Manuel Arizctin , accésit D. Facundo de Lara. ron seducidos; siendo de creer qu« los franceses en este aconte __En la de ar miélica práctica D. Guillermo Chacón y Don cimiento tienen no poca parte, y que tratan por todos medios Esteban Chaix.__En las ciases de bellas letras y en la de ir úsica de llamar…</t>
  </si>
  <si>
    <t>Lara, Josef Antonio Manrique de</t>
  </si>
  <si>
    <t>Josef Antonio Manrique de Lara</t>
  </si>
  <si>
    <t>…- , de escucharlos, y de admitirlos los sitios públicos de Alcázar, que pronunció uno de sus mas con la benevolencia que os es caracteríciica , y de añadir á ellos fieles vasallos D. Josef Antonio Manrique de Lara, en medio le. nuestro?. que encargados del honor de exponerlos , ofrece de Jas bayonetas é insultos de los nacionales mas exaltados;/ mos , ademas en nuestro particular nuestros bienes y nuestras son bien públicos en esta corte el valor y entusiasmo con qu* v…</t>
  </si>
  <si>
    <t>Lara, Martin de Pineda y</t>
  </si>
  <si>
    <t>Martin de Pineda y Lara</t>
  </si>
  <si>
    <t>…alistamientos para el reem que de no hacerlo le parará el perjuicio que haya lugar. plazo de! ejército se extiendan en papel sellado. (Gaceta del so.) En vntud de providencia del Sr. D. Martin de Pineda y Lara, minis Decreto de las Cortes sobre arbitrios consulares. (Gaceta del 11.) tro logado honurario de la audiencia territorial de Castilla la Nueva , y Decreto de las Cortes sobre reclamaciones dtl Gobierno ingles. juez de primera instancia de esta M. H. villa de…</t>
  </si>
  <si>
    <t>…z en el Gabinete Je TUTE UVALES. Viena encor.traria datos para rectificar su opinión sobre este punto, y sobre las demas calumnias con que se complace en desacreditar la santa F.l Sr. D. Martin de Pineda y Lara, magistrado Honorario de Ta au causa de España. Todos los Estados de U desventurada Italia, dice diencia territorial de Castilla la Nueva , y juez de primera instancia en aquel periódico , se salvaron por la actividad del Gabinete de Austria esta M. II. vtlla…</t>
  </si>
  <si>
    <t>Lariz, Antonio</t>
  </si>
  <si>
    <t>Antonio Lariz</t>
  </si>
  <si>
    <t>…alquiera clase y dignidad, que D Simón González Yuste. D. Juan Begis de Castro. guarden y hagan guardar, cumplir y ejecutar el presente decreto en co D Nicolás Heredero y Mayoral. D. Antonio Lariz. das sus pattes.=Tendreislo entendido para su cumplimiento , y dispon D. Ramón Escrichs. D. Rodrigo Aracda. dréis se imprima, publique y circule.=Rubricado de Ja Real mano.es D. Josef Leglisi y Pinedo. D, Miguel de Nájera. En palacio á 19 de Marzo de 18 23.=A…</t>
  </si>
  <si>
    <t>Larnar, Josef</t>
  </si>
  <si>
    <t>Josef Larnar</t>
  </si>
  <si>
    <t>…sufriendo un sitio rigorosísimo; y por lo mismo yo do , y 1200 columbiar.os. Alvarado es el que manda en gefe— he pedido la palabra para estimular el zelo del Sr. secretario de El general D. Josef Larnar es presidente de la jnr.ta desgobier la Guerra, á fin de que tome cuantas medidas oslen á su alcan no__ El marques de Torre-Tagle gobernador de Lima. El Con ce para socorrer en tiempo oportuno aquella plaza , pues la tras greso celebraba sus sesiones__ Se esp…</t>
  </si>
  <si>
    <t>Larnbea, Lorenzo</t>
  </si>
  <si>
    <t>Lorenzo Larnbea</t>
  </si>
  <si>
    <t>…, ha tenido á bien resolver: do de calificación, compuesto de los señores D. Juan Regís i.° Todo militar que se halle destinado á los ejércitos de de Castro, D. Manuel Cunehüius , D. Lorenzo Larnbea, Den operaciones ó reserva, y desee asignar alguna parte de sus habe Celedonio Martínez, D. Mariano de Goicochea, D. Baltasar res á sus padres , muger, hijos ó parientes , lo harán presente por Joaquín Perez, D. Nicolás Alonso García, D. Francisco de escrito…</t>
  </si>
  <si>
    <t>Laroche</t>
  </si>
  <si>
    <t>…les que sin embargo de esto traten bien á principios que contiene. Jos franceses que se hallan domiciliados en aquella Isla. Hay ade El M. •&gt; or u ti urda '¿s dice que el fenienre general Laroche mas en dichos papeles otra alocución del gobernador Vives, con Aimon, que acaba de ascender á este grado, ha tomado el man testando á una representación que se le habia dirigido , pidiéndole do de la división que estaba á las órdenes del general Donnapermiso…</t>
  </si>
  <si>
    <t>Larrea</t>
  </si>
  <si>
    <t>…los desertores. Josei Agustín de Larrea, observaba que sin embargo de algunos Cádiz.&lt;i( Julio. defectos que se notaban en aquella podían aprobarse, asi como los poderes del dicho Sr. Larrea ; y opinaba que cuando se pre CORTES. sente el otro diputado á Cortes D. Josef Cerda , debían oírsele los motivos por que no ha presentado sus poderes , y en su vista, rRKSlDENCIA I)EI. SliSOR JENER. y siendo justos y bastantes a juicio de las Cortes, dispens…</t>
  </si>
  <si>
    <t>…que desde luego se las Cintos quedaban enteradas, y que se archivase. conocía la utilidad común que resultaba de quitar á los patronos Se Jetó por primera vez una proposición del Sr. Larrea, re los derechos personales y pecuniarios que tienen, como son nom lativa a los patronatos de las capellanías de sangre de la provincia brar administradores, intervenir en los caudales &amp;c. , por cuyo motivo opinó que debía aprobarse el artículo. de Huamanga.…</t>
  </si>
  <si>
    <t>…bjeto , dice entre otras co La comisión de Legislación presentólos suu,cites di.'t.,mcnes. sas: »Aunque á los Gobiernos. del continente no les importa Uno sobre la proposición del Sr. Larrea, relativa a que se to un bledo la religión , por lo que respecta á ellos mismos, están men las determinaciones respecto de la provincia que representa, convencidos de que la conservación de su poder depende de que opinando la comisión pasase al Gobierno para…</t>
  </si>
  <si>
    <t>Larrea, Timoteo</t>
  </si>
  <si>
    <t>Timoteo Larrea</t>
  </si>
  <si>
    <t>…l y D. Josyf Aragón, tenientes; cor .nosotros: hombres, mugeres, niúo.s cstaban.de, rodillas;, y;nos róñeles. , „ tendían ios .brazos. Lo qu; os digo, mi general ¿ es á :ía letra. Don Timoteo Larrea, D. Pedro -Saioz, Josef Fernandez, Ellos nos rodeaban , nos abrazaban , nos iiaüUbaja sus ilibertaAlonso Caneda, Josef Eouzas, D, Juan Magadan , Narciso dores: las voces di viva la JTranda , .viva el,'Rey Luis ser111. Alonso, Juan Teixtdo,, Ignacio de Barros,…</t>
  </si>
  <si>
    <t>Larreategui, Josef</t>
  </si>
  <si>
    <t>Josef Larreategui</t>
  </si>
  <si>
    <t>…Habida la conferencia, se declaró por ocho de d'chos Sres. jueces les pruebas demostrativas de asta verdad. Nunca tuvieron Grecia y Ro no haber lugar £ la forin.tciott desaína. El Sr. D. Josef Larreategui ma mas segura su libertad que cuando luchaban con enemigos exterio dijo haber lugar. res ; asi es que Gerges y Porsaoa en lugar de destruirla hicieron que D. Félix Mejía denunció al Sr. alcalde constitucional D. Lino de echase raíces mas profundas en los ánim…</t>
  </si>
  <si>
    <t>Larri, Luis</t>
  </si>
  <si>
    <t>Luis Larri</t>
  </si>
  <si>
    <t>…dos los que la componen na de voluntarios nacionales de Santiago, al mando del intrepido te si no se acogen pronto al indulto. niente D Jacobo Otero y de lo» bizarros subtenientes D. Luis Larri« Leales gallegos : herrados y pacíficos compatriotas míos: ;Qué va y D. Francisco Porras. En la noche del mismo 23 supe que los fac voz sacrilega ba resonado en este recinto , que asi os hizo olvidar de ciosos, en número de 30, estaban en las Cruces de Besejo…</t>
  </si>
  <si>
    <t>Lasa, Gregorio de</t>
  </si>
  <si>
    <t>Gregorio de Lasa</t>
  </si>
  <si>
    <t>…al hombre sus derechos, han sentido' D. Josef Sánchez Ballesteros, miliciano de caballería que ha qus la ley no debe tener excepciones: han sancionado sido en ¡a partida de un tal D. Gregorio de Lasa,' tomó el día' luta igualdad legal!!!!!! For esto hemos visto á un militar su 25 del pasado la prudente resolución de pasarse á las banderas- balterno erigirse en juez de un capitán general !!! Por esto hemos* del Rey, invitando á que siguieran su ejemplo 19…</t>
  </si>
  <si>
    <t>Lasa, Juan Bautista de</t>
  </si>
  <si>
    <t>Juan Bautista de Lasa</t>
  </si>
  <si>
    <t>…vio, acompañado su capital 39 rs., rédito 150, ambas endosadas por el cajero del de Sir II. Uavy, presidente actual de la sociedad Real de Londres, y banco en 4 de Julio de 1821 á D. Juan Bautista de Lasa, y por este en del caballero Monticelli, aficionado muy inteligente en mineralogía. 5 del mismo mes y año i favor del citado Usarralde. Y habiéndose ex SaLa la laca por e¡ lado occidental del monte báci» el píe del cono traviado dichas dos inscripciones en el…</t>
  </si>
  <si>
    <t>Lasal, Juan</t>
  </si>
  <si>
    <t>Juan Lasal</t>
  </si>
  <si>
    <t>…pez , espitan graduado de teniente coronel d i regimiento ¡nden y ademando los partidos, segnn se ha dispuesto para los propieta l-ntería he Mal,orea ; par í subteniente prirmro á D. Juan Lasal , sub rios. Siempre habrá uno por la capital , y a t mar o en los años sub teniente ¡.¡irado del de Granada, y para s'gu.do subí n ente a Don secuentes los que hayan nombrado menos d pinados según su mayor Francv-o D az, retirado con.el mismo grado dal reg.in…</t>
  </si>
  <si>
    <t>Lasala</t>
  </si>
  <si>
    <t>…Norte , y que justifiquemos sus tiéndose los restantes en esta forma: 16 el Sr. Becerra, 4 el br. Vareinicuos proyectos de sojuzgarnos! No, gaditanos: no suceda semejante la, 2 el Sr. Lasala, 2 el Sr. Marchámalo, y uno cada uno de los se desastre. ¡ Sombras ilustres del denodado Padilla! ¡Inclito Riego! ambos ñores Rojo, Fernandez Cid , Ruiz de la Vega, Nuñez Faícon , Nuñez héroes, ambos modelos de virtud y patriotismo: que vuestros caros nom (D.…</t>
  </si>
  <si>
    <t>Lasala, Alanucl</t>
  </si>
  <si>
    <t>Alanucl Lasala</t>
  </si>
  <si>
    <t>…ción de las Córtes sobre un expediente promovido tonio Roig por las Islas Baleares: D. Josef Sangenís, D. Juan con motivo de un juicio de jurados en Córdoba. (Gaceta Josef Jaime y D. Alanucl Lasala por la provincia de Aragón: del 8 ) D. Josef Alcántara y D. Miguel Busutil por la de Málaga: Don Resolución de las Córtes declarando que no escucharán propo Emetcrio Martí por la de Cataluña: D. Diego de la Vega In sición alguna relativa á variar la Constituc…</t>
  </si>
  <si>
    <t>Lasala, Manuel</t>
  </si>
  <si>
    <t>Manuel Lasala</t>
  </si>
  <si>
    <t>…inciales é intendentes délas provin tonio Roig por las Islas Baleares: D. Josef Sangenís, D. Juan cias ocupadas circulen con toda brevedad por ellas la presente ley. Josef Jaime y D. Manuel Lasala por la provincia de Aragón: Cádiz 18 de Junio de 1823.=: Por tanto mandamos á todos D. Josef Alcántara y D. Miguel Busutil por la de Málaga: Don los tribunales, justicias, gefes, gobernadores y demas Au Emeteno Martí por la de Cataluña: D. Diego de la Vega In…</t>
  </si>
  <si>
    <t>…el discurso de Luis xvur en la apertura de las tonio Roig por las Islas Baleares: D- Josef Sangcnís, D. Juan últimas Cámaras, anunciando que ioo9 franceses mandados Josef Jaime y D. Manuel Lasala por la provincia de Araron: por un príncipe de su familia, venían á reconciliar Ja España D. Josef Alcántara y D. Miguel Busutil por la de Málaga: Ron con la Europa , hace el editor las siguientes breves retiexiones, Emeterlo Martí por la de Cataluña: D. Diec…</t>
  </si>
  <si>
    <t>Lasaña, Juan</t>
  </si>
  <si>
    <t>Juan Lasaña</t>
  </si>
  <si>
    <t>…gías dulces de toas ó menos gra dos, según la inteligencia ó la práctica del fabricante. ' Madrid {Miércoles jo de Abril. Usando de esta barrilla no ss gastan más que 70 ó 75 arro D. Juan Lasaña, gefe político de la provincia de Madrid. bas por cada loo de aceite, se obtienen jábó’nés inas blancos y Hago saber que por el Exorno.. Sr. secretario del Despacho tan buenos por lo menos cómo los mejores de Mora y de Sos de la Gobernación de la Península se…</t>
  </si>
  <si>
    <t>4® pañis hasta qus la primera-tenga ¡os dos tercios de Ja fuerza, ob Madrid Tunet sj de Mayo. servándose el mismo orden can respecto á la tercera,, y *si su D. Juan Lasaña, gefe político de la' provincia de Madrid. cesivamente hasta que hayai el número'suficiente para formar » Hallándose invadido el territorio español , !y atacado su batallón.” Aprobado r Gobierno por un egército extrangero, que r-o-.ietiendo la agre Art. 7.0 »…</t>
  </si>
  <si>
    <t>…amor de la patria es la vida del salvage del Aveyron.” sar que ó sus sentimientos interiores no están en consonancia con los exteriores, ó que se han dejado engañar neciamente por Don Juan Lasaña, gefe político de la provincia de Madrid. el Gabinete de las Tullirías, como dice Mr. Brougham.” Hago saber que por el Exento. Sr. Comandante general del __Los papeles de París del 15 dicen que se había resuelto por primero y undécimo distrito, generaren gefe…</t>
  </si>
  <si>
    <t>…a. Madrid 11 dé Mayo de iüag.zzEl con estos podrá marchar á su casa, ó renovar su filiación por igual de del Avisbal. tiempo; y luego que la guerra se concluya será licenciado y __D. Juan Lasaña, gefe político de esta provincia: Hago sa atendido según los servicios contraidos y las reglas que mande ber que en este momento me noticia el administrador de cor observar el Gobierno: los dé caballería se llevarán los caballos reos de esta capital, con refe…</t>
  </si>
  <si>
    <t>Lasauca, Francisco</t>
  </si>
  <si>
    <t>Francisco Lasauca</t>
  </si>
  <si>
    <t>…entes por llegar á las manos-, y conducidos por su digno te 8 del mismo; que se están construyendo los vestuarios, y que cree que niente D. Fernando Loada , por mí y mis ayudantes D. Francisco Lasauca, antes de cumplirse el mes quedará cumplida la orden que para el efecto se L&gt;. .Mariano Gironella y D. Carlos Braunch, dado el terrible grito de le lia comunicado. Iguales avisos se han dado al Gobierno por los gefes poz Constitución ó muerte , se emprendió l…</t>
  </si>
  <si>
    <t>Lasern</t>
  </si>
  <si>
    <t>…3.= Mlguei de Soroa. =3r. gefe superior político de la provincia vecindario estaba ya cansado de sus infamias. de ¿. Svbastian. Se espera por momentos á un 06c.al del ejército d-1 Sr. Lasern» Logroño 27 ¡le Enero. para firmar un Irutado. Ei aspecto político se presenta muy favorable Boletín del 26. El graiso da U facción estaba en Earasoain con pa:a todos Us habitantes , y creemos que S. ¿Martin no tendrá ya me Santos Ladrón y Juanito en Sanfcii:…</t>
  </si>
  <si>
    <t>Laserna, D Jostf de</t>
  </si>
  <si>
    <t>D Jostf de Laserna</t>
  </si>
  <si>
    <t>…conversación , será casti nantemente en esa circular, habéis oído de boca de su represen gado con la pena que se reserva á este Gobierno. tante y vuestro actual virrey el hxcino. Sr. D Jostf de Laserna ■ 3.0 A todo aquel que denuncie las conferencias que se tratan en 4 de Enero del presente año desde el Cuzco: » La acción de en lo interior de las casas, como de las reuniones de las personas S. Martin incluye cuanto debe considerarse, y tenerse por funes sds…</t>
  </si>
  <si>
    <t>Laso, Diego</t>
  </si>
  <si>
    <t>Diego Laso</t>
  </si>
  <si>
    <t>…gravamen ó canon de un 4 por 100 cor bierno para los efectos convenientes, una solicitud del teniente co respondiente á la tercera parte del capital de la tasación, pudien- ronel D. Diego Laso , en la que suplicaba al Congreso se sirviese do redimirle en el todo ó parte en metálico. admitir la renuncia que hacia en favor dd Estado de un crédi 13.a El rendimiento del canon de que trata el precedente ar to de 60 rs. ticulo entrará en tesorería gelíer…</t>
  </si>
  <si>
    <t>Laso, Joaquín</t>
  </si>
  <si>
    <t>Joaquín Laso</t>
  </si>
  <si>
    <t>…ero de l'Vi--ero próximo. suyo, al teniente de la misma D. M :lino Fernandez Carranza1, y al Para teneduría dé libros por partida'doble, sencilla, método sim subteniente de Bailen D. Joaquín Laso de la Vega, los .cuales han ma plificado , aplicación á la contabilidad de las oficinas de la Nación , y nifestado en esta ocasión las virtudes civiles y militares de que se ha • ciencia del giro, por la noche de las siete i las nueve. llan adornados.” • • Vi…</t>
  </si>
  <si>
    <t>Lassara</t>
  </si>
  <si>
    <t>…átiva, en les de Francia y España , como V. E. lo pide en su carta de el que se hallaba el enemigo; lo cual consiguieron sin necesidad esta fecha , que me ha sido entregada por el capitán Lassara , su de combatir, en razón de haber sido desocupado. Poco después ayudante de campo; y su guarnición penetrada de mis mismo* de haber entrado estos dos cuerpos en la capital lo verificó el ge sentimientos está resuelta á sepultarse bajo sus ruinas, antas que…</t>
  </si>
  <si>
    <t>Lastache</t>
  </si>
  <si>
    <t>…rmas, 13 prisioneros, todos sus equimuy sostenido fue batida, teniendo tres individuos muertos, pag'S, incluso el del ex-general Ramírez, que hasta los entor herido mortalmente su comandante Lastache con otros dos ó chados que llevaba puestos obran en mi peder, y les 10 que !• trrs, cogido 1 5 prisioneros, siete fusiles y una caja de guerra, acompañaban no se hubieran escapado si hubiese tenido fuerzas pudiendo decirse queda destruida totalmente, pues el…</t>
  </si>
  <si>
    <t>Latnbea, Lorenzo</t>
  </si>
  <si>
    <t>Lorenzo Latnbea</t>
  </si>
  <si>
    <t>…a, en donde por cl gcfe Antonio Marco, Di'Saturnino' Lozano , D. Tomas Torresar.o , D. Mu de ella se les ciará noticia del dia en que haya de celebratse el remate nuel Carnicero y D. Lorenzo Latnbea. de ia empresí,-y las condiciones con que deba verificarse.-............ Habida la conferencia , sj declaró por unanimidad « habit logar á la • • ---------------------------------formación de causa.” D .hiendo salir la Corbeta de la armada nacional nombrada D…</t>
  </si>
  <si>
    <t>Latorce, Joaquín de</t>
  </si>
  <si>
    <t>Joaquín de Latorce</t>
  </si>
  <si>
    <t>…a de Arjona. tamiento constitucional, que muchos han debido á pasar suyo quedar Se procedió á la elección de visitador para la audiencia de Mallor se sin ellas. ca entre los Sres. D. Joaquín de Latorce, D. Josef Urrutia y Asía- El Sr. García del Barrio ha organizado una compañía de volunta tía y D. Felipe López Valdemoro, cuyos sugetos estaban propuestoi rios, los cuales han sido armados por el ayuntamiento. Los alumnos de por la comisión, quedando elegido…</t>
  </si>
  <si>
    <t>Latorrc, Bernardo</t>
  </si>
  <si>
    <t>Bernardo Latorrc</t>
  </si>
  <si>
    <t>…e la ciudad, y en de Santiago y 30 infantes dei de Air ea, todos al mando del co seguida continuó teda la contitiva por las calles de S Pablo,de ronel de dicho cuerpo de .Santiago D. Bernardo Latorrc. la ¿ierpe y de Genova hacia el alcázar; en todo este tránsito ss Sevilla si de Abril. hallaban colgados los balcones, ventanas &amp;c.; y á pesar de la co El viage de S. M. desde Madrid hasta esta capital hs sido un piosa lluvia que estuvo cayendo toda La mañana…</t>
  </si>
  <si>
    <t>Latorre</t>
  </si>
  <si>
    <t>…guerra mismas. ingleses, lo que contribuye á ahuyentar á los piratas de estas aguas. El Sr. Surra obtuvo la palabra y dijo: Hoy es uno de los días que En Puerto-Rico descubrió el general Latorre una conspiración de in reputo por mas felices de mi vida; lo primero porque tengo el distin teligencia con la canalla de Sto. Domingo, y cuyo principal fómes se guidísimo honor de ser intérprete de los sentimientos de mis compa bailaba en los Estados-Unidos,…</t>
  </si>
  <si>
    <t>…olunta tía y D. Felipe López Valdemoro, cuyos sugetos estaban propuestoi rios, los cuales han sido armados por el ayuntamiento. Los alumnos de por la comisión, quedando elegido ei Sr. Latorre por 60 votos de 9r. la universidad central han formado un batallón , cuyo mando han da La comisión de Hacienda &gt; en vista una solicitud de D. Agustín do al Sr. diputado de Cortes D. Facundo Infante. Los señores oficiales Guajardo y Fajardo para que se le perm…</t>
  </si>
  <si>
    <t>…r dió la vela con el dinero y vestuario que tenia ú bordo destinados calor__El parte de esta importante acción dice el mismo Guan para el ejército patriótico. tero lo recibió) del Sr. Latorre el capitán de dragones del Rey Pocos minutos antes de salir dicha tripulación , compuesta !u Trivif.a, estando hoy en su compañía. Tal es el termino de los mayor parte de americanos, envió) al gobernador los recibos de enemigos de la patria, sellado con la et…</t>
  </si>
  <si>
    <t>Latour, General</t>
  </si>
  <si>
    <t>General Latour</t>
  </si>
  <si>
    <t>…los hombres fuesen capa Manzanares el dia 20, y llegó á aquella cuidad á las dos de la ces de haber hecho cosa contraria aL bien general y al voto de mañana del 21: se presentó al Sr. General Latour, que lo reci los pueblos, única guia que siempre se propuso en toda su con bió con el agasajo mas propio de su carácter, y á las cuatro de ducta. la tarde mandó hacerle ia entrega del reo con sns tres compañe En efecto, desde el primer paso que dió en el terr…</t>
  </si>
  <si>
    <t>Latour-Dup.n</t>
  </si>
  <si>
    <t>…uelmenta, los ven con horror; y aunque Mina dirqido el enemigo d:»de M iyá hacia Castei-Tersoi, hab.a dado se sirva de ellos los detesta; pues hay oficiales de los mismos orden al general Latour-Dup.n para salir de Cal des con el 18.0 que hicieron la guerra en idoy, y el general español no podrá tejimiento de línea, y dinjirse á Moya para atacar al enemigo en olv.dar que él y su lio los combatieron con encarnizamiento. cualquier número que fuese. Ejecutado…</t>
  </si>
  <si>
    <t>Latrc, Manuel de</t>
  </si>
  <si>
    <t>Manuel de Latrc</t>
  </si>
  <si>
    <t>…: sus indivi de dragones titulado del Soberano.” duos todos , dispuestos á sacrificarse por su legítimo Gobierno y por el honor de su patria, no pueden mirar con indiferencia atro Don Manuel de Latrc, brigadier de los ejércitos nacionales, go pellada la suprema autoridad de V. A. S., barrenadas las leyes bernador militar de esta plaza. que nos gobiernan, y ultrajada la nación por quien solo ha venido Habiendo determinado la junta de defensa que se aumente…</t>
  </si>
  <si>
    <t>Latre</t>
  </si>
  <si>
    <t>…, de guerra á D. Vicente Sánchez Sandino—Por vicario dé la actual guerra;;p?ro en esto se padeció equivocación , pues general á D., Miguel López de Baños.—Por ayudante de campo el Sr. Latre nes ha hecho saber que no se suscribió á esta propo^- del Excincu Sr., general en gefe el teniente coronel D. Juan Dos'icion. ! - mec, primer ayudante del regimiento infantería de Guadalajara. __A las inmediatas órdenes del Excmo. Sr. geperal en gefe el -Orde…</t>
  </si>
  <si>
    <t>…n singular agrado. generales de distrito, gobernadores de piaras .-¡ti 1 .Se levó un oficio del Sr. diputado luíante v otro das ó declaradas en estado de sitio, v «rfes políti del Sr. Latre, participando á las Corles que admi cos de las provincias puedan baccr salir de aquel tían los destinos que e¡ Gobierno Les balda conl'.-i ido silio o del lorriturio español á cualquier segeto que en virtud de autorización de las mismas. Estas con ofrezca sos…</t>
  </si>
  <si>
    <t>…a de si se ad ción permanente. mitirían votos á favor de cualquiera. dalas Sres. que se hallasen Señores : El Rey ha tenido por conveniente y aun necesario en el caso del referido Sr. Latre , se decidió por la afirmativa. que se congreguen las Cortes extraordinarias para que deliberen Los Sres. nombrados ocuparon sus respectivos asientos, y el sobre una exposición que presentará el Gobierno de S. M. acerca Sr. presidente dijo: Las Cortes extraor…</t>
  </si>
  <si>
    <t>Latre, Manuel de</t>
  </si>
  <si>
    <t>Manuel de Latre</t>
  </si>
  <si>
    <t>…spóticos, y otra de las naciones avasa Cádiz 14 de Agosto de 18ag. = Manuel de Latre. lladas. Aquellos se desprenden ante toda» cosas de los sent: míen- Caudillo. El Sr. brigadier gobernador D. Manuel de Latre. tos de justicia y rectitud que la naturaleza les dicta , nial que les Segundo ídem. Coronel D. Juan Doz. pese, y llenan este vacio con la ambición y el orgullo. En ral es Ayudantes. D. Braulio López. D- N. Buruaca. D. Gabriel tado no reconocen ley alguna div…</t>
  </si>
  <si>
    <t>…sta Cádiz 4 de Setiembre de 1823 .2= Manuel de Latre. comisión, he despachado oficiales que corran á tratar con los gefes que se hallan mandando cuadros en esta provincia, para ex Don Manuel de Latre, brigadier de los ejerc.tos nacionales, plorar su parecer v el de ¿os oficiales, ¿ igualmente como depen y gobernador militar de esta plaza dtc. diente del general en &lt; Ac del tercer ejército Je operaciones que . Exigiendo las circunstancias que cada dia aume…</t>
  </si>
  <si>
    <t>…Ja autoridad militar. El Sr. Benito : Los señores preopinantes han puesto un argu Ayer se publicó el siguiente bando. mento que á primera vista tiene mucha fuerza; pero que es ne D. Manuel de Latre, gobernador militar de esta plaza, con con cesario examinarlo i fondo para convencer á los mismos señores sentimiento del excelentísimo señor comandante general de es que desaprovecha , á la prueba de la necesidad de que se conce ta provincia, y de acuerdo co…</t>
  </si>
  <si>
    <t>…e español, la gloria de nuestras armas, y los intereses de la Dominios esputóles y portugueses en la América mcridirnal. patria. Del establecimiento de los jesuítas en el Uruguay. Don Manuel de Latre, brigadier de los ejércitos nacionales, go Enemigos declarados del progreso de las luces y de toda me bernador militar de esta plaza. jora social , los Gobiernos español y porta.‘.ues no pensaron nunca La medida dictada por mi de acuerdo con la junta de defen…</t>
  </si>
  <si>
    <t>…ona;.rrDios guarde a V. S. muchos Lisboa ¡ de Agoste. años. Cádiz 3 0 de Octubre de 18 2 3, = Cayetano Valdés.rcSr. Tos nu! intencionados no cesan de* publicar noticias disparata* D. Manuel de Latre.” das v alarmantes En estos dias últimos han circulado voces de La comunico á las tropas del ejército permanente, milicia desórdenes ocurridos en Oporto, y de haberse fugado parte del activa y local , y habitantes de esta ciudad para su inteligencia y número…</t>
  </si>
  <si>
    <t>Laureano</t>
  </si>
  <si>
    <t>…a , y un le formó con motivo de las desagradables ocurrencias da princi concurso numeroso del pueblo que la tarde anterior se había al pios de Julio del año último, por el abogado D. Laureano de borotado , y por condescender con su deseo se mandaron exten Jado; documento interesante para la historia del furor revolu der los lienzos en las gradas del atrio de la catedral vieja, don cionario en aquellos dias. Se vende en las librerías de Sojo y de e…</t>
  </si>
  <si>
    <t>Lauriston</t>
  </si>
  <si>
    <t>…on con intrepi hemos tenido algunos hombres heridos, pero ninguno de peligro’. dez , y matándole? un gran número les hicieron bastantes pri El general Vallin habiéndose reunido al general Lauriston, sioneros. El enemigó sé esforzó también en salvar su pieza de á ha continuado persiguiendo al enemigo, y ha tenido conocimien ocho y su obús; pero cayeron igualmente en poder de nuestros to el 23 de que la caballería de López Baños se había precipi Calientes…</t>
  </si>
  <si>
    <t>…tenido por resultado hacerles prisioneros aco hombres, Parece que se trata de la formación del segundo cuerpo de y seguía la persecución del enemigo. reserva , que debe mandar el mariscal Lauriston. Ya se han</t>
  </si>
  <si>
    <t>…efenderse hasta el último uance ; pero tienen na. El sitio de esta última plaza va á comenzar bajo la direc contra sí la mayor parte de la población, y es probable que mu ción del mariscal Lauriston, y después cmprsndeiá el de Léri den'de propósito luego que nuestra artillería esté en posición de da. El bloqueo de S. Sebastian y Santoña continúa con el ma batir la plaza , que está dominada por todas partes. yor rigor, y se sabe hace algunos dias que la f…</t>
  </si>
  <si>
    <t>…ha manifestado también su opin:on que S. A. R. el duque de Angulema debía regresar á París, acerca de que esta fuerza tutelar debía estar sujeta únicamente á la reemplazándole el mariscal Lauriston; y esta circunstancia ha he autoridad municipal. Pero es necesario decir que no nos sorpren cho dudosa ia noticia que por el pronto habia logrado algún cré de el verla subordinada á ¡a omnipotencia de los prefectos. En dito. No se hacia creíble que el nuevo m…</t>
  </si>
  <si>
    <t>…la provincia el oficio que á continuación copio: Con fecha del 4 escriben de las inmediaciones de San Sebas » Excmc. Sr.: V. E. ha visto antes de salir la tranquilidad tian que el mariscal Lauriston va a establecer en Tolosa su cuar y profundo respeto con que este pueblo ha visto la salida d« tel c. neral. S. M.; jamas en circunstancias tan críticas y dudosas ninguno ha Se dice que se juntarán al rededor de Pamplona io9 hombres manifestado tanta sensatez…</t>
  </si>
  <si>
    <t>Lauríston.den</t>
  </si>
  <si>
    <t>…ompone en lo general de Friburgeses y Appenzelleses. inútil la intimación hecha al gobernador de S. Sebastian por elPor lo respectivo á ¡os dos regimientos de granaderos que se pi mariscal Lauríston.den para el servicio de la córte de Ñapóles, no hay apariencias de poder reclutar mas que una tercera parte, no obstante las gran Se ha extrañado sobremanera que el Monitor haya inserta do , sin comentario alguno, la famosa proclama de D. Carlos d*des esperanzas…</t>
  </si>
  <si>
    <t>Lauristop</t>
  </si>
  <si>
    <t>…o una carta de París que entre otras cosas dice lo Extracto de la sesión del día 11 de Julio. siguiente: Se leyó y aprobó el acta de I3 sesión anterior. »E1 nombramiento del nuevo mariscal Lauristop para man Se mandó pasar á la comisión primera de Hacienda una expo dar el segundo cuerpo de reserva que se está formando, se m:ra sición del comandante de] barco de vapor ingles, pidiendo se le como una señal de que el ministerio francés está persuadido que p…</t>
  </si>
  <si>
    <t>Lauviston</t>
  </si>
  <si>
    <t>…cada partido habrá un capitán general á cuyas órdenes es Partí a de Julio. tará toda la guardia del departamento, y aquel á las del prefecto. Un periódico decia esta mañana que el mariscal Lauviston no Ninguno podrá ser capitán general sin ser elector del gran cole se limitaría á entrar en Navarra, sino que se creía que iriaá Ma gio. Preciso es hacer alto para dar lugar á algunas observaciones drid ¿ reemplazar á S. A. R. el duque de Angulema que debe he…</t>
  </si>
  <si>
    <t>Lava</t>
  </si>
  <si>
    <t>…aderos españoles: confiad en Jas autoridades que &lt;-s go Obispo español octogenario (el de Orihuela). Puesto en pie el biernan; y vuestra noble conducta atraerá hscia vuestro R-y á Sr. Lava! brindó á la salud de su Soberano, y fue correspon aque los hijos que se le han desviado ,■ aumentando asi ei núme dido con una triple aclamación de viva Luis xvui, En s-guida ro d su» súbd-.tos fieles. el respetable Obispo español expresó sus votos por la re…</t>
  </si>
  <si>
    <t>Laval-, Duque de</t>
  </si>
  <si>
    <t>Duque de Laval-</t>
  </si>
  <si>
    <t>…ndió d.b lmcnt**. Ayer 29 en la congregación que se tuvo después de la sexta Ei Sr. presidente de ¡a Reg-ncia pasó al puerto de San úcar, tn&gt;sa de novenario fue recibido el Excmo. Sr. Duque de Laval- en compañía del primer Secretario de Estado , y ambos admira Montmorency , Embajador extraordinario de S. M. Cma.; y ha ron la actividad que aili rema en ios preparativos marítimos biendo manifestado iguales sentimientos de parce del K‘y Luis contra Csdiz baj…</t>
  </si>
  <si>
    <t>Lavandera, Pedro Alcántara Diaz</t>
  </si>
  <si>
    <t>Pedro Alcántara Diaz Lavandera</t>
  </si>
  <si>
    <t>…s de Torrijos y Almorox, en la de Toledo. nes de Sierra Morena y Andalucía a D. Pedro Polo de Alcocer; La Dirección lia oido sobre el particular á la Contaduría ge la de Segovia á D. Pedro Alcántara Diaz Lavandera, y la de neral de Rentas provinciales, y conformándose con ru dictamen, Soria á í&gt;. Jtiah González Bango. Tendí ase entendido en el Con ha acordado decir á V. que estando muy terminantes el Real sejo para su cumplimiento.rcEstá rubricado de la Real mano.r= de…</t>
  </si>
  <si>
    <t>Lavina-----Primer, Lino</t>
  </si>
  <si>
    <t>Lino Lavina-----Primer</t>
  </si>
  <si>
    <t>…yor, el coronel D. Josef Sánchez Boafo oficial jubilado de la secretaría dei Despacho de la Gobernación de lí El R-y ha expedido el decreto siguientr : Península___Primer ayudante general D. Lino Lavina-----Primer ayu. Don Fernando vu por :a gracia da Dio» y por la Constitución de dante general el coronel del regimiento infantería de Soria D. Francisco la Monarquía española , Rey de las Espinas, a todos los que las pre Figueras.__Otro ídem el coronel D. Antonio Puig, t…</t>
  </si>
  <si>
    <t>Lázaro</t>
  </si>
  <si>
    <t>…nterin se o-la! i eco vina leuisiaeion per 3). Juan de la Serna Salcedo. D. Agustín de Gyii- manente «pie prot ja la Liheitnd moderada de la im corchca, J). Andrés José de Campos. D. Lázaro de prenta repiimieid’ ios corsos y abu.-o- que resul lil-'jalde , H. f rancisco Antonio de Carraza y D. An tan de la 1. v de 1 &gt; de Julio tlt* 1S21 , . r ar provi tonio Olazarra, para ver la denuncia hecha por D. José sionalmente en esta ciudad uu.i comisión…</t>
  </si>
  <si>
    <t>Lázaro, Fr.nciaco</t>
  </si>
  <si>
    <t>Fr.nciaco Lázaro</t>
  </si>
  <si>
    <t>…tó , Gregorio Morentc y Juan Jiménez. Al seg-in.lo ayudante D. Ma encu nt o , noticiándole la ditcccion en que la verificaban. Con arregio nuel l’eín Espiga, y al v-piun graduado D. Fr.nciaco Lázaro, del ba i las in,trucc¡oru-&gt; dei comandante de I* línea aguardaron en silencio tallón de Sigíienza , que - pesar d.- o e»cab:cio á-l terreno sí precipi que el enemigo atravesase todo el llano par?, caer sebre su retaguardia, taron con sus cabidos s^brí lo» fr…</t>
  </si>
  <si>
    <t>Lázaro, Francisco</t>
  </si>
  <si>
    <t>Francisco Lázaro</t>
  </si>
  <si>
    <t>…oucs de Salamanca , en cabeza d.rl que V. mandó : mi primera atención fue destacar dos con el capitán contador Juin Ter d: los Ríos y sucesores en su mayorazgo, de 22,828 graduado D. Francisco Lázaro pata que escoltasen el convoy , al mis mrs.: otro 02-44,89.; mrs. situado en el propio servicio de millón:* mo tiempo que el primer ayudante D. Francisco de Obregon desplega de Salamanca y sil provincia, en c-tb-za del precitado-Juan 1er de los ba los cazador…</t>
  </si>
  <si>
    <t>Lázaro, Mariano</t>
  </si>
  <si>
    <t>Mariano Lázaro</t>
  </si>
  <si>
    <t>…mez á 14 rs., y en Cádiz en la de Atarch y compañía; en Zaragoza en roidales no sean producidas por ia expansión del gas en lo .ut ror de la de J.íuregui; en Calatayud en casa de D. Mariano Lázaro; en Tala materia de que se componen. F.n el g. lr nete del caballero Monti- razona en la de D. Santos Fontana; en Soria en la de D. Rafael de la celli hay un globo semejante i los indicado» , el cual es hueco, y Orden : su precio es «1 mismo que en Madrid. EN…</t>
  </si>
  <si>
    <t>Lcoii</t>
  </si>
  <si>
    <t>…añola para que vengan ú actual me d.ce io siguiente : ~Lx,:ro. Si. : A^iva i.i C'ea ri;;;— ffiiariv cjcÍcijuS , v a confuir»**-** uii runín f c-tárcríi^s ¡iiuunos c:ou. Li cap ten D. Lcoii . vrueUo , corr.inei mt- C. c .eauir i vr .os de este cscv'to , dntno del mismo conde D. Julián, ó de que ha salido de cta cap (si en pus, cuc.cn del i'.;», c .V,es, ctuiqu era otro t.ador famoso. » Cien mil soldados (dice), man me dice desde Piedrah.ta con f…</t>
  </si>
  <si>
    <t>Lcpez, Josnf</t>
  </si>
  <si>
    <t>Josnf Lcpez</t>
  </si>
  <si>
    <t>…frarces Observador bastitano de Baza de los días 19 y 13. En el Grito de Rie odioso: recibid la cadena, y pasad amarrados por d.-lar.te de los orgu go se inserta una exposición de D. Josnf Lcpez , teniente de milicia ac llosos serviles. Pero no, queridos compatriotas-, perdonad. Para qua tiva de Ronda , d rígida á M. M. Cristianísima, cod la cual le acom poda!» sucumbir á U fuetzz extrangera seta preciso que olvidéis vu spaña el diploma de 'a orden d…</t>
  </si>
  <si>
    <t>Ldlo</t>
  </si>
  <si>
    <t>…e he opuesto al total del proyecto; y ciñiéndomeahora al articu yor número. lo, no le apruebo poi que no guarda proporción con lo dispuesto En este 2.0 escrutinio tuvo 49 votos el Sr. Ldlo, 18 el señor en el anterior , ni tampoco la hay en que paguen lo mismo los Zulueta, 18 el Sr. Navarro Tejeiro, y 21 el Sr. Diez. Total 121; ciudadanos por un pleito que interesa en io ó 12O rs. que por mas no habiendo reunido ninguno de estos Sres. la mitad m…</t>
  </si>
  <si>
    <t>Le</t>
  </si>
  <si>
    <t>…lle subalternos. De nuestra parte ha habido 14 muertos, los dos gada para conservar la tranquilidad; pero luego que nuestras oficiales , y 40 heridos. Entre estos se encuentran ei coronel Le tropas llegaron , se les reunió este cuerpo á las voces.de viva el Ravasseur, del 8.a ligero; el capitán de Vetnege, del estado Rey. Los habitantes de Granada, eminentemente realistas, han mayor general, y el capitán Costa-Magna, del 4.“ ligero. En manifestad…</t>
  </si>
  <si>
    <t>Le-Cor</t>
  </si>
  <si>
    <t>…servido para hacerlo mas apreciable á los ojos Pinto comandante del Puerto , y Edgar su segundo , se han uni de la Nación: este es uno de aquellos casos en que los raros de do al general Le-Cor. la indignación real iluminan pero no consumen. Estamos seguros No ha habido todavía hostilidades, ni se cree que las Lava: de que los sentimientos de la mayor parte de la guardia nacional sin embargo algunos criollos de distinción han sido arrestados en son…</t>
  </si>
  <si>
    <t>Leandro</t>
  </si>
  <si>
    <t>…los que hayan prestado con anterioridad La corros.or. de Visita de tribunales, en vista de ¡a exposición de dicho servicio en el egército , armada ó milicia nacional activa por es D. Leandro oubin «L s.eiis, en que pedia la exención de! cargo de vi- pacio de seis años." s i ifirir aue !.- I ,,b¡an conferido las Cortes , opinaba qu ■ dsbii acceder D-spuas de haberse discutido este artículo quedó aprobráo. ía á su soiic.tud, v propon a la terna sig…</t>
  </si>
  <si>
    <t>Lebroun, Manuel</t>
  </si>
  <si>
    <t>Manuel Lebroun</t>
  </si>
  <si>
    <t>…un bagage, con solo una ga muchos efectos de guerra; teniendo también la satisfacción de ver lle lleta por plaza y tres puñados de maíz repagados para cuatro dias, gar al teniente coronel D. Manuel Lebroun , el cual hab;a sido enviado rompió ¡a marcha por un país desconocido ,despoblado , árido y lleno d spues del paso del Sicui con el objeto de intimar la rendí con al de promontorios de arena. comandante de las fortalezas de la barra, y‘volvía con una capitu a…</t>
  </si>
  <si>
    <t>Lecor</t>
  </si>
  <si>
    <t>…estado siguiendo á su comercio y marina. De la milicia N. V. de la Baúeza. Por el Trafalgar , procedente de Montevideo en 68 dias, sabemos De la milicia N. V. de líírcen3. que el general Lecor, que se declaró por el Emperador del Brasil, se El Sr. Sotos leyó las siguientes bases para el arreglo en la parte mantenía en Jas inmediaciones de aquella ciudad con la caballería y al económica del clero español. guna tropa que le estaba adicta. Las europea…</t>
  </si>
  <si>
    <t>…distrito de Schelestadt. Algunos la zada su Operación para hacer embarcar las tropas, huyo ■; incor bradores de Erslatein se vistieron de españoles, y tuvieron Una porarse con el general Lecor. Esta misma escuadra, compuesta riña con otros, á quienes batieron. El vestido de Jos vencedores dedos fragatas, dos corbetas, un bergantín, una escuna y una parece que ha dado á este asunto cierto colorido político. galera armada en guerra, salió ele Ráo-Jan…</t>
  </si>
  <si>
    <t>…ue alcanzan hasta 2 ^ de ñor D. Tomas Jodd—W alson. Enero, los habitantes de Montevideo se habían negado á entregar Estado del reemplazo extraordinario decretado por la» Cortes al general Lecor cierta suma que acostumbraban á pagarle; y aun en 8 de Febrero del corriente ano en el dia de la fecha. que se dijo iba á poner sitio á la ciudad, parece que se mantenía Número de quintos entregados en caja sin deducción de los ex en S. Josef esperando la ren…</t>
  </si>
  <si>
    <t>…nmensa indiada, no vSe nombró para la comisión de Poderes en lugar pueden tomar paite ni prestar auxilios, v lo peor de los Ares. Falcó, Arias, González(1). Manuel), Cue es que el general Lecor se halla cerca de la plaza vas y Fuentes del llio, á los &gt;Sres. Munaniz, To con sus avanzadas, v esperamos se estreche el sitio mas, Pedralvrz, Serrano y Quiñones. de un mormullo á otro. Los voluntar ¡os reales, des El Sr. Presidente anunció que mañana contin…</t>
  </si>
  <si>
    <t>…en su seno. Tampoco era verosimi! que por poca lo de reino á un hijo que tiene en estado de soltero; y para fun política que tuviese el Gobierno de Luis vxm quisiese prestardar el general Lecor er. la misma provincia su gran ducado, y un apoyo ilimitado á los furores j venganzas de esta facción cruel,donde nosotros seremos también sus barones, condes y marqueses.” sanguinaria, intolerante, fanática , perseguidora , y en fin capaz NOTICIAS DE LA PENI…</t>
  </si>
  <si>
    <t>Ledesma, Manuel</t>
  </si>
  <si>
    <t>Manuel Ledesma</t>
  </si>
  <si>
    <t>…oodejar. extraordinario del egército, ha tomado todas las disposiciones conve D. Juan Paz. D. Josef Escarano. nientes para que uno y otro servicio se verifique con ia brevedad que D. Manuel Ledesma. D. Tonbio Roldan. exige su importancia; y sin embargo de las dificultades que se han D. Benito Medrano. D. Francisco Rodríguez de Gue ofrecido con motivo de la coincidencia de los dos sorteos, y el de la D. Leonardo Gil de la Cuesta. vara. sexra pane de la m…</t>
  </si>
  <si>
    <t>Legar, Ramona</t>
  </si>
  <si>
    <t>Ramona Legar</t>
  </si>
  <si>
    <t>…echa de 10 de Agosto próximo pasado remitió D. Miguel de les , único hijo que le quedaba bajo su patria potestad , equipado á sus Zavaleta , del comercio de Zaragoza , á los Srcs. Doña Ramona Legar expensas; y al mismo tiempo que S. M. recibe gustoso tan precioso do ía é hijo , del comercio de írun, por el correo que fue robado y que nativo, se ha servido mandar manifieste V. E. en su Real nombre á mado f dos billetes de indemnización de la tesorería ,…</t>
  </si>
  <si>
    <t>Legma, Fermín</t>
  </si>
  <si>
    <t>Fermín Legma</t>
  </si>
  <si>
    <t>…tarde del a8 del mes último salió del pueblo de nisterio de Estado. Elizondo para el de Valcarlos una columnei ai ii.«ndo del comandante Madrid Jueves 9 de Ere-:-. de operaciones D. Fermín Legma, compuesta de unos ido hombres, á saber, 8o del batallón ligero cazadores de Pamplona, 4.1 compañía, •» El Rey se resiente nuevamente de un ligero ataque de gota en el que según tenemos insinuado en uno de nuestros números anteriores, pie derecho. S. M. la Re…</t>
  </si>
  <si>
    <t>Leguia, Fermín</t>
  </si>
  <si>
    <t>Fermín Leguia</t>
  </si>
  <si>
    <t>…da fuerza armada que »,Precedido el aviso de que los facciosos, arrojados de este punto por él ha pasado ; en este couc pío ruego a V. ó. lo eleve todo á la hace pocos días por el capitán D. Fermín Leguia , habían vuelto á él en superioridad para qu: se ex ja la satisfacción suficiente al ultraje que número de 40 armados, y de que con la mayor actividad «e hallaban ha padecido el pabellón español, y lo» hechos a nuestro sistema, pue* construyendo una casa fuer…</t>
  </si>
  <si>
    <t>Lei-, Lorenza de</t>
  </si>
  <si>
    <t>Lorenza de Lei-</t>
  </si>
  <si>
    <t>…icuos, se sucesivo sobre los títulos de Castilla: 3.0 El sueldo íntegro del ha visto en las mayores agitaciones; y conociendo que el inmor finado General Elío /señalado á su viuda Doña Lorenza de Lei- tal Morillo , este campeón de los héroes justos, este invicto guer zaur, pasará por fallecimiento da esta á sus hijos D. Bernardo, rero, que forma el honor de la España, se aproximaba, con la Doña Marta de los Dolores, Doña María Concepción y Doña Je delibera…</t>
  </si>
  <si>
    <t>Leida</t>
  </si>
  <si>
    <t>…la espada para defender sus privile Sesión de! día 9. gios. Recuerda lo» nombres de algunos cardenales que han manejado las riendas del Gobierno , como el cardenal de Amboisa , el cardenal Leida y aprobada el acta de La art-rrior , las Cortes overon con de Lotena, el cardenal Richelieu y el cardenal Mazarin; pero nos ad aerado , y mandaron se insertasen en el D arío ¡as siguientes lelisitaciomita que se olvide de los cardenales Dubois y Alberoni. nes…</t>
  </si>
  <si>
    <t>Leira</t>
  </si>
  <si>
    <t>…aron al sagrado ministerio del sacerdocio hombres inmundos, cuerpos. que escandalizan á los pueblos con su ignorancia y su relajación , los que » La primera columna , al mando del capitán Leira tomó la derecha apoyados en sus l'órmuias, y presentándoos papeles que saben bien no por el puente Arcediago, y ¡a segunda, mandada por el digno teniente entendéis, se apodeian con pleitos é intrigas de lo que á fuerza de tra Robles , se dirigió conmigo por l…</t>
  </si>
  <si>
    <t>…facciones. pletamente su deber. Madrid Marta 8 de Abr:l. » Esta horda de bandidos , que afligía i los pueblos con sus robos y excesos, ha sido enteramente deshecha; y á cargo del capitán Leira, A pesar de que muchos profesores del arte de curar nieguen que los que marchó á Mellid con su columna, queda el perseguir el resto si invacunados , después de pasar la verdadera vacuna , puedan contraer las volviese i aparecer, como igualmente auxiliar i los…</t>
  </si>
  <si>
    <t>Leira, Bernardino</t>
  </si>
  <si>
    <t>Bernardino Leira</t>
  </si>
  <si>
    <t>…po la dignacion^de insertar en aquel la alocución Extracto de partes comunicados i esta comandancia general que S. E. dirigió á los quintos al principiar la comida, y de la por el comandante D. Bernardino Leira , que manda la colum que para el efecto incluyo á vds. el adjunto egonpiar. na de M. A&gt; del Ferrol establecida en Meltid en persecución de »&gt; Soldados: Al imaginar vuestra docilidad, vuestra sumi facciosos. sión y el noble y generoso desprendimiento con que a…</t>
  </si>
  <si>
    <t>Leite, Francisco de Paula</t>
  </si>
  <si>
    <t>Francisco de Paula Leite</t>
  </si>
  <si>
    <t>…eral Juan de Silveira: del reino de los Algaibes el general Antonio de Silveira Pinto: de ia provincia de Alentejo el general conde de Barbazena: de la provincia de Extremadura el general Francisco de Paula Leite: gobernador de la plaza de Almeida el general Manuel Pinto de Silveira: presidente y gobernador del consejo de Justicia de Oporto el consejero Andrés Pinto de Sousa. La fuerza armada, llamada tercera línea, que comprende todos los hombres, de cual quiera grad…</t>
  </si>
  <si>
    <t>Leiva, Luis de</t>
  </si>
  <si>
    <t>Luis de Leiva</t>
  </si>
  <si>
    <t>…Habiéndose avenido en juici» de conciliación I01 cuatro alcaldes 10 de dicha villa , con la idea de hacer lu provisión en «I sug-to que const tu clóneles de la ciudad de Málaga y D. Luis de Leiva, responsa ble del r.ím. 9 del Afwtillo Malagueño, denunciado por dichos seño sea mss benemérito. Caricatura nueva. El servil prisionero y rendido ante la Constitu res alca'des como injurioso á ellos , se mandó sobreseer en el seguimien ción en ei memorable 7…</t>
  </si>
  <si>
    <t>Lema</t>
  </si>
  <si>
    <t>…e gloriarse la villa de dos 490.—El duque de b. Lorenzo 2600__ El caballero Onis, Alcázar de haber sido ¡a primera que ha dado ejemplo á la pro ú’timo ministro en Londres, 1300—El Sr. Lema, cónsul gene vincia de la Mancha, llenando de consternación las tropas revo ral de España en esta capital, 5 o— El Sr. Bernetti, vice-cónlucionarias de esta capital. sui de España, 130—El teniente coronel de artilleriz Cueto, » Dígnese V. A. S. admitir los de…</t>
  </si>
  <si>
    <t>Lema, Ignacio Fercz de</t>
  </si>
  <si>
    <t>Ignacio Fercz de Lema</t>
  </si>
  <si>
    <t>…,000 aquel pérfido Gabinete que solo abriga ideas de dominación. Por el conde de Toreno. ................. 5,000 En prueba de que esto no es una paradoja, trascribiremos de la Por D. Ignacio Fercz de Lema. . . 2,000 gaceta del 3 de Jubo último las siguientes palabras, dichas por Por los comisionados del empréstito. 2,000 el barón de Montakmbcrg en el discurso que pronunció en la Por D. Aurelia no Beruete............... roo Cámara de los Pares en la sesión del…</t>
  </si>
  <si>
    <t>Leman</t>
  </si>
  <si>
    <t>…esa que ha de conducir á Iturb.de; que al cap.tan de esta se le atizados y aun favorecidos por el'dcspotismo europeo, hayan ¡le ha avisado que el d¡3 9 ha de dar la vela, y que el Sr. Leman v se cho llegar sus huestes hasta este baluarte inexpugnable de la liber lia negado a dar el pasavante ó resguardo que le ha pedido púa tad del mundo; Sus falanges se estrellarán contra los pechos de ios. que ia goleta no sea molestada por ningún buque españo…</t>
  </si>
  <si>
    <t>Lemaur</t>
  </si>
  <si>
    <t>…de aquella guarnición, y los que manejaban el asunto sus oficíale» «0 compañía de Martínez , sargento que fue de la primera. El pian etFRANCIA. t.ba perfectamente combinado, y el Sr. Lemaur, creído de ser dueño Parit 18 de Enero. d..- la plaza; por lo que dió sus órdenes y disposiciones , que fueron Ioí ptrí odistas atizador'*! de Ja guerra contra España no rolo usan las siguientes: d: falsos raciocinios para excitar í un rompimiento, sino que i…</t>
  </si>
  <si>
    <t>León</t>
  </si>
  <si>
    <t>…cuando con denuedo se arroja sible y lamentable pérdida del discreto é imponderable en valor y cono ba.) ,'jbre las nuestras; estas permanecieron con la mayor serenidad, cimiento coronel D. León dellurbe, '¿efe del estado mayor del egército, sufriendo ¡os fuegos da aquellos , y á menos distancia de 400 pasos y del bizarro comandante del batallón de cazadores del general Don échalo» armas á discreción nuestras columnas, y en seguida cargando Josef Góm…</t>
  </si>
  <si>
    <t>…principales de estas rentas, que das como respetadas. Asimismo han merecido la Real bondad ei «han de pagar los católicos en una cantidad tal, que los oprime, Corregidor de Madrid D. León de la Cámara Cano, Ministro «atendida la escasez de sus recursos , máxime teniendo que aten— del Consejo de Hacienda, que con una Diputación de aquella «der también con contribuciones voluntarías, al mantenimiento corte ha venido á rendir vasallage y ofrecer…</t>
  </si>
  <si>
    <t>León, Francisco</t>
  </si>
  <si>
    <t>Francisco León</t>
  </si>
  <si>
    <t>…ca en vista de la solicitud de Fray Juan Don Manuel de la Cuesta, cura párroco de la villa de Col Bautista Román , lego profeso del convento de mercenarios de El menar de Abajo, y D. Francisco León, vecino de la misma, che, para que se le declarase con opciottá la pensión señalada-á los pedían se declarase por qué leyes se debía proceder á la herencia legos monacales por haberse suprimido su convento, opinaba que de los bienes pertenecientes á la capell…</t>
  </si>
  <si>
    <t>León, Josef Joaquín de</t>
  </si>
  <si>
    <t>Josef Joaquín de León</t>
  </si>
  <si>
    <t>…suprimido su convento, opinaba que de los bienes pertenecientes á la capellanía que dejó mandada fun no se estaba en e! caso de hacer extensiva aquella á ios legos men dar el Dr. D. Josef Joaquín de León, canónigo que fue de dicantes , puesto que si se suprimían los conventos de su residen Cuenca. La comisión de Legislación opinaba que este asunto esta cia por falta de religiosos les quedaba el arbitrio de trasladarse á ba comprendido en lo dispuesto por la l…</t>
  </si>
  <si>
    <t>León, Juan Bautista de</t>
  </si>
  <si>
    <t>Juan Bautista de León</t>
  </si>
  <si>
    <t>…culo cometen dos delitos enormes; el primero el La comisión de Legislación, en vista de una solicitud del abo llamarse autoridad de un Gobierno ilegítimo , y el segundo el de gado D. Juan Bautista de León para que se le habilitase para set- la formación de causa á españoles amarles del sistema. Tanto por destinado á la magistratura, opinaba que no necesitaba dispensa. este como por el anterior delito deben estar comprendidos en Aprobado. el art. i.°, porque es…</t>
  </si>
  <si>
    <t>León, Juan Martínez y</t>
  </si>
  <si>
    <t>Juan Martínez y León</t>
  </si>
  <si>
    <t>…lbuin por el valle de Fequin, me Manso, D. Josef Bu:trago, D. Juan Vibavicencio y Pareja , D. Josef de que aquel s: dirigía a pasar el Navia por el Sena , por lo Seidel y Aurrich, D. Juan Martínez y León , D. Santiago Perez y encontrarlo á Fomria: aili supe que el enemigo contramar- Camino, D. Fernando Mergelina y Barreta , D. Joaquín Anguiano, l?Jii 9naba %icM el valle de Pineira 6 el Hospital y habiendo lomado D. Vicente Jiménez y Pinairo, D. Juan Nepomucen…</t>
  </si>
  <si>
    <t>León, Manuel Pones de</t>
  </si>
  <si>
    <t>Manuel Pones de León</t>
  </si>
  <si>
    <t>…or, y á la vista misma de las veneradas y preciosas cenizas ref« do comandante det resguardo de esta provincia, el coronel del santo y glorioso Rey Don Fernando. La grandeza de Es D. Manuel Pones de León, que vive en la calle de la Flor al paña , que nunca ha desmentido en los pasados ni presentes ta núm. 1°, para que con presencia de ellos y de los informes tiempos, su fidelidad y amor i sus Soberanos, arde tn vivas que tomará bajo su responsabilidad, pueda…</t>
  </si>
  <si>
    <t>León, Mariano</t>
  </si>
  <si>
    <t>Mariano León</t>
  </si>
  <si>
    <t>…nos ca Decreto de las Cortes concediendo una amnistía á los Ficciosos. (Gar zadores saliese de guerrilla, y á los pocos tiros que dispararon á Ja facción ceta del o3.) del llamado coronel D. Mariano León, que con ¿00 hombres y fuerza _ Oficio de los Sres. secretarios de las Cortes -participando al Gobierno considerable de caballería se aproximaban descuidadamente, huyeron con la instalación de las ordinarias. (Gaceta del 26O tal precipitación, que á pesar de…</t>
  </si>
  <si>
    <t>León, Narciso</t>
  </si>
  <si>
    <t>Narciso León</t>
  </si>
  <si>
    <t>…los del Ejér no lo hubiesen verificado. cito, proponen á la aprobación de las mismas el proyecto siguien 5.0 Todos los caballos que se colectasen, se entregarán al te de decreto. teniente D. Narciso León , haciéndose cargo de ellos el cap tan Art. i.° Los Médicos-Cirujanos de la Armada gozarán de de caballería D. Josef Salgado con las correspondientes reseñas; las consideraciones , divisas, alojamientos, sueldos &amp;c., que cor concluidos los plazos prevenidos,…</t>
  </si>
  <si>
    <t>León, Pedro</t>
  </si>
  <si>
    <t>Pedro León</t>
  </si>
  <si>
    <t>…be ser rigurosamente popular , por tenaza: inmediatamente monté á caballo,)' presentándoseme el parroquias ó de otro modo cualquiera autorizado por las leyes. anudante de la plaza D. Pedro León, me dijo que notaba gran Como el tiempo que falta hasta el 7 de Jubo es demasiado corto novedad en el castillo de la misma, pues que desde su casa habia p ira d sponer los medios de organizar con regularidad las re oido grande gritería y algazara. uniones pir…</t>
  </si>
  <si>
    <t>Leonarda</t>
  </si>
  <si>
    <t>…nuevas negociaciones no será ex ción d; D. Jostf Martinez , vecino d; esta corte, sobre contribuciones traño se suspenda la egecucion del proyecto de invadirnos. directas: otra de Doña Leonarda de la Riva Abren , viuda de un ofi Negociaciones ha habido que han desaparecido: negociaciones hay, cial de marina, para que s: le conceda una pensión por ¡os servicios de cuyo efecto será cuando menos el de retardar el rompimiento. Este ei su marido : otra d…</t>
  </si>
  <si>
    <t>Leratin</t>
  </si>
  <si>
    <t>…larados reos por unanimidadel abate Joseí Cappu- la nac on. : ijuien de vosotros se atreverá 1 sostener que la, tro cuartas cio , los capitanes Bartolomé Paoileila, y Graziani, el teniente Leratin parte, de ia r.ac.on qu eren ia guerra , como la votan a^iso sin ouvr.-rla las ¿e Auria , e! coronel J. Bois.o y el mayor P.sa , lian sido declarados -eos tres cuarta, paite, de esta Cimara: En esu ocision podemos ... 'arar con de complicidad en primer grado;…</t>
  </si>
  <si>
    <t>Lergeant, Manuel Alaria</t>
  </si>
  <si>
    <t>Manuel Alaria Lergeant</t>
  </si>
  <si>
    <t>…ún el decreto de las Cortes de 21 de Marzo próximo pasado. Nombres, Empleos en Guardas. Idem attualeSi Sueldo anual rs. va. Capitán, coronel. . . Coronel, primer comandante. 24000 D. Manuel Alaria Lergeant. . D. Manuel Loustau. D. Juan Martin Agmlar. D. Josef xMaria Mena. D. Pedro Magarola. Tenientes coroneles, primeros comandantesD. Josef Ramón Solís. ^ Primeros tenientes. . supernumerarios. ...................................................IX Pedro Morell. 1…</t>
  </si>
  <si>
    <t>Lerma, Juan</t>
  </si>
  <si>
    <t>Juan Lerma</t>
  </si>
  <si>
    <t>…a noche del dia 8, a las ordenes del te los intendentes sucederá probablemente á los generales de los niente de la compañía de cazadores constitucionales de caballe egércitos. ría D. Juan Lerma, 20 individuos de la misma arma, con nías En la 2.a medida confieso que veo una cantidad efectiva, 30 infantes de la primera de cazadores, y que se dirigiesen al aunque no tan cuantiosa como se desea. pueblo de la Aldea de Paredes, donde.se decía .estaban. Ei…</t>
  </si>
  <si>
    <t>…una consulta del Sr. secretario de Gra nes dei teniente de la compañía de cazadores constitucionales de cia y Justicia para que se declare si en los recursos de segunda caballería D. Juan Lerma , 20 individuos de la misma arma, con suplicación debe proceder la notificación á S. M., opinaba que mas 30 infantes de la primera de cazadores, y que se dirigiesen cuando haya recursos de esta clase no es necesaria la notificación. al pueblo de la aldea de P…</t>
  </si>
  <si>
    <t>Lerna</t>
  </si>
  <si>
    <t>…nor é independencia de la ‘ud *e compuesto de los Sres. siguientes: D. GasparNación española , después de haber‘accedido á tan justa solicitud, d“ 'eh^ado* a' ^J,aan Is‘doro P«ez, D. Lerna,do Asen,o, D. iv,ar man dando al inspector de caballería que destine á Eguren al cuerpo que . TrJrT l’ n T T n t 1, d‘: r°) 0S 7 le acomode de los que se hallan en los 5.° , 6.a ó 7.° distritos milita- ™dr« Atl-°n ► ?• lomas To,resano y D. JoseGintor.,0 3 onz…</t>
  </si>
  <si>
    <t>Les, Santiago Vicente</t>
  </si>
  <si>
    <t>Santiago Vicente Les</t>
  </si>
  <si>
    <t>…ades de la orilla del Ebro , y á poco que le D. Antonio Gamonal, D. Francisco Luciano Domingu-z Vtllar.uivj, entr. tengan será sin duda alcanzado y deshecho. Estoy esperando parte D. Santiago Vicente Les , D. Juan Antonio Marco , conde de la Tor&lt; de la vanguardia, que según la proximidad á que se hallaba ya de! ene refresno y D. Bernardo Asenjo. migo, d-.b.ó hacerle algunos prisioneros y aumentar el horroroso des Habida la conferencia, se decidió por unanimid…</t>
  </si>
  <si>
    <t>…on pa ; tu darás al mundo la libertad. . Valentín Recio, D. Manuel Zulueta, D. Josef Valls y Roca, — La diputación provincial á los ciudadanos milicianos y de D Antonio Palacios , D. Santiago Vicente Les, D. Isidro mas patriotas de la provincia de Madrid. Francés Cabañas y D. Nicolás Cano de Luque. «Españoles: El egército francés ha invadido nuestro terri Habida la conferencia, se declaró por unanimidad haber lu torio,/ según las últimas noticias parece que d…</t>
  </si>
  <si>
    <t>Les, Vicente Santiago</t>
  </si>
  <si>
    <t>Vicente Santiago Les</t>
  </si>
  <si>
    <t>…bro. diez hasta la una del día á exhibir sus acciones y presentar ios docu D. Manuel Nufiez. D. Tetisforo Polo. mentos convenientes para el cobro de dicho dividendo, que se ira ve D. Vicente Santiago Les. D. Josef M.re'o. rificando á medida que baya proporción de fondos. D. Manuel Loprz Concia. D. Valentín Recio. Juicios de jurado. D. Pciayo Zorrilla. D- Eugenio Aravaca. D. Francisco Aceval y Arratia. D. Jtisr.f P.rez Atórales. EISr. D. Francisco de Iribarren…</t>
  </si>
  <si>
    <t>Lesseps</t>
  </si>
  <si>
    <t>…el in yo de 1823.=E1 gefe político de la Coruña Manuel García frascrito ministro secretario de Estado de Negocios extrangeros Barros. ha recibido orden de S. M. para manifestar al caballero Lesseps, Cádiz. ,y de Mayo, encargado de Negocios de Francia, que por las razones expuestas En el Redactor general se lee la siguiente noticia en artícu no puede continuar sus funciones diplomáticas en esta corte. lo de Gibraltar. Pero como S. M., al mismo tiempo que…</t>
  </si>
  <si>
    <t>Leu, Antonio</t>
  </si>
  <si>
    <t>Antonio Leu</t>
  </si>
  <si>
    <t>…Excmo. Sr. sec.ro- prisioneros heridos a! cuartel de artillería, y los entregasen al ofic al ds taño del Despacho de la Guerra.” la milicia nacional local voluntaria de esta corte D. Antonio Leu, para que se presenten á declarar en el término de tercero día al en que » Excmo. Sr.: Todo continúa en el mismo estado que tuve el ho- se publique en lo&gt; diarios de esta 'corte este edicto , en su casa habita ñor de decir á V. E. por mi parte de ayer, en cua…</t>
  </si>
  <si>
    <t>Leuchtemberg, Eugenio de</t>
  </si>
  <si>
    <t>Eugenio de Leuchtemberg</t>
  </si>
  <si>
    <t>…enian sueldo antes de serlo. PIAMONTE. A la misma comisión se mandaron pasar dos proyectos so Turin i.° de AIayo. bre aumento de masas de bienes nacionales, presentados por Don El príncipe Eugenio de Leuchtemberg ( Beauharnais ) h« fa Joaquín Diaz. llecido de un ataque de apoplegia, después de una larga y penosa be procedió á la disensión del dictamen de la comisión de Le enfermedad. gislación sobre la proposición del Sr. Mome, para que la misma Tl/RI.V. propusiese un…</t>
  </si>
  <si>
    <t>Leutier</t>
  </si>
  <si>
    <t>…ales todos armados al toque de la campana de la batallón Feitzamel, al capitán Gaultier , al ayudante mayor queda, fueron municionados y distribuidos con el mayor orden Voisin, al teniente Leutier; y en el 41.° á los capitanes Se á las puertas del puente y la feria, únicas que estaban abiertas, renes y Lemonnier , y al subteniente Baudot, al sargento Mi- y ?! todo de la muralla con deseos ardientes de recibir los cons chel, al granadero Marti y al caza…</t>
  </si>
  <si>
    <t>Li</t>
  </si>
  <si>
    <t>…os. sión , y por los puestos sobre ia mesa en la C unara del Parla Yo quisiera también que la comisión deshiciera una equivo mento de Inglaterra por el discurso pronunciado por ei lord Li cación que se ve en ios papeles ingleses, en que se ros ha c.c'no verpool al tiempo de dar cuenta de la conducta pol;t ca del Go repetidas veces que nosotros nos negábamos absolutamente á toda bierno ingles con respecto á Jos asuntos de la Península; por to •…</t>
  </si>
  <si>
    <t>…atacado las cabezas liberales y radicales ; como la del honora- ban hombres de aquella clase, disi razados con la máscara de fi ole Ellemborough, sino también la moderada del Sr. ministro Li delidad ? Callen pues los injustos, los.insanos y los ignorantes verpool ; y no puede atribuirse á otra cosa el haberse producido difamadores de Fernando vtt, y avergüéncense de poner ta el primero con tan poco miramiento en su discurso, y haber el chas á la…</t>
  </si>
  <si>
    <t>Lia, Bertrán de</t>
  </si>
  <si>
    <t>Bertrán de Lia</t>
  </si>
  <si>
    <t>…el objeto perial Alejandro, y de varios ciudadanos españoles residentes en Gibral- de trabajar en la forrficacioh que están practicando. Todo k&gt; que ruego tar, presentadas por el Sr. Bertrán de Lia. á V. E. que se sirva poner en noticia de S. M.=Dios guarde á V. E, Del departamento de marina de Cartagena , presentada por el muchos años. Garcinario 2 de Febrero de 1823. = Excmo. Sr. seEI Sr. Valdés (_ D. Cayet.no). conde del Abisbal.xsExtmo. Si. secretar…</t>
  </si>
  <si>
    <t>Liaño, Joaquín Gómez de</t>
  </si>
  <si>
    <t>Joaquín Gómez de Liaño</t>
  </si>
  <si>
    <t>…orrespondientes pata que todo renga efecto. de pau de media a-roba, todo peso y medida de Gastóla , sm príu cío de las alteraciones que sobre esto puchera tener por conVen.ente ha D. Joaquín Gómez de Liaño, intendente general militar, caballe cer el G b ern'-. ro d- la cruz y placa orlada ''n la orden n..c.o.nal de S. Femando dtc. 7.4 Sí para ia mavor facilidad en los trasportes conviniere ir.cu*-* Por Real otdcn di 1 ¿ del comenta s: fia setv.cio fi. M. ac.cdi…</t>
  </si>
  <si>
    <t>Liberato, Jnscí</t>
  </si>
  <si>
    <t>Jnscí Liberato</t>
  </si>
  <si>
    <t>…cumcr.t s r-m: ■* v pe ñ Li-» que que uo siendo criminal , no podía ser juzgada por el pod-r jud ría!. puL s n alegar cu-tfo mivr.ib’rs CMnn'1 .’:o*¡&gt; , a:r.-r.:j y Lh -;on d.l El Sr. Jnscí Liberato dijo : Yo me levanto pata minll-Mir rnl opi género humano, busca-.los íe ¡r.te,'to p.wa rn " fr ? nión , porque rti materia de unta rnl dad todos debemos dar nu.stro Los d p’om ticos de \',*r^’pa s.b n hma b n , r b-n ? . &lt;*1 voto, l’rimeramente declaro que a…</t>
  </si>
  <si>
    <t>Liberato, Josef</t>
  </si>
  <si>
    <t>Josef Liberato</t>
  </si>
  <si>
    <t>…bado el artículo t.° dei dictamen sobre estar la patria en deber era ei de salvar la patria que se haüab» er. peñero. peligro, empezó la discusión del i.J sobre enviar un mensa El Sr. D. Josef Liberato dijo. La patria vale mas que los je ai .Rey, pidiéndole que destituyera 4 los ministros. hombres: la patria está en peligro, luego sin atender .1 10= i,cim I El Sr. López de Cunha se opuso, sosteniendo que en esta bres es necesario salvarla: es un hecho indud…</t>
  </si>
  <si>
    <t>Lie, Vicenta Bertrán de</t>
  </si>
  <si>
    <t>Vicenta Bertrán de Lie</t>
  </si>
  <si>
    <t>…cias si habían »-*pafado ya. pendiente , y levantó la sesión á las cuatro. »» Llegados a Guada!ajara la nvsrm noche dri 24 me pareció con Partí que ¡la al Excmo■ Sr. gife político D. Vicenta Bertrán de Lie. veniente, después de dar un p-qu» 5o descanso á ios cabalios, retirar me .» .Víale, i fin ¿¿ reponerlos con mas fanquibdad; y desde este » Excmo. Sr.: Habiendo salido de esta capital el clia 20 de! cor pui-tu, ¿ causa de haber entrado los enemigos en Guadaia…</t>
  </si>
  <si>
    <t>Light</t>
  </si>
  <si>
    <t>…ó 30a individuos que perma creen que también lo debe ser de .'as deliberación!, de un nue necen todavía con él. vo congreso que se reunirá en Viena el mes próximo de Octu El pobre coronel Light continúa en la Coruña sufriendo bre. Para corroborar esta idea se recuerda la opinión del S ñor mucho con su herida, y no se cree pu:da venir á reunitse coa Chateaubriand, que dice* que es menester considerar bajo dos su compañero Wilson. La rendición de la C…</t>
  </si>
  <si>
    <t>Liilo</t>
  </si>
  <si>
    <t>…uchos facultativos que De los ciudadanos que componen la tertulia patriótica de la ciu sin el juram -i.ro dirán tanta verdad como cc.n él; pero el Sr. preopidad de Almería, por el Sr. Liilo. rii.te no me negará que hay muchos, r.uchos, y ojalá no hubiera tan» De la «Jip.Trscion provincial de Pa'iencla, por el Sr. Buey. 1. s , que en estas materias, en que ordinariamente hav interese» de conDel ayuntamiento constitucional de Lores. Jid.vac.on , s…</t>
  </si>
  <si>
    <t>Lilio</t>
  </si>
  <si>
    <t>…inta se ve Art. r.1’ ” Tara la formación y reemplazo de Jos batallones de la rifique sin excepción ninguna. mi.icia nacional activa se obsetvará el decreto orgánico de la misma El Sr. Lilio: La convsion desearía ¡levar í efecto !o que desea el de 18 de Noviembre de tUai ; y en cuanto á las excepciones y demás Sr. Belda; pero debe tenerse presente que el tiempo urge, y no puede reglas no comprendidas en dicho decreto orgánico se tendrá presente m…</t>
  </si>
  <si>
    <t>Lillo</t>
  </si>
  <si>
    <t>…tenerse presentes las reglas prescritas cu el decre para quienes la patria no es un nombre vano. to orgánico. (2) Siempre han sido estos nombres augustos la máscara con que se El Sr. Lillo: Las diputaciones provinciales ya saben lo que deben han disfrazado los ambiciosos. ¡Quien ha hecho i estos hombres intér hacer en este particular, y en prueba de ello citaré el egemplo de Huelpretes de la voluntad de Dios? &lt; Y cómo se: atreven á suponer en e…</t>
  </si>
  <si>
    <t>…que lo hayan de sufrir.” miento y administrador de tabacos de un pueblo de la provincia de Quedó aprobado, añadiéndose é su final: al cual estará frésente Jaén, presentada por el Sr. Lillo. ílfísico siempre que pasen de 20 , á petición del Sr. Ferrer (D. Joaquín). Los individuos del batallón de milicia activa de Hellin, 6° ligero. Se aprobaron los artículos siguientes: El ayuntamiento constitucional de Cartagena. Art. 9R » En las grandes faenas…</t>
  </si>
  <si>
    <t>…se depositase un egemplat en el archivo, y asi lo hicteton, como asi mismo el que se insertase la dedicatoria en el diario de sus sesiones. Primer distrito militar. ( Madrid.) El Sr. Lillo leyó dos exposiciones, felicitando á las Cortes por las __Esta capital continúa en el mismo estado de tranquilidad. El espí célebres sesiones de 9 y 11: una de los gafes , oficiales y sargentos del ritu público crece por momentos , y es tal el número de patri…</t>
  </si>
  <si>
    <t>…e los gefes, oficiales y demas individuos del batallón de la mili ridad en todo el lleno que les concedió Jesucristo, no pudieron ser cia activa de Jam , presentada y leioa por el Sr. Lillo. obispos por haberles negado la corte de Roma las bu’as de confirma Del ayuntamiento constitucional de Bacza y de la milicia nacional ción , pediendo con esto la Iglesia las ventajas que pudivta prometerse local voluntaria de la misma (ofreciéndose estos á se…</t>
  </si>
  <si>
    <t>…a secretaría del gobierno político de Lugo, por el Sr. Sa- ro yo no convengo en que haya tanta escasez de metálico como^e-su ravia.De la M. L. V. de ambas armas de A.jona , por el Sr. Lillo. pone , mucho menos cuando se he reducido la contribución territorial á una mitad de lo que era aníiguatnense, y lo, mismo el diezmo; de De la M. N. L. V. da Pontevedra, por el Sr. Alcalde. suerte que aunque la Nación no esté abundante:de numerario, no e:;¿ D…</t>
  </si>
  <si>
    <t>…ud y patriotismo: que vuestros caros nom (D. Toribio ) y Tomas. Total y t. bres solo sirvan para fortificarnos en nuestros votos de Constitución ó En quinto lugar quedó elegido el Sr. Lillo por 63 votos, teniendo muerte. Gaditanos: sin unión no puede sostenerse la libertad , y sin li y el Sr. Valdés Bustos, 3 el Sr. Buey, 2 cada uno de los ores. Bauza, bertad vale mas no existir. Yo miro con dolor el estado de discordia en Becerra y Pedralvez, y…</t>
  </si>
  <si>
    <t>…preparativos Del ayuntamiento constitucional y AI, N, L de la villa de Torre del militares tienden á tiranizar los Estados menores; avasallada la España y Campo, presentada por el Sr. Lillo. Portugal, declararán también á la Suecia tuina del circulo de la legitimi Del ayuntamiento constitucional de la ciudad de Orihuek , presentad» dad , y hasta han de venir á destruir la misma Constitución ingles:!, para por el Sr. Rico. lo cual, si fuere neces…</t>
  </si>
  <si>
    <t>…pasión por la g-:m, t?rí cosa muy sencilla el certídumbre en que mucho tiempo hace se hallan sumereidos. hacer que todos en masa tomen las armas contra cualquier extranjero que El Sr. Lillo: La comisión tiene tamo disgusto como*el Sr. preopinante pretenda invadirnos, sin que haya qu.en se acuerde de haberlas tomado de no haber presentado mas dictamen que el que ha leido; pero es preci contra el sistema constitucional por la ignorancia en que viv…</t>
  </si>
  <si>
    <t>…artículo, sino ai modo conde este documento, trae el inconveniente de que puede suceder muy bien que en una acción se le pierda al comandante, en cuyo caso que está redactado. El Sr. Lillo: Me limitaré á contestar á una observación que 110 tendría medio para sacar raciones aun cuando á la justicia Je ha hecho el Sr. Arlan, relativa á que se exprese en les pasaportesconstase estar autorizada aquella guerrilla por el Gobierno: por es la clase y c…</t>
  </si>
  <si>
    <t>…oncepto de que fuesen ios oficiales ios las actuales circunstancias no deb:a hacerse gran mérito de la culpables. Constitución: Jo atribuyo á un exceso de velo de S. S., y creo El Sr. Lillo contestó á las observaciones del Sr. Montesinos. también que las palabras no se entienden como suenan. En esta El Sr. Murfi : No puedo menos de oponerme a este jrt culo, ocasión debemos asirnos fuertemente á la Comí ¡tucion tan odia porque la pena que en él s…</t>
  </si>
  <si>
    <t>…ro causó infinitos En la votación para secretario no hubo elección en primer males en la opinión de los pueblos: males de tal naturaleza que escrutinio,habiendo tenido 44 votos el Sr. Lillo, 19 cada uno de obligaron á las Cortesa revocarle por unanimidad; de consiguien los Sres. Navarro Tejeiro y Diez , 1 5 el Sr. Zulueta , 7 el se te si volvemos á establecerlo por este proyecto causaremos los mis ñor Rodríguez Paterna, dos cada ur.n de los Sres…</t>
  </si>
  <si>
    <t>Lillo, Pedro</t>
  </si>
  <si>
    <t>Pedro Lillo</t>
  </si>
  <si>
    <t>…-presidente el Sr. D. Santiago Sedeño, di llería, en la forma siguiente. putado por la provincia de Segovia , y para secretirio el Sr. Don Primera división.__Comandante general el brigadier Don Pedro Lillo, que lo es por.la de Jaén. Juan'-.Palarea: estado mayor, gefe interino D.......; capitán adicto D. Joaquín Cayuela. El Rey ha expedido los decretos siguientes : Cuerpos de que se compone—Tropas del mando del coro Don Fernando vm por la gracia de Dios y por la…</t>
  </si>
  <si>
    <t>Lima</t>
  </si>
  <si>
    <t>…midad los principios nio por el Gobierno brasileño, y entregó aquella ciudad á las en que s: apoyan los reformadores modernos , esta revolución no tropas del país, mandadas por el general Lima, ;í pesar de la ha sido en su origen sanguinaria. Aun los ministros inaleses di grande oposición que hizo el general portugués Madeua. Por el jeron en el Parlamento que no habla ejemplo de haberse hecho mismo conducto sabemos que habiéndose reforzado pocos di…</t>
  </si>
  <si>
    <t>Lima, Josef de</t>
  </si>
  <si>
    <t>Josef de Lima</t>
  </si>
  <si>
    <t>…al puesto, no lia* ,u dado todavía pasos enér Por el mismo juzgado y citada escribanía se cita llama y gicos para lograr el éxito que et zelo y el desinterés de este dig emplaza á D. Josef de Lima, vecino y del comercio que fue de no alcalde han conseguido en su pueblo, organizando una par esta corte, para que en el término de 15 dias, contados desde la tida de voluntarios realistas, en ia que sostiene de su propio publicación da este anuncio, se prese…</t>
  </si>
  <si>
    <t>Liñan, Antonio García</t>
  </si>
  <si>
    <t>Antonio García Liñan</t>
  </si>
  <si>
    <t>…pador Jcref Perez. ~ Herido el sargento la Puente. del £3 Francisco Herbás, y contuso el cap'tan del batallón del Lo míe de Real orden traslado á V. para su inteligencia y General D. Antonio García Liñan , que concurrió voluntariamen t'fcc ros cor ven lentes. Dios guarde á V. muchos años. Cádiz te. cr Lo qtte transcribo á A7. E. para su inteligencia , con inclu 28 de Ago to de 182 3.= Manuel de la Puente. sión de copia de la relación que se menciona en el ant…</t>
  </si>
  <si>
    <t>Linan, Juan</t>
  </si>
  <si>
    <t>Juan Linan</t>
  </si>
  <si>
    <t>…comisión segunda de Hacienda , en vista de la exposición Los coroneles D. Francisco Marimon, D. Fernando Salamanca, de la viuda de un soldado del resguardo militar de Barcelona* * D. Juan Linan, D. Luis Fernando Mon, el conde la Torre. muerto en acción contra los facciosos, pidiendo se le conceda Alta. Los tenientes coroneles D. Francisco Mon , D. Francisco la misma gracia que á las demas viudas que se hallan en el mis Vallarino, D. JosefBrodini, D.…</t>
  </si>
  <si>
    <t>Liñan, Sebastian López</t>
  </si>
  <si>
    <t>Sebastian López Liñan</t>
  </si>
  <si>
    <t>…festando que 110 seria extraño el que las diputacio La de Visita del Crédito público opinaba que podia conceder nes provinciales no hayan cumplido el mencionado decreto en la se á D. Sebastian López Liñan , dependiente que fue del extingui parte que se cita, por las muchas ocupaciones que tienen y se les do convento de carmelitas descalzos de Granada, la pcns:on de 3 ra cargando cada dia. reales diarios que solicitaba en atención á su avanzada edad. El Sr. Alv…</t>
  </si>
  <si>
    <t>Linar-, Joscí</t>
  </si>
  <si>
    <t>Joscí Linar-</t>
  </si>
  <si>
    <t>…os pu.-l» os iibiei de Grecia y Sres. que absolvieron el ref r do impreso: D. Manuel Urbina , Don Roma , y tíc-cia á no poderse dudar: I.a Nación esp anota en lar Joaquín Dacdtya, D. Joscí Linar- s , D, Policarpo Santistcbm Morale», grandes crisis se desarrolla de un modo fuera del alcance de todo cál D. Nicolás d= Avila., menor, D. Pedro jerez, D. Juan Sánchez, Don eselo diplomático ; y el fucilo alicantino es el tipo del heroísmo. De es Agustín de E…</t>
  </si>
  <si>
    <t>Linares, Francisco</t>
  </si>
  <si>
    <t>Francisco Linares</t>
  </si>
  <si>
    <t>…amento, la retiró su autor. La comisión de Visita del Crédito público, habiendo examina Se levantó la sesión á las doce. do la solicitud que por sí y á nombre de sus hermanos hace Don Francisco Linares sobre el pago de 24,996 pesos que habia antici Extracto de la sesión del di* 4. de Agosto. pado en Pusrto-Cabello, opinaba que se remitiese al Gobierno pa Se leyó y quedó aprobada el acta de la anterior, mandándose ra que atienda al pago de esta cantidad segú…</t>
  </si>
  <si>
    <t>Linares, Juan Manuel Sancha de</t>
  </si>
  <si>
    <t>Juan Manuel Sancha de Linares</t>
  </si>
  <si>
    <t>…nder nuestros destacamentos , cu cisco Espoz y Mina.” yos documentos se hallaron al capitán , é incluyo á V. E. Al mo mento reunió una partida de voluntarios nacionales que con mi D. Juan Manuel Sancha de Linares, oficial primero de la permiso habla armado, y no dudó en ir á atacarlos; efectivamen dirección de contribuciones directas de la provincia de Avila , ha te llegó el dia 2 , y á las siete de la mañana cercó la casa en que solicitado se le destine á uno de los…</t>
  </si>
  <si>
    <t>Líndrts</t>
  </si>
  <si>
    <t>…encia fueron destituidos varios em ING1ATBHRA. pleados de todas ctasrs. El Gran Visir actual no es mas que un genízaro tosco y fanático, de quien todo se puede temer. El Sultán no reina Líndrts j.° dt Enero. sino en el nombre. Ayer salió de aqui un correo de gabinete con pliegos pira el señor Se ha publicado de oficio la muerte del bajá Churschió; pero no se C. Bagot, nuestro embajador en Petersburgo. dice que haya sido efecto de un suicidio, aunque…</t>
  </si>
  <si>
    <t>Linedock, Lord</t>
  </si>
  <si>
    <t>Lord Linedock</t>
  </si>
  <si>
    <t>…á V. S. muchos años. Se en este derecho , es renuncia: á sedo derecho á la felicidad de hombres libres.villa ío de Junio de íing.icxCalatrava. Segunda resolución propuesta por el general Lord Linedock. El Cónsul de España en el Algarbe comunica con fecha 30 (conocido en España por el nombre de Grabam , y su batalla de del mes próximo pasado las siguientes noticias.c=El dia 27 del cor la Barrosa ) , y apoyada por Mr. Brougham. riente á las 5 de la tarde nau…</t>
  </si>
  <si>
    <t>Linelo, Josef de Torres</t>
  </si>
  <si>
    <t>Josef de Torres Linelo</t>
  </si>
  <si>
    <t>…destinos que anarquía con ofensa de los sagrados derechos del altar y del tro sirvan, los que para ellos se propongan. Tendreislo entendido, y no. = Ayuntamiento, el Alcalde noble D. Josef de Torres Linelo comunicareis á quien corresponda.=De Real orden lo comu ro. El Regidor primero Ilustre D. Antonio Rufrancos.= Cole nico á V. E. para su inteligencia y puntual cumplimiento en la gial, D. Antonio Crespo, Abad. D. Josef Salcedo, Canónigo .= parte que le toca. D…</t>
  </si>
  <si>
    <t>Lino</t>
  </si>
  <si>
    <t>…del ministerio francés está por Ja paz. Juicio de jurador. __El Sun se explica en ios mismos términos. El British Monitor in D. Félix Mejía denunció al Sr. alcalde constitucional D. Lino d* sinúa que Mr. Canning ha resuelto hacer de la Grecia un Estado inde Campos un artículo comunicado inserto en el diario nuevo de 11 d* pendiente para contrastar á 1* Rusia. El The Courier da noticia de haber este mes e.-, concepta de calumnioso é injurioso.…</t>
  </si>
  <si>
    <t>Liño</t>
  </si>
  <si>
    <t>…mares. Esta resolución unánime del presente año. Hoy por la mañana ha llegado el comandante de ar de diferentes potencias en llevar i un mismo tiempo sus armas á la mas de Jalapa señor Liño , que se pasó con 40 hombres de caballería. Península, daría motivo i pensar que á lo menos estaban de acuerdo Dice que aquel pueblo estaba dispuesto á jurar la república, y no lo en cuanto al objeto de la invasión; pero ¡.cómo hemos de suponer esta había hec…</t>
  </si>
  <si>
    <t>LIo-, Isidro</t>
  </si>
  <si>
    <t>Isidro LIo-</t>
  </si>
  <si>
    <t>…ausaban el desorden. hijos espúreos de nuestra amada patria. En cuanto al ministerio , la comisión manifestaba que su conducta n Para principiar la obra dispuse que el subteniente D. Isidro LIo- se había presentado sumamente apática y débil, por cuanto no habia rens con 44 cazadores, después de cerradas las puertas de esta villa, pa tomado las providencias fuertes y enérgicas que requería la siiuscion sase á Cadafau para entregarse de las indicadas p…</t>
  </si>
  <si>
    <t>Liobera</t>
  </si>
  <si>
    <t>…rato que sus comisionados en Li r.drcs parte , con ánimo al parecer de dirigirse sobre ¡Víamesa. puedan haber hecho por el todo o parte de los cuarenta millones El t4 había ido el brigadier Liobera con la brigada de su hasta el recibo de las nuevas disposiciones que el Gobierno les mando á S. helio del Piño desde el Col’ Prapés , donde estaba comunique. Art. 3.° El Gobierno !o queda Icuaimente para emi acampado, sin duda para observar los movimientos de…</t>
  </si>
  <si>
    <t>Liord, Ramón</t>
  </si>
  <si>
    <t>Ramón Liord</t>
  </si>
  <si>
    <t>…os á la Gaceta española en Sevilla desde el dia 12 de Abril. putación. TRIBVNAIBS. Señores que calificaron de sediciosos dichos párrafos: D. Martin Zarandia , D. Joaquín Cevallos, D. Ramón Liord y D. Josef Castel. El Sr. intendente de esta provincia ha aprobado el remate celebra Señores que los calificaron de incitadores á la desob-diencia: Don do en 11 de Enero último de una casa sita en esta corte y su calle da Tomas Torresano , D. Josef Castel , D. Juan Paz, D. Mar…</t>
  </si>
  <si>
    <t>Lira, Joaquín</t>
  </si>
  <si>
    <t>Joaquín Lira</t>
  </si>
  <si>
    <t>….0, y las de lo que forma el elogio de los Sres. oficiales y tropa , y en especial igual clase del 3.0, con algunos caballos, dirigiendo su marcha del capitán graduado de teniente coronel D. Joaquín Lira, qus sobre S. Juan de Lucanas. Ei 13 llegó á su noticia mi salida de mandaba los de caballería , y del comandante Pereira iosde infan Caraveli, y regresó á Nasca hasta que supo mi llegada á Puquio, tería: siendo tal, con la mayor satisfacción mía , la discipl…</t>
  </si>
  <si>
    <t>Lis, Beltran de</t>
  </si>
  <si>
    <t>Beltran de Lis</t>
  </si>
  <si>
    <t>…heredado en ¡a isla de la Trini en diversas épocas su independencia, y conquistado la admiración del dad , y desea trasladar á la Península. universo.” Se concedió permiso at Sr. diputado Beltran de Lis para ausentar Los periódicos de París que nosotros hemos recibido por el correo se de esta cone por 10 dias para restablecer su salud. ordinario, alcanzan hasta el 4 inclusive, los cuales (ademas de lo que Art. *4- » Rectificado el alistamiento del modo que q…</t>
  </si>
  <si>
    <t>…ividuos se saque el partido mas ventajoso , como tan decididos por la causa No se admitió á discusión. de la libertad: consecuente á esta idea yo hubiera querido que se hubiese El Sr. Beltran de Lis reclamó el uso de la palabra , que dijo había pe dicho que los milicianos que hallándose en este caso se presentasen en un» dido , y que se le privaba del derecho que tenia de hablar en apoyo de su plaza fuerte , en un cuerpo de egército ó en una partida de c…</t>
  </si>
  <si>
    <t>…nales ó con cualesquiera Se leyó por segunda vez, y se mandó pasar á la comisión otros valores la cantidad de 1.218,593 is. y 16 mrs. de vn. do correspondiente, Ja proposición del Sr. Beltran de Lis, relativa á capital, y de 993,153 rs. y 18 mrs. por el interes de seis por que en el caso de que el Gobierno eche mano de algún diputado ciento hasta i.° de Abril del año pasado , equivaliendo dicho ca para cualquier comisión militar, pueda este admitirlo sin…</t>
  </si>
  <si>
    <t>…a, Ayllon v dias en que podían hallar un enemigo inferior, eran para ellos Afonzo. días dt jicjl.i. Concluida la votación del segundo .secretario promovió r| Cádiz 6 de Setiembre. Sr. Beltran de Lis la eluda de si deberían .admitirse votos á favor del Sr. Lntrc , respecto á que.algunos señores solicitaban dispen CORTES EXTRAORDINARIAS. sárselos. A sil consecuencia manifestó el Sr. presidente , que la mesa JUST A V R F. P A RATO F I A. también lo había du…</t>
  </si>
  <si>
    <t>Lis, Bertrán de</t>
  </si>
  <si>
    <t>Bertrán de Lis</t>
  </si>
  <si>
    <t>…ional y «1 Gobierno consti la Nación que cuando se traía de la patria nu hay entre nosotros di tucional. ferencia de opiniones ( repetidas aclamaciones de los Sres. diputados y El Sr. Bertrán de Lis pidió que se permitiese hablar al autor de la del concurso). proposición; pero habiendo dicho muchos Sres. diputados que la pro El Sr. Arguelles: Los sentimientos de mi gratitud y de la urba posición estaba apoyada por la unanimidad del Congreso, dijo el seño…</t>
  </si>
  <si>
    <t>…rcha , fue indis secreta. iVbtíi. En la gaceta de ayer no se puto con la debida exactitud lo pensable darle el pecisc» descanso. A las dos de ¡a nuche seguirnos el que dijo el Sr. diputado Bertrán de Lis, que fue lo siguient': » ‘'efior: movimiento por el camino de Francia , cuya dirección tomaron. Al Si se permite la palabra al Sr. Galiauo estando aprobada por unan mi- amanecer los hallamos en posición en el pu-bio de Ponían, y no sé dad su proposición ¡ deb…</t>
  </si>
  <si>
    <t>…e imperfecta, de la so En seguida iba á preguntarle si el punto estaba suficientemente dia- lemne lesión del dia 9 y de la impresión profunda que hizo en todos lot cutide; pero el Sr. Bertrán de Lis tomó la palabra y dijo : Desde que so ánimos-, pero si quisiéramos hacer una pintura d» ds bey, y presenprincipió la discusión de ette asunto no se observó el reglamento en sentarla al público con lodo el fuego y toda la vivera de tus colores, se* virtud de l…</t>
  </si>
  <si>
    <t>…en cuanto 4 lo primero estaba bien in Después de una ligera discutir.?? quedó aprobado este dictamen. - - cluido en el sorteó; y que en cuanto á lo segundo, que sin embargo dé El Sr. Bertrán de Lis hizo la siguiente proposición: » Pido a las estar mandado cesen estás pensiones luego que los que las disfrutan ob Cortes se.sitvan acordar qué la condecoración ; concedida al ayunta- tengan sueldo por ló menos igual á dicha pensión, y que siendo esté miemo d…</t>
  </si>
  <si>
    <t>…n , dijeron buscaban la facción de Bessieres para unirse á ella.que deben componer el tribunal de Cortes. „ Hoy he venido á este punto, y acabo de saber que ios facciosos desde El Sr. Bertrán de Lis : Quisiera que se leyese........ Vil la verde se han dirigido á Galvez, lo que á. mi entender manifiesta su El Sr. presidente: El Sr. presidente sabe su obligación, y a su tiempo intención de dirigirse á Atienza. Yo emprendo mi marcha a ver si puedo dará cuen…</t>
  </si>
  <si>
    <t>…as , y la tropa se gún empeño en sostener á nadie: ¡qué me importa i mí , por egem- halla repartida en Emane, Guetaria , S. Juan de Luz , .iteres Ascsin, plo , que sea ministro el Sr. Bertrán de Lis! St. Pe, Sourardí, Kspeieta, Isasu , Anca y fiara. Unas 700 tiendas di l'or ¡o mismo que ras circunstancias son p-rentorias , me parece que campaña y otros varios ef.-ctos habían salido ya de Bayona. Parece qus la comisión debía empzir .1 frabijar sobre la ma…</t>
  </si>
  <si>
    <t>…desampararle me retirare á mi casa : pero ciones de diputado. Recayó sobre ella igual resolución que sobre siempre dispuesto á obedecer las ó'rdenes del Sr. presidente, cuan h del Sr. Bertrán de Lis. do lo exija el bien de la Nac'on que represento. Este es mi voto, Los Srcs. Prado , Buey , Falcó y Fuentes del Rio presenta y no me valgo de mas frases , pues las ¡uzgo hoy excusadas. ron la siguiente proposición : « Habiéndose creado por el decreto Ei Sr. T…</t>
  </si>
  <si>
    <t>Lis, Rrtran de</t>
  </si>
  <si>
    <t>Rrtran de Lis</t>
  </si>
  <si>
    <t>…los pormenores. Síy López Cuevas. Común i.a de Febrero. De los alumnos de la universidad de Osuna , presrntada y leída por Nuestro Diario conjtltuehn.il publica lo siguiente : *1 Sr. Rrtran de Lis. • Viva la libertad! ¡Viva el héroe de ¡a Isla! ¡Vivan las vállenlas De i3 ciudadanos de Málaga , presentada por el Sr Oiiver.</t>
  </si>
  <si>
    <t>Lis, Vicente Bertrán de</t>
  </si>
  <si>
    <t>Vicente Bertrán de Lis</t>
  </si>
  <si>
    <t>…estinada á perseguir el contrabando, La comisión de Hacienda, en vista del proyecto presentado por el opinaba que se remitiese ai Gobierno este expediente para que dé su ciudadano D. Vicente Bertrán de Lis para poner en ¡a mar el mayor diet men con arreglo á la Constitución y á los decretos de las Cor: s, número posible de buques con la mayor celeridad; empezar también manifestándole la estrañ-za deque exista en Madrid esta plaga del con con la misma las obras…</t>
  </si>
  <si>
    <t>Lis, Vicente ILltran de</t>
  </si>
  <si>
    <t>Vicente ILltran de Lis</t>
  </si>
  <si>
    <t>…tfiez , lbumero , PaRe^o, Sangenís, E! rr. -vibrar p;d'ó se leyese la cent fie ación del alcalde constitu Qtríiox s, G da.rt , Escovedo , L1Ü0 , Aüx , M-ci , Ve!asco , V.l'acional D. Vicente ILltran de Lis. (Se levó.) v.-ja, Fuent-s d 1 Río, Diez, M-tlendrz, Florez Cid-.-on , López del Kl Sr. ¡Vtarau: Kl Sr. Arguelles ha convenido en que las Cortes ex Baño , A ilion , Becerra y br. presidente. traordinarias pueden conocer de este negocio; pero S. S. quiere que…</t>
  </si>
  <si>
    <t>Lista, Alberto</t>
  </si>
  <si>
    <t>Alberto Lista</t>
  </si>
  <si>
    <t>…os á tan dignos aliados? No pue Elementos de matemáticas puras y mixtas: primer tomo, que de imputársele á la España esta grosera descortesía; y por el contiene la aritmética, por D. Alberto Lista, profesor de mate acogimiento fraternal que ha hecho á sus libertadores ha testifi máticas de la casa de educación sita en la calle de S. Mateo de cado la Nación solemnemente su gratitud para con ellos. Dando esta corte: segunda edición. Este libro se vende e…</t>
  </si>
  <si>
    <t>Lithl, William Julián</t>
  </si>
  <si>
    <t>William Julián Lithl</t>
  </si>
  <si>
    <t>…ción de la memoria del Sr. secretario de este pruebas tienen dadas los españoles en todos tiempos. ramo, que contiene los presupuestos extraordinarios para los gas ,, Acompañan al general William Julián Lithl, teniente co tos de la guerra, y el de la misma comisión sobre las proposi ronel del estado mayor, y John Erskine, capitán , ambos en cia ciones del Sr. Gómez Becerra, leidos en la sesión del dia 2 , so se de sus ayudantes de campo; y ademas Antonio Adolfo Mn…</t>
  </si>
  <si>
    <t>Litio</t>
  </si>
  <si>
    <t>…la M. N. V. de Rus, del ayuntamiento constitucional, M. N. V. Art. 7-u » Para que este reemplazo se verifique de un modo pron y vecindario todo de Ibros, provincia dejare, por el Sr. Litio. to y egecutívo las diputaciones provinciales se pondrán de acuerdo De los empleados en la aduana nacional de Ceuta, por el Sr. Ar con los comandantes generales, debiendo aquellas presentar el cupo que guelles. corresponde á sus provincias vestido y simado de…</t>
  </si>
  <si>
    <t>Litro, Manuel</t>
  </si>
  <si>
    <t>Manuel Litro</t>
  </si>
  <si>
    <t>…abia confe pueblo, á la que los guíes militares pasarán con la rido, había tenido á bien nombrar gobernador de anticipación debida una lisia firmada, con espresion e.-.ta plaza al brigadier D. Manuel Litro ; y ademas de los individuos de sus cuerpos- que se 'haden en pata inspector de Ja infantería y milicia de la Isla á el ejercicio- de I »s derechos de ciudadano. Aprobado. ü. Facundo Infante. ti. Los electores parroquiales que nominen ios Se acordó pasar ofic…</t>
  </si>
  <si>
    <t>Liver</t>
  </si>
  <si>
    <t>…ciller del echiquier , pronunció un discurso muy no dia, con minas y cañerías para ias aguas............ 1.091,147. table , en el que atacó , como primer lord de la tesorería , al lord Liver Las estacadas de madera del rio Henares , con el pool sobre el principio de la intervención, como peligroso para la misma cauce que dirige ias aguas desde estas á las com Inglaterra. puertas: consta de 1573 varas lineales, por _E1 esmero y actividad incomparable…</t>
  </si>
  <si>
    <t>…tavos, y se cerraron á 32 y tres cuartillos. El 22, tratándose en nea 54, donde dice agravarle y prolongarle, léase agravarse y el Parlamento de los negocios del Portugal, dijo el lord Liver prolongarse. EN LA IMPRENTA NACIONAL.</t>
  </si>
  <si>
    <t>Liverpool</t>
  </si>
  <si>
    <t>…a, como si la potencia otomana hub'ese dejado ministerio que pone su gloria en no desviarse de ellos.” de existir ,■ y como si sus ministros se hubiesen convertido en ministros Ei conde Liverpool dió las gracias á nombre de Mr. Canning y de del extrangero. A este influjo europeo, que no hs c-sado de ejercerse en los otros ministros que no estaban presentes , porque alzur.os n.vocics el divan desde que las potencias cristianas tienen min.slros en Cons-…</t>
  </si>
  <si>
    <t>…res su deber en' (echa- afirma que fuera de la reserva parlamentaria necesaria en un ministro, el zar por todos cuantos medios están á su alcance dicho pedido ú otros discurso del lord Liverpool no es otra cosa mas que una franca declara semejantes, previniéndoles bajo la mas estrecha responsabilidad la de ción de guerra contra la Francia. Habla de las frecuentes é íntimas negación indicada; en la inteligencia que el ayuntamiento que come conferencia…</t>
  </si>
  <si>
    <t>…toda la facción , que consta de ^7 infan se ha hecho con menos excesos. Y no soy yo quien os lo dice, es el tes y 4 caballos, pues babieca'j rodeado en un aumento con !c, lancinar lord Liverpool, ese viejo y constante antagon.sta de la revolución fran ia casa donde se habían amachado , y sorprend.endo la guardia, al lo cesa, ei pilar de las instituciones aristocráticas de la Inglaterra; pero lo que de degüello se rit.dieion sin la menor resistencia ,…</t>
  </si>
  <si>
    <t>…ara ¡as libertades nacionales, rompe hoy directamente do deber esta señal de gratitud á la potencia que tan generosamente ie i'4" las liosti.¡liarles con un par ele Inglaterra (el lord Liverpool), el cual teme bia dejado llevar á cabo sus dcsienios sobre Napoleón y la Italia; ¡x'rn c que los ¡ nte 1 eses ve riel alte de la Europa y la paz del mundo padezcan de Gobierno austríaco no creia empeñarse en una turna, y esperaba sin uüresultas de una euena…</t>
  </si>
  <si>
    <t>…mos á decir por ahora que Mr. Canning protesto que sus principes, lo cuando el ayuntamiento haya dejado de existir , podréis desconfiar de su son idénticos á los .manifestados por lord Liverpool en la Cámara alta. qu» patriotismo, y creer que deje de velar por vuestra seguridad y sosiego. está decidido á sostener las máximas mas liberales,; que la Inglaterra mine* •1 Ilustres y honrados ciudadanos: unión , obediencia y tranquilidad-, «i ha estado mas…</t>
  </si>
  <si>
    <t>…eiel c:itianismo ha compuesto y se lia leído en varias ter Se leyó , y se mandó quedar sobre la mesa el d.ctamcn de la comisión tulias un discurso lieno de fuego, impugnando el de lord Liverpool, y ex de Diputaciones prov,riciales acerca de la proposición del Sr Gómez Be plicándose como el verdadero Pedro ermitaño que predica ia nueva cru cerra para que se propusiese un proyecto de decreto, en que se d sen á las zarla. Esto hizo bajar mucho los fondo…</t>
  </si>
  <si>
    <t>…en que francesa en combates sin gloria , y con un fin que- ¡a razón cor.der.J v ¡í. hu i te halla la Europa; mis sentimientos son idénticos á los de mi colega manidad reprueba. ¡j lord Liverpool. Por lo que hace a nuestra poiít.ci extranjera estoy re- « Voto contra una guerra que ni aun síquera es una guerra cdnastict. pue* | suelto á defender los principios liberales, y m&lt; vanaglorio en declara- expone á vicisirude» incaicu.abies los trono» de Franc…</t>
  </si>
  <si>
    <t>…archa es penosa y cansada, na de aquel Codigo en 1820-, restauración que alarmó a los aliados da rinde á los valientes que tengo el honor de mandar. Al paso de la Gran Bretaña. El lord Liverpool confiesa que desde lúe - o que los pueblos se espantaban de verse sin pensar con la gavilla el,modo con que se ha verificado es sensible; aunque observa que dé facciosos, se animaron de nuevo al ver bayonetas constitucio si jamas se ofreció un caso de esta es…</t>
  </si>
  <si>
    <t>…fin anhelaba S. M. B. coadyuvar tuación en que se veía. Esto fue cuando aun no se creía Ja inva con sus aliados para calmar la irritación, y precaver un rompi sión , que el mismo lord Liverpool tampoco imaginó pensase la miento t repitiendo con este motivo que ei mezclarse en los ne Francia en recurrir á tal medida hasta pocos dias antes de haber gocios infernos de un Estado independiente , á 110 ser estos tras pronunciado Luis xvin el discurso de a…</t>
  </si>
  <si>
    <t>…tos agraciados se hiciesen remesas á los de la Hil ra. Al presentar en. la Camara de los Pare» estos documentos vana y Cuba, deberán pagar á su introducción en estos últimos ihizo lord Liverpool un largo y extendido discurso, y Mr. Canla misma quinta parte de derechos que dejaron de satisfacer ea ning otro en la de ¡os Comunes con igual motivo , en que qui el de su procedencia.” sieron probar qm el Gabinete de S. James ha hecho cuanto ha</t>
  </si>
  <si>
    <t>…ta de ia tra nos dió el ser. ¿Es acaso también el riesgo de perdeí la vida ? gedia............ ¿Entre perderla ó no perderla hay una inmensa diferencia? ¿Y w Lord Grey contestó al lord Liverpool, y Mr. Brougham no la hemos de perder de algún modo? La vida, esta vida á á Mr. Canlnng, rebatiendo los principios en que apoyaban la que damos tanta importancia, sin tenerla, cuando es deshonra conducta del ministerio, y reservándose hablar con mejores da da…</t>
  </si>
  <si>
    <t>…que en 11 de Enero tuve eL honor de presentar á ks .neutralidad, vino á explicarse en términos idénticos á los del Cortes, á fin de que declarándola comprendida en el art. too Ual lord Liverpool; y concluyó su discurso, inculcando . que por reglamento, pase con toda urgencia á lá comisión Diplomática. ningún título se habia estimulado á la España á resistir á la El br. Gaíiano: En todos los países los manifiestos se apo Francia prometiéndole auxilios…</t>
  </si>
  <si>
    <t>…nifestaba inclinación de ceder de .ais te marañas cendentales que no cuben en ningún calculo. Yo no convendré con pretensiones, con todo dejaba á la vista pruebas terminantes y el lord Liverpool en que nuestra Ccmst tuc'on. está fundida sobre positivas de Ja mala fe, de Ja perfidia cor. que procedía en todas errores: no, señor; ni diré tampoco que no sea susceptible de rus negociaciones, ya apoyando y solicitando como he indicado mejoras ; ; pero dón…</t>
  </si>
  <si>
    <t>101</t>
  </si>
  <si>
    <t>…voluciones, bajo la tarberna; y por caridad le trajeron un vaso de vinagre y cualquier forma que se presenten. agua , y se lo dejaron allí. Nos podríamos servir dei testimonio del lord Liverpool pa — Se habla de enviar un embajador nuestro cerca de la Re ra probar que los partidos están equilibrados en España y que la gencia de Madrid; pero lo seguro es que mientras permanezca causa de los constitucionales no es la verdadera causa; peto el el que ten…</t>
  </si>
  <si>
    <t>…bre los fondos del empréstito. Estas muni el Rey había nomb.ado son : el lord Canciller , el conde ciones seián de grande utilidad , no solo para nuestra marina, Wetsmoreland , el conde Liverpool, el conde Hanowi y el sino también para la del Perú. cond Batursr. _D*spues de las noticias recibidas de Maracaibo por la via de El lord Canciller ha leído el siguiente discurso: Curazao parece que el atáque de ia armada colombiana se ha w viiíores y Señores:…</t>
  </si>
  <si>
    <t>…ios ciudadanos rodeados de su familia no pue do las promesas hechas en 1814 de organizar el Estado; pero den pensar sin estremecerse en el dia de mañana? ¡Y no es cier tememos que lord Liverpool no ha meditado bien la dificultad to que tal era e! estado de !a Península antes de entrar el ejér de introducir tu un país como F.spaña nuevas y grandes mudan cito francési ¿No era derramad» la sangre de los ciudadanos por zas en el momento mismo en que la N…</t>
  </si>
  <si>
    <t>Lizasoain, Juan</t>
  </si>
  <si>
    <t>Juan Lizasoain</t>
  </si>
  <si>
    <t>…upo detener el curso de sus victo __ En celebtidad del dia se ba construido , bajo la dirección del profe rias , supo resistirle cuando yacían sumidos en una impotencia ó desi sor D. Juan Lizasoain, en la plaza de la Const'tucien , dando frente á dia vergonzosa , cuando se envanecían acaso de estar atados al carro da la calle Ancha , un sencillo obelisco sobre una base de seis pies de al sus triunfos los orgullosos Gabinetes que quieren hoy ser arbitros…</t>
  </si>
  <si>
    <t>LJ</t>
  </si>
  <si>
    <t>…uestras reflexiones solo deben tirado can la primera brigadá de su división,, ¿Ja cual el ¡9 se girar sobre la indicación del Sr. Borgcs Carneiro que ya han apo habita ya unido el brigadier LJ9bcra._c.El fy se publicó la guer yado otros. Esta se reduce á dos puntos: que declaremos en el ra contra Francia en Barcelona con toda solemnidad, y el gene acta que solo por !a fuerza suspendemos nuestras funciones , y que ral Butrón pronunció con este motiv…</t>
  </si>
  <si>
    <t>LjandroBe</t>
  </si>
  <si>
    <t>…Altar, con Te Se ha, presentado á S. A. la Regencia dej -Reino una dipu Deum en acción de gracias al Todopoderoso, rogando al mismo tación de la villa de Budia, compuesta del Lie, D. LjandroBe* tiempo por la salud de S. M. y su Real Familia, y pronta co cerrd , abogado; D. Joscf Romo, D. Melchor Díaz, D. Al locación en su trono, del que le arrancó la traición y la perfi fonso Alonso, D, Rafael Verde y D. Fernando Bautista, pro dia ; á cuya función,…</t>
  </si>
  <si>
    <t>Lkserñ</t>
  </si>
  <si>
    <t>…* felicitaciones qua 14 que á su salida del Callao quedaba ocupad* Lima por una división lea dirigían por las sesiones de 9 y 11 del pasado. del sgércíto nacional dei mando, d j l Sr. Lkserñ*, b*(0 cuyo justificado De lo* individuo* de la audiencia da Aragón. • Gobierno seg. i tranquilo el. Pwó; f que posteriormente mpo‘que De tos individuos subalternos de la misma.. San Martin se hallaba preso en Valparaíso. Ei maular que por el in De tos emplea…</t>
  </si>
  <si>
    <t>Llaguno, Pedro</t>
  </si>
  <si>
    <t>Pedro Llaguno</t>
  </si>
  <si>
    <t>…res. rs Santos.” careciendo y escaseando, á excepción de las casas y el agua; |;s Sobre. cárceles están llenas de patriotas, y se ha dispuesto que sirva r&gt; Secretaría de cortes._A D. Pedro Llaguno. _ Parte. — para este fin el edificio del Noviciado. La canalla de los barrio; Sevilla.” bajos merece por todos títulos ser comparada con los ladrones » 2 a de Mayo. Mi querido Perico: Para V. no hay mas de Sevilla. Todavía no ba olvidado aquella la lección q…</t>
  </si>
  <si>
    <t>Llama, Miguel de</t>
  </si>
  <si>
    <t>Miguel de Llama</t>
  </si>
  <si>
    <t>…arzo de 1820 jurar recho á dichos bienes, para que en el término de 15 dias com la constitución promulgada en Cádiz el año 18121 Sí. &lt; Debió parezcan en su juzgado y escribanía de D. Miguel de Llama; en mas bien habar hacho lo que hizo en Diciembre de 1821 su la inteligencia que pasados sin hacerlo les parará el perjuicio que augusta Hermana la Runa de Portugal Doña Joaquina Cariota baya lugar. - de Boiboní No. Conversaciones primara, segunda, tareera y…</t>
  </si>
  <si>
    <t>…mo á las nueva de su mañana en la posada de S. S. N ¿meros. Premios. Administraciones. Por el juzgado del Sr. D. Manuel Josef Rubio, primer Tesiente de Corregidor, y escribanía de D. Miguel de Llama, está 1,879.... 16000 ps. fs........ .... Cádiz. radicada la testamentaría de Doña Basilisa Pinilla y Pcrez, na 4,143.... 5000.................... .... Madrid. tural que fue del lugar de Vicálvaro, que falleció en ella el dia 8,702.... 1000...................…</t>
  </si>
  <si>
    <t>Llander, Manuel</t>
  </si>
  <si>
    <t>Manuel Llander</t>
  </si>
  <si>
    <t>…las, elevadas montañas de los Pirineos. Su El teniente coronel D Joaquin Gorgon, comisionado por el Real preaeneja, al pisar los moribundos pueblos de España, vi mariscal de campo D. Manuel Llander, capitán general de las vificó á sus habitantes, y en vez de resistencia encontró aclama provincias Vascongadas, para felicitar á S. A. S. la Regencia del ciones , aplausos y bendiciones, y de este modo se dignó entrar reino por su instalación, se presentó ¿…</t>
  </si>
  <si>
    <t>Llanes, Tomas</t>
  </si>
  <si>
    <t>Tomas Llanes</t>
  </si>
  <si>
    <t>…d en el día de hoy y en los anteriores no conoce comandante del batallón níim. 21 D. Tomas Mezguer; el de Li rá que el enemigo esté tan cerca, porque á excepción de algu bertad al coronel D. Tomas Llanes; el Vigilante al capitán Don nas disposiciones militares, todo se mantiene tan sereno y tran Juan Bautista León; el de Constitución al teniente coronel, gefe quilo como si los franceses estubiesen á mil leguas de distancia. de batallón, Don Gabriel Pflouguer;…</t>
  </si>
  <si>
    <t>Llanocolumna, Nicolás</t>
  </si>
  <si>
    <t>Nicolás Llanocolumna</t>
  </si>
  <si>
    <t>…gata D. Josef Fernandez de las Peñas, el teniente de ¡d:m cial de esta capital desde la Calzada de Calatrava los comandantes de la Don Manuel Villavicencio, el capitán de egército D. Nicolás Llanocolumna móvil D. Josef María de Teran y D. Luis Pinango , sabemos que entre nueve y diez de Ja mañana del mismo día se presento a estos y su asistente, un sargento , 3 ¿Rbos, 25 soldados de varios cuerpos, y á los alcaldes de aquella villa, acogiéndose al indulto, la…</t>
  </si>
  <si>
    <t>Llauder, Manuel de</t>
  </si>
  <si>
    <t>Manuel de Llauder</t>
  </si>
  <si>
    <t>…y media del dia. pos , autoridades y personas de distinción con la afabilidad que le es característica. Por Real orden comunicada desde Aranjuez en 12 del cor El Mariscal de Campo D. Manuel de Llauder, Capitán gene riente por el Excmo. Sr. primer Secretario de Estado al Excelen ral de las provincias Vascongadas , noticioso de la venida de tísimo Sr. Secretario del Despacho de la Guerra, se ha servido S. A. R., salió ayer á su recibimiento á los confines de…</t>
  </si>
  <si>
    <t>Lló</t>
  </si>
  <si>
    <t>…Sres. que podrá privarnos concepto son unas bajas efectivas. • de las ventajas que hayan conseguido nuestros ejércitos en aquel Después de haber controvertido este dictamen dicho Sr. Lló país; pero este inconveniente puede salvarse por el Gobierno no rente y el Sr. Aillon , se declaró el punto suficientemente discu entrando en negociaciones con los gobiernes de America que tido, se votó por partes el dictamen , y-quedó aprobado en to crea con…</t>
  </si>
  <si>
    <t>Llobera</t>
  </si>
  <si>
    <t>…pronto estarían contentos. __Varios individuos han hecho un regalo de ciertas piezas de plata al Idem 30. ministro Mr. CanDing: la política qua sigue 1c hacen mas digno de sus El general Llobera atacó ayer los facciosos que manda J B. BatV, conciudadanos. alias Bronce, y se habían reconcentrado ea el lugar de R. I&gt; s en nú En Irlanda no han cesado enteramente los desórdenes; en algunos mero de 350 hombres. Hubo un tiroteo que duró cosa de media ¡iora…</t>
  </si>
  <si>
    <t>…nen fuerza efectiva, ni siquiera nominal. Este es mi voto. De ¿os periódicos ¿i? Cata luis a hasta el' ¡jo de M ¡y*. El El Sr. Derramado apoyé) la Indicación, y lo mismo hicieron, brigadier Llobera había tenido una acción contra un nú miro su varios Sres. diputados, y el'Sr. Serpa Machado habló en los tér perior de enemigos, y le, causo mucha perdida; la nuestra fus minos siguientes: de unos 50 á 60 hombres entre muertos y heridos__ De Mal ¡ro Hoy es el…</t>
  </si>
  <si>
    <t>Llobera.y-ha, D- Esteban</t>
  </si>
  <si>
    <t>D- Esteban Llobera.y-ha</t>
  </si>
  <si>
    <t>…otra véz-enyti Trono con’el goce de presente-mes da parte de que á resultas ¡de una conferencia, que la plenitud del señorío inherente á su' alta y suprema dignidad; tuvo ;cpn,el brigadier D- Esteban Llobera.y-ha tenido la satisfac llegó por fin este afortunado día , y al divisarse Ja .escuadra que ción de.que la división .del mando del expresado brigadier,. en conducía al Capitán general''ndhibrado por W M, para el go fu^rza.dé g9 hombres,. acantonada «n Reus, ha hec…</t>
  </si>
  <si>
    <t>Llorante, Juan Antonio</t>
  </si>
  <si>
    <t>Juan Antonio Llorante</t>
  </si>
  <si>
    <t>…os, para pre Notas al dicumen de la comisión eclesiástica encargada del arreglo sidente el Sr. D. Domingo M r;a Ruiz de la Vera , diputado por difinitivo del clero de España , por D. Juan Antonio Llorante , autor la provincia de Granada; para vice-presidente el Sr. D. Me-chur Ma de varias obras. Se hallan en esta ebrita algunas notas de considerable rau, diputado por la de Valencia ; y pata secretario el Sr. D. Santia impoiíancia, como por egemplo , las qu: tr…</t>
  </si>
  <si>
    <t>Llord, Ramón</t>
  </si>
  <si>
    <t>Ramón Llord</t>
  </si>
  <si>
    <t>…itud D. Josef Car.tel; D. Juan Isidoro Perez; D. Simón González Yusíe; de lo: pueblos, se les diesen lecciones tan claras pata que aceleren su D. Josef Radon; D. Sebastian Andrés; D. Ramón Llord; D. Francis libertad. co Martinez Marina; D. Josef Luis de Amandi, y D. Manuei Esteban » El Congreso y el Gobierno en aquel dia de ventura se disputaron Catata. el saber y el patriotismo , y el heroico pueblo espectador sin decidirse Habida (a conferencia, re…</t>
  </si>
  <si>
    <t>…ñores que declararon dicho impreso sedicioso en tercer grado: la Nación durante la guerra extrangeia. Dígnese V. E. inclinar el Uta! D. Gonzalo de Cárdenas, D. Antonio de Alcázar, D. Ramón Llord, ánimo de S- M. i admitir esta pequeña ofrenda, que hago gustosí.imo D. Francisco López de Olavarrieta, D. Joaquín de Ce"-! os, P. Ju en i» aras de a libertad , ai mismo tiempo que renuevo el juramento lián de Fuentes, D. Nicolás Cano de Luque, D. Juan de Cor…</t>
  </si>
  <si>
    <t>…ro próximo pasado; y acordado S- E. que ss £&gt;. Matías Pinillt. D. Juan Antonio López. manifieste al público este raigo para que se entere de la inversión que D. Aquilino Palomino. D. Ramón Llord. se da á los fondos de la suscripción voluntaria, y sirva de estímulo í D. Manuel González del Campo. D. Antonio Soliva. los patriotas para continuar sus donativos en favor de la libertad é D. Josef Valla y Roca. D Ramón Queraltó. independencia de la Nacioa.…</t>
  </si>
  <si>
    <t>…omprenda su suscripción. __Reunidos en' jurado de calificación los Sres. D. Martin Zarandia, Los que deseen suscribirse á la Gaceta de Madrid ó i la Gaceta es D. Joacuin Cevallos, D. Ramón Llord,D. Josef Cartel, D. Gaspar pañola , ó bien á Ies dos, podrán hacerlo tanto en la imprenta nacional Aguii.:ra, D- Antonio Gamonal, D. Francisco Barra, D. Nicolás de esta capital, como en la misma en Sevilla, é igualmente que en to Hered.ro Mayoral, D. Juan Paz…</t>
  </si>
  <si>
    <t>Llorens, Vicente</t>
  </si>
  <si>
    <t>Vicente Llorens</t>
  </si>
  <si>
    <t>…aldas de mi alojamiento nalla que ocupaba estos fuertes. El general habia querido fusilar con 3 voluntarios, se arrojaron á la puerta rompiéndola con ha le ; pero se interpusieron D. Vicente Llorens, capitán de Hols— chas; se introdujeron por la calle un capitán con .un grupo de tarich, que interinamente hace de comisario de guerra de esta facciosos; otros penetraron por el balcón, y viéndonos envueltos plaza, y otros varios, mediante que se le exigiese…</t>
  </si>
  <si>
    <t>Llórente</t>
  </si>
  <si>
    <t>…r íntegras en el territorio con la autoridad espiritual! Nada absolutamente: léase la Diario de si.s sesiones las exposiciones siguientes, dirigidas á felicitar al disertación dtl Sr. Llórente , en que demuestra que segun las leyes de España se dividen los obispados en territorios, sin intervención de la Congreso por las sesiones de 9 y 11 del corriente. Del ayuntamiento, de la milicia nacional local voluntaria de infan - autoridad eclesiástica. te…</t>
  </si>
  <si>
    <t>…grave, cual e» el de hacer de* militar de aquella provincia, y de la diputación provincial de Orense, mejor condición á los morosos que á los diligentespues á estos se les por el Sr. Llórente. ha exigido su cuota en metálico, y acaso con apremio, al paso que 4 Del regimiento de caballería de la Constitucicu, por el Sr. Muro. los otros se Jes permite pagar con frutos. Asi pues yo no puedo menos Del ayuntamiento de la ciudad de S. Fernando, por elSr…</t>
  </si>
  <si>
    <t>…ales de infantería, en la que pedían á la» Cortes fijainvasión extrangera. ten definitivamente su suerte. » Es imposible describir el efecto que han producido en esta provincia El Sr. Llórente manifestó que la secretaría habia creído conveniente dar las notas dirigidas á nuestro Gobierno por el de los Gabinetes de Rusia, cuenta de esta exposición , á causa de que para la sesión de hoy estaba seña Prus.'a, Austria y Francia, y las discusiones de las…</t>
  </si>
  <si>
    <t>…ismo , esto es , que la santa alianza lia puesto al cargo de los En la votación para séptimo individuo tuvo 34 votos el »cministros fanáticos ele Jas Tullerías. nor Sepilen, 29 el Sr. Llórente, ; el Sr. Valde» Busto», 3 el El paps'l austriaco no llalla compradores en Inglaterra , por Si. Seivato , 4 el Sr. Salva, : ei Sr Ierre: ¿ D. JoaqumN : el que es imposible que aquel Estado tenga crédito después que se Sr. Ovaíle, y uno respectivamente los Sve…</t>
  </si>
  <si>
    <t>…ltad de aprobar ó desaprobar lo que aquellos hagan! No quiero do servir de modo alguno para las clases subalternas. se crea de ningún modo que yo estoy por la independencia de F.1 Sr. Llórente presentaba voto particular, en el cual mani América. Yo accedería ó no á ella según que las condiciones que festaba no poder conformarse con la idea de la comisión de que se propusieren por los gobiernos de aquel país fuesen ó no ven este pase de oficíales de…</t>
  </si>
  <si>
    <t>…hallándose presentes todos los Sícsl secretarios del Despi lar hora para recibir la d.putacion de Cf rtes. dió , el de la Gobernación de la Península pliso el discurso del El Sr. secretario Llórente leyó las listas de los Sres. diputados Rey en manos del Sr. presidente de las Cortes, quien lo leyó, y existentes en la Isla Gaditana, de los que se hallaban fuera del dice asi: Congreso con conocimiento de las Cortes, y de ios que dejaron SF.90RF.S diputados…</t>
  </si>
  <si>
    <t>…ue el dictamen de la mayoría no debe al gobernador de la plaza acerca de las facultades de la junta en aprobarse. cuestión , para que al evacuarlo hubiese tomado los conocimien El Sr. Llórente, para aclarar un hecho expuso que la comi tos debidos para hacerlo con acierto; de lo contrario era inú til este sión habia tenido á la vista los antecedentes que echaba de menos pedido, é inútil también la segunda parte de la proposición apro el Sr. Oliver,…</t>
  </si>
  <si>
    <t>…ordinarias; para que deliberando sobre dicha exposición , resuel señalar hora para recibir la diputación de corus. van con su acostumbrado z-lo y patriotismo lo que m¡s con El Sr. secretario Llórente leyó las listas de ios ores, dipu venga á la causa publica. Lo que os manifieste mi Gobierno tados existentes en la Isla Gaditana , de los que se hallaban mostrará también palpablemente cuán infructuosos han sido los fuera del congreso con conocimiento de las…</t>
  </si>
  <si>
    <t>Llórente, Jacobo</t>
  </si>
  <si>
    <t>Jacobo Llórente</t>
  </si>
  <si>
    <t>…La co »Por'p3tie oficial publicado en esta ciudad se comunica quccl co misión informaba que estando esta solicitud arreglada á los principios mandante de la columna, el benemérito D. Jacobo Llórente, con sus de justicia y da política, las Gortíi podrían acceoer s ella. Aprobado. ' tropas y ias de Pontevedra ha batido en el puente de Cauro el dia 10 La comis en de Agricultura y Arica, en vista dei proyecto del junto á Sobrado*4oo facciosos , matando i 10,…</t>
  </si>
  <si>
    <t>Llórente, Juan Antonio</t>
  </si>
  <si>
    <t>Juan Antonio Llórente</t>
  </si>
  <si>
    <t>…ia todos los contornos de la certeza. En la librería de la viuda de Navarro se hallan venales las Se supo la triste y macilenta entrada de los franceses en Mur obras siguientes de D. Juan Antonio Llórente: cia (hablamos de los que habian venido á tomar á Cartagena): Historia de la Inquisición, 10 tomos rústica á róo rs—Re entraron sin tocar cajas, con muchos carros cubiertos , y llenos de trato político de los papas, 2 id. id. 32-----Colección diplomá heridos;…</t>
  </si>
  <si>
    <t>Llórente, Manuel</t>
  </si>
  <si>
    <t>Manuel Llórente</t>
  </si>
  <si>
    <t>…v 42 del mismo capítulo. Art. 16. Los cirujanos mayores Madrid; D. Antonio Martínez de Vckbco, por la de Burros, tambán igualmente respecto de su profesión y súbddos las obliga y D. Manuel Llórente, por la de Galicia; y para suplentes á los ciones que prefijan á los médicos mayores los.artículos 43 , qq,, Sres. D Joaquín Abren, diputado por la provincia de Cád,z, y 45 , 46 , 47 y 48 de dicho capitulo, siendo ademas de su cargo D. .Antonio Perez de Meca,…</t>
  </si>
  <si>
    <t>Llorera</t>
  </si>
  <si>
    <t>…con varios errores trascendentales , y se esperaban los mejores resultados de eJ santo fin de que se cumplan las leyes. No hace muchos dia» que sala continuación de su visita—.El brigadier Llorera había sostenido en guu el petiódico que inserta las llamada* sesiones de aquella suciedad,</t>
  </si>
  <si>
    <t>Llovera</t>
  </si>
  <si>
    <t>…varias casas Córdoba y la caballería de coraceros, y sabiendo la m.rcha de los fac del pueblo, por cuya razón este también suplicaba scrind.isen, hacen ciosos sobre Oiot, avisé al brigadier Llovera, que «taba en Figueras dó entender ios malvados á aquellos valientes que si no sucumbían, con la segunda brigada, que marchase a Bañólas , y el 14 nos reuni luego luego, incendiar an el castillo, pasarían a de.üe. o a los qu- lo mos tu dicho punto. Ei 15 á la…</t>
  </si>
  <si>
    <t>…u el lector escogiera á su gusto la que mus probable cha mavor ¡a de ios enemigos. Las tropas al mando le pareciese; peí o mejor será esperar á que se acla dd general Milan.s y el brigadier Llovera volvieron ren algo las voces «pie acerca de eda se han propa á ocupar,esta tarde las posiciones que tenían ante gado. T.o mismo podemos decir sobre acontecimn n- riormente, tos de Malaga , que tampoco nos atrevemos á espe Licia ai».—Estrado de los partes que…</t>
  </si>
  <si>
    <t>Llovera, Juan Moreno Milans y</t>
  </si>
  <si>
    <t>Juan Moreno Milans y Llovera</t>
  </si>
  <si>
    <t>…Mina se agrava mas cada dia. El bloqueo de de Antoñana por sí ó por medio de procurador á usar de su Barcelona es completo por tierra. derecho en los autos que con el mismo sigue D. Juan Moreno Milans y Llovera, que se dirigieron precipitadamente por de los Ríos sobre reintegro en la posesión de una casa sita en Montb'anc hacia Sta. Coloma y coll de Sta. Cristina, parece que esta corte y en su Cava baja, señalada con el núm. g de la man variaron su marcha dirigiéndo…</t>
  </si>
  <si>
    <t>Llúa, Pedro Alvartz Juan de</t>
  </si>
  <si>
    <t>Pedro Alvartz Juan de Llúa</t>
  </si>
  <si>
    <t>…enos-Aires gas , marques de la Merced, por la de Jaén : D. Francisco Ma otra intentona semejante á la que descubrió el gobernador de San teo Marchámalo por la de Guadal a ja va; y D. Pedro Alvartz Juan de Llúa. Gutiérrez por Ja de Granada, contra quienes se está siguien Es t'o-.a que atormenta ver salir del medio de la Francia una do causa por no haberse presentado en esta Isla Gaditana í pieza que tamo ia humilla. Según esto untes de la restauración de cumplir con…</t>
  </si>
  <si>
    <t>LLuiz</t>
  </si>
  <si>
    <t>…movido á órdenes del Sr. Gómez Becerra a los artículos 1277 139 de la orde mayores, y examinado de cura animarum. nanza para el gobierno político-económico de las provinc-as de El Sr. LLuiz de la Vega hizo presente á las Cortes que este Ultramar. interesado por su adhesión al sistema se halla perseguido, y sin Se aprobó una proposición del Sr. Moure, en la cual repro poder obtener las órdmcs.mayores, fundándose esta negativa en ducía las que ant…</t>
  </si>
  <si>
    <t>Lntnhton</t>
  </si>
  <si>
    <t>…or acuerdo de la comisión, Juan Jorge paquete ingles que llegó ayer por la mañana á este Lambton , presidente. puerto , y volvió á salir con dirección á Lisboa ti jilo t a. Et Sr. general Lntnhton ai aceptar la pre nu dio «lia. l’or el capitán comandante del referida sidencia ofreció contribuir con 5 v duros, v el ilus paquete liemos sabido que el viórnes último salió de tre miembro Sir Fruncís Rurdett, con Jo s reales. Inglaterra para la Cor uña el ba…</t>
  </si>
  <si>
    <t>Lntrc</t>
  </si>
  <si>
    <t>…os Afonzo. días dt jicjl.i. Concluida la votación del segundo .secretario promovió r| Cádiz 6 de Setiembre. Sr. Beltran de Lis la eluda de si deberían .admitirse votos á favor del Sr. Lntrc , respecto á que.algunos señores solicitaban dispen CORTES EXTRAORDINARIAS. sárselos. A sil consecuencia manifestó el Sr. presidente , que la mesa JUST A V R F. P A RATO F I A. también lo había dudado , sin embargo á que los admitió , en Reunidos en el local…</t>
  </si>
  <si>
    <t>Lo, Juan</t>
  </si>
  <si>
    <t>Juan Lo</t>
  </si>
  <si>
    <t>…rial Alejandro se da de Baquijano, y que con precipitación fugaron para Lima. adelantó sobre la posición enemiga para cerciorarse si permane Ei comandante general de la caballería coronel D. Juan Lo cía en la misma, ó si se había movido en dirección á S. Borja, riga, que cubria la retaguardia de la columna de esta arma, se como se creyó al anochecer. Este coronel efectuó con el tino me reunió habiendo cumplido exactamente mis instrucciones, evi que le es…</t>
  </si>
  <si>
    <t>Lo-</t>
  </si>
  <si>
    <t>…varez (D. Elias) apoyó la proposición . manifestan Aprobado. do constarle que en la provincia por donde es diputa ‘.o se habían I4 misQU opinaba debía desestimarse la solicitud d« D. Lo-</t>
  </si>
  <si>
    <t>…que los con-tilucionales se han remudo n gran número, Y que lio desisten de su empresa cu fdv or.de las nuevas instituciones: añaden que ponsa El Gobierno ha recibido un parte del general Lo- lía® dirljirse contra ia capital. pez-hafios con fecha desde Sevilla de ití del corriente =-En la madrugada dei dia de ayer se ha haiiado muer cuvo estractoes como &gt;igne: ”Eslc general continuó su to cu su casa al señor Sánchez Salvador, ministro movimiento a…</t>
  </si>
  <si>
    <t>Loaches, Jacinto Gaona y</t>
  </si>
  <si>
    <t>Jacinto Gaona y Loaches</t>
  </si>
  <si>
    <t>….................../ 23 &gt;5 34í dichasletrado mejorasde primeraacudainstanciaante el deSr.estaD. harineaAngel Fernandezvilla, y porde lalosescribaníaRíos , juexdel Notas. numero de D. Jacinto Gaona y Loaches, que se admitiráu siendo arregla 1.* Las diligencias se pagan á (so rs. cada una ademas de la cstam das a Jos decretos de las Cortes. EN LA IMPRENTA NACIONAL.</t>
  </si>
  <si>
    <t>…rres Amat, después de haber hab ado en el pró lez de Zurbano, de quienes darán razón en la escribanía del logo del mérito de la versión del limo. Seto , manifiesta el mo número de D. Jacinto Gaona y Loaches, donde se halla radica tivo de publicarse esta, y los medios de que se ha valido para do el concurso; en la inteligencia de que pasado dicho término formarla, y las regias que ha observado. Advierte que ha teñirlo ss dará cuenta al Sr. juez que conoce de él p…</t>
  </si>
  <si>
    <t>Loada, Fernando</t>
  </si>
  <si>
    <t>Fernando Loada</t>
  </si>
  <si>
    <t>…decretado por las Cortes en lientes, impacientes por llegar á las manos-, y conducidos por su digno te 8 del mismo; que se están construyendo los vestuarios, y que cree que niente D. Fernando Loada , por mí y mis ayudantes D. Francisco Lasauca, antes de cumplirse el mes quedará cumplida la orden que para el efecto se L&gt;. .Mariano Gironella y D. Carlos Braunch, dado el terrible grito de le lia comunicado. Iguales avisos se han dado al Gobierno por los ge…</t>
  </si>
  <si>
    <t>Loarte, Eladio</t>
  </si>
  <si>
    <t>Eladio Loarte</t>
  </si>
  <si>
    <t>…á esta plaza bajo las órdenes nición , y abrazarse con las tropas del mando del referido Lu del general de división conde de Loberdo, y en que se me pre que, haciendo lo mismo su gobernador D. Eladio Loarte, vi venía me avistase con dicho general en la ciudad de Antequera, toreando unos y otros al Rev absoluto,* por cuyos importantes adonde llegaría el f 'uñero, dispuse mi salida de Randa en la servicios lo juzgo acreedor á toda gracia que se le qu.era dis tarde…</t>
  </si>
  <si>
    <t>Lobato</t>
  </si>
  <si>
    <t>…o á las cuatro y media de la tarde con destino al Puen- memente es el trastorno del orden de cosas actual , y este deseo se ma tt. Por haber interceptado una carta que escribía el coronel Lobato á nifiesta por medio de esta fórmula: Li libertad del -Rey , es decir , que Echevarri, se ha sabido que aquel te hallaba en el pueblo de Soledad 9 se supone que el Rey rasgaría la Constitución de las Cortes; pero si es leguas de esta, pidiéndole le mandase mu…</t>
  </si>
  <si>
    <t>Lobera, Mariano</t>
  </si>
  <si>
    <t>Mariano Lobera</t>
  </si>
  <si>
    <t>…cre ,,Señor: Luego que la ciudad de León supo la deseada y mi tario de Cabildo.” lagrosa libertad de V. M., dió las debidas gracias á Dios, y ma El Ecxino. Sr. Duque de Hijar y el Sr. D. Mariano Lobera, nifestó su placer con públicos regocijos y las mas vivas efusiones Ministro cesante del Consejo supremo de la Guerra, tuvieron la de amor á V. M., a la Reina nuestra Señora y Sermos. In honra de presentarse al Rey nuestro Señor, y entregarle a nom fantes. „D…</t>
  </si>
  <si>
    <t>Loberdo</t>
  </si>
  <si>
    <t>…a, con el cbjeta de impedir que general de Granada fueron á Antequera, y desde allí por dispo los enemigos penetrasen , bien por ¡a costa , ó bien por dicho sición d:I Sr. general conde Loberdo los puse á retaguardia de mi Cartama con dirección á Rond? , al mismo tiempo que las tro línea en el puebio de Casarabonela , donde según noticias no se pas aiiadas los atacaban por la patte de Antequera ; inas nuestras han conducido muy bien , por lo que he…</t>
  </si>
  <si>
    <t>Lobo, Rodrigo</t>
  </si>
  <si>
    <t>Rodrigo Lobo</t>
  </si>
  <si>
    <t>…ente sin cumplir su comisión , dejando en po FRANCIA. der de la fragata Thctis y de la plaza todos los trasportes que lle París a6 de Abrí!. vaba, no obstante la conducta del vicc-almirante Rodrigo Lobo, Avisan de Strasburgo que una máscara del carnaval da ahora que mandaba allí las fuerzas marítimas: y el cual , viendo inutili lugar á procedimientos en el distrito de Schelestadt. Algunos la zada su Operación para hacer embarcar las tropas, huyo ■; incor bra…</t>
  </si>
  <si>
    <t>Locho</t>
  </si>
  <si>
    <t>…lgunos; puente de Iso, que atraviesa el rio Mundo, el que pasaron Don pero lo haré en el parte siguiente. Lo que me apresuro á comu Miguel Lordan con su compañía, y el capitán del general Locho nicar á V. M-, para—que tome parte en mis satisfacciones, ya que D. Luciano Cortés, que murió a muy pocos pasos de él, de con sus sabias disposiciones me las ha sabido proporcionar. jando en Miguel Turra , su patria, á su esposa y cuatro hijes. Dios guarde á…</t>
  </si>
  <si>
    <t>…un nuevo pinar es buenca.= Saturio Valero.esPor Agreda, Joaquin Agustín Tupesísimo; pero nada de esto bastó á contener el entusiasmo de dda, escribano. la caballería; el intrépido general Locho se puso al frente de la suya , y yo de ¡a mía , y el uno por la dererecha y el otro por la » Sermo. Sr.: El ayuntamiento de Ja villa de la N va del izquierda trepamos las montañas como el terreno mas llano, Rey , lleno del mayor júbilo ai verse libre del tira…</t>
  </si>
  <si>
    <t>Lodarés</t>
  </si>
  <si>
    <t>…dichos expedientes, y sucesivamente otro entre los de 13 , y otro entre ios de 24.” Apro tomando los informes que tuviese por convenientes. Aprobado. bado. Se concedió permiso al Sr. Lodarés para ausentarse de esta corte Art. 33 ” Cada uno de estos sorteos tendrá una numeración por espacio de un mes por los motivos que exponía. particular, empezando desde el número primero basta el de los mozos Vatios ciudadanos de llleseas leücitaron á las Corte…</t>
  </si>
  <si>
    <t>Lodares</t>
  </si>
  <si>
    <t>…o d.br hacer a. crutinio el br. Soria por nó votos de 118 de total; hab.endo tenido •&gt; Si se prevunu ademas qué influjo pued; tener sobre el resto de la uro e! Sr. Neira y otro el Sr. Lodares. Europa una expedición francesa contra España , ei dar una contest-cica En seguida ocuparen sus respectivos asientos los Srcl. presidente y term.tiente á una cuestión tar, prematura , si Icese posible hac-r:o, oca steretarios, y el Sr. presidan- dijo: sionarí…</t>
  </si>
  <si>
    <t>…la lectura del acta de la ante cular. rior , que quedó aprobada. Dice también el Fr. Surri que quién compensa á los partícipes lezo, Entró á jurar y tomó asiento en el Congreso el Sr. Lodares. si se suprime el ni dio diezmo: á c,to respondo yo que si sr lleva á Las Cortes quedaron enteradas de un oficio del Sr. secretario de efecto la incorporación de los bienes del clero al Crédito público, a Gracia y Justicia , en que las comunicaba que el Rey s…</t>
  </si>
  <si>
    <t>…n. tución , opinaba dtbia accederse á esta solicitud, y llamarse al pri La comisión de Legislación , en vista de la proposición del mer suplente para que ocupe su lugar. Aprobado. Sr. Lodares, que dice: » Atendiendo á las dificultada que en las A la comisión de Instrucción pública se mandó pasar una ex últimas elecciones se han presentado sobre si los ex-fraiics y exposición de D. Luis Poseus, solititando permutar cursos de leyes monges de los con…</t>
  </si>
  <si>
    <t>…y si no usan de ella es por su gusto, y están oblieados La comisión de Legislación, en vista de la proposición del á observar cierto ceremonial, á ponerse un poco de sayal, y aun Sr. Lodares, que dice:.,, Atendiendo á las dificultades que en las á guardar los votos en cuanto pueden: el Sr. Martí conviene en últimas elecciones se han presentado sobre si los. ex—freires y esto, y quiere que queden libres de los votos; esto es imposi ex-mongesde Los…</t>
  </si>
  <si>
    <t>Lodarrs</t>
  </si>
  <si>
    <t>…e perdería luego un ¡a» provincias por las dudas por estas razone» creo que las Corto r.o deu.-n perder tiempo en esta que ofrecería. discusión, y qu; diben r.prcbir d art -n o El Sr. Lodarrs: A pesar de las observaciones que contra est; proyec El Sr. Valdés (D. Dañino): Dos cosas me han obligado á tomar to ha hecho el Sr. preopinante, creo que ías Cortes se hallan en el caso la palabra contra este ariicu'o. Ei Sr. Guevara ha manifestada ya su de…</t>
  </si>
  <si>
    <t>Lodikeni, Antonio</t>
  </si>
  <si>
    <t>Antonio Lodikeni</t>
  </si>
  <si>
    <t>…o el Sr. Alonso de que puede una au Las Cortes, á propuesta de la misma comisión, concedieron toridad hacer lo posible por su parte para perder a un patriota, carta de ciudadano á D. Antonio Lodikeni, y de naturaleza á y luego porque los demas jueces no sean tan malvados como el, D. N. Tinrac , soldado que fue del regimiento Suizo número 4, ó por otra causa , no consiga su objeto. Castigúese pues á los que y actualmente del de infantería de Cantabria. atr…</t>
  </si>
  <si>
    <t>Lodures</t>
  </si>
  <si>
    <t>…ten licencia de ninguna autoridad para ficientes; otro de ia misma comisión, á consecucr.c:a de ur.a pro ausentarse con motivo de sus negocios particulares ; pero que posición del Sr. Lodures, declarando que los ex-freires v ex-mo cuando esta ausencia pase de 15 dias de su aviso de ella á los gc- nacales, cuyos conventos están suprimidos, no tenen veto activo íes políticos para los efectos oportunos. ni pasivo en las elecciones parroomuíes ñ cuvo…</t>
  </si>
  <si>
    <t>LoeCalesín, Jacinto Gaona y</t>
  </si>
  <si>
    <t>Jacinto Gaona y LoeCalesín</t>
  </si>
  <si>
    <t>…en el juz regular á Se estancia, «e. gado del Sr. D. Angel Fernandez de los Rios, juez letrado de primen villa. K h&gt;. VI). Rs. va. instancia de esta heroica villa, y escribanía de D. Jacinto Gaona y LoeCalesín de una caballería...... 23 ss 1265 ches, se halla señalado el dia 9, de Marzo á las 10 en punto de su ma Cano de dos muías............... 90 20/0 ñana en casa del referido Sr. juez para una junta general de acreedores i 110 2ñ3° dicho concurso, y se ha mandad…</t>
  </si>
  <si>
    <t>Loeches, Jacinto Gaona y</t>
  </si>
  <si>
    <t>Jacinto Gaona y Loeches</t>
  </si>
  <si>
    <t>…el Sr. Bertrán de Lis. capital del cargo del Sr. D. Angel Fernandez de los Ríos, y por la escri En la 22.a votación quedó elegido el Sr. Domenech por 90 votos, banía del número de D. Jacinto Gaona y Loeches , se han denunciado en habiendo tenido el Sr. Marchámalo dos. el concepto de no tener dueño legítimo conocido tres solares sitos en la ca En la 23a votación fue electo el Sr. Oliver por 82 votos, habiendo lle de S. Antón de esta corte , señalados con los m'im…</t>
  </si>
  <si>
    <t>…r á las autori los Ríos, juez letrado de primera instancia de esta villa, y por la es dades d- aquella ciudad, nacéndo'as creer que en aquetij hora estarían cribanía del número de D. Jacinto Gaona y Loeches , que ce admi SS. MM. en Lerma, y que huían de Madrid por ponerse á cubierto de tirán siendo arregladas. los republicanos que atentaban contra su vida. Aparecen contra ¿1 los De orden de la junta diocesana de la ciudad y obispado de Plasencargos siguientes :…</t>
  </si>
  <si>
    <t>…nacíonaf y salvar vues del consejo de S. M., y teniente primero de corregidor de está tros juramentos (i), conduciéndoos al campo del honor, si fuese heróica villa, refrendada de D. Jacinto Gaona y Loeches, es cribano del número, se ha señalado el dia 25 de Julio próximo, (i)' ¡Cuál de ellos? Porque cuantos militan á sus órdenes y hora de las nueve de su mañana, en casa de S. S. para una han hecho cuatro juramentos contrario» entre si, y alguno habrá junta gene…</t>
  </si>
  <si>
    <t>…abo de Hornos, perdiendo mas de yoo consejo de S. M., y teniente primero de corregidor Je esta vil'a, hombres que alli iban, y que hubiera sufrido igual suerte si no refrendada de D. Jacinto Gaona y Loeches , su escribano del nú hubiera arribado el segundo al puerto de su salida? ¡Y si la cos mero , se cita, llama y emplazad los parientes y demas inte tosa y bien meditada expedición al Rio de la Plata no hubiera resados á los bienes quedados por fallecimiento de…</t>
  </si>
  <si>
    <t>…crificio que la incomodidad personal de Por-providencia del Sr. D. Manuel Josef de Rubio, refren que fuese i su encuentro, -y estrechar una nueva y ventajosa? dada de su escribano D. Jacinto Gaona y Loeches, se ha man •lianza que mantuviese la paz en su reinp-? dado sacar, á pública subasta una casa sita en la calle alta de Se nos dirá, como tantas veces se ha dicho,'que en el cami los Reyes á las Salesas, núm. 12, manz, 284, que tiene de no, y principalmente en…</t>
  </si>
  <si>
    <t>…los impotentes esfuerzos del pretendido re te primero de Corregidor de esta M. H. villa, refrendada del es gulador de los destinos de Europa para despojarle de él. Se lle cribano D. Jacinto Gaona y Loeches, se ha señalado el dia 14 naron asi, Señor, los ardientes votos de vuestros humildes vasa del mes de Diciembre próximo, y hora de las nueve de la maña llos por la libertad de. su cautivo Rey; pero el Consejo, cuyo na , en casa de S. S. para una junta general…</t>
  </si>
  <si>
    <t>Logas, Ildefonso Martínez</t>
  </si>
  <si>
    <t>Ildefonso Martínez Logas</t>
  </si>
  <si>
    <t>…mudez, ayudante de plana mayor.ncEspcz deros y quinta de la Corona, y citados de Tarragona que ya habían y M.na. cargado, acometió á un trozo de enemigos con el mayor arrojo; y el teniente D. Ildefonso Martínez Logas, del propio cuerpo,se batió con Quinto distrito militar.=Egército de operaciones™-! Excmo. Se denodado esfuerzo , cont 'níendo el grueso de contrario., que se vieron ñor: Hasta el 23 inclusive noticié á V. E. Jos movimientos y opera precisados á reconcentrars…</t>
  </si>
  <si>
    <t>Loi, Ventura García</t>
  </si>
  <si>
    <t>Ventura García Loi</t>
  </si>
  <si>
    <t>…Vemura García Loigctrí, m Diario de la corte del En capítulo de Cádiz se observa accésit D. Josef Castro cr matemáticas y mitología._En la de francés D Francisco Ram rrz , accésit D. Ventura García Loi (4) Ya sabíamos que S. M. se conformaría en esto como *0 gorri. _En la de baile D. Manuel G lon..„En la de dibuje Don otras cosas con el dictamen del consejo de Estado. Facundo d« Lara y Gómez, accésit D. Josef de Castro—En la</t>
  </si>
  <si>
    <t>Loigctrí, Vemura García</t>
  </si>
  <si>
    <t>Vemura García Loigctrí</t>
  </si>
  <si>
    <t>…división fran __En las clases de mat-míticas segundo curso, de gramát ca cas cesa de 60) hombres ha repasado precipitadamente los Pirineos.” tellana , baile , esgr mi y mitología D. Vemura García Loigctrí, m Diario de la corte del En capítulo de Cádiz se observa accésit D. Josef Castro cr matemáticas y mitología._En la de francés D Francisco Ram rrz , accésit D. Ventura García Loi (4) Ya sabíamos que S. M. se conformaría en esto como *0 gorri. _En la de baile…</t>
  </si>
  <si>
    <t>Loigorri, Josef Simón de</t>
  </si>
  <si>
    <t>Josef Simón de Loigorri</t>
  </si>
  <si>
    <t>…del ministerio las adjuntas exposiciones del director de contribuciones directas pueblo, no eran suficientes para cubrir iodo el atrincluramanío cxter.or; de la provincia de Soria D. Josef Simón de Loigorri, y los oficiales 2.0 y y secuto de la serenidad de estos valientes, me dec.d: a tomar ,as casas, que 3.0 de la propia dependencia D. Manuel Mart.nez Munguia y D. Juan Pa estando en contacto todas, irustras-m las tentat.vas de ios crenucos: ti .si tricio Mead,…</t>
  </si>
  <si>
    <t>Loigorri, Ventura García</t>
  </si>
  <si>
    <t>Ventura García Loigorri</t>
  </si>
  <si>
    <t>iffo de esgrima D. Ventura García Loigorri, accésit D. Manuel con varias notas tacadas de Tos Santos Padres y expositores ságra Anzcun. nos , por D. Félix Torres Amat, dignidad de sacrista de la santa g»rs&gt;a de Barcelona. Esta nueva versión castellana de la Bi ANUNCIOS. blia , hecha de orden del Rey n…</t>
  </si>
  <si>
    <t>Loisel</t>
  </si>
  <si>
    <t>…igioso país los monstruos enemigos insacia á las tropas francesas en el estado en que se encuentran. bles del trono y del altar, afianzando nuestra sacrosanta religión Art. 14. El Sr. Loisel, Capitán de artillería, y Sebreaun, con el incontrastable escudo del santo Oficio de la Inquisición, Capitán de Ingenieros por una parte; y los Señores D. Miguel' contra quien rió pudieron prevalecer durante su permanencia los Jordanes, teniente de artillería…</t>
  </si>
  <si>
    <t>Lóitdres</t>
  </si>
  <si>
    <t>…ésta barra, lo qüe hace el paso muy peligroso INGLATERRA. á las embarcaciones que suben por el rio. Luego que llegó al de pósito mas vecino la noticia del ultraje cometido con el general Lóitdres 20 de Setiembre. Ashley, se destacó para tomar venganza una partida de 200 El Courier hace las reflexiones siguientes sobre la revolución americanos acompañada de algunos guerreros de Sioux ó Sao, ministerial en Rio-Janeiro: y es muy probable que este acciden…</t>
  </si>
  <si>
    <t>Loizaga, Pedro Ruiz de</t>
  </si>
  <si>
    <t>Pedro Ruiz de Loizaga</t>
  </si>
  <si>
    <t>…Con escándalo hemos oído al tomar al café en el de la Victoria ;» y regimiento de ex-guardias de infantería , para que dentro de 30 días reunido el jurado , compuesto de los Sres. D. Pedro Ruiz de Loizaga, comparezcan á responder de los cargos que contra ellos resultan ; y pa D. Pedro Antonio d; Aguirre, D. Segismundo Morct, D. Luis Cro- ra que llegue á su noticia que se anuncie en 1a gaceta en obsequio del »a, D. Prud ncio Hernández Sta. Cruz, D. Josef María…</t>
  </si>
  <si>
    <t>Lolzaga, Pedro Ruiz de</t>
  </si>
  <si>
    <t>Pedro Ruiz de Lolzaga</t>
  </si>
  <si>
    <t>…scsttnido por 30 caballos de Miguel Camerino, D. Baltasar Valcarce, D. Juan Francisco Vielot, Alcántara, mancados por su capitán. La izquierda, ccn La compañía de D. Antonio Puga, D. Pedro Ruiz de Lolzaga, D. Nicolás de Iraola cazadores y 20 caballos de los mismos cuerpos, ai cargo de D. Cirilo D. Josef Pascual ds Guillenca, D. Jostf ds Resusta y D. Ciemenr? da María Pascual , teniente del mencionado cuerpo , y el centro al dil co Zulueta, por unanidad declaró…</t>
  </si>
  <si>
    <t>London-</t>
  </si>
  <si>
    <t>…que debían seguirse !at reglas que haiu texto plausible. aquí se habian seguido en aruntos de esta naturaleza, paré lo cual'leyó Según el primer proyecto concertado con el difunto lord London- el art. 147 de la Constitución, y varios del arregid de tesorería. ' derry, el Congreso de Viena debía reunirse lo mas pronto que fuera El Sr. Canga contestó que ios negocios de Hacienda tune podían posible, y se esperaba que el noble lord concurriese á éi en…</t>
  </si>
  <si>
    <t>Long</t>
  </si>
  <si>
    <t>…caballos. El del P.; Davenpovt, Al. del P.; Pelliam , M. del P.; A. lLoburts, ejercito de Blakc está ya fuera de combate; los de Castaños v P.jAI. del P.; G. P. GrJnt, Al. del P.; general Long. M. del P.; lafox son los únicos 41; ’ pueden resistir por el pronto, y L’onaparM. Broulmm, Major Cartwringht, Mr. Clackburne , coroneles te puede atacarios con fuerzas muy superiores, sobre todo tn caba Grant y Torrcns, G. W. Cotter , cap tan Duberly , Air.…</t>
  </si>
  <si>
    <t>Longa</t>
  </si>
  <si>
    <t>…Las obligaciones de España , que se abrieron á veinte y armados y organizados el movimiento del duque de Reggio. ocho y un cuarto, subieron rápidamente, y se cerraron al veinte El general Longa reúne su cuerpo en Sara, y ha recibido ya y nueve y un cuarto: el cinco por ciento al treinta y ocho- Las 2500 hombres, con los cuales debe obrar en la provincia de San acciones del banco á doscientos seis y un cuarto. tander. El Morninp-Chrenicle publica ya…</t>
  </si>
  <si>
    <t>…este ponía de c'Tca de 300 hombres, le hizo sufrir nuevos descala oficial general se dirijo persiguiendo las tropas de Baiiestercs. bros el dia siguiente, y le tomó sus bagajes.El general Longa llegó Cuartel general de Madrid 25 de Junio de 1823.= De orden el 25 al Infiesto: hace elogio de la conducta que ha observado de S- A. R. el mayor general conde Guíliemínot. toda su tropa, y particularmente de algunas compañías francesas __Para que se vea el…</t>
  </si>
  <si>
    <t>Longedo, Francisco</t>
  </si>
  <si>
    <t>Francisco Longedo</t>
  </si>
  <si>
    <t>…ertas; pero no lo son las que aunque abiertas von.tencan Las Cortes han examinado la exposición documentada de ó traten de otra clase de negocios , las cuales cerrándose en las ad D. Francisco Longedo, capitán retirado de lanceros de Castilla, ministraciones á presencia del que las conduce, quedarán sujetas y comandante nombrado del sexto cuerpo franco; y si bien no ■á la multa y pago de portes. También se exc -ptiun ¡as cartas ó creen que los cuerpos fran…</t>
  </si>
  <si>
    <t>Longoria, Gabriel</t>
  </si>
  <si>
    <t>Gabriel Longoria</t>
  </si>
  <si>
    <t>…s, en, la amenaza.^! cirio al español. Se vende en Madrid en las librerías de Cruz, y „Yo lo vi, continúa el mismo; yo puedo asegurarlo; en su con* de Rodríguez;.en Oviedo «n U dé.D. Gabriel Longoria: untofinacion nada afligía su generoso coraron sino ,la suerte, de, su» mo en 8*° .íústica, su precio .10 rs. :?, : .. . •. pueblos; y cuando su aparente libertad estaba en la agonía, !** Retrato de nuestro amado Fernando, yn, en medio .pliego hizo el legado…</t>
  </si>
  <si>
    <t>Lop.-z, Juan</t>
  </si>
  <si>
    <t>Juan Lop.-z</t>
  </si>
  <si>
    <t>…oncurso, y Libro 3.0 de la geografía de fístralion , que comprende nn tratada t-ñalado para ella el domingo 19 del presente mes de Enero i la» robre España antigua , traducido por D. Juan Lop.-z , con nota* y un 10 en j»jho de la miñan*'en la posada dei nom nado ,Sr- juez, sita mapa general dividido en tres partes , bética , iusltania y tarraconense: en la p’azis- a d-l C ave!, casa llamada de Aposento , cuatto bajo, if un torno en 8.° de marquida; s…</t>
  </si>
  <si>
    <t>Lopara</t>
  </si>
  <si>
    <t>…on que nuestros enemigos quisieron poner á prueba vuestra decisión y constancia; Desde 1545 hasta 1556 pero al mismo tiempo no puede menos de unirse con vosotros tiendo inquisidor general Lopara hacer presentes al mundo entero los mismos sentimientos de aia, y bajo el reinado de Carlos ..................................... 1320......... 66o.. 6600 noble indignación , que con tanta unanimidad como energía expresásteis al considerar el horroroso atenta…</t>
  </si>
  <si>
    <t>Lopcz'Alia, Sinforiano</t>
  </si>
  <si>
    <t>Sinforiano Lopcz'Alia</t>
  </si>
  <si>
    <t>…ca Rivas. Doña Justa González , viuda de Don Ma los ex-secretarios, hechas ias bajas de es 88,195 merto Landáburu.1 cala , y los gastos de aquella.. ....... I&lt;432&gt;953 Los hijos de D. Sinforiano Lopcz'Alia. Contaduría mayor de Cuentas. . ................. 1.189,356 La viuda é hijos del Sr. D. Josef Gutiér Teson.iía general............................................ 1.204,884 Contaduría general de Valores....................... 407,845 rez de Teran.............…</t>
  </si>
  <si>
    <t>Lope, Francisco</t>
  </si>
  <si>
    <t>Francisco Lope</t>
  </si>
  <si>
    <t>…,y adornado con 14 estampas finas, las mejores que hasta viese el pabellón español , aplaudiendo ni mismo tiempo el zelo de Cañas. ahora se han puesto en esta dase de libros, por D. Francisco Lope» Orea: un tomo en 16.0 mayor , á 11 rs. en pasta cemun , A 16 de papel La junta de gobierno del banco nacional de S. Carlos, en virtud de lo fino y pasta fina y á 30 en tafilete. Se hallará en la librería de Orea. EN LA IMPRENTA NACIONAL.</t>
  </si>
  <si>
    <t>Lope, Marón</t>
  </si>
  <si>
    <t>Marón Lope</t>
  </si>
  <si>
    <t>…a de ¡a Francia, y daria á los ingleses un pretexto para tería de Galicia, presen:, das por el ór. Oliver. destruir el comercio trances marítimo, pretexto que ellos esperan con De D. Marón Lope:. Puente, oficial del regimiento de cazadores da ansia, y harán todos los esfuerzos posibles pata hallarlo. Guadalajara , por el ir. Castejan. NOTICIAS DE ESPAÑA. De la milicia nac onal leeal voluntaria de ambas armas de la c utiad de Lucrria, por ¿1 Sr. Lópe…</t>
  </si>
  <si>
    <t>Lopei-baños</t>
  </si>
  <si>
    <t>…an el puen tes que la comisión autorizada pira entender en los te del Arzobispo, El general (Justclidosrins . y pos medios de traslación á esta ciudad no pudo desen teriormente el general Lopei-baños procuraron saber tenderse de tos funestos perjuicios que podrían re la fuerza de estas tropas, v según sus partes ascen sultar si el barco de vapor, volviendo á .Sevilla ca dían ¿59 hombres. Tur partes posteriores del ge yese en poder de los enemigos. por lo…</t>
  </si>
  <si>
    <t>López</t>
  </si>
  <si>
    <t>…ra exposición sobre lo mismo del ARTICULO DE OFICIO. rector y demás individuos del establecimiento literario nacional de le villa de Cabra, provincia de Córdoba, presentada por el Sr. López El Gobi -no h.1 recibido los partes siguientes. Baños. El Gobierno ha recioido del Sr. comandante general del primer Se mandó pasar á la comisión de Marina una adición del Sr. Va distrito el siguiente parte : reta al art. s.° del dictamen sobre tripulaciones de buque…</t>
  </si>
  <si>
    <t>…sente se hace, á todas y cualesquiera Sr. Be Ida. pcr,on.is que se crean con derecho á la referida finca, para que al término De la M. N. V. de Iznar, provincia de Málaga , par el Sr. López cl«j de cuatro meses y 20 dias que por primero se les señala comparezcan á Baño. deducirlo por dicho juzgado y escribanía ; con apercibimiento que de no ha De D. Joscf María del Castillo, vecino de Alcaudete, por el Sr. Gó cerlo se declarará vacante y procede…</t>
  </si>
  <si>
    <t>…enal. al final del art'culo. Se votó este por partes, y quedó aprobado Se leyeron dichos artículos y título." ' ■ -.' todo el menos ia adición del Sr. Becerra. El Sr. Castejon: El Sr. López deMfefio-me ha precedido en Art. 5.0 El oficial ú oficiales encargados de la caja ce quin la impugnación que yo pensaba hacer: esta impugnación es tan tos, ó de conducirlos, que permitan su separación , sutraán dos Fuerte, que los individuos de la comisión no…</t>
  </si>
  <si>
    <t>…vas contra nuestras tropas que ocupaban ei puente del Arzobispo. cutieron en junta presidida por el mismo ministerio , y todos los El general Castelldosrrius, y posteriormente el general López votos convinieron en la afirmativa de la primera , esto es, en que Baños procuraron saber la fuerza de estas tropas , y según sus no había probabilidad de poder resistir la invasión ; y en cuanto palies ascendería a s,0 hombrea. Por partes poaicnoica üei gene…</t>
  </si>
  <si>
    <t>…las que puedan delegarles los mis discutidos en la sesión de hoy. mos generales para otros objetos. Art. 5.0 Los generales en gefe Se mandó agregar al acta el voto particular del Sr. López en sus respectivos distritos, y ios gobernadores de punto sitiado ó del Baño, contrario á la aprobación de la proposición del señor declarado en estado de sitio, pueden por sí, ó por medio de Jas Rico para que no puedan salir de esta isla los Sres. diputados…</t>
  </si>
  <si>
    <t>López, Antonia</t>
  </si>
  <si>
    <t>Antonia López</t>
  </si>
  <si>
    <t>…varias cantidades que adeudan á la Nación. pués de ios de mas. A la misma comisión se mandó pasar otra exposición de Se suspendió esta discusión , y después de anunciar el Sr. pre Doña Antonia López sobre que se la conceda una pensión. sidente que se continuaría mañana , levantó la sesión. La comisión de Diputaciones provinciales, en vista de la ex Acontecimientos de Ala,11 d. posición de la de Villafranca , manifestando la imposibilidad en que se hallan…</t>
  </si>
  <si>
    <t>López, Antonio López y</t>
  </si>
  <si>
    <t>Antonio López y López</t>
  </si>
  <si>
    <t>…110 hay duda que tienen motivos bastantes para no de La comisen scaundi de Hacienda, en vista de la exposición de cidir con seguridad sobre esta materia, puesto que ven perpleja á D. Antonio López y López , para que se le reintegre en el em k comisión, y nada podrán resolver con firmeza y acierto. pleo que disfrutaba en 814 con los ascensos que le hayan corres- Una de las facultades que reconoce la comisión en k junta pond do, opinaba que pod;a pasar al Gobier…</t>
  </si>
  <si>
    <t>López, Bernabé</t>
  </si>
  <si>
    <t>Bernabé López</t>
  </si>
  <si>
    <t>…rcir luces , dar D. Toma! Cueto. El que tenga noticia de su paradero se sirvirá comu i conocer los bienes que producen ó preparan las leyes y disposiciones nicarla en «sta corte i D. Bernabé López, calle de la Puebla Vieja, adoptadas, y contribuir al aumento y mejora de la riqueza pública. núm- a , cuarto principal de la izquierda, que lo agradecerá.*• Con este deseo ha aprobado S. M. que se publique el periódico cuyo Nota. En la gaceta del dia 11, col…</t>
  </si>
  <si>
    <t>López, Braulio</t>
  </si>
  <si>
    <t>Braulio López</t>
  </si>
  <si>
    <t>…izado Juicio de jurados. el puente que pasó la infantería por las vigas, fueron atacados y deshechos, habiéndoles cargado ¡a caballería por espacio de tres horas, matándoles hasta Don Braulio López, oficial de la secretaría de Estado y del Despacho 17 hombres, haciéndoles un considerable número de prisioneros que iban de la Guerra, denunció al Sr. alcalde const’tucional D. Francisco Crespo llegando sin cesar , y cogiéndoles 4 muías cargadas de patios ,…</t>
  </si>
  <si>
    <t>…s de justicia y rectitud que la naturaleza les dicta , nial que les Segundo ídem. Coronel D. Juan Doz. pese, y llenan este vacio con la ambición y el orgullo. En ral es Ayudantes. D. Braulio López. D- N. Buruaca. D. Gabriel tado no reconocen ley alguna divina ni humana superior á su vo Martin. luntad , ni admiten otra regla de sus acciones : por ella miden lo ARTICULO DE OFICIO. justo y lo injusto, lo decoroso y lo torpe, io bueno y lo malo, y Excmo. S…</t>
  </si>
  <si>
    <t>López, Félix</t>
  </si>
  <si>
    <t>Félix López</t>
  </si>
  <si>
    <t>…binetes de inferior categoría. El de Baviera ha A la comisión primera de Hacienda se mandó pasar una ex - procedido de una manera digna de él. El ministro bávaro en la posición de D. Félix López , teniente vicario general del tercer corte de Stutgard, que había obtenido licencia para ausentarse á ejército de operaciones, para que se declare ef sueldo que debe tomar los baños de Haden, acaba de recibir de su corte la orden corresponderá como tal tenie…</t>
  </si>
  <si>
    <t>López, Florentino</t>
  </si>
  <si>
    <t>Florentino López</t>
  </si>
  <si>
    <t>…perder Ja sejo de 5. Al., primer teniente corregidor de esta heióíca villa, vida: somos pocas tropas, y el ejército invasor es considerable, dada por aute el escribano del número D. Florentino López y asi nunca podremos adelantar nada.... J. M. de Q.” Biro.se cita, llama y emplaza á todos los parientes y demás — Tenemos á la vista una proclama que el alcalde de Poían personas que se crean con derecho :» los bienes quedados por fa (partido de Toledo) ha d…</t>
  </si>
  <si>
    <t>…tes con un Nieto de S. Luis al frente? Por providencia del Sr. D. Manuel Rubio, dada por ante el Vaya que es mucha cabeza la de nuestro fabricante de consti escribano de su número D. Florentino López, se ha mandado tuciones! sacar í pública subasta por término de treinta dias, contados Los artículos 7, 8,9,10,11, 11, 84, ó habló de ellos la desde el 6 del corriente, una casa sita en esta corte, y su calle difunta en los mismos términos, ó sus padree los a…</t>
  </si>
  <si>
    <t>López, Joaquín</t>
  </si>
  <si>
    <t>Joaquín López</t>
  </si>
  <si>
    <t>…ansiaba batir al enemigo , dispuso que el briga-niendo á sus ininsdia iones las compañías da granaderos d; Guias y Guipúzcoa, formados en columna cerrada y i las órdenes del dier D. Joaquín López con la caballería amenazase su izquier da, y que dos compañías de infantería de la Reina, apoyadas ensegundo comandante díl segundo de Aiava’Di Martin Cjrespor los almendros de la llamada de las Balsas , rompieron un fuegolos enemigos habían aumentado sus fue…</t>
  </si>
  <si>
    <t>López, Josef</t>
  </si>
  <si>
    <t>Josef López</t>
  </si>
  <si>
    <t>…etalladas. Not.cia de los individuos que se han presentado acogiéndose S. M. se ha servido nombrar por gobernador interino de á la amnistía decretada por las Cortes. esta plaza al brigadier D. Josef López, subinspector del tercer A/g.itecin—D. Sebastian Tinoco, vecino de este pueblo. _ departamento de artillería , con quien deberán ertenderse desde Manuel Sánchez, sargento i.° de la M. A. de Córdoba___4la— mañana los cuerpos de la guarnición y demas individuos…</t>
  </si>
  <si>
    <t>…polados Zamora y milicia, fueron á repetir los Mcscoso, y gobernador interino de esta plaza de Sevilla ai bri vivas y ias muestras de su entusiasmo debajo de la lápida cons gadier D. Josef López. titucional. La mas completa alegría y bullicio reinó en toda la __El almirante dei departamento de Cádiz participa al Gobier función , sin que hubiese el mas mínimo disgusto, listo es hijo no haber dado ia vela en la mañana del dia 10 dei comente el de ¡a li…</t>
  </si>
  <si>
    <t>López, Juan</t>
  </si>
  <si>
    <t>Juan López</t>
  </si>
  <si>
    <t>…en de Enero de 1805 , y deducir los correspondientes á ellos en las ven tras la guarnición y los impívido» miqueletes se disputaban la gloria de tas de fincas que los tengan , por D. Juan López l’ando : un tomo en hacer frente al enemigo vomitando fuego , que -obarde se asomaba de 8.°, á 6 rs. en pa ta.__ Prontuario de testamentos y contratos: cuando en cuando incomodándonos. Los curas y gente honrada del obra útil, no solamente á los escribanos pri…</t>
  </si>
  <si>
    <t>López, Juan Antonio</t>
  </si>
  <si>
    <t>Juan Antonio López</t>
  </si>
  <si>
    <t>…o verificado , sin mas citarle si Marcos Antonio de Mcnero, D. Gonzalo de Cárdenas, D. Juan Ma emplazarle se continuará y substanciará por su ausencia y rebeldía con nuel Aréjula, D. Juan Antonio López, D. Gaspar Aguilera, D. Luis los estrados. de Mata y Araujo, D. Joaquín ds Vega y Quintana y D. Juan Isidro Por el presente se cita á los que se crean acreedores á la testamen Perez. taría de D. Tomas Sánchez de Madrid, marques que fue de Casa-MaÁ-id , el que…</t>
  </si>
  <si>
    <t>…entre otras cosas al Excmo. Sr. secretario Juan Isidoro Persz, D. Cayetano Romero, D. Juan Manuel de Ale da Estado y del Despacho de la Guerra So siguiente; ■» En el monten- jula, D. Juan Antonio López y D. Isidoro de Hoyos, to ile despachar el correo aesbo de recibir parte del general en gefe de Habida la conferencia , se declaró por unanimidad haber lugar ¿í este egército oue en el dia 5 , á las dos y media de la tarde, ocuparon la formación de causa. las tropas nacionales la…</t>
  </si>
  <si>
    <t>…l, en concepto de subversivo. En 16.0 el Sr. Nuñez (D. Toribio) por 79 votos, habiendo tenido En su vista se reunió el jurado , compuesto de los Sres. siguientes: dos el Sr. Cano. D. Juan Antonio López, D. Vicente Segurado, D. Zoilo Gómez En 17.0 el Sr. González Aguirre por 79 votos, habiendo tenido uno Casero , D. Juan Paz , D. Antonio Diaz del Moral, D. Francisco Cocada uno de los Sres. Valdés, Bustos y Cano. Jombo, D. Juan Manuel de Aréjula, D. Casimiro…</t>
  </si>
  <si>
    <t>…la provincia con el objeto que expresa el decreto ds D. Nicolás Cano de Luque- Villanueva. las Cortes de 1." de Febrero próximo pasado; y acordado S- E. que ss £&gt;. Matías Pinillt. D. Juan Antonio López. manifieste al público este raigo para que se entere de la inversión que D. Aquilino Palomino. D. Ramón Llord. se da á los fondos de la suscripción voluntaria, y sirva de estímulo í D. Manuel González del Campo. D. Antonio Soliva. los patriotas para continuar…</t>
  </si>
  <si>
    <t>López, Juan Jacinto</t>
  </si>
  <si>
    <t>Juan Jacinto López</t>
  </si>
  <si>
    <t>…profunda , y no contribuirá poco á finali sus solicitudes documentadas en la Secretaria de dicho tribunal á zar una guerra en que los vencedores solo se presentan como á cargo de D. Juan Jacinto López, sita en la calle de flamencos ¡tnensageros de paz , conciliadores y amigos.” borrachos núm. 11 para que en la primera sesión que celebre ci Respuesta, tribunal,en esta plaza ( donde se establecerá en virtud de Real Verdad es que la impresión que ha hecho en…</t>
  </si>
  <si>
    <t>López, Lucas</t>
  </si>
  <si>
    <t>Lucas López</t>
  </si>
  <si>
    <t>…las Cortes para no reemplazarlos , y otras causas , los A la comisión de Guerra se mandó pasar una exposición de han reducido mucho , y si en la crisis actual accedemos á estas au D. Lucas López, ofreciendo presentarse vestido y armado en el torizaciones lo quedarán mas: esta es una razón sumamente con regimiento caballería de Almansa, siempre que se le conceda el vócente. Si los señores militares que están en el consejo de Es grado de sargento. tado…</t>
  </si>
  <si>
    <t>López, Luis</t>
  </si>
  <si>
    <t>Luis López</t>
  </si>
  <si>
    <t>…o R Ia Guer ra al Mariscal de Campo D. Jcsef de la Cruz, y para la de Se ,,Señor; D. Antonio Reguera Villamil, Caballero de la Real cretario de Estado y del Despacho de Hacienda á D. Luis López y distinguida Orden Española de Carlos in¡ como Diputado ge Ballesteros, de irú Consejo cíe Hacienda, y Director general de neral de vuestro fidelísimo reino de Galicia, á L. R. P. de Rentas. Tendreislo entendido, y lo comunicareis á quien corres V. M. eleva…</t>
  </si>
  <si>
    <t>López, Mariano</t>
  </si>
  <si>
    <t>Mariano López</t>
  </si>
  <si>
    <t>…robado. rios el bizarro teniente de guardias c::r..í¡tuc¡onaIe* D. Miguel U.quia Se aprobiron in seguida los siguientes artículos del anterior pro y el de igual clase de Lusitania D. Mariano López. yecto de Ja comisión. n Instruido dicho secretario de Ja dirección de los facciosos, caminó Art. sr. » Extenderán cuantas órdenes deban expedirse por acuerdo toda la noche por entre una vara de nieve , y por sendas y caminos á de las Coi tes ó déla diputació…</t>
  </si>
  <si>
    <t>…ania no son me la M. Né L. de Sevilla , .í la» órdenes del teniente coronel mayor nos acreedores á todo elogio el capitán D. Josef Arcos, el te de la Reina D. Manuel Frías. niente D. Mariano López, y los alféreces D. Francisco Vázquez, Tararla la minea activa , ja R.e¡na y* 1M. N. L. de Scvilra , y D. Tomas López y D. Lúeas Gastón, el cadete D. Josef Nieto el demás servicio el mismo. y sargento Juan Forreto, pues todos á porfia rivalizaron por en Patru…</t>
  </si>
  <si>
    <t>López, Miguel</t>
  </si>
  <si>
    <t>Miguel López</t>
  </si>
  <si>
    <t>…is N.-ufcbatzau había comb-ud» y circuIe.xrRi bricado de la Real mano.cxEn palacio á 17 de Febrero victoriosameotrt al P. ls!a; pero esto fuz porque l»la no solo hib.a de 1823.= A D. Miguel López de baños. dado en fa- ur de Eipau.t razones suniam nte debií- s , sino porque h»b » desconocido tr.uílni que él misino sofocó, to n índoss en ia iiactucRelación de los generales , gefes y oficiales que deben componer cion una Lczucia tan ilimitada , que supri…</t>
  </si>
  <si>
    <t>…cometidos debían entenderse para el año coman, y que por lo en Sevilla se babia servido conceder al general en gefe mismo se oponía al proyecto. del Tercer ejercito de operaciones D. Miguel López de El Sr. Canga contestó al discurso del Sr. preopi lia ños las facultades de gefe superior político de la pro nante, alegando que anticipaba una cuestión q üc no ora vincia de Sevilla. dei monr'nto, y manitestando las dificultades que se Las ( iói tes concedieron lic…</t>
  </si>
  <si>
    <t>López, NaiCiso</t>
  </si>
  <si>
    <t>NaiCiso López</t>
  </si>
  <si>
    <t>…tinentes, se consideraba como llería al mando del bizarro, activo y generoso coronel de E. su Iiuio, na redame r.te por las dibeuúades que debía ofrecer tu eje- res de Fernando vu D. NaiCiso López. Otra al mando del te cu-’on , smo también por su injust cia. Sin embargo parece qiu la niente coronel D. Antonio López Mendoza, está lista de todo, Rus a ha enviado realmente algunas fragatas para apoyar sus pre y debe d.rlgirse por la Guagira al mismo depar…</t>
  </si>
  <si>
    <t>López, Narciso</t>
  </si>
  <si>
    <t>Narciso López</t>
  </si>
  <si>
    <t>…vidas como los otros prisio ridos, dos banderas y demas pertrechos de guerra. Nuestra caballería, neros. Dios guarde í vmd. muchos años. Cuartel general de las Guar mandada por el coronel D. Narciso López , en número de 90 gine- dias en Garabuya á lude Noviembre de i8a2.=Franc¡sco Tomas Mo tes , ha dado muestras á la del enemigo, que aunque inferior en núme rales. =Sr. D. Elias Iturriza, comandante del castillo de S. Culos de ro, es superior en valor y arrojo,…</t>
  </si>
  <si>
    <t>…edallas y monumentos de España : un tomo en 4.a plaza quedaba guarnecida con 29 hombres á las órdenes del coronel marquida—Memoria histórica sobre cuál ha sido la opinión nacional D. Narciso López. de España acerca del tribunal ríe la inquisición : un tomo en 4.1__Di __Se han disipado casi totalmente las facciones de la provincia de sertación histórica sobr- la parte que tuvieron los españoles en las Lugo ; en la de Orense reinaba la tranquilidad , y e…</t>
  </si>
  <si>
    <t>…echera Hércules. La plaza de Maracaibo quedó de coronas: mas parece un concilio de apóstatas que una junta guarnecida con 29 hombres; el comandante de ella es el coro militar. nel D. Narciso López: me parece que muy en breve iremos Zaragoza 4 de Abril. para Caracas, pues por todas partes se presenta el horizonte muy Los que desean el castigo de los malvados, única garantía en despejado. que se apop la seguridad de los buenos, han clamado muchas En el m…</t>
  </si>
  <si>
    <t>…comisión de Legislación se mandó pasar una proposi instrucciones que se asegura llevó al Magdalena el comandante ción del Sr. Gómez Becerra, pidiendo que la misma comisión general coronel D. Narciso López, y el de la hermosa columna presente un decreto provisional para las elecciones próximas, por que salió ei domingo por la Guagira para operar á sus ordenes. no haber sido posible realizarse la división de partidos de que tra Sabemos ya que el primero acababa…</t>
  </si>
  <si>
    <t>López, Pablo</t>
  </si>
  <si>
    <t>Pablo López</t>
  </si>
  <si>
    <t>…te ya ninguno; muertos los mas en encuentros Del inúndeme de la provincia de Játiva y'sus subalternos. obstinados; puestos los otros por mi partida anta la ley, y expatriados y De D. Pablo López, conocido por el Cojo de Malaga , cediendo dispersos algunos pocos, se ha restituido casi enteramente la seguridad a! mismo tiempo la 'tt'.lad del sueldo que le señalaron las Cortes del ¿ los caminos, y la tranquilidad y la paz á las familias y á los pueblos.…</t>
  </si>
  <si>
    <t>…cotí anticipación. Se reconocerá por capellán del cuartel general de 'este ejército La misma comisión primera de Hacienda, en mista de la ex á D. Juan Antonio Prieto. posición de D. Pablo López, era de parecer que-este interesado Ministerio principal, inspector de víveres y provisiones , hos debe dar las fianzas que se le exigen por el destino que obtiene. pitales y brigadas D. Luis de ia Cuadra. A sus inmediatas órde Aprobado. nes el comisario de g…</t>
  </si>
  <si>
    <t>López, Pedro</t>
  </si>
  <si>
    <t>Pedro López</t>
  </si>
  <si>
    <t>…es dores de los regimientos del Príncipe, devilla y Vicona y los jg ca abso'uiós. Empezó í coírer el oro al par de las intrigas : España se lle ballos de la Reina, mandados por el teniente D. Pedro López ]barre nó de emisarios y agentes pagados para extraviar la opinión del pue- ta, formé una columna, que al mando del comandante Oro tomó la b o, y todas las arnias:eran lícitas y permitidas en manos de estos Vanguardia, y yo seguí con el Test» de la división.…</t>
  </si>
  <si>
    <t>López, Pedro Pérez</t>
  </si>
  <si>
    <t>Pedro Pérez López</t>
  </si>
  <si>
    <t>…Petersburgo un de Muía la sustancie, concluya y remita los correspondientes ex correo francés que iba ganando horas, y a fines del mismo paso pedientes de asignación de suertes á D. Pedro Pérez López , ca otro con igual priesa, por io cual se suponía que llevasen pliegos pitán retirado, D. Luis ValcarcJ , teniente ídem, D. Domin de la mayor importancia. Por el mismo tiempo habian sido lla go Romero, D. Felipe lta,D. Diego Martínez y D. Pedro mados á Peter…</t>
  </si>
  <si>
    <t>López, Simón</t>
  </si>
  <si>
    <t>Simón López</t>
  </si>
  <si>
    <t>…Providencia para ser prodigiosa y sublime en todos tiempos. 24,073. Id á D. Jacobo Gatens 24,074, 24,075 y 24,076 He aquí una relación exacta de los acontecimientos mas nota Íd á D. Simón López 24,339 y 24,344. bles que ha habido en el continente que está situado fuera del Pe- La persona á quien en el viage que ha hecho el Gobierno des loponeso. de Madrid á Sevilla se le hayan extraviado sus equipages , entré Dos meses antes de la toma de Nápoles de…</t>
  </si>
  <si>
    <t>López, Tomas</t>
  </si>
  <si>
    <t>Tomas López</t>
  </si>
  <si>
    <t>…n D. Josef Arcos, el te de la Reina D. Manuel Frías. niente D. Mariano López, y los alféreces D. Francisco Vázquez, Tararla la minea activa , ja R.e¡na y* 1M. N. L. de Scvilra , y D. Tomas López y D. Lúeas Gastón, el cadete D. Josef Nieto el demás servicio el mismo. y sargento Juan Forreto, pues todos á porfia rivalizaron por en Patrullas las detalladas. señar á sus subordinado» el camino de la gloria. Dios guarde í Hospital y provisiones Numancia. = l.eglisa. V. E. m…</t>
  </si>
  <si>
    <t>…res de una colonia. D. Luis Gafgollo, D. Josef Vea-Murguia, D. Domingo One En 1797 fue cuando la sociedad de las misrones de Londres to. Suplentes. D. Francisco Antonio I.nrrasa , D. Tomas López empezó á pensar seriamente en introducir el cristianismo en las Calderón. Cádiz 13 de Setiembre de 1823 , año cuarto de la res islas de la Sociedad, y al efecto Gnvió algunos misioneros á las tauración de la libertad de las Españas.zzCipriano González Es isla…</t>
  </si>
  <si>
    <t>López, Vicente</t>
  </si>
  <si>
    <t>Vicente López</t>
  </si>
  <si>
    <t>…ente; de Cádiz hasta una y otra arma y los cazadores de la misma clase , al mando de el 19 de dicho; de Málaga hasta el 17; de Murcia hasta el 13; sus comandantes D. Juan Radillo, D. Vicente López y D. Pe de Baza hasta el 14. dro la Rcz, los advertí formados, disputándose á competencia la En Madrid publicó el gefe político el dia 14 un bando para gloria de batir la ya dicha facción, exclusivamente á cada una de mantener la tranquilidad pública el dia de S. Isidro, y e…</t>
  </si>
  <si>
    <t>López, Víctor</t>
  </si>
  <si>
    <t>Víctor López</t>
  </si>
  <si>
    <t>…omoza, Oliver, bitos. Villavieja , Orduña, Pacheco, Nudez (D. íoribio) Solxron , López del Juicio de jurados. Baño, Gómez (JD. Manuel) y otros , reducida áque las Cortes se ocupen D. Víctor López denuncié) a! Sr. alcalde constitucional D. Francisco exclusivamente en el urgentísimo asunto de la traslación del Congreso y del Crespo de Tejada el foileto titulado el Viage, diálogo crítico-verídicoGobierno con todo lo concerniente á ella, ó ii lo menos dán…</t>
  </si>
  <si>
    <t>Lopez-baños</t>
  </si>
  <si>
    <t>…ez no Regaría ;í tiempo á Sevilla porque se hubie sen adelantado demasiado los franceses. 110 dudó un momento en continuar su marcha. El 16 en la ma CORTES. drugada se presentó el general Lopez-baños delante PJVESlDr.se. \ DEI. SESOR JEVER. de Sevilla por el lado de Tt'iana ■ los Facciosos, á. quienes se hablan reanido los ez-carabineros y los Sesión dtl i3 di' junio de iStia. — es-guardias, rompieron el fuego desde la izquierda Abierta la sesión á las' o…</t>
  </si>
  <si>
    <t>López-baños</t>
  </si>
  <si>
    <t>…. destacamento del general Molilor, el cual, por su pues Esta mañana ha desembarcado en este puerto una to , le lazo añicos ¿ce. óce. Por este estilo huí mu parte del ejército del general López-baños con la cho en los periódicos ultras, fuerza de 5i&gt;on hombres de infantería, procedentes de liuclva ; y se dice que la caballería lia sido des AR’UCUÍ.O DE OFICIO. tinada al cuarto ejercito de operaciones. El Gobierno lia recibido ci put" siguiente di rigido r…</t>
  </si>
  <si>
    <t>Loque, Antonio</t>
  </si>
  <si>
    <t>Antonio Loque</t>
  </si>
  <si>
    <t>…rtel general, y sus tropas las tiene divididas en Luce gió con fecha 23 de Agosto una carta al comandante realista lia, Ubeda y otros pueblos. (Extracto de una carta particular,') D. Antonio Loque, en la que después ds adularle (según cos tumbre) y compadecerle por verle empeñado en la defensa de Sevilla g de Setiembre. una c&lt;iü&gt;a en que sin duda le ha comprometido alguna almadtsLas cartas que recibimos de Cádiz nos pintan el desmayo en gvaciada; le co…</t>
  </si>
  <si>
    <t>Lorcnte, Juan Josef San</t>
  </si>
  <si>
    <t>Juan Josef San Lorcnte</t>
  </si>
  <si>
    <t>…salida de otras por el rio Celda, ción de causa.” y pueden dirigirse por Alfambra, ó recaer á la misma tierra baja. __ Habiéndose denunciado por D. Ignacio de Santiago,á nombre de Don Juan Josef San Lorcnte, coronel del regimiento infantería de España, al » Debo manifestar á V. E. quc .cn esta hora tengo dividida en partidas fuertes para persecución el número de mas de 700 hombres, por lo que Sr. alcalde constitucional D. Miguel García de la Madrid los núms. 39…</t>
  </si>
  <si>
    <t>Lorcto, Mana</t>
  </si>
  <si>
    <t>Mana Lorcto</t>
  </si>
  <si>
    <t>…e putado secretario.” el 37 de Enero íntimo, en que salieron de aquella villa; y la otra la Por tanto mandamos á todos los tribunales, justicias, ¡tefes, gober de haber solicitado Doña Mana Lorcto y Doña Angela, hijas de Don nadores y demas autoridades, asi civiles como militares y eclesiásticas, ds Mariano Rodríguez Blazquez, con consentimiento de este, el ser alis cualquiera clase y dignidad , que guarden y ha-in guardar, cumplir y tadas en la milicia nacional vol…</t>
  </si>
  <si>
    <t>Lordán, D- Miguel</t>
  </si>
  <si>
    <t>D- Miguel Lordán</t>
  </si>
  <si>
    <t>…n tío cesaron de exhortar y £&gt;. Santiago Morillo, al mismo tiempo que verificó la sorpresa alarmar ai pueblo; y en la tarde del mismo día se condujeron ios en la plaza el teniente coronel D- Miguel Lordán , capitán de la 19 presos con escolta suficiente á ia villa de Ocaiia, punto que primera compañía con treinta carabineros, no encontrándolos nos pareció mas seguro para libertarlos de la rapiña de sus com tan descuidados, pues tenían su fuerte reten en ella;…</t>
  </si>
  <si>
    <t>Lorenie, Higinio Antonio</t>
  </si>
  <si>
    <t>Higinio Antonio Lorenie</t>
  </si>
  <si>
    <t>…quieran emprender esta cortstruccion presentan en Don Juan Manuel de Aréjula , D. Josef Demetrio Rodríguez, el preciso término de ocho dias, contados desde la publicación de este D. Higinio Antonio Lorenie , el conde de Floridablanca, D. Juan anur.c’o, sus proposiciones en la misma factoría, en donde por cl gcfe Antonio Marco, Di'Saturnino' Lozano , D. Tomas Torresar.o , D. Mu de ella se les ciará noticia del dia en que haya de celebratse el remate nuel Carnice…</t>
  </si>
  <si>
    <t>Lorente, Angel Martínez</t>
  </si>
  <si>
    <t>Angel Martínez Lorente</t>
  </si>
  <si>
    <t>…Liberal (ji.ipuzeoano se lee el art.culo siguiente: vez para siempre la fatal discordia, que Causando nuestra desgracia, vendría ” El Sr. gefe político interino de esta provincia D. Angel Martínez Lorente, al fin á cubrirnos de oprobio y confusión. Pensad que ella nos sena mas por su circular de ró del comente, al mismo tiempo que previene á los terrible y vergonzosa á la faz del enemigo extranjero, que aprovechando pueblos sobre la próxima llegada del Trapens…</t>
  </si>
  <si>
    <t>Lorenza, Joaquín</t>
  </si>
  <si>
    <t>Joaquín Lorenza</t>
  </si>
  <si>
    <t>…lustración y virtudes que fuese capaz de dar vado ciertos ne* blos de la provincia á prorata del número de almas que tiene cada uno, gocios pendientes en aquella corte , nombró al Sr. D. Joaquín Lorenza con la rebaja de cuatro por cada matriculado en los pueblos en que los Villanueva, sugeto bien conocido en España por sus virtudes y por sa haya. Si no estuviesen reunidas, las convocarán sin la menor tardanza patriotismo: este aceptó gustoso el encargo del G…</t>
  </si>
  <si>
    <t>Lorenzo</t>
  </si>
  <si>
    <t>…ntes: D. Cayetano Romero, D. Juan Manuel de Aréjula, Don blo. Y estos presentarán á los referidos directores los recibos de los Andrés Alcon, D. Miguel Hipa , D. Casimiro Martin , D. Lorenzo encardados, para que comprobándolos con los testimonios, justificación Calvo de Hozas, D. Celestino de Olozaga , D. Antonio Sandatio de y notas, los retengan, abonen á los pueblos su importe (incluso como Arias, D. Gonzalo de Cárdenas. va dicho el coste de la…</t>
  </si>
  <si>
    <t>…fílenla, y brados secretarios del Despacho D. Alvaro Flores Estrada , Don que se ha de hacer en dinero ó como concierten entre sí los in Josef Joaquín Mariátegui, D. Manuel Muñoz, D. Lorenzo teresados , entregándose al dueño el capital redimido, ó dejándo- Calvo de Rozas, D. Josef Torrijos y D. B.amon Romay, he dolo á su libre disposición. venido en revocar , como por el presente revoco, los expresados El Sr, secretario del Despacho de Hacienda c…</t>
  </si>
  <si>
    <t>…Riera,P. Mariano rarlas , ni de arrogarse una iniciativa que confunde y trastorna Tacias , P. Antonio Feu y P. Salvador Plá. los mas sagrados derechos. Beneficiados de Sta. Maria: D. Lorenzo..Mas y Dr.Bli. » Aqui volverán á experimentar que nunca transigimos con Idem del Pino: D. Francisco Cabriol, D. Juan Sala, D. Joséf la iniquidad ni con nada de cuanto pueda comprometer nuestro: Garriga, D. Francisco Sampere, D. Pedro Bernardo Ala, Don honor n…</t>
  </si>
  <si>
    <t>…inas. de á 18. opinión fuese el de Alteza. Los rebeldes ocuparon por 15 dias la provincia de Coro, mas El Sr. Sotos manifestó que la comisión no tenia empeño nin al presentarse el coronel Lorenzo con 800 hombres la abando guno en sostener que la dirección tuviese este ó el otro trata naron huyendo precipitadamente por el camino de Carora. miento; pero que la comisión no podía menos de tratar de esto El dignísimo general Morales tiene en Maracaibo fuer…</t>
  </si>
  <si>
    <t>…io en da vez á todas las personas que se crean con derecho á los bie que ibais miserablemente á despeñaros: reparad bien en la exe nes quedados por él fallecimiento abintestato de D. Lorenzo cración y oprobio á que os expone la depravada compafiía de loa Ruiz de Robles, para que en el término de 20 dias que se le malditos Judíos. Ningunos mejor que vosotros, confrontando señala acudan ante el expresado Sr. asesor, y escribanía de Don mis razones…</t>
  </si>
  <si>
    <t>Lorenzo, Joaquín</t>
  </si>
  <si>
    <t>Joaquín Lorenzo</t>
  </si>
  <si>
    <t>…garios pueblos oscuros de un departamento mediterráneo , y que Aiun i,i .y de Abril. otros muchos mas industriosos y mas Interesados en la paz ha Luego que desembarcó en Cartagena D. Joaquín Lorenzo de bían guardado silencio; que no habian venido peticiones seme Villanucva salieron á recibirle las diputaciones del ayuntamiento jantes de las ciudades de Marsella , de León , de Strasburgo y de y de la sociedad patriótica. Los Sres. Cajuela y Salomón le di…</t>
  </si>
  <si>
    <t>…y otros — La sociedad patriótica celebró sesión extraordinaria el 1 o del tales, con la cual habia logrado entrar en esta provincia porEn- corriente con eí objeto de obsequiar al Sr. D. Joaquín Lorenzo trimo, pasando por varios pueblos, que todos se alarmaron ayu Villanueva, que habia llegado á.esta ciudad el dia anterior. Una dando i perseguirle, cuy o oficio dice literalmente lo que sigue: comisión de la sociedad le acompañó hasta el salón, y luego que «M…</t>
  </si>
  <si>
    <t>…var á sus ca.-as el i , de ¡- |;i ii a. MI do mr: de .Monimoren--v que toé peí ¡óGiuo según es cosliunbte. , | p- ir: lo I r.i'.’or «!•• el'a mi \ erona , o’irando co Aloeue’on de D. Joaquín Lorenzo \'idin-ieva &lt;o-mo indi d''-o del partido ultra aun mas que como u.ieiubi o d.-l ministerio. vuelto a I’.iris mi I ¡t.-inpo Lro la necesidad de uipriu'i to-loi bis eqiifiuii’S pi ■ -i-re,i- li virmrii d ’ iafine todavia no estaba re - -s; ■ ¡1 "i por rl .Minis…</t>
  </si>
  <si>
    <t>Lorenzo, Pedro Jos.-f</t>
  </si>
  <si>
    <t>Pedro Jos.-f Lorenzo</t>
  </si>
  <si>
    <t>…ifestados por S. M. do, se ha servido nombrar para la judicatura de primera instancia d .1 cI Rey d5Prusia bácia la España, renvto á V. S de Real orden los partido de Chinchilla 4 D. Pedro Jos.-f Lorenzo; para la del d: Cuspe pasaportes que pide; aprovecho &amp;c. Palacio 11 de Enero de 1813.= áO. Miguel Navacrcte y Alpuente: para la del da Calaceit: á D. Ma Evaristo Sin Miguel.=Sr. Encargado de negocio* de Prusia.” riano Marton y Manon; y para la del de Tarraja…</t>
  </si>
  <si>
    <t>Loriares</t>
  </si>
  <si>
    <t>…las tropas y servicio militar. letrados suficientes; y otro de la misma comisión, á consecuen La comisiou primera de Hacienda, en vista de la adición de cia de una proposición del Sr. Loriares, declarando que los ex- Jos Sres. Santos Suarez y Varela, para que al artículo i.° del freires y ex-monacales, cuyos conventos están suprimidos, nci decreto sobre las fincas urbanas de algunos monasterios suprimi tienen voto activo ni pasivo en las elecciones…</t>
  </si>
  <si>
    <t>Loriga</t>
  </si>
  <si>
    <t>…de alabarderos, y muy c nvemente el que esta tropa cacona (Croruls, mí»:. t.Q), situada cn aquel cam no, sorprendió el sea la única que haga el servicio en lo interior de pa¡nc;o. brigadier Loriga al ganado del enemigo, y fui infcimado por ios con Dice el ir. Adan qu; el aumento de esta fuerza debe hacerse en las ductores que este est-.ba cn marcha cn e=a m.sma dirección. ba:í inme (Virus ordinarias ; p-ro hay motivos pira qu: se decida ahora este diat…</t>
  </si>
  <si>
    <t>…rden en un pueblo benemérito, y que la noche ;í la hacienda de la Macacona, situada en aquel camino, habia dado por la gente de la campiña tantas pruebas de adhesión sorprendió el brigadier Loriga el ganado del enemigo, y fui infor á nuestra causa, y de reconocimiento á las tropas nacionales que mado por los conductores ijuo «te estaba cu marcha en esa misma los libertaban de la Opresión , vejaciones, robos y desolación oue dirección : salí inmediatame…</t>
  </si>
  <si>
    <t>…rnan la justicia y destruyen la prosperidad de un país Un movimiento practicado por el Sr. generaL en ge fe y porcivilizado. Se ha hecho una nueva edición aumentada de nuestras el brigadier Loriga en combinación, costeando el primero ¡a corleyes relativas á lis personas sospechosas , pero esperamos ver en dillera de los Andes desde Consac á Yauli, y el segundo la mismaella alguna corrección; mas en la proclama del conde de Espa cordillera desde el cerr…</t>
  </si>
  <si>
    <t>…as de apoderarse de esta ciudad cuando les acomode, y no será mucho descanso á la tropa , y me dirigí á Ilabaya para continuar mi re- que se les niegue que vengan. La avanzada del brigadier Loriga plegue según V. S. me había prevenido. estaba en Chaclacayo y en S. Mateo. Todo el valle de Cañete, En e-sta jomada tan gloriosa como extraordinaria se han dis lea &amp;c., están en poder de este. Aqui 110 tenemos que comer si tinguido particularmente , y son dig…</t>
  </si>
  <si>
    <t>…inmediaciones; pe ad de Par. ro no pudo impedir cayesen en nuestro poder 210 mulos y 50 \it. s¡.° El Presidente de nuestro Consejo de Ministros que- bueyes. S. E-, acompañado del brigadier Loriga, de algunos de sus cncargado de la ejecución del presente decreto. ayudas de campo y oficiales del estado mayor, reconoció á caba Palacio de las TuUerías 9 de Octubre &amp;c. llo el frente de los castillos de S. Felipe y S. Miguel. Esta ope ración fue sostenida p…</t>
  </si>
  <si>
    <t>Loriga, Antonio</t>
  </si>
  <si>
    <t>Antonio Loriga</t>
  </si>
  <si>
    <t>…del primer batallón núm. 2, do distrito militar y segundo del ejército : estado mayor el bri ídem núm. 4, ídem núm. 11 , del 2.0 batallón núm. 14 , y del gadier D. Ramón Losada , D. Antonio Loriga, X». Juan de de cazadores núm. 8__ 3.a de la brigada de caballería, compuesta Dios Alguer ; D. Angel Arenal auxiliar. de dos escuadrones dei núm. 3 , de otros dos del 11, uno del 8 Cuerpos de que se compone-----Primer batallón de Burgos, y uno del 10. Ademas…</t>
  </si>
  <si>
    <t>Loriga, Juan</t>
  </si>
  <si>
    <t>Juan Loriga</t>
  </si>
  <si>
    <t>…mas que escla D. Juan James, oficiales y tropa de su compañía. Los Sres. brigadieres vitud y vilipendio! Lejos de eso, creemos que acordándose de lo que fue D. Juan Antonio Monet, D. Juan Loriga y D. Josef Carratalá, con ron y de lo que son, harán cuantos sacrificios sean imaginables para la fiiuieza y serenidad que les son propias, haciendo siempre mas de conservar la integridad de la Monarquía española constitucional, y para loque exigían sus deberes, han contribuido m…</t>
  </si>
  <si>
    <t>…mero, Clemente de Zulueta, secretario. ha llenado el universo. Sus puertas, los ¿trios de sus muchos tem plos contribuyeron á que este poeta le diese el nombre de EcaCom Paite del brigadier D. Juan Loriga al Sr. general en gefe de^ pila ó ciudad de Cien puertas. Ninguna hubo jamas que recibiese ejército, relativo &lt;í la expedición sobre lea, (Véase la gaceta tantos presentes de oro y de plata, de marfil y de estatuas colosa de ayer.) les , de obeliscos de una s…</t>
  </si>
  <si>
    <t>…de los nuevamente convertidos una 'verdadera' en bre Chacra alta; pero oportunamente los cargó el intrépido coro mienda en sus costumbres; pero sus sucesores no siguieron siem nel D. Juan Loriga con dos escuadrones y las compañías de pre pre sus huellas, antes por el contrario, dieron repetidas veces ma ferencia del segando batallón del Infante , rechazándolos y persi los ejemplos á los naturales; asi es que muchos de estos pedían el guiéndolos hasta…</t>
  </si>
  <si>
    <t>…joi nada por su sufrimiento y constanc¡a en d áde la Europa.” Si el que tra¡u las aguas del Jordán hubiese di cuitades tan insuperables. Al propio tiempo desde Tuna se diri gió el coronel D. Juan Loriga con la cabalkm, el segundo ba cho que la revoíuc.on oe ¡o» F r.ixu» para acá, que trastornase la tallón del primer regimiento , la artillería, ganado y bagaste por tiranía y ia superstic.ou de ios sujos, era contraria a una liiec.on la quebrada ¿el Espíritu S…</t>
  </si>
  <si>
    <t>…para io sucesivo. _J. C. Art. i.u A los seis meses de concluida la guerra obtendrán Idem x.° de A$ojto. su licencia final todos los individuos de las expresadas clases del El Sr. brigadier D. Juan Loriga , que se hallaba expedicio- ejército permanente y milicia activa que quisiesen tomarla , ha nando sobre la"cordillera en la dirección de Pasco , avisa al señor bitado cumplido su tiempo. general en gefe desde Reyes con fecha 24 de julio que logró sor Art. 3.0…</t>
  </si>
  <si>
    <t>Lorio, Marcelino</t>
  </si>
  <si>
    <t>Marcelino Lorio</t>
  </si>
  <si>
    <t>…insoportable que yetano Rubio, D. Nicolás Alonso, D. Aquilino Palomino , Don ia misma muerte, y la Nación española ocupará el primer lugar lorenzo Lambea, D. josef Perez Morales, D. Marcelino Lorio, entre todos los pueblos célebres del mundo, y será mirada como D. Arias Gonzalo de Mendoza, D. Francisco Zazo de i. a res, un modelo que todos querrán imitar. D. Miguel de Nájera, D. Anictto Moreno y D. Nicolás Cano de Luque, para calificar el impreso titula…</t>
  </si>
  <si>
    <t>Losada</t>
  </si>
  <si>
    <t>…a que sepa su paradero se sirva avisarlo calle del Des de oficiales y mérito de la tropa que tengo el honor de mandar, como engaño , núm. 2 , cuarto 2." igualmente el del teniente coronel Losada, y por tanto omito el reco Un sugeto de esta corte tiene en su poder los papeles siguientes: una mendarlos circunstanciadamente á V. E—Y lo traslado ¡í V. E. con Larga porción de fés de bautismo, desposorios y entierros de Tarascla mas completa satisfacción ,…</t>
  </si>
  <si>
    <t>…s franceses. sioneros. Espiro con impaciencia la llegada d i batallón de Burgos, i En la bolsa de París del 21 se cerró Ja renta francesa i 78 fr. 50 fin de reforzar la pan da del brigadier Losada, y conseguí 1 , cuando no cent.; y la española á 19,50. el total exterminio d: los facciosos , á lo menos apagar el incendio y el El mismo correo ha tiaido el Sun del 13 , en el cual se lee «l ar progreso de la revolución, que por desgracia sa ha descubierto…</t>
  </si>
  <si>
    <t>…esta clase de asuntos, que ge italianos, y se espera que vayan viniendo mas. neralmente despacha por sí mismo aunque se halle á grande dis— Desde San Migue! de Areas participa el brigadier Losada ha tanca de.jRusa. El retardo que se origina cuando está ausente. ber perseguido y atacado á los facciosos de aquel punro , quienes, Ocasiona siempre murmuraciones mas ó menos serias, según el hallaron su salvación en La fuga, no sin haber ten.do algunos jhíb…</t>
  </si>
  <si>
    <t>Losada, Benito</t>
  </si>
  <si>
    <t>Benito Losada</t>
  </si>
  <si>
    <t>…el correo; y asi se cepto monté á caballo con la tropa de mi mando al oscurecer, y repite que los que residen fuera de esta capital podrán tomarlas' desde acompafiado del teniente coronel D. Benito Losada me dirigí á Cas- su residencia, siendo los gastos y portes de cartas de cuenta del discí troverde, adonde llegué á las diez de la noche. En este punto supe qu# pulo como podrán igualmente en esta r ila y corte d-sde su domicilio. el tal faccioso habia salido…</t>
  </si>
  <si>
    <t>…ados á bio y liberal en lugar de este que tan necia como maliciosamente 11 mas vergonzosa fuga.” se lia esmerad:! en preparar á la Europa Jos desastres de una guer «Excmo. Sr.: El coronel D. Benito Losada, comandante ra universal :Y cómo puede esperar de otro modo la Inglaterra del acaníoi-miauto de Verin , con fecha 29 del pasado me dice d conservar la paz general de Europa? ; Cómo podrá impedir el lo siguiente: ataque contra España; contener en su ominosa ca…</t>
  </si>
  <si>
    <t>…idad de reunidas para cubrir este punto por lo acometido que-se hallé por todas direcciones, y de lo contrario la canalla nos dará unatacarla.en.el mismo pueblo de Moimenta el Sr. coronel Don Benito Losada con su-columna, compuesta de voluntarios-dé mal rato, que acaso no podremos conter»r.=Con respectos Sil Aragón y milicia activa de Pontevedra, milicias nacionales dé veira nada digo á V. S-, mas que se dice se halla- cinco legua* infantería y-caballería de la…</t>
  </si>
  <si>
    <t>Losada, Gregorio</t>
  </si>
  <si>
    <t>Gregorio Losada</t>
  </si>
  <si>
    <t>…SrVgn y otro buque, mes de esta plaza nombrado por el S-. General Trances, como asi— que eran los que quedaban. Los dos se lian hecho acreedor, s á momo al señor mayor de la plaza D. Gregorio Losada, perma jas gracias qu'e S. M. tenga á bien dispensarles; pao en pait.cu- neciendo en la guarnición s;n porte, sa):r de ella por pr. texto Jar D. Antonio de Luque, que desde el 5 de Agosto, en cus alguno hasta nu:va disposición. Málaga 5 de Setiembre de iSíj *…</t>
  </si>
  <si>
    <t>Losada, Ramón</t>
  </si>
  <si>
    <t>Ramón Losada</t>
  </si>
  <si>
    <t>…dores núm. 6__ 2.a del primer batallón núm. 2, do distrito militar y segundo del ejército : estado mayor el bri ídem núm. 4, ídem núm. 11 , del 2.0 batallón núm. 14 , y del gadier D. Ramón Losada , D. Antonio Loriga, X». Juan de de cazadores núm. 8__ 3.a de la brigada de caballería, compuesta Dios Alguer ; D. Angel Arenal auxiliar. de dos escuadrones dei núm. 3 , de otros dos del 11, uno del 8 Cuerpos de que se compone-----Primer batallón de Burgos, y…</t>
  </si>
  <si>
    <t>Losada, Vicente</t>
  </si>
  <si>
    <t>Vicente Losada</t>
  </si>
  <si>
    <t>…afiflo, como los vo de la desconfianza. En esto daremos al mundo una luntarios nacionales D. Francisco Porras, D. Joaquín nueva nueva de cordura y de valor; y nos granjea Canuda . D. Vicente Losada, D. Jacobo Sobreira , D. remos el aprecio del mundo entero. Mauro Migueles, D. José de Puga y D. Joaquín Can dil, tod os de Santiago, silenciando la conducta de ARTÍCULO DE OFICIO. mis oficiales y tropa, cuya subordinación y afan pa Las Cortes, habiendo exámi…</t>
  </si>
  <si>
    <t>Losida, Ramón</t>
  </si>
  <si>
    <t>Ramón Losida</t>
  </si>
  <si>
    <t>…e el presente mes da Marzo; pues es el termino « Comandancia militar de Ja provincia de Vigo.=F,xcmo. Sr.cnEl que la ley señala; y j,ay de aquel que obstinado y ciego no corra, re brigadier D. Ramón Losida, comandante de la co.umnaenpersecuc.cn gresando á sus casas , á presentarse delante de las autoridades locales £ de facciosos, me dice en oficio fi cha de anteayer ¡o s guiente desde San acogerse al perdón, siguiendo el egemplo del hermano del desgraciado Mig…</t>
  </si>
  <si>
    <t>Lostal, Manuel</t>
  </si>
  <si>
    <t>Manuel Lostal</t>
  </si>
  <si>
    <t>…a s3 extendió hacia esta parte, y esta noche pasada unos nes. Parece que el gefe de la sedición y conspiración de Caspe, too de loá suyos recorrieron los pueblos de Viana, Moreda, D. Manuel Lostal, se fugó del castillo donde se hallaba preso. Oyon, y una pequeña partida de su caballería llegó á estar á las Aunque, según dicen, estaba condenado á pena capital, goza 10 de la noche sobre este puente; pero antes de amanecer ya ha ba sin embargo de ciertas…</t>
  </si>
  <si>
    <t>Lourciro, Rocha</t>
  </si>
  <si>
    <t>Rocha Lourciro</t>
  </si>
  <si>
    <t>…diéndole ia dimisión del ministerio, porque era Jo mo fiscal de ¡a secundad publica, debe de hacer sin vuk-.,ar. £ momo que decirle que lo depusiese, y de alquil modo coartarle El Sr. Rocha Lourciro fue de op.nion contraria, observardd la libertad, cuando en este caso la Constitución le concédela que era capitular con ¡os facciosos eieponer el m.n.sterio . por mayor amplitud: mostré' que era necesario destruir aquella fac ser esto mismo lo primero que e.…</t>
  </si>
  <si>
    <t>Loustau, Manuel</t>
  </si>
  <si>
    <t>Manuel Loustau</t>
  </si>
  <si>
    <t>…e 21 de Marzo próximo pasado. Nombres, Empleos en Guardas. Idem attualeSi Sueldo anual rs. va. Capitán, coronel. . . Coronel, primer comandante. 24000 D. Manuel Alaria Lergeant. . D. Manuel Loustau. D. Juan Martin Agmlar. D. Josef xMaria Mena. D. Pedro Magarola. Tenientes coroneles, primeros comandantesD. Josef Ramón Solís. ^ Primeros tenientes. . supernumerarios. ...................................................IX Pedro Morell. 16000D. Josef Maria Rc…</t>
  </si>
  <si>
    <t>Lov</t>
  </si>
  <si>
    <t>…uanto antes La caba.ieria, Segundo cuerpo retar dado pur el conde Militar, pioporcionarán sus disposiciones á la urgencia que obliga a melarías. Prim ra d.visión mil. I.iha por el conde Lov rdó. Tercero : Para la artillen! uel egército se neces.ta también un con Segundu por el conde Panfi o Lacroix. siderable número de muías i propói.to para su s.rvieio. X. odre el hegu &gt;da de dragones por el vizconde Doman. honor de dirigir &amp; cada una de las Ex…</t>
  </si>
  <si>
    <t>Lovera, Pedro Marino de</t>
  </si>
  <si>
    <t>Pedro Marino de Lovera</t>
  </si>
  <si>
    <t>…or medios liorroi osos, y excitando que es propio de españoles Ubres, dando particular ejemplo el un terror no menos vil que espantoso; pues se incitó á ¡a escoria capitán de! &lt;58 D. Pedro Marino de Lovera, comandante de este de la especie liumana á que se armase y sublevase para que cau dcstacnirenlo , quien permaneció en las baterías mandando rus sase aquel miedo estúpido que infunden las fieras. Loados sean soldados, que se prestaron á cuanto se les ordenó.…</t>
  </si>
  <si>
    <t>Lovérdó</t>
  </si>
  <si>
    <t>…méiñs avanzó el 17 a' dichos puntos en número dé f i 89 hombres, sin tener nada Mogénte, y el 18 4 Fufthté-Lahiguera, sostenido por él tenien preparado para su defensa. te general conde Lovérdó, qüe lleva consigo la mayor parte dé Cuando López Baños se presentó delante de Sevilla los ha Su división. El grueso de la del general Paniphile-Lacroix está en bitantes opusieron resistencia: pero este general, que tenia fuerzas Murviedró en observación de l…</t>
  </si>
  <si>
    <t>Loverdo</t>
  </si>
  <si>
    <t>…Inmediatamente comenzó el ataque; y aunque el terreno nos era enteramente desventajoso, el 7.0 de infantería mó parte la brigada del general Corsin , que acababa de llega; con el general Loverdo: todo parecía introducir la confusión y ligera, conducido por el general Rochejacquslein , trepó por las el espanto en Ja guarnición: las compañías de carabineros colo rocas mas escarpadas, y tomó á la bayoneta las obras de defen sa. Muy presto el enemigo, ar…</t>
  </si>
  <si>
    <t>…mas acreditados cerca de la corte de á los constitucionales. El general Foissac-Latour se halla en ViFrancia. Los embajadores y ministros de S. M. cerca de esta» llacarrillo, y el general Loverdo ha vuelto hácir Guadix so mismas potencias van i recibir una comunicación análoga. bre la espalda dei enemigo, que desanimado ya pide entrar en » Sr. embajador : El Gobierno francés , fiel á los principio» composición.” de generosidad que ha manifestado no da…</t>
  </si>
  <si>
    <t>…de salir para Málaga, pasando por A.mena con el objeto dos en esta linea, al que contestó el enemigo, y duró hasta las de limpiar la costa. dos y m di.; de la tarde. — Ei teniente general Loverdo marcha también de Granada A las ia del mismo entraron en esta las tripu'aciones de ia pata Malaga, donde se encuentra el resto det cuerpo d-- Z‘)as, barcos apresados y echados á pique en las costv de Conil, que quien se ha embarcado, según se d;ce , y le ha i…</t>
  </si>
  <si>
    <t>…elogio; y el Sr. marques de Lauriston, designando á los que le ha protegido muy oportunamente. , . que mas se han Señalado, hace: presente 4 S. Ai R. que en nin En este tiempo el general Loverdo, que había salido de guna ocasión han manifestado loa; soldados franceses tanto airó¿ Granada el 30 con cinco batallones de'infantería, dos regimien jo ¿ intrepidez como en este brillante ataque. Se hl logrado pera tos de caballería y siete cañones , se dirig…</t>
  </si>
  <si>
    <t>Loyola, Domingo</t>
  </si>
  <si>
    <t>Domingo Loyola</t>
  </si>
  <si>
    <t>…tria por el fantería , y no dudo vendrán á nuestras manos , porque tengo cometido tiempo que dure la guerra; y S. M. ha aceptado esta generosa oferta, este encargo á los valientes coronel D. Domingo Loyola , tenientes co mandando se haga pública por medio de los periódicos. roneles D. Felipe Farias y D. Ramón García, á cuya intrepidez ss TESORERIA GENERA! DE IA NACION. Caja principal. 3 ° Ar‘° económico. Mes de Febrero de i8oj. Arqueo de la caja de la tesorería…</t>
  </si>
  <si>
    <t>Lozano', Saturnino</t>
  </si>
  <si>
    <t>Saturnino Lozano'</t>
  </si>
  <si>
    <t>…00 milicianos, y entregados en la caja del egército D. Fernando Plaza. D. Felipe Arguelles. permanente 240 quintos, continuando las entregas con la mayor acti D. Andrés Fernandez. D. Saturnino Lozano'. vidad en estos días. D. Miguel Ripa. D. Agustín Arricia. También tiene la diputación contratados y prontos los 637 unifor D. Juan Antonio Marco. D. Bernardo de Borlas y Tarritfs- mes completos con armamento y fornituras para infantería ds línea: 55 D. Joaquí…</t>
  </si>
  <si>
    <t>Lozano, Rafael</t>
  </si>
  <si>
    <t>Rafael Lozano</t>
  </si>
  <si>
    <t>…años cuanto su en completo, pasa de i$oo fojas, formada principalmente por si cono les ba sugerido; todo lo que sufrió este vecindario espe- abogado D. Vicente Royo y el escribano D. Rafael Lozano, tanzado en que Dios volvería por su causa. Ultimamente en ios enviados en comisión por la audiencia de Zaragoza, sembraron dias de pascua de Pentecostés, habiendo sido acometida la ciu la consternación, llenaron las cárceles de reos presuntos, moti dad por u…</t>
  </si>
  <si>
    <t>Lozano, Saturnino</t>
  </si>
  <si>
    <t>Saturnino Lozano</t>
  </si>
  <si>
    <t>…asos de la contribución del Señores que declararon dicho impreso subversivo en primer grada clero................................................. ' 75,970-27 D. Sebastian Andrés, D. Saturnino Lozano, D. Isidoro Hoyos, D. Juan; Contribución corriente del clero...... 534&gt;93^"25 Antonio López, D. Joaquin Ruiz , O. Josef Rives, D. Manuel Esteban Catalá , D. Manuel Merino y D. Lorenzo Lanrbea. Lo declararon subver Total..................... 20.201,808. .20 si…</t>
  </si>
  <si>
    <t>…ntes: arreglo i lo que tienen las Corte» acordado les dé colocación en el D. Jossf Caite 1, D. Zoilo Gómez Casero, D. Joaquín Huerta Ceegército. _ rallos, D. Luis de Mata Araujo , D. Saturnino Lozano, D. Juan An Se mandó pasar i la comisión de Guerra una propuesta remitida por tonio López, D, Joaquín de la Vega y Quintana, D. Juan Isidoro •1 Sr. secretario de este ramo, para que las Cortes acuerden lo conve Perez, D. Vicente Segurado. Habida la conferenci…</t>
  </si>
  <si>
    <t>Ltnd.íburu</t>
  </si>
  <si>
    <t>…eo de la Rambla. Se les dirección hacia Navarra, de resultas sin duda de venir aproximándose la co ha servido una abundante sopa, un sazonado puchero y un euísado.... El lumna del brigadier Ltnd.íburu, que llegó esta mañana á Alinudcbar. concurso era como el de la mañana, inmenso: varias veces lia tenido que 11 To estaba en el fuerte y no podiendo recibir aviso de que nos vinie despejarse el paseo , que volvía á poblarse de gente al instante. se socorro ,…</t>
  </si>
  <si>
    <t>Lu, Manuela</t>
  </si>
  <si>
    <t>Manuela Lu</t>
  </si>
  <si>
    <t>…intervención de la Gran Bretaña : en A ia comisión de D potaciones prov ncialo se nundó pasar tonces quedara reducida la cuestión á cuál se3 el ínteres esencial una exposición de Doña Manuela Lu su Monta!vo , quejándose de de este pa s, y cuál el mejor modo de promoverlo: si el sistema los entorpecimientos que han ocurrido en esta prov.ncia cr. ei re de neutralidad ó ia guerra. Sin duda que las primeras operac.ones partimiento de pron os. déla Franci…</t>
  </si>
  <si>
    <t>Lu.s</t>
  </si>
  <si>
    <t>…Todas hasta Pon . ut-, y desde Pn-"ini 'i hasta L u¡ ’ n.t, todos estas circunstancias dan a conocer esos buuios tiempos pasados. toman las armas: indignados los barones llaman al príncipe Lu.s ¡Y por qué lióse refieren ¡as ventajas que obtuvieron posterior de Francia: este toma parte en la contienda. Londres abre sus mente lo&gt; amigos de la libertad , y los males que acarrearon los puertas con entusiasmo, y Juan (*) termina en un monasterio, excesos…</t>
  </si>
  <si>
    <t>Luaces, Benito</t>
  </si>
  <si>
    <t>Benito Luaces</t>
  </si>
  <si>
    <t>…rto en su huid3 por un habitante de Ar- . apresaron en la abra de Zumaya e! quechemarin español nom guedas. Cuartel g n:r¿! de Madtidejos 31 de Juóo de 18233brado S- Sebastian, su capitán Benito Luaces , que desde SantoPor orden de S. A. R. el mayor general condo Guilkmmot.ña se dirigía á la plaza de S. Sebastian con un cargamento de __Tenemos á la vista vanos de cuma tor originales pertene gao quintales de pólvora, 1600 granadas y una porción de ba cientes…</t>
  </si>
  <si>
    <t>Lubtey</t>
  </si>
  <si>
    <t>…ntribuciones que pagan. Estos cisura dH los diputados—Continúa la ¿¡sion del 2*¡, y concluye no son mas que unos proletarios, unos capite certsi destinados á regar el discurso del Sr. Lubtey id. infieres. la tierra con su sudor en tiempo de paz, y con su sangre en tiempo de Asi todo varia con los tiempos, con ios lugares, y aun con las pa guerra, según el capricho de los ministras, unas veces por una rurdíUs siones, y todo cedí al proverbio de qu…</t>
  </si>
  <si>
    <t>Lucas, Antonio</t>
  </si>
  <si>
    <t>Antonio Lucas</t>
  </si>
  <si>
    <t>…aciones &gt; mudanzas que lia hecho la Nación con toda legi pantalones de lienzo y seis de medias de hilo. timidad en su sistema político, y atendiendo ademas á que cualquiera inva __D. Antonio Lucas, marques del Campillo, ha entregado 29 rs. para el sión hecha en la Península con el pretexto de destruir ó modificar las insti proyecto de sustitución del reemplazo , de que liemos hablado en este nú tuciones adoptadas por España ,no puede dejar de ver tamKe…</t>
  </si>
  <si>
    <t>Lucero, Juan</t>
  </si>
  <si>
    <t>Juan Lucero</t>
  </si>
  <si>
    <t>…Se suplica á la persona en cuyo poder se hallen, ó tenga noticia de di 18. En la cuenta de la dirección general de directas se refundirán chos privilegios, se sirva entregarlos á D. Juan Lucero, apoderado de las de los encargados, y se manifestarán las contribuciones cobradas dicho Sr. conde, que vive calle de Hortaliza , casa núm. 18 , frente á en frutos, el destino dado á estos, bien haya sido enagenándolos ó la de S. Marcos, cuarto 3. ', que se l…</t>
  </si>
  <si>
    <t>Luciano</t>
  </si>
  <si>
    <t>…uth. Se dice que w La Regencia del reino ha acordado que se tomen informes la causa principal de esta determinación de S. M. es el estado de la situación de la familia del difunto capitán D. Luciano poco favorable del tiempo: Cortés para recompensar los méritos de este en sus hijos. La fragata Tribuna se hizo á la vela el 16 del pasado desde G'braltar para banlúcar, á fin de tomar á su bordo á sir Gui Continúan las exposiciones dirigidas 4 S. A. S. la Re…</t>
  </si>
  <si>
    <t>Luciano, Francisco</t>
  </si>
  <si>
    <t>Francisco Luciano</t>
  </si>
  <si>
    <t>40 ARTICULO DE OFIÓIÓ. Sefior.'s que los declararon subversivos: D. Francisco Luciano Do mínguez Villanueva, el conde de Floridabianca, D. Isidro Merino, Los Sr??. j^cret-rics de Us Cq’tes extraordinarias comunican al de D. Manuel Carnicera , D. Josef Rives Queraltó, el conde de la Tone Estado y drl Despacho de Gracia y Justicia con fecha de 7 de…</t>
  </si>
  <si>
    <t>Luco, Vicente</t>
  </si>
  <si>
    <t>Vicente Luco</t>
  </si>
  <si>
    <t>…decreto en todas sus par-, Sres. D. Cándido Crespo, D. Matías ürib-, D, Josef Pecina , D. Cistes. Tendreíslo entendido para.su cumplimiento , y dispondréis se im- tor de la Calle, D. Vicente Luco , D. Josef Jorge Saen , I). Joaquín prnia , publique y circule. = Está señalado déla mano de S. M. c=En de Francia, D. Juan Manuel Santiago , D. Francisco Javier Santa palacio á 25 de Febrero de i8z3.^=A I). Dion¡sio'Capaz.‘'’ Cruz, D. Juan Cruz Apellaniz, D.…</t>
  </si>
  <si>
    <t>Lucrna, Antonio</t>
  </si>
  <si>
    <t>Antonio Lucrna</t>
  </si>
  <si>
    <t>…empto. los gastos c!e causas, podía aecederse a esta solicitud. Aprobado. Esto seria á ¡as tres de la manaría, y dos horas después intentó el Se leyó una exposición del presbítero D. Antonio Lucrna , en qua m-sr.io tonde hacr pasar al batallón de infantería núm. 12 y 80 hom- pedia á las Cortes sz sitvúsen decretar la [crmac.cn ds csusa al actual br.-&gt; de milicias en cuatro barcos, y no habiendo querido oir los con secretario del Despacho de Gracia y Jus…</t>
  </si>
  <si>
    <t>Luden</t>
  </si>
  <si>
    <t>…París 6 de Agosto. un libro de las lecciones que habia ido reuniendo durante el curso En uní carta de Tolosa, fecha 30 del próximo pasado, eie lecturas políticas explicadas por el profesor Luden en Jena ql después de referirse circunstanciadamente los excesos cometidos año de 182 1. La comisión ha presentado á la Dieta varios pasa- en Zaragoza el día 20, y los posteriores, con relación á testi ges calificándolos de facciosos, republicanos, y de un es…</t>
  </si>
  <si>
    <t>Lueches, Alfonso</t>
  </si>
  <si>
    <t>Alfonso Lueches</t>
  </si>
  <si>
    <t>…la milicia-nacional-loeal-voluntaria sito podrán dirigir sus memoriales i su ayuntamiento por mano i ser el sosten de ladrones, asesinos y provocadores. del escribano de su número D. Alfonso Lueches, libres de por (9) Ya sabemos por experiencia amarga lo que significa este te, hasta 30 del corriente. lenguage en boca de los hermanos. Se halla vacante el magisterio de primeras letras de la villa (10) Este artículo en sus dos partes se traduce asi: Se que…</t>
  </si>
  <si>
    <t>Luen, Lope Manuel de</t>
  </si>
  <si>
    <t>Lope Manuel de Luen</t>
  </si>
  <si>
    <t>…as reunido el jurado , compuesto de los Sres. D. Domingo Ortiz de Vá te encuentra m ellos cosa aiguna que interese , pues aquilio» países no llate , D. Juan Bautista Vea Muren a , D. Lope Manuel de Luen ofrec-n mas que apatía e indiferencia , abatimiento y yugo. gas , D. Miguel del Pino y I.opez, D. Juan José; del Cabillo, D. Ma Va se sabia la llegada del ministro m&lt;les A Confuí.(inopia , y se tías Olave , D. Clemente Zulueta , D. Prudencio Hernández Santa c…</t>
  </si>
  <si>
    <t>Luis</t>
  </si>
  <si>
    <t>…tonio de Mcnero, D. Gonzalo de Cárdenas, D. Juan Ma emplazarle se continuará y substanciará por su ausencia y rebeldía con nuel Aréjula, D. Juan Antonio López, D. Gaspar Aguilera, D. Luis los estrados. de Mata y Araujo, D. Joaquín ds Vega y Quintana y D. Juan Isidro Por el presente se cita á los que se crean acreedores á la testamen Perez. taría de D. Tomas Sánchez de Madrid, marques que fue de Casa-MaÁ-id , el que falleció en Cádiz el año de…</t>
  </si>
  <si>
    <t>…por nuestra parte hemos teni banía de Cámara del cargo de D.Valerio Cortijo , se siguen autos entre do solamente un soldado contuso. el duque de Vervik y Alba , el de Medinaceli , D. Luis .Fernandez ” Tengo la satisfacción de anunciar i V.E., que entre los'muerto» se de Córdoba, el marques de Cerralbo y otros sobre pago de 2431 encuentran el comandante de la caballería , qup era un oficial francés, y ducados de renta anual, impuestos sobre la…</t>
  </si>
  <si>
    <t>…, sabed: Que las Cortes extraoidinarsas de la plaza de Barcelona—Segundo ayudante general el teniente coro han deerriado lo siguiente: nel D. Cirios Emilio___Otra ¡dem ei teniente coronel D. Luis de la. « Las Ccttfs extraordinarias, usando de la facu’tad que se les con Llanas__Olio idem ei teniente coronel D. Quintín Velasco___Adic cede por ¡a Constitución , han decretado 1.0 siguiente : to al estado mayor el capitán de Astúr-as D. Valentín Pastor. __…</t>
  </si>
  <si>
    <t>…los dispersa ron y los ahuyentaron completísimamente, sin que por nuestra parte Comandancia general del segundo distrito militar.__El Excmo. . haya habido la mas ligera desgracia. Sr. D. Luis do "ego, con fecha 36 desde el puente Amarante, me Ayer, según ¡as noticias y apariencias, se contaba con que habría dice lo siguiente: acción mucho mayor, y á la cual parecían dispuestos á concurrir mi » Acabo de recibir con mucha satisfacción la carta que V…</t>
  </si>
  <si>
    <t>…de parecer que-este interesado Ministerio principal, inspector de víveres y provisiones , hos debe dar las fianzas que se le exigen por el destino que obtiene. pitales y brigadas D. Luis de ia Cuadra. A sus inmediatas órde Aprobado. nes el comisario de guerra habilitado D. Josef Zorrilla. La misma comisión, en vista del oficio del Gobierno *■ al que Ministró' principal, el comisario de guerra habilitado Don acompañaba una relación de los suel…</t>
  </si>
  <si>
    <t>…patria. causa de la aproximación del rebelde cabecilla portugués. Este no El general Ballesteros pasó revista en Teruel el dia 2 á tyD pudo permanecer aquí mucho tiempo, porque el general D. Luis hombres, y se disponía para ir á Valencia para acabar de organi &lt;io Rego con su división venia persiguiéndole. Luego que el Ex zar allí el ejercito. celentísimo Sr. general en gefe del cuarto egército de operaciones Parece que los nuevos Licurgos han restable…</t>
  </si>
  <si>
    <t>…illones paraMayo de 1823 , año 4.0 de la restauración de la libertad de las Españas__ Pedro de Lapuente, alcalde 1.°__Cipriano González cubrir las letras negociadas de las que dió D. Luis de la Piedra, socio y apoderado de dicha casa á cireo de la m;sma, y ios gasEspinosa, secretario. tos y daf.os de los resaques producidos por la falta da pago re Apenas se advirtió esta equivocación no faltaron grupillos servando la emisión y venta del remane…</t>
  </si>
  <si>
    <t>…ue espero se digne V. E. elevarlo á sorería nacional á cargo de la casa de Bernales y sobrinos, de conocimiento de S. M. Dios guarde á V. E. muchos años. Gra Londres, libradas por D. Luis de la Piedra, socio, sobrino y nada y Mayo 17 de i823.=Excmo. Sr.xrMiguel Tacón.=Exceapoderado de dicha casa de Bernales, que han tenido la pesadum Jentísimo Sr. secretario de Estado y del Despacho de la Guerra.” bre y desconsuelo de verlas protestar por falt…</t>
  </si>
  <si>
    <t>…la Reina y la milicia nacional local de Madr.d , á las &lt; rdeto social jurado, y á todo sistema fundado en ideas liberales y net del comandante dei primer batallón de dicha milicia D. Luis justas , tendiendo el cuello al yu.,o del poder absoluto, impuesto Ainandi.__Congreso y archivo la milicia nacional local de Ma por La .violencia de un Gobierno extranjero.” drid P arada todos los cuerpos según lo detallado: patrullas las Después de haber hab…</t>
  </si>
  <si>
    <t>…ido en Chile. EL último regla exigiendo la responsabilidad á quien hubiese lugar. Aprobado. mento de aduanas fue quemado públicamente en la Concepción; Otro sobre la exposición de D. Luis de la Torre , dilúcida y ya se decía que Vaiparaiso y Coquimbo estaban declarados en por el gefe político de Zaragoza; opinaba podia declararse por favor de Freire. Se esperaba una pronta mudanza, y que se ve punto general que corresponde á las Cortes exclusi…</t>
  </si>
  <si>
    <t>…ariano Diez de Villaroel, regi y la de todo el reino en las sabias providencias de-V. A.S. dor decano por su estado noble, alcalde mayor interino de la villa de Paredes de Nava, y D. Luis de la Guerra , procurador » Sermo. Sr.: El corregidor de Vizcaya, al ver en la mis síndico general de la misma, por sí y á nombre de los demas ma capilai de !a Monarquía en que parecía poco ha que la ini individuos que componen el .ayuntamiento de dicha vilia…</t>
  </si>
  <si>
    <t>…e le recomien Seamos pues sensatos aun en el modo tic dar no do el Ínteres v ardor con qne se han conducido los ticias y evítenlos los dos estrenaos de la presunción y cs-guardias D. Luis y D. José Pafiflo, como los vo de la desconfianza. En esto daremos al mundo una luntarios nacionales D. Francisco Porras, D. Joaquín nueva nueva de cordura y de valor; y nos granjea Canuda . D. Vicente Losada, D. Jacobo Sobreira , D. remos el aprecio del mundo entero. Mauro Mi…</t>
  </si>
  <si>
    <t>…en fin, ¡quién no ha de ser amigo titud por recibir esta nueva y generosa txprcs.on de la amistad de una nación que posee un ejército tan v-rtueso cual lo es .el de S. M. Cma. el Sr. Luis xvm; de júbilo por considerarla co que actualmente ocupa el suelo español5 ¡Honor eterno al Príomo un presagio feliz de que ya no mas se volverán 4 interrum cipe generalísimo que jo manda , y á los caudillos que con tanto pir la importante unión y concordia q…</t>
  </si>
  <si>
    <t>…clero respetable, compuesto de todos los obispos constiuicio* pertenecientes i las provincias ocupadas todavía por las tropas nales: el Sr. abate Gregoire será el patriarca , y el barón Luis, revolucionarias. el vicario general, á menos que no se le den las rentas del Es ■— Los amigos de la religión observan con el mayor placer que tado ó los depósitos generales del vino. Una Vez distribuidas las diariamente se multiplican las conversiones de los…</t>
  </si>
  <si>
    <t>…es: nes que llevaban los emisarios del Gabinete francés que arribaron Por el duque de San Lorenzo. . . . 10,000 á S. Juan de Ulua), cuáles son las verdaderas intenciones de Por el Sr. D. Luis de unís..............5,000 aquel pérfido Gabinete que solo abriga ideas de dominación. Por el conde de Toreno. ................. 5,000 En prueba de que esto no es una paradoja, trascribiremos de la Por D. Ignacio Fercz de Lema. . . 2,000 gaceta del 3 de Jubo…</t>
  </si>
  <si>
    <t>…próximo si tro de Estado, S. A. S. ha expedido el decreto siguiente: guiente por la nueva legislatura, hubo el propio resultado, ha » La Regencia del Reino ha venido en nombrar á D. Luis biéndose por tercera vez discutido y decretado en el segundo año María Salazar, secretario del Despacho ds Marina, para que se de estas Cortes, cuando ya estaban seguras de la sanción; que encargue dei de la secretaría de Estado durante la ausencia de en efec…</t>
  </si>
  <si>
    <t>…s insufrible,)' una multitud de causa de la importancia misma de los hechos de que trata. : En vejac.ones irritan los ánimos ya resentidos; y por último, vién qué viene á parar el príncipe Luis: ; Por que no se refiere que des dose Juan abandonado de sus a taladores , y rodeado únicamente pués de un año de reinado fue expulso del imper.o bntán.co, sude siete caballeros, firma en Runing—Mead en 1215 la .ui-r.i j:.- cediéndoie Enrique ni, hijo de Juan…</t>
  </si>
  <si>
    <t>…lo á las leyes D. Segismundo Moret, D. Pedro Antonio de Aguirre, Don sobre libertad de imprenta. En este caso el Gobierno podrá ocu Juan francisco Bidot, D. Agustín de Goicoechea, D. Luis de par y archivar ó quemar todos los ejemplares que pertenezcan al Gargollo, D. Lázaro ElejaJde y D. Juan Bautista A Iva reda. dueño de la obra; pero no recogerá de modo alguno los que ha AVISO. yan comprado los particulares para su uso. Se halla vacante el j…</t>
  </si>
  <si>
    <t>…tes de estado mayor general tenientes coroneles D. Miguel de ofrecieron algunos cordiales para reanimarlo , y respondió: &lt;&gt; No Araoz, D. Vicente Garni , secretario mió , y cap tan D. Luis »tenco que tomar otro cuidado que el de preparar mi alma para Raseti, mis ayudantes de campo coronel D. Pablo de Echever dar cuenta ;í Dios de mi larga vida.” ría, tenientes coroneles D. Ramón Nadal, D. Manuel SanjuaneEl 19 á lá una y media de la mañana recib…</t>
  </si>
  <si>
    <t>…Religión santa derrame sobre nosotros los consuelos inefables de que nos querían privar los impíos. Inquisición, beñor, Inqui■El Cú»¡a,xlante general interino de Valencia y Murcia D. Luis sici n, para que no haya en España mas Reyes que los Barbo Amat y de Teran dice al Sr. Secretario del Despacho de la Guerra nes, ni mas Religión que la Católica. con fecha II del actual de-de Valencia lo siguiente: „ Dios, Señor , prospere á V. M., bendiga á…</t>
  </si>
  <si>
    <t>…de :i algún hijo de Infante; vistas las declaraciones de 26 de Agos Almirantazgo que percibían antes del 7 de Marzo de 1820, te to de 179C,, relativas al tratamiento del Príncipe D. Luis, he niéndolos á dispo-oFon de la Marina; pero habiendo oficiado el redero de Parma, y á los hijos que tuviese en su matrimonio Comandante de Marina de Motril al Administrador de Reales con la Infanta Doña María Luisa, hoy Duquesa de Lúea , mi Rentas, le conte…</t>
  </si>
  <si>
    <t>Luis, Josef</t>
  </si>
  <si>
    <t>Josef Luis</t>
  </si>
  <si>
    <t>…alabra Se leyó y mandó quedar sobre la mesa el dictamen de la co sobre ella varios Sres. diputados, y se declaro el asunto suficien misión de Legislación sobre 1111a exposición de D. Josef Luis temente discutido. Igualmente se declaró haber lugar a votar so bre el dictamen de ia comisión, y que la votación fuese nominal. Arrieta. La misma comisión, en vista de la proposición de los seño A petición del Sr. Gahano se añadieron al dictamen des res Seom…</t>
  </si>
  <si>
    <t>Luisa</t>
  </si>
  <si>
    <t>…ella entendía el juez competente con Cortes de 29 de Junio último, arreglo á los decretos de Cortes, resolviendo las competencias el A la 2.a de Hacienda se pasó una exposición de Doña Luisa supremo tribunal de Justicia. Aprobado. Martinet, viuda de un teniente de ejercito, para que se la aumen La misma comisión, en vísta de ia consulta del Gobierno so te ia pensión que las Cortes la concedieron en 1821 -en razón bre quién deberia pagar los derec…</t>
  </si>
  <si>
    <t>Luisa, María</t>
  </si>
  <si>
    <t>María Luisa</t>
  </si>
  <si>
    <t>…o-oFon de la Marina; pero habiendo oficiado el redero de Parma, y á los hijos que tuviese en su matrimonio Comandante de Marina de Motril al Administrador de Reales con la Infanta Doña María Luisa, hoy Duquesa de Lúea , mi Rentas, le contestó que para su cumplimiento necesitaba orden querida Hermana , en las que se cita la resolución del Señor Don de sus respectivos Gefes; y S. M. ha resuelto se d¿ noticia á Carlos m de 18 de Febrero de 1785, que expre…</t>
  </si>
  <si>
    <t>Lujan, Manuel</t>
  </si>
  <si>
    <t>Manuel Lujan</t>
  </si>
  <si>
    <t>…nel D. Josef milicia está entusiasmada, víveres no faltan, las autoridades son Montero y Vigodet; el de Soberanía nacional al teniente coronel excelentes ; qué hay pues que temer: D. Manuel Lujan: el del Invencible y puerta del Mar a! coronel Los enemigos han hecho hoy un reconocimiento en el llano D. Ramón Foxá; el Observador al coronel D. Tadeo Aldea; y de esta ciudad, y han permanecido hasta las 3 de la tarde en San para comandante de la primera re…</t>
  </si>
  <si>
    <t>Lumbreras, Joaquín</t>
  </si>
  <si>
    <t>Joaquín Lumbreras</t>
  </si>
  <si>
    <t>…de Catalu ANUNCIOS. ña , y para secretario elSri D. Mateo Seoane, que lo es por la de Valladoücí.” Habiéndosz suprimido la universidad de Alcalá, 3. M. se ha ser vido comisionar 3 D. Joaquín Lumbreras para que entienda entre otros Dirección general de papel sellado y penas de Cámara. objetos en el de liquidación general de cuentas entre aquel estableci Por Real orden de i.'del corriente, que se ha comunicado i esta miento y sus catedráticos y dependientes…</t>
  </si>
  <si>
    <t>…ano Torio. El conde de Oñate. D. Vicente Segurado. D. Antonio Puiduiiés. D. Francisco Palacios. D. Manuel Zulueta. La diputación provincial de Madrid, en cumplimiento de los decre D. Joaquín Lumbreras. D. Manuel Conchillos. tos de las Cortes de 5 de Eneio y 8 de Febrero últimos, que tratan ds D. Martin de Navas. £&gt;. Sandalio Arias. la formación de la milicia nacional activa y del segundo reemplazo D. Isidoro Franees Cabañas. D. Josef Segundo Moodejar. extr…</t>
  </si>
  <si>
    <t>…tircn de la cárcel de Aran- En su vista se reunió el jurado, compuesto de los fres, siguientes: da, y se llevaron el caballo de D. Ramiro Gil de Gibaja y el del mé D. Tadeo Perez, D. Joaquín Lumbreras, D. Francisco &lt;!■' Accvai y dico , y á poco rato entró el general Empecinado con la fuerza de 30 Arratia , D. Francisco Sainz de Rozas, L&gt;. Joscf Valls de Roca , Doa caballos y 20 infantes, y ademas 12 voluntarios de caballería de Nava; Josef de Leglisa y Pin…</t>
  </si>
  <si>
    <t>…. qtiedai'se en un pirulo para ser presa de los enemi La comisión de Libertad de imprenta, en vista de gos, &gt;- mayormente cuando estos enemigos traen la la sol.citud det ciudadano D. Joaquín Lumbreras, di intención de poner el jugo mas afrentoso á esta 3Sa- putado suplente por la provincia de Madrid, pare, cioii heroica. [,i'e cent iuuard.] que las Cortes en el estado de indigencia en que sa bailaba con su familia por haber seguido aL Gohicv-* no y al Cong…</t>
  </si>
  <si>
    <t>…cer uso de su razón por lo que creia que con lo que pinta protectora do libertad de imprenta, participan se proponía en este artículo se iba á atacar la liber do i ’ ■ nombrado á D. Joaquín Lumbreras para tad de imprenta , pues ningún impresor - querría im ZZ mi seerclusio en calidad de interino v mientras ic primir por temor de la gran responsabilidad que se presenta el propicia rio ó se d:i por vacante su destino. les imponía , por lo cual-no aprobaba e…</t>
  </si>
  <si>
    <t>Luna</t>
  </si>
  <si>
    <t>…parece que han renun a Montarle, juego no deben dar cuidado. ciado á sus derechos mas preciosos, á sus intereses y á los de sus fami &lt;» Consecuente á estos datos he dado otden al capitán Luna para que lias, y á todos los sentimientos que constituyen la esencia del hombre, conserve con la fuerza, de su mandólos pumos designados por el gene y lo distinguen de los brutos. Movidos como máquinas por sus mismos ral RoseÜó , pu's según las órdenes de V.…</t>
  </si>
  <si>
    <t>Luna, Blas del Castillo</t>
  </si>
  <si>
    <t>Blas del Castillo Luna</t>
  </si>
  <si>
    <t>…egislación de Mahonra. Sus casas son el teatro de acudirán á recogerlos con la brevedad posible, fenxnto coronel, uin guerra civil continua, pues no cesan un instante las riñas en D. Blas del Castillo Luna; teniente, D. Ramón O.inety; subte tre las mugeres y las quejas de estas al marido. Las cuatro espo nientes , D. j jan Josef Bracho, D. Manuel Garcái, D. josef sas leg'timas se quejan de que son preferidas las esclavas, y estas Lluch, D. Bernardino Herrero, D…</t>
  </si>
  <si>
    <t>Luna, Joscf de</t>
  </si>
  <si>
    <t>Joscf de Luna</t>
  </si>
  <si>
    <t>…u embarque, y teniendo su pasaporte visado danre J&gt;. N.colas de M;nus:r; c¡ primero de León á L. de su por la. autoridad competente , se recibió una urden de Faris por el oororseí D. Joscf de Luna . compuestos lew. dos de quinto» ».i»¡ l.i telégrafo para detenerle y apoderarse de i o» pliegos de que era por su totalidad , y varias compañías de nvÜclano» y tr.-queiue» , ss tador; como tenían el sello de las arma» reale», lo» empicado» de han batido con…</t>
  </si>
  <si>
    <t>Luna, Nicolás</t>
  </si>
  <si>
    <t>Nicolás Luna</t>
  </si>
  <si>
    <t>Núm. 97. ( 7 cuartos. J 44 s GACETA DE MADRID. JUEVES 3 DE ABRIL DE 1823. NOTICIAS EXTRANGEKAS. tan de voluntarios d:e Aragón D. Nicolás Luna para que mantuviese en tranquilidad los pueblos insurr eocionadcs de Monterroso, Amaran te , la Ulloa y Camba, mí dirigí con unos 150 hombres hacia los par P,mt 16 de Marz-r. tidos de Deza y Trasdeza , en donde tenia algunas noticias de que ha El consulado de…</t>
  </si>
  <si>
    <t>LUNES</t>
  </si>
  <si>
    <t>Num. a 8. (7 cuartos.) iS3 nd GACETA D E M A D R 1 D. LUNES 37 DE ENERO DE 1823. NOTICIAS EXTRANGERAS. la agitan lo* mismos zelos que hace 50 años está experimentando con motivo del engrandecimiento de c: ta última potencia. Por otra paite AUSTRIA. no se ve tan amenazad» c mo ¡a Piusia por las reforma* interiores, y V…</t>
  </si>
  <si>
    <t>Luquc, Juan Antonio</t>
  </si>
  <si>
    <t>Juan Antonio Luquc</t>
  </si>
  <si>
    <t>…tados favorables de es se reunió el jurado , compuesto de los señores siguientes: tas partidas, pues á mi modo de pensar es el único arbitrio para conseguir D. Antonio Puigblanch, D. Juan Antonio Luquc, D. Domingo Fer ventajas sobre esta canalla; que es mucho el número de partidas que ha pa nandez Angulo, D. Joaquín Huerta Cevallos, D. Luis de Mata Araujo, sado , pero en pequeñas, que seguramente no asciende su número á 60 hom Conde de Floridablanca, D. Isi…</t>
  </si>
  <si>
    <t>Luque, Antonio de</t>
  </si>
  <si>
    <t>Antonio de Luque</t>
  </si>
  <si>
    <t>…, fii;nado=conde deSt.CiiaLa operación del convoy se debe á la actividad y zslo del maus.izeFirmadoerJoscf Ruiz de Porras .sr Anrc-bado=ccnde de tímente del R-al resguardo antiguo D. Antonio de Luque,y Lobjrdo.=Sr. teniente general Caro, comandante de las tropas a D. Josef Rodríguez, comandante de una de ias paTtidas rea de S. M. Católica, en el alojamiento del Sr. Ordoñez. listas de caballería, quien con 20 de los suyos se irn-t ó á bor Cuyo contenido tr…</t>
  </si>
  <si>
    <t>Luque, Joaquín de</t>
  </si>
  <si>
    <t>Joaquín de Luque</t>
  </si>
  <si>
    <t>…ste acto , el trias tierno y admirable formaron los va Montenegro y D. Francisco Guztnan. lientes de los regimientos de Zurrara., Navarra , resguardo militar , ar .En tercer grado D. Joaquín de Luque. tillería y MI N. L. V. de esta plaza una columna de hermanos, cotí ANUNCIOS.dos piezas de batalla á la cabeza y la caballeriza retaguardia, interpo ladas las mitades de todos los cuerpos, y mandadas Jas unas por ¡os Ignorándose el paradero de D. Manuel Moren…</t>
  </si>
  <si>
    <t>Luque, Nicolás Cano</t>
  </si>
  <si>
    <t>Nicolás Cano Luque</t>
  </si>
  <si>
    <t>…ula , D. Fe _E1 Monitor del 31 publica ya el decreto de la convocatoria de las lipe López Valdenioros, D. Gonzalo Cárdenas, D. Manuel Esteban Cámaras para el 18 de Enero. Gatalá , D. Nicolás Cano Luque, D. Zoilo Gom:z Cisero , D. Joscf __La libertad nunca ha sido vencida por ¡as armas extrangeras; y tan Larreategi-.i y D. Francisco Bauza.. to las naciones antiguas como lai modernas nos presentan en sus ana Habida la conferencia, se declaró por ocho de d'cho…</t>
  </si>
  <si>
    <t>Luque, Nicolás Cano de</t>
  </si>
  <si>
    <t>Nicolás Cano de Luque</t>
  </si>
  <si>
    <t>…ofrenda, que hago gustosí.imo D. Francisco López de Olavarrieta, D. Joaquín de Ce"-! os, P. Ju en i» aras de a libertad , ai mismo tiempo que renuevo el juramento lián de Fuentes, D. Nicolás Cano de Luque, D. Juan de Cortes y -de defender la Constitución hasta mi última agonía en toda la provin D. Sebastian Andrés. cia que el Gobierno se ba dignado fiar á mis desvelos. La provincia Señores que disintieron: D. Josef Antonio Ponzoa, D. Simón continúa en la mas c…</t>
  </si>
  <si>
    <t>…rán sus memoriales pot el correo, franco de porte, cisco Zazo de Lares,. D. Miguel de Nájera, D. Aniceto More ai ayuntamiento constitucional de dicha villa hasta el dia 8 dei no y D. Nicolás Cano de Luque, calificaron con la fórmula de próximo Mayo, en que se admiten, para proveer después la absuelto el impreso titulado Observaciones sobre ia probable di plaza en el que gradúe benemérito, previos los informes necesa solución' del Estado-, y la ley absolvió al…</t>
  </si>
  <si>
    <t>…oca, — La diputación provincial á los ciudadanos milicianos y de D Antonio Palacios , D. Santiago Vicente Les, D. Isidro mas patriotas de la provincia de Madrid. Francés Cabañas y D. Nicolás Cano de Luque. «Españoles: El egército francés ha invadido nuestro terri Habida la conferencia, se declaró por unanimidad haber lu torio,/ según las últimas noticias parece que dirige su movi gar a la formación de causa. EN LA IMPRENTA NACIONAL.</t>
  </si>
  <si>
    <t>Luque, Nicolás de Cano</t>
  </si>
  <si>
    <t>Nicolás de Cano Luque</t>
  </si>
  <si>
    <t>…as formalidades y precauciones que convengan a ral , D. Francisco Barra , D. Miguel Ripa , D. Cayetano Romero, asegurar el buen éxito de la operación en seguridad de los intercies D. Nicolás de Cano Luque y D. Julián de Fuentes. Habida la confe nacionales. rencia , declararon haber lugar á ¡a formación de causa los Sres. Huer ir. Los productos de esta enagenacion de fiutos entrarán en las ta Cevallos , Díaz del Moral, Barra , Romero, Cano Luque y tesorerías de provincia ó depositarí…</t>
  </si>
  <si>
    <t>Luqui, Juan</t>
  </si>
  <si>
    <t>Juan Luqui</t>
  </si>
  <si>
    <t>…de Noviembre del D. Valentín Ortigosa , D. Marcos Antonio Mcnczo, D. Cayetano Ro aro ultimo con destino á cruzar en aquellas aguas, fondeó en el lirismo mero, D. Nicolás Alcrsz», D. Juan Luqui:, D. Joaquín Manrique , Don puerto ei 14 dei siguiente mes; y enterado su comandante el capúan de Juan Fernandez Casariego, D. Valentín Recio y D. Juan Castel. fiaeara D. Manuel de Cañas de la tranquilidad que gozaba la isla, y suer Habida la conferencia, se…</t>
  </si>
  <si>
    <t>Luqui, Nicolás Cano de</t>
  </si>
  <si>
    <t>Nicolás Cano de Luqui</t>
  </si>
  <si>
    <t>…cipes y Reyes mas poderosos para nueva , D. Antonio Puigblanch, D: Juan Isidoro Perez , D. Isidoro d:stru:r ia libertad con la fuerza. Una nación poco numerosa, pobre y de Hoyos , D. Nicolás Cano de Luqui, D. Joaquín Manrique y Man rústica fue la primera que dió á ia Europa un egemplo asombroso de rique , D. Francisco Travesedo y D. Juan Pablo Pascual. lo que puede en ios hombres este prestigio de la libertad, que parece Habida la conferencia, s« declaró no ha…</t>
  </si>
  <si>
    <t>Luquo, Nicolás Cano de</t>
  </si>
  <si>
    <t>Nicolás Cano de Luquo</t>
  </si>
  <si>
    <t>…esta dicha villa: Ha- D. Andrés de Aloya Luzuriaga , D. Josef Antonio Ponzoa , el conde tiendo visto la cau:a seguida á instancia de D. Agustín Josef Mestre, ' de Floridablanca , D. Nicolás Cano de Luquo , D. Juan Fernandez Caboticario mayor de S. M., contra D. Josef Antonio Oñez , boticario sartego y D. Manuel González del Campo. Habida la conferencia, se en esta corte , por las proposiciones que vertió y estampó' dicho Oñez declaró por unanimidad n haber lu…</t>
  </si>
  <si>
    <t>Lutero, Martin</t>
  </si>
  <si>
    <t>Martin Lutero</t>
  </si>
  <si>
    <t>…obra de una de paso me permitirá el Congreso qu; pregunte á las altas potencias, ¡ en insurrección militar;” asi lo afirma la corte de Prusia. El ruso dice ' dónde fijó su cuartel general Martin Lutero? ¡en dónde hizo sus haza «Cuando en el mes de Marzo de 1810 algunos soldados perjuros vol ñas! No me detengo mis en este punto, porque los Sres. eclesiásticos en vieron sus armas contra su Soberano y su patria para imponer i la la asion de ayer dijeron que to…</t>
  </si>
  <si>
    <t>Lutzow, Rodolfo</t>
  </si>
  <si>
    <t>Rodolfo Lutzow</t>
  </si>
  <si>
    <t>…bieino de Gidiz ha nom naria en la corte de Portugal con el carácter de Ministro. S. M. brado al general Zayas comandante general y general en gefeha nombrado en su lugar á Mr. el conde Rodolfo Lutzow, in de la provincia y ejército de Extremadura (O, exonerando si ternuncio que fue cerca de la Puerta otomana, su gentilhombre actual y consejero privado, con la calidad de enviado extraordi (1) Aquí se verifica el adagio de aquella antigua comedia de nario y…</t>
  </si>
  <si>
    <t>Luzuriaga, Andrés de Aloya</t>
  </si>
  <si>
    <t>Andrés de Aloya Luzuriaga</t>
  </si>
  <si>
    <t>…norario de la audiencia territorial de Castilla D. Josef Rives, D. Casimiro Martin , D. Jaime Ruíz y Abreue la Nueva , y juez ietrido de primera instancia en esta dicha villa: Ha- D. Andrés de Aloya Luzuriaga , D. Josef Antonio Ponzoa , el conde tiendo visto la cau:a seguida á instancia de D. Agustín Josef Mestre, ' de Floridablanca , D. Nicolás Cano de Luquo , D. Juan Fernandez Caboticario mayor de S. M., contra D. Josef Antonio Oñez , boticario sartego y D. Manu…</t>
  </si>
  <si>
    <t>Lxmouth</t>
  </si>
  <si>
    <t>…ería al .Mariscal de Campo Don Africa, con menos gastos que se emplearon en ja expedición gi Diego Ballesteros; y Gobernador de Sanlúcar de Barrameda al gantesca y casi inútil del lord Lxmouth contra .-argel. No hay Brigadier D. Pedro de Sotomayor. marino, cuya carrera haya comenzado antes de la dispersión de ia Orden de Malta, que no eche menos hoy la institución hospita En atención á los méritos y servicios de D. Josef de Echevar laria, cuyo obje…</t>
  </si>
  <si>
    <t>Lynedoch</t>
  </si>
  <si>
    <t>…as por ias del resto de Europa, quiero decir, Grosvenor , lord Gcsford, lord Lansdownc, lord Grey , lord la confederación germánica , cuyos ejércitos siguieron á Jos fran Erskine, lord Lynedoch, lord Nugert, lord John Russsll, lord ceses: iguales declamaciones hubo entonces sobre el estado de ar.trWilliam lUussell, lord Nonnanby, lord Ebrington , el honora quia y división de ánimos en la Península; y en el fondo, esto ble J. Abereromby , Lcicester S…</t>
  </si>
  <si>
    <t>…a 13 de Junio con el objeto de auxiliar la cargo de los primeros y segundos ayudantes que destine el Médi causa df la libertad en España. co en gefe con el sueldo de su empleo. El general Lynedoch, conocido en España por el nombre de Art. 4.0 La entrada en este cuerpo será por oposición ri Graham y su batalla de Barrosa, hizo la siguiente importante ob gorosa , y el ascenso de segundos á primeros ayudantes se hará servación : ” Habiendo yo permanecido…</t>
  </si>
  <si>
    <t>M'tuel</t>
  </si>
  <si>
    <t>…cuencia el Gobierno había Sr. Bel da. hecho salir un destacamento de 40 Immbrrs p3ra las Carnahbas, y el Continuó la discusión sobre el plan de arreglo del clero bergantín Infante D. M'tuel &lt; bloquear el puerto de Parnalnba , y El Sr. i.epuerta: Si la comisión se hubiese limitado so an-nre i Ji que por un expreso que lubia llegado á Marañon constaba que el Go parte económica.. seguramente que no hubiera tomado l i pa'ahra en bierno de Piauhi tam…</t>
  </si>
  <si>
    <t>M, Antonio Marcia S.</t>
  </si>
  <si>
    <t>Antonio Marcia S. M</t>
  </si>
  <si>
    <t>…idencias que ñor Josef Máximo Pinto Fonseca Rangel para que ocupase el lu me sugiere mi espíritu atribulado: Primera: que los ministros de gar del ministro de la Guerra; al Excmo. Sr. Antonio Marcia S. M."ztos informen del estado actual de la seguridad pública. Se no de Acevedo , para el ministerio de los Negocios del reino; y gunda : que se dirija á la nación una proclama á nombre de las al Excmo. Sr. Juan Francisco de Oiiveira para el ministerio de Cortes, h…</t>
  </si>
  <si>
    <t>M, Antonio V.</t>
  </si>
  <si>
    <t>Antonio V. M</t>
  </si>
  <si>
    <t>…ean atacados impunemente. pedicionario. Aprobado. » Las Cortes, Señor , nada tienen que añadir á las justas reflexiones de La misma comisión de Guerra, en vista de la solicitud de D. Antonio V. M. tocante i la conducta del Rey Cristianísimo; y conviniendo con Sanz, subteniente del egército, opinaba, visto el informe del Gobierno, que V. AÍ. en que es ofensa de la razón rebatir errores tan antisociales é inde no debia haber lugar á deliberar sobre ella.…</t>
  </si>
  <si>
    <t>M, Carlos y M.</t>
  </si>
  <si>
    <t>Carlos y M. M</t>
  </si>
  <si>
    <t>…os y convenios, y por medio de Gefe de d a el coronel de la Reina D. Francisco Fernandez él serán estos ilusorios siempre y cuando acomode. Goitín___ Servic'o á palacio el Infante D. Carlos y M. M.L., á las órdenes del comandante interino de la Reina D. Francisco __Hemos recibido hoy la siguiente carta, que creemos deber pu Castellón.__Parada la Reina, Infante D. Carlos y M. N. I____ blicar. liosp tal y provis ones la Reina___ Guardia al Congreso y ar S…</t>
  </si>
  <si>
    <t>M, Domingo</t>
  </si>
  <si>
    <t>Domingo M</t>
  </si>
  <si>
    <t>…io nías antiguo , que lo era ANUNCIOS. el señor D. Pedro Juan de Zulmta, han salido electos, para pre Notas al dicumen de la comisión eclesiástica encargada del arreglo sidente el Sr. D. Domingo M r;a Ruiz de la Vera , diputado por difinitivo del clero de España , por D. Juan Antonio Llorante , autor la provincia de Granada; para vice-presidente el Sr. D. Me-chur Ma de varias obras. Se hallan en esta ebrita algunas notas de considerable rau, diputado p…</t>
  </si>
  <si>
    <t>M, Domingo Antonio</t>
  </si>
  <si>
    <t>Domingo Antonio M</t>
  </si>
  <si>
    <t>…ciahs que operaron en las guerrillas. Despu.s qu: la bi NOTICIAS DE ESPAÑA. zarra milicia nacional de voluntarios de Orense, al mando de su digno Cuniti.t 14 de Murzf. subteniente D. Domingo Antonio M ¿uez , empezó i escaramuzar á En el suplemento al Diario Coniiituewnal de esta ciudad se han pu los facciosos sobre las alturas d: le. La ge , que perseguios y disp isaJos estos con dirección al puente de Taboada , tuv:eron no chítente la au blicado los sigui…</t>
  </si>
  <si>
    <t>M, Duque de Angu E.</t>
  </si>
  <si>
    <t>Duque de Angu E. M</t>
  </si>
  <si>
    <t>…de caballe gusto, el valeroso Príncipe á quien el cielo reservaba tanta glo ría; y son el coronal D fManuel Muñoz", primer ayudante de ria después de tantas desgracias, el Sermo. Sr. Duque de Angu E. M.; D. Juan Dañóse*, coronel; D. Ramón Parada , ídem; lema, quiere acabar su obra. El ha observado desde el centro de D. Antonio Hernández,“fcapitan; D. Fernando Bubn de Gilis, la España las operaciones militares emprendidas en fas diversas comandante del batall…</t>
  </si>
  <si>
    <t>M, J.</t>
  </si>
  <si>
    <t>J. M</t>
  </si>
  <si>
    <t>…cionales cometan recuerdo de los avisos militares al ejército de ia izquierda, que hitas en el ejercicio de sus funciones, que como a rales alcaldes escribió y publicó el teniente coronel D. J. M., capitán de arti les conceden la Constitución y las leyes, serán juzgados por el llería y primer ayudante general de dicho ejército en 808 después mismo tribunal que los jueces de primera instancia, sin que se en de la retirada sobre León. Lo dedica á los mil…</t>
  </si>
  <si>
    <t>M, Josef</t>
  </si>
  <si>
    <t>Josef M</t>
  </si>
  <si>
    <t>…l día á exhibir sus acciones y presentar ios docu D. Manuel Nufiez. D. Tetisforo Polo. mentos convenientes para el cobro de dicho dividendo, que se ira ve D. Vicente Santiago Les. D. Josef M.re'o. rificando á medida que baya proporción de fondos. D. Manuel Loprz Concia. D. Valentín Recio. Juicios de jurado. D. Pciayo Zorrilla. D- Eugenio Aravaca. D. Francisco Aceval y Arratia. D. Jtisr.f P.rez Atórales. EISr. D. Francisco de Iribarren denunció en…</t>
  </si>
  <si>
    <t>…ón de las Cortes. en !• rancia mas que gramáticas y breviarios. A la comisión de Comercio se mandó pasar una solicitud de Ya he llamado en otro tiempo la atención de V. acerca del D. Josef M aria Alasnata, apoderado de los dueños del oficio de rápido aumento que tiene el número, la riqueza y el poder del corredor mayor de esta plaza, solicitando que el consulado n el clero católico. N» obstante, debo añadir á lo que dije entonces, gremio de corre…</t>
  </si>
  <si>
    <t>M, Suvando</t>
  </si>
  <si>
    <t>Suvando M</t>
  </si>
  <si>
    <t>…ilijen al mundo con el E11 sesión del 18 se declaró que no debía subs.stir el con peso enorme de su cetro de hierro. En aquella memorable época sejo de Estado. En la del 19 dqo ej diputado D. Suvando M •-:* empezó la guerra de la luz de.las tinieblas, la del despotismo y que en las piov.nc.a» interna» se hab'ia creado una junta suprema la libertad. Nuestros legisladores entonces, rodeados como lo es para librarse de las convulsiones de ¡a Metrupo.i, y que s…</t>
  </si>
  <si>
    <t>M, T. de P.</t>
  </si>
  <si>
    <t>T. de P. M</t>
  </si>
  <si>
    <t>…sobre el presupuesto á que debe cargarse Madrid, comedia patriótica original en tres actos en verso por ei r! importe de los suministros que se hagan á la milicia nacional cuan C. D. T. de P. M., representada por primera vez en el coliseo de do se halle en persecución de los facciosos. (Gaceta del j.) la Cruz el dia 25 de Diciembre. Se hallará con la del Hipócrita pan Ley sobre sociedades patrióticas. (Gaceta del y ") cista , comedia también patrióti…</t>
  </si>
  <si>
    <t>M, TV Salvador</t>
  </si>
  <si>
    <t>TV Salvador M</t>
  </si>
  <si>
    <t>…e sirva en este año déla conscripción del siguien te bemos cpie el conde de Amarante formó una Regencia interina de Portugal compuesta del mismo conde, Ha llegado á esta ciudad el Sr. TV Salvador M an«pie era presidente, de José Vaz Pe re ira Pinto Gue- zanares, secretario de Estado y del despacho de la des', vice-presidente , v de Ozorio, Botelbo v Ca 'Gobernación de la Península. Todos los amantes ver bial. Esta Regencia celebró nna sesión en Palencia…</t>
  </si>
  <si>
    <t>M-lend</t>
  </si>
  <si>
    <t>…a Hacienda al artículo desvanece todas las objeciones que se han h-clio á autorización que ahora s; le coucecr. él, y por lo mismo no me ditendré mucho en apoyarlo; y esto teñe E' Sr. M-lend 7 ■■ Me opone o,,.- este artículo de', dictamen , porque tanta mas fuerza, cuanto qu; el artículo solo habla d aquellas personas me pare-e que es un m-dío insuficiente. Si hasta aquí ha i 3V J0 at-asos contra quines dirija el Gobierno inmediatamente su acción…</t>
  </si>
  <si>
    <t>M-rino, Manuel</t>
  </si>
  <si>
    <t>Manuel M-rino</t>
  </si>
  <si>
    <t>…a de nuestro amado Monarca. quín Manrique y Manrique, D. Juan Fernandez Casariego , D. Benito n Los vecinos de esta ciudad ofrecen todos unánimes perder la últi Ortega Romanillos, D. Manuel M-rino, D. Domingo Fernand a An ma pota de sangre en defensa de la legítima y justa causa-, esperando gulo y D. Lucas de Mata Araujo. Declararon por unanimidad haber que V. S. 1. nes avise de lo que ocurra para nuestro consuelo, pues lugar á ¡a formación de causa. m…</t>
  </si>
  <si>
    <t>Ma</t>
  </si>
  <si>
    <t>…ntos; y de los Sres, Seoarie y Alix, contrario á este asunto; pero i pesar de süs argumento» no se destruye la propuesta lo resüe'to por las Cortes sobre la adición del Sr. Gómez (D. Ma de que vaya esta deuda al Crédito público.' Se dice que es una contrata; nuel^ ai an. ^^ U- i* in.uu.cinn para el B&lt;*&gt;t.i&gt;,no económico-político pero cuando entra á servir un oficial i la Nación ¡ no hace con esta de las provincias. una contrata; Sin. duda al…</t>
  </si>
  <si>
    <t>…varios privilegios originales de juros propios de bierno francés, ó cuyo pago se hubiere solicitado directamente del mis mayorazgos y fundaciones á D. Juan de Landeras Ve lasco y D. Ma mo Gobierno, sin haberse hecho la correspondiente reclamación por nuel Perez , y son los simientes: uno de 1700 mrs. , sluado en la ren la comisión Real de París. Decimocuarto: Se pagarán en los términos ta de diezmos de la mar de Castilla, en favor de D. Jua…</t>
  </si>
  <si>
    <t>…tí, Rey, Benito, Belda, ñsebia , Henrique, González peña, y no s« dignaran hechar hacia ella la mirada compasiva que aco Ron , Fernandez , Cid , Pedralvez , Ruiz del Rio, González D. Ma ra tanto afectan. nuel , Manso, Cortés, oria, Garoz , Gómez (.O. Manuel), Sotos Los soldados que ahora se llaman perjuros no volvieron sus armas Rodríguez Paterna, Buey, Alvarez, Gutiérrez, Tomas, Cuevas contra su Soberano y su patr:a; antes bien en favor suy…</t>
  </si>
  <si>
    <t>…llaría á la justicia si no ricomenda»e á V. S. llas i prisioneros , por cuyas declaraciones , contestes con las noticias particularmente al espitan del batui'on ligero de Tanagona D. Ma que habia recibido , supe que en la facción cont nuabi una deserc un nuel Saliquet, que salió herido levem-nte, y í los soleados Fiancisco considerable: ayer seguí á A ¡bar , en donde me confirmaron la misma Babada , Masías Genanji, Pedro Comas, Ramón Suise ,…</t>
  </si>
  <si>
    <t>…n general d-el Crédito público, núrn. 33Ó2 , por los intereses devengados de los referidos tres capitales__Una certifica Por haberse ausentado de esta corte sin la debida licencia D. Ma ción de 2o3 rs. expedida par la referida contaduría general de d.atri nuel Alzaga, partero del suptemo tribunal de Justicia, ha resuelto bución , núm. 14, procedentes de cinco cédu’is hipotecaras__Otra S, M., en vista de lo que este le ha expuesto, que no pre…</t>
  </si>
  <si>
    <t>…ia i.° de Febrero de 18ig.=Gre¿orio del regimiento de na¡ cargo D. Joseí Osorio , sostenidos por la compa Piquero Argiielles. ñía de cazadores del mismo cuerpo, á las órdenes ríe! teniente D. Ma El Gobierno ha recibido parte del comandante general interino de nuel Di, y 10 miñones de Vitoria y Bilbao al mando del bizarro te este distrito conde del Abisbal, en que con fecha de ayer 4, dente Veniente D. Ploman Echavarría, cuya vanguardia tuvo la gloria de dar llis…</t>
  </si>
  <si>
    <t>…iben que no debemos temer á las bayonetas extrangeras sino al oro que se ha puesto en marcha para corromper álosde 110. Se procedió i la elección de un inverventor entre los Sres. D. Ma incluios, y hacer que estallen conspiraciones, Por otra parte se trata sa nuel Velasco, teniente de infantería de Fernando 7.0, D. Josef Tor lo de que cese ahora esta autorización, y pasados estos nueve días de recilla , capitán del resguardo militar , y D. M…</t>
  </si>
  <si>
    <t>…soldad; » J ■» f O Vicente Sangró* , Manuel Alen !c&gt; facciosos , ai misino tiempo que el «xpre.ado Ampuero Ies salió al tó , Gregorio Morentc y Juan Jiménez. Al seg-in.lo ayudante D. Ma encu nt o , noticiándole la ditcccion en que la verificaban. Con arregio nuel l’eín Espiga, y al v-piun graduado D. Fr.nciaco Lázaro, del ba i las in,trucc¡oru-&gt; dei comandante de I* línea aguardaron en silencio tallón de Sigíienza , que - pesar d.- o e»cab:c…</t>
  </si>
  <si>
    <t>…Riego , Vizmanos , Luque Neira , Benita , Leída, Cid, tal vez contrariasen el deseo de las Cuites, que no es otro que el de Pedralvez, Rey, Valdés ( D. Dionisio ) , Garoz , Gómez (D. Ma salvar ia Nación. Yo apoyo la proposición d:l Sr. Gaiiano con la ca nuel), Sotos, Buey, Alvarez Gutiérrez, Tomas, Iuuriz , Grasés, lidad de que esta próroga se entienda siempre i;u; no ocurra un moti Zulueta, Serrano, González Alonso, Adan.Marau, Atienzr , Va…</t>
  </si>
  <si>
    <t>…y dispondréis se imprima, publique y circule.rrRubricado got como digna de reprensión: lo es en mi concepto de elogie, y ten de la R'al mano.~En palacio á 19 de Marzo de i8rg.=:A D. Ma dría escrúpulo en hacer una fastidiosa relación de los defectos cometi riano tigra. dos en un proceso , que se escribió casi en el mismo tiempo que he ne cesitado yo para leerle no et lo mismo obrar en los momentos críticos Informe dada por ti visitador de la…</t>
  </si>
  <si>
    <t>…lla uno que ni Orden de la plaza del 2 r a] 23 de Abril de '82 7. con mucho se parezca á este robo provisional que en medio de la Gefe de dia el teniente coronel mayor de la Reina D. Ma paz acaban de hacernos. Y j quién sabe si el tiempo nos irá des nuel de Frías. cubriendo otros atentados de esta clase! Pero supuesto que ya la Servicio á palacio la milicia activa y primer batallón de vo guerra, sin haber sido declarada, está empezada, deber…</t>
  </si>
  <si>
    <t>…que su idea es examinar el estado del espíritu público comisión. de la serranía de Ronda, é impedir los desórdenes de que estamos La misma comisión, en vista de las instancias de Doña Ma amenazados por aquella parte de la provincia. nuela Cuervo, madre de un soldado del resguardo militar de Cá Madrid 13 1.te Mayo. diz , y de las viudas de otros dos soldados del mismo resguardo, . Estado mayor del tercer egército de operaciones__ Cuartel muert…</t>
  </si>
  <si>
    <t>…Loeches, se ha señalado para una junta general de acreedores é vincias que os vieron nacer? ¡Queréis despedazar vuestra des interesados á los bienes quedado» por fallecimiento de D. Ma graciada patria por sostener contra vuestros hermanos el capri nuel Muñoz y García , vecino y del qontercio que fue de esta cho de unos cobardes, que ya tienen preparados los barcos en corte, el día 20 de Julio próximo á las nueve de su mañana que han de ocul…</t>
  </si>
  <si>
    <t>…te que este importante cargo sea desempeñado por un propietario Art. 3.0 A todo soldado inutilizado se le abonará en el pue capaz de ello, he venido en nombrar en este concepto á D. Ma blo que eligiere para su residencia el vestuario, pan , prest y uten nuel déla Puente, que en la actualidad lo desempeña como in silio que los reglamentos señalan á los soldados de efectivo servicio. terino con conocimiento, laboriosidad y decidido ztlo. Tend…</t>
  </si>
  <si>
    <t>…entísimo Sr. D. Josef de Imaz , director general en comisión des presentas en el cap. 3.0 del íit. 5.0 de Ja Constitución. (Ga de las Loterías nacionales, y asistiendo asimismo el Sr. D. Ma ceta de ry.) nuel Perca Cabellos, director interino del Gran Libro de Ja deu Decreto de las Cortes mandando que al tiempo de dividirse da pública (durante la ausencia del propietario el Sr. D. Josef ios bienes vinculados se traíga á colación el valor de los q…</t>
  </si>
  <si>
    <t>…m- dispondréis se imprima, publique y circule. = Rubricado de la berg no pasan de la sencilla expresión de una Opinión personal. Real mano. = En Cádiz á 30 de Julio de 18 2 3.2= A D. Ma El otro documento publicado en Ja frontera de Francia, y nuel de la Puente. suscrito por los individuos de la llamada Junta provisional de Y de Real orden lo comunico á V. S. para su inteligencia y Gobierno de España é Indias, es todavía mas chocante, y por cump…</t>
  </si>
  <si>
    <t>…de es Excmo. Sr.: En mi último parte tuve el honor de decir á tos valientes , y r.o teniendo los mas tiempo para su reeembar- V. E. que puesto de acuerdo con el mariscal de campo D. Ma co, se precipitaron en las aguas, abandonando cobardemente los nuel Adame Locho, esperaba su aproximación á retaguardia uniformes y armamento, y se arrojaron al mar. No puedo dar por del enemigo para atacarle en sus posiciones: este valiente gene ahora un det…</t>
  </si>
  <si>
    <t>…monte pío. y dispondréis se imprima, publique y circule.mRubricado de la Al t. 9.0 Se asigna al imprevisto general el sobrante que re Real inano. = En Cádiz á 11 de Agosto de 1823.D. Ma sulte en las cantidades presupuestas para el premio de los billetes nuel de la Puente. del préstamo de 1810 , y da la décima rcembolsable en el Agos De Real orden lo traslado á V. para su inteligencia y efec to próximo del nacional de 18 2 t. tos consiguiente…</t>
  </si>
  <si>
    <t>…DA. Antonia Ramírez y sus dos hermanas. Secretaria del Despacho con el sueldo del secretario , los de los dependientes, los de Doña Francisca Rivas. Doña Justa González , viuda de Don Ma los ex-secretarios, hechas ias bajas de es 88,195 merto Landáburu.1 cala , y los gastos de aquella.. ....... I&lt;432&gt;953 Los hijos de D. Sinforiano Lopcz'Alia. Contaduría mayor de Cuentas. . ................. 1.189,356 La viuda é hijos del Sr. D. Josef Gutiér T…</t>
  </si>
  <si>
    <t>…ciente de sigue á Locumba se cubrió al momento de tropa; el número 4 la correspondencia de Lima, aseguran que Alvarado había llega intentó atacar con toda su fuerza, y mientras el capitán D. Ma do con go hombres, que le habían quedado únicamente de su nuel Sebastian con 40 hombres de su guerrilla impedia por el tan decantada expedición. flanco izquierdo los progresos del enemigo, el capitán D. Julián El 21 de Enero Alvarado con sus 43 hombres se hal…</t>
  </si>
  <si>
    <t>…s' abdjééeito Tbeal rcqira 'la opinión le debilitaba por mo fuerza de su* continuo* saqueos que se Veparten ios Gefes y Ofi mentos, influyendo en gran' parte el Capitán de fragata D. Ma ciales, se ve obligado á crear moneda de cobre y de papel. F,1 re nuel A.breu, Comisionado regio para tratar con los enemigos de sultado de una conducta tan diametralmente opuesta ha sido un acomodamiento: pacífico, quien con sus ideas filantrópicas, cual deb…</t>
  </si>
  <si>
    <t>Ma', S.</t>
  </si>
  <si>
    <t>S. Ma'</t>
  </si>
  <si>
    <t>…s en la tnavnr tranquilidad : por consiguiente debemos concm tdo nuestro rjcrc.iu en aquellos pumos, dan á mtenr que el que la campaña del Peni empezó en - de Abril de este año: U Sr. S. Ma' tin es uno de ios mas vivos agentes de nuestro Go división que .lili tenia S. Martin . es verdad que rw }*t batida. bierno para pvopo-v'muinos armo de todas clases, pues que des</t>
  </si>
  <si>
    <t>Ma, Francisco</t>
  </si>
  <si>
    <t>Francisco Ma</t>
  </si>
  <si>
    <t>…cos secta fanzón por Ja de Asturias: D. Francisco Javier Pérez de Var rios de la legitimidad, por si quisiesen repetir en Buenos-Aires gas , marques de la Merced, por la de Jaén : D. Francisco Ma otra intentona semejante á la que descubrió el gobernador de San teo Marchámalo por la de Guadal a ja va; y D. Pedro Alvartz Juan de Llúa. Gutiérrez por Ja de Granada, contra quienes se está siguien Es t'o-.a que atormenta ver salir del medio de la Francia un…</t>
  </si>
  <si>
    <t>Ma, Josef</t>
  </si>
  <si>
    <t>Josef Ma</t>
  </si>
  <si>
    <t>…tirá para que se vean El Rey lia expedido el Real decreto siguiente: realizadas las esperanzas de las Corres y del Gobierno en un pun ..Atendiendo á las razones que me ha expuesto D. Josef Ma to de tanta importancia; en el concepto de que se llevará irremi ría Calatrava, he venido en nombrarle para que desempeñe en siblemente á efecto la pena de privación-de empleo que las Cor propiedad la secretaría del Despacho de Gracia y Justicia en vez res im…</t>
  </si>
  <si>
    <t>…ante de la del coronel Carrera , y siempre sostenidas por el resto de las de provincia de Lérida , cuyo fausto acontecimiento me apresuro á Landáburu y la caballería, al mando del coronel D. Josef Ma elevarlo á V. S. asina.smo por expreso para su sat-slaecior., y que ría Cueto ■. se apoderó aquel con la mayor brillantez de la plaza del se sirva darle toda la publicidad para ¡a de todos los buenos h.jos arrabal, logrando posesionarse de todas las manzanas…</t>
  </si>
  <si>
    <t>…nto, que Se enlaza, y los malvados se estremecen. serán admitidos hasta el 30 del corriente. Del gran Luis, Fernando es socorrido,' Un encargado de varios papeles pertenecientes á D. Josef Ma El Real cetro Angulema da'á sus manos, riano de Llano perdió en Sevilla, á la salida de SS. MAL para Y los grillos del Rey á sus tiranos. Cádiz, las acciones siguientes del empréstito de 160 millones de EN LA IMPRENTA REAL. . a 4© reales que se expresan: números 30,1…</t>
  </si>
  <si>
    <t>Ma, Juan</t>
  </si>
  <si>
    <t>Juan Ma</t>
  </si>
  <si>
    <t>…causa los sefiores jueces de hecho D. Josef Rtves, Don ticia ; apercibido que pasado sin haberlo verificado , sin mas citarle si Marcos Antonio de Mcnero, D. Gonzalo de Cárdenas, D. Juan Ma emplazarle se continuará y substanciará por su ausencia y rebeldía con nuel Aréjula, D. Juan Antonio López, D. Gaspar Aguilera, D. Luis los estrados. de Mata y Araujo, D. Joaquín ds Vega y Quintana y D. Juan Isidro Por el presente se cita á los que se crean a…</t>
  </si>
  <si>
    <t>…meros tario de Estado y del Despacho; D. Josef María Carvajal, Ca pasos para su futura felicidad. Al encargarme S. M. lo participe pitán general de los cuatro Reinos de Andalucía; D. Juan Ma á V. E. para que lo haga presente á la Regencia, me previene di ría Villavicenció, Capitán general de ia Real Armada; Alarques ga á V. É. que está muy satisfecho del zcío, prudencia y juicio de Talarú, Embajador de S. M. Cma.; eL Sr. Conde de Bou— con que en…</t>
  </si>
  <si>
    <t>Ma, Luis de</t>
  </si>
  <si>
    <t>Luis de Ma</t>
  </si>
  <si>
    <t>…D. Julián de Fuentes, D. Gre ronel Depablo talonea su fuga. n Hoy se lia incorporado ■ ia división el destacamento que proceden gorio Mendivil, D. Joaquín Ruiz, D. Manuel Merino, D. Luis de Ma te de esa corte vinia á ias ■ nir?‘ del coronel de Farneslo Martin. Para ta Araujo y D. Sebastian Andrés, calificaron con la fórmula de absuel perseguir esta canalla es ya ;,ubc-«:u - tanta tropa, y me tomo la libertad de to el impreso titulado: Reflexiones i…</t>
  </si>
  <si>
    <t>Ma, Me-chur</t>
  </si>
  <si>
    <t>Me-chur Ma</t>
  </si>
  <si>
    <t>…dente el Sr. D. Domingo M r;a Ruiz de la Vera , diputado por difinitivo del clero de España , por D. Juan Antonio Llorante , autor la provincia de Granada; para vice-presidente el Sr. D. Me-chur Ma de varias obras. Se hallan en esta ebrita algunas notas de considerable rau, diputado por la de Valencia ; y pata secretario el Sr. D. Santia impoiíancia, como por egemplo , las qu: tratan de la cesación de jugo Muro, que lo es por la de Galicia.” nsdicion co…</t>
  </si>
  <si>
    <t>Ma, Vicente</t>
  </si>
  <si>
    <t>Vicente Ma</t>
  </si>
  <si>
    <t>…teligencia. Madrid Jubrique. D. Josef Rosillo, vecino de este pueblo; Don 15 de Abril de 1823. = El gefe político el conde del Ab¡sva'. prisióbal Rosillo, id.; Andrés Rubio, id. ; D. Vicente Ma teos, natural de Aigatocin. El Excmo. Sr. comandante general conde del Ablsval ha Granada 9 de Abril. manifestado al ayuntamiento constitucional de esta muy heroi El espíritu púbiieo se halla animado de una manera indeci ca villa hallarse sin montura la mitad…</t>
  </si>
  <si>
    <t>Ma.aiel</t>
  </si>
  <si>
    <t>…contra los que provo imprima, publique y circule. =:Rubricado de la ReaL mano.z= can la desobediencia á las leyes en el art. 323 del código penal, En Cádiz á 21 de Julio de i823~A D. Ma.aiel de la Puente. y á la privación del ejercicio de sus funciones. Lo traslado á V. de Real orden para su inteligencia y efec Art. 7.0 Cualquiera individuo de diputación provincial que tos correspondientes. Dios guarde á V. muchos años. Cádiz 2 2 abandone cobarde…</t>
  </si>
  <si>
    <t>Maberly</t>
  </si>
  <si>
    <t>…ña.- Bonapartc hará sin duda un esfuerzo extraordina lliams, M. del P.; Monck , M. del P.; E. Palmer, M. del P.; rio, y obrando con su acostumbrado vigor, esperará hadarse pron el capitán Maberly, M. del P.; Eilice , Al. del P.; Earing , M* to en estado de someter el-país : no se puede dudar que ha entra del P.; Honcywood , AI. del P., Whitbread , AI. del P.; J. do con fuerzas considerables, y no será arriesgado calcularías en Campbell, AL del I*. ; c…</t>
  </si>
  <si>
    <t>Mac-crohon, Juan</t>
  </si>
  <si>
    <t>Juan Mac-crohon</t>
  </si>
  <si>
    <t>…tencia pasiva y í sin atreverse á le representación que por su orden son como siguen : vantar los ojos, si "na religión pura no viniese á revelar al hombre Reprnení tciun, Señor : D. Juan Mac-crohon, contratóla para pro abatido toda la dignidad de su ser. visión de pjn y pienso de los ejércitos de losdistritos 5.' y 6. , á ”. M. &gt;1 Es pues evidente qu* de estos dos sistemas , uno de les cuales exci con el debido respeto expone : Que siendo incompatible c…</t>
  </si>
  <si>
    <t>Mac-crosin, Juan</t>
  </si>
  <si>
    <t>Juan Mac-crosin</t>
  </si>
  <si>
    <t>…n prevención de que para la mejor inteligencia de est* bres que deben someterse, que se les gobernará según sus intereses ; pero asunto se insertan á continuación la exposición de D. Juan Mac-crosin darles cuenta; de manera que ¡a especie humana podría creerse úni hon, haciendo cesión de su contraía; y' las condiciones de est3 y dicha camente destinada á una existencia pasiva y í sin atreverse á le representación que por su orden son como siguen : vantar…</t>
  </si>
  <si>
    <t>Macana, Pedro</t>
  </si>
  <si>
    <t>Pedro Macana</t>
  </si>
  <si>
    <t>…n segunda de Hacienda se mandó pasar un expediente re » Liberales: el cadalso y la ignominia os aguarda si no vencéis ó morís mitido por el Sr. secretario de este ramo, sobre si á D. Pedro Macana?., en el campo de batalla. Españoles de todas opiniones, ¿podréis soportar la minibiuj que fue del tribunal de cuentas en 1808 , se le debía con WW idea sola de dominación extranjera? ¿No veis á los ultras franceses devo como prisionero el tiempo que habia es…</t>
  </si>
  <si>
    <t>Maceda, Juan</t>
  </si>
  <si>
    <t>Juan Maceda</t>
  </si>
  <si>
    <t>…de su cuerpo, y el subteniente m El infatigable teniente coronel D. Josef Viliacampa me de Pontevedra D. Manuel Ventura Scquenos; y los 15 hombres acompaña en esta ¡ornada con el capitán D. Juan Maceda , y los del resguardo á las órdenes de D. Clemente basar rat que car .ja señores oficiales de los tres cuerpos de Aragón , Pontevedra y sen mas sobre la izquierda á reconocer el flanco de este lado de ¡a Burgos , de que se corírpone esta columna , disputan á…</t>
  </si>
  <si>
    <t>Macedo, Manuel de</t>
  </si>
  <si>
    <t>Manuel de Macedo</t>
  </si>
  <si>
    <t>…necesidad de apelar i las armas. Solamente cuando Lisboa 1 g de Fsh ero. existe semejante necesidad , y en el indicado caso de la defensa propia, En la sesión ee Cortes del 1 2 el diputado Manuel de Macedo pi puede cohonestar una nación el mezclarse en los negocios interiores de dió al fir. presi "ente que permitiera se alterase el orden de los trabajos otre. Sin e.ta limitación seria U independencia de las naciones un nom del Congreso para hacer una proposició…</t>
  </si>
  <si>
    <t>Machado</t>
  </si>
  <si>
    <t>…V. A. S. admitir los debidos homenages de respeto 130—El capitán de Marina Sirera, agregado á ia legación, y gratitud de sus ilustres comitentes, y sus constantes deseos de 30—Ei Sr. Machado, cónsul generar “que ba sido en París, que el cielo bendiga su» desvelos hasta conseguir recobre nues 1300—El conde de Totano 2600—E&gt; almirante Jabat, mi tro amado Soberano los derechos que por divina ordenación nistro en Lóndres, 5200—Total 13,780 francos. l…</t>
  </si>
  <si>
    <t>Machado, Justo</t>
  </si>
  <si>
    <t>Justo Machado</t>
  </si>
  <si>
    <t>…que temer, Mr. Denntan se presentó después, y dijo : Vengo á propo D. Antanio Caballero, id. - .................. . S ner una resolución para reprobar el ataque atroz cometido con D. Justo Machado, id, . ............................ 5° tra España, no solo por la Francia sino también por todos los des. El teniente coronel Sierra............................ 5 potas ligados en la Santa Alianza. Tengo mucha satisfacción en El teniente coronel Cueto........…</t>
  </si>
  <si>
    <t>Machado, Serpa</t>
  </si>
  <si>
    <t>Serpa Machado</t>
  </si>
  <si>
    <t>…el Sr. Ser gue este periodista ; bastará, para conocerlo saber que publica unos pa Machado habló en los términos siguientes: pomposos versos á la entrada del duque de Angulema. Ei Sr. Serpa Machado: La serenidad de mi espíritu, nacida He aqui un rasgo moral de este nuevo campeón de la causa de la tranquilidad de mi conciencia, no me ha abandonado nun del altar y del trono. »Parécenos qué no faltarán infidelidades á ca en los lances arriesgados, y espero…</t>
  </si>
  <si>
    <t>…hasta el' ¡jo de M ¡y*. El El Sr. Derramado apoyé) la Indicación, y lo mismo hicieron, brigadier Llobera había tenido una acción contra un nú miro su varios Sres. diputados, y el'Sr. Serpa Machado habló en los tér perior de enemigos, y le, causo mucha perdida; la nuestra fus minos siguientes: de unos 50 á 60 hombres entre muertos y heridos__ De Mal ¡ro Hoy es el día en que deben unirse todos los votos, y desapa el 16 avisaban de oficio que una dirtson…</t>
  </si>
  <si>
    <t>Machín, Gregorio</t>
  </si>
  <si>
    <t>Gregorio Machín</t>
  </si>
  <si>
    <t>…para entre la Rusia y estas diversas tr.bus, todas tan opuestas cutre cuando ocurra citarles. sí por sus miras ¿ intereses políticos. No serla tampoco mas pro D. Antonio Bibcto. __D. Gregorio Machín.—D- Ga bable que un ejercito regular, arrastrando á su retaguardia enjam briel Fernandez.__D. Felipe Coll____D. Benito Proti----- Don bres de cosacos y calmucos indisciplinados , pueda abrirse paso á Joscf de Camps, v.va fuerza por medio de tantas naciones en…</t>
  </si>
  <si>
    <t>Macia, Javier</t>
  </si>
  <si>
    <t>Javier Macia</t>
  </si>
  <si>
    <t>…tro. triotismo con que se presentaron y estuvieron siempre á mi lado el Segunda división , al mando del mariscal de campo D. Josef Manso, coronel retirado dsl cuerpo de artillería D. Javier Macia, el teniente compuesta de! destacamento del Inmemorial del Rey, segundo batallón coronel vivo de la misma arma D. Francisco Javier baravia, el co de Cantabria , ídem de la Princesa, regimiento de infantería de Málaga, mandante de voluntarios nacionales D. Fra…</t>
  </si>
  <si>
    <t>Macour</t>
  </si>
  <si>
    <t>…as Lorrain , y no dan mucha abraz3 de úna vez llanuras, vades, y a cadena inmensa de los luz sobre el estado de las cosas en Méjico. Se Sabia abierto la Pirineos, le b:zo notar el caballero Macour los preparativos que sesión del congreso, y era digno de atención entre otros ob habían hecho para recibirla los habitantes de las numerosos ca jetos sometidos á su discusión un biil para negociar en país ex seríos que cubren Las orillas del Gave, quienes sie…</t>
  </si>
  <si>
    <t>Madeira</t>
  </si>
  <si>
    <t>…de nuestro ministro obtendrá ha sabido su augusta instalación , y en prueba del amor y respe la embijada de París. to que constantemente ha profesado á su legítimo Soberano el El general Madeira sigue ocupando á Bahía ; pero el regi Sr. D. Fernando vir, quisiera ser Ja primera que prestase su miento del Emperador salió de aquí para unirse al cuerpo que obediencia a V. A. S., deseándola al mismo tiempo ia prospe forma el bloqueo, y se espera que luego…</t>
  </si>
  <si>
    <t>…00 da los géneros portugueses, está en to obstante creemos que estos 3 por 100 serán tan perdidos como do suvigor. si se echaran en el iámesis por debajo del puente de Londres. El general Madeira solo ocupa una parte de Bahía: ios arra Este dinero se presta á un cuerpo que probablemente será disuel bales están en poder de los brasileños. to , y dispersado mucho tiempo antes que las remesas puedan lle El rejimiento del Emperador acaba de salir de aquí…</t>
  </si>
  <si>
    <t>…r la noticia da la rendición pio del carácter francés {Leo du Midi). de esta plaza , única fortaleza que queda á los portugués en el Ptrfiñan 20 de Julio. Brasil. El 38 de Mayo el general Madeira publicó una proclama Han sido arrestadas unas 50 mugeies, cuyes maridos se ha que indica con claridad la situación crítioa en que se halla. llan en los fuertes de !a Seu , evitando de este modo cuanto es Idem 16- posible las comunicaciones é imeiigencFs secre…</t>
  </si>
  <si>
    <t>…ue cor. infatigable zelo ha nores sobre la evacuación de Bahía de un modo bien diferente lomado y sigue tomando para conseguir el mas pTonlo rescate del que se habla publicado. El general Madeira no ha capitulado y suspirada libertad de S. M., y para promover la felicidad es con nadie, y se embarcó el t de Julio con la intención de atra piritual y temporal de toda esta católica y generosa Nación, vesar, como pudiera, la escuadra del almirante Cochrane…</t>
  </si>
  <si>
    <t>…c.oncs por Opinión, siendo mandados por un oficial tan adicto á la libertad de su pais torturas, cadalsos ni proscripciones. Siguiendo tranquilamente como todos saben que lo es el general Madeira, hubiera tenido la reforma de las instituciones, tuvieron á menos emplear otras la mayor influencia en Ja suerte futura de Portugal. El haberlos armas que la razcm y la .justicia contra los particulares. Si puede puesto bajo el Gobierno del emperador Pedro, e…</t>
  </si>
  <si>
    <t>Madeiva</t>
  </si>
  <si>
    <t>…o llevaron al suplicio. Se nos ha dicho nario traian la fecha del 2 1 de Junio, y entonces había ya ma constantemente que las revoluciones de Portugal, de Ñapóles, de nifestado el general Madeiva su determinación de volver á Euro Lombardía y de Toscana nacieron de la de España. Sea asi en ho pa con sus tropas, puesto que en América no podían servir á ra buena ; á lómenos conservaron las facciones de su madre, y en Portugal. Constaba este ejército de u…</t>
  </si>
  <si>
    <t>Madeixa, Luis</t>
  </si>
  <si>
    <t>Luis Madeixa</t>
  </si>
  <si>
    <t>…y conforme á la ley de 19 El 13 entró también la fragata Diana, de 54 cañones, con de Junio, la celebración del tratado djtirytiyq de paz y amistadduciendo á su bordo al Brigadier general Luis Madeixa y su es entre S, M. Católica &gt;' los Estados del continente americano., átado mayor. • que la dicha ley se refiere. NOTICIAS DE ESPAÑA. .Art. 9.0 En el caso de renovarse las hostilidades , estas 110 tendrán lugar ni cesarán Tas relaciones de comercio, sino cua…</t>
  </si>
  <si>
    <t>Madera</t>
  </si>
  <si>
    <t>…ión : Los pueblos ia Din jo. Se verificó esta noche la salida de Santana, y queda-de reclamaban en 1814 , y tuvo tiempo de meditarla durante el intervalo gobernador de la plaza el Sr. Madera, tenityjW de rey. A las once ha sa que transcurrió desde aquel año hasta 1810 : su poder, que no tenia lido un tren de artillería al mando del comandante de dicho.cuerpo si entonces límites, le daba una completa libertad-como legislador. teniente coronel Barv…</t>
  </si>
  <si>
    <t>Madera, Antonio</t>
  </si>
  <si>
    <t>Antonio Madera</t>
  </si>
  <si>
    <t>…aban ya las justi el bizarro batalirín de la milicia activa de Toledo , con la fuerza de 400 cias temiendo sus amenazas. Estos bandidos no cometieron los robos hombres, cuyo digno coronel D. Antonio Madera en virtud de mis que en la otra invasión, porque fueron contenidos por los respetables avisos aceleró la marcha cuanto dable le ha sido, y á su arribo inme individuos que componían la comisión del ayuntamiento, los cualce diatamente ocupó el fuerte de las Des…</t>
  </si>
  <si>
    <t>Madraza, Clemente</t>
  </si>
  <si>
    <t>Clemente Madraza</t>
  </si>
  <si>
    <t>…ndo D. Josef Félix; distinguiéndose también en una carga y en la comunicación de mis órdenes mi ayudante el te para inteligencia y cumplimiento de la sala. Madrid n de Agos niente coronel D. Clemente Madraza, y con singularidad el to de i8í3 =Josef María de la Torre. teniente coronel D. Manuel Bretón, gobernador de Manresa, Deseando la Regencia del Reino manifestar lo satisfactorio que habiéndome pedido por gracia asistir á ¡a acción, ha car gado con mis ordenanz…</t>
  </si>
  <si>
    <t>Madrazo, León Josef</t>
  </si>
  <si>
    <t>León Josef Madrazo</t>
  </si>
  <si>
    <t>…reunirse á la Esperanza en la Margarita. nados por su Ayuntamiento de Búrgos D. Diego Escandon, In El buque Carlos, de 18 cañones, llegó el 18 de Agosto á la tendente Corregidor; D. León Josef Madrazo y D. Santiago de Guaira, procedente dé Inglaterra con un cargamento por cuen la Cantera, Regidores de él; y el primero dijo: ta del gobierno de Colombia. ,,Señor: La ciudad de Búrgos, que en todas épocas ha dado a La fragata Constitución, procedente de Puerto-Cabello, con sus august…</t>
  </si>
  <si>
    <t>Madrid, Francesco Julián de</t>
  </si>
  <si>
    <t>Francesco Julián de Madrid</t>
  </si>
  <si>
    <t>…responsabilidad.. Aprol'ado. La comisión de Casos de responsabilidad presento su dicta El Sr. secretario «le Estado remitió la instancia hecha poro! car men sobre la exposición de D. Francesco Julián de Madrid. Se denal I). Dionisio BarJai&lt; V Azirt v los auJitores de la Rot.a mando .un.lar sobre ].; mesa. de Roma D. Mantel Fernandez Campo v D. -Francisco Marco. 1 lab;end:&gt; .murciado el Sr. presidente que se procedía .i la dirijida á manifestar que las prebendas qi¡…</t>
  </si>
  <si>
    <t>Madrid, Francisco Julián</t>
  </si>
  <si>
    <t>Francisco Julián Madrid</t>
  </si>
  <si>
    <t>…l caso de la 2.a regla debiese pasar el Se mandó pasar á la comisión de Casos de responsabilidad usufructo á otra persona antes de consolidarse con la propiedad, una exposición de D. Francisco Julián Madrid , pidiendo se exi se verificará su consolidación, y se guardará lo prevenido para Jas ja la responsabilidad al secretario de causas y al provisor del obis vinculaciones y mayorazgos. po de Alcalá la Real, al gobernador eclesiástico de Guadix , á Art. 3.0 Si J…</t>
  </si>
  <si>
    <t>Madrid, La de</t>
  </si>
  <si>
    <t>La de Madrid</t>
  </si>
  <si>
    <t>…pero con el título de Gaceta es disintió solo el último de dichos jueces, que estuvo por la negativa. pañola. • _ El Sr. fiscal de imprenta denunció al Sr. alcalde constitucional Don La de Madrid se continuará publicando en esta capital con su ac Miguel García cíe 1» Madrid el suplemento al número 9 del Procura- tual título; pera solamente en los martes, jueves y sábados de la se dor general del Rey, por contener proposiciones sediciosas en primer man…</t>
  </si>
  <si>
    <t>Madrid, Tomas Sánchez de</t>
  </si>
  <si>
    <t>Tomas Sánchez de Madrid</t>
  </si>
  <si>
    <t>…guilera, D. Luis los estrados. de Mata y Araujo, D. Joaquín ds Vega y Quintana y D. Juan Isidro Por el presente se cita á los que se crean acreedores á la testamen Perez. taría de D. Tomas Sánchez de Madrid, marques que fue de Casa-MaÁ-id , el que falleció en Cádiz el año de 1786 , para que acudan por sí TRIBUNALES. ó por sus apoderados con poder bastante , acreditando competentemen Los que se crean con derecho á la sucesión de todas ó algunas te sus créditos en…</t>
  </si>
  <si>
    <t>Maestre, Josef</t>
  </si>
  <si>
    <t>Josef Maestre</t>
  </si>
  <si>
    <t>…cosas, que por ahora, embarcaciones menores pudo reunir adonde estaban fondeadas y hasta nueva resolución, se suspenda la elección de Alcaldes las presas con el Teniente de navio D. Josef Maestre, á quien ordinarios y demás capitulares y oficiales de los Ayuntamientos encargó el mando de la María Francisca, y al Teniente de fra gata D. Antonio Pallera, que tomó el de la Carabobo; y yendo de los pueblos del reino. él mismo en persona, consiguió, despué…</t>
  </si>
  <si>
    <t>Magalhaes, Pmto</t>
  </si>
  <si>
    <t>Pmto Magalhaes</t>
  </si>
  <si>
    <t>…tanto creo que debe aprobarse el artículo. traordinarias de Portugal del dia 31 de Mayo. Declarado el punto suficientemente discutido se aprobó el » Sesión del 31__presidencia del Sr. Pmto Magalhaes. A las artículo por 44 votos contra 41. nueve y media dijo el presidente que continuaba la sesión; y le¡Se suspendió esta discusión para dar cuenta de una exposi da el acta de la anterior se aprobó después de algunas ligeras re ción del Sr. diputado D Manuel…</t>
  </si>
  <si>
    <t>Magallanes, Pinto de</t>
  </si>
  <si>
    <t>Pinto de Magallanes</t>
  </si>
  <si>
    <t>…¿ , que es á la letra ticia i.° de Junio da 1823.=Juan de los Reyes Amado. í cano sigue: Otro oficio del ayuntamiento constitucional, en que da cuen Seuo'i del 2__ Presidencia del Sr. Pinto de Magallanes. ta ele las diferentes providencias que ha tomado relativas al so A las diez dijo el Sr. presidente que continuaba la sesión , y siego público: da igualmente cuenta del resultado de la diputa leída el acta de la anterior por el Sr. secretario Queiroga, quedó…</t>
  </si>
  <si>
    <t>Magarola, Pedro</t>
  </si>
  <si>
    <t>Pedro Magarola</t>
  </si>
  <si>
    <t>…attualeSi Sueldo anual rs. va. Capitán, coronel. . . Coronel, primer comandante. 24000 D. Manuel Alaria Lergeant. . D. Manuel Loustau. D. Juan Martin Agmlar. D. Josef xMaria Mena. D. Pedro Magarola. Tenientes coroneles, primeros comandantesD. Josef Ramón Solís. ^ Primeros tenientes. . supernumerarios. ...................................................IX Pedro Morell. 16000D. Josef Maria Rcat. D. Josef Bueréns. . D Josef María Craywinckel. D. Juan Corte…</t>
  </si>
  <si>
    <t>Magdonal, James</t>
  </si>
  <si>
    <t>James Magdonal</t>
  </si>
  <si>
    <t>…do que crea mas conveniente, sin excusarles de la preferen 1#*» y por los portugueses contra el Rey de Francia. cia en los casos de mayores riesgos, qu* desean arrostrar con fa El Sr. James Magdonal declamó todavía con mas fervor firmeza que les caracteriza y tienen acreditada: si esta exposición contra Mr. Canning, contra el Gobierno francés y contra la mereciere la aceptación de V. E. que se prometen, se lisonjea Rusia, la cual, dijo, va á reunir sus e…</t>
  </si>
  <si>
    <t>MagHitamos</t>
  </si>
  <si>
    <t>…por su barbo todas las costas del El coronel Monck de Ucer marchó í Ja cabeza de un;» de proceso incoado y seguido muchos meses. estas columnas, y al frente de Ja otra el teniente coronel MagHitamos bien persuadidos de que los tribunales deben riguro nan. Estos esfuerzos fueron coronados con un éxito feliz. For samente atenerse á la letra de la ley. Sin embargo, el espíritu no zadas aquí las tropas cóqstitucionales, intentaron en vano hacez puede mírica…</t>
  </si>
  <si>
    <t>Mailagarai, Josef Apota</t>
  </si>
  <si>
    <t>Josef Apota Mailagarai</t>
  </si>
  <si>
    <t>…,Cuando se haya elusufructo de las bienes á personas ca Las Cortes quedaron enteradas de un oSclo del Sr. diputado paces de adquirirlos y la propiedad á manos muertas , si después D. Josef Apota Mailagarai, en que las manifestaba la imposi del actual usufructuario estuviese nombrado otro ú otros adquiri bilidad de presentarse á desempeñar su encareo en esta ciudad de eran por mitad la plena propiedad el actual poseedor y su in Sevilla por su falta de salud. med…</t>
  </si>
  <si>
    <t>Mainas, Obispo de</t>
  </si>
  <si>
    <t>Obispo de Mainas</t>
  </si>
  <si>
    <t>…ádiz se tomaba por asalto, se vería dego con la mayor pompa y solemnidad, habiendo oficiado de ponti llado y confundido entre la multitud*, y entonces se resolvió á fical el limo. Sr. Obispo de Mainas, y asistido á este acto el vivir y fugarse, proponiendo que se hiciese 'una protesta célebre Exento. Ayuntamiento y varios Señores Generales y personas de contra las bayonetas francesas; pero nadie quiso prestarse á fir- distinción. Concluida esta ceremonia,…</t>
  </si>
  <si>
    <t>Maiquina</t>
  </si>
  <si>
    <t>…nos en masa han re das por V. E. á la columna de mi mando , y aunque no lo verificaron presentado vigorosamente al Gobierno contra la permanencia en Fran los 200 hombres de la del comandante Maiquina, salí el 17 á las 5 de cia de tropas extrangeras , especialmente suizot. Se dice que los cinco la mañana con objeto de hacer una batida sobre el Cap del Plá , por departamentos que forman la antigua Bretaña van á temar una parta donde según noticias rodaban l…</t>
  </si>
  <si>
    <t>Maitland</t>
  </si>
  <si>
    <t>…as de una guerra de exterminio. Es pues notorio, según la radicalmente y sin sacudimientos las instituciones que se oponían al conducta que se ha observado en lord Strangford y en lord Maitland, desarrollo de nuestra industria. gobernador de las islas Jónicas, que la Inglaterra se oponía coa todo tNGLATBXa^. su influjo y poder á una intervención armada de la Rusia, y que de acuerdo con el Austria se había comprometido con la Puesta á sostener LÓndrt…</t>
  </si>
  <si>
    <t>Malat, Juan</t>
  </si>
  <si>
    <t>Juan Malat</t>
  </si>
  <si>
    <t>…eseos del ayuntamiento de León, y con estas medi de su ayuntamiento, en unión del comandante de armas el bri das y el fruto que se puede sacar de dar fomento y sostener por gadier D. Juan Malat, conserva el mejor orden, sostenido por todos medio* á ios predicadores evangélicos en sus pláticas y tu zelo y vigilancia, y por una partida ó compañía provisional misiones, se promete ver restablecida dentro de poco la verda que inmediatamente formó de mili…</t>
  </si>
  <si>
    <t>Maldonado, Jacobo</t>
  </si>
  <si>
    <t>Jacobo Maldonado</t>
  </si>
  <si>
    <t>…tes días. de antemano , en vista deque dicho Losada dirigía la guerrilla, al man Todo lo referido sin necesidad de libro alguno , de cuyol método y do del alférez de mi regimiento D. Jacobo Maldonado, y que el ca buen resultado el público se ha hecho cargo en diferentes ocasiones. pitán D. Josef Fonseca me sostenía con el resto de la fuerza de mi En la calle de la Concepción Getónitr.a , esquina de Barrio Nuevo, partida, y que el capitán del regimiento de…</t>
  </si>
  <si>
    <t>Maldonado, Manuel Velazquez</t>
  </si>
  <si>
    <t>Manuel Velazquez Maldonado</t>
  </si>
  <si>
    <t>…resase á esta. Fl valor, ha salido herido en las inmediaciones de Brihuega, en ambas piernas, disciplina y sufrimiento de los individuos que han estado á mi cargo el c-ibo primero D. Manuel Velazquez Maldonado , y contusos en excede á toda ponderación, y solo de hombres libres pudiera txieitss Caspueftas los milicianos de la cuarta del segundo D. Vicente García y esperarse tanto sacrificio y tanta constancia. Madrid 3 dé Febrero de y D. Jos-f Blanco , y el agregado…</t>
  </si>
  <si>
    <t>Maldonado, Secretario de Antonio</t>
  </si>
  <si>
    <t>Secretario de Antonio Maldonado</t>
  </si>
  <si>
    <t>…o, Canónigo .= parte que le toca. Dios guarde á V. E. muchos años. Córdoba 26 Universidad , el Doctor D. Cristóbal Govantes. El Doctor Don de Octubre de i8íg.c=Victor Saez.=Excmo. Sr. Secretario de Antonio Maldonado.” Estado y del Despacho de..... „Señor: Los Gefes, Oficiales, Sargentos, Cabos y soldados Por el Ministerio de la Guerra se ha e.vfcdftlo la circular si del regimiento provincial de Compostela , llenos de inexplicable uozo por hallarse V. M. en plena libertad…</t>
  </si>
  <si>
    <t>Malitor</t>
  </si>
  <si>
    <t>…s congratulamos con todos los Se dice que ayer debían llegar á Antequera franceses buenos españoles al ver ahora'lo que siempre hemos visto: es con alguna artillería del mando del general Malitor, y también decir; que entre nuestra Regencia y el Príncipe generalísimo debería llegar mafiana á Ronda la división de Lauriston con reina la buena inteligencia y cordial armonía que tan ruin y ar otras tropas realistas: todos con dirección ¿ Málaga. ( Extract…</t>
  </si>
  <si>
    <t>Mallen, Josef</t>
  </si>
  <si>
    <t>Josef Mallen</t>
  </si>
  <si>
    <t>…o do el primero de granaderos entre los de su cuerpo, y el según- Gutiérrez, D. Esteban Yurqueita y D. Antonio Avita. do con los del destacamento del suyo 3.0 de ídem. Subteniente D. Josef Mallen : soldado D. La conducta de ios comandantes de columna fue cual debía tritio Sanaobal. esperarse de oficiales distinguidos, y digna del mayor elogio !a Subinspeccion de infantería. Teniente D. Juan Basiché. del capitán de E. M. D. Josef Andrés , como se ha in…</t>
  </si>
  <si>
    <t>Maller</t>
  </si>
  <si>
    <t>…e poderse servir de su artillería: Lafarque y al de igual clase Dresklust que ha sido herido. En el «ll general aprovechó el impaciente ardor de los cazadores para* 1de húsares al coronel Maller por la rapidez con que sostuvo hacerles escalar la cabeza del puente. Apenas marcharon estos i •I ataque de ios cazadores, al capitán Ladoubert, al ayudante (laso dé carga, el enemigo evacuó el reducto y levantó el puen mayor Pétin, al subteniente Lefer, al a…</t>
  </si>
  <si>
    <t>Mallon, Francisco</t>
  </si>
  <si>
    <t>Francisco Mallon</t>
  </si>
  <si>
    <t>…ante, tienen declaradas Jas penas que corresponden á de D. Manuel Trinidad Moreno, acerca de la causa secunda por los desertores y encubridores: lo que se trata ahora es de que si D. Francisco Mallon contra D. Josef María Campo; y otra de se desea que la Nación tenga ioo9 hombres los tenga en reali un miliciano de caballería de Toledo, sobre ¡a causa seguida á va dad; para que esto se verifique no hay otro medio que ci que se rios individuos de la gavilla…</t>
  </si>
  <si>
    <t>Mam</t>
  </si>
  <si>
    <t>…e se consuele coa ra, Pral, Bjipes, Septien, Besana, Tejeiro , Montesinos, Bertrán ds !a idea de que si se realiza el caso de que el egército francés llegue has Lis, Neira, Gómez (D. Mam. el) , Garoz, Paterna, Alvarez Gutiér ta el Ebro, podria muy bien suceder que se viese tremolar Ja bandeta rez, Abreu, Serrano, Alonso, Adán, Varela , Suarez , Jener, Oli- española en las orillas del Garona. ¡Qué trastorno entonces ! ¡Qué gri ver. Ruiz de la…</t>
  </si>
  <si>
    <t>…ir i Ir. ion ¡es de Sesión dtl din 19 de junio. rechos que le son consiguientes, p «gando c&gt;s esta Leída y aprobada el acta déla anterior, las Cor blecidos; y el segundo, para que D. Mam:; 1 Perez tes quedaron enteradas de dos oficios del Gobierno, use del derecho que le asista en los t: ibón ales de dirijidos el primero por el Sr. secretario de Ja Go Justicia , acerca de la pretensión de que se lleve á bernación de la Península, participando…</t>
  </si>
  <si>
    <t>Man, Joaquín Manrique y</t>
  </si>
  <si>
    <t>Joaquín Manrique y Man</t>
  </si>
  <si>
    <t>…s para nueva , D. Antonio Puigblanch, D: Juan Isidoro Perez , D. Isidoro d:stru:r ia libertad con la fuerza. Una nación poco numerosa, pobre y de Hoyos , D. Nicolás Cano de Luqui, D. Joaquín Manrique y Man rústica fue la primera que dió á ia Europa un egemplo asombroso de rique , D. Francisco Travesedo y D. Juan Pablo Pascual. lo que puede en ios hombres este prestigio de la libertad, que parece Habida la conferencia, s« declaró no haber lugar, habiendo disen q…</t>
  </si>
  <si>
    <t>Mañana, To</t>
  </si>
  <si>
    <t>To Mañana</t>
  </si>
  <si>
    <t>…os expresados batallones formados en la alameda interior Estado mayor. El primer ayudante general D. Josef Azpi- de la ciudad. roz , que lo es de la división ; el segundo ayudante general D. To Mañana á las seis de ella ha dispuesto el Excmo. Sr. general mas Yarto; los adictos D. Joaquín Fernandez y D. Cayetano en gefe del ejército de reserva revistar el tercer regimiento de ar aireñas. tillería , á cuyo efecto se hallará formado á dicha hora en ia Ala Pri…</t>
  </si>
  <si>
    <t>Mancebo, Juan</t>
  </si>
  <si>
    <t>Juan Mancebo</t>
  </si>
  <si>
    <t>…bidad, parte de ellos cuasi mola libertad de la Nación, son motivos bastantes para que uniéndoos ribundos , y por sus contestes declaraciones resulta, que el 1 ^á los comisionados D. Juan Mancebo y D. Antonio Keyser, del anterior á la media noche ardió cuasi todo el palacio de losque marchan á invitar á los que aun tengan virtudes y honradez, vireyes del Perú: que Torre-Tagle y su familia salieron precivengáis á esta plaza, para que aumentando las filas de los cuerpos pi…</t>
  </si>
  <si>
    <t>Mancha, Francisco</t>
  </si>
  <si>
    <t>Francisco Mancha</t>
  </si>
  <si>
    <t>…a en izquierda del Segre, dispuse que al primer batallón de Astúr/as, al su monstruosa empresa? Si se fian en que las circunstancias de! día son mando de su teniente coronel mayor D. Francisco Mancha, marchan diferentes, se engañan en el Ibndo de la cuestión, pues el español tiene al amanecer de ayer con dirección á Almatret, pueblo donde pernoc el noble ¿ invariable orgullo de no poder sufrir que los extrangeros le taban la noche anterior, según avisos,…</t>
  </si>
  <si>
    <t>Mangiron, Inocencio</t>
  </si>
  <si>
    <t>Inocencio Mangiron</t>
  </si>
  <si>
    <t>…an con iluminaciones sus derrotas avanzados e! 1 ° del actual , y el soldado del escuadrón de volun en los pueblos mismos que han presenciado sus descalabros, nos tarios de Madrid D. Inocencio Mangiron , que caro en poder de bastarían el empréstito y el remplazo para desmentir las ventajas que las tropas francesas del mando de V. E. el 27 dei mes anterior. tanto ponderan sus poéticos boletines. Hasta ahora siempre que Espero que V. E. si no halla inconvenie…</t>
  </si>
  <si>
    <t>Manglano</t>
  </si>
  <si>
    <t>…iles, fue tomado, y dispersada la fuerza que le defendia por la clase» principiando los segundos ayudantes i gozar la de últimos te compañía ds cazadores de Logroño al mando de su capitán Manglano, nientes. Art. 6.° La entrada en esta clase de cuerpos facultativos mi arrollando en seguida las guerrillas destacadas de la altura que la fac litares será por oposición rigurosa, ascendiéndose en ellos gradualmen ción ocupaba , hasta que una brillante carga…</t>
  </si>
  <si>
    <t>Manos</t>
  </si>
  <si>
    <t>…comandante de otra manera que dándoles las mas expresivas gracias, como he preve militar de Bilbao, gefe de la tercera división , íc persigue, haciendo nido al gefe ds la división D. Manos i Gurrea lo haga en mi nombre; lo mismo el coronel de la milicia activa de Avila- por- la parte de Da- y aunque todos se han conducido con el ardor patrio y valentía que rango. Se observa mas puntualidad que nunca en dar los avisos y con caracteriza á los hom…</t>
  </si>
  <si>
    <t>Manresa, Preboste de</t>
  </si>
  <si>
    <t>Preboste de Manresa</t>
  </si>
  <si>
    <t>…rivar á muchos emigrados de la Cataluña baja se restituyeron i su patria hace pueblos y corporaciones, que igualmente han felicitado, . de poco, y en estos' últimos dias partió el Sr. Preboste de Manresa, la satisfacion de que se publiquen sus nombres,, ya que abundan, eclesiástico que habiendo sido proscrito, y puesta á precio su en los mismos sentimientos que los que se han visto en las fe cabeza por algunos furiosos revolucionarios, halló entre noso licita…</t>
  </si>
  <si>
    <t>Manri, Joaquín</t>
  </si>
  <si>
    <t>Joaquín Manri</t>
  </si>
  <si>
    <t>…ado, D. Bernardo Asenjo, 30 hombres.” D. Francisco Javier Barra , D. Joaquín Huerta Cevallos, D. Juan Isidoro Ministerio de Guerra. Pérez, D. Andrés Alcon, D. Amonio del Alcázar , D. Joaquín Manri El Rey se ha servido mandar que el regimiento número 37 de infan que y Manrique. tería ríe linea, que tiene el nombre de Imperial Alejandro, tome desde Habida la conferencia se decidió por unanimidad « haber lugar á la csU fecha el de la Union. De Real orden lo comu…</t>
  </si>
  <si>
    <t>Manrique, Joaquín</t>
  </si>
  <si>
    <t>Joaquín Manrique</t>
  </si>
  <si>
    <t>…l D. Valentín Ortigosa , D. Marcos Antonio Mcnczo, D. Cayetano Ro aro ultimo con destino á cruzar en aquellas aguas, fondeó en el lirismo mero, D. Nicolás Alcrsz», D. Juan Luqui:, D. Joaquín Manrique , Don puerto ei 14 dei siguiente mes; y enterado su comandante el capúan de Juan Fernandez Casariego, D. Valentín Recio y D. Juan Castel. fiaeara D. Manuel de Cañas de la tranquilidad que gozaba la isla, y suer Habida la conferencia, se decidió por mayoría »h…</t>
  </si>
  <si>
    <t>Manrique, Joaquín Manrique y</t>
  </si>
  <si>
    <t>Joaquín Manrique y Manrique</t>
  </si>
  <si>
    <t>…as é incitadoras á la desobediencia en cíe jflag. primer grado. En su virtud se reunió el jurado, compuesto de tos s&gt;ííoEl Gobierno ia recibido el parte siguiente. res siguientes: D. Joaquín Manrique y Manrique , D. Domingo í&gt;rF! segundo comandante general del quinto distrito militar , con nandez Angulo , D. Zoilo Gómez Casero, D. Bernardo Asenjo, Don íecla de 9 del actual, dice entre otras cosas al Excmo. Sr. secretario Juan Isidoro Persz, D. Cayetano Romero, D. Ju…</t>
  </si>
  <si>
    <t>…flanquearlos sufriendo un fuego terrible, me Ruiz Abreu, D. Manuel González del Campo, D. Luis de Mata se les persiguió vivamente, y solo faltó media hora de dia para que Atauio, D. Joaquín Manrique y Manrique, D. Andrés Navarro. lodos hubiesen sido prisioneros; pero se ocultaron en las asperezas de . Habida la conferencia se decidió por unanimidad haber lugar á la los montes con ia oscuridad de la noche. Han debido tener bastante formación de cania. pérdida, y des…</t>
  </si>
  <si>
    <t>…que si se publicase en papel de D. Antonio Gamonal, D. Antonio Regas, D. Jaime Ruiz Abreu, mayor marca; y se darán ademas todos los suplementos que se crean D. Juan Isidoro Perez, D. Joaquín Manrique y Manrique, D. Josef necesarios para no privar al público de cuanto se considere interesante. Castel, D- Juan de Luque Solano , D. Carlos Martin del Romeral, A los suscriptores que esten abonados á la Gaceta de Madrid por D. Francisco Luciano Domínguez Villanueva. mas t…</t>
  </si>
  <si>
    <t>Mans, Obispo de</t>
  </si>
  <si>
    <t>Obispo de Mans</t>
  </si>
  <si>
    <t>…que ha terminado con Ja libertad del 1’ey á la Carolina el Santo Rostro que se venera en aquella sant* Fernando. Iglesia: S. M. accedió muy gustoso, y habiéndolo traído efecti „E1 Sr. Obispo de Mans ha ordenado, conforme á esta dispo vamente, lo han adorado los Reyes nuestros Señores y ios Seño sición , se cante un TcDeum en todas las iglesias de su diócesis-, y res Infantes con la piedad y fervor que siempre han distinguido vos, Sr. Alcalde, debeis pone…</t>
  </si>
  <si>
    <t>Manso</t>
  </si>
  <si>
    <t>…la honra y provecho: tal es el deseo de tener grandes sueldos , y al Barcelona 2i de Diciembre. mismo tiempo muchos honores, y será fácil conseguirlo aorobando el J.a división del brigadier Manso se hallaba el 9 en Falcet: el mis dictamen de la comisión. Yo me tscnnJalizo de que ¿un oficial primo* ino nos da una breve relación de las acciones que ha tenido Ja misma, ro se le señalen e,i'3 r». de sueldo y 40D ol segundo en una época tan y movimientos q…</t>
  </si>
  <si>
    <t>…tes. Circular del ministerio sobre los derechos de estola que deben per Ejército de operaciones dei sentó distrito—Excmo. Sr.: Hs sabido cibir tos párrocos. (Gaceta d l ly) que el brigadier Manso ha batido á los facciosos en las inmediaciones Real orden en que se declara que todos tos secularizados de uno y ce Toriosa , cuya noticia me ha comunicado el barón Carondelet. A ■otro tero están habilitados para disponer libremente de su peculio par este gef…</t>
  </si>
  <si>
    <t>…e el comandante general del Francisco de Tolosa : otro ds 1 31,25o , situación id. , en cabeza de Jorge Ibañez de Recalde y Doña Marina de Recaída , su muger: ono8.u distrito y el brigadier Manso han ocupado á Mora en ia mañana del 29, con poca resistencia por parte de los defensores. Los facciosos de 330,493, situados en el primero 2 por 100 de puertos y diezmos de se ha.¡aban eí 28 en Caíaceite, y parece se dirigían sobre Alcaniz, por la mar de Cast…</t>
  </si>
  <si>
    <t>…s, y cuales De los empleados en la secretaría del gobierno político y diputación quiera otros de que puedan valerse, debiendo llevar las diputaciones provincial de Logroño, por el Sr. Manso. cuenta exacta de lo que reciban ¿ invierten. Del ayuntamiento y pueblo de Navas de Duero, por el Sr. Cal Art. 8.J » Las diputaciones que cumpliesen exactamente con lo derón. prevenido en el artículo anterior seria por el mismo hecho declaradas De la milicia…</t>
  </si>
  <si>
    <t>…cí* n De la milicia nacional de Gandía, por el Sr. Villanueva. que solamente el Gobierno es el que puede tener I 5 datos necesarios: De la diputación provincial de Logroño, por el Sr. Manso. de consiguiente el Gobierno s rá el que pueda resolver, asi sobre la neDe! ayuntamiento de D. Benito. c*sidad de esta traslac on como sobre el punto adonde d:ua ver ficirse, Del de Belorado, cabeza del partido de su nombre, es la provin la comisión puis no h…</t>
  </si>
  <si>
    <t>…l y voluntaria, cabildo eclesiástico y sociedad patriótica de la prime era tan diminuto como se habia querido suponer :.manifestó que su ad ra y cura párroco ds la segunda, por el Sr. Manso. hesión al actual sistema excedía í toda pónderaeion , y que ningún De la milicia nacional voluntaria de arriba» armas de Huelvi. país constitucional tenia un egército que fuese tan acreedor a este dic Del ayuntamiento de Vilianueva de Mesía, partido de Loja…</t>
  </si>
  <si>
    <t>…ellas Del ayuntamiento constitucional de Teruel, por el Sr. Lagasca.cuando sea preciso. He visto que al comunicar el nombramiento de nuevói . De los individuos de la división del general Manso, perteneciente at secretarios del Despacho dice S- M. que los actuales deben permanecer- egército del j.° distrito, por el Sr. Infame. eh sus destinos basta que lean sus memorias. De hacer responsables el pa De los individuos dei batallón de milicia nacional…</t>
  </si>
  <si>
    <t>…los prisioneros que soliciten dei general Mílans y de los individuos que componen su división , y no del la media paca de estos ó de igual naturaleza, serán examinadas en las ins general Manso, como se dijo equivocadamente. pecciones respectivas, y tendrán por ellas el curso competente siempre que las encuentren arregladas. Por la correspondencia parricular de Cádiz del diz 2 5 sabemos haberse Al t. 3 1. .. Por ningún pretexto los inspectores permi…</t>
  </si>
  <si>
    <t>…sido promovida por el oro corruptor!..... que solemnemente prometí observarb , guardarla y hacerla observar.’’ &gt;i Tengo por Imposible la corrupción de nuestros valientes solda El diputado Manso añadió que el Rey había dado todas las pa dos-, pero ftno la posibilidad de que los agentes corruptores consigan labras y señales de la mayor satisfacción y entusiasmo. inquietarnos, Y para impedirlo ¡cuál será la medida mas eficaz ! Que Las Cortes resolviero…</t>
  </si>
  <si>
    <t>…on en aq’uellí'íiothe un parte para el Gobierno---- Se sabe de oportunas cuando se vea la falta de ellos por no cumplirse exactamen oficio que la división de Valls, mandada por el general Manso , se di te las leyes y decretos de la materia. rigía á marchasjbrzadas hacia Valencia, adonde no tardarán en llegar A este fin ha parecido conveniente á esta dirección de mi cargo ex las tropas que el Gobierno ha mandado salir de otros pi’:„;os. Si los tender…</t>
  </si>
  <si>
    <t>…y « El Globo y el TrateUer anuncian que por autoridad muy por c»ta vez creemos que sus votos van á ser oido?. superior á la del Courier saben que en el ducado de Varsovia no « El general Manso , de vuelta de su excursión hácia las in se forma cjérc'to ruso, y que van á entablarse negociaciones. — mediaciones de Lérida , se ha dirigido al Priorato. En la Cámara de los Comunes en la sesión del y Mr. Canning, » Lérida se prepara á hacer la mas vigoros…</t>
  </si>
  <si>
    <t>…arruga. Las Autoridades de guerra que cruzan á la visla. civiles &lt;le Lérida se retiran ácia Tarragona , que el La columna del corone! Campillo se ha replegado zelo infatigable del general Manso lia puesto en un es ;n minio de Columbres, para encargarse este a efe in tado regular de defensa. terinamente del marido de l.i primera bridada de Ja Ln Ala taró han preso y embarcado para Francia primera división del cuarto epe'ii ¡!o de operaciones Jos inva…</t>
  </si>
  <si>
    <t>…oficia su ejercito; y que lo mismo sucede en el llano llamado el campo les que no son de su agrado, y que pide á los que se hallan ar de Tarragona, en el que según se asegura , el general Manso se restados de orden del nuevo Gobierno. El 4.0 regimiento pide se ha-puesto al frente de una guerrilla. le restituya á su coronel Valladar, y no quiere marchar sin él al Ayer llegaron á Perpiiian 3 1 prisioneros, entre los que ha frente: lo mismo sucede con…</t>
  </si>
  <si>
    <t>…el general Ballesteros con motivo de la convenc.on firma El escuadrón que reconoció á la R g-ncia de Madrid con el da por este generai; ss manifestó á sus tropas , y nadie se atre general Manso llegó ayer á esta ciudad. Es digno , bajo todos vió á alzar la voz. El coronel Barr.ra , que fue quien mas se ha aspectos, de sostener una causa mejor que la que acaba de aban bía pronunciado contra su g-neral, se ha visto precisado .á huir; donar. El cuait'l…</t>
  </si>
  <si>
    <t>Manso, Joscf</t>
  </si>
  <si>
    <t>Joscf Manso</t>
  </si>
  <si>
    <t>…lanzas y una porción de efectos. » Egército de operaciones del séptimo distrito militar. — Excino. Sr.s » No puedo menos de llamar la atención de V. E. hiela este oficial, que El brigadier D. Joscf Manso, comandante de la tercera división del egér ya en otras ocasiones se ha distinguido, y hacia los valientes que mandaba. cito de mi mando, con fecha 30 del mes pasado me dice desde Villafran- La pérdida por nuestra parte ha consistido en dos caballos muevtos,…</t>
  </si>
  <si>
    <t>Manso, Josef</t>
  </si>
  <si>
    <t>Josef Manso</t>
  </si>
  <si>
    <t>…rnidad que hacían de los catalanes una » Gobierno militar de la ciudad d' Tarragona—Excmo. Sr.=EI bri familia sola, fuerza es quitar á los malvados todos los medios con que gadier D. Josef Manso con fecha del 31 dice lo siguiente: Está en mi pretendan llevar á cabo e! plan tenebroso / sangriento de la esclavitud. poder la brillante fortificación del convento de S. Francisco y todas las En conformidad á miras un sabias habla dispuesto el Sr. gefe supe…</t>
  </si>
  <si>
    <t>…á V. S. el ardoroso pa Murcia y batallón ligero de Barbastro. triotismo con que se presentaron y estuvieron siempre á mi lado el Segunda división , al mando del mariscal de campo D. Josef Manso, coronel retirado dsl cuerpo de artillería D. Javier Macia, el teniente compuesta de! destacamento del Inmemorial del Rey, segundo batallón coronel vivo de la misma arma D. Francisco Javier baravia, el co de Cantabria , ídem de la Princesa, regimiento de infa…</t>
  </si>
  <si>
    <t>Manso, León</t>
  </si>
  <si>
    <t>León Manso</t>
  </si>
  <si>
    <t>…no, y á los tenientes D. Ramón Artegui, D. Luis Castejon y irner el tía licenciados en cirugía medica. Madrid 23 de Diciembre de D. Esteban Cereceda, á los cadetes D. Rufino Gil , D. León Manso, *Sa;.e=Juan Olivar y García , presidente.=cMartin Serrano , diputado y al pífano Ignacio Lotea, que sin embargo de tener 13 años, y no secretario.=Pedro Juan de Zulueta, diputado, secretario.” hallarse con aúnas, cogió una del enemigo, y adelantándose con la…</t>
  </si>
  <si>
    <t>Mantilla, Mariano</t>
  </si>
  <si>
    <t>Mariano Mantilla</t>
  </si>
  <si>
    <t>…s y milicia nacional local; el demas servicio y 200 hombres de guarnición que tenia aquella plaza. El general patrullas lo detallado__ Hospitales y provisiones Numancia___ enemigo D. Mariano Mantilla, que se hallaba en el Rio Hacha Guardia al Congreso y archivo la milicia nacional local___Tea con un cuerpo de tropa poco aventajado para llamar la atención tro principal esta noche á las siete y media la milicia activa__ del general en gefe, se embarcó para…</t>
  </si>
  <si>
    <t>…va, 14 escuadrones de caba pleto destrozo en 200 hombres de guarnición que tenia aquella llería , un escuadrón de artillería y un batallón de la misma ar plaza. El general enemigo D. Mariano Mantilla, que se halla ma , como ha asegurado en la sesión de Cortes de ayer el señor ba en Rio-Hacha con un cuerpo de tropa poco aventajado para diputado Infante, creemos que se podrá organizar el egército llamar la atención del general en gefe, se embarcó para Carta…</t>
  </si>
  <si>
    <t>Manue</t>
  </si>
  <si>
    <t>…n á Ja corona hon , para proveer de plomo á los arsenales. Aprobado. de la villa de Buñol y otros pueblos, opinaba que debia llevarse La misma , habiendo examinado la solicitud de Doña Manue á efecto la ejecutoria que recayó sobre este pleito en 19 de Abril la Albert, viuda de D. Atanasio Alear, relativa á que las Cortes de 1816. le faciliten algún socorro en atención á los servicios de su marido El Sr. Romero dijo: El dictamen de la comisión tal…</t>
  </si>
  <si>
    <t>Manue-</t>
  </si>
  <si>
    <t>…pongo que aquella fuerza al ria por Doña Concepción Echanovc una certificación expedida á favor de mando dei teniente coronel Arbilla marche desde esto punto hacia Santa su esposo D. Manue-1 por el contador de- data y guerra de la tesorería gene Cruz en seguimiento de aquellos restos por el rumbo que sena puedan ral procedente de réditos de acciones del empréstito de ido millones , can llevar; y yo con la restante fuerza de la división continúo…</t>
  </si>
  <si>
    <t>Manuel</t>
  </si>
  <si>
    <t>…debe aprobarse directa, ya indirectamente! Acaso serán demasiado aventuradas estas el artículo. sospechas; pero el descubrimiento que acaba de hacerse las disculpa. El Sr. Gómez (D. Manuel): El Sr. López del Baño ha hecho ya En todo caso será muy conveniente que redoblemos nuestra vigilan una gran parte de tas observaciones que me ocurrían sobre este artículo. cia; y que las autoridades se aprovechen de este interesante descubri No se diga que…</t>
  </si>
  <si>
    <t>…gen orgánica ; y para demostrarlo pido se lea el art. 39 de dicha íey. ( Se d: abono de tiempo.” leyó.) El articulo que se acaba de leer previene que para reemplazar El Sr. Gom-z (D. Manuel): Se ha procurado p-rjudicar lo menos las bajas el gefe del cuerp • avise al alcaide del pu b o respectivo pa-a posible á los pueb'o»; p-ro en el aitícu'o que se discute veo qu; se que complete el cupo, y la comisión m-zcls ahora en esta operación 2 agravia á…</t>
  </si>
  <si>
    <t>…ue cu las leyes no ss Salva .Tejeiro, Montesinos, Silva, Neira, V.zrr.anos, Reiiio, Pumira la voluntad en abstracto, sino en concreio ; y esta es ia razón per mar.-jo, Lis, Gómez (D. Manuel), Alvarcz Gutiérrez, l.-turiz, Alor.-o, qu; mirado -1 jurado en Inglaterra se le ve ser el sosten mas s-guro de Marau , Adan , Meca, Ruiz de 13 Vega, Alix , Gal ano , Saavedra, las libertades d aquel país, y mirado en Francia al tiempo ds ia revo- Sal vaco ,…</t>
  </si>
  <si>
    <t>…s, Reil'o, Pum rejo, Entran de L:s , Gasas , La-gasea, Pedralniente , !o haga saber a! Gobierno , y este pueda proponerlo á las Cor vez, Fernandez C d , Rey, Soria, Giroz , Gómez (D. Manuel), Altes para que lo tomen en consideración ; asi que , apoyo que á pesar de Varez Gutiérrez, Tomas , Cuevas , Ixlur.z, Adan, Alonso, Marait, ' hadarse constituidas las Cortes en extiaoid.narjat plomen en considera-, Ladrón de Guevara, Escudero, \funsrr z , V.…</t>
  </si>
  <si>
    <t>…dados por ia dipu « Señor: El ayuntamiento constitucional de esta capital, interesado tación.” vivamente en la felicidad y tranquilidad de sus representados, fiel ob El Sr. Gómez (D. Manuel); No sé per qué motivo la comisión servador de sus solemnes promesas, garantidas y aprobada» por V. M., habrá variado este artículo del modo con que lo presentó la primera cree de su deber, en justa satisfacción de la ansiedad que advierte en la vez. Sin dudo…</t>
  </si>
  <si>
    <t>…RANCIA. tirse esta adición, porque se daría lugar á muchas disputas sobre la ca lificación de los negocios. Aprobado. ■ Paris aI de Diciembre. Acerca de la adición del Sr. Gómez ( D. Manuel ) ai art. 30, re Las sublevaciones de los genízaros en Constantinopla se han consi ducida á que al fin de este artículo se añada, que desde i.ndeEnero de derado ordinariamente como acontecimientos de poca importancia ; pe jen de ser secretarios de ayuntamient…</t>
  </si>
  <si>
    <t>…en la forma que se expresará. alguno , y sí solo en que asistan aquellos individuos como testigos. Arr. i.° » A este fin se hará dicho padrón en el mes de Enero de E! Sr. Gómez ( D. Manuel): Se opone «I Sr. preopinante al artí cada año, comprendiendo en él á todos los moradores del pueblo y de culo , porque cree que por él se crea un ayuntamiento nuevo ; pero á los caseríos, huertas , haciendas y demas estancias de su término, de mi entender no…</t>
  </si>
  <si>
    <t>…3.= Por acuerdo del Excmo. ayunta taban á las Cortes por las memorables sesiones del 9 y 11 , presentada miento constitucional ss Francisco Fernandez de Ibarra.” por el Sr. Gómez (D. Manuel.) Igual resolución recayó sobre otra exposición sobre lo mismo del ARTICULO DE OFICIO. rector y demás individuos del establecimiento literario nacional de le villa de Cabra, provincia de Córdoba, presentada por el Sr. López El Gobi -no h.1 recibido los partes…</t>
  </si>
  <si>
    <t>…ue pudieron conseguirlas no cum en cualquier punto donde se les destine), presentada y leída por el plieron exactamente sus debites y obligac ones per no comprometerse Sr. Gómez ( D. Manuel). con la cor,e de Roma de quien dependían. De la milicia nacional local voluntaria y ayuntamiento de Maceda, De este modo se ha privado constant mente á ia Iglesia del fruto de presentadas)' leídas por el Sr. Neira. la sabiduría y piedad de los prelados. H.'c…</t>
  </si>
  <si>
    <t>…ión para que se egecuten ahora estas reformas ; p ro ¡qué es lo que con uno solo había bastante. intenta la comisión en su dictamen? Restituir á la I-L-sia de España El Sr. Gómez (D. Manuel): Los Sres. que hasta aquí han impugnado *u antiguo esplendor, reformando los abusos que se oponen á la pros el dictamen de la comisión ío han hecho atacando algunos artículos suel peridad del Estado. Pues ¡cómo se cree que et pueblo e,pañol haya de tos: pero…</t>
  </si>
  <si>
    <t>…por las sesiones de 9 y ri del cor bre esto , pues que contestaron victoriosamente los Sres. Vetasco y Gó riente, las que oyeron las mismas con agrado, y mandaron se inserta mez (D. Manuel). sen '-o el Domo. Se dice que se echan abajo los concordatos mas solemnes. Las D -1 c .luido de la catedral de Burgos y seminario conciliar de aque Cortes no ignoran la historia de los concordatos; estos no han sido mas lla ciudad, presentadas por el Sr. Vei…</t>
  </si>
  <si>
    <t>…rado los enemigos en Guadaiajara, y de no riente con una partida de 1 8 caballos en compañía de mis hermanos Unir la nv.yor parte de mis caballos en disposición de operar de prón- D. Manuel y D. Mariano , y con conocimiento di V. E., a r;ui¡ir~.r ii, he regresado á e-u capital, donde permanezco á ia» órdenes de á la columna de lo» valientes milicianos nacionales y demás tropa; que V. E., para -j-ie.cn el n.„i»».:ntu que me encuentre apto.se sirva em ¿alterón…</t>
  </si>
  <si>
    <t>…a P. D. siguiente: Murfi , Casas, Benito, Martí, Sarabia , iLom , Hcnriquez, Belda , Pe- » Mi secretario acabe de decirme que el patio de !a casa de correo dralvez, Rey, González (D. Manuel), Manso, Cortés, ftuiz del está en este momento lleno de caballos, que van i salir con batijü! Rio, Sotos, Guevara , Prado , Marchámalo, Escudero , Eulate , Mu para los departamentos y para los países extrangeros. Motus in Jim ñan-i z , Lapuerta, Jiménez, Rom…</t>
  </si>
  <si>
    <t>í8í Act. 47. « S’rá del cü'go del archivero la custodia y mejor conser- Después de haber apoyado el Sr. Gómez (D. Manuel) el dictam&gt;r» vacíos de ios ¡nteresintes documentos existentes en e! archivo , y de ds la comisión , se declaró este asunto suficientemente discutido , y qucualquiera falta será responsable., aun cuando procediese de sus de la votación no fuese, nominal. pend…</t>
  </si>
  <si>
    <t>…a se 'Juntamiento de Villares, y de la in.lic a nsconal iocal de ambas ar- gundos ayudantes generales: y capitanes, 1 rabe-n de !a&gt; mimias cir '"B di Arjomlla , por el Sr. G &gt;m z (D. Manuel). cunstancias, para adictos , hasta completar el núm.10 de tocas clase* Del gefe político de la pruv.ucia de Icruel , comandante de ar- detallado en el ai*. 5.' ” *** de Almería , milicia nacional y varios ciudadanos de Barajas de Art. 8 o w Los gefes de todi…</t>
  </si>
  <si>
    <t>…ría é infantería de la Carolina y nuevas poblaciones de Sitrra- solutamente m-cesario, no causa un gran gravamen al erario, porque ll Morena , presentada y leída por el br. Gómez (D. Manuel). comisión establece que solo entren en estas compañías ios sargentos,é Del ayuntamiento constitucional de un pu-b¡o de la provincia da bien cabo» y soldados que hayan contraído un mérito extraordim* Burgos , pn siptzdri y leída por el Sr. Almirez (D- Elias).…</t>
  </si>
  <si>
    <t>…untamiento constitucional :y -vatios ciudadanos de la villa En Sanú Cruz de Tenerife....................................... 1 . 1 de Cambit, provincia de Jaén , por el Sr. Gouiez.(D. Manuel ). En Madrid.—............................. s * De un número considerable de eclesiásticos de Álburqucrque , por En Valladolid.............................................................. I el Sr. Infante , y de los milicianos nacionales voluntarios de Oicpe…</t>
  </si>
  <si>
    <t>…nes del te- Jas Cano de Luque , D. Gregorio Miguel de Mendivit, D. Francisco píente general conde del Abisbal, se denoramará primer egército de re- Travesedo, D. Domingo Villami!, D. Manuel josef Gallego, Don serva. 4.0 Se formará otro egército , que tendrá la denominación de se- Juan Manuel de Aréjuta, D. Gonzalo Cárdenas. ■ ■ ■ gundo egército de reserva, cuyo mando ha tenido á bien confiar S. M. Habida la conferencia , resultó por unanimidad h…</t>
  </si>
  <si>
    <t>…Estos se Tejeiro, Besana, Neira Bízmanos , Benito, Balda, Heoriquez , Fer refieren á los sucesos de que hemos hablado en Jas gacetas del 18 y 21 nandez Cid , Soria , Garoz, Gómez (D. Manuel), Alvarez Gutiérrez, del m.s de Enero último ('véante dichat gacetas') , por ¡o que nos abs Isturiz, Zulueta , Serrano, González Alonso, Marau, Escudero, Vá tenemos de tepetirlas , contentándonos solamente con advenir que el Go rela , Jener, Santos Suarez, Ab…</t>
  </si>
  <si>
    <t>…da Febrero de ibag.” suplirán esta fa.ta. Pero bastante he dicho para justificar la obligación de presentirme en esta tribuna. A mi me tocaba, que soy anciano, que Los presbíteros D. Manuel y D. Simón Gallardo , vecinos de Ps« respeto la Francia, que soy afecto al Rey y á toda su familia; á mí, lenzucla (provincia de Patencia) , después de haber presentado varia* que tan gran parte he tenido en los sucesos de la doble restauración; armas, publicando gratificarían a…</t>
  </si>
  <si>
    <t>…ino de Valencia. El 8 volvió á salir dicho al canon para evitar toda desgracia. El Sr. gefe político y segundo coman capitán con solos óo hombres, llevando cot.sigo al subteniente D. Manuel dante general con sus ayudantes y demás autoridades militares, políticas y Mendez, con dirección á Manzancra, y en la tarde del mismo dia atacó y municipales precedían á la multitud. disperso ente-ramente al cabecilla Francisco Brotichiut, que con 50 asesinos…</t>
  </si>
  <si>
    <t>…Cortés, Garoz, Belda y Busa.'a. Partí vy de Febrero. Comercio. Sres. Zuiueta , Ger.er, Roset, Al. eu , Rejo, Gcrmcnd a, El Constitucional ha publicado el siguiente párrafo. Ruiz ( D. Manuel), Muro y Neira. En Ja relación que ha dado la Cotidiana de la junta secreta de la Cá Agricultura y Artes. Sres. Alvarez Gutiérrez , Afor.zo , Croo , Scpmara de los Diputados dice haber recibido solamente el discurso de Mr. tien , Lagasca , Rico, Vareas , Torn…</t>
  </si>
  <si>
    <t>…ribanía ; con apercibimiento que de no ha De D. Joscf María del Castillo, vecino de Alcaudete, por el Sr. Gó cerlo se declarará vacante y procederá á Jo demás que haya lugar. mez (D. Manuel). ANUNCIOS. Del gefe político subalterno de Algeciras, por el Sr. Abreu. De la diputación provincial de Huesca y dependientes de su secretaría, Guia de forasteros y estado militar para el año de 1823. Se vende en por el Sr. Santufe. «1 Despacho de la imprenta…</t>
  </si>
  <si>
    <t>…ue la recibiría después. Una fuerte caída de caballo le ha obligados dejar que si mil veces se presentan los malvados, otras tanta» ¡tallarán en ios pe el mando, v entregárselo al brigadier D. Manuel 1 robijanu , coronel del chos de estos defensores de la patria escollos donde »c estrellen. Lo que ¡.asregimiento Infante D. Antonio. Dios guarde á Y. E. muchos afios.tr: lado á V. S. para su inteligencia y satisfacción. Cuartel general de Agreda i.u de Marzo…</t>
  </si>
  <si>
    <t>…faculta ú las diputaciones provinciales La escena es como sigue, traducida litera!mente del Monitor. para imponer contribuciones, con el fin de atender a los gastos de defensa El diputado Manuel continuaba un largo disca; *,, y d'. '.o ■ Temo ne c'e su picvincia. En efecto, esta facultad es solo privativa de Jas Cortes, y cesidad de decir que en el momento mismo en que ios r.eszos para La Fa no puede pertenecer á otra coi potación, cualquiera que sea…</t>
  </si>
  <si>
    <t>…ias de) Estado. dente del consulado de Málaga, pidiéndose le admitiesen en el servi Ultimamente, no puedo menos de dar las gracias á la comisión cio nacional militar sus dos hijos D. Manuel y D. Rzn.;-.; , uno de 16 por lo generosa que se muestra en los medios que propone para la do y otro de iv años , uniformados, armados y mantenidos á su co&gt;ta du tación del clero; pero no quisiera que lo piolegiese de esta mane rante la guerra con que nos sm-nazan los…</t>
  </si>
  <si>
    <t>…stro del Interior de poner á ticia de Pareja ábia conocer de las denuncias. disposición del prefecto la suma de loé) francos á Sn de atender i ia Les Srvs. Romero, Oüver y Gómez ( D. Manuel) impugnaron multitud de pobres: las fábricas padecían ya mucho, y se iban quedan este dictamen, y después de una discusión con ¡os Sres. Cano, Al- do sin trabajo muchísimos artesanos &amp;c. bear, Dirz y Moreno, quedó aprobado. En Lóndres estaban los fondos públi…</t>
  </si>
  <si>
    <t>…as Tullcrías reinaba gran consternación: que se habían doblado las nuación de ¡a marcha de repente se hallaron con 120 caballos y une* guardias. La conducta que se observaba ccnel diputado Manuel en que 80 infantes, comandados por Bcssieres, que también llevaba ia direc rer echarle de la Cámar3 había producido mucha sensación en Francia: ción de Co menar Viejo, y manifiesta lo siguiente: de re.u'tas de una de las sesiones sobie este punto hzbia sido l…</t>
  </si>
  <si>
    <t>…n concesiones de municionar la tropa permanente y milicia, y de proporcionar fon «sta naturaleza. dos para aquellas. Estamos seguros de que nada omitirá para que los El Sr. Gómez (D. Manuel): Ha dicho el Sr. preopinante que no enemigos de la nación do se atrevan á levantar la cabeza entre nosotros. hubiera tomado la palabra si no fuese de la comisión de Visita. De esto Ínterin no sepan que el Rey ha salido de Madrid estarán creídos de la se infi…</t>
  </si>
  <si>
    <t>…orrilla. D- Eugenio Aravaca. D. Francisco Aceval y Arratia. D. Jtisr.f P.rez Atórales. EISr. D. Francisco de Iribarren denunció en 8 del corriente un ar D. Francisco López Cotana. D. Manuel E.teban Caula. tículo que empieza:» Vamos a dar principio á las semblanza,'* , inserto D. Josef España. D. Antonio Gamonal. «a el 'periódico turnado el Ct&lt;ut tucisnal de uj ; del mismo d:a,</t>
  </si>
  <si>
    <t>…egundo del mismo D. Santiago ll.ro. En esta disposición so emprendió el ataque con la mayor bizarría, haciéndolo a la bayoneta, En la ciudad de Cádiz el capitán D. Francisco Ruiz, D. Manuel y la caballería sable en mano, arrollando cuantos enemigos encontra-on Montolo y otros oficiales que pertenecieron al egército de S. Fernando, por las caíies hasta llegar á dos posadas y casa en que estaba hospedado que mandó ?! Sr. general D. Antonio Quiroga…</t>
  </si>
  <si>
    <t>…mejores r.ot cías parece que en Marsella ha habido una muertos á goo. La cantidad de té que ha sido consumida por el fuego asciende a sublevación al grito de viva Napoleón 11, el diputado Manuel y nues go9 cajas , y la pérdida de la compañía se ha calculado en un millón tra amiga la España. Añ dese que las autoridades y tropas quisieron de esterlinas. También ha sido considerable la de los comerciantes in sufocar este movimiento á la fuerza , y que e…</t>
  </si>
  <si>
    <t>…en el mismo dia a los face osos que suscripción de peseta por individuo para costear una corona cívi salieron de Segorve con un convoy para Murvicdro , y se lo co ca destinada al diputado Manuel: al salir el correo había recogi gió. Dice que no quiso entrar en la ciudad por no exponer á los dos mas de igQ francos. habitantes, á quienes habían obligado los face i o: os á ocupar los En París se despacharon, aunque medio á escondite para bur puntos inas…</t>
  </si>
  <si>
    <t>…lebrado el pueblo triotas. El coronel Bazan le mandó formar consejo de guerra, y con demostraciones nada equívocas de amor á la libertad la con murió. ducta firme y patriótica del diputado Manuel en Jas ses:ones de Se ha dicho que el dia 2 entró en Segorve la división d; tro g y 4 dtl corriente. Dice el mismo patrón que en medio de la pas nacionales que viene de Aragón á esta provincia de Segorve. refriega aclamaba el paisanage con continuos vivas la…</t>
  </si>
  <si>
    <t>…los del tránsito habían recibido de los españoles la Huesear j de Abril. hospitalidad mas amistosa: que en el mismo dia se le habian Estamos esperando al juez de primera instancia D. Manuel presentado un gran número de oficiales de todos grados fugiti Medina Jiménez, que según noticias es uti distinguido patriota, vos de los facciosos; y últimamente que el gefe político y mi amante de las libertades patrias,y enemigo acérrimo de ia tira litar de…</t>
  </si>
  <si>
    <t>…discute me ha obligado á tomar la palabra para que, Avellano, Busutil, Bel monte , Adan, Gaiiano , González consignar mi voto sobre él. Alonso , Saavedra , Alix , Marau , Gómez ( D. Manuel ) , So Los señoríos de que trata este proyecto y las prestaciones feu tos, Meca, Alvarez Gutiérrez, Vaídés (D. Dionisio), To dales que se quieren abolir en el traen su origen de los franceses, mas , Garoz , Isturiz Grases , Zuíueta , Escovedo , Sa! vito, r re…</t>
  </si>
  <si>
    <t>…ivtc* svuih, petuwjsw «no j LtiA*4..,~ gtt/1 J tita veLitiliP«t»:.«ble, todos los niales de la anarquía, todos los excesos de una re Gefe de dia el comandante interino de Ja Reina D. Manuel volución sangrienta,.y todas las pérdidas que lleva tras sí el cride Frías.__Servicio á 'palacio Ja milicia activa y milicia nacional men unido á la imprevisión (.14).local de Sevilla, á las órdenes del comandante interino del Infante »En semejante situación…</t>
  </si>
  <si>
    <t>…Peirona , D. Manuel Pa WeitKar1 ii de Marzo. ■ lacio y D. Juan Martínez, -y los de Pontevedra D. Francisco ' S. A. R. el gran duque hizo ?utes de ayer, después de haber Pórtela y D. Manuel&gt;Sequeiros, asi como las dichas milicil asistido i un oficio divino solemne, la apertura de la nueva se nacionales y sus comandantes. sión de la asamblea de los Estados en el gran salón del palacio Desde entonces los escapados de aquella refriega no pensa dé e…</t>
  </si>
  <si>
    <t>…cupando después tranquilamente el trono de Sevilla á las órdenes del teniente coronel mayor interino de la constitucional de las Españas, sera el objete' de la veneración de Reina D. Manuel trias.__Parada la Reina, Al. A. y N. L. de todos los Monarcas del orbe; pues nunca es un Rey mas grande Sevilla; el demas setvic'o y patrullas lo detallado—Guardia al que cuando manda hombrts libres. L&gt;.os guarde muchos años k Congreso v archivo Ai. N. L. de…</t>
  </si>
  <si>
    <t>…llano , Busutil , Brlmonte, las medidas del calculo y de la astucia. Adan, GHiano, Alonso, Saavedra , Ahx, Maiau, Gorrn-z » Pronunciada asi con tal solemnidad la voluntad general (D. Manuel), Soto, Meca, Alvarez Gutiérrez , Vaidés (Don de los españoles , mi deber, como español y como Rey , era Dionisio), Tomas , Garoz , Istunz , Grases, Zuiueta, Escove- condescender con su d seo, y aceptar y jurar aquellas leyes bajo do, Salvato , Olí ver , Serr…</t>
  </si>
  <si>
    <t>…de ut* denes de S. E. los tenientes coroneles D. Vicente Dasder y Don hijo menor que tenia de su primer matrimonio; opinaba que no Josef Mena, á los capitanes D.' Miguel Porcel y D. Manuel de. debía accederse á ella. Aprobado. Zayas, á los tenientes D. Antonio Carballido y D. Agustin Mi La misma opinaba que debia declararse no haber lugar á de ró , y al subteniente D. Benito Tuñon , y por ayudante de órde- liberar sobre Ja solicitud del marques…</t>
  </si>
  <si>
    <t>…Unto no es adaptable, y seria preciso ape Después de haber hecho algunas observaciones para votar los lar al cómputo, y nombrar personas , que aunque llenas de buena Sres. Gómez ( D. Manuel ) y R;co , se procedió á la votación fe cometerían infinitos errores en este cómputo, y habría ocul del artículo, el cual fue aprobado en los términos siguientes: taciones y otros muchos inconvenientes. Fue pues preciso que. la</t>
  </si>
  <si>
    <t>…nforme del Gobierno , opinaba Sr. presidente que quedaba sobre la mesa este dictamen. no debia accedcrsc á esta solicitud. Aprobado. La misma comisión, en vista de la solicitud de D. Manuel La misma comisión, en vista de las exposiciones de D. Juan María Trujillo, en que pide se le pague una deuda que tiene con N. y D. Santiago Alvarez, ayudantes de la milicia activa de tra el Estado, era de opinión no debia accederse á esta solicitud Orense y Mont…</t>
  </si>
  <si>
    <t>…Santoña había per extraordinario que celebró en Marzo de este año , resolvió, á pro mitido introducir por aquel puerto géneros extranjeros con se'-apuesta de uno de sus regidores D. Manuel de la Torre Machado, lamiento de ciertos derechos , pedían que el Gobierno ele cuenta hacer una exposición á las Cortes y otra al Rey, manifestando á las Cortes de lo que haya sobre el pavt cular. que á pesar de la distancia que separa a los habitantes de aqu…</t>
  </si>
  <si>
    <t>…rectorales y ios paiacios de ios M. R.R. hasta los copones-, pero sin embargo adoptó la modificación. arzobispos y obispos, declarándose que verificada la paz se pro El Sr. Gómez (D. Manuel) se opuso el artículo, porque con cederá á disponer de dichas fincas en ei modo que tienen decre la variación que se habla hecho resultaba una redundancia con el tado las Cortes , sin perjuicio de ocurrir la Nación á cubrir las anterior aprobado ya por las Co…</t>
  </si>
  <si>
    <t>…co adquirir bienes raíces ó la propiedad: L comisión pues dice que Plasencia. . . aquella propiedad que por varias causas esté en poder de "manos Ettado mayor. El segundo ayudante general D. Manuel de muertas pase ájoiherederos de estacó de la otra manera, y al Soria, los segundos ayudantes D- Ramón.González, D. Rafael Crédito'público emsu lugar. Las cargas ;no quedarán desatendidas, Marín, y los adictos D. Jos:, fjcnzalcz, O. Pitsc Gaivez.y porque no p…</t>
  </si>
  <si>
    <t>…plomáticas entre la corte de Austria y el Gobierno español , no pone al Austria en una posición hostil hacia esta potencia , ni tie Gefe de dia el comandante interino de la Reina D. Manuel ne conexión alguna con las relaciones comerciales de los dos esta Frías—Servicio á palacio la milicia activa y la nacional local de dos, las cuales deben continuar en el mismo pie de amistad que Sevilla, á las órdenes del comandante del z.° batallón de la mi…</t>
  </si>
  <si>
    <t>…dinaria de este dia. de S. Sebastián, Orden de la plaza del 16 al de Mayo. La manía de los boletines á la Napoleón llega al extremo: Gefe de dia el comandante interino de Ja Reina D. Manuel diariamente publican esto» i oh fines o av.ios telegrafíeos : c¡ si Frías__ Servicio á palacio la milicia activa y la nacional local de guiente íntegro y litcial dara una idea de la manía en que han Sevilla, á las órdenes del coronel de la Reina D. Francisco…</t>
  </si>
  <si>
    <t>…Gobierno político de la provincia de Madrid.__EI. diputado Se leyó por primera vez una proposición del Sr. Gómez de esta provincia D. Bernardo Parra Hermosilla , que accidental* (D. Manuel) sobre la redención de cargas que tienen algunos mente se halla en S. Martin de Valde-Iglesias , con fecha 10 del bienes vinculados que pertenecían á manos muertas. actual, me dice que habiéndole dado parte al alcalde i.° constitu La comisión de Legislación e…</t>
  </si>
  <si>
    <t>…ceptar un destino. El ale Gutiérrez , Isturiz, Grases, Galiano, Zulueta, Ruiz de la Ve gato de esta fuerza ha sido siempre la disculpa de los ciudadanos ga, Velasco, Abren, Gómez (D. Manuel), Atienza, Latre, débiles , de los malos patriotas , porque á ningún buen ciudadano Santafe , Nuñez ( D. Toribio ), Pacheco, Munarriz , Jencr, se ¡e hace fuerza. Yo estoy seguro de que en la guerra pasada de Santos Suavez, Lasala, López Cuevas, Bartolomé, Sed…</t>
  </si>
  <si>
    <t>…vas las penas que se previenen concederse al hijo de que se trataba la viudedad de su madre cuan en el código penal. Aprobado. do esta falleciere. A propuesta de los Sres, Gómez ( D. Manuel) y Cortés re El Sr. Aibear en nombre de la comisión admitió esta idea. dactó la comisión el art. 5.0 en estos términos: «En la misma El Sr. Surra expuso que todo era poco para premiar servicios pena y prevención incurrirán los eclesiásticos seculares y regula…</t>
  </si>
  <si>
    <t>…es gefes y oficiales casados por condúc misiones respect vas las proposiciones siguientes r una del Sr. Gó ele =us respectivos gefes de E. M. de la división la asignación que mez (D. Manuel) sobre ios bienes de manos muertas, d la comi gusten hacerles, expresando las plazas ó puntos en que deban per sión de Legislación; otra del Sr. Alonso sobre que las oficinas en cibirlas. 5.0 El exacto cumplimiento de esta orden queda al cui cargadas de la li…</t>
  </si>
  <si>
    <t>…as de 28 de Octubre de 1811 , y orden dela sesión de antes de ayer en su avt. 2.0 (,Vé*se dictia sesión.) las mismas de 20 de Diciembre de dicho año, relativos á las El Sr. Gómez (D. Manuel): La comisión habla en este ar pensiones que deben concederse á las viudas y familias de lostículo de vinculaciones, mayorazgos y señoríos; pero se ha olvi que perecen en defensa de la patria.dado de lo decretado por las Cortis sobre manos muertas; y cier Se…</t>
  </si>
  <si>
    <t>…o siguiente: Las Cortes , usando de la facultad que y que se debia fijar una multa mas considerable. se Jes concede por la Constitución, han decretado lo situ.ciite: El Sr. Gómez (D. Manuel) manifestó que según la observa Artículo i.° Durante la guerra actual con Francia la parte e.ei ción que acababa de hacer el Sr. Prado debería extenderse la medi artículo 9 del decreto de 20 de Diciembre de- jfc¡2i , que pres da á tres ó cuatro amigos que fue…</t>
  </si>
  <si>
    <t>…, Cid, A la comisión de "Visita de tribunales se mandó pasar una Enriquez, Serrano, Alonso , Alix , Gaiiano , Murau , Gómez exposición de la audiencia territorial de Extremadura. (D. Manuel), Sotos, Adan, Tomas . Lagasca , Vaides (Don Si dió cuenta de los siguientes dictámenes de la comisión de Dionisio), Escudero, Buey, Alvarez Gutiérrez , Becerra, Vá rela, Meca , Isturiz , Grases , Abreu , Zulueta, Ruiz de la Ve Crédito público. . . Uno sobre…</t>
  </si>
  <si>
    <t>…apro durante la guerra el producto de una finca de su pertenencia, cu barse ; añadiendo en su consecuencia el siguiente artículo al decre- ya exposición la presentó el Sr. Gómez (D. Manuel). . to sobre secuestros, que deberá ser el 6°: ,,Todo pueblo en don Se mandó agregar al acu el voto dei Sr. Romero, contrario de se verifique asonada ó motín con tendencia á perseguir ó atro á la supresión de la comisión de Temporalidades. pellar á los españo…</t>
  </si>
  <si>
    <t>…tribunal. mar sobre la división del territorio de la isla de Puerto-Rico. El Sr. Surrá hizo presente que en su opinión se caminaba La misma comisión, atendiendo á la solicitud de D. Manuel bajo un principio falso , pues el Crédito público no entraba en deN., piloto de la armada nacional, con destino á América, para el litigio por sí, sino como un agente del Gobierno; y ademas que en atención ;í sus distinguidos servicios se le conceda aumento q…</t>
  </si>
  <si>
    <t>…entemente discutido, y se aprobó ma , y en secuida se aprobó el dictamen de la comisión. el dictamen de ¡a comisión. La comisión Eclesiástica en vista de la solicitud de Fray Juan Don Manuel de la Cuesta, cura párroco de la villa de Col Bautista Román , lego profeso del convento de mercenarios de El menar de Abajo, y D. Francisco León, vecino de la misma, che, para que se le declarase con opciottá la pensión señalada-á los pedían se declarase por…</t>
  </si>
  <si>
    <t>…n en cantidades enormes: can estos y otros ardides que estamos en el caso de quitar ahora los póisitos. es como los interventores hacen su negocio. Ahora bien, si se El Sr. Gómez (D. Manuel): insiste, señor, aun !a comi ocasionan todos estos males en los pósitos, males que las leyes sión en que los pósitos jamas han sido útiles á los labradores; pe nunca podrán reformar , ¿que inconveniente puede haber en su ro yo no puedo convenir eon esta idea…</t>
  </si>
  <si>
    <t>…a , que vela to mayor al coronel D. Estanislao de Guizabuzuaga , y durante sobre la prosperidad del pueblo portugués , mejore sus horas. ia enfermedad de- este al ayudante primero D. Manuel bantos. «Cuartel general de la calle del Olivar i.° de Jumo de El corregidor de Madrid D. Joaquín Lorenzo Mozo publicó 1823.=: Jorge Aviiez Juzarte de Sousa Tabares.” un bando pava celebrar debidamente los días del R«y ; y el in 2.a Habitantes de Lisboa: «El…</t>
  </si>
  <si>
    <t>…sponder de ia salvación de! Estado, ha creído los Sres. Gómez Becerra , Salva , Oliver, Sánchez , Galiano, debia proponer este dictamen. La comisión sabe que en toda pro González (D. Manuel) , Trujillo y Aillon. videncia es necesario pesar las ventajas y los inconvenientes; mas A la comisión de Legislación se mandó pasar un oficio del creyó que este cálculo era propio del Gobierno; porque si usa de Sr. secretario de Gracia y Justicia, acompañand…</t>
  </si>
  <si>
    <t>…creto sobre liquidación de suministros. de D. Ignacio Martínez solicitando la legitimación de una hija Leído este dictamen hizo algunas observaciones sobre él el suya. Sr. Gómez ( D. Manuel), á las que cou'-stó el Sr. Surrá. La comisión de Visita del Crédito público, en vista de la ex Se declaró haber lugar á votar sobre su totalidad , y quedaron posición de D. Juan Antonio Giménez Perez de Arellano, opi aprobados los tres artículos que coníenia…</t>
  </si>
  <si>
    <t>…e apode artillería el coronel D. Antonio Buk; al comandante de la ciu ró del castillo de Tortosa; y espera en pocos días hacerse dueño dad D. Manuel Montesinos; al teniente de Rey D. Manuel de toda (a plaza. Esto ha sido de la mayor importancia pan Vidal, y á D. Antonio Urillas, gefe de batallón , comandante nuestras relaciones con Cataluña. de las tropas. » Cuartel general de Madrid 18 de Junio de i8ig.=:Por or » El dia 13 á las nueve de la maf…</t>
  </si>
  <si>
    <t>…taron deben regir en la formación de las causas de cons ser bis Sres, Infante, Bauzá, Bartolomé, Garoz , piración, á fin de que r.o queda ihipune , como bas López del Baño, Gómez (D. Manuel), Prat, Muro, ta ahora , este delito, por desgracia mui^freeuente, Bu saña, Morí!, Sepilen, Reillo, Suarez, Vázquez, y qne nos ha conducido á la mas tertxMe situación. Blake* Alíx, Pedralvez, Garmendia , Valdós (D. Dio Se leyó y mandó imprimir mi proyecto pre…</t>
  </si>
  <si>
    <t>…e de ella. Por lodo es nes «pie se adoptaban para no dejar los abusos do to opino que no debo b^ber lugar á votar. la libertad de imprenta en una impunidad absoluta El Sr. Gómez ( D. Manuel ) : La comisión reco é injusta. Qne halda mui poderosas razones mui mar noce que la libertad de imprenta está íntimamente cadas en el código penal para que no se declarase res enlazada con la libertad civil, reconoce que se lian ponsable de un escrito al meno…</t>
  </si>
  <si>
    <t>…E- tá ru úrdtnique estén en ella de-filen por delante de la puerta bricado «lo la Real mano.—E» Cádiz á 23 de junio de [a iglesia, y sigan por el campo, calle de Capu de ií3;í5.—A D. Manuel de la Puente. chinos, siguiendo á 1a calle Ancha , plaza «le la Cons De real orden lo trayado á V. para su inteligen titución, á saluda)- á la lápida con los tres vivas «le cia y.efectos consiguientes. Dios "tiarde ¡i V. muchos costumbre., que serán A la ¿Sac…</t>
  </si>
  <si>
    <t>…ienes, pero si fuese otro el poseedor los dividirán cias, quedando á cargo del mismo su cumplimiento, por mitad. y reduciéndose las piadosas á la décima parte del Los Sres. Gómez (D. Manuel) y Somoza se opu producto líquido. Hecha la divisio* convencional ó sieron á la segunda parte de este artículo, manifes judicial, el mismo Crédito público facilitará con ar tando ser‘injusto lo que en ella se propone, pues pue reglo á ella las certificaciones…</t>
  </si>
  <si>
    <t>…deada de un inmenso océano no podía aprobarse. El Sr. autor de la adición la re de llamas, y de ellas salían enormes columnas de tiró. fu ego. Otra sobre la adición del Sr Gómez í D. Manuel) El incendio se aproximó á los cuarteles de arti pidiendo á las Corles se añada al art. 1. c dc-pues de llería y á la fundición d* cañones situada en la ori les palabras de las capellanías de sangre1' .'i un se lla del mar, en envos puntos hay siempre grandes…</t>
  </si>
  <si>
    <t>…que se presenta el propicia rio ó se d:i por vacante su destino. les imponía , por lo cual-no aprobaba el artículo. La eoint.iion de lnstruecinn pública presentó co El Sr. Gómez ( D. Manuel} en apoyo del articu pia tic dos decreto» aprobados ya por las Lurtes y lo manifestó que la principal razón que u.ibia teni perdidos en el saqueo de Sevilla, el t. ° sobre es do la comisión para redactar el artículo de este mo tablecimientos de escuelas naut…</t>
  </si>
  <si>
    <t>…los es establecimientos de beneficencia queden á cargo de las jumas de tablecimientos de beneficencia. este ramo , que era lo mismo que á cargo de los ayuntamientos El Sr. Gómez (D. Manuel) expuso, que convencido que puesto que aquellas se componen de los individuos de estos y al nada se adelantaba con este reglamento en el modo que lo pre gunos otros vecinos; y que para probarlo pedia que se leyesen los sentaba la comisión lo impugnaba , y se…</t>
  </si>
  <si>
    <t>iffo de esgrima D. Ventura García Loigorri, accésit D. Manuel con varias notas tacadas de Tos Santos Padres y expositores ságra Anzcun. nos , por D. Félix Torres Amat, dignidad de sacrista de la santa g»rs&gt;a de Barcelona. Esta nueva versión castellana de la Bi ANUNCIOS. blia , hecha de orden del Rey nuestro Señor, y ded…</t>
  </si>
  <si>
    <t>…as, á todos los que imprima, publique y cIrcule.e=Rubr¡cado de la Real mano — las presentes vieren y entendieren , sabed : Que las Cortes han de En Cádiz á i.° de Julio de i823-=A D. Manuel de la Puente. cretado lo siguiente : Las Cortes , usando de la facultad que se les De Real orden lo traslado á V. para su inteligencia y efec concede por la Constitución han decretado : tos correspondientes. Dios guarde á V. muchos años. Cádiz i.° Artículo x.…</t>
  </si>
  <si>
    <t>…se había aun dado ei de propagación de las ciencias naturales y exactas. creto sobre prohibición; pero que no podia hacerse la declaración Los Sres. Aivarez (D. Elias) y Gojnez (,D. Manuel) se que propone el director general para Jos casos semejantes que opusieron al dictamen, y habiéndole sostenido los Sres. Florez Calpuedan ocurrir, por evitar los abusos que pueda haber. Aprobado. cl.ron y Velasco,se declaró» el asunto suficientemente discuti…</t>
  </si>
  <si>
    <t>…la, á no ser que en las mismas se pre cional activa de línea ó ligeros. (Gaceta del 24.) venga otra cosa. Sevilla 5 de junio uc 1823. Por tanto mandamos Real decreto autorizando á D. Manuel de la Puente , minis á todos los tribunales, justicias, gefes, gobernadores y demas tro del Despacho de Guerra, para que use de media firma. (Ga autoridades, asi civiles como militares y eclesiásticas, de cualquiaceta del 27.) ra clase y dignidad , que guarde…</t>
  </si>
  <si>
    <t>…brar las brigadas ó divisiones reunidas ; de los de La comisión de Legislación habiendo examinado la solicitud más oficiales de E. M., de los de artillería ¿ ingenieros, de sus de D. Manuel.........corredor de número de la ciudad de Sevilla, ayudantes de campo, entre los cuales el marques del Barro mar y emigrado á esta Isla Gaditana por su amor á la Constitución, chó de su orden con el coronel Casano , y se mantuvo á su lado para que se le conc…</t>
  </si>
  <si>
    <t>…rin queda ra los partes que ba recibido del mariscal de campo D. Juan rogando ai Todopoderoso por la pronta libertad y regreso á su Courten , comandante militar de la Mancha, y de D. Manuel capital de nuestro adorado Rey y Señor D. Fernando vil (que Adamé, el Locho, comandante general de la división de su Dios guarde) para la tranquilidad general y felicidad de «sios nombre, los cuales trasladan el que desde Castellar de Santiago reinos. Solana…</t>
  </si>
  <si>
    <t>…facciosos han dejado 4 muertos en blique y circule.rrRubricado de la Real mano.rrEn Cádiz ú 15 el campo de batalla, y por nuestra parte solo sé ha habido un he de Julio de i82g.=A D. Manuel de la Puente. rido. = Lo que participo á V- E. por sí tiene á bien ponerlo en De Real orden lo traslado á V. para su inteligencia y efec conocimiento de S. M. Dios guarde á V. E. muchos años. Mála tos correspondientes. Dios guarde á V. muchos años. Cádiz 16 g…</t>
  </si>
  <si>
    <t>…e las Cortes han de ma, publique y circule. 2= Está rubricado de la Real mano. — cretado lo siguiente .= Las Cortes , habiendo examinado las me En Cádiz á 14 de julio de 1823. = A D. Manuel de la Puente. didas extraordinarias propuestas por S. M. con fecha de 23 del De Real orden lo traslado á V. para los efectos correspon próximo pasado Junio, han aprobado lo siguiente: Artículo i.° Se dientes. Dios guarde á V. muchos años. Cádiz 16 de Julio de…</t>
  </si>
  <si>
    <t>…enta, dreis se imprima , publique.y circule. = Rubricado de la Real, de su religión después que se verificó la invasión enemiga , queda mano. = En Cádiz á 4 de Agosto de 1823. = A D. Manuel de privado de la pensión que se le había asignado; y lo comunica la Puente. mos á V. E. de orden de las mismas, Cortes, para que tenga á. De Real orden lo traslado á V. para su inteligencia y efec-, bien ponerlo en noticia de S. M., y demas efectos consiguien…</t>
  </si>
  <si>
    <t>…n certificaciones de prima , publique y circule. = Rubricado de la Real mano.= En rentas (de los 40 millones de reales vellón de ellas , decretados Cádiz a 11 de Agosto de 1823.=A D. Manuel de la Puente. por las Cortes en 4 de Diciembre de 1822 ) con el goce de cin De Real orden lo traslado á V. para su inteligencia y co por ciento al ano, pagaderos al portador á contar desde 1 0 de efectos correspondientes. Dios guarde á V. muchos años. Cá Mayo…</t>
  </si>
  <si>
    <t>…e acabó en pondréis se* imprima, publique y circule “Rubricado de la Real 30 de Junio próximo pasado, del mismo modo que lian debí do mano, ~ En Cádiz á ííi de Agosto de 1023. = A Don Manuel hacerlo con las de ios dos anteriores; y que por Jo que toca al de la Puente. tiempo que media desde i.° de Julio ha-ta 31 de Diciembre de De Reai orden lo traslado á V. para su inteligencia y efectos 1823, formen y rindan dentro de los dichos plazos una cuen…</t>
  </si>
  <si>
    <t>…os. Sirva de prueba ma, publique y circule. = Rubricado de la Real mano. =: En el siguiente rasgo. El historiador refiere la sorpresa de un fuerte Cádiz á 4 de Agosto de 1823. = A D. Manuel de la Puentede los indígenas de la tribu de Pecuot. Sus tiendas de campaña Lo que traslado á V. de Real órden para su inteligencia y fueron reducidas á cenizas, y muchos de los que procuraban huir efectos correspondientes. Dios guarde á V. muchos años. Cá fue…</t>
  </si>
  <si>
    <t>…mayor confianza y conocida de D. Juan'M-ndez grado de teniente corone: ríe infantería. cisión por la causa dei Rey, y á todos los sargentas y cabos de Al teniente coronel graduado D. Manuel de la 5 erra, capi su batallón: el capitán D Antonio María de Castro y tí subte tán d-Jl propio cuerpo, gtado de corone de infantería. niente D. Joséf Rey fueron depositarios del secieto y coa y*r- Al teniente D. Manuel de la Sierra se le dec ara tenientí var…</t>
  </si>
  <si>
    <t>…llevar adelante su proposito rano , González Alonso, Salvato, Marau , Sotos, Tomas, Buey, de intervenir contra todo derecho en los negocios del reino , se Adán , Calderón, Gómez (D. Manuel), Posadas, Santa Fe, Lu- obstina en no tratar sino conmigo solo y libre , no queriendo con que, Meco, Torre, Afonzo, Bartolomé, Sequera, Sedeño, siderarme como tal, si no paso á situarme entre sus b.ivouetas. Abren, Garó/., Üiiver , Riuz de la Vega, Aticn/a,…</t>
  </si>
  <si>
    <t>…, en ningún ma , publiqífb y circule. 2= Rubricado de- la Real mano. — En caso falte en las bóricas militares el surtido de los artículos indis Cádiz á..... de julio ríe 1823.2= A D. Manuel de ¡a Puente. pensables á la curación de los enfermos. De Real orden lo traslado á V. para su inteligencia v efec 1 Art. 24. Será de su obligación llevar la debida cuenta y ra tos cori'Cspond.ctiRs. D.os guarde á V. muchos años. Cádiz zón Je los artículos med…</t>
  </si>
  <si>
    <t>…curso de S* M. los seña dra, Galiano, Serrano, González Alonso, Salvato, Md.au, res Saavedra, Gener, Ru z de ía Vega, Cuadra y Tomas. Sotos, Tomas, Buey, Adan , Ca d&lt;-ron , Gómez (D. Manuel), El Sr. presidente advirtió que á ¡as siete de esta noche habría fosadas , San ufe , Luque , Meca , Torre , Afonzo , Bartolomé, sesión , y levantó la actual. Sequera, Sedeño, Abreu, Garoz, Oliver, Ruiz de la Vega, Sesión de las siete. Atienza , González Agui…</t>
  </si>
  <si>
    <t>…ariscal de del Seu de Urge!, autorizado por el Sr. Mariscal Comandante Campo Marques de Zambrano el gobierno de Málaga que servia en Geje en fecha de! 29 de Setiembre de 18 ¡j, ¿y D. Manuel interinamente. Senderos, Ca ritan de artillería , autorizado can plenos federes Andujar jo de Octubre. del Sr. Coronel Viga, Gobernador de los fuertes. SS. MM. y AA. continúan sin novedad en su importan te salud. A las ocho de la mañana partieron de la Villa…</t>
  </si>
  <si>
    <t>…V. M. al seno de su gran familia española con un esplendor parará el perjuicio que haya lugar. si cabe mas brillante de gloria que en su primera restitución al Por providencia del Sr. D. Manuel josef de Rubio , Tenien Trono después de los impotentes esfuerzos del pretendido re te primero de Corregidor de esta M. H. villa, refrendada del es gulador de los destinos de Europa para despojarle de él. Se lle cribano D. Jacinto Gaona y Loeches, se ha señal…</t>
  </si>
  <si>
    <t>…l que han ANUNCIOS. perdido á infinitas personas incautas acaudaladas, imbuidas por su falacia de que á la otra barretada se descubría la bonanza? Los acreedores al abintestato de D. Manuel de la Torre Fer ¡Dónde el enlace de la agricultura y manufacturas groseras con nandez, oficial de la tesorería mayor de S. M., que falleció el go la minería? Ni en too años podrán ponerse á nivel, ni aun pose de Setiembre último, acudirán á la junta general q…</t>
  </si>
  <si>
    <t>…me virtud de providencia del Sr. D. Manuel Josef Rubio, teniente militar, habiendo dado primero una satisfacción al dueño del de Corregidor de esta villa, refrendada del Escribano D. Manuel café. Mejía; se venden á pública subasta por término de 30 dias, con Los periódicos liberales han publicado este hecho con su bue tados desde el de está publicación las fincas siguientes: un plan na fe acostumbrada. tonar de olivos, sito en el término de la v…</t>
  </si>
  <si>
    <t>Manuel'Velasco</t>
  </si>
  <si>
    <t>…pasen las sillas otras per cio, administrador principal de rentas de la provincia de Calatayud, y sonas con menos patriotismo que las actuales que las ocupan, podiiau en tercero á D. Manuel'Velasco, teniente del regimiento de infamen» acaso abusar de aquella autorización ? de Fernando 7.quedando elegido D. Cirios Palacio por 8z votos De Paris, señores , escriben que no debemos temer á las bayonetas extrangeras sino al oro que se ha puesto en marcha para…</t>
  </si>
  <si>
    <t>Manzana, Salvador</t>
  </si>
  <si>
    <t>Salvador Manzana</t>
  </si>
  <si>
    <t>…la ley de y de Octubre de 1820 opinaba que ¡as Cortes podían ia Guerra por dimisión de D. Pedro de la Barcena, que tam aprobarla. Aprobado. bién la desempeñaba interinamente: y á D. Salvador Manzana La comisión de Legislación, en vista de una solicitud de treinta res para desempeñar Ja secretaría de la Gobernación de la Pe labradores de la provincia de Paiencia para que no se ¡leve a efec nínsula. to una providencia del intendente de aquella provmciu sobre…</t>
  </si>
  <si>
    <t>Manzanares, Hipólito Bañuelos y</t>
  </si>
  <si>
    <t>Hipólito Bañuelos y Manzanares</t>
  </si>
  <si>
    <t>…ó en Bu* tallon de M. N. A. de Ciudad-Rodrigo. nía) con tamo aplauso de aquel país. El batallón de la M. N. V. de la villa de Muía, provincia de Murcia. Ignorándose el paradero de D. Hipólito Bañuelos y Manzanares, _E1 ayuntamiento constitucional de Manresa—Varios ciudadanos de que residía en esta corte por Noviembre de 1816 , se desea que rsli Campanario__ La M. N. V. de Pravia, provincia de Oviedo. __ La sugeto, ó quien tuviere noticia de él , se 9irva darla á D. Fra…</t>
  </si>
  <si>
    <t>Manzanares, Salvador</t>
  </si>
  <si>
    <t>Salvador Manzanares</t>
  </si>
  <si>
    <t>…que se les han interceptado. cerdote de la sacristía y el Setmo. Sr. Duque de la iglesia, ya se Subre. vieron otras chispas junto al altar mayor, muy próximas al si » Al Excmo. Sr D. Salvador Manzanares, sr creí ario de Esta« tio de donde acababa de salir S. A. R., y casi al mismo tiempo doy de la Gobernación de la Peuínsnla.zzCádiz." se vieron en otra parte opuesta; de suene que el fuego prendió » Denia 13 de Junio de 1823 (. 1). Mi querido h .\ (2) (’kersi…</t>
  </si>
  <si>
    <t>…os á Cortes pueden ser obliga enemigo. dos á admitir destinos municipales. ( Gaceta del 17.) Se nombró para la comisión encargada de recopilar los acuer Real decreto autorizando á D. Salvador Manzanares, minis dos de las Cortes respecto de la ordenanza militar en lugar del se tro de la Gobernación de la Península , para usar de ntcd.a fir ñor Nuñez (D. Toribio) al Sr. Salv.í. ma. (Gaceta del 2/.) Se leyó una minuta de decreto visada por la comisión de Cor IL…</t>
  </si>
  <si>
    <t>Manzanedo, Santiago</t>
  </si>
  <si>
    <t>Santiago Manzanedo</t>
  </si>
  <si>
    <t>…l enemigo, rechazado y ANUNCIOS.huyendo en el mayor desorden , tuvo 12 á 15 muertos y uros 100 heridos, aunque según los desertores asciende á mas ei nú Por el presente se llama i D. Santiago Manzanedo para que mero de unos y otros: nuestra pérdida consiste en cuatro muer en el término perentorio de 30 dias comparezca ante el Señor tos y 1 2 heridos. (Siguen las recomendaciones.) D. Manuel Josef Rubio , y escribanía de D. Bernardo Díaz __La dolencia de Mina…</t>
  </si>
  <si>
    <t>Mar</t>
  </si>
  <si>
    <t>…o. tro de Rusia, el viernes el de Cerdefu y el sábado el embajador Por las últimas noticias hemos sabido que el primer encuen de Austria: ayer tarde llegó el de Francia el Batano. Sr. Mar tro que hubo el dia 15 muy de madrugada con la retaguardia de ques de Talara coa su legación. la columna de Mina á los alrededores de Guils (aldea de Espa París ij" de Junioña ) ha tenido por resultado hacerles prisioneros aco hombres, Parece que se trata de…</t>
  </si>
  <si>
    <t>…eo de Mr. Ei Re¿ nuestro Señor se ha servido conceder el Toison de Dalberg. El Prelado Della Ganga defendió la causa de la Reli Oro á S. A. R. el Príncipe de Carignan, y al Excmo. Sr. Mar gión y de la Santa Sede con tal elocuencia y energía, que hu ques de Talaru, Embajador de S. M. Cma. Grandes Cruces de biera logrado un éxito completo , si Buonaparte no hubiera in la Real y distinguida Orden Española deCárlos m á los Excelen terpuesto inmedi…</t>
  </si>
  <si>
    <t>…as tino, con la dotación de 600 ducados anuales y casa: es pueblo muchas, qué por sus ticos y graciosos vestidos han hecho la con de 200 vecinos. Los pretendientes se dirigirán al alcalde D. Mar currencia muy agradable. tin Garoz. Idem i£. Se halla vacante la plaza de maestro de primeras letras de la Continúan SS. MM. y AA. sin novedad en su importante villa de Escalona de Alberche, provincia de Toledo: su dota salud. Gon el plausible motivo de ser d…</t>
  </si>
  <si>
    <t>…ubio, Guardad al campo sus leyes, por la escribanía de D. Manuel Megía, se llama á los parientes Premiad del pobre el sudor; y personas qae pretendan tener derecho á los bienes de D. Mar Y coronada de espigas , tin'Antonio de Huici, natura! de la ciudad de Pamplona, que Sere grata á las fatigas falleció intestado en esta corte el día 4 de Setiembre último, Del celoso agricultor. para que comparezcan en este juzgado dentro del término de EN EL A…</t>
  </si>
  <si>
    <t>Mar, Alonso</t>
  </si>
  <si>
    <t>Alonso Mar</t>
  </si>
  <si>
    <t>…gidor. =: ~7 d® Agosto de este año en las inmediaciones de dicha villa á Rafael de Valenzuela.erEl Marques del Cerro. =E1 Conde de la 42 caballos constitucionales, que al mando de D. Alonso Mar— Lisea.ncJosef Joaquin de Herrero y Díaz.—Doroteo Gomcr — *in, teniente coronel del regimiento de Algarbe, hermano del Jacinto Peralta.zzAlonso de Lara.:=Franc¡sco de Paula Alhav.= Empecinado, saqueaban y robaban los pueblos indefensos, lo Antonio Martínez R¡…</t>
  </si>
  <si>
    <t>Mar, Francisco</t>
  </si>
  <si>
    <t>Francisco Mar</t>
  </si>
  <si>
    <t>…as, de cual fanzón por la de Asturias: D. Francisco Javier Perez de Var quiera clase y dignidad , que guarden y hagan guardar, cumplir gas , marques de la Merced, por la de Jaén : D. Francisco Mar y ejecutar la presente ley en todas sus partes. Tcndreislo en chámalo por la de Guadalajara; y D. Pedro Alvarez Gutiérrez tendido pava su cumplimiento, y dispondréis se imprima, pu por la de Granada , contra quienes se está siguiendo causa por blique y circul…</t>
  </si>
  <si>
    <t>Már, Joaquin</t>
  </si>
  <si>
    <t>Joaquin Már</t>
  </si>
  <si>
    <t>…al: 14. Se reconocerá por ayudante de órdenes al gefe de la se los batallones se presentarán con toda.su fuerza y la artillería con gunda brigada de la primera división al corone! D. Joaquin Már sus carros de municiones. quez y Donallo , al teniente del batallón de milicia act'va de Ma 3.0 El capitán D. Vicente Rogado, ayudante segundo del drid D. Josef María Troncoso. El segundo ayudante general gef« E. M. , queda destinado al de este ejército. inte…</t>
  </si>
  <si>
    <t>Mar, Juan</t>
  </si>
  <si>
    <t>Juan Mar</t>
  </si>
  <si>
    <t>…siderada';eonslitu- gustecionalmente, les pueda exigir el GbjVíe'r.Sp de.S. M, .- , El Rey nuestro Señor se ha servido nombrar Gobernador Art. 4.0 La columna del Mariscal de-Campo D. Juan Mar militar y político de la plaza de Alicante al Brigadier D. Pedio tin el Empecinado queda comprendida en-el artículo primero: lo Fermín de Irriberri. quedan asimismo las compañías constitucionales-de las diputado-, Idem 28. nes provinciales existentes en la pr…</t>
  </si>
  <si>
    <t>Mar, Juan Ramón</t>
  </si>
  <si>
    <t>Juan Ramón Mar</t>
  </si>
  <si>
    <t>…al del partido de Ca- Excmo. Sr. General D. Francisco Ramón de Eguía, D. Pedro latrava, con profundo respeto y acatamiento se acercan al Tro Novia de Salcedo y el Teniente Coronel D. Juan Ramón Mar no, tributando á V. M., á la Reina nuestra Señora y Real tí , por la feliz conseguida libertad de SS. MM. y A A., del modo Familia los mas afectuosos parabienes por el fausto y plausi siguiente; ble acontecimiento de su libertad, en que se congratulan coñ ,,…</t>
  </si>
  <si>
    <t>Maraív</t>
  </si>
  <si>
    <t>…quién mejor que este podrá decir tome la palabra en contra, aprobaré la proposición con lárefoisi las leyes han removido los obstáculos y suelto las trabas que ma propuesta por el Sr. Maraív, sin aprobar el que se ¡taya in han impedido la circulación de la propiedad? troducido en estas circunstancias. ' Se ha dicho igualmente que se trataba de una ley constitu A petición del Sr. Adan seleyó el'decreto de i.° de Enero . cional-, pero yo creo que s…</t>
  </si>
  <si>
    <t>Marati</t>
  </si>
  <si>
    <t>…er so Alava desempeñase las comisiones que aquel genera bre admisión de buques en la Península é islas adya tuviese á bien encarga ríe. centes , procedentes de la isla de Cuba. El Sr. Marati manife -ió que aunque &lt;íl halda sid&lt;» La comisión de Guerra habiendo examinado una el primero ert apr«dmr la autorización «pie se con adición del Señor ¡VInrfi al art. 5. ° del provecto cedió ni Gobierno de S. M., creyó que el Gobierna sobre capitanes del cue…</t>
  </si>
  <si>
    <t>Marau</t>
  </si>
  <si>
    <t>…Cortes; pero en el que ahora presenta la comisión no se obliga tes tendrá a bien desaprobar el dictamen. ■ todas las ¿rcvincias á la erección de estas compañías, «;co que d-.js El Sr. Marau: El Sr. López del Baño ba atacado este proyecto á la discreción de las diputaciones provinciales , según las mayores ó diciendo que era una repeticton del anterior; pero debo contestar í menores necesidades de las respectivas provincias, su erección ó no, S.…</t>
  </si>
  <si>
    <t>…nante se ha dirigido mas particular y no pudieron entenderse. mente á uno de los puntos del proyecto , manifestando que á la sombra Del escuadrón de artillería de Valencia, por el Sr. Marau. de esta habilitación se introducirían fraudulentamente grandes canti Del ayuntamiento constitucional de Villafranca de! Vierzo. dades de géneros; pero yo diré á S. S. que los géneros de qu** aquí se De la audiencia territorial de Granada. trata son de tres e…</t>
  </si>
  <si>
    <t>…ais, me ha eximido de este nes En el pro;. .- escrutinio para vxe-presidente no hubo elección , te go ¡ no siéndome de poca satisfacción el respeto y aprecio que merecen niendo el Sr. Marau 53 votos, el Sr. Falcó 46, el Sr. Munarnz uno, mis relaciones. el Sr. Becerra uno, el m. Vega nnn, ol s«. Cnas uno, d o.. Im .n,. En otras del 18 se dice : Se ha formado un Congreso para arre uno, el Sr. Garmendía uno, el Sr Fetrcr (D. Joaquin ) uno, el se gl…</t>
  </si>
  <si>
    <t>…tamen d-1* ( --Si se adoptase el dictamen en el sentido que lo fié-propuesío', cono- comisión. : ' 1 .Ceria la Nación que por su conveniencia" y por mira'precaución se trds- ' F.l Sr. Marau: Yo entro con tintó’ mas gusto en esta díscusio"! ’ ladában las C lories y el Gobierno , y no se alarmaría { como sucedería : Cuanto que me proporciona el manifestar los sentimientos que exp-''1' " por el diclamen. Prro teniendo el Gobierno la facilitad de tr…</t>
  </si>
  <si>
    <t>…ón que ha hecho al artículo el Sr. Septien de n cías, las Cortes creen conveniente que consultes sobre este punto á una que es inútil é inoportuna esta medida, ya ha contestado el Sr. Marau. « junta de militares.” Yo no me opondría á que se diese un manifiesto á la Nación, exponien Ademas, señores, si queda alguna esperanza de que los enemigos qu» do en él las circunstancias por las cuales se ven las Cortes en la noce- van í acometernos se retra…</t>
  </si>
  <si>
    <t>…r lo' deseos de las *&amp;r remunerado- 'on el aprecio v grat.tuJ ti «tiona!, v por ¡o m'smr» ::i Cortes. creído que seria hacerla poco favor si tratase al ora de la remen.: ir , n El Sr. Marau no ha observado que la proposición del Sr. Surrá era de este nuevo serv.cío áa queque tmtm rene-rosamenterenerowmente sese ofreceorre relativa á la recompensa que en tiempo oportuno se debía dar á los mili es el primer prem o , y su suerte la de to ia, lo» an…</t>
  </si>
  <si>
    <t>…rid como en otras prov ncias siempre que ha salido la milicia ciones de los Sres. preopinantes. de su distr.to nunca ha perd.do la -eonsidc-rac.on de milicia : riitimamenu Dice el Sr. Marau que la comisión debía haber propuesto un premio repito que aprobar este art cuio es lo mismo que decir que no vayan ma» para el miliciano que no admitiese la consignación: pero, seí or, dar un mine.anos que los empleados. premio solo porque no ha querido reci…</t>
  </si>
  <si>
    <t>…z, viuda de un Sr. magis llas familias de milicianos que salgan con ellos del pueblo de su domicilio. trado de la audiencia de Valladolid , para que se le satislaga la viudedad FU Sr. Marau apoyó el artículo conformándose con la cuota que en que le corresponda. él se señalaba; pero siendo de opinión de que estas asignaciones debían pa A la comisión de Legislación se mandaron pasar varios expedientes re garse de los fondos de las provincias, por…</t>
  </si>
  <si>
    <t>…jo de Estado, to de enterarse.de algunos pormenores. También creo convenien el cual había despachado su consulta. te que las comisiones que antes se nombraban por separado para El Sr. Marau: Yo desearía pues que las Cortes exigiesen del examinar dichas memor ias puedan reunirse, á fin de propon-.r las Gobierno manifestase el parecer íntegro del consejo de Estado medidas, legislativas, necesarias para dar acción al Gobierno, y sobre negocio tan i…</t>
  </si>
  <si>
    <t>…ustrayéndolas después de Nación sin Gobierno, lo que se consigue solo con medios ex los presupuestos cuando estos se examinen. traordinarios. Asi que, aprobando la proposición del Sr. Marau, Este es el objeto de la proposición: enhorabuena que los es soy de opinión que la comisión examine los recursos de que se pañoles no paguen unas contribuciones arbitrarias, y que sus re ha de echar mano, para que el general en gefe del ejército que presentan…</t>
  </si>
  <si>
    <t>…arte de derechos que dejaron de satisfacer aun se ha puesto en planta: v en fin veo otros males en la Ha en el de su procedencia. cienda pública. Reeuisos extiaoidiñar,e,s p.de el Sr. Marau: yo y.° Este est’mulo , que se concede para fomentar y repartir el podré manifestar á S. S. todos los ivb'trox quf ha habido en Es cultivo y la población de la isla de Cuba , durara por el termi paña ; pero con•zci-mos ei mu; , y apl qucsele el remed o. Asi n…</t>
  </si>
  <si>
    <t>…eneficiados de Sta Marta: D. Lorenzo Mas. = Dr. B’á. nas de la patria observando la Constitución, o á triunfar con ella. Idem del Pino: D. Francisco Cabrio!, z: D. Juan Sala. = Lí Sr. Marau manifestó, que por su parte no tenia inconve D. Josef Garriga. = D. Francisco Samper.= D. Pedro Ber niente en subrurar en lugar dei término de las 48 lloras las si nardo Ala. — D. Juan Pablo Ferrer. =D. Narciso Vivar. = guientes palabras; » en ei término mas…</t>
  </si>
  <si>
    <t>…rá tenido sus motivos. Hágalo ahora si quiere, mas no por zones evidentes. Asi que ir.s-'sto en mi proposición. la excitación de las Cortes, porque esto seria poco decoroso. No El Sr. Marau : Yo no puedo menos de oponerme á lo que el sotros como representantes de la Nación debemos hacer á nom Sr. Munarriz desea. El Gobierno prometió que daría un mani bre de esta esa manifestación ■ esa protesta y esa invocación. No fiesto á la Europa para hacer…</t>
  </si>
  <si>
    <t>…ficientemente discutido no hubo lugar á condecoración. ...... votar sobre la proposición. 2. a Se ocuparán los bienes .que pertenezcan á los españoles Se leyó otra proposición del Sr. Marau para que las Cortes que sirvan bajo las banderas del Gobierno francés , ó del que se se sirviesen nombrar una comisión de su seno, que á la mayor titule Gobierno español, como también los de los españoles que brevedad posible presentase una minuta de alocució…</t>
  </si>
  <si>
    <t>…argo cree que el que se propone producirá bue calde segundo. Antonio Moreno Fernandez, regidor primero. nos efectos. Francisco Granados, ídem segundo. Pascual Marin, ídem terce K1 Sr. Marau dijo que si los artículos 6 y 11 del decreto de ro. Cristóbal Martínez, ídem cuarto. Juan Lozano, ídem quin 27 de junio de 1822 produjeron buenos efectos, mejores debe to. Pedro Dónate , idem sexto. Sebastian Martínez Palacios, pro rá producirlos la medida qu…</t>
  </si>
  <si>
    <t>…e lo frívolo con lo odioso; esta invasión injuriosa no tamen del Gobierno.” nvnos á la persona de V. M. que al decoro y lustre de su trono, - Se. leyó la siguiente proposición del Sr. Marau: «Pido á ls» no menos á la gloria y honor que á la felicidad del pueblo espa Cortes que su acuerdo de 23 de Abril, consecuente á la propo ñol; esta invasión subversiva no solo de ¡os derechos délos pue sición del Sr. Sánchez, se realice dentro de 48 horas.” b…</t>
  </si>
  <si>
    <t>…se putado; y en cuanto á lo que se dice de la bula de S. S. podría cobrará esta contribución. 1 omitirse esta parte. La comisión, para conocer la suma de caudal de fortuna ó de El Sr. Marau para votar: Quisiera saber si la bula de S. S. se riqueza de cada contribuyente, pudo haber adoptado el medio de citaba, en el artículo para que sea el tipo, en cuyo caso no esta la manifestación de las rentas ó el del cómputo. En algunos pa¡«ría d: acuerdo c…</t>
  </si>
  <si>
    <t>…leyeron los arts. 3.a y 339 de siendo uno de ellos el que habría que entrar en el cómputo de lo la Constitución. que cada uno gastaba para poder calcular su posibilidad. Las de El Sr. Marau: N-’nguno de los señores que han hablado sobre mas razones que ha dado el Sr. Romero sobre este artículo per esta materia, ya sea en pro ó en contra, ha dejado ce conocer tenecen mas bien al 4.0 y al 5.0 que al que se discute. Ha dicho que ei proyecto produci…</t>
  </si>
  <si>
    <t>…cuando no Ha entrado en este puerto del de Plimouth la balandra in hablan es porque no tienen razones que alegar.” glesa de guerra Dzvarf: trae ocho dias de navegación, y condu El Sr. Marau fue de Opinión de que el manifiesto á la Eu ce á un oficial con pliegos para c! Gobierno. ropa para nada era necesario, pues la Europa conoce bien las Por la vk de Lisboa, y por cartas de Cork del día 3 del arterías de nuestro* enemigos y la justicia que nos…</t>
  </si>
  <si>
    <t>…aunque esto se omita, siempre que se d.a se lea el párrafo 9.0 de la instrucción del aio de 95. (Se levo. } aquí que la sucesión ha de ser por el orden de los infesta .ios siem El Sr. Marau: Pido se lea la orden de g de A.osto del año pre se tiene lo mismo. Yo por im parte no tei.go ule imanante 15, consiguiente á la instrucción de 6 de Setiembre de ib'i^. (Se en que se sustituya á ¡a palabra « cuarto grado” las de - hasta los leyó.) grados que…</t>
  </si>
  <si>
    <t>…s reputadas entonces heroicas; como ios túcenos de una gue á dicho número: He aquí mi dificultad. invasión que debió preverse han traído mucho* y graves perú ei. ,, A petición del Sr. Marau se leyeron ios artículos 35 y 40 en el día la cuesáon parece que se presenta bajo un nuevo ,.sp.eto. Sin embargo tan lejos estoy yo ce creer que ¡os argumentosde la Constitución. Eí Sr. Ruiz de la Vega: A ia dificultad propuesta por e! contra la conducta de!…</t>
  </si>
  <si>
    <t>…se encontrasen á los reos como rónimo Cortes , ex—guardia, y escribiente de la secretaría de las falsificadores. Cortes , en la que exponía que en vista del condicto en que se El Sr. Marau expuso que la comisión habia mirado este nego halla la patria , y siendo mas útil á esta en el servicio de las ar cio bajo los principios de la justicia y de la equidad ; y que asi co mas se sirviesen las Cortes recomendarle al Gobierno para que mo cuando se…</t>
  </si>
  <si>
    <t>…de la patria, que es conservar idéntica la siva á los Sres. militares individuos de las mismas.” Constitución de 1812. A petición del Sr. Prado se leyó el art. 12y de la Consti El Sr. Marau: Que es difícil encontrar un hombre que salve tución. á la patria dice el Sr. secretario del Despacho de la Guerra, y El Sr. Somoza: La salud de la patria es la suprema ley : si su convengo con esta idea; pero sin embargo quisiera no hubiese ne salvación depe…</t>
  </si>
  <si>
    <t>…s le habían impugnado Art. ti. 3 ;, El impresor será responsable, ademas no habían podido menos de confesar lo misino que de dos casos determinados por el artículo 27 de la lei el Sr. Marau á pesar de haberlo considerado bajo de 22 de octubre de 1820, en los siguientes : prime el aspecto mas odioso , que la libertad de imprenta ro. Cuando reimprima con su nombre y apellido, y bajo ios auspicios-que se hallaba establecida tiene cier el lug a-r y…</t>
  </si>
  <si>
    <t>…ción ninguna para que todos los empleados verificasen su venida. Me conformo con el anterior dictamen. = Ojero. No se ignoran las circunstancias particulares que mediaron en Se El Sr. Marau: No puedo menos de reconocer y aplaudir el villa que hicieron difícil y arriesgada la traslación, y aun todos deseo del Sr. Diputado, autor de la proposición, y el de la co nosotros nos hubiéramos quedado allí á no ser por el barco de misión que la ha informa…</t>
  </si>
  <si>
    <t>…o benemérito de la Patria en grado heroico, tarlo de Gracia y Justicia, y leido que fue este art. le impugnó condecorado con tres distintas cruces de distinción por acciones de el Sr. Marau, manifestando que debía tratar el Congreso de cer guerra, primer comandante del regimiento infantería 4.0 ligero, rar todas las puertas á la falsificación y á la intriga de todos aque gefe de la columna volante de la provincia de Lérida, y juez de llos emplea…</t>
  </si>
  <si>
    <t>…ñales , con cuyo culos citados) lo demuestran suficientemente. Por lo tanto des motivo enviaron lanchas para recogerlos. apruebo ef dictamen de la comisión. Cádiz re; de Julio. El Sr. Marau dijo que la comisión se convenía en variar su dictamen poniendo que los militares tuvieran reto activo para CORTES. las elecciones de avuntamiento en los pueblos de que eran veci PRESIDENCIA DEL SEÑOR. ZUIUETA. nos al tiempo de entrar al servicio o donde tuvi…</t>
  </si>
  <si>
    <t>…uel, insertando en 3a gaceta el anuncio de im que.se reunirá en la fonda de la Estrella , con el objeto de abrir primir la obra.” una suscripción para auxiliar á los Espauolcs. El Sr. Marau se opuso á este dictamen', manifestando entre La gran función dispuesta por las señoras de esta capital, con otras cosas que si se aprobaba podría suceder que alguno publica el fin de enviar su producto á los defensores de la libertad de Es se una obra que fu…</t>
  </si>
  <si>
    <t>…la es La comisión especial encargada de examinar las propuestas candalosa defección del conde de Cartagena, pedimos á las mis que hizo el Gobierno en vista de una proposición del Sr. Marau, mas se sirvan declarar haber oido con el mayor desagrado é in relativa á la duración de las medidas extraordinarias acordadas úl dignación la extraña conducta de dicho general, y el cúmulo de timamente por las Cortes, era de opinión que pasase á la de Le fal…</t>
  </si>
  <si>
    <t>…elegido diputado , esta es una ley de cir El Sr. Rico manifestó qué la aprobaba con la modificación cunstancias , que acaso podrá variarse en adelante. Por todas propuesta por el Sr. Marau. estas razones no creo sea incongruente el dictamen de la comi El Sr. Argüell es: La proposición que se discute la encuentro sión , y sí que debemos votarle para instruir á la Nación sobre este absolutamente inútil, porque siendo el objeto que se han pro punt…</t>
  </si>
  <si>
    <t>…muy buciones........................... 56r.927,4o5,.g2 digna.de que se le recompensase. Idem de los medios extraordinarios. ..... 650.000,000 Se leyó y aprobó una proposición del'Sr. Marau, en que pe dia que se nombrase una comisión especial que en él intervalo de 1213.927,405. .32 esta legislatura á la próxima ordinaria ó extraordinaria, si la hubie Idem de los gastos y presupuestos................. 1 x 10.170,019..'27 se , se ocupe en arregla…</t>
  </si>
  <si>
    <t>…blecidas por la última división de territorio. concedidas al Gobierno. El Sr. Varela pidió que sekyese el art. 17 del decreto sobre Dicha comisión , en vista de la proposición del Sr. Marau división de territorio, y asi se verificó. para que se declare que las medidas extraordinarias concedidas al El Sr. Alvarez (D. Elias) dijo que á consecuencia de lo pre Gobierno no tendrán mas duración que hasta las Cortes ordinarias venido en el art. que se…</t>
  </si>
  <si>
    <t>…r D. Ramón Sánchez Salvador, el con la mayor estrañeza el dictamen de la comisión respecto de espíritu de la guarnición era excelente, á pesar de notarse alguna la proposición dej^Sr. Marau. La proposición hecha por el se escasez de recursos pecuniarios: las intimaciones de los franceses ñor Marau, y el dictamen de la comisión, son de tal manera habían sido contestadas con carácter , dignidad y entereza; y los ¡diferentes, que el Gobierno que ap…</t>
  </si>
  <si>
    <t>4 I O cuil que no era tic l.i columna, y acompañaba al teniente co barse la parte de la proposición del Sr. Marau, que trata de doj ronel l’ar , cuto nombre ignoro. facultades á la Diputación permanente de Cortes para el objeto Me lie diferido en este parte, porque para con lo? profesores que se expresa , por cuanto la Diputación permanente 110 tiene de la carrera, cuya…</t>
  </si>
  <si>
    <t>…conetd.do , el trun sterio Desearía que se me dijese qué tiene que ver el espíritu ni la idea actual prefiere desde este momento no exist.r mas, á que se for de ¡a proposición del Sr. Marau con lo que propone la comisión; me de el esta idea. 2y qué propone esta! Debo hacer justicia á las rectas intenciones Por último suplico al Congreso que ss penetre de la abso de los individuos de la comisión ; pero es preciso decir que el luta necesidad que h…</t>
  </si>
  <si>
    <t>L 8 cuartos. ] 4ÍJ •ion G ACE T A E S P A Ñ OLA. CADIZ SABADO 2 DE AGOSTO DE 1823. 11 " ""■ Cádiz i.° de Agosto. El Sr. Marau opinó que las Curtes debian desechar este pro yecto por ser muy gravoso, y atendiendo á que la generación CORTES. actual tiene que sufrir mil privaciones y perjuicios para dar una Constitución liberal á nuestros descendientes, seria muy justo im presidencia d…</t>
  </si>
  <si>
    <t>…tar sobre la totalidad del dictamen. El Sr. Canga ha contestado ya victoriosamente.á las. impug Se votó este por partes-, y quedó aprobado en todas ellas. naciones que ha hecho el Sr. Marau, y ha manifestado las razo Se leyó y se mandó quedar sobre la mesa el dictamen de la nes que ha tenido la comisión para proponer este dictamen. El comisión primera de Hacienda sobre el pago ele e r,6pesos que Sr. Romero funda sus objeciones en que las Cortes…</t>
  </si>
  <si>
    <t>…contra la Se leyó por secunda vez y se mandó pasar á la comisión de citada batería, por lo que deben haber tenido bástente pérdida: Visita del Crédito público una proposición del Sr. Marau, re por nuestra parte no hemos tenido la menor desgracia. Dios &amp;c. lativa ¡i que todo secularizado que hubiese hecho uso del hábito ó Portazgo gr de Julio de 1823—El comandante de la. línea, Joa vestimenta de su religión quede privado de la pensión que obte q…</t>
  </si>
  <si>
    <t>…la mencionada orden las reformas presenta la comisión , contestando de paso á las observaciones he convenientes. chas por el Sr. secrttario de Hacienda en nombre del Gobierno. El Sr. Marau se opuso á este dictamen, y habiendo declarado Por lo que ha dicho su señoría continuó resulta que los comisiona el asunto suficientemente discutido quedó desaprobado el dicta dos no pueden entrar en clase alguna de tratados, y el dictamen de men de la comisi…</t>
  </si>
  <si>
    <t>…taciones provinciales, la cual será pagada por los fondos La comisión de Legislación en vista de una proposición del del comiin; que una junta, compuesta de las personas que se ex Sr. Marau, relativa á la duración de las medidas extraordinarias presaban, formase dentro de un mes la lista ele losjacrccdores á es concedidas al Gobierno por decretos de i.°y 2 de julio último, ta distinción , y que la misma, proponga á las Cortes por conduc opinaba…</t>
  </si>
  <si>
    <t>…de Vicna v de Se abrió la sesión con la lectura y aprobación del acta del Verona. Suplicamos á nuestros lectores que paren la atención en ríia anterior , y ocupando la tribuna el Sr. Marau , como indivi este documento, y que tengan presente al tiempo de leerlo que !a duo de la comisión de Guerra nombrada para examinar la pro guerra de España se emprendió con el objeto de poner en ejecu puesta del Gobierno sobre el modo de estimular y premiar lo…</t>
  </si>
  <si>
    <t>Marc, S-</t>
  </si>
  <si>
    <t>S- Marc</t>
  </si>
  <si>
    <t>…ternal, de Luis xvirr, al cual no quieren reconocer como al Mesías de la Francia, pory 9.0 de dragones, cuyos destacamentos lian dado las mayores pruebas de valor y disciplina. El general S- Marc se lisonjea es que esperan á otro, que no vendrá jamas,aunque le llaman de todas veras. pecialmente de las acertadas disposiciones tomadas por el coronel de Hautefeuille, y de ia conducta observada por el gefe de es Se podria formar una cuarta categoría de es…</t>
  </si>
  <si>
    <t>Marccllus</t>
  </si>
  <si>
    <t>…vizconde de Chateaubriand al los sábados á la noche, como salían antes de la llegada do la cor encargado de. Negocios de Portugal en París, rs (Comunicada te á esta ciudad. por el vizconde Marccllus al Sr. Canning en 7 de Marzo de ANUNCIOS. 1823.)=: Extracto, ce El Gobierno portugués cree conveniente protestar contra el principio promulgado en el discurso pronun Guia de forasteros Je Sevilla para el presente año de 18:3: ciado por S. M. el dia 28 de Ener…</t>
  </si>
  <si>
    <t>Marcelino, Josef</t>
  </si>
  <si>
    <t>Josef Marcelino</t>
  </si>
  <si>
    <t>…s puestos que el enemigo había vuelto á ocupar, D. Josef Domínguez , cura del Arrovibo, D. Josef Alaría Urny le rechazaron completamente. mas, los tres en clase de propietarios, y D. Josef Marcelino » Después de una hora de descanso emprendió el enemigo ha Geigel como suplente. Esta elección ha merecido también ¡a cer una salida con tres batallones socorridos por un fuego bien aprobación pública , y el Gobierno espera que podrán henar las sostenido de 15…</t>
  </si>
  <si>
    <t>March, Josef Saint</t>
  </si>
  <si>
    <t>Josef Saint March</t>
  </si>
  <si>
    <t>…el informe del Gobierno que Mauricio conde de Balbiani. Los capitanes D. Felipe Saint-March, apoya esta solicitud, es de parecer se le conceda; y se conforma D. Carlos Benbenuti . D. Josef Saint March, D. Josef Tejeiro, ba con el dictamen del Gobierno. Aprobado. D. Antonio Tejeiro, D. Josef María Doncel, D. Josef Curten. La misma comisión, en vista de la exposición de D. N. ZaEl teniente D- Gregorio López de Boneville. los subtenientes vala , para que se l…</t>
  </si>
  <si>
    <t>Marchámalo</t>
  </si>
  <si>
    <t>…lugar quedó elegido el Sr. Sánchez por 68 votos, teniendistinguir bandos y partidos; ¡Será creíble que un pueblo libre esté en do 30 el Sr. Veiasco, cuatro el Sr. Soria , cinco el Sr. Marchámalo, choque con los defensores de la misma libertad , contra el heroico ba 3 el Sr. Munarriz, y uno respectivamente los Sres. Soberon y Tomas. tallón de San Marcial, que fue el primero que se pronunció por la Total ia. Constitución, y que tantos dias de gloria ha…</t>
  </si>
  <si>
    <t>…cedió en efecto á ella, y en primer escrutinio salió electo el se Números. Premios. Administraciones. ñor Gastejoñ por 8p votos de 9Ó de total; teniendo tres el Sr. Neira, tres ei Sr. Marchámalo, y uno el Sr. Gómez Becerra. 5131...... lóooo duros.............. En Madrid. En segunda votación salió electo cl Sr. Gómez Becerra por 90 votos 135...... 8000......................... En Idem. de98 de total; teniendo cuatro el Sr. Marchámalo, dos el Sr. Viila…</t>
  </si>
  <si>
    <t>…por 76 votos, habiendo teni binado para llamar la atención por diferentes puntos , librarse asi de la persecución del Excmo. Sr. -conde del Abisbal, y levantar cuanta gentedo 6 el Sr. Marchámalo, y 2 el Sr. Neira. En 8.° lugar el Sr. Rovinat por 73 votos, habiendo tenido 5 el pudiesen, y que ellos hicieron correr esta voz para deslumbrar , lo que se guramente no es extraño, pues V. E. no ignora que este fue uno de los Sr. Marchámalo. En 9.0 lugar el…</t>
  </si>
  <si>
    <t>…e tercero , porque cuando s; que hubiere en el tribunal de Cortes. trun de eximir del sorteo á una persona, si le toca la suerte de soldado E11 la primera votación quedo electo el Sr. Marchámalo por fie voto», Otra debe suplir su falta, es decir, que gravita mas carga sobre los demas que era ¡a totalidad. vecinos del pueblo. En la segunda votación fu; elegido el Sr. Alix por 77 votos , teniendo La comisión hubiera deseado poder eximir del sorteo a to…</t>
  </si>
  <si>
    <t>Marchena, Gerónimo</t>
  </si>
  <si>
    <t>Gerónimo Marchena</t>
  </si>
  <si>
    <t>…. de infantería destinado á Ultramar, opinaba que 110 podia acce Sesión del dia ig. derse á su solicitud. Aprobado. Se leyó y aprobó el acta de ia anterior. Sobre la exposición de D. Gerónimo Marchena, del comercio A la comisión de Legislación se mandó pasar una exposición de Barcelona , opinaba que pasase al Gobierno; y entre tanto no de D. Jaime Corús, en solicitud de carta de ciudadano español. se hiciese novedad aiguna sobre lo que se solicitaba. Aprob…</t>
  </si>
  <si>
    <t>Marcilla, Dionisio</t>
  </si>
  <si>
    <t>Dionisio Marcilla</t>
  </si>
  <si>
    <t>…reemos do ni con su escuadrón persiguiese k ios dispersos cuatro leguas cami tan malis españoles, que consientan en renegar de este nombre glorio no de la Nasca, y que el teniente coronel D. Dionisio Marcilla, que so, y en seperarse de sus hermanos para convertirse en franceses. escuadrón de drsgones1 delj-I O—-r.Perú —se habíaV.Li. ....t.J.quedado ¿á retaguardia No, los catalanes, los aragoneses, los navarros y los vizcaínos no lo serán nunca, y bien enérgicament…</t>
  </si>
  <si>
    <t>Marco, Juan Antonio</t>
  </si>
  <si>
    <t>Juan Antonio Marco</t>
  </si>
  <si>
    <t>…, y á poco que le D. Antonio Gamonal, D. Francisco Luciano Domingu-z Vtllar.uivj, entr. tengan será sin duda alcanzado y deshecho. Estoy esperando parte D. Santiago Vicente Les , D. Juan Antonio Marco , conde de la Tor&lt; de la vanguardia, que según la proximidad á que se hallaba ya de! ene refresno y D. Bernardo Asenjo. migo, d-.b.ó hacerle algunos prisioneros y aumentar el horroroso des Habida la conferencia, se decidió por unanimidad » haber lugar á orden…</t>
  </si>
  <si>
    <t>…la mayor acti D. Andrés Fernandez. D. Saturnino Lozano'. vidad en estos días. D. Miguel Ripa. D. Agustín Arricia. También tiene la diputación contratados y prontos los 637 unifor D. Juan Antonio Marco. D. Bernardo de Borlas y Tarritfs- mes completos con armamento y fornituras para infantería ds línea: 55 D. Joaquín Cevallos. D. Josef Urrutia y Anatia. para caballería también de línea: 66 para idem ligera: 13 para artilfrI&gt;. Josef Brull. D. Juan Muguiro. lí…</t>
  </si>
  <si>
    <t>Marcolinl</t>
  </si>
  <si>
    <t>…tiempos tes bien era verosímil se retirase á residir en Dresde, donde pa de antaño, se pretendía esta franquía : ía fe dice que no : otros rece ha comprado una famosa hacienda del conde Marcolinl. dicen que sí, y se esperaba del duque*de Angulema que se dig Ha muerto á la edad de 83 años el cardenal arzobispo de nase expresar su voluntad , que haría ¡ey. Sena Monseñor Zondadari. A Vitoria se le prometió toda felicidad y ninguna desdicha; La gaceta de…</t>
  </si>
  <si>
    <t>Marcos, Juan Antonio</t>
  </si>
  <si>
    <t>Juan Antonio Marcos</t>
  </si>
  <si>
    <t>…preferencia.” Aprobada. En su vista se reunió el jurado, compuesto de los Sres. siguientes: Se leyó la siguiente proposición de los Sres. Ferrer (D. Joaquín ) y D. Carlos Romeral, D. Juan Antonio Marcos, D. Josef Rives Garmenclia: ..Pedimos á las Cortes que en atención á las circunstancias Queraltó, D. Matías Piniila, D. Zoilo Gómez Casero, D. Juan Anto en que se halla la provincia de S. Sebastian, la cual confina con Francia, nio López, D. Gaspar Aguilera,…</t>
  </si>
  <si>
    <t>Marejon, Antonio Hernández</t>
  </si>
  <si>
    <t>Antonio Hernández Marejon</t>
  </si>
  <si>
    <t>…ñana llegó i Alcali de los Panaderos, curso de medicina-práctica: á la* lo leerá la oración inagural dend ' salió á recibirle el ayuntsmiento, y formado el destaca de ordenanza el catedrático D. Antonio Hernández Marejon, mento de tropas francesas que habia en el pütb'.o, y otro que que tendrá á su cargo la explicación por la mañana de las enfer habia vint-do acompañando a! general francés que manda en Se medades agudas; enseñando por la tarde las crónicas el profesor villa ,…</t>
  </si>
  <si>
    <t>Margaría, Cárlos</t>
  </si>
  <si>
    <t>Cárlos Margaría</t>
  </si>
  <si>
    <t>…/jj.) escaramuza el subteniente D.'Ramón Córdoba por su arrojo, el teniente Rea] orden sobre el papel en que se deben forirc." los libros de cuen de caballería de la milicia móvil D. Cárlos Margaría, y el trompeta de ta y razón y de intervención de caudales. (Gaceta del 20.) la misma Isidro López. Decreto de las Cortes en que se adoptan algunos medios para la subsis » La compañía de ViUalba, con su capitán D. Josef Ramos, nada me tencia y habilitación de…</t>
  </si>
  <si>
    <t>Margiochi</t>
  </si>
  <si>
    <t>…usadas. ron la siguiente proposición : « Habiéndose creado por el decreto Ei Sr. Tricoso fue del mismo parecer. de zg de Junio último una junta auxiliar de 3 ó&gt; y eclesiásticos El Sr. Margiochi opino en sentido contrario , diciendo que para ayudar al Gobierno en lo relativo al clero, pedirnos á las la primera cosa que debía hacerse era saber cual era ei espíritu Cortes se sirvan acordar que el Gobierno remita los trabajos que de los hab lantes de Li…</t>
  </si>
  <si>
    <t>Mari, Antonio</t>
  </si>
  <si>
    <t>Antonio Mari</t>
  </si>
  <si>
    <t>…'del mejor espíritu ponian sus som suelto , un impreso denunciado por D. Nicolás García Denla, que pu breros en ks nubes; un gentío numeroso Ja circundaba , el repique ge-j blicó D. Antonio Mari» Cortés con Leba de 19 de Octubre de 1821; neral de campanas , las salvas de artillería , y el leerse eh los anima-, en cuya coi.i.cumck se le alzó k fianza, y se condenó en todas ks dos semblantes de todos todos: si quieren guerra, guerra tendrán, ar costas…</t>
  </si>
  <si>
    <t>Mari, Marques de</t>
  </si>
  <si>
    <t>Marques de Mari</t>
  </si>
  <si>
    <t>…que el general Guilleminot ha-sido nombrado Emba Cuartel general de Tours 23 de Noviembre de iií 23.=Viz jador deConstantinopla. (La Estrella?) conde. Donnadieu, Las exequias’ del Sr. Marques de Mari a 1 va ,E naba ¡ador de París 22 de ‘Noviembre. S. M. F.,' cuya muerte anunciamos ayer, se han celebrado hoy Después de haberse prorogado varias veces el Parlamento de al medio día en San Felipe-du-Roule. ' Inglaterra ,-acaba de serlo ahora hasta el 3 de Febr…</t>
  </si>
  <si>
    <t>María</t>
  </si>
  <si>
    <t>…sos que en ios distritos fronterizos á la previne el art. 1." del precitado decreto. Francia lian h elio armas contra la patria. De todas partes avisan que Habiéndose extraviado á Doña María de los Dolores Rodríguez un estas desgraciarlas víctimas d-l egoísmo de unos pocos, no pudiendo privilegio de un juro impuesto sobre millones de Toledo, en cabeza de sufrir tamas penalidades, y arrepentidos de su extravio , se presentar, Matías Mármol .le * 1…</t>
  </si>
  <si>
    <t>…ubalternos. tado á varios interesados en sus personas , entre los cuales eran com P. D, Continúan presentándome prisioneros y caballos que se prendidos la duquesa viuda de Arion , Doña María de la Soledad y encuentran escondidos en las casas que hago registrar__ Lo que trasla Doña María del Amparo Fernandez de Córdoba , estas dos íut mas en do á V. ,S. para su satisfacción y del público:::: Barcelona 14 de Febre concepto de herederas con oíros de…</t>
  </si>
  <si>
    <t>…pres-nte á la España la a'terpasar á la comisión de Hacienda. cativa de la guerra ó de una sumisión afrentosa. Si se confi-rni esta La misma comisión en vista de la exposición de Doña María de noticia, y la España es fiel á sí misma, tendrá en favor suyo to la Concepción l’afioz y González , viuda de un magistrado de la au dos los votos de los americanos setentrionales, i quienes nada háv y: i diencia de Valladolid , solicitando la viudedad que…</t>
  </si>
  <si>
    <t>…is genieros , en 4 ídem. mo, de 3940 nrrs. de renta , situado en la de salinas de Badajoz; y De las ocho compañías de artillería á pie que debieron llegar á Per- otro en cabeza de Doña María de la Aguila Amaya yM-ndoza, de piran , solo lo ha verificarlo una de 60 hombres , con cuatro piezas de 18,132 mrs. de renta, situado en la de las alcabalas de Ronda , fecha á ficho y dos obuses ; esta compañía ha recibido la orden de pasar í 28 de Setiembre…</t>
  </si>
  <si>
    <t>…idemos que la firme y elevada conducta de sa de la Nación , ha cabido en suerte del primer extracto de la do las Cortes merece el aprecio y admiración de los hombres de este día á Doña María de los Dolores Lator , hija de D. Juan, bien de todos los paises, asi como nuestros enemigos solo capitán del regimiento infantería de Osuna, muerto en el campo han sabido provocar la execración general. Nuestros errores, del honor. si los hubiésemos cometido…</t>
  </si>
  <si>
    <t>…ble de ellos, no para que en la misma forma y modo enagene las casas propias y tomará en la columa de equipages el lugar que por la orden le de la hlacicnda nacional - llamadas dé Doña María francisca Ra corresponda. mos y la casa Blanca, tasadas en 309,474 pesos fuertes y 7 reales. 10. En cada división habrá un subalterno conductor de equi Art. 4.0 be le autoriza asimismo para que pueda admitir en cam pages , a quien ¿odas las escoltas obedecerá…</t>
  </si>
  <si>
    <t>Maria</t>
  </si>
  <si>
    <t>…r. D. Vicente á Cádiz ni dado cuenta después de sus personas los oficiales de la Navarro Tejeiro, que lo es por la de Valencia. secretaría del Despacho de Estado D. Santiago Usoz, D. Maria no Carnerero, D. Andrés Villalba y D. Josef Parada, ha teni El Rey ha expedido los decretos siguientes: do á bien S. M. exonerarlos de sus respectivos empleos. Cádiz D. Fernando vti por la gracia de Dios y por la Constitución 30 de Junio de 1823. de la Monarq…</t>
  </si>
  <si>
    <t>…Marina me Carlos iu se titulase Infante Duque de Partata su sobrino Don dice con fecha de ró del corriente lo que sigue; Habiendo dado Fernando, como lo habia sido la Archiduquesa Doña María cuenta á S. M. de una consulta del Capitán general D. Juan. Isabel de Parma en el reinado de los Señores D. Felipe v y Don María Villavicencio, sobre que una de las medidas que había to Fernando el vi, en el concepto de Nieta de Rey, y según algu mado luego q…</t>
  </si>
  <si>
    <t>María, Bartolomé</t>
  </si>
  <si>
    <t>Bartolomé María</t>
  </si>
  <si>
    <t>…'.o, El dia 27 de Enero último falleció en esta corte á los 79 años, 9 me léase Vinaroz___ En k misma gaceta, col. artículo de Carlsvuhe, ses y 7 dias de su edad el Excmo. é limo. Sr. D. Bartolomé María de las donde dice cláusula, léase clausura. EN LA IMPRENTA NACIONAL.</t>
  </si>
  <si>
    <t>María, Carlos</t>
  </si>
  <si>
    <t>Carlos María</t>
  </si>
  <si>
    <t>…ron misa en él templo del monasterio, y regresaron eri seguida al Real Alcázar. A poco rato los Sermos. Sres. In Sé ha suspendido por ahora la apertura del próximo curso de fantes D. Carlos María y Doña María Francisca de Asís se la Real universidad de Salamanca en virtud de Realas órdenes, dignaron admitir á besar sus augustas manos con la bondad en atención á las circunstancias; y cuando se baya de abrir se que tanto les distingue, al numeroso concurso que se apresuraba anunciará…</t>
  </si>
  <si>
    <t>María, Cesáreo</t>
  </si>
  <si>
    <t>Cesáreo María</t>
  </si>
  <si>
    <t>…el constitucional de Sevilla. Para suplentes á D. Josel Vicente Du influjo que tienen algunos francos, hombres de talento , en las rada, vocal ele esta diputación provincial , y á D. Cesáreo María diversas mejoras que se están haciendo y que prometen la regene Saenz , literato , residente en esta plaza ; y para fiscal al licenciado ración del Egipto. Siti embargo, fas gentes de alguna instrucción D. Francisco Ranedo, secretario de la diputación provinc…</t>
  </si>
  <si>
    <t>María, Fernando</t>
  </si>
  <si>
    <t>Fernando María</t>
  </si>
  <si>
    <t>…idad que vincia ; y los capellanes [sueltos de egército al teniente vicario impone , honor que le proporciona hoy ser el órgano ds mas de y.auditor general dé los Reales egércitos D. Fernando María un millón de castellanos viejos, en cuyo nombre hablo á V. A. Pantoja; en él concepto de que cualquier individuo que no se Serenísima, y en el cual la felicito sinceramente por el feliz su presente en el término señalado será perseguido y castigado con ceso d…</t>
  </si>
  <si>
    <t>María, Henifique</t>
  </si>
  <si>
    <t>Henifique María</t>
  </si>
  <si>
    <t>…o del Sr. secretario del Despacho de Gracia cuarteles. y Justicia, en el que acompañaba la partida de bautismo del se Art. 12. El batallón ligero núm. 16, que estaba destinado ñor D. Henifique María &amp;c., hijo de los Sres. infantes de Espa para su organización para la ciudad de Cuenca, marchará pasado ña D. Francisco de Paula y Doña Luisa Carlota de Borbon. Las mañana á establecerse en Manzanares; y antes de su salida el gefe Cortes quedaron enteradas, y…</t>
  </si>
  <si>
    <t>María, Jcsef</t>
  </si>
  <si>
    <t>Jcsef María</t>
  </si>
  <si>
    <t>…lio de la mañana de ayer, y admitido era como ex Constitución ó muerte.” presa la copia cúm. 1. que tnciuyo a V. E., y su contestación fue la __&gt;, Milicianos: Los digno» patriotas D. Jcsef María de ia Escalera, del r.úni. :.u juez de primera insta c.a, y comandante de ni milicia nacional de ca &gt;• Acto continúe siguió el fuero, que en todo el dia y noche ba sido ballería de Menasalbas ; su alcaide primero cons'.l'.ucíona!; el coronel grande hasia as e…</t>
  </si>
  <si>
    <t>María, Jorge</t>
  </si>
  <si>
    <t>Jorge María</t>
  </si>
  <si>
    <t>…erpo del jurado: otro de la comisión de Le A la comisión de Visita del Crédito público se pasó una ex gislación, proponiendo un proyecto de decreto, á fin deque* todos posición de D. Jorge María de la Torre, vecino de Madrid, so-- los pie.tos que estaban conchudos y por ejecutoriarse artes de ¡a licitando se dispensen del pago del derecho de registro los bienes ptibl.cac on del Real decreto de 4 de Mayo de 1814 deben re que ha comprado del Crédito pú…</t>
  </si>
  <si>
    <t>María, Josef</t>
  </si>
  <si>
    <t>Josef María</t>
  </si>
  <si>
    <t>…l ayudante del mismo D. Antonio Pérez , ai capitán de gradi': ate título conforme á las leyes, serán admitidos á hacer la oposi nadires D. Francisco Javier Abalos, al de cazadores D. Josef María ción de que habla el art 6.°-, entendiéndose que los cirujanos han de Manglano, y á los tenientes D. Ramón Artegui, D. Luis Castejon y irner el tía licenciados en cirugía medica. Madrid 23 de Diciembre de D. Esteban Cereceda, á los cadetes D. Rufino Gil , D.…</t>
  </si>
  <si>
    <t>…a el 10 da Enero la Cámara de los Pares. último ‘remitió D. Francisco Antonio de la MJcorra en pl egó certifi .&gt;Contaremos esta tempestad que nos amenaza; esforcémonos, por cado á D. Josef María da 1* Macorra , vecino da Ceuta , cuatro certifi cuantos medios esten á nuestro alcance, i evitar el abismo en que se-, caciones de ««dito sin intere* á favor del mismo D. Josef, reconoméjantes calamidades sumergirían á nuestro país; y en este momento cidas e…</t>
  </si>
  <si>
    <t>…el de Luengas, D. Antonio Canadeü, D. Luis Igartuburu , Don Alt. 2.0 Los oficiales, sargentos y cabás de la rifer da milicia tendrán Joaquín María Goñi, D. Juan Bautista Carrera , D. Josef María la los mismos haberes que en sus respectivas provincias esten señalados á los Arroyo, D. Josef Perez Torroba, D. Ramón Míguez y D. Francisco de iguales clases de las compañías creadas en virtud del d creto de tas Antonio Larraza, por unanimidad declaró haber…</t>
  </si>
  <si>
    <t>…lo da-y 300 por la tercera, y por cada una de las siguientes que se que le pareciese conveniente. le pruebe haber vendido la misma obra; siendo estas multas líqui El Sr. González (D. Josef María) fue del mismo parecer, das á favor del propietario , pues los gastos del juzgado han de ser manifestando que un encargo de tanta consideración como el de siempre de cuenta del contraventor. Aprobado. presidente de las Cortes , era primero que ningún otro. Ar…</t>
  </si>
  <si>
    <t>…ha de diputados por la provincia' del Potosí, en el Perú, para los salido gravado con estas secularizaciones, pues no harccibido mas anos de' 1822 y 1 íi23 , y de la exposición de D. Josef María fincas que las de los monacales. Guevara, diputado electo por dicha provincia, pidiendo algún El Sr. Adan deshizo alguna equivocación en que dijo había socorro por ’ carecer de recursos para presentarse al Congreso; incurrido el Sr. Canga. opinaba que debía a…</t>
  </si>
  <si>
    <t>María, Joseí</t>
  </si>
  <si>
    <t>Joseí María</t>
  </si>
  <si>
    <t>…precedente, una sustancia salina fi.ifoime, Cruz, D. Juan Bautista Verrnurguia , D. Juan Bautista Alvaneda, dispuesta en forma de pequeñas rosas , que pudiera tenerse por una con D. Joseí María '/¡Baranda, D. Josef Juan de Pujada, D. Francisco creción amoniacal; pero que en realidad no era sino muríate de sosa. Robles, D. Leonardo Miguel Carneruno y D. Tomas López Calderón, y declararon per unanimidad haber lagar á la formación de cauta. TP.IEUX.VLE…</t>
  </si>
  <si>
    <t>María, Joset</t>
  </si>
  <si>
    <t>Joset María</t>
  </si>
  <si>
    <t>…os la hayamos rescatado. La primera acción la hicieron los va se halla tan inundado por la crecida del Tajo, que será difícil ó impo lientes v.teranos, que reunidos con mi hermano D. Joset María del sible que pueda pasar por él la artillería. Para procurar remediar este Castillo Rengifo y D. Eustaquio Babilonia , han subido haciendo el sensible atraso he enviado un oficial de ingenieros para que procure rescate desde el punto de Loreto , y entraron e…</t>
  </si>
  <si>
    <t>María, Josif</t>
  </si>
  <si>
    <t>Josif María</t>
  </si>
  <si>
    <t>…estinada D. Vicente Serrano. El que quiera matricularse de alumno ds ‘ La escuela acudirá á la calle de Alcalá, encima del hospitalÍara alojamiento de S. E., que lo fue en casa de D. Josif María lodiigurr Romero, predicador de S. M.; recibió a S. E. el cle Real del Buen-Suceso , cuarto segundo , donde vive el Sr. Don ro, las comunidades de carmelitas ca zados y- de franciscos: etl Bartolomé Pinera; acreditando estar graduado de bachiller en seguida s…</t>
  </si>
  <si>
    <t>María, Juan</t>
  </si>
  <si>
    <t>Juan María</t>
  </si>
  <si>
    <t>…, invitan á todos sus dignos de Córdoba y su partido , vacante por fallecimiento de D. Josef Ruii compañeros y í los demas verdaderos liberales i formar una suscripción Manzano, á D. Juan María de ia Torre y Muñoz : para la del de Cíepara vestirlos, con el laudable fin cte dar un público testimonio de los za á D. Fernando María Segovia: para ía del de Cogolíudo á D. Juan benéficos y generosos sentimientos que abrignn en su corazón loe vence de MataG…</t>
  </si>
  <si>
    <t>María, Luis</t>
  </si>
  <si>
    <t>Luis María</t>
  </si>
  <si>
    <t>…sita de! Crédito público, a consecuencia de la pi.a.io i 16 de Marzo de íbíV.esA D. Erar.stu ian Aligue!. «multa He la junta del mismo establecimiento sobre si se habla de pagar á D. Luis María botín, comendador de la orden de b. Juan , Ja Se halla vacante la plaza de segundo oficial de la secr'tatia de la pensión de iolJ ts. que disfrutaba sobre tas encomiendas, opinaba que dtaut.ic on prov.nc al de Ciccr.-s, .uro su-itíci es de 8220 rs. anuales. d…</t>
  </si>
  <si>
    <t>…Comandante del mismo, Pedro Villa— D- José García de la Torre, del de Gracia y Justicia; D. José » nueva.=El segundo'Cbmandante del mismo, Rafael de Grima— Sanjuan del dt Guerra; D. Luis María balazar, del de Marina; rest.zhEl Capitán mas antiguo del-mismo, Valentín Rojo.crEl y D. Juan de Erro, del de Hacienda; forméis un Consejo, que primer Capitán’, Juan Albeida.rrEl primer Comandante del ba se denominará Consejo de Ministros.'Tin ¿1 se tratarán…</t>
  </si>
  <si>
    <t>María, Manuel</t>
  </si>
  <si>
    <t>Manuel María</t>
  </si>
  <si>
    <t>…ado Cádiz el jurado de calificación, compuesto de los Sres. D. Pablo objeto, en el cual estriba la conservación de la libertad portugue del Valle y Llera , D. Lázaro de Élcjalde , D. Manuel María sa igualmente que la española. El Congreso nacional lusitano no Mateu , D. Miguel Garda Ortíz, D. josef Pérez Torrova, puede ignorar esta importantísima verdad, y los portugueics co D. Jos'f de Resurta, D. Josef Dionisio de Ugarte, D. josef meterían el mas cr…</t>
  </si>
  <si>
    <t>María, Manuel de Lla José</t>
  </si>
  <si>
    <t>Manuel de Lla José María</t>
  </si>
  <si>
    <t>…-- '^s ignoramos el destino que dió á los 8o£) pesos reunidos; y en fin Sres. Escovulo , Gami.nd a , Surrá , Sobaron , G~- . - ( Don constándonos que el subinspector de artillería D. Manuel de Lla José María) , Sierra, Fernandez Cid , Tor : .-ucfiez, Ojero, no y Nágera, que después de haber servido á ios enemigos cuan Ovalle , Alelíndez, Santos Suarcz , AL reo , jGco , Sa!v.,to , Lu to pudo, como socio de Abreu en la comisión pacificadora , ca sa ña , Ne.ra . Alb…</t>
  </si>
  <si>
    <t>María, Prudencio</t>
  </si>
  <si>
    <t>Prudencio María</t>
  </si>
  <si>
    <t>…dose extraviado á últimos de Setiembre di i año 21 cuatro dos los puntos de la tietra; y como tu concesión está sujeta á las for certificaciones de Vitalicios que 5: reraitian por D. Prudencio María malidades que prescriban las leyes, y cometida su distribución á deter Villoslada, vecino de e:ta corte , á D. Pedro Serrano Santa*',la, natu minadas autoridades , á ellas deberán dirigirse los que deseen obteneros. ral de Priego, prov-ncia ti : Córdoba , señ…</t>
  </si>
  <si>
    <t>María, Vicente</t>
  </si>
  <si>
    <t>Vicente María</t>
  </si>
  <si>
    <t>…eis batallones de la milicia nacional voluntaria, mand-sui» por el ma el decir que la Reina *e hallaba en la quinta tan presa como pudie comandante del cuarto batallón de Ja misma D. Vicente María sobera estario en la cárcel; que el verdadero motivo de haber escogido la ña t: iban, con ella los carros necesarios para formar un puente pro Reina dicha quinta para su residencia había sido porque conociendo visional para pasar el rio Be»*‘S, en caso de que…</t>
  </si>
  <si>
    <t>Mariana</t>
  </si>
  <si>
    <t>…beza de Juan Fernandez de Castro, sobre puertos secos de Castilla, torio á V. E. saber que entre los muertos se c amado Peri señalado con el húm. 8g'i otro de 8400 mrs. , en la de Doña Mariana quillo y á un sobrino d-l Rojo, según las notici:- ¡e este por me de Castro, sobre la seda de Granada, núm. 76: otro en cabría di Juan nor je me han dado. = Son las ocho de la noc. . jra en que he Alonso de Castro, di 4j£&gt; mrs. sobre alcabalas de Madrid , núm…</t>
  </si>
  <si>
    <t>Mariano</t>
  </si>
  <si>
    <t>…m¡ni‘,terV) publicando un decreto de las Cor el Desp..chi&gt; interino del miniUenn de la Guerra hasta la llegada tes ‘obre la circulación de lo, nuevos pesos mejicanos. (Gaceta (Je D. Mariano /orraquin, propietario, (.t&gt;a. ■ la dei ' Ai 'i'1.) de! ae.j) Otro ídem non ,brando á Id. Josef Alaria Cal,it vaca secretara* Utra [101 ia cual el Rey dispone el modo de hacer ¡a ellsti í- de! Doqiacho de Gracia y Justicia. (Gaceta del 24.9 EN LA 1 MIREN I A…</t>
  </si>
  <si>
    <t>…ido en clart. ía de la Coratituc on. -Aproíwdo;-'; ^-. . : '-i.: .- ' . El Sr. Afonzo .niamfestó que aunque pertenecía al estaco b:L&amp; misma comisión,;-en vista.de la exposición de D. Mariano eclesiástico no.por eso dejaría de-contribuir con su voto a que se' , Nájaray.hermanos, del comcrcio, para que selle devuelvan (S35 1 aprobase-iestñí decretó, pues- conocía que sino se hacia asi na -reates que íélediáncebrado de mas en varios, géneros quc ha(…</t>
  </si>
  <si>
    <t>…00 á 25.0 caballos. teniente graduado de capitán D. Juan María Nash: una tuarta Desde luego mandó retirar las tres columnas en el mismo or deest* mismo cuerpo mandada por el digno capitán D. Mariano den con que habían avanzado, y dispuso que las guerrillas se sos Moría , la compañía de guias, ocho salineros que hicieron este tuvieran, hasta que reforzadas enormemente las délos enemigos, servicio , y la primera compañía de cazadores de voluntarios lo que…</t>
  </si>
  <si>
    <t>…la rapidez en la ejecución, y por.la pron rales liberales del partido de Zayas y á los condes de Mollina) titud con que se ganó; y dentro de poco esperamos poder anun Vüiarcazar, D. Mariano de los Llanos, al coronel de caballe ciar que ninguna ha producido consecuencias mas importantes ría de Santiago) que trataba de pasarse con parte de sus soldados, para la felicidad de la España , para ia gloria la Francia, y y otros. Las gentes están llenas…</t>
  </si>
  <si>
    <t>Mariano'</t>
  </si>
  <si>
    <t>…e S. M.=En Palacio í ao de Enero de 1813. da, próximos al Batira, por el centro y por la derecha por el camino de Andorra : los primeros fueron detenidos inmediatamente por losr=A D. Mariano',Egea. trabajos practicados por aquella parte, que guainrcia Tarragona, contri El Gobierno ha recibido los parles siguientes. los que nada pudo el continuo fuego de ta artillería enemiga. % El gefé político de la provincia de Guadalajara, con fecha de „ Los de…</t>
  </si>
  <si>
    <t>Mariátegui, N.</t>
  </si>
  <si>
    <t>N. Mariátegui</t>
  </si>
  <si>
    <t>…algunos hombres degra nido á bien admitir .1a dimisión que había :hecho, nombrando dados se acumularán también los suyos, haciéndoles ver que na para desempeñar aquel .destino á .D. N. Mariátegui. Las Cortes die es capaz .de insultarnos impunemente, ni atropellar nuestros quedaron enteradas. derechos. Asimismo lo quedaron de otro oficio del mismo Sr. secreta Tal será el objeto de los trabajos que vamos hoy á continuar. rio, manifestando que habiendo S…</t>
  </si>
  <si>
    <t>Marimon, Francisco</t>
  </si>
  <si>
    <t>Francisco Marimon</t>
  </si>
  <si>
    <t>…es D. Juan de la Porte Despierne, D. Carlos bado. conde de Aíoy, D. Gaspar Rocabruna, D. Manuel del Mazo. La comisión segunda de Hacienda , en vista de la exposición Los coroneles D. Francisco Marimon, D. Fernando Salamanca, de la viuda de un soldado del resguardo militar de Barcelona* * D. Juan Linan, D. Luis Fernando Mon, el conde la Torre. muerto en acción contra los facciosos, pidiendo se le conceda Alta. Los tenientes coroneles D. Francisco Mon , D. F…</t>
  </si>
  <si>
    <t>Marín, Anselmo</t>
  </si>
  <si>
    <t>Anselmo Marín</t>
  </si>
  <si>
    <t>…de operaciones D. Vi dante di Guias, y comandante de la vanguardia', al capitán dé cente Quesada desde su cuartel general de Trujiüo, con fecha cazadores del segundo de Guipúzcoa D. Anselmo Marín, que 9 del actual, dirige al Sr.secretario del Despacho de la Guerra quedó hecho prisionero por su demasiado arrojo. También debo «i siguiente parte: recomendar i V. E. al segundo comandante del segundo da » Las descubiertas de mi vanguardia situadas en la ca…</t>
  </si>
  <si>
    <t>Marín, Rafael</t>
  </si>
  <si>
    <t>Rafael Marín</t>
  </si>
  <si>
    <t>…nuevo desengaño. sencia. E. M. segundo ayudante general D. Manuel de Soria, los Extracto de noticias de los periódicos de Cádiz del ella 7. segundos ayudantes D. Ramón. González y D. Rafael Marín, Se ha publicado de oficio la siguiente noticia, comunicada des los adictos D. Josef González , D. Diego Galvez y D. Salvador de Algeciras con fecha del dia i.°: «Ha entrado en esta bahía en Josef Mirallcs. el dia de antes de ayer el laúd español Virgen del C…</t>
  </si>
  <si>
    <t>Marin-</t>
  </si>
  <si>
    <t>…S. M. no de valor sobre las armas, persuadido á que el ataque iba i e4 Rey 4e FranciaT el príncipe de.Esterhacy y los embajadores ser muy ;serio , según todas ,las apariencias. EL vizconde Marin- y ministros plenipotenciarios dé las patencias extrangeras han goné, mariscal de campo, despachó dos compañías de granade asistid» á él. . ros sobre Villabertrand por un camino travesero , que los ocul - • ;.&lt;i ■ Idem -J7.._ taba al enemigo. Una de ellas, ¿ c…</t>
  </si>
  <si>
    <t>Marina, Casimiro Martin</t>
  </si>
  <si>
    <t>Casimiro Martin Marina</t>
  </si>
  <si>
    <t>…do de poner en armonía la organiza gas, D. Pedro Matute , D. .losef Luis de Amandi, D. M.nuel Car ción ide la milicia activa con la del egército permanente; se continuaría nicero, D. Casimiro Martin Marina y D. Juan Haz. la discusión pendiente, y levantó la sesión á las tres. Habida la conferencia, se declaró por ocho de los Sres. jueces ka iser lugar á la formación de causa. D. Francisco Travesedo dijo no ha Hemos recibido periódico* de Cádz que alcanzan hasta el 14, y ber…</t>
  </si>
  <si>
    <t>Marina, Francisco Martínez</t>
  </si>
  <si>
    <t>Francisco Martínez Marina</t>
  </si>
  <si>
    <t>…egorio Miguel de Mendivil. te lo que sigue : Señores que los absolvieron en esta parte 1 D. Antonio Puigblanch, s&gt; Habiendo procedido las Cortes extraordinarias á la renovación de D. Francisco Martínez Marina , D. Valentín Recio, D. Nicolás Here su presidente, rice-presidente y secrstario mas antiguo, que Jo era el dero Mayoral y D. Loienzo Lambía. Sr. D. '•*;-tin Serrano, han salido electos pira presidente el Sr. Don Señores que los declararon sediciosos: Villanu…</t>
  </si>
  <si>
    <t>Marina, Secretario del Despacho de</t>
  </si>
  <si>
    <t>Secretario del Despacho de Marina</t>
  </si>
  <si>
    <t>…io de Estado contestó que el Gubierno había El almirante del departamento de Cádiz ha comunicado por pasado inmediatamente i consulta del consejo de Estado el do extraordinario al Sr. Secretario del Despacho de Marina la en cumento oficial de la invasión de los franceses, y que aquel te trada en aquel puerto de un quechemarin el ip del corriente, nia ya despachada la consulta. procedente del de Santander, del cual salió el 11, cuyo capitán El Sr. Canga dijo que para ahorra…</t>
  </si>
  <si>
    <t>Marina, Secretarlo del Despacho de</t>
  </si>
  <si>
    <t>Secretarlo del Despacho de Marina</t>
  </si>
  <si>
    <t>…El Sr. Secretario del Despacho d* la Guerra, Martes y Sá- ' otra .estampa del mismo tamaño de los voluntarios Realistas de bados Ídem. Madrid, á 4 rs. en negro y á 8 iluminada. El Sr. Secretarlo del Despacho de Marina, Lunes y Jueves Nota. En la gaceta del martes pág. 420, col. 2.a al fin del ídem. párrafo, donde dice el gremio de ebanistas y carpinteros, léase so El Sr. Secretario del Despacho de Hacienda , Martes y Sába lo el gremio de carpinteros—En la del jueves pág, 4…</t>
  </si>
  <si>
    <t>Maringoné</t>
  </si>
  <si>
    <t>…ión de teniente general, acaba de morir en Magdeburgo, donde se ha Figueras hicieron una salida hacia el medio dia del 9 ; pero el bia refugiado desde 1815. Tenia 70 años de edad. vizconde Maringoné, que manda el bloqueo, dirigió tan bien las fuerzas, que inutilizó el proyecto de las columnas. Las tro NOTICIAS DE ESPAÑA. pas del bloqueo llegaron hasta cerca de las murallas del fuerte, Sevilla 16 de Agosto. donde sufrieron aoo cañonazos, que felizmente no…</t>
  </si>
  <si>
    <t>Maringone, Vionet de</t>
  </si>
  <si>
    <t>Vionet de Maringone</t>
  </si>
  <si>
    <t>…sta plaza, y para su provisión se admiten memoriales po( Berge , el barón Ordonneau ,’el conde de Meynadier, el barón Vin- término de 30 dias. cent , SchaetíVr, el barón Haber, el vizconde Vionet de Maringone, el Dirección general Je corrtot. conde Quinsonas, el conde d; Rastignac, el conde de Vittré.el barón El Excmo. Sr. secretario del Despacho de la Gobernación de la de A bignac, el conde de Armand de la 1 oyere , el conde de Saint- Península con fecha del 2 me…</t>
  </si>
  <si>
    <t>Mariscal</t>
  </si>
  <si>
    <t>…n este artículo es pariente muy cercano d:i 15, qua Los Sres. Regentes, el cuerpo diplomático , los Ministros de trae la difunta Constitución del año 12. Estado y del Despacho, el Sr. Mariscal duque de Reggto con (3) Esto &lt;s para que los diputados sean tantos en esta como todo ni estado mayor y generales franceses, los gefe» de palacio, tn la otia.</t>
  </si>
  <si>
    <t>…Secretario del Despacho de Estado me división del ejército de los Pirineos y del bloqueo de S. Se'oas— dice con fecha 4 del actual desde Jerez de la Frontera la siguien tian, y cl Sr. Mariscal de campo Conde de Terrija, Oficial de la te: El Rey nuestro Señor quiere que durante su yiage á la corte, Real orden de Ja Legión de Honor, caballero de S. Luis, gran no se encuentre á cinco leguas en contorno de su tránsito nin Cruz, Comandante y caballero d…</t>
  </si>
  <si>
    <t>…espedazado de dolor pudo sentir algún de ellos mismos que en calidad de prisioneros, de guerra pa consuelo en los últimos momentos, sería la reflexión de que la sen á encontrar al Sr. Mariscal para obtener el permiso de re Francia había dejado de serlo, que estaba entregada á unas hor unirlos y conducirlos á Francia al depósito;adonde irán: igual das feroces extraídas de la hez de los hombres, para robarla las mente se les permitirá conducir los ob…</t>
  </si>
  <si>
    <t>Mariu</t>
  </si>
  <si>
    <t>…ecretario de Estado; y levantó la sesión á las la Gobernación que tanto para expedirlo como para declarar ia dos y media. guerra se necesitaban todavía algunos datos oficiales. El Sr. Mariu pidió que mañana ó pasido mañana informase El Rey, en consideración á los distinguidos servicios, anti eVGobierno á las Cortes acerca del estado de la nación, y de güedad y aihesidn al sistema constitucional del mariscal de las medidas que creyera necesarias…</t>
  </si>
  <si>
    <t>Marjil, Francisco</t>
  </si>
  <si>
    <t>Francisco Marjil</t>
  </si>
  <si>
    <t>…ner á los enemigos, los cuales capitán Di Francisco Ibarra, del subteniente D. Vicente Gómez, consa artillería y caballería amagaban el arrecife, mientras que y del de igual clase D. Francisco Marjil, que cubrió la retaguardia la infantería á los flancos de la casa-fueste dirigía sus fueros hasta el caño. Estas partidas y la guerrilla del centro, al incor sobre nuestra masa , que ninguna maniobra podía hacer. Entmiporarse á la columna se batieron con los…</t>
  </si>
  <si>
    <t>Marnu</t>
  </si>
  <si>
    <t>…mano para poder efectuarlo. primera se hallaba comprendida en el art. roo del reglamento; A esta secta de que acabo de hablar se une otra que yo lla y admitida á discusión dijo el Sr. Marnu que convenía con ia mo de indefensionistas que nos causa iguales ó mayores perjui idea del Sr. plores Calderón ; pero no con el modo en que se cios que aquella. Estos hombres se hallan dedicados á intimidar hallaba extendida la proposición, pu;s r.o convinien…</t>
  </si>
  <si>
    <t>Marón</t>
  </si>
  <si>
    <t>…ritos.” dios el que los impresores sean los responsables de Previa mía discusión en la que se propusieron vá los escritos. idas modificaciones al artículo , convino la comisión El Sr. Marón impugnó este artículo manifestando cm admitir l,¡y propuestas por el Sr. secretaiio de que en su concepto no debía aprobarse, pues de lo Gracia y Justicia v se aprobó la primera parte de contrario se atacaba el derecho mas precioso que te este ai fíenlo en es…</t>
  </si>
  <si>
    <t>Maroto, Josef</t>
  </si>
  <si>
    <t>Josef Maroto</t>
  </si>
  <si>
    <t>…y sera ratificado; y las ratificaciones se cangearán en e! ccí Lopéz de Castro, D. Antonio Josef Terrero, D. Alonso término de 40 dias, ó antes si fuere posible. Calvo y Pantoja, D. Josef Maroto, D. Gabriel Fernandez y En testimonio de lo cual , nos los infrascritos plenipotencia D. J uan Brunenque. rios , en virtud de nuestros plenos poderes respectivos , liemos fir D. Diego Suarez la declaró por incitadora i perturbar la mado el presente articulo s…</t>
  </si>
  <si>
    <t>Marouse, Tessier de</t>
  </si>
  <si>
    <t>Tessier de Marouse</t>
  </si>
  <si>
    <t>…Vilattc, del io.° de drago en el Blanco verdadero de él, desconcertando el Jiñ político y nes; el teniente coronel de Compiegné, del mismo regimiento, religioso de los Masones. el coronel Tessier de Marouse , del to.° ¿s cazadores, y el co Procuraré por tanto desatar este nudo gordiano con la clari mandante del batallón Flamand, del 1.° de línea. Hace igual dad y exactitud posible , dejando al reflexivo y despreocupada mente un particular elogio de otros muchos…</t>
  </si>
  <si>
    <t>Marquerie</t>
  </si>
  <si>
    <t>…espectivos párrocos en el ministerio Serán -recibidas y custodiadas las munlcones que lleguen á pastoral; y los que no llegan en el día á la edad de 30 años solo Santander para el general Marquerie, y se le entregarán cuando percibirán la mitad de la renta que les corresponda, mientras no se tenga á bien disponer de ellas. ordenen de mayores , precediendo el debido examen y aprobación Dios guarde á V. E. muchos años. Torre la Vega y Ma a&lt;i curar» animar…</t>
  </si>
  <si>
    <t>Marques</t>
  </si>
  <si>
    <t>…firman que Asimismo se ha servido S.M. nombrar para la plaza de Decano prohíbe cambiar los cargamentos déJoj navios1; firman tan ¡rui del Consejo' supremo de lá Guerra al Teniente general Marques de noso al comercio del mar Negro: perict' promete entrar es* nego Camposagradd, Capitán geneíal "interino de Castilla la Nueva; ciaciones para hallar un medio de satisfacer los intereses de la para esta capitanía general al Teniente general D. Josef María Ru…</t>
  </si>
  <si>
    <t>…la los Reales ejércitos, el limo. Sr. D. Antonio Fernando de Echa- noche por desatarse; pero ninguno de ellos podía conseguirlo, nove, Obispo de Seleucia, Abad de la Granja, y el Sr. Marques hasta que Constantino Mauro logró romper las ataduras de las de Valdespina: este, tomando la palabra, dijo: manos con los dientes. En el momento que pudo ejercer libre „Señor: El Señorío de Vizcaya, siempre fiel á V. M., tiene mente sus movimientos corrió á s…</t>
  </si>
  <si>
    <t>Marques, María Josefa</t>
  </si>
  <si>
    <t>María Josefa Marques</t>
  </si>
  <si>
    <t>…roposición de los Sres. Reillo, Ber de la justa causa do la Nación, cupo en suerte del primer ex trán de Lis, Gil Orduña, Sarnz de Buruaga, Neira* Rojo, tracto de la de este dia á Doña María Josefa Marques, bija Muro, Canga , Sierra , Somoza y Adan: » Pedimos á las cortes de D, Fernando, Teniente de infantería retirado, muerto eu se sirvan acó dar que a la junta de defensa nombrada por el Go acción de guerra, bernador dpi',, plaza de Cádiz, se le concedan las m…</t>
  </si>
  <si>
    <t>Marquina</t>
  </si>
  <si>
    <t>…todos los demas el de 600; clamas el general Ballesteros, y el parte que comunica desde Cerrera pero los alféreces promovidos i esta clase con grado de tenientes goza el dia 7 si comandante Marquina, acerca de una acción que tuvo el ran la efectividad de este empleo con sueldo de tal. dia 6 en Artesa, cuyo resultado fue matar 90 facciosos, ycogeries 15 Art. 18. » Los sargento? que por la ordenanza de guardias tengan acémilas , cuatro t-rgas de municiones…</t>
  </si>
  <si>
    <t>Marquina, Camilo</t>
  </si>
  <si>
    <t>Camilo Marquina</t>
  </si>
  <si>
    <t>…e de la instrucción para el gobierno .i Comandancia de armas de Cerrera----El comandante de la colum económico-político de las provincias de Ultramar. na volante de esta provincia D. Camilo Marquina me avisa desde Se aprobaron los artículos siguientes. Ton» con facha de ayer de que habiendo salido de Agramunt á ¡5» Art. 17. u Trat ndose de elección de personas, si ninguna rcuniei* tres de ia mañana para atacar á lo. facciosos , que perseguidos se habían…</t>
  </si>
  <si>
    <t>Marraci, Benito</t>
  </si>
  <si>
    <t>Benito Marraci</t>
  </si>
  <si>
    <t>…hasta el 15. licia local de Madrid , cuya guardia mandará el comandante del También se ha dicho que se verificaría la invasión inmediatamen primer batallón de dicha milicia local D. Benito Marraci, re te ; pero que solamente avanzarían las tropas .hasta el Ebro hasta uniéndose una y otra compañía en la plaza de la Constitución ¿ la llegada al ejército de todas las que se esperan del interior. las diez y media. Fondos públicos en Londres el 24 de Marzo:…</t>
  </si>
  <si>
    <t>Marrad, Benito</t>
  </si>
  <si>
    <t>Benito Marrad</t>
  </si>
  <si>
    <t>…tenientes también de Granada D. Francisco Aller, Gefe de día el comandante del primer batallón de la M. Né D. Francisco Perrichini, D. Josef Márquez y D. zVntonio Ve- L. de Madrid D. Benito Marrad. lazquez , que fueren los mas digno* modelos de la decisión con Servicio á palacio el Infante D. Carlos y primer batallón de que se portó su tropa. En la caballería de Lusitania no son me la M. Né L. de Sevilla , .í la» órdenes del teniente coronel mayor nos…</t>
  </si>
  <si>
    <t>Marrano, Teresa</t>
  </si>
  <si>
    <t>Teresa Marrano</t>
  </si>
  <si>
    <t>…estantes, de los cua opinaba que podía accederse á estas solicitudes. Aprobado. les tres heridos levemente y otro de gravedad, quedando en su La misma en vista de una solicitud de Doña Teresa Marrano poder seis caballos con sus monturas y equipages, con cuya pre para que á su hijo D. Fernando Osuna se le dispense del; deppsi-</t>
  </si>
  <si>
    <t>Marsellac</t>
  </si>
  <si>
    <t>…caza Artillería. Secundo regimiento de á pie, su coronel Mr. Mathieu, dores y fusileros avanzaban sobra los ficciosos, el fuego horroroso y 4ÓQ. Tercero ídem de á caballo, Ídem el barón Marsellac, 120. Cua sostenido que se lesjdzo, y la calma con que despucs de todo se sen tro compañías de obreros de artillería, 100. Idem ídem de artilleros taron teniendo sus fusiles entre piernas, impuso tanto i los facciosos sed-toan-s, 20c. Un escuadrón del tren ,…</t>
  </si>
  <si>
    <t>Marshal</t>
  </si>
  <si>
    <t>…sef Angel González, zz Josef de la Torre. =Isidoro Dcnch'é.zz La Emperatriz dió felizmente á luz una Princesa el día y. Eladio González. =s Serma. Regencia de España é Indias.” El barón Marshal se presentó hace ocho dias al Emperador en calidad de encargado de Negocios de Austria. Se asegura que » Sermo. Sr.: La ciudad de Valladolid, representada por su el conde de Palma debe salir para Vicna en calidad de minis ayuntamiento, se apresura á felicitar…</t>
  </si>
  <si>
    <t>Marta</t>
  </si>
  <si>
    <t>…, este campeón de los héroes justos, este invicto guer zaur, pasará por fallecimiento da esta á sus hijos D. Bernardo, rero, que forma el honor de la España, se aproximaba, con la Doña Marta de los Dolores, Doña María Concepción y Doña Je deliberación santa de redimir á Galicia del infernal cautiverio, susa de Elío, distribuyéndose por iguales partes entre ellos, tanto voló apresurado á buscar su redentor: se apoderó de esta plaza al varón como á…</t>
  </si>
  <si>
    <t>Marteau, María Ana Francisca</t>
  </si>
  <si>
    <t>María Ana Francisca Marteau</t>
  </si>
  <si>
    <t>…pedido y pido perdón á Dios de todos mis crímenes, de Bassannc, domiciliado en Madrid mientras vivió, y de la di igualmente imploro la demencia de mi santa Religión , de mi funta Doña María Ana Francisca Marteau, su esposa, natural Rey y de todos los pueblos é individuos de la Nación á quienes de Estaples, en el departamento Dupas de Calais en Francia; los haya ofendido en vida, honra y hacienda, suplicando como su cua les se dirigirán para darse á reconocer al Sr. M…</t>
  </si>
  <si>
    <t>MARTES</t>
  </si>
  <si>
    <t>Nú®. 19. ( 7 cuartos. ) 137 S'-% /. GACETA DE M A D R I D. MARTES 28 DE ENERO DE 1823. NOTICIAS ÉXTRANGERA3. dúos que no pertenezcan á cierro aúrr.ero de familias tituladas ? La re solución de este problema rs muy 11.1 ■ f*S'in I r en.el día, porque pez una AIEMAÜIA. parte vemos que las riquezas y las luces estío vinculadas…</t>
  </si>
  <si>
    <t>Núm. 37. C 7 CU* ‘ÚU5 / É&gt;##j&lt;É&gt;ÉÉ&gt;Í&gt;Éi(Í)©###iliÍ)íÍiÍKÍ/É)É)Í)#iÍ&gt;&lt;lldÉ&gt;álíi) G A C E T A D E M A D R I D. MARTES 4 BE FEBRERO DE 182.3. —,----------------------- n — 1 ________ ; ^ . i »■ NOTICIAS EXTRANGERASl jfint’s 'di ayer se hizo un ajuste de loo fusiles con un armero de este pu-.blo , y en si- mano estuvo haberse comprometido i suminis ITALIA» trar mayor cantidad.…</t>
  </si>
  <si>
    <t>Núin. io¡. [ y cuartos. ] 4*7 ,^í\ * -&lt;t\ 4* í¿' «?• /■*•&gt; A .qiíis A *£ /te»’* /te» &lt;2* y*. A -i- Á /te * m. a .¡.. a a a A G A C E T A D E M A D R í D. MARTES 8 DE ABRIL DE 1823. NOTICIAS F.XTRANGE RAS. zaban con una invasión que podria efectuarse en 15 dias, crey’ton prudente el retirarse a una provincia que Bonapzrte con qooO hombrei, FRANCIA. con muchos ico millones y seis años de ¿cena no pudo someter en París…</t>
  </si>
  <si>
    <t>Marti</t>
  </si>
  <si>
    <t>…ue dijo había in puede intervenir en la disciplina, que es lo que e*,_ en coñudo con currido el Sr. Velasco. lo ‘sociedad. Esta disciplina es interna y• externa; y acerca de La El Sr. Marti ocupó la tribuna, y leyó un largo discurso, en el Pt ■ mera no puede determinar nada la potestad civil ^ pero sí respecto que después de manifestar que había estado mucho tiempo á cargo de ds la segunda, á c-tyi -reforma se dirige el dictamen de la comisión.…</t>
  </si>
  <si>
    <t>Martí</t>
  </si>
  <si>
    <t>…es hay que indican el modo de tocarse. sito que fuese no podría atender á toda su diócesis. ¿Será acaso el que se deje al brazo eclesiástico en la posesión de sus Después ataco el Sr. Martí la reducción de fiestas, suponiendo su bienes? Pero, señor, sea lo que quiera, las Cortes tienen ya acor señoría que eslo r.o lo puede hacer ei Congreso; pero vs un error , por dadas sobre el particular disposiciones muy sabias: ¡ y quiénes son los que que ¡a…</t>
  </si>
  <si>
    <t>…tbres. Estos se lian observado , y desde entonces ta A mí me han sorprendido mucho las doctrinas que ha sentado el corte de Roma ha provisto solamente un pequeño número da pi.-zas Sr. Martí; pero ¡cómo no se acuerda S. S. de que los pueblos han si .1 o sucas que le están reservadas. Señor , que nos falta mucho terre rio despojados del derecho de nombrar los ministros dei culto! ¡Cómo no que andar, y esta es la época mas oportuna: en la primera p…</t>
  </si>
  <si>
    <t>…la obediencia á las Muro, Somozi, Bu»t -s , Canga, Rico , Salva , Moreno , Baives, Prct, leyes del Estado. Tejeiro , Ore aña , Vólanuevi, Ferrar ( D- Joaquín ) , Sepnén , fí.isaEl Sr. Martí tiene un oído muy delicado, pues que dice que le ña, Reillo, Neira , Lis, Luque, Garoz, Gómez (D. .VDr.uel) , Luto, disuena mucho el que la potestad civil intervenga en la disciplina ex Serrano, Alonso, Marau , Adán, Abría, Salsato, Raíz de la Veea, terna de…</t>
  </si>
  <si>
    <t>…poner arrestado por 24 horas al ciu trimonio.; y por lo mismo debe aprobarse rí dictamen de k comis ordadano que halló delinquiendo in fraganti, creo que por las circunstancias E1 Sr. Marti preguntó que si por el expediente constaba que se hubie del delito no debe exigívsele la responsabilidad, porque daríamos.un ejem sen hecho todas las proclamas en aquel matrimonio: y habiendo -destaco plo que podía sernos funesto : en efecto, ¡hemos de castig…</t>
  </si>
  <si>
    <t>…se puede conocimiento de los recursos de nulidad que varse.n sobre senten ya pozar de los derechos civiles. cias dada; por los jueces de primera instancia, por cuya razón fue iil Sr. Martí manifestó que los ex-monges debían tener voto de parecer que correspondía á las aud.encias el conocimiento de en tas elecciones, porque la obligación de los votos en Jo eclesiás estos recursos , por considerar á los ¡ucees tclesiást.cos en la mis tico cesa cu…</t>
  </si>
  <si>
    <t>…misión, en vista de la instancia del*r. Josef otros que acaso no los admitirían los Sres. preopinantes. En efec Ma ría Cherif, religioso franciscana descalzo de Granada, en to, el Sr. Martí ha manifestado que en el mismo acto que fue que pide Ja continuación del pago de la pensión de too ducados ron los ex-monges exclaustrados quedaron nulos los votos que anuales, mediante haber acreditado su descendencia del trono de tenian hechos; luego todos…</t>
  </si>
  <si>
    <t>Marti, Bernardino</t>
  </si>
  <si>
    <t>Bernardino Marti</t>
  </si>
  <si>
    <t>…jirm.tj.') _ A las once y media de la mañana han entrado en esta capital 83 mas segura de prender C aun s^ndo añeja), y que requiere menos -nciprisioneros hechos por el benemérito capitán D. Bernardino Marti, que siones; que no se necesitan las precauciones prevenidas por el Dr. Je manda la compañía de seguridad pública,, compuesta de valientes y de ner, pues vemos se presenta la calentura variolosa que debe destruir cididos patriotas. Los citados prisioneros per…</t>
  </si>
  <si>
    <t>…á exterminar a los enemigos de la patria. los bizarros comandantes de lanceros de Rioja D. Francisco Cervera os presenta un ejemplo de uno y otro. Conocen que la Ruiz, y teniente coronel D. Bernardino Marti, quienes también seducción es ¡a que lu engrosado las tilas de ios rebeldes , por lo se apoderaron del obús, carros de municiones, y poraon de ar mismo todos , y yo á su nombre , os cottv. Jamos con la paz; re mas y efectos: el grueso de Capapé fue seguido po…</t>
  </si>
  <si>
    <t>Martí, Eermrdino</t>
  </si>
  <si>
    <t>Eermrdino Martí</t>
  </si>
  <si>
    <t>…onspiradores; pero en ningún caso podrán verificar— Liria y Benimaclet, la compañía de segundad publica del mando lo por sí, á menos de hallarse en alguno de los señalados por del capitán D. Eermrdino Martí, que casi siempre se hallo en la ley. todos los encuentros y escaramuzas , la compañía de la Union, Los comandantes de partidas podrán sacar para las de su inan compuesta de ciudadanos honrados, y en ia mayor parte de ofi do las raciones de pan y etapa corres…</t>
  </si>
  <si>
    <t>Marti, Ftancisco</t>
  </si>
  <si>
    <t>Ftancisco Marti</t>
  </si>
  <si>
    <t>…Despacho universal de Hacienda en iodo Diciem n;a;.ua, á quien nombré mi ayudante de órdenes. bre de 1822 , que queda en la contaduría general de mi cargo, de que »» Debo mucho al brigadier D. Ftancisco Marti y oficiales del ceitifico.—Josef del Ribero Ceballos. cuerpo de Ingenieros, que en la noche del 5 han trabajado incesan ARTICULO DE OFICIO. temente para construir baterías y verificar todos los trabajos de defensa, A pesar de los escasos medios que para ello…</t>
  </si>
  <si>
    <t>Marti, Hemeterio</t>
  </si>
  <si>
    <t>Hemeterio Marti</t>
  </si>
  <si>
    <t>…ompletamente uniformada y armada; poco después se Catecismo de las fiestas y solemnidades de la Iglesia, por el presentaron á cumplimentar al Sr. duque los oficiales de los de Dr. D. Hemeterio Marti, obra útil para todos los fieles, y par pósitos de infantería y caballería de esta ciudad, los carabineros ticularmente para los que tienen á su cargo la cura de almas. Se y guardias de la Real Persona , el ayuntamiento en cuerpo, el vende á 6 rs. á la rústic…</t>
  </si>
  <si>
    <t>Martí, Juan Josef</t>
  </si>
  <si>
    <t>Juan Josef Martí</t>
  </si>
  <si>
    <t>…detenerse en hacer una patética pintura camas y colchones á dos y á cuatro rs. del acendrado amor que tiene á V. M. y su Real Familia. V. Al. He pasado oficio al Teniente Genera! D. Juan Josef Martí es testigo de ello, y en su tránsito por esta villa ha visto, asi su nez, que presidia la Junta de Almirantazgo, para que quedase di espíritu público como la porfia con que todos sus naturales han suelta, y enviase aqui todos sus trabajos y papeles de su arch…</t>
  </si>
  <si>
    <t>Martí, Rernatdino</t>
  </si>
  <si>
    <t>Rernatdino Martí</t>
  </si>
  <si>
    <t>…'.j.Vu.-.úr og £u;-o. derrotados los lánár-cos se entrevan * un profundísimo dolor , y la idea que se ¡1.1 *.u&gt;d &gt;»do de ellos lo, atormenta constan-mente , en lugar Manifiesto d; D. Rernatdino Martí. deque los r lu.-iidos españoles se hallar muy satisfechos en Francia, Fúb:-ci&gt; es eí estado lastimoso en que sí hallaba esta provine-1 ha «n dond- Irs dan d- comer las autoridades. A estos paisanos fatuoI..-.o* ce un .1 :• por ¡as piviRvi de m líhechoi. s qu…</t>
  </si>
  <si>
    <t>Martin</t>
  </si>
  <si>
    <t>…entadas en Lóndres serán reconocidas v reintegradas co fatales consecuencias ¡a dificultad de comunicarme : primero con mo las letras mismas. Real Alcázar de Sevilla 21 de Mayo el coronel Martin, después con el briitadicr Miranda, que tomó de 1813. EN LA IMPRfc A NACIONAL.</t>
  </si>
  <si>
    <t>…tanto mando . que esta’ pronto á sacrificar todo io que no convenga á sus gro i.° Los desertores de cualesquiera ¿poca y cuerpo que se pre seras intrigas. =s Oran acaudillado por D. Martin de la Madrid, senten en el término de quince días serán recibidos sin ninuun no quiere qua ninguno de estos le domine, y ¿ pesar de su mise ' 3 castizo, ni nota alguna en su filiación, i menos que no tengan ría’ „_____se considera soberano_ « _________ ______…</t>
  </si>
  <si>
    <t>…bre^tier modelo de sus subalternos. También considera deber recomendar ra y á muy larga distancia; á las diez y media se distinguió ser el distinguido mérito del Teniente de navio D. Martin, de Espi una corbeta que seguía con fuerza de vela la vuelta del sur, dis no, que con los acertados fuegos y maniobras de la corbeta de tinguiéndose á su inmediación cuatro goletas que hacían el mis su mando contribuyó e'V.izmente á tan glorioso resultado; y…</t>
  </si>
  <si>
    <t>Martin, Alonso</t>
  </si>
  <si>
    <t>Alonso Martin</t>
  </si>
  <si>
    <t>…ue los ali ron el día.27 del pasado en Ja inmediación de dicha villa á 42 cantinos no se separaban de su tiro de cañón , hasta donde lle caballos constitucionales, que ai mando do D. Alonso Martin, gan casi todos los dias mis tropas del batallón de Guardias y teniente corone! del regimiento de Aigarvc, hermano del Em lanceros del general. Luego que el comandante del cantón de pecinado, estaban saqueando y robando, como acostumbran, Jijona me dé pane de…</t>
  </si>
  <si>
    <t>Martin, Antonia</t>
  </si>
  <si>
    <t>Antonia Martin</t>
  </si>
  <si>
    <t>…los de Medinaceu. Si tu ñor: Con fecha 18 del actual me dice el teniente coronel de los ejérci viéramos ahora tropas en esta parte, seria completa la destrucción de tos nacionales D. Antonia Martin desde las inmediaciones de Sigiienza los perversos. Yo por la mía, si acaban de llegar las milicias volunta lo que á Ja letra copio.=Columna volante del primer distrito miiitar.cr rias, estoy resuelto á salir mañana. Los caballos de Calatrava y 100 No teniend…</t>
  </si>
  <si>
    <t>Martin, Antonio</t>
  </si>
  <si>
    <t>Antonio Martin</t>
  </si>
  <si>
    <t>…n Sevilla de los sentimientos que nos ata.marón en .MiLa comisión segunda Eclesiástica, atendida la exposición de drid al decretar el reemplazo extraordinario: en aquella época co D. Antonio Martin, rciiíioso secularizado y residente en la villa scábamos qúe todos los españoles fuesen á servir en el ejercito, V de Vi n.lroz, en la que manifestaba que el gefe político de la pro con arreglo á esta base se expidió aquel decreto; decreto por el cual vincia…</t>
  </si>
  <si>
    <t>Martin, Benito</t>
  </si>
  <si>
    <t>Benito Martin</t>
  </si>
  <si>
    <t>…ramos altamente, ó nos reinar listas yutctldadosdeL, provincial en igual número al ds los fac mos de tan rateros medios de alucinar á los incautes, si la expe ciosos-, al mando da D. Benito Martin , á quien se agregó el riencia 110. nos hubiera demostrado que lo eran tanto nuestros sargento segundo del provincial Ignacio Fernandez, que persi pebres liberales, que leen y oyen como artículos de, fé cuanto guiéndolos sin cesar.,, lograron sorprenderlos en…</t>
  </si>
  <si>
    <t>Martin, Bernarda</t>
  </si>
  <si>
    <t>Bernarda Martin</t>
  </si>
  <si>
    <t>…lo aspecto, á saber, el de cuenta y razón de ¡as ofici La comisión segunda de Hacienda en vista de la solicitud de nas ; mas ese orden puede variarse fácilmente, y no han atendido Doña Bernarda Martin y Doña Joaquina Rodríguez, opinaba que á la utilidad que debe reportar á los pueblos el restablecimiento debía pasar al Gobierno. Aprobado. del año civil. En este estaban establecidas las épocas de ¡os pa La comisión de Legislación en vista de una consulta del supre gos en tiempos mas…</t>
  </si>
  <si>
    <t>Martin, Casimiro</t>
  </si>
  <si>
    <t>Casimiro Martin</t>
  </si>
  <si>
    <t>…1813: El Sr-'D. Ramón En su vista sé reúriió el jurado, compuesto de los señores siguientes: de Argos, magistrado honorario de la audiencia territorial de Castilla D. Josef Rives, D. Casimiro Martin , D. Jaime Ruíz y Abreue la Nueva , y juez ietrido de primera instancia en esta dicha villa: Ha- D. Andrés de Aloya Luzuriaga , D. Josef Antonio Ponzoa , el conde tiendo visto la cau:a seguida á instancia de D. Agustín Josef Mestre, ' de Floridablanca , D. Ni…</t>
  </si>
  <si>
    <t>…bido de cada pue guientes: D. Cayetano Romero, D. Juan Manuel de Aréjula, Don blo. Y estos presentarán á los referidos directores los recibos de los Andrés Alcon, D. Miguel Hipa , D. Casimiro Martin , D. Lorenzo encardados, para que comprobándolos con los testimonios, justificación Calvo de Hozas, D. Celestino de Olozaga , D. Antonio Sandatio de y notas, los retengan, abonen á los pueblos su importe (incluso como Arias, D. Gonzalo de Cárdenas. va dicho e…</t>
  </si>
  <si>
    <t>…e por 79 votos, habiendo tenido uno Casero , D. Juan Paz , D. Antonio Diaz del Moral, D. Francisco Cocada uno de los Sres. Valdés, Bustos y Cano. Jombo, D. Juan Manuel de Aréjula, D. Casimiro Martin, D. Joaquín En la r8d votación quedó electo el Sr. Romero por 85 votos, ha Manrique y Manrique. biendo tenido uno el Sr. Isturiz. Habida la conferencia, se declaró por unanimidad haber lugar i la En la 19.* votación fue electo ei Sr. Serrano por 90 votos, hab…</t>
  </si>
  <si>
    <t>Martin, Florencio</t>
  </si>
  <si>
    <t>Florencio Martin</t>
  </si>
  <si>
    <t>…la misma clase-, pero habiendo lle rendar dichas fincas en todo ó en parte, según las suertes desig gado la noche se puto una guardia de milicianos en la casa para nadas, acudan á D. Florencio Martin, calle de Santiago, alma seguir al otro dia el escrutinio. A media noche entraron dos su- cén de china, ó al escribano D. Juan Villa, calle del Burro, getot en la casa, de que hay testigos , porque lo permitió la núm. 34, donde se les enterará de las condicio…</t>
  </si>
  <si>
    <t>Martin, Josef</t>
  </si>
  <si>
    <t>Josef Martin</t>
  </si>
  <si>
    <t>…18 había apresado á dos barcos mallorquines y uno valiente y benemérito coronel del regimiento caballería de Espa cataian___En Marsella han detenido los franceses 8 barcos espa ña D. Josef Martin, cuyo fallecimiento me participa V. S. con ñoles , cuyos nombres publican Jos periódicos, y añaden que he fecha 2 2 de Abril último de resultas de la herida mortal que re mos detenido en Rosas á otro de los franceses, que puede re cibió en la cabeza en la acc…</t>
  </si>
  <si>
    <t>Martin, Juan</t>
  </si>
  <si>
    <t>Juan Martin</t>
  </si>
  <si>
    <t>…a debido designar al Gobierno corpo ta nocñ-. En este pueblo -nos incorporamos con una pequeña fu-01 qu; ración ninguna á quien consulte en este caso. mandaba el mariscal de campo D. Juan Martin (el Empecinado ), que Además de que en el consejo de Estado hay también militares para dando todo’bajo sus órdenes. trato d.- una trasacion, en laque no se debe tratar solo del punto mas Atendido á que éstas tropas constaban de diferentes cuerpos; s? ^eguro ,…</t>
  </si>
  <si>
    <t>…a memoria de esta memo el tono de réquiem aquello de, tu te metiste fraile mosteh &amp;c. rable época, arengó á S. M.en los siguientes términos: Otro. „Por carta del Mariscal de Campo D. Juan Martin el Señor: La idea mas sublime, la retórica mas fina, no hallan Empecinado', su fecha 21 del actual, sabemos que los franceses una frase con que Sevilla pueda manifestar la emoción de su co que llegaron á Baños, y aun á Plasencia, tuvieron orden para dirazón,…</t>
  </si>
  <si>
    <t>Martin, Juan San</t>
  </si>
  <si>
    <t>Juan San Martin</t>
  </si>
  <si>
    <t>…. en su poder esta representación; y en ta. caso, cual sea la causa de no Lí misma comisión opinaba debia pasarse á informe del Gobierno haber dado cuenta de ella. la solicitud de D. Juan San Martin sobre pago de cicttcs créditos pro El fir. secretario Soria r Los secretarios no han recibido s:m jante cedentes de un préstamo. Apiobado. representación, y si la hubesen recibido no ñauñau ornu.du dar aumta La misma comisión opinaba que debia acctderse i la…</t>
  </si>
  <si>
    <t>Martin, Pedro</t>
  </si>
  <si>
    <t>Pedro Martin</t>
  </si>
  <si>
    <t>…bon........................... ....................................1 también informado por el Gobierno relativo i la aolicitud del pres Sta. Cruz de Tenerife.. bítero secularizado D. Pedro Martin , para que se la aumente la pensión 28, 11 que disfruta; otro acerca da la solicitud de D. Pedro García para qua ae le satisfaga lo que se le debe por los suministros que hizo en la Art. 4* «Para la nueva organización de este cuerpo propondrá el guerra patada…</t>
  </si>
  <si>
    <t>Martin, Policarpo S.</t>
  </si>
  <si>
    <t>Policarpo S. Martin</t>
  </si>
  <si>
    <t>…vincias; en el dia, que aquellas se han acabado, y que soto tán; D. Joaquín Ramos, teniente coronel; D Juan Romero y Cádiz es el punto que mas llama ¡a atención , traslada su cuar D. Policarpo S. Martin, voluntarios ambos de caballería. tel general á Sevilla para ínspirai á sus soldados un nuevo ardor con su presencia. Convenio entre el teniente general Mólitor , comandante en El Rey lia dicho al embajador del augusto prisionero de la gefe del segundo cuerpo…</t>
  </si>
  <si>
    <t>Martin, S.</t>
  </si>
  <si>
    <t>S. Martin</t>
  </si>
  <si>
    <t>…era’d, papeles de Fran tiago de Tuna, distante 16 leguas de Lima. Esta estaba ocupada cia, su fecha 24 de Julio , los cuales aseguran que en las tertulias por todo el ejercito del general S. Martin. Como me i ule tesaba «W Alemania, donde se discurre sobre asuntos de política, se habla ocuitar al enemigo el pumo por donde pensaba desembocar, de un nuevo congreso iutopeo, de otra asamblea de los tiranos marché en aquella noche con ei gefe del E. M G. del…</t>
  </si>
  <si>
    <t>Martínez</t>
  </si>
  <si>
    <t>…en unión con otras po, y á las cuatro salió en la diligencia para To’.osa , acompañado del personas, confederádose y convenídose en matar alevosamente á S. E. general Fieire, del coronel Martínez y del Sr. Ortega , secretario d; Ja el marques de Wellcsley , virey de Irlanda.” regen-ra. _ El ministro español duque de S. Lorenzo , dice el Diario de ios de- Se asegura que esta ha recibido instrucciones secretas de i a mayor tnfes, ba alquilado otra casa…</t>
  </si>
  <si>
    <t>…guilar (antiguo empleado en rentas en la Havana). Coruña 30 de Marzo. Mr.Tatour, por el prefecto de policía de Paris. Las facciones de Buson y de otros se disolvieron , y los cabe Sr. Martínez ( antiguo oficial de Guadatajara, procedente del cillas que no se acogieron á la amnistía tratan do hacerlo. Habién depósito de inválidos de Aviñori )r dola redamado la facción entera de Cibeiro y muchos otros cabe Mr. Carriere, por el subprefecto de Paú. dla…</t>
  </si>
  <si>
    <t>Martinez</t>
  </si>
  <si>
    <t>…spañolas no podrán hacer ar bo persuasión ni partido que lo decidiera á la pretendida mudan resto aluuoo sin la autorización del comandante de nuestras tro za : á las dos horas el general Martinez provocó otra (unido con pas dentro del distrito en que se hallen. Art. 2.0 » Los comandantes en gefe de los cuerpos de nues Santa Cruz , secundo gefe del cuerpo, y primer cabeza ) ; nuevos debates, nueva resistencia: se llamo al mayor general para que tro ejé…</t>
  </si>
  <si>
    <t>Martínez, Antonio</t>
  </si>
  <si>
    <t>Antonio Martínez</t>
  </si>
  <si>
    <t>…Sr.: Hoy hace un mes volvió el enemigo á sitiar pagamento, podrán dirigirse desde hoy con sus letras y protestos esta plaza, sin que entonces me haya sido posible participarlo á á D. Antonio Martínez, comisionado especial y encargado por V. E., pues á favor de la noche hizo aquel su movimiento, ha el Gobierno en Londres, á recibir de su mano sin dilación nin biendo aparecido á la madrugada delante de la plaza y ocupadas guna el reintegro del principal, da…</t>
  </si>
  <si>
    <t>Martínez, Celedonio</t>
  </si>
  <si>
    <t>Celedonio Martínez</t>
  </si>
  <si>
    <t>…idem ligera: 13 para artilfrI&gt;. Josef Brull. D. Juan Muguiro. lía , y otros 13 para zapadores, que en todo componen los 774 hom P&gt;. Juan Jabat. D. Antonio Lambea. bres de su cupo. D. Celedonio Martínez. D. Baltasar Martin Pérez. Ademas y en este intermedio ha organizado la diputación com D. Tadeo Parras Hermosilla. D. Domingo García. pletamente y en estado de servicio dos compañías de infantería y una de D. Gonzalo Cárdenas. D. Marcos Izquierdo. caballería…</t>
  </si>
  <si>
    <t>Martínez, Diego</t>
  </si>
  <si>
    <t>Diego Martínez</t>
  </si>
  <si>
    <t>…al se suponía que llevasen pliegos pitán retirado, D. Luis ValcarcJ , teniente ídem, D. Domin de la mayor importancia. Por el mismo tiempo habian sido lla go Romero, D. Felipe lta,D. Diego Martínez y D. Pedro mados á Petersburgo el gran duque. Constantino y los generales Antonio Valcarcel, todos retirados. de los ejércitos de la Lituania y de Besarabia, Sack.cn y Witt- Idem 28. genstein, y la cancillería polaca del Emperador, que estaba en Gobierno superior políti…</t>
  </si>
  <si>
    <t>Martínez, Domingo</t>
  </si>
  <si>
    <t>Domingo Martínez</t>
  </si>
  <si>
    <t>…ongo en el debido Eliza¡de. Por subinspector de infantería de línea y de los cuerpos conocimiento de V. E.; asi como ci haber visto yo recalar del de la milicia nacional activa al brigadier D. Domingo Martínez. Océano en la misma mañana de antes de ayer una fragata de Por subinspector de caballería al brigadier D. josef Manon. guerra sin pabellón , y con banderas de señales en el tope mayor, Por comandante general de artillería al brigadier D. Josef I o- la misma q…</t>
  </si>
  <si>
    <t>Martínez, Dominio</t>
  </si>
  <si>
    <t>Dominio Martínez</t>
  </si>
  <si>
    <t>…ó que mañana se continuaría la discusión pendiente? y levantó Bernardo Elízalde.__Por subinspector de infantería de línea y de la sesión. los cuerpos de milicia nacional activa el brigadier D. Dominio Martínez__ Por subinspector de caballería al brigadier D. Josef ■■■'■ El Sr. diputado ¡á'Cortes D- Manuel de Latrc fue -puesto en Marrón-Por comandante general de artillería el brigadier Don el número de ios-que en la sesión de Cortes del 8 propusieron !a Josef López—…</t>
  </si>
  <si>
    <t>Martínez, Francisco</t>
  </si>
  <si>
    <t>Francisco Martínez</t>
  </si>
  <si>
    <t>…causa común. Para que luya paz se ve precisado el polígamo á mas Samper; capitán, I). Antonio García Luían; Teniente, mandar como un déspota, y entonces ya no ve en ellas mas que D. Francisco Martínez ; capitanes, D. Manuel de Yanez , D. Ni unas esclavas que le aman en la apariencia, y le aborrecen en rea colás de Llano; subteniente, D. Fernando Sequeira. San Fer lidad. En vano cada una de estas mugeres le asegura c n las ma nando 20 de Agosto de 1B 2 3. =…</t>
  </si>
  <si>
    <t>Martínez, Gonzalo</t>
  </si>
  <si>
    <t>Gonzalo Martínez</t>
  </si>
  <si>
    <t>…el Sr. D. Bernardo Osorio, tasado sin incluir su fru conocida adhesión á su Real Persona , y demas circunstancias de to en 104,800 rs. Item una casa-cortijo, nombrado el Salinero, D. Gonzalo Martínez, Administrador de la imprenta Real, se con sus albergues, tinglados y demas, sito en término deja mis ha servido nombrarle Tesorero general de la Renta de Correos. ma villa de Cabra, partido de las Salinas, con 1Ó5 fanegas y 4 celemines de tierra calma para p…</t>
  </si>
  <si>
    <t>Martínez, Ignacio</t>
  </si>
  <si>
    <t>Ignacio Martínez</t>
  </si>
  <si>
    <t>…sita del Cred to público sobre la inteligencia de la palabra co&gt;A k comisión de Legislación se mandó pasar tina exposición ritnteí del decreto sobre liquidación de suministros. de D. Ignacio Martínez solicitando la legitimación de una hija Leído este dictamen hizo algunas observaciones sobre él el suya. Sr. Gómez ( D. Manuel), á las que cou'-stó el Sr. Surrá. La comisión de Visita del Crédito público, en vista de la ex Se declaró haber lugar á votar sobre…</t>
  </si>
  <si>
    <t>Martínez, Josef</t>
  </si>
  <si>
    <t>Josef Martínez</t>
  </si>
  <si>
    <t>…castigada como robo. ANUNCIOS. Ningún oficial de partida podrá usar de la divisa de su gra do sin el correspondiente nombramiento dado por el coman D. Ildefonso López del Barrio, D. Josef Martínez, Don dante general délas partidas de la provincia , de acuerdo con la Juan Bautista Asuar y D. Julián Merino, todos cuatro eran ve diputación provincial de la misma , y visado por el comandante cinos de Madrid, y se ignora si viven ó no; á ellos ó á sus he ge…</t>
  </si>
  <si>
    <t>Martinez, Jostf</t>
  </si>
  <si>
    <t>Jostf Martinez</t>
  </si>
  <si>
    <t>…rra á la Francia, y algunas cartas d* A ¡a de Hacienda se pasaron otros varios; á saber : una representa Francia hablan de que en virtud de nuevas negociaciones no será ex ción d; D. Jostf Martinez , vecino d; esta corte, sobre contribuciones traño se suspenda la egecucion del proyecto de invadirnos. directas: otra de Doña Leonarda de la Riva Abren , viuda de un ofi Negociaciones ha habido que han desaparecido: negociaciones hay, cial de marina, para qu…</t>
  </si>
  <si>
    <t>Martínez, Juan</t>
  </si>
  <si>
    <t>Juan Martínez</t>
  </si>
  <si>
    <t>…en cuya acción, sucedida en 18 de Marzo último , se hallaron-y distinguieron SAXONIA, . los oficiales de Aragón D. Dionisio Peirona , D. Manuel Pa WeitKar1 ii de Marzo. ■ lacio y D. Juan Martínez, -y los de Pontevedra D. Francisco ' S. A. R. el gran duque hizo ?utes de ayer, después de haber Pórtela y D. Manuel&gt;Sequeiros, asi como las dichas milicil asistido i un oficio divino solemne, la apertura de la nueva se nacionales y sus comandantes. sión de l…</t>
  </si>
  <si>
    <t>Martínez, Juan Antonio</t>
  </si>
  <si>
    <t>Juan Antonio Martínez</t>
  </si>
  <si>
    <t>…emprender en p-./sei.uir sus restos mar una auerrilía á las ordenes del teniente D. Manuel Palacios, no me permite dirigir á V. E. una relación exacta, corno cor y del subteniente D. Juan Antonio Martínez dei batallón de responde , de ¡o acaecido e-n este día; pero io liare tan luce o co Araron con tropas del mismo, y para sostenerle el capitán del rno pueda, con lu adición de ¡o qile se, adelante. mismo con toda la tropa restarte de su cuerpo, y el subtenient…</t>
  </si>
  <si>
    <t>Martínez, Juan Bautista</t>
  </si>
  <si>
    <t>Juan Bautista Martínez</t>
  </si>
  <si>
    <t>…estó. El sargento y los cuatro caballos de Al mansa' del 6." regimiento de marina mandado por el teniente de fra permanecieron en Inventa hasta que la columna llegó á la inme gata D. Juan Bautista Martínez, por haber solicitado este cuer diación de la cortadura, retirándose después al paso, y despre po tener parte en la operación, animado del patriotsmo y pun ciando el fuego de les enemigos, que desde la orilla opuesta c?cf' donor que 1c caracteriza. Al llegar…</t>
  </si>
  <si>
    <t>Martínez, Juan Diego</t>
  </si>
  <si>
    <t>Juan Diego Martínez</t>
  </si>
  <si>
    <t>…secta , oprobio de ocho días comparezca en la escribanía de Cámara del crimen de la de su patria y mengua del siglo en que vivimos , proclaman las mis misma audiencia al cargo de D. Juan Diego Martínez , á efecto de ha mas ideas y profesan igualmente las doctrinas mas absurdas y atroces. cerle saber el auto proveído por el propio tribunal ea vista ds Ir Enemigos irreconciliables de todo lo justo y decoroso , se irritan con causa formada en el juzgado de pri…</t>
  </si>
  <si>
    <t>Martínez, Juan Josef</t>
  </si>
  <si>
    <t>Juan Josef Martínez</t>
  </si>
  <si>
    <t>…repetidísimas maquinaciones como nes, pagando los derechos establecidos; y el 2.0 á que se exonere siempre me han rodeado en dicha plaza. del pago de derechos que debe satisfacer D. Juan Josef Martínez, , Ya no me queda otra cosa que manifestar á V. S. sino ro por haber sido condecorado con la cruz de Carlos 3.0 , en aten garle, encarecidamente tenga la bondad de decretar tan Juego como ción á haber renunciado la pensión que le correspondia. le sea posible…</t>
  </si>
  <si>
    <t>Martínez, Lorenzo</t>
  </si>
  <si>
    <t>Lorenzo Martínez</t>
  </si>
  <si>
    <t>…el uno y el otro. -ri : ■ 1 " 'V ro, D. Ramón Gilafcert, Josef Ortells, Jaime Rey, Lorenzo R itort, Se ha dicho que el eilado de guerrero que ie halla la América D. Juan Domemch, D. Lorenzo Martínez, escribano, D. Matías An hará impracticable» muchas disposiciones da este proyecto. A este Es tonio Herdara , D. Andrés'Martí ,'escribano, conde Parsen , D. Blas contestado el Sr. Varda que á todos ios casos ae ha ocurrido én él, Madalenes, D. Josef Chisbett,…</t>
  </si>
  <si>
    <t>Martínez, Manuel Vicente</t>
  </si>
  <si>
    <t>Manuel Vicente Martínez</t>
  </si>
  <si>
    <t>…iendo se llamen pretendientes por medio de lá por haber servido el empleó de gobernador con nombramiento gaceta, ofreciéndoles 15 reales diarios desde el dia que se pre- del limo. Sr. D. Manuel Vicente Martínez, ú tiino arzobispo, íentáii con ¿aballo, v c-títidad indispensable para uniformarse y ya en la actualidad pof sd vicario general, sede vacante , por ■ -y proveersí dé la montura y arreos necesarios; del oficio del in este cabildo metropolitano. tendente en qu…</t>
  </si>
  <si>
    <t>Martinez, Miguel</t>
  </si>
  <si>
    <t>Miguel Martinez</t>
  </si>
  <si>
    <t>…tan dulce es un Rey justo, un Padre benéfico y un bienhechor menez.=Ayudante segundo , NicolásCorona.=bargcnto primero, amoroso! Buen testigo de esta verdad es el Ayuntamiento del D. Miguel Martinez.=Cabo primero , D. Francisco Pellicer.= Puerto de Sta. Alaría, pues desde el momento en que V. M. pisó Guardias, Pedro Cermeño. = Juan de Lara.rcCayetano Mar esta ciudad se mo=tró Rey justo en los sabios decretos que ex pidió, Padre benéfico en la afabilidad…</t>
  </si>
  <si>
    <t>Martini</t>
  </si>
  <si>
    <t>…puesto presas las mugeres de los milicianos,.,. Instrucciones morales sobre los sacramentos ds !a Iglesia, Nosotros creemos que el enviado de nuestra cotte cerca de dichas por el Sr. Martini, arzobispo de Florencia, en su iglesia S. M. Cma. no mirará con indiferencia el que se denigre tan im metropolitana f traducidas del italiano por D. J. de V.: un pudentemente ai Gobierno español, y que reclamará ante los tomo en 4.“ en pasta á 18 «.—Explicaci…</t>
  </si>
  <si>
    <t>Martini, Antonio</t>
  </si>
  <si>
    <t>Antonio Martini</t>
  </si>
  <si>
    <t>…acramento tribunales contra un abuso tan escandalosa de la libertad de de la Eucaristía como sacrificio, con los misterios, ritos y cere imprenta. monias de la misa , por ei limo. Sr. D. Antonio Martini, arzo bispo de Florencia, con un discurso sobre la misa por el P. CroiSit,puesto en castellano por dicho D. J. de V.: un tomo en 8.° El día 29 de Junio del presente año falleció en esta corte í á 9 rs. en pasta—El moribundo socorrido por cualquier hom la edad…</t>
  </si>
  <si>
    <t>Martinon, Josef Hilario</t>
  </si>
  <si>
    <t>Josef Hilario Martinon</t>
  </si>
  <si>
    <t>…dia legua antes de llegar i Sangüesa reci mas , á ó rs. en rústica. ( Se continuará.) bió aquel gefe avisos ds que estos cabecillas abandonaban el pueblo Carta pastoral que el Pr. D. Josef Hilario Martinon, gobernador del precipitadamente; de consiguiente dispuso se adelantasen las guerrillas obispado de S. Cristóbal de la Laguna, en la isla de Tenerife , dirigió al clero y fieles de aquel obispado. Este pequeño escrito es una de iasde caballería para h lo meno…</t>
  </si>
  <si>
    <t>Martirial</t>
  </si>
  <si>
    <t>…tro al hacer la proposición que tapar la b&lt; ca « Fra ncisco Mozo , quejándose de varios procedimientos por parte hablillas insistas, pues se positivamente que artes de u¡oia, v de D. Martirial! Pastor, diputado que fue en el año i-f, opina aun desde Madrid, se dieron disposiciones para que Valeren fue ba que este negocio no competía,:! las Cortes , y que -el interesa se socorrida oportunamente; pero acaso las circunstancias Labran do podía usar de…</t>
  </si>
  <si>
    <t>Martlgr.ac, Mr.de</t>
  </si>
  <si>
    <t>Mr.de Martlgr.ac</t>
  </si>
  <si>
    <t>…a de Bayona que hemos insertado , aunque no del ministerio de la Guerra; tuvo una conferencia con ¡.E Rey el está escrito por persona fidedigna , no hace mas Que referir hachos, y diputado Mr.de Martlgr.ac, nombrado comisario civil cerca del du deducir de ellos las conjrturas que deduce la doctrina de los ultras, la que de Angulema , y hubo un consejo extraordinario de miri r-os -n cual se propone dar á conocer al autor de la carta ; pero Jo que no tie casa de…</t>
  </si>
  <si>
    <t>Martm, Josef</t>
  </si>
  <si>
    <t>Josef Martm</t>
  </si>
  <si>
    <t>…re el q/íin que antecede- ría y zelo que ha manifestado en la presente ocasión el Hipno coronel «Concluyó en este sitio y hora la engrosada facción del Locho, del expresado cuerpo D. Josef Martm. Dios guarde á V. K. muJios sin gran pérdida en nuestra pane: una acción, quizás de las mas bri años. M.drid 11 de Marzo de 1823 “l'.scmo. Sr. = |-ranc seo llantes en su linca , ha puesto en poder de mis valientes cerca de 50 Exctno. Sr. secieUiiode Estado y…</t>
  </si>
  <si>
    <t>Martr.ont</t>
  </si>
  <si>
    <t>oficio d# ayer emprendí anoch-r mi marcha cbn «o* columna de too la s-cre(i'¡,i d- Gu-’rra ai mariscal Martr.ont; pero cju' vire r&gt;-, V-. ..u-infantes, habiendo caído al amanecer de hoy sobre el pueblo de Val- liiío aceptarlo , 4 menos que no se pongan á su aiiposJc'un sccü .V ■!«teaterus, en donde sí hallaban ¡as facciones de ¡os cab edlas pelsyo y ¿res y ,.v ndduKes d…</t>
  </si>
  <si>
    <t>Marzoni, Josef</t>
  </si>
  <si>
    <t>Josef Marzoni</t>
  </si>
  <si>
    <t>…onel de egército , para que se le continúe ginario de Africa, á D. Francisco Tarabino, á D. Juan Bautis la pensión de 100 ducados que se asignó á su tío Fr. Tomas ta Mastorano y á D. Josef Marzoni. Connelli por autor de un diccionario anglo-español, cuyo pro Se aprobó el dictamen de la comisión de Diputaciones pro ducto cedió al erario, opinaba que en virtud del art. 7." de] de vinciales sobre que se devuelva al Gobierno para el uso conve creto de 15 d…</t>
  </si>
  <si>
    <t>Mas, Lorenzo</t>
  </si>
  <si>
    <t>Lorenzo Mas</t>
  </si>
  <si>
    <t>…o hay apatía en las Cortes , y sí al no lacias. =sP. Antonio Leu y P. S.Pvador Pía. contrario energía , y que están dispuestas á sepultarse bajo las rui Beneficiados de Sta Marta: D. Lorenzo Mas. = Dr. B’á. nas de la patria observando la Constitución, o á triunfar con ella. Idem del Pino: D. Francisco Cabrio!, z: D. Juan Sala. = Lí Sr. Marau manifestó, que por su parte no tenia inconve D. Josef Garriga. = D. Francisco Samper.= D. Pedro Ber niente en…</t>
  </si>
  <si>
    <t>Mas-', María Ribera y</t>
  </si>
  <si>
    <t>María Ribera y Mas-'</t>
  </si>
  <si>
    <t>…el Salamanca, de 88,293 mrs. de mita , en cabria del rnismq._Otro 'ju pueblo español al atrito délas inconstancias de la fortuna y del ca ro de 87,311 mrs. de renta, en cabeza de Doña María Ribera y Mas-' pricho de los hombres s con que ya está servido el Sr. de Chateaubriand. coso, situado en la ciudad de Tuy los 43,000 , y en la villa de Verin (7) Estos mismos imperios («s decir sus Gabinetes) son los que igual cantidad: se rebajo este juro á 04,821 mrs.; y…</t>
  </si>
  <si>
    <t>Masdeu</t>
  </si>
  <si>
    <t>…tente: un corneta de la 8.a, y el cabo i.° De D. Jot-.-f de Zayas Rico. Ruiz de la 1.* Heridos: Guallar, pasada una pierna , pera no de cui Ce la milicia nacional de Totana. dado: sargento Masdeu, un balazo sobre un ojo y otro en el hombro Del ayuntamiento constitucional y juez de nrimera instancia de derecho; pero va bien; sargento Castro, un balazo y un bayonetazo, Huete. sigue bien: soldado de la i.a Tortosa, un balazo, sigue regular ; y de De los…</t>
  </si>
  <si>
    <t>Masoni, Antonio</t>
  </si>
  <si>
    <t>Antonio Masoni</t>
  </si>
  <si>
    <t>…ico de Alicante del 18 del cor inmediatas órdenes al córónel D. Andrés Arango; at subte riente resulta que Valencia seguia defendiéndose con heroísmo; niente D. Josef de Záyas ; á!D. Antonio Masoni, teniente de que la división de Martin , que habia sufrido un pequeño des la M. N. A. de Toledo, y á D. Francisco Bringas, teniente de calabro, se habia reunido; y que ia noticia del auxilio de Ca la M. N. L. de caballería de Madrid. Se reconocerán por em tal…</t>
  </si>
  <si>
    <t>…leados á sus inmedia quedando aprobada. tas órdenes al coronel D. Andrés A rango, al subteniente D. Jo El Sr. Becerra manifestó , que según el acta un oficio del vi sef de Zayas á D. Antonio Masoni, teniente de la M. N. A. sitador ele la audiencia de Sevilla, D. Manuel Trinidad Moreno, de Toledo, y á D. Francisco Fringas, teniente de la M. N. L. se habla pasado á la comisión de Casos de responsabilidad, en lu de caballería de Madrid. Se reconocerán por…</t>
  </si>
  <si>
    <t>Mat</t>
  </si>
  <si>
    <t>…es de la ciudad de En su vista se reunió el jurado , compuesto de los señores si Valladotid en cabeza del mismo.__Otro en cabeza de Francisco guientes : D. Pelayo García Zoniila , D. Mat as Pindla, Don Ortiz de 68,147 mrs., situados en las sedas de Granada__ Tres Luis de Mata Araujo, D. Arias Gonzalo de Mendoza, D. jo juros en el Almojarifazgo mayor de Sevilla de 1010 rs. 2 mrs. sef Merelo, D. Francisco López O.avarrieta, D. Faustino Fer de r…</t>
  </si>
  <si>
    <t>Mata, Luis de</t>
  </si>
  <si>
    <t>Luis de Mata</t>
  </si>
  <si>
    <t>…Tomas Torresano, D. Valentín Recio, D. Lorenzo Lam'oea , D. Jai la, siguió por la derecha á flanquearlos sufriendo un fuego terrible, me Ruiz Abreu, D. Manuel González del Campo, D. Luis de Mata se les persiguió vivamente, y solo faltó media hora de dia para que Atauio, D. Joaquín Manrique y Manrique, D. Andrés Navarro. lodos hubiesen sido prisioneros; pero se ocultaron en las asperezas de . Habida la conferencia se decidió por unanimidad haber lugar…</t>
  </si>
  <si>
    <t>Matali, Francisco</t>
  </si>
  <si>
    <t>Francisco Matali</t>
  </si>
  <si>
    <t>…mino de derecho se proseguirá en su ausencia Ja Batallón del General. 2.0 Comandante D. Braulio Díaz: causa sin emplazarle mas hasta la sentencia definitiva , habiendo de teniente coronel D. Francisco Matali: capitán D. Pedro Mir: lotificarse ios autos que se proveyeren en los estrados de este tri ayudante D. Francisco Sánchez : teniente D. Martin Bastida: sub bunal , y de pararle estas notificaciones el perjuicio á: que "haya teniente D. Ramón l'uster: sargentos…</t>
  </si>
  <si>
    <t>Mateo</t>
  </si>
  <si>
    <t>…e que el Gobierno francés sienta en su Números de 27 vales de 600 pesos, endosados á favor de Don comercio todos los males que acarrea á la Francia la conducta de Josef Heceta por D. Mateo de la Quintana, que se han extra esa facción ominosa que la domina, y cuyo furor, sino lo repri viado en el correo desde Madrid á Granada en 28 de Marzo de me pronto , le va á causar males sin cuento. 1823___Nueve de la creación de i.° de Enero de 1822 , cuyo…</t>
  </si>
  <si>
    <t>Mateos, Tomas</t>
  </si>
  <si>
    <t>Tomas Mateos</t>
  </si>
  <si>
    <t>…do individuo que presenta dos soldados vestidos, AI mismo tiempo que ha tenido á bien S. M. admitir al ciudadano armados y equipados á su costa, que no sean de los comprendidos en D. Tomas Mateos , secretario del gobierno político de Badajoz, la la suerte de soldado en el actual y anteriores reemplazos, se le exone oferta que ba hecho de presentar con armas y caballo en el regimiento rará del servicio, siempre que los presentados tengan las calidades…</t>
  </si>
  <si>
    <t>Mateos, Vicente</t>
  </si>
  <si>
    <t>Vicente Mateos</t>
  </si>
  <si>
    <t>…cmo. Sr. general en gefe de las tropas france El Gobierno ha recibido el siguiente parte. dirijido por el capi sas , y contribuido al mejor servicio del Rey nuestro Señor, es- tán D. Vicente Mateos „al comisionado regio en Andalucía. tan satisfechos los míos, y creo que igualmente los de cuantos »&gt; Sr. comisionado regio.=Cumpliendo con el encargo que me han acompañado i empresa tan interesante ; pudiendo ase V. S. se sirvió hacerme en ai del corriente e…</t>
  </si>
  <si>
    <t>…1833.=F:rmado=rE! duque de Doudeauvil!e.e=El duque de Mahon Cri!!on=Kl duque de Narbona cia , con fecha de antes de ayer, me dice acababa de recibir un parte del capitán retirado D. Vicente Mateos, segundo coman Lara. =El conde de Noailles.erEI príncipe de Chatais.esI.a du tutora de su hijo , y per llenar las dante provisional de la serranía de Ronda, en que se lo daba quesa de Cailus (como de haberse entregado á las fuerzas Realis'as 600 hombres, man…</t>
  </si>
  <si>
    <t>Mateu, Pablo</t>
  </si>
  <si>
    <t>Pablo Mateu</t>
  </si>
  <si>
    <t>…é para conquistar la paz que el estado do de la Peña Díaz; D. Francisco Carranza; D. Luis Igartu.butu; Don actuatde la España hace imposible.” Fernando Gargollo: D. Josef Carreño; D. Pablo Mateu; D. Matías La guerra puede evitarse ; para ello no se necesita mas que los go üiave, y D Cayetano Rodríguez Moran; después de tenida (a conferen bernantes de Francia reconozcan el derecho de gentes, y el ninguno cia de estilo declaró no haber lugar á la forma…</t>
  </si>
  <si>
    <t>Matías</t>
  </si>
  <si>
    <t>…r la paz que el estado do de la Peña Díaz; D. Francisco Carranza; D. Luis Igartu.butu; Don actuatde la España hace imposible.” Fernando Gargollo: D. Josef Carreño; D. Pablo Mateu; D. Matías La guerra puede evitarse ; para ello no se necesita mas que los go üiave, y D Cayetano Rodríguez Moran; después de tenida (a conferen bernantes de Francia reconozcan el derecho de gentes, y el ninguno cia de estilo declaró no haber lugar á la formación de causa…</t>
  </si>
  <si>
    <t>…que guarden y ha En la ciudad de Logroño , reunidos en jurado de calificación los gan guardar , cumplir y egecutar el presente decreto en todas sus par-, Sres. D. Cándido Crespo, D. Matías ürib-, D, Josef Pecina , D. Cistes. Tendreíslo entendido para.su cumplimiento , y dispondréis se im- tor de la Calle, D. Vicente Luco , D. Josef Jorge Saen , I). Joaquín prnia , publique y circule. = Está señalado déla mano de S. M. c=En de Francia, D. Juan M…</t>
  </si>
  <si>
    <t>…y poseía la Sra. vizcondesa de ¡as Torres de Luzon, vecina de la ge fes de brigada el puntual cumplimiento en la orden expresada ciudad de Ronda, siendo su apoderado en esta corte D. Matías en el artículo antetior, y no permitirán que se dé bagáge algu Angel'Gonzalez; hay que comunicarles asuntos que íes son pri no con este objeto i ningún cuerpo ds los de su mando. mitivamente interesantes, á cuyo fin, si gustan cerciorarse da Art. 4.0 Todos lo…</t>
  </si>
  <si>
    <t>Sr. D. Matías larin—Trujilio—Cádiz j de Junio de i8tj. tria y la libertad, mucho mas con las desagradables noticias « Muy Sr/'mio y amigo: Mi Sr. tio D, Jotcf Sahzar haca recibidas anoche de Portugal. tiempo me dijo me valiera de vmd. para remitirle algunas cartas » El dom…</t>
  </si>
  <si>
    <t>…esen las obligaciones de aquella inten » Sertno. Sr.: Ei doctor D. Josef González de la Cruz , al dencia, no habia debido echar mano de unos fondos que en su calde mayor interino; D. Matías deOchoa , Santiago Hernando, mayor parte estar* destinados á cubrir las de la tesorería general, ordinarios; D. Antonio Cevallos Escalera, D. Ramón Navas y pedia se diese orden i los intendentes para que por ningún pre Damian de la Poza, regidores; Josef del…</t>
  </si>
  <si>
    <t>Matute, Josef</t>
  </si>
  <si>
    <t>Josef Matute</t>
  </si>
  <si>
    <t>…iranuelos*de su patria , derro 6.° Después de este st eeso envió emisarios en posta á Búrgos, y cando el sistema que ios condenaba á privaciones . para llevar á cabo ■no de ellos (D. Josef Matute! Krroz) llevaba en una cuartilla de pa-empresa lan horrible se empezó divulgando que un partido republicano peí las instrucciones necesarias. atentaba contra las vidas de las personas Reales; era la intención de in- 7.0 Publicaron por toda la carrera que Madr…</t>
  </si>
  <si>
    <t>Matute, Juan Ramón</t>
  </si>
  <si>
    <t>Juan Ramón Matute</t>
  </si>
  <si>
    <t>…n el ejército, que debería s r el verdade miento abintrstatorde Doña María J osefa Gómez,'natural de ro apoyo del trono y la seguridad de la nación. E! Soberano Novcleja, viuda de D. Juan Ramón Matute, fiscal que fue del clemente de la Francia se ha visto: precisado á tomar medidas de consejo de Navarra, para que en el preciso término de 15 dias rigor; y no sin sentimiento ha experimentado que sus esfuerzos «« presenten en su juzgado, por la escribanía del…</t>
  </si>
  <si>
    <t>Matute, Miguel</t>
  </si>
  <si>
    <t>Miguel Matute</t>
  </si>
  <si>
    <t>…délos enemigos, servicio , y la primera compañía de cazadores de voluntarios lo que empleando en este servicio tanta fuerza cuanta era el total de cales de Sevilla al mando de su capitán D. Miguel Matute; sien la nuestra, las aumentó con una compañía, y mando continuasen do de encarecer la brabura y decisión con que se condujeron las el fuego retirándose muy lentamente ; y al ver que la caballe comprñías de granaderos del 2.0 y g.° de voluntarios de Madrid rí…</t>
  </si>
  <si>
    <t>Matute, Pedro</t>
  </si>
  <si>
    <t>Pedro Matute</t>
  </si>
  <si>
    <t>…nunció que mañana se discutiría el dictamen ds D. Francisco Travesedo, Di Isidoro de Hoyos, )&gt;. Antonio Re la comisión de Guerra sobre el modo de poner en armonía la organiza gas, D. Pedro Matute , D. .losef Luis de Amandi, D. M.nuel Car ción ide la milicia activa con la del egército permanente; se continuaría nicero, D. Casimiro Martin Marina y D. Juan Haz. la discusión pendiente, y levantó la sesión á las tres. Habida la conferencia, se declaró por…</t>
  </si>
  <si>
    <t>Maucor</t>
  </si>
  <si>
    <t>…nzález.” En un paseo que Madama hizo á caballo para visitar Ias her mosas cercanías de la ciudad, se llegó al Marquesado, que es NOTICIAS EXTR ANGERAS. una linda casa de campo del caballero Maucor. Habían hecho conducir al par age donde se aguardaba la ESTADO!, UNIDOS. Princesa i madama de Maucor, de edad de 84 años; y luego Nueva-Yorck p de Julio. que S. A. R. vió acercarse esta Señora, apoyada en dos hjas La Gaceta de la Luisiana del 4 de Junio conti…</t>
  </si>
  <si>
    <t>Mauleon, Juan Josef</t>
  </si>
  <si>
    <t>Juan Josef Mauleon</t>
  </si>
  <si>
    <t>…ue, ei capitán Juan de la Jara, Doña Luisa de Guevara y Alonsonia ; que dejando esta abierto el camino para reconciliarse con la patria á García Navarro, de que es actual poseedor D. Juan Josef Mauleon ytodos sus enemigos hasta r.° de Abril, de ningún modo se podia dejar de Vela, vecino de la ciudad del Puerto de Santa María, para que acudan a perseguir y exterminar á aquellos que desde el momento no se acogieren á deducirle, y exponerle en debida forma en…</t>
  </si>
  <si>
    <t>Mauri, Josef María Caldas y</t>
  </si>
  <si>
    <t>Josef María Caldas y Mauri</t>
  </si>
  <si>
    <t>…es ctnic», sin pcrju.cio da La comisión de Casos de responsabilidad en vista de la queja dada per sus estudios , se Ies instruí a en la táctica militar. .1 fin de que se tormén de D. Josef María Caldas y Mauri contra el vicario eclesiástico de Barcelo ellos hombres capaces de defender la patria, y cttulcr. a ias acciones ríena D. Pedio Félix Abellá, por haber inlvingido la pragmática de 1803 riosas de la truena de la indenendencia. sobre matrimonios, inserta en la…</t>
  </si>
  <si>
    <t>Maurin</t>
  </si>
  <si>
    <t>…és de haber esperado que se acercase el tet y Mannier, al sargento Fizchier y al cazador Hameu. En el enemigo á veinte pasos para hacerle fuego, cargaron sobre sus 3Ó.0 al coronel barón Maurin , a! teniente coronel Rui ¡eres, al jlancos con tanta intrepidez, que le precisaron á retirarse con la comandante de batallón Monistrol, á los capitanes Couté, Pemayor confusión , y le persiguieron hasie sus atrincheramientos; tit-Jean, Perrotin y Villemain ;…</t>
  </si>
  <si>
    <t>Maurino, Blas</t>
  </si>
  <si>
    <t>Blas Maurino</t>
  </si>
  <si>
    <t>…ages , entré Dos meses antes de la toma de Nápoles de Romania el ge los que parece hay el de una señora, puede acudir á la casa de neral Odiseo, á quien el Gobierno habia nombrado comandante D. Blas Maurino, en esta ciudad barrio de S. Bernardo, cálle de las fuerzas del Este, luchó solo por espacio de mas de un mes de Sto. Cristo del Rey, donde está alojado el guardia alabarde con las nuevas fuerzas que Jos turcos querian dirigir contra el Pe- ro D. Josef Campis…</t>
  </si>
  <si>
    <t>Maurocordaio</t>
  </si>
  <si>
    <t>…n se pondrá en camino h y momo, falta de socorros, intentaron verificar una sorpresa sobre Misoiunghi ; de donde infi ren que le segu rá luego ci duque de enauami. ( El ge pero «1 príncipe Maurocordaio, con not cias que tenia de su resolución, neral (Juilieinmot padece que ha llevado ya a ¡ e&gt;értUo de los Pirineos.') mandó que las tripulaciones de ios buques hidnotas pasasen á tierra pa lino de nuestros periódicos trae ur. U,po ..ncuio de Viena, por ra prep…</t>
  </si>
  <si>
    <t>Mavairo, Pedro García</t>
  </si>
  <si>
    <t>Pedro García Mavairo</t>
  </si>
  <si>
    <t>…------------------— - ‘ ** ' ’*"'*• *------------------------------- ----------------------------------------ARTICULO DE OFICIO. fecha ¿o del corriente por el gefe de estado mayor D. Pedro García Mavairo, comandante del sitio de Mordía. Excmo. SeLa Regencia del Reino ha expedido el decretó siguiente: fior.crEl general Chambó habrá informado á V. E. del asalto Al tesorero general digo con esta fecha lo siguiente: que dimos á la piaza de Mordía en la noche del…</t>
  </si>
  <si>
    <t>Mayoral, Nicolás Heredero</t>
  </si>
  <si>
    <t>Nicolás Heredero Mayoral</t>
  </si>
  <si>
    <t>…aso de que su intención sea la de fal lificación los Sres. D. Josef Antonio Ponzoa , D. Antonio Puigblanch, dear el Moncayo y pasar por Frasno para acercarse á su guarida, y el co D. Nicolás Heredero Mayoral, D. Juan Fernandez Casariego, D. Juan Isidoro Perez, D. Antonio María Espejo, D. Julián de Fuentes, D. Gre ronel Depablo talonea su fuga. n Hoy se lia incorporado ■ ia división el destacamento que proceden gorio Mendivil, D. Joaquín Ruiz, D. Manuel Merino, D.…</t>
  </si>
  <si>
    <t>Maza, Juan</t>
  </si>
  <si>
    <t>Juan Maza</t>
  </si>
  <si>
    <t>…izarría; señora del Fort, mandadas por dicho capitán , el de ’a misma cla y no puedo, sin faltar á la justicia, recomendar á V. S. á ningu se D. Miguel de Osma, v los subtenientes D. Juan Maza y Don no particularmente , pues todas las tropas se portaron con mucho Manuel Lacerda , cubriendo el costado derecho de la posición el valor, y de las que no entraron en acción se vela en sus caras el lar ilion 13 dr línea al mando de su comandante D. Angel Pé sent…</t>
  </si>
  <si>
    <t>Mazarambroz, Gabriel Fernandez</t>
  </si>
  <si>
    <t>Gabriel Fernandez Mazarambroz</t>
  </si>
  <si>
    <t>…. Cma. con Ja solemnidad de estilo por el conde de Cani ban al pueblo otros cuatro de á caballo, novedad que estimuló llas, introductor de embajadores. Acompañaban á S. E. cinco á D. Gabriel Fernandez Mazarambroz, teniente retirado del secretarios qu; forman parte de la emb jada, pues todavía no provincial de Toledo , para salir á su reconocimiento , como lo han ilegado todos ios que !a componen. A su entrada en el hizo con paisanos armados y montados en los mismos ca…</t>
  </si>
  <si>
    <t>Mazarin</t>
  </si>
  <si>
    <t>…anejado las riendas del Gobierno , como el cardenal de Amboisa , el cardenal Leida y aprobada el acta de La art-rrior , las Cortes overon con de Lotena, el cardenal Richelieu y el cardenal Mazarin; pero nos ad aerado , y mandaron se insertasen en el D arío ¡as siguientes lelisitaciomita que se olvide de los cardenales Dubois y Alberoni. nes por la» sesiones del 9 y 11 del pasado. Nosotros no titubeamos en declarar que un sacerdote que incita a De la M.…</t>
  </si>
  <si>
    <t>Mazarredo, Francisco</t>
  </si>
  <si>
    <t>Francisco Mazarredo</t>
  </si>
  <si>
    <t>…mo. Apiobado. representación, y si la hubesen recibido no ñauñau ornu.du dar aumta La misma comisión opinaba que debia acctderse i la solicitud del de ella sin perdida de momento. brigadier D. Francisco Mazarredo sobre rifar en dos extracciones de !a El Sr. Zulucta: R.suiuado acreditado p.-.r lo que acaba de decir lotería parle de ios bienes d-e su mayorazgo Aprobado. el Sr. secretario que no existe en su pouer tal representa .ion. nada Se dió cumia de los siguientes…</t>
  </si>
  <si>
    <t>Mazo, Fernando del</t>
  </si>
  <si>
    <t>Fernando del Mazo</t>
  </si>
  <si>
    <t>…ARTICULO DE OFICIO. Sm duda que los soldados que se dispersan sin batirse serán los garantes Parte oficial ¿e la derrota d*l ejército colombiano al mando del general Montóla. (1) D. Fernando del Mazo, dueño de esta opulenta hacienda, se Egército nacional de Venezuela =&gt;« A las 11 del día de ayer , i haba emigrado -n esta cort: por rao haber desmentido jamas sus senti mientos de fidelidad á la Nación española. Kl conde de Moutjuur está (a) »Y’ 1 emos pubüc…</t>
  </si>
  <si>
    <t>Mazo, Manuel del</t>
  </si>
  <si>
    <t>Manuel del Mazo</t>
  </si>
  <si>
    <t>…dcí 7 de J ulio. sortes , opinaba que correspondía al cuerpo de artillería. Apro Los brigadieres D. Juan de la Porte Despierne, D. Carlos bado. conde de Aíoy, D. Gaspar Rocabruna, D. Manuel del Mazo. La comisión segunda de Hacienda , en vista de la exposición Los coroneles D. Francisco Marimon, D. Fernando Salamanca, de la viuda de un soldado del resguardo militar de Barcelona* * D. Juan Linan, D. Luis Fernando Mon, el conde la Torre. muerto en acción co…</t>
  </si>
  <si>
    <t>Mazon, Antonio Guillem de</t>
  </si>
  <si>
    <t>Antonio Guillem de Mazon</t>
  </si>
  <si>
    <t>…s Se celebrará en la santa iglesia una misa solemne, con discurso re y 30 infantes se componía la facción : nuestra principal fuerza fue sor- te ligioso, que dirá el ciudadano Dr. D. Antonio Guillem de Mazon, prendida en despoblado , y este lance desgraciado solo sitvió para exal concluyéndose la función con Te Deum en acción de gracias al supre tar mas el valor de los milicianos voluntarios de esta capital y patrio mo Hacedor por el memorable establecimiento y r…</t>
  </si>
  <si>
    <t>Mcicndez</t>
  </si>
  <si>
    <t>…r Las Cortes muy oportunamente han dado facultades extraor concluyó desaprobando el dictamen de la comisión. ■ dinarias á las diputaciones provinciales para el efecto del cobro El Sr. Mcicndez: Mucho desee- que se acelere la discusión de de las contribuciones , y de las cuales están ya en posesión. Tam este asunto; pero sin embargo no puedo menos de oponerme á bién se Ies ha dado para la defensa, y se han compuesto ya algu la-totalidad del proyecto…</t>
  </si>
  <si>
    <t>Mclendez</t>
  </si>
  <si>
    <t>…do esto fuese cierto , como esto de tener mas ó menos puesto , soy de parecer que no debe aprobarse el artículo. no se puede saber sino se entra en un examen prolijo de la posi El Sr. Mclendez: Convengo con el Sr. preopinante en que bilidad de cada individuo y en una escala mas extensa, es claro gustoso puede hacer el clero cualquier sacrificio en bien de la patria, que es imposible en la práctica atenerse á aquel principio. Ahora pues no es fácil…</t>
  </si>
  <si>
    <t>Mcnczo, Marcos Antonio</t>
  </si>
  <si>
    <t>Marcos Antonio Mcnczo</t>
  </si>
  <si>
    <t>…vo de la expedición que algunos aventureros intentaron contra Puerto— res siguientes: lCico din la vela del departamento de Cartagena en 23 de Noviembre del D. Valentín Ortigosa , D. Marcos Antonio Mcnczo, D. Cayetano Ro aro ultimo con destino á cruzar en aquellas aguas, fondeó en el lirismo mero, D. Nicolás Alcrsz», D. Juan Luqui:, D. Joaquín Manrique , Don puerto ei 14 dei siguiente mes; y enterado su comandante el capúan de Juan Fernandez Casariego, D. Vale…</t>
  </si>
  <si>
    <t>Mcrcier</t>
  </si>
  <si>
    <t>…se nuestras relaciones, bolo por ella me á la que llevó al Brasil el conde Pamela. puede la España dejar de devorarse á sí misma, recobrar su pro — Lo ocurrido con Mr. Manuel y el sargento Mcrcier dan mu piedad, y consumir los' productos de nuestra industria , puesto chísimo que hablar. El partido ultra no puede ocultar la rabia que según nuestros publicistas modernos, el consumo basta para que le devora al ver cuan grande es el número de ios qué han t…</t>
  </si>
  <si>
    <t>Mcrcliante.rzDon, Mariano</t>
  </si>
  <si>
    <t>Mariano Mcrcliante.rzDon</t>
  </si>
  <si>
    <t>…ez de Le¡va.=D. Francisco Ja ,,La historia presenta épocas en que los Reyes de España han sido sobremanera amados de sus pueblos; pero ninguno puedevier Caro.czD. Bruno Vallarino.=D. Mariano Mcrcliante.rzDon compararse con el amor y decisión que tan justamente profesan,Manuel Jiménez Guazo.=:D. Juan Gualberto González.” á V. Al. todos sus fieles vasallos. F.n todos tiempos los leales va „Señor: Vuestro Real Consejo de Jas Ordenes militares, lencianos han estado r…</t>
  </si>
  <si>
    <t>Mczguer, Tomas</t>
  </si>
  <si>
    <t>Tomas Mczguer</t>
  </si>
  <si>
    <t>…llenar el jurafnento , que rez , y el flanco izquierdo también cerrado en masa el 2 r de So repito , de Constitución ó muerte. Finalmente aunque me propu ria al cargo de su ge fe D. Tomas Mczguer, situando los cuerpos se no recomendar particularmente á nadie, rio puedo menoa de i.° y 2.v de cazadores de esta provincia y el de Mataré en la publicar el valor heroico de un soldado del 1.° de cazadores de prolongación de mi izquierda algo á vanguardia deb…</t>
  </si>
  <si>
    <t>Me</t>
  </si>
  <si>
    <t>…dose Ademas de lo que arriba dejamos publicado en artículo de que la elección se hará el primer dom:ngo hábil que elijan las Madrid , Ja correspondencia particular nos dice que el cura Me mismas diputaciones, y ia reunión en Sevilla se hará ei 15 de rino h;&gt; sufrido una nueva derrota con p.rdída de 80 muertos Mayo, ó antes sí llegan los electores; observándose en lo demas y zoo prisioneros: la fuga pudo salvar al resto de sus facciosos. el ref…</t>
  </si>
  <si>
    <t>Me, Cándido de</t>
  </si>
  <si>
    <t>Cándido de Me</t>
  </si>
  <si>
    <t>…. dores D. Antonio Armero y Moreno, y el oficial D. Diego estará aquí de vuelta para la fiesta de S. Pedro. Perada trabajaron con zc!o imponderable; el coronel de mi es tado mayor D. Cándido de Me. ta y su ayudante D Miguel Lis- INGLATERRA. bona no se separaron un punto del frente de la división , ha Lóndres 4 de Agosto. ciendo con su actividad que siguiese la tropa una marcha tm Hemos sabido con dolor que e¡ Rey ha sufrido un nuevo forzosa y activa, m…</t>
  </si>
  <si>
    <t>Me, Manuel</t>
  </si>
  <si>
    <t>Manuel Me</t>
  </si>
  <si>
    <t>…rtes, D. Simón González Yilste, D. Juñan de Fuen para la tierra luja y Mcqumci.:-:*: *&lt;•, el momento de mi llegada dispuse sa tes, D. Matías Pinilla , D. Manuel González del Campo,D. Manuel Me liesen tres partidas fuertes de ¡nfanv-ría y caballería con las instrucciones rino, D. Lorenzo Lambca, D. Josef RivesyD. Manuel Carnicero. Ha y ira la persecución y aprehcii'-.i-n de otos infames: igualmente procederé, bida la conferencia se declaró por unani…</t>
  </si>
  <si>
    <t>Me, Oliven</t>
  </si>
  <si>
    <t>Oliven Me</t>
  </si>
  <si>
    <t>…El cuartel general sigue por ahora en e,te punto , y el ecerciayer en el art. 5.0. ( Véase la sesión dé ayer. ) to está cada día mas animado y con mayores deseos de medir ¿ui F.l Sr. Oliven Me ocurren dos observaciones ademas de Jas fuerzas con los enemigos de la libertad. hedías ayer por el Sr. Alonso: la primera consiste en que no es En la orden general del d a 26 se d;ee que se suspende la sa toy conforme con la variación que hace la comisión de…</t>
  </si>
  <si>
    <t>Meca</t>
  </si>
  <si>
    <t>…a de Monsan , tomando una dimensión de dos horas. yecto , á menos que se reforme en estos dos principales puntos. Duró hasta la una y media, obligando á retirar í los facciosas El Sr. Meca: Contestando á las dos objeciones propuestas por el se hasta el hosque de la Cartuja, en el que no «e internaron nuestros ñor Alonso sobre el exceso d; los sueldos de los empleados en la se valientes por la aspereza de él , y por tener que comer el rancho, co…</t>
  </si>
  <si>
    <t>…al paso que aqui un 5.0 escribiente principia su carrera con deben tener el carácter de inamovilidad que propone ia comisión se les 63; asi qúe.no puedo aprobar este artículo. El Sr. Meca: Verdad es que sí habla mucho de economías, y yo conceda. Ei Sr. Sánchez: En cuanto a! número de oficiales que ia comisión soy el primero qus deseo se adopten cuantas son posibles; pero he vis propone estoy conforme; en cuanto á los sueldos ya se ha contestad…</t>
  </si>
  <si>
    <t>…llones de reales para pagar solamente los retiros que por él van a tener provincia de Cádiz D. Bernardo Eiizalde sobre este asunto. lugar. Se concedió el permiso que solicitaba el Sr. Meca para ir por un Si la Nación tuviese los caudales suficientes para pagarlos, yo no mes i su can á arreglar algunos asuntos particulares. tendría inconveniente en aprobar el articulo; pero no siendo asi , y Se leyó y mandó insertar en el acta un voto particular…</t>
  </si>
  <si>
    <t>…para que determinasen lo conveniente. Sevilla jo de Abril. El Sr. presidente contestó que la comisión á quien correspon de este negocio cuidaría de que se imprimiesen. CORTES. El Sr. Meca presentó y leyó una exposición de la sociedad patriótica de Murcia, y de un gran número de ciudadanos- de ia PRESIDENCIA DEL SEÍÑ'OR FLORES CALDERON. misma ciudad, para que los obisposespaíoles egerzan las faculta des que por derecho les competen como- suceso…</t>
  </si>
  <si>
    <t>…votado el artículo por partes, quédó aprobada á este proyecto ; una a! artículo i.° del Sr.'Gómez la primet a basta las palabras de todos los bienes, ( D. Manuel); otra al 5.® del Sr. Meca, y otra al desaprobándose lo restante de él y mandándose vol 9. ® del Sr. Romero. ver á la comisión. Continuó la discusión de! proyecto de leí adicio Art. 7. ° Cuando existan dos de los llamados no- nal á la de libertad de imprenta. minalmente que deben ser p…</t>
  </si>
  <si>
    <t>…vez v mandaron pasar á primero de marzo áeia las nueve de la mañana se la comisión «le Legislación dos proposiciones, una del advirtió, enmadio de acpiella eminencia, habitada en Sr. Meca y otra de los Sres. Vniela , ¿ión/.o v San teramente por familias turcas, una llama que ajópare- tos Suarez, leídas por primera en la susion del 26 cer salia de un baño turco, la cual impelida por el del corriente. viento ácia las casas inmediatas, prendió en…</t>
  </si>
  <si>
    <t>…ficientemente discutido hubo lugar á segundo escrutinio entre los Sres. Meca y Alvarez (D. Elias), votar sobre el dictamen por 37 votos contra 34, y quedó apro quedando elegido el Sr. Meca por 71 votos de 90. bado por gó contra 33. La comisión de Comercio , hecha cargo de los expedientes Se mandó pasar á la comisión de Comercio una proposición remitidos por el Gobierno , instaurados por solicitudes de varios del Sr. Alurfi, relativa á rebajar l…</t>
  </si>
  <si>
    <t>Mediano, Antonio Moreno</t>
  </si>
  <si>
    <t>Antonio Moreno Mediano</t>
  </si>
  <si>
    <t>…e debía volverse al Gobierno Las Cortes oyeron con agrado y mandaron pasar al Gobier para su resolución , con arreglo á los artículos 222 y 2 2 3 del de no la exposición hecha por D. Antonio Moreno Mediano, ofi creto de 29 de Junio de 822 el expediente promovido por el cial tercero del ramo de Hacienda del departamento de Carta ayuntamiento constitucional de Cieza para que se le perdonen gena , ofreciendo costear un soldado durante la guerra, rebajando los rest…</t>
  </si>
  <si>
    <t>Medina, Juan de</t>
  </si>
  <si>
    <t>Juan de Medina</t>
  </si>
  <si>
    <t>…:de distancia de, los pérfidos que lo intentaron, si la aparente calma y verdadero esta población una columna tan sangrienta -cómo destructora, realismo de los Tenientes Coroneles D. Juan de Medina y di corrieron los buenos patriotas, guiados por otros, y auxiliados funto D. Joaquín Arango, Comandante de armas, no lo hu por su primer Alcalde, por plazas v calles en número considera bieran impedido: ha visto luego encarcelados , conducidos á pre ble, man…</t>
  </si>
  <si>
    <t>Medina, Mariano</t>
  </si>
  <si>
    <t>Mariano Medina</t>
  </si>
  <si>
    <t>…llamar la atención del enemigo, y paralizar el movimiento de mas casa que teníamos á nuestra derecha. de 3000 infantes que se dirigían á Mol ns de Rey contra el ge- El subteniente D. Mariano Medina que mandaba el destaca re. ra! Mihins , ocupando 2000 las inmediaciones de F.xplugas y co mento de caballería del Resguardo militar se sostuvo en el ca mo 1000 la altuia en que se halla la torre de la FutilUi Cacas, mino real á la vista de fuerzas triples , y…</t>
  </si>
  <si>
    <t>Medina, Tomas Josef de</t>
  </si>
  <si>
    <t>Tomas Josef de Medina</t>
  </si>
  <si>
    <t>…esclavos cristianos en las costas de Africa? Enterado el Rey nuestro Señor de los méritos y servicios pa „La Orden de S. Juan de Jerusalen posee ventajas que ninguna trióticos de D. Tomas Josef de Medina, vecino de la ciudad de otra institución podria conseguir, ya se la considere como medio León, de los crecidos desembolsos hechos para sostener la causa de defensa contra la piratería, ya como asociación hospitalaria y del A*]tar y Trono, y de sus padecimient…</t>
  </si>
  <si>
    <t>Medínaceli</t>
  </si>
  <si>
    <t>…esa de Rasse.=Ás,eL.conde de Fuentes.= M. «1 duque de Castro-lerreBo.rr Como tulWa de su hijo el mar Jara.”. v NOTICIAS EXTRANGERAS.ques de Mes, la marquesa. deMos, viuda. = M. el duque Medínaceli y de Santistevan. RUSIA. Sermo. Sr.: Habiendo ocupado el lugar de gobernador en i" Petersburgo 23 de Mayo. este arzobispado durante lo* seis últimos meses de la vida del El teniente general conde de Wotomow, ayudante general dignísimo é limo. Sr. D. Manuel Vi…</t>
  </si>
  <si>
    <t>Medrano, Benito</t>
  </si>
  <si>
    <t>Benito Medrano</t>
  </si>
  <si>
    <t>…rano. nientes para que uno y otro servicio se verifique con ia brevedad que D. Manuel Ledesma. D. Tonbio Roldan. exige su importancia; y sin embargo de las dificultades que se han D. Benito Medrano. D. Francisco Rodríguez de Gue ofrecido con motivo de la coincidencia de los dos sorteos, y el de la D. Leonardo Gil de la Cuesta. vara. sexra pane de la milicia actira que ya se hallaba hecho desde el año D. Pedro Sainz de Baranda. D. Celestino Olozaga. ante…</t>
  </si>
  <si>
    <t>Medrano, Manuel Ros y</t>
  </si>
  <si>
    <t>Manuel Ros y Medrano</t>
  </si>
  <si>
    <t>…ebas que en todos tiempos ha dado aquel nido en nombrarle para el obispado de Fortosa, vacante por fa reino de amor y lealtad á sus Soberanos, le han hecho acreedor llecimiento de D. Manuel Ros y Medrano, conservándole los al glorioso título de Fidelísimo. Dió una en el año 1 5 , sofocan honores de mi Consejo de Estado; y debiendo cesar también en do un aborto revolucionario, y durante el despotismo an mqui— el encargo de Confesor mió, que igualmente desempeñ…</t>
  </si>
  <si>
    <t>Medroes</t>
  </si>
  <si>
    <t>…y que el Gobierno confió tanto en su valor y Constitución que tenemos jurada, lea enhorabuena, y si no no patriotismo que no dudó entregarle la guardia de la sagrada per lea.’’ El Sr. Medroes continuó diciendo que las Cortes juzgarían sona de S. M.: que finalmente de los cuerpos de milicias sola de .su mérito. Antes de acabar su lectura fue desechada, porque mente desertó el regimiento del conde de Cunha: que las mili se proponía que se invitasen…</t>
  </si>
  <si>
    <t>Medroes, Abad de</t>
  </si>
  <si>
    <t>Abad de Medroes</t>
  </si>
  <si>
    <t>…a anterior, mandándo discusión habí ande, los Sres. Margiochi y Sousa-Castteibranco en se agregar á ella el voto particular del Sr. Buey, sobre ia api li contra del dictamen, y el Sr. Abad de Medroes apoyándole con bación del dictamen de la comisión de Hacienda en la parte rela muchos argumentos, opinando que lo primero era la salvación tiva á la dotación del clero. de la patria A la comisión primera de Hacienda se mandó pasar un ofi El Sr. Freire: Tambié…</t>
  </si>
  <si>
    <t>Medroes, Abbade de</t>
  </si>
  <si>
    <t>Abbade de Medroes</t>
  </si>
  <si>
    <t>…le se dispusiese á marchar contra gefe , que se hallaba en elOimpo pe-ueiw, donde permanecería la los facciosos. mayor piarte del dia, y qué tropas tenia en aquel punto; que el El Sr. Abbade de Medroes pidió permiso para leer una indi bizarro regimiento núm. 18 se martuvo fiel á sus juramentos J cación : el Sr. Correa de Lacerda dijo: «j Si es para mantener la conservó su honor, y que el Gobierno confió tanto en su valor y Constitución que tenemos jurada, l…</t>
  </si>
  <si>
    <t>Medula, Jostf</t>
  </si>
  <si>
    <t>Jostf Medula</t>
  </si>
  <si>
    <t>…--- Tambi-n hago mención y son dignos cito de !a fe; pero no se dice quién ha tenido la empresa de este ves d: recom-iníacion ios ciudadanos d: Chantada D. Pedro Abeledo y tuario. D. Jostf Medula, qu: voluntariamente han seguido hasta ahora las fs- Han salido de París para el egérclto de España una porción de bar tivas de estas j jrn.das, y dado conocimiento det terreno. Dios guarde á cas que van en ochenta canus deí Franco Condado, i-e as £ura qu? so…</t>
  </si>
  <si>
    <t>Megía, Félix</t>
  </si>
  <si>
    <t>Félix Megía</t>
  </si>
  <si>
    <t>…o, suministrado la contestación cuando ha tratado de definir lo que quedó aprobado. es confiscación, pues que ha expresado que el crimen de cons Se dió cuenta de una exposición de D. Félix Megía , en la que piración lleva consigo la indemnización 6 responsabilidad pecu se quejaba del gefe político de esta provincia D. Sebastian Fer niaria. Ahora bien, aquí no se trata de confiscación , sino de una nandez Ochoa, y pedia se le exigiese la responsabilid…</t>
  </si>
  <si>
    <t>Megía, Manuel</t>
  </si>
  <si>
    <t>Manuel Megía</t>
  </si>
  <si>
    <t>…comercio de la misma ciudad de Ceres. Valencia. Pagad tributo á los Reyes, En virtud de providencia del Sr. D. Manuel Josef Rubio, Guardad al campo sus leyes, por la escribanía de D. Manuel Megía, se llama á los parientes Premiad del pobre el sudor; y personas qae pretendan tener derecho á los bienes de D. Mar Y coronada de espigas , tin'Antonio de Huici, natura! de la ciudad de Pamplona, que Sere grata á las fatigas falleció intestado en esta corte e…</t>
  </si>
  <si>
    <t>Meiqier----Varios</t>
  </si>
  <si>
    <t>…uardias nacionales de las legiones de Paris declaran que mer.ee teda su al Gobierno para que suspenda la admisión en la Península , islas adaprobación la conducta observada por ei sargento Meiqier----Varios pe yacent:» e isla de Cuba , de les buques y efectos t rtrangeros propio» de riódicos han publicado una declaración, firmada por i 50 oficiales, ser- aquellas nacion s que corten sus relaciones con la España y su Gogenio» y soldados de la cuarta legión , en l…</t>
  </si>
  <si>
    <t>Meisnard</t>
  </si>
  <si>
    <t>…do el fruto de esta brillante acción de la vanguardia , en. la cual fue conducida i la Martinica. todas las tropas ban manifestado un ardor dificil de expresar El contra-almirante barón Meisnard de la Farge, que tnan- Todos querían corrrr para combatir. diba el buque francés, dice que el corsario español, á pesar da » No puedo elogiar bastante el zelo del Sr. duque ds Diñó que debió conocer la bandera de su nación, había comnido una y las disposicion…</t>
  </si>
  <si>
    <t>Mejía, Félix</t>
  </si>
  <si>
    <t>Félix Mejía</t>
  </si>
  <si>
    <t>…es vincias litorales. pañol , y afirma que la mayoría del ministerio francés está por Ja paz. Juicio de jurador. __El Sun se explica en ios mismos términos. El British Monitor in D. Félix Mejía denunció al Sr. alcalde constitucional D. Lino d* sinúa que Mr. Canning ha resuelto hacer de la Grecia un Estado inde Campos un artículo comunicado inserto en el diario nuevo de 11 d* pendiente para contrastar á 1* Rusia. El The Courier da noticia de haber es…</t>
  </si>
  <si>
    <t>…aración en favor del heroico pueblo ds .Madrid, La corrosión de Casos de responsabilidad, en vista de la que y en particular de su noble indicia, por lo que esta ha he ja dada por D. Félix Mejía contra el gefe político de esta pro cho para salvar al Gobierno: pues esta misma milicia , tan me vincia D. Sebastian Ochoa , por haberle hecho salir de la provin ritoria verdaderamente, se halla pereciendo, y hoy mismo no cia de su mando en el término de 24…</t>
  </si>
  <si>
    <t>…suprimió el posibilidad. Aprobado. final de! artículo desde donde dice «los libros de administración Se mandó pasar á la comisión respectiva una exposición de y cuenta y razón &amp;c. D. Félix Mejía , relativa á la queja que produjo con fecha de xa El Sr. presidente suspendió la discusión de este asunto para del próximo pasado contra el gefe político de esta provincia Don continuarla mañana. Sebastian García Ochoa. Sé mandaron pasar á la comisión varias…</t>
  </si>
  <si>
    <t>…comendasen al Gobierno á este indivi denado que D. Blas Ostolaza, D. Nicolás Santiago Rotalde, duo, para que con arreglo á sus méritos y aptitud le coloque. D. Domingo de la Vega, D. Félix Mejía, D. Benito Morales, Aprobado. D. Leonardo Perez, D. Josef Spínola, D. Ramón Ceruti, Don Se leyó la siguiente proposición del Sr. Murfi : «Pido á Jas Ramón Sánchez y D. Bonifacio Castillo sean detenidos y trasla Córtes se sirvan habilitar el puerto de Arrecife…</t>
  </si>
  <si>
    <t>Mejía, Manuel</t>
  </si>
  <si>
    <t>Manuel Mejía</t>
  </si>
  <si>
    <t>…de nu-stro amado Ruy; pero ni aun al mas hu lentísimo or. marques de Atiza y Estepa, por la escribanía del milde español ha dejado de sufrirle con benignidad sus importu número de D. Manuel Mejía. nas peticiones. Los suscrlptores á la traducción del Diccionario de ciencias Y este es el carácter coman de los Reyes, y principalmente médicas se servirán acudir á recoger el tomo xvu á la librería de todos los Embones. de Calleja , calle de Carretas, Lente…</t>
  </si>
  <si>
    <t>…tilidades. En virtud de providencia del Si. D. Dionisio Catalan, Te EL cpnyeqio se ha' ratificado, por mí.” niente de Corregidor de esta villa, refrendada del escribano dei número D. Manuel Mejía, se ha'señalado para una junta gene Convente,hecho entre el Mariscal de Campo D. Gregorio Lagu ral de acreedores de D. Julián Victor Bourdet, vecino y del na, Capitón general nombrado por S. M. de la provincia Je Ex-, comercio de esta corte, el dia 7 de.Dicie…</t>
  </si>
  <si>
    <t>…s diputados, sin hacerles _Por providencia del Sr. D. Dionisio Catalan , Teniente Cor siquiera una caravana. Estoy cierto de que el Congreso en nada regidor , por la escribanía de D. Manuel Mejía, se venden ;í pú ha pecado, y la historia nos hará justicia. ¿Dónde están esos blica subasta para hacer pago a un acreedor dos solares, sitos en aristócratas? ¡Dónde esa Roma, que se llama, y qué se hace de esta corte y su calle de S. Antón, señalados con los…</t>
  </si>
  <si>
    <t>Mel, Francisco</t>
  </si>
  <si>
    <t>Francisco Mel</t>
  </si>
  <si>
    <t>…sulado de aquella ciudad pidiendo se adoptasen varias medidas, entre otras la abolición de por los procedimientos que con él ha tenido , era de opinión los derechos de visita : de D. Francisco Mel, maestro de primeras que no habia motivo para exigir la responsabilidad. Aprobado. letras de S. Fernando , remitiendo un proyecto para la enseñan La comisión de Legislación era de opinión que las Cortes po za mutua, que no había podido plantear por falta de m…</t>
  </si>
  <si>
    <t>Melato, Macario Padua</t>
  </si>
  <si>
    <t>Macario Padua Melato</t>
  </si>
  <si>
    <t>…s de la universidad de segunda enseñanza de Observaciones pacíficas sobre la potestad ec'esiástica, dadas á luz fot Oceres.__De ia M. N. V. de ambas armas de la ciudad de Motril__ D. Macario Padua Melato: tres tomos en 4.' Se hallaren en la librería De un gran número de ciudadanos de la misma__Del ayuntamiento de la viuda de vuiroga. Véndense también las seis caitas á Iiénico,qui constitucional de Morony__De la compañía de M. V. L. de artillería el mismo Mela…</t>
  </si>
  <si>
    <t>…no queriendo apresar buques españoles dedicados Observaciones pacíficas sobre la potestad eclesiástica , dadas á solamente al comercio. Ya hemos hablado del aviso dado por Juz por D. Macario Padua Melato : 'res tomos en 4.0, rústica i nuestro cónsul en Marsella relativo á este punto. El i&lt;5 escriben 66 rs. en la librería de Caro Hernández. EN LA IMPRENTA NACIONAL,</t>
  </si>
  <si>
    <t>Melchor</t>
  </si>
  <si>
    <t>…n tiranizando ; y este corresponda á los autos formados con motivo del fallecimiento abmes el egemplar que presentan i los demás pueblos para persuadirlos á que testato del propio D. Melchor, y les parará el perjuicio que haya lugar. admitan sus auxilios benéficos. ANUNCIOS. El Sr. diputado Alvarez y Gutiérrez nos ha dirigido la siguiente carta. No habiendo podido indagsT la comisaría general de Cruzada el pa Muy Sres. mios: No sé por qué fatalid…</t>
  </si>
  <si>
    <t>MelchorN, Josef</t>
  </si>
  <si>
    <t>Josef MelchorN</t>
  </si>
  <si>
    <t>…a an saciones de edad que solicitaba D. -Rafael de Hercdia, natural de te* tenían. Por lo tanto ruego á la comisión suprima la cláusula Bilbao , para poder administrar sus bienes; D. Josef MelchorN., «y que á estos resulte castigoquedando sujetas á las penas que' natural de Bañcza, para poderse recibir de abogado, con tal que impone el código penal solo por el acto de intervenir o conocer no pueda eeercer la magistratura hasta la edad competente; y en l…</t>
  </si>
  <si>
    <t>Melcndez</t>
  </si>
  <si>
    <t>…r obtener otro en el Gobierno l.to es efecto de Hnqiaeza ó de debilidad; pero el segundo, que constitucional. coadyuva á la destrucción del actual sistema, ¿no es digno de ma - El Sr. Melcndez: No apruebo el artículo, porque en ¿1 no se yor castigo? ;Pues por qué la comisión impone á este menor pe hace .una justa distinq'oa de los destino,: y ts bien sabido que na que á aquel? \o creo que para que las penas sean proporcio son de diversas categorías…</t>
  </si>
  <si>
    <t>Melendcz</t>
  </si>
  <si>
    <t>…iente, viéndose perseguida por i-- columnas que sirvan en duchas compañías para el efecto d.* abono de tiempo. constitucionales al mando del Sr. de Torrijo» la facción q&lt;; und* El Sr. Melendcz : Si á los milicianos nacónale. locales solo se las Juanito , 300 hombres de estos tirando la» arma* se mtucron ei ran-</t>
  </si>
  <si>
    <t>Melendcz, María</t>
  </si>
  <si>
    <t>María Melendcz</t>
  </si>
  <si>
    <t>…rrido el último vSr. .preopinante, ' 'tcs;dictamencs. ínr.ik ■¡r.'b",.,-'. - . . k.y;.í i'. ’’ El Sr. Prado s Confieso que hubiera deseado que cuando el Uno sobre la expósicio» de Doña María Melendcz, viuda de otro’ dia str trató tic la c:rcu!ar de Ja comisión de Visita del Cré D.' -Mamie! Rincón ¡ médico quefúc de la ciudad de Oviedo, sobre dito público, su fecha 10 de-Diciembre último, d Congreso ■ que se apruebe ía-asignacion dc-tf rs, diarios que le h…</t>
  </si>
  <si>
    <t>Melendez</t>
  </si>
  <si>
    <t>…do hasta completar los seis años; y asi no puedo conformarme con nos den la competente seguridad. este artículo. Reprtimos que considerada la astucia y manejos tenebrosos de la El Sr. Melendez: No supone la comisión en este artículo que se policía francesa , debemos estar muy alerta, y hacer todo cuanto exige alivie á los pueblos con lo que en él se propone , sino que los pueblos nuestra tranquilidad interior por descubrir c inutilizar tos medios i…</t>
  </si>
  <si>
    <t>…ses de combinaciones diplomáticas, aun suponiendo que sea bajo el la exposición del Sr. Moreno Guerra al Sr. S irrano; para la de gobier no economico-político de las provincias al Sr. Melendez; para la de Pogobierno mas absoluto! Según escriben de Constantinopla parece que los genízaros, cada deres al Sr. Gómez ( D. Manuel ), y para la de Salud pública ai señor vez mas audaces por la condescendencia del Sultán , piden ahora la Prat, todos en lugar…</t>
  </si>
  <si>
    <t>…Sr. Valdés este proyecto como peor tampoco te dice que se creen según las necesidades de cada provincia. del que anteriormente^presentó la comisión , porque en aquel se fijaba El Sr. Melendez: Las palabras por ahora no hay duda que indican le base de 4a hombres por cada diputado á Cortes, y en el que se un tiempo corto; y en cuanto á ia objeción que ha hecho el señor disente se deja á arbitrio de las diputaciones provinciales. La base que preopina…</t>
  </si>
  <si>
    <t>…armada. I^ual resolución recayó srbre otra exposición de la diputación proContinuó la discusión del voto particular de los Sres. Canga é Is- vinca! de Córdoba , presen :ada por si Sr. Melendez, turiz sobre el expediente de la casa de Belguerie de Burdeoi. Lo mismo se acordó respecto de otra de la diputación yiovincbl El Sr. Zuluela dijo que respetaba mucho las sentencias judicial ;s; de Sevilla , dirigida can igual motivo; y sobre otra de ios alumn…</t>
  </si>
  <si>
    <t>…tución y á ¡os in Del ayuntamiento constitucional de la villa de Aranda y milicia surgentes de Navarra, y pronuncia en favor de estos últimos; y añada nacional de la misma, por el Sr. Melendez. si que la respuesta que se dé i la presente declaración va ¿resolver cues Se mandó pasar al Gobierno una exposición de la diputación pro tiones de ta mayor importancia.” • vincial de Salamanca , en la que se queja de io sobrecargada que se ha Resumiendo pues…</t>
  </si>
  <si>
    <t>…este decreto, echando mano para Del ayuntamiento y M. N. de Fernan-Nuñez, provincia de Cór ello de los fondos de propios, arbitrios y pósitos de los pueblos, de atra doba , por el Sr. Melendez. sos y adelantos de contribuciones, repartimientos vecinales, y cuales De los empleados en la secretaría del gobierno político y diputación quiera otros de que puedan valerse, debiendo llevar las diputaciones provincial de Logroño, por el Sr. Manso. cuenta ex…</t>
  </si>
  <si>
    <t>…ro de los ultras ha conseguido el triunfo que tanto desea» ron aprobados los artículos 5 °, 6.°, 7.0 y 8.° ba. Consiguieron al fin engañar á S. M. Luis xvm; y que ios intereses El Sr. Melendez fue de Opinión que la declaración que te trataba peculiares de su partido hayan sido preferidos al ínteres general de de hacer i favor de las diputaciones provinciales que cumpliesen este aquella nación y de los de toda la Europa. decreto exactamente , deberí…</t>
  </si>
  <si>
    <t>…l ayuntamiento de la ciudad de S. Fernando, por elSr. Zulueta. de oponerme al parecer de la comisión. ■ ' •• Se leyeron los siguientes decretos de las Cortes, pasados por la co El Sr. Melendez: El Sr. preopinante te ha opuesto' al dictamen,misión de Corrección de estilo, uno sol., r.rreglo del estado mayor, y fundado en primer lugar en .que-aun cuando sea conveniente et tómjr, otro sobre géneros prohibidos. frutos en las plazas fronterizas p como e…</t>
  </si>
  <si>
    <t>…cual se logrará que los pueblos paguen gustosos. dictarnen.de la comisión. El Sr. secretario de Hacienda: Las Cortes han declarado un au Se mandó pasar á la misma una adición del Sr. Melendez al art. 1“ mento de fuerza terrestre y-marilima, y esto necesita-unos auxilios ex del dictamen .obre los recursos pecuniarios propuestos por el Gobierno, traordinarios sobre los que las Cortes tenían ya decretados. Sentado es Se leyó y sí mandó quedar sobre l…</t>
  </si>
  <si>
    <t>…tenderse la inviolabilidad de los diputa La comisión de Hacienda y Visita del Crédito público adoptaba la dos hasta donde la comisión pretende, puede suceder que un di adic.on del Sr. Melendez, hecha al art. z.° de su dictamen sobre el mo putado calumniase i una persona, en cuyo caso, si se aprobase el dicta do de cobrar los atrasos de contribuciones , qu; decía asi: n Con arre men vno podría esta proceder contra aquel. Ultimamente expuso que lo gl…</t>
  </si>
  <si>
    <t>…rigorosa de lo prescrito cr&gt; ene Del ayuntamiento constitucional del Carpió, presentada y leída rcgl.um r.tc&gt; ¡ ara las propuestas y notas en las hojas de servicio , c ,mo por el Sr. Melendez. . . finalmente en que sda fiel y estrictamente observado cuanto previene Se mandó pasar á la comisión de Guerra una exposición de la la ordenanza general del egército relativo al servicio de sanidad militar M. N. L. V. de Madrid, pidiendo que á los individuo…</t>
  </si>
  <si>
    <t>…de graduación ni sueldo á ninguno de no tiene ni con mucho el mismo carácter que la de la inuependencia. sus subordinados, porque para ello ha de mediar causa legalmer.íe proba El Sr. Melendez ¡ El objeto de nuestra proposición no es otro que el da y sentenciada. Los comandantes generales de distritos facilitarán á ios de que se den reglas fijas para que puedan salir los empleados del Gobier inspectores los castillos y auxilios que les pidieren ver…</t>
  </si>
  <si>
    <t>…uos á que alude el articulo que pliamente el servicio de los individuos que compongan esta fuerza. se discute: porque si se exceptuase del sorteo á un individuo cuando está en Del Sr. Melendez: Los milicianos que r,o fueren empleados quedan libertad para retirarse á su casa, se seguiría que habría muchos que se com habilitados para obtener destinos, aunque r.o gocen sueldo alguno. prometerían á ¡r á Sevilla, y sin comprometerse al servicio de que t…</t>
  </si>
  <si>
    <t>…FICIO. aprobase en su totalidad el proyecto, sin perjuicio de las modifi caciones que puedan hacerse en sus artículos. El Rey se ha enterado con mucha satisfacción de la exposi El Sr. Melendez dijo que supuesto que el Sr. preopinante ción de esa diputación provincial, que V. S. me remite con su apoyaba ei dictamen en su totalidad , podria preguntarse si habia oficio de 22 de Abril líltimo, manifestando la actividad y zelo lugar á votar. con que se…</t>
  </si>
  <si>
    <t>…comi Con respecto á la contribución de consumos es preciso que sión no ha podido hacer mas que lo que ha hecho. las Cortes atiendan á que la población de Galicia difiere mucho El Sr. Melendez: Yo creo que hemos entrado en ia discusión de la de las demás provincias, pues se halla muy diseminada. Ese sin deber hacerlo , pues el dictamen de la comisión se reduce úni ta población consta en la mayor parte de labradores pobres que camente á que se impri…</t>
  </si>
  <si>
    <t>…del Sr. Navarro Tejeiro, sino también el artículo 308 votos, habiendo obtenido 4 et Sr. Sonroza, 4 el Sr. Cano, 3 el de la Constitución. Pueden suspenderse formalidades para el ar Sr. Melendez, 3 el Sr. Buruaga , 3 el Sr. Pedralvez, y uno cada resto de los delincuentes, pero no formalidades posteriores al ar uno de los Sres. Belmontc , Posadas, Varela, Rojo , Galiano, resto , y la comisión no solamente propone esto sino también que Alvarez (D. Elia…</t>
  </si>
  <si>
    <t>Melgar, Atanasio de</t>
  </si>
  <si>
    <t>Atanasio de Melgar</t>
  </si>
  <si>
    <t>…os, caminos y ramos agregados á los Sres. D. Re AUSTRIA. migio Argumosa, Oficial primero mas antiguo de la primera Se Vtena 22 de Noviembre. cretaría de Estado y del Despacho, y á D. Atanasio de Melgar, El Observador austríaco trae hoy un artículo sobre la Tur Gobernador de las aduanas de Cantabria. Asimismo ha resuelto quía , su fecha en Constantinopla el 2 5 de Octubre. Segun el cual S. M. que Argumosa continúe hasta nueva orden desempeñando parece que ha…</t>
  </si>
  <si>
    <t>Melgarejo, Francisco</t>
  </si>
  <si>
    <t>Francisco Melgarejo</t>
  </si>
  <si>
    <t>…aria que con «te objeio se hayan he A la. comisión dc -Inuruccion pública se mandó pasar una cho por las. provincias desde 1“ de Enero último. Aprobada. exposición de, la viuda de.D. Francisco Melgarejo, empicado que Se procedió á la discusión de la instrucción de la comisión fue de la escuda veterinaria, solicitando una pensión. -de Visita del Coaita público sobre el modo de llevar á efecto 'La comisión segunda;de .Hacienda, en vista de la exposición ei dec…</t>
  </si>
  <si>
    <t>Melgarejo, Nicolás</t>
  </si>
  <si>
    <t>Nicolás Melgarejo</t>
  </si>
  <si>
    <t>…Util para la Francia. El Rey se ha servido nombrar para el Gobierno de la villa „Tengo el honor &amp;c.=A. de Arbelles.” de Infantes, perteneciente á las Ordenes militares, al Coronel D. Nicolás Melgarejo, que lo servia interinamente por nombra NOTICIAS DE ESPAÑA. miento de la Regencia. Zaragoza j de Noviembre. Capitanía general de Aragón. El Mariscal de campo Gefe El dia 23 de Octubre íiltimo salió con pliegos del Gobierno de E. M. del quinto cuerpo, desde el…</t>
  </si>
  <si>
    <t>Melis</t>
  </si>
  <si>
    <t>…do. S. M. Ia Reina está mejor. SS. AA.vo la dicha de sorprenderla en el mismo lugar, y mató á un faccioso, continúan sin novedad en su importante salud.”h:zo dos prisioneros ,y el capitán Melis por huir de sus manos se echó en un pozo y se ahogó, quedando libres de un monstruo que tenia CORTES EXTRAORDINARIAS. consternado y oprimido aquel pueblo y sus inmediaciones. Dios guarde á V. E. muchos años. Lérida 5 de Enero de 1823.= raUSIDINCIA DHL shSoc T…</t>
  </si>
  <si>
    <t>Mella, Ignacio de</t>
  </si>
  <si>
    <t>Ignacio de Mella</t>
  </si>
  <si>
    <t>…admirar mas, obligándolos á decir lio mismosi eiait .cn menor número; lo que si: la^ malicia del autor;; ó la ignorancia , ó~3a refinada desver-jabidovpot el comandante dearinas: D. Ignacio de Mella ,y Bar- ■güenzá y descaro-coniqus pretende insultar á la sensatez del beiro-,.dt'Stacó inmediatamente una partida , compuesta de rea pueblo rspañol; y lo despreciáramos altamente, ó nos reinar listas yutctldadosdeL, provincial en igual número al ds los fac mo…</t>
  </si>
  <si>
    <t>Meló</t>
  </si>
  <si>
    <t>…eyó oportuno proponer porque ¡odas ¡as disposiciones principales parten de este frítalo o: vo nueve» leyes que salven estos inconvenientes, porque vió que era asun quisiera que el Sr. Meló, asi como ei Sr. Ruiz de ia Vega se i.mú to tnuy drn'cado, y de consiguiente que exigía mucho detenimiento, y la molestia de leer varios aitículos de! código pena! , en o.uiis es que aun de. este modo no se lograría el objeto que se deseaba. Consi necesario e…</t>
  </si>
  <si>
    <t>…ona, Todo cuanto sa Para vice-presidente fue elegido el Sr. Seprien por 69 votos de 1 3 r, bíanlos era por meras conjeturas y sospechas; y si en estas había ver habiendo tenido el Sr. Meló 48 votos: 5 el Sr. Calderón: 2 el Sr. To dad, seguramente que no era necesario andar centenares de leguas para mas , y uno cada uno de los Sres. Buey , Alcántara, Infante, Bauza, acabar por no resolver cosa alguna de un .modo definitivo. Lagasca , Melendez y…</t>
  </si>
  <si>
    <t>…ocino y garbanzos, su correspondiente ración de*pan y dos cuartos pa Se leyó y aptobó el acta de la anterior. ra vino á cada padre de familias, de los cuales hubo alguno que se El Sr. Meló presentó una exposición de los cursantes en la cátedra presentó con to hijos. Un acto de esta naturaleza, presidido por el ge- de retórica de la universidad central, felicitando á tes Cortes por sus fe político, un individuo de la diputación provincial y dos…</t>
  </si>
  <si>
    <t>…do en las provincias marítimas, y anotando esta rebaja en ■ reemplazos, esto es, por el Crédito público. silla separada. Se imprimirá y , ‘.colará á los pueblos de la provincia El Sr. Meló dijo que expresándose en el voto particular quí se dis e te estado de la población que ha de servir para el repartimiento de cutía que se debe satisfacer á la casa de Beiguerie en los mismos térmi los quintos, y se remir-án cgemplares á las Cortes precisament…</t>
  </si>
  <si>
    <t>…qua De la milicia nacional local voluntaria d* infantería y caballería da hace un pasagero , I ladrón que le sale a robar en un camino. Jerez dt los Caballeroi, presentada por al Sr. Meló.</t>
  </si>
  <si>
    <t>…o?. votar sobre é1. Del ayuntamiento constitucional de Caudiel, en el reino de Va* El Sr. Alvarez Gutiérrez sostuvo su voto particular , contestando lencia. _ j ’ al di scurso del Sr. Meló, y manifestando entre otras cosas cuál era el Se leyeron dos minutas de decreto , la primera sobra la instrucción estado de la jurisdicción eclesiástica , y la necesidad que había de do del gobierno económico-político de las provincias, y la segunda sobre- ta…</t>
  </si>
  <si>
    <t>…ombrados para puede haber de unas sesiones a otras , sera :o mismo qu.i áre r que el Gobierno en el hecho de ser constitucional estaba de-Mudo i p-eiecT, bs Cortes ordinarias.” El Sr. Meló: La cuestión de que se trata es tan difícil como &lt;m- porque el dia que supiera el enrnvco que no pid a s.i r ce »e l”r.i/osa, v despurs de tributar á los señores de U conmion el home echaría encima, y le haría prisionero ; esto es t .n ab‘urac&gt; . qu •- »:...…</t>
  </si>
  <si>
    <t>…bieno francés: el que no los vea en ella, cuando crea oportuna. que los hay no ter dra mas medio que arrepentirse y llorar. Dice el El orador apoyó las observaciones hechas por el Sr. Meló, y con Gobierno entre otras cosas: » para que en vista de ellos acuerde las cluyó que no podía aprobarse el art. i.°, porque si era de !a atribución medidas que crea oportunas para prevenir de antemano las consecuen del G°bíerno la remoción , no necesitaba de…</t>
  </si>
  <si>
    <t>…uviesen i bien mandar al art. 54 , tit. 14 de la ordenanza militar. leer las memoras de los secretarios del Despacho , ó á lo menos del de Es Se mandó) agregar al acta el voto del Sr. Meló, contrario á la declara tado , por lo cual pido se lea la siguiente proposición: ción de haber lugar á la formación de causa al vicario general de Bar Proposición de los Sres. Scptien, Beltran de Lis y Polillo. «Hallándo celona. nos en la quinta sesión de la…</t>
  </si>
  <si>
    <t>…dad , nuestro honor y ia seguridad pública , que de oleo para deshacer algunas equivocaciones. modo pudiéramos comprometer. En cuanto yo pueda combinar Se leyó» una exposición del Sr. Meló , quien manifestaba des el cumplimiento de estas tres cosas . permaneceré en mi puesto, de Córdoba que su indisposición no le permitía egercer las fun y cuando tenga que desampararle me retirare á mi casa : pero ciones de diputado. Recayó sobre ella igual res…</t>
  </si>
  <si>
    <t>Meló, Ignacio Justo Amante y</t>
  </si>
  <si>
    <t>Ignacio Justo Amante y Meló</t>
  </si>
  <si>
    <t>…cordados, pasando testimonio íntegro de Art. i.° Se reconocerá por ayudante general de la división éi al gefe político, para que con su informe, si dcL acuerdo no de Extremadura á D. Ignacio Justo Amante y Meló. aparece su opinión particular, lo remita.al Gobierno. Aprobado. 2.0 Se reconocerá por ayudante de campo del general de la Art. 119. En las obras de utilidad general de la Nación que Jígunda división al teniente D. Francisco Piqueras, y: a las inme se emprend…</t>
  </si>
  <si>
    <t>Memo, Vicente González</t>
  </si>
  <si>
    <t>Vicente González Memo</t>
  </si>
  <si>
    <t>…r en conocimiento de las intenciones con que los guientes: Trímera tripada de la primera división: su gefe interino el bri franceses del duque de Angulema entran en España. gadier D. Vicente González Memo. Murcia I C) de Abril. Tuerza. Primer batallón de Guadalajara , i? hombres. Se Los nacionales de Cieza, al mando del patriota Yarza, cas gundo de idem i0- Cuenca milicia 800. Compañías de Guias tigaron el íó á los ladrones que llaman allí de Aluicia en la s.e…</t>
  </si>
  <si>
    <t>Menante, Miguel de</t>
  </si>
  <si>
    <t>Miguel de Menante</t>
  </si>
  <si>
    <t>…astaño Cotuiure el artículo ¡ie ¡as inaicaciones sobre la situación actual del Valle, id. , y desertor del regimiento caballería de España. de las ,rol enejas de Fwnra CutttpUlos,—D. Miguel de Menante, clérigo menor, y veci El partido ultra de la Francia, enemigo de las luces y dei no de esta villa—Juan Verdugo Valencia, de esta vecindad__ imperio de la ley, tiró el guante á los españoles, creyéndose Jostf Sánchez, natural de Sierra de Yeguas__ Alonso Cast…</t>
  </si>
  <si>
    <t>…m, y desertor del regimiento caba grados de ambas ciudades, acompañados de 700 milicianos vo laría de España. luntarios y una columna del egército permanente. Yo me dis Campillos. D. Miguel de Menante, clérigo menor y vecino pongo á.salir con el' señor comandante gcncrai, si ios ene &lt;3e esta villa ; Juan Verdugo Valencia, de.,esta vecindad; Josef migos , como es de esperar, s; aproximan á ota; llevando Sanche.:, natural de Sierra de Yeguas; Alonso Castro M…</t>
  </si>
  <si>
    <t>Mencía</t>
  </si>
  <si>
    <t>…o, y no á los de ¡as partidas, calde mayor interino D. Ildefonso Josef de Fiias, cuyo destino como en ¿i se dice. De orden de la Regencia lo participo á desempeñaba en la villa de Doña Mencía, y cuyo patriotismo V. para su inteligencia, gobierno y demas efectos correspon y amor hacia el Rey le ha expuesto mas de una vez , pues qus dientes en la parte que le toca. Dios guarde á V. muchos también fue electo por la Real brigada de carabineros y regi…</t>
  </si>
  <si>
    <t>Mendinueta, Pedro</t>
  </si>
  <si>
    <t>Pedro Mendinueta</t>
  </si>
  <si>
    <t>…los demas nima el espíritu público: ayer entre tres y cuatro llegaron áCamarillas para toda fatiga. un destacanv uto de 40 hombres de dicho regimiento 4 tiempo que es » El capitán general D. Pedro Mendinueta , los tenientes generales taban arrollando el pucb'o 110 hombres al mando de Portatnbú. Los D. Josef Cienfuegos, príncipe de Anglona y D. Ramón Pirez; los acometieron, y echaron del pueblo; mas se rehicieron, y precisaron á mariscaos de campo D. Bernardo Bona…</t>
  </si>
  <si>
    <t>Mendivil, Gregorio</t>
  </si>
  <si>
    <t>Gregorio Mendivil</t>
  </si>
  <si>
    <t>…su virtud se reunió el 60 en pasta. jurado, compuesto de los señores siguientes; D. BenitoOrtcga Romanillos, Práctica de vida cristiana y ejercicios de devoción : segunda edición D. Gregorio Mendivil, D. Juan Fernandez Casariego , D- Manuel Carni en un tomo en 8.°, adornado ton 1 j láminas finas. En esle nuevo ejerci cero, D. Antonio Puigblar ch , D. Pedro Alvaro Delgado , D, Cayetano cio cotidiano se han recopilado todas las mas principales oraciones , p…</t>
  </si>
  <si>
    <t>…la Nacioa. D. Joaquín déla Vega y Quintana. D. Cayetano Rubio. D. Luis de Mata y Araujo. D. Bei nardo Asen jo. _ Debiendo empezarse desde luego las operaciones preliminares par.» D. Gregorio Mendivil. D. Josef Francisco Muiguiru. ci pago del dividendo de 30 rs. por acción en metílico por ios años, de 1821 y 11 acordado es^la junta general de accionistas de! banco ce JVómfr cdos jeor el 1 Kcmo. ayuntamiento. lebrada en 24 de este mes, se avisa a los accion…</t>
  </si>
  <si>
    <t>Mendivil, Gregorio Miguel de</t>
  </si>
  <si>
    <t>Gregorio Miguel de Mendivil</t>
  </si>
  <si>
    <t>…raordinarias comunican al de D. Manuel Carnicera , D. Josef Rives Queraltó, el conde de la Tone Estado y drl Despacho de Gracia y Justicia con fecha de 7 del corrien el F resn.» y D. Gregorio Miguel de Mendivil. te lo que sigue : Señores que los absolvieron en esta parte 1 D. Antonio Puigblanch, s&gt; Habiendo procedido las Cortes extraordinarias á la renovación de D. Francisco Martínez Marina , D. Valentín Recio, D. Nicolás Here su presidente, rice-presidente y secrst…</t>
  </si>
  <si>
    <t>Mendivit, Gregorio Miguel de</t>
  </si>
  <si>
    <t>Gregorio Miguel de Mendivit</t>
  </si>
  <si>
    <t>…ito de operaciones. 3.° El D. Francisco Javier Bauza, D. Pedro Alvaro Delgado, D. Mico» egército de reserva del primer distrito militar , á las órdenes del te- Jas Cano de Luque , D. Gregorio Miguel de Mendivit, D. Francisco píente general conde del Abisbal, se denoramará primer egército de re- Travesedo, D. Domingo Villami!, D. Manuel josef Gallego, Don serva. 4.0 Se formará otro egército , que tendrá la denominación de se- Juan Manuel de Aréjuta, D. Gonzalo Cárden…</t>
  </si>
  <si>
    <t>Mendizabal, Blas de</t>
  </si>
  <si>
    <t>Blas de Mendizabal</t>
  </si>
  <si>
    <t>…tregado en metálico. Sevilla 10 efectos consiguientes. de Mayo de iS’g.rcJoaquin María Ferrer, presidenle.esManuel Llórente', diputado secretario, ic: Domingo Eulogio de la Torre, D. Blas de Mendizabal, ex-consttl de España en Londres, ha diputado secretario.=Por tanto mandamos á todos los tribunales, hecho presente que al momento que la milicia nacional y autori justicias, gefes , gobernadores y demas autoridades, asi civiles co dades empezaron á evacuar l…</t>
  </si>
  <si>
    <t>Mendizafca', Vicente</t>
  </si>
  <si>
    <t>Vicente Mendizafca'</t>
  </si>
  <si>
    <t>…rganos del despotismo. Si les es posible reconciliarse con Ja verdad y prestar homenage á la razón yá la evidencia, traten como es justo á El agente de negocios*de España é Indias D. Vicente Mendizafca', una Nación magnánima y generosa, que está resuelta á defender sus bien conocido y acreditado en su profesión , se traslada á Sevilla al la derechos á todo trance sin perjudicar a ios de ninguna ora : usen del do del Gobi.rno para continuar dando curso á los…</t>
  </si>
  <si>
    <t>Mendo, Antonio Hurtado de</t>
  </si>
  <si>
    <t>Antonio Hurtado de Mendo</t>
  </si>
  <si>
    <t>…ó no habría salido de él; y Suplemento al Diccionáriio de medicina y cirugía del profe aunque viese la guerra inevitable, menos expuesto se hallaba ení sor D. Antonio Balláno: por.D. Antonio Hurtado de Mendo medio de su reino que en las manos de sú enemigo; y pues que za: tomo 3." y último,dividido en dos partes ó.volúmenes en 4.’ en efecto se entregó á él en Bayona,, ¡qué interes le obligo á Se venden á.30 rs. cada pnct en TÚstica.,:y;34empasta en la 1¡t ello ?…</t>
  </si>
  <si>
    <t>Mendoza, Ana del Corral y</t>
  </si>
  <si>
    <t>Ana del Corral y Mendoza</t>
  </si>
  <si>
    <t>…emplaza á todas las personas y tantos mrs. en millones de Valladolid y su provincia de prique se crean con derecho á dichos bienes , para que en el tér mera situación encabeza de Doña Ana del Corral y Mendoza. _mino preciso y perentorio de sesenta días, contados desde 12 Otro de 136,606 mrs. al quitar, situado en el 1 por 100 de de Marzo próximo pasado, se presenten í deducirlo en los cita Medina del Campo con antelación de la tercera situación en ca dos autos; co…</t>
  </si>
  <si>
    <t>Mendoza, Antonio López</t>
  </si>
  <si>
    <t>Antonio López Mendoza</t>
  </si>
  <si>
    <t>….te por las dibeuúades que debía ofrecer tu eje- res de Fernando vu D. NaiCiso López. Otra al mando del te cu-’on , smo también por su injust cia. Sin embargo parece qiu la niente coronel D. Antonio López Mendoza, está lista de todo, Rus a ha enviado realmente algunas fragatas para apoyar sus pre y debe d.rlgirse por la Guagira al mismo departamento de un tensiones , no obstante que 110 puede ocupar ia casta que redama momento a otro , y el resto del ejercito paree, q…</t>
  </si>
  <si>
    <t>Mendoza, Arias González de</t>
  </si>
  <si>
    <t>Arias González de Mendoza</t>
  </si>
  <si>
    <t>…o Perez frecuentes apelaciones. Los pro Palomino, D. Lorenzo Lambea, D. Josef Ptrez Morales, Don fesores que teniendo la cualidad enunciada quisieren pretender el Marcelino Torio, D. Arias González de Mendoza, D. Fran partido , dirigirán sus memoriales pot el correo, franco de porte, cisco Zazo de Lares,. D. Miguel de Nájera, D. Aniceto More ai ayuntamiento constitucional de dicha villa hasta el dia 8 dei no y D. Nicolás Cano de Luque, calificaron con la fórmula d…</t>
  </si>
  <si>
    <t>Mendoza, Arias Gonzalo de</t>
  </si>
  <si>
    <t>Arias Gonzalo de Mendoza</t>
  </si>
  <si>
    <t>…ntonces ha visto comprobado de mil modos que estos deseos D. Josef Rodríguez. D. Francisco López OUvarriet»., eran la voluntad general, sin la cual mal pudieran haber llevado á ca D. Arias Gonzalo de Mendoza. D. Mariano Goycoechea. bo su loable empresa una porción de hombres valientes sobre toda D. Pedro Bustes. D. Juan Rodríguez Guillen. ponderación , pero en corto íiúmevu y desgraciados hasta entonce* , tanto D . Baltasar Joaquín Perez. D. Josef Alvarez Crespo.…</t>
  </si>
  <si>
    <t>…mismo.__Otro en cabeza de Francisco guientes : D. Pelayo García Zoniila , D. Mat as Pindla, Don Ortiz de 68,147 mrs., situados en las sedas de Granada__ Tres Luis de Mata Araujo, D. Arias Gonzalo de Mendoza, D. jo juros en el Almojarifazgo mayor de Sevilla de 1010 rs. 2 mrs. sef Merelo, D. Francisco López O.avarrieta, D. Faustino Fer de renta en cabeza de Juan de Aumada___Otro en cabeza de nandez Huidobro , D. Marceliano Torio y Torres y D. Ma Doña María Ortiz d…</t>
  </si>
  <si>
    <t>…sma muerte, y la Nación española ocupará el primer lugar lorenzo Lambea, D. josef Perez Morales, D. Marcelino Lorio, entre todos los pueblos célebres del mundo, y será mirada como D. Arias Gonzalo de Mendoza, D. Francisco Zazo de i. a res, un modelo que todos querrán imitar. D. Miguel de Nájera, D. Anictto Moreno y D. Nicolás Cano de Luque, para calificar el impreso titulado ” Observaciones sobre ARTICULO DE OFICIO. Ja probable disolución del Estado &amp;c.,” denunci…</t>
  </si>
  <si>
    <t>Meneses, Josef García</t>
  </si>
  <si>
    <t>Josef García Meneses</t>
  </si>
  <si>
    <t>…mudó al mismo derecho de Plasencia._que se siguen en su juzgado, y por la escribanía pública del car Dos juros en cabeza del contador Diego Navarro de 250$ mrs, go dei licenciado D. Josef García Meneses, á pedimento de varios situados en las alcabalas y rentas de la ciudad de Logroño— interesados sobre la división y partición de los bienes dei patro Otros dos juros de 3099 y tantos mrs. en millones de Valladonato de D. Nicolás Fernandez de! Castillo y Doña A…</t>
  </si>
  <si>
    <t>Menezo, Marcos</t>
  </si>
  <si>
    <t>Marcos Menezo</t>
  </si>
  <si>
    <t>…lanco al enemigo ó anteponérsele en su marcha ; y compuesto de los señores siguientes : si continua--; hacia Logroño espero que encontrará detención , pues an Don Valentín Recio , D. Marcos Menezo , D. Julián de Furní'i, ticipé avisos i las autoridades de la orilla del Ebro , y á poco que le D. Antonio Gamonal, D. Francisco Luciano Domingu-z Vtllar.uivj, entr. tengan será sin duda alcanzado y deshecho. Estoy esperando parte D. Santiago Vicente Les , D.…</t>
  </si>
  <si>
    <t>Mercé, Cristóbal</t>
  </si>
  <si>
    <t>Cristóbal Mercé</t>
  </si>
  <si>
    <t>…icente López. alucinar 2 los débiles. Prior del hospital de Sta. Cruz, D. Francisco Viladecans, » Aqui se les repetirá que al formar nuestra Constitución, id. de la convalecencia, D. Cristóbal Mercé, abad de S. Pablo, ni quisimos dejaría expuesta á las versatilidades del capricho, D. Rafael Parrella. ni darla una eternidad é invariabilidad que no sufren las cosas Capuchinos: P. Manuel de la Nou, P. Josef de Barcelona. humanas, sujetando en consecuencia l…</t>
  </si>
  <si>
    <t>Mercier</t>
  </si>
  <si>
    <t>…a resist.r v.»g« nel de la cuarta, han publicado dos órdenes d I día, en las cua es $« en cuo necesario, serán admitidos por el gefe de las minas ai precia censura la conducta det sargento Mercier, que no quiso echar mano á que estime justo. Mr. Manu 1 en la sesión del dia 4 , como un atentado contra la disci p.* El reconocimiento y aprobación de las vasqas se realizará en plina que debe excitar la indignación , y s r castigado con tanta mayor Almadén…</t>
  </si>
  <si>
    <t>…paño __ Mr. Poinsot, sargento mayor de la primera compañía , ter les constitucionales depondrá sus armas, é irá á hincar las rodi cer batallón, legión cuarta , á que pertenecía el sargento Mercier, lla delante de sus enemigos. Tanto mejor para el Correo si el por dió su dimisión inmediatamente que supo la injusta providencia venir se ofrece á su vista bajo colores tan risueños; por lo que tomada contra aquel. hace á nosotros, que no tenemos tanta sagac…</t>
  </si>
  <si>
    <t>Mere</t>
  </si>
  <si>
    <t>…spersos y aburridos, y van ^tirándose* á sus casas. por todas partes, y especialmente entre la tropa. La conducta La caballería de De-Pablo hizo prisioneros 10 hombres, y tomó del sargento Mere er en no querer poner las manos en un dis 50 caballos: lo quebrado del terreno salvo á los de mes. La in putado haiia muchos apologistas , y se aumentará su número fantería se mantiene hácia el Pirineo para equiparse con lo que cuando se sepa por todo el rein…</t>
  </si>
  <si>
    <t>Mere, Cristóbal</t>
  </si>
  <si>
    <t>Cristóbal Mere</t>
  </si>
  <si>
    <t>…te López. bierno; pero vo digo que lo hay sea el que fuese, y sin el cual Prior de! hospital de Sta. Cruz: D. Francisco Vüadecms. no existiría la Nación. Idem de la convalecencia: D. Cristóbal Mere l. .... .¿\_íi2'é Uc S-'.n Habrá un ministerio, aunque sea interino , y á este deben lla Pablo D. Rafael Parrella, mar las Cortes para que proponga recursos con que defender la Capuchinos : P. Manuel de la Non. =P. josef de Barcelona. patria. Si no lo hace, ó…</t>
  </si>
  <si>
    <t>Merelo, Josef</t>
  </si>
  <si>
    <t>Josef Merelo</t>
  </si>
  <si>
    <t>…gavillas de miserables sin honor, sin cré mas lo calificaron de sedicioso en primer grado. Los Sres. Don dito y sin probidad, no puedo menos de exclaman ¡ He aquí Cayetano Rubio, D. Josef Merelo y D. Aquilino Palomino lo otro das de Mayo \ La sangre correrá como entonces: las dolo- absolvieron. EN LA IMPRENTA NACIONAL</t>
  </si>
  <si>
    <t>Merino</t>
  </si>
  <si>
    <t>…verdad , para mí eterna, A vista de la efu- haber hecho un reconocimiento sobre el pueblo de Tejada contra el *ion de sentimientos patrióticos y resoluciones generosas , que harán cura Merino, y detalla los felices resultados de sus operaciones. para siempre memorables las sesiones del Congreso nacional del «y 11 El Gobierno ha recibido ademas otros partes del general Mina, y del corriente 1 que alcanzan hasta el 6 del corriente , «n cuyo dia tema…</t>
  </si>
  <si>
    <t>…so y siguientes días de nueve á una de la mañana. bre el pueblo de Tejada, tuvo noticias de que existia'én'él el resto de DIRECCION GENERAR DE ROTERIAS NACIONAIES. la gavilla del cura Merino: ai momento los atacó tocando i degüello, mientras que su ayudante D. Donato González cercó la casa donde Noticia de los pueblos donde han cabido los premios mayorea de creía que se hallaba el mismo Merino; pero desgraciadamente la equi la lotería moderna nac…</t>
  </si>
  <si>
    <t>…uno de los individuos que ha su hi;o D. Joaquín , y hallados; en la acción de Roa , donde fue der bían tenido el honor de firmar la proposición , y que entonces no tuvo rotado el cura Merino , á las órdenes del coronel Obregon , pedia que presente que entre al egército de que se trataba habia también milicias en vez de su hijo fuese é servir uno de los facciosos que este aprehen nacionales locales: por lo tanto pidió se incluyese en el decreto ,…</t>
  </si>
  <si>
    <t>4$6 ... en el di la fecha; y en efecto se ha verificado asi, habiendo SS. MM. del cura Merino, cuyo resultado ha sido hacerles 68 prisioneros, a!vu. y A A. salido de Valdepeñas á las dos del día, y llegado á este pueblo nos muertos, temándoles 103 armas de fuego, 5 caballos y una n-.u!a á Iss seis y media de !a tarde sin novedad en su importante salud…</t>
  </si>
  <si>
    <t>…á persuadirse a: esto! o¡n em Los dos correos de la real* que se habían atrasado han sido deteni butió, ella se preguntará é sí misma ¡ qué es lo que se puede creer de dos por el cura Merino: parece que nuestros aliados se complacen en un ministerio, qu j en el mismo discurso ifrmi y mega alternativamente ocasionar perjuicios al comercio. nuestra independencia; afirmándola cuando trata de ;us¡idcar sus nego ciaciones, y negándola para justificar…</t>
  </si>
  <si>
    <t>…o rechazada por las Id. de plaza Infante D. Carlos. tropas de Cuenca en el puente de Auííon, trataba de reunirse al Principal 2.0 batallón de la milicia de Aladrid; el demas ser-r cura Merino en esta provincia , ha sido completamente destro vicio el detallado. zada en el dia 6 en Aranda de Duero por solos 140 Infantes del Patrullas las mismas. Regimiento de Granada y una partida del de Lusitania al mando Hospital y provisiones Numancia. del bizarr…</t>
  </si>
  <si>
    <t>…rcoles 9 del corriente cabecilla, despucs de deber la vidaá la velocidad de su caballo, se se insertó una carta, que circula á nombre de la Reina de Por ha retirado á Valdanzo. El cura Merino se hallaba á la sazón á tugal , extractada del periódico titulado Gaceta de Lisboa. Para muy poca distancia, siendo muy de rv,que no haya tomado inteligencia del público convendrá publicar el siguiente artículo parte en esta acción. traducido del diario del G…</t>
  </si>
  <si>
    <t>…les mandé hacer por la mitad de Ja guerrilla, Santander, O-Donell en Burgos, y CuevilJas, Zavala y Zar-ale y otra mitad que destaqué al intento: toda la infantería arrojan ta y el cura Merino estaban en marcha pañí Palencia y Valladodo las armas, municiones y cajas de guerra, y disperso en el lid. Analizadas estas noticias he podido averiguar que los faccio monte de Leron, la caballería dejando sucesivamente los caba sos tienen una avanzada en Vil…</t>
  </si>
  <si>
    <t>…aron, y de consiguiente , lejos de ser útil á aquellos paises, Madrid 4 dt Mayo. pudiera ser perjudicial por una variación de circunstancias: citó en c , Labia de haber entrado el cura Merino en Vailadolid, y apoyo de su opinión la ley sobre aranceles, que cuando llegó á añaden que se le ha reunido Silveira___Valencia seguía defen la Havana se vieron obligadas sus autoridades á suspenderla por diéndose heroicamente el dia 29.__Se sabe ya de cierto…</t>
  </si>
  <si>
    <t>Gaceta de Madrid n.º 143 (extraordinaria)</t>
  </si>
  <si>
    <t>…l Em pecinado de 600 á 700 hombres, y que al dirijirse sobre él tuvo aviso seguro de que se hallaba en Moraleja un escuadrón de caballería de aquel r cuerpo: no dudó un momento el brigadier Merino en cargar á este, y tomando las medidas oportunas &gt; se atrojó sobre dicho escuadrón , al que derrotó en términos de no quedar uno que llevase la noticia á su gefe. « Conseguida esta victoria , y cuando iba á dar descanso á sus tro pas , supo que el Empecinado…</t>
  </si>
  <si>
    <t>…ular.) tu crimen, le preguntó e! Monarca? No señor__ Pues bien, haz Cáceres 1J de Junio. de modo que sea yo solo el que sepa tuflaqueza. El criado con Ayer noche á las ib entró el Sr. Merino con 2500 á 38 servó su plaza , y aun obtuvo pronto otra mas importante. hombres de infantería y caballería: esta tal cual; pero aquella » La vida de Fernando (siempre es Mr. Bcquieres el que ha bastante estropeada: también trae un cañón de i cuatro: perma bla…</t>
  </si>
  <si>
    <t>…honor , y en defensa de la cau regla dejaría de- ser Gobierno , sus acto» serian nu.es , cesapauce sa nacional. na todo su poder , y no le quedaría mas que ei cr nteii, ia obli El cura Merino que había pisado aquel territorio con 2000 gación de responder ante la iey , y de someterse a la pena que forajidos tuvo que ¿ib.,ndonarlo; y como tratase de regimentarlos hubiese merecido. para~dar aL-uu.i consistenc a á su fuerza, todos ,e abandonaron , y S…</t>
  </si>
  <si>
    <t>Merino, Gerónimo</t>
  </si>
  <si>
    <t>Gerónimo Merino</t>
  </si>
  <si>
    <t>Núm. 14... cuartos.) 4t GACETA EXTRAORDINARIA DE MADRID BEL VIERNES 13 DE JUNIO BE 1823. ARTICULO DE OFICIO. «El brigadier D. Gerónimo Merino, con fecha 10 del corriente des de Moraleja, da parte que al tiempo de ejecutar un movimiento combina do supo que en Casillas se hallaba un cuerpo enemigo al mando del Em pecinado de 600 á 700 hombres, y que al dirijirse sobre él tuvo aviso seguro de que se h…</t>
  </si>
  <si>
    <t>Merino, Isidro</t>
  </si>
  <si>
    <t>Isidro Merino</t>
  </si>
  <si>
    <t>40 ARTICULO DE OFIÓIÓ. Sefior.'s que los declararon subversivos: D. Francisco Luciano Do mínguez Villanueva, el conde de Floridabianca, D. Isidro Merino, Los Sr??. j^cret-rics de Us Cq’tes extraordinarias comunican al de D. Manuel Carnicera , D. Josef Rives Queraltó, el conde de la Tone Estado y drl Despacho de Gracia y Justicia con fecha de 7 del corrien el F resn.» y D. Gregorio Miguel de Mendivil. te lo qu…</t>
  </si>
  <si>
    <t>Merino, Josef</t>
  </si>
  <si>
    <t>Josef Merino</t>
  </si>
  <si>
    <t>…formase. Apro pección, y no seria prudente el que se abusase de este recurso, cuan bado. do todavía el crédito se mantiene, á pesar de la guerra, y cuan Otro sobre la solicitud de D. Josef Merino, para que se abo do ha recibido un. aumento aun después de la venida del Go ne al sustituto que ha presentado por haberle tocado la suerte de bierno á la Isla Gaditana. miliciano activo los años de servicio que á él deberia abonársele El Gobierno cree que bas…</t>
  </si>
  <si>
    <t>Merino, Julián</t>
  </si>
  <si>
    <t>Julián Merino</t>
  </si>
  <si>
    <t>…ndiente nombramiento dado por el coman D. Ildefonso López del Barrio, D. Josef Martínez, Don dante general délas partidas de la provincia , de acuerdo con la Juan Bautista Asuar y D. Julián Merino, todos cuatro eran ve diputación provincial de la misma , y visado por el comandante cinos de Madrid, y se ignora si viven ó no; á ellos ó á sus he general del distrito. rederos por su muerte hay que comunicarles asuntos que les in Los sargentos y cabos tendr…</t>
  </si>
  <si>
    <t>Merino, Lope Martin</t>
  </si>
  <si>
    <t>Lope Martin Merino</t>
  </si>
  <si>
    <t>…lesia complaci López, y se valió mas antes de la prensa ? Y si lo acusó, ; por qué da en el día 1de Octubre de 1823: poema en un canto, com el Gobierno nada hizo? puesto por el P. D. Lope Martin Merino. Se hallará á % rs. en las Se aguarda de un dia á otro al General Victoria. El habrá librerías de Minutria, de Escribano y de Villa. Puede ir en carta. tratado en Jalapa con los Comisarios españoles. El Licenciado El Calendario ó Almanaque para el año de 1824…</t>
  </si>
  <si>
    <t>Merino, Manuel</t>
  </si>
  <si>
    <t>Manuel Merino</t>
  </si>
  <si>
    <t>…nro de la misma puesto de los Sres. siguientes: D. Joaquín Manrique y Manrique, __ El si..y ha tenido á bien resolver que desde luego se encargue del f?'/U,anT^1:l"uel de Arejula, D. Manuel Merino, D. Antonio Tu,g«s:,do mayor general de los egércitos el mariscal de campo D. Antonio bli*"cb' D-Marcos Antonio de Menczo, D. Cayetano Romero , Don Rcmon Zarco del Valle , á quien S. M. ha tenido á bien nombrar in- cárd-ws Trai'eSed° * D' LorCnzo Galv0 de Koz…</t>
  </si>
  <si>
    <t>…onio María Espejo, D. Julián de Fuentes, D. Gre ronel Depablo talonea su fuga. n Hoy se lia incorporado ■ ia división el destacamento que proceden gorio Mendivil, D. Joaquín Ruiz, D. Manuel Merino, D. Luis de Ma te de esa corte vinia á ias ■ nir?‘ del coronel de Farneslo Martin. Para ta Araujo y D. Sebastian Andrés, calificaron con la fórmula de absuel perseguir esta canalla es ya ;,ubc-«:u - tanta tropa, y me tomo la libertad de to el impreso titulado…</t>
  </si>
  <si>
    <t>…drés, D. Saturnino Lozano, D. Isidoro Hoyos, D. Juan; Contribución corriente del clero...... 534&gt;93^"25 Antonio López, D. Joaquin Ruiz , O. Josef Rives, D. Manuel Esteban Catalá , D. Manuel Merino y D. Lorenzo Lanrbea. Lo declararon subver Total..................... 20.201,808. .20 sivo en tercer grado D. Nicolás Heredero, y ab.uelto D. Francisco Xravesedo y el conde de Floridablanca. ~ El Gobierno ha recibido el parte siguiente. TXIBCjíALES. »»Excmo. Sr.: Para el debido c…</t>
  </si>
  <si>
    <t>Merzier</t>
  </si>
  <si>
    <t>…iempo que se nec-sita para componen la ¡unta directiva de las suscriciones para obsequiar á Mr. que el Gobierno de los ultras tome ias nuevas seguridades que necesitr, Manuel y al sargento Merzier, que no quiso agarrarle en .a sesión del después de haberse visto precisado á retirar su confianza a algunos de 4. Asegura dicho Diario que en menos de 4 horas se recogieron en el los principales «fes del egército. mismo Toiosa 4© fr.; que el 25 pasaba de 30©…</t>
  </si>
  <si>
    <t>Mesa, Josef de</t>
  </si>
  <si>
    <t>Josef de Mesa</t>
  </si>
  <si>
    <t>…o de Ñipóles; pero que no se lisonjeaba Hoyo.=:Ezequiel Gareda.rrSimon de Saneha.== El.cura párroco sobre el resultado de la campaña, pues concluiría como la de D. Miguel FIorez.c=D. Josef de Mesa i presbítero.=D._ Geróni los Abruzos por un. sálvese cada uno como mejor pueda. mo Fernandez. = El secretario del Real patrimonio de S. Fer Según las mismas cartas, los constitucionales españoles esnando, Patricio del Hoyo.” tan persuadidos de que el conde de…</t>
  </si>
  <si>
    <t>Mescíans, Josef</t>
  </si>
  <si>
    <t>Josef Mescíans</t>
  </si>
  <si>
    <t>…~Ur Ies s de salvación , las Cortos tu-nen i:&gt; pu'-r- Can&lt; meo de Sta. Ana: D. Antonio Ibcrn. — Párroco de lC:bes ta para exigirle la responsabilidad. Este pues es el único medio, D. Josef Mescíans. aunque no soy amigo de amenazar con ia responsabilidad, para Servirás: P. Anselmo Parer». “ P. Isidro Riera. =P. Maria que el inundo cutero vea que no hay apatía en las Cortes , y sí al no lacias. =sP. Antonio Leu y P. S.Pvador Pía. contrario energía , y que…</t>
  </si>
  <si>
    <t>Mesina, Félix</t>
  </si>
  <si>
    <t>Félix Mesina</t>
  </si>
  <si>
    <t>…en los Se ñores diputados secretarios de las Córtes lo que sigue. Las Relación nominal de loe herido!. Cortes han tenido á bien aprobar la propuesta que V. E. hace 10 de línea. El capitán D. Félix Mesina: Sargento 2.° Ma de orden de S. M. en su oficio de 15 del que rige, relat.vo al nuel Martin : Cabo 2.0 Ramón López: soldados Alejo Gar modo de constituir p@ir ahora la sala de tercera instancia de la cía , Alonso García , Pedro Perez, Ramón García Quirico Ga…</t>
  </si>
  <si>
    <t>Mestre, Agustín</t>
  </si>
  <si>
    <t>Agustín Mestre</t>
  </si>
  <si>
    <t>…. litud y circunspección , satisfaciendo las costas por sí causadas, y la Vales de Enero y Mayo.............. ............................ ¡5rj por too. mitad de las originadas il D. Agustín Mestre hasta entonces-deven-.......Certificaciones.............................................................. 94 por 100. gadas, con inütiuzacion de los egempta-res de los referidos impresos Intereses de Vales......................................................…</t>
  </si>
  <si>
    <t>Mestre, Agustín Josef</t>
  </si>
  <si>
    <t>Agustín Josef Mestre</t>
  </si>
  <si>
    <t>…Nueva , y juez ietrido de primera instancia en esta dicha villa: Ha- D. Andrés de Aloya Luzuriaga , D. Josef Antonio Ponzoa , el conde tiendo visto la cau:a seguida á instancia de D. Agustín Josef Mestre, ' de Floridablanca , D. Nicolás Cano de Luquo , D. Juan Fernandez Caboticario mayor de S. M., contra D. Josef Antonio Oñez , boticario sartego y D. Manuel González del Campo. Habida la conferencia, se en esta corte , por las proposiciones que vertió y estamp…</t>
  </si>
  <si>
    <t>Mestres</t>
  </si>
  <si>
    <t>…presentantes. por paite de les griegos. {Pilóla-') Tárrega to dé Enero: El 28 por la noche salió una pattida desoldados y milicianos, y re PRUSIA. gresó ayer conduciendo presos al Sr. Mestres,-presidente déla junta Berlín 16 de Enero. de Conradella , un hijo suyo y otro sugeto. Hoy serán conducidos á El número de estudiantes en las universidades de Prusia asciende Cervera con buena escolta. ‘ : en «ste invierno á 3756: Berlín 238 teólogos de la co…</t>
  </si>
  <si>
    <t>Metternich</t>
  </si>
  <si>
    <t>…eria negocio de 1 5 días, pava salir do aquella capital después de haber terminado sus negociaciones y que una punra lo demostraría. Las Cortes han decidido la cuestión: la con el príncipe Metternich. Se guardaba el mas profundo silencio acerca guerra será nacional 1 y si se empieza, ; cuándo se acabará 1 de los objetos de que habrían tratado los dos ministros; y por lo mismo Todavía hay testigos oculares de la alegría y alborozo que manifestaron se hacía…</t>
  </si>
  <si>
    <t>…................... '410. dos llamados independientes, dependen todos de la voluntad del 22. Coraceros del Delfín.......................... 33oEmperador Francisco, ó sea de lá del príncipe Metternich, ac 23* Dragones del Doubs.......................... 480. tualmente reinante en nombre de su amo: el cetro de hierro se 23- Segundo regimiento ele coraceros de ha extendido con toda su dureza sobre la Cerdeña, Módcna, la guardia...............................…</t>
  </si>
  <si>
    <t>Metternich, Príncipe de</t>
  </si>
  <si>
    <t>Príncipe de Metternich</t>
  </si>
  <si>
    <t>…de Cuba, ó bien la venta de los do Como la estancia del Emperador Alejandro ha sido demasia minios Reales en esta isla. Es probable que antes de adelantar su do corta para que el Sr. Príncipe de Metternich pudiese, después dinero bajo tal garantía, tendrían presente los negociantes ame de su restablecimiento de la indisposición que le habia detenido ricanos, que se necesitaba un tercero para esta transacion, y que en Lemberg, hallar todavía á este Monarca en Cz…</t>
  </si>
  <si>
    <t>Mezguer, Tomas</t>
  </si>
  <si>
    <t>Tomas Mezguer</t>
  </si>
  <si>
    <t>…El que haya vis Ssns; para el baluarte del Rey constitucional al teniente coronel to á esta ciudad en el día de hoy y en los anteriores no conoce comandante del batallón níim. 21 D. Tomas Mezguer; el de Li rá que el enemigo esté tan cerca, porque á excepción de algu bertad al coronel D. Tomas Llanes; el Vigilante al capitán Don nas disposiciones militares, todo se mantiene tan sereno y tran Juan Bautista León; el de Constitución al teniente coronel, g…</t>
  </si>
  <si>
    <t>Mi</t>
  </si>
  <si>
    <t>…, Josef Madalenes , escribano, D. Ramón Sansebe , D. Vicente yo deseando con ri evitar esto, ruego á las Corte* se sirvan-de González , antes Gimeno, D. Toma* Rubio, presbítero , doctor Mi clarar haber lugar á votar sobre su totalidad. guel Cortés, procurador del infantado, D. Josef Marta Criueli, Don Discutido suficientemente este asunto , se declaró haber lugar ¡Tro N. Pafiigp. - • ta! sobte la totalidad de 1 proyecto. Madrid Sotado 15 dt Mar…</t>
  </si>
  <si>
    <t>…ado: gados ;us ind.v.duos p-ir la audiencia del territorio. Aprobado. Dijo ayer el Sr. Oliver que el inconveniente de poderse vetar La misma comisión, en vista de la exposición de D. Mi una persona á si misma era demasiado pequeño en comparac.on guel Romero Siimanieeo, escribano público único de cálcala del de las ventajas que resultarán de aprobarse el dictamen; pero yo Rio , haciendo presente llevar 30 años de estar desempeñando cíe-jo en…</t>
  </si>
  <si>
    <t>Mi, Cír’.'S</t>
  </si>
  <si>
    <t>Cír’.'S Mi</t>
  </si>
  <si>
    <t>…éndose y animando á sus conciudadanos, no perdonando fatiga ni decididos por el servilismo y mas comprometidos en sus maquinacio pengrbysingularmente D. Ramón Gatrigá , vicario, y D. Cír’.'S Mi nes, asesinando dos mugeres por no sé que disputa sobre re ig on , y nió , organista.=Lo traslado á V. E. para los efectos consiguientes , no tratando á las demas personas con toda ciase de ínsu tos y vejaciones. pudiendo menos de recomendar muy particularmen…</t>
  </si>
  <si>
    <t>Mi, Ramón San</t>
  </si>
  <si>
    <t>Ramón San Mi</t>
  </si>
  <si>
    <t>…consultas relativa» á dicho estable tan infame en algún otro punto del reino, han declarado provisionalmente cimiento. lo que sigue: A la primera de Legijlacion una exposición de D. Ramón San Mi. Art. i.® Las formalidades que exige el art. 211 de la Constitución pa lian y otros cursantes en la universidad de Salamanca, pidiendo dispensa, de ra el arresto de los culpados quedan suspensas. edad para recibirse de abogados. Art. a.0 Queda suspensa .tambi…</t>
  </si>
  <si>
    <t>Mi, San</t>
  </si>
  <si>
    <t>San Mi</t>
  </si>
  <si>
    <t>…iente al Sr. secretario de Es S. M. el Rey de Prusia , tuvo is honra de someter el 6 del corriente tado y dél Despacho de Negocios extrangeros, qu: su misión ha ter 4 S. E. el Sr. coronel San Mi¿u:í , secretario del Despacho de Estado minado, é invita á S. E. á tener la bondad de hacerle expedir sus de S. M. Católica, habiendo sido contestadas de una manera poco pasaportes. conforme i los deseos de su corte, se halla en el caso de cumplir una »£l aba…</t>
  </si>
  <si>
    <t>Mi-</t>
  </si>
  <si>
    <t>…icos de Barcelona hasta el 8 del'corriente in que de ver cerrada su fabrica , que ha: un metmento era toda su gloria, clusive , en los cuales hallamos un parte bastante lai¡go del general Mi- al mismo tiempo que hacia ia felicidad del país? ;Os hablaré de aque láns relativo al socorro que prestó á los fuertes de üiot atacados con lla parte de la población que solo «liste de su trabajo diario; la cual adoo infantes y too caballos por los cabecillas…</t>
  </si>
  <si>
    <t>…rden Voisin, al teniente Leutier; y en el 41.° á los capitanes Se á las puertas del puente y la feria, únicas que estaban abiertas, renes y Lemonnier , y al subteniente Baudot, al sargento Mi- y ?! todo de la muralla con deseos ardientes de recibir los cons chel, al granadero Marti y al cazador Carenave. Eiogia tatn- titucionales con tal entusiasmo, que no pudiendo detener á al bien mucho el zelo y actividad del capitán de ingenieros Vieux, gunos,…</t>
  </si>
  <si>
    <t>Miau</t>
  </si>
  <si>
    <t>…ava , Merced, liaau , Bale-, Auínnat, Alca'.!-, Toro ir, Mirtí, que esta del modo qu-. ¡ocrea mas conveniente, y conforme á la misma Ben-to, Balda, Suavi.i, Ru zd-i Rio, González(D. Miau ), Manso, Constitución , pueda hacer que este asumo se someta á la dehb-racon Cortés, patera», Soto», Marchámalo, Prado, Enlate, Jaimes, Latee, de la. (Tutes; pero ateniéndonos á la misma Constitución , y í que Buey , Castejon , Fa có y Alcántara. en este nec…</t>
  </si>
  <si>
    <t>Mico</t>
  </si>
  <si>
    <t>…sta se reunió el jurado, compuesto de les Sres. ..siguientes: tendrá la denominación de segundo egército de operaciones. 3.° El D. Francisco Javier Bauza, D. Pedro Alvaro Delgado, D. Mico» egército de reserva del primer distrito militar , á las órdenes del te- Jas Cano de Luque , D. Gregorio Miguel de Mendivit, D. Francisco píente general conde del Abisbal, se denoramará primer egército de re- Travesedo, D. Domingo Villami!, D. Manuel josef Ga…</t>
  </si>
  <si>
    <t>Midi, Luis</t>
  </si>
  <si>
    <t>Luis Midi</t>
  </si>
  <si>
    <t>…pi' gefe ; ei teniente general í!&gt;. Martin González -de Meirchaca__ Papa. »-r fío! del precio»,! rciunce, reputado en roca la Europa culta por el »:• emp-'-ad'-s; ios br,gadi-:i,» D. Luis Midi ..lena, D. .Francisco Moreda, gundo Quijote. Ksm ciicunst.mcia lia producido la necesidad de pnbácat D. Francisco Serrano y I) Josnf de Fuente P.ta—,.Comandante genual una nu.-.y,i historia de ¡as Aventurar Je Gil Ti!,a . corrigiendo lo»em’ril de art iletia ;…</t>
  </si>
  <si>
    <t>Midoiell, Antonio</t>
  </si>
  <si>
    <t>Antonio Midoiell</t>
  </si>
  <si>
    <t>…o reunir á sus diputados; y protestan en nombre trasladado desde la de Castucra----La de Orgaz , por 1 enuncia de de sus comitentes contra cualquiera alteración ó modificación que D. Antonio Midoiell__La da Buanache de Aiarcon en la pro se haga en la Constitución del año de 1822. Lisboa en el palacio vincia de Cuenca, por ñauarte de D. Juan A:itomo Giba don de las" Corte 2 de Jumo de *823* — Siguen~ las firmas ue' 01' y tendero—La de Yecla, por haber sido…</t>
  </si>
  <si>
    <t>Mientras</t>
  </si>
  <si>
    <t>…rminos que entonces estaban. Real Alcázar de Sevilla 18 de de los españoles, sino solamente en lo concerniente a sus tropas. Octubre de 182 j. — Está rubricado de la Real mano.= A Don Mientras recibí esta contestación se me habia presentado Mo•ret, con quien pude-acordar que se hiciera cargo del suministro Víctor Saez.” diario, siendo condición expresa que se le franquearían por la Otro. El Sr. Secretario de Estado y del Despacho con fecha de 6 int…</t>
  </si>
  <si>
    <t>Mientras, Juan</t>
  </si>
  <si>
    <t>Juan Mientras</t>
  </si>
  <si>
    <t>…ádiz, y aun despi te enfgefe.de! cuarto cuerpo del ejército español y el martjical da dió algún*» andanada* sóbre esta ciudbd. - • -*- • campo D. Fedró' Me’ndez Vigo, «1-brigadier general D. Juan Mientras succdian tan brillantes acontecimientos , sodas las Palarea, todos lo» coroneles y demas oficiales» los empleados demas tropas, tanto de Chiclana como del resto de la línea , esta civiles y militares, los médicos, cirujanos y todas las tropas ban sobre las ar…</t>
  </si>
  <si>
    <t>Mientras, Teniente General</t>
  </si>
  <si>
    <t>Teniente General Mientras</t>
  </si>
  <si>
    <t>…de ia so - . F.l Coronel de la Hitte, Comandante de artillería delante de beranía al otro lado del Océano, no presSntaráu otros mejores. Cádiz , al dar parte de esta Operación ai Sr. Teniente General Mientras que los unos pronuncian ó leen discursos llenos de em Conde.fiordesoulle hace *1 mayor elogio del gefe de batallón brollos y declamaciones pedantes en la ver del código mas absur Gosse de Cerlay , que mandaba las dos baterías, y cita con par do que ha salido…</t>
  </si>
  <si>
    <t>Mier, Pablo</t>
  </si>
  <si>
    <t>Pablo Mier</t>
  </si>
  <si>
    <t>…e haya ocur Despacho de la Guerra.” rido ninguna novedad. Dios guarde á V. E. muchos anos. Cuar tel general en el campamento de sobre S. Juan de las Abadesas 7 »&gt; Ex-cmo. Sr.:=F.l coronel D. Pablo Mier, comandante de la de Mayo de 1823. = Exento. Sr.“ Francisco Espoz y Mina. =: tercera división de este ejército, con fecha 7 del actual me dice Excmo. Sr. secretario del Despacho de la Guerra.” lo que sigue: Excmo. Sr.: Para llenar las instrucciones de V. £, m…</t>
  </si>
  <si>
    <t>Miera, Fernando Gutiérrez</t>
  </si>
  <si>
    <t>Fernando Gutiérrez Miera</t>
  </si>
  <si>
    <t>…El Excmo. Sr. comandante de armas de esta plaza ha recibido en la sentadas y leídas por el Sr. Prat. madrugada de hoy el parte de que es copia la siguiente que se ha pasado al Da D. Fernando Gutiérrez Miera, oficial retirado residente,en.Santan gobierno político á las tres y media de esta tarde: der, presentada y leída por el Sr. Tomas; y déla milicia nacional voluntaria &gt;&gt; A las dos de la tarde hemos hecho 600 prisioneros en Almonacid de la vdla de Sonseca, pre…</t>
  </si>
  <si>
    <t>MIERCOLES</t>
  </si>
  <si>
    <t>fs’.ím. do. (7 cuartos.) s^3 /í}S\ / .-"i: , /;' wa. A /, l.i'XT/ GACETA DE M A D R í D. MIERCOLES 26 DE FEBRERO DE 1823. NOTICIAS EXTRANGERAS. mente el dar i nuestra diplomacia el aspecto de estar dedicada exclusi vamente á conseguir ventajas mercantiles: y porque por oira parte ex INGLATERRA. tenaz apego de nuestros comerciar trí y fabricantes á sus priv…</t>
  </si>
  <si>
    <t>Miércoles, Madrid</t>
  </si>
  <si>
    <t>Madrid Miércoles</t>
  </si>
  <si>
    <t>…e habian suble político de la provincia de Barcelona.” vado, y que habia manifestado poca energía y decisión en no haber da do las providencial oportunas, ni como tal gefe ni como comandante Madrid Miércoles ni de Enero. general. Por todas estas razones que la comisión extendía en su informe, n S. M. el Rey sigue bien en su convalecencia. S. M. la Reina si opinaba en su mayoría que se debia exigir la responsabilidad 4 los ingue algo mejorada, aunque con algunas a…</t>
  </si>
  <si>
    <t>Mierra, María</t>
  </si>
  <si>
    <t>María Mierra</t>
  </si>
  <si>
    <t>…ñor ha tenido á bien aprobar y confirmar encargo de la administración de los bienes de dicho vínculo, •1 empleo dfc Vixey del Reino de Navarra con la presidencia de mandaron : que Doña María Mierra continúe interinamente en aquel Consejo Real que la Regencia del Reino habia conferido' la administración de este vínculo, ratificando la fianza que se al Marques de Lazan. otorgó por D. Manuel del Valle su marido; y á fin de que este expediente tenga la debi…</t>
  </si>
  <si>
    <t>Mieutl</t>
  </si>
  <si>
    <t>…iudad. eternas, y es imposible prever cnál será su término. Fn la Gaceta se ha publicado una orden del dia del infante Nos parees que la revolución española ha llegado á una de es D. Mieutl, haciendo saber que S. M. ha dispuesto que las tro-, tas épocas, y que la sabiduría del Rey y la sensatez de las per pus de la división del marques de Chaves deben salir para Boira y sonas que están al frente de los negocios públicos, han sabido ta Y ras-os-m…</t>
  </si>
  <si>
    <t>Migud, Santiago de</t>
  </si>
  <si>
    <t>Santiago de Migud</t>
  </si>
  <si>
    <t>…as campanas en JBrsoia y p 'ar los derechos y la libertad del pueblo, y dirigir todas sus accio Gastel ló. nes at bien común , quisieron efianzar esta condición en la fórmula __El coronel D. Santiago de Migud , gobernador de la plaza de Berga, misma del juramento qué prestji-.i.t, de obedecerle si guardaba sus far da pa:te al general Roten con fecha de 26 de Febrero último de la re ros y libertades; y sí no, no: con lo cu a! se ponían á cubierto de la tirada que h…</t>
  </si>
  <si>
    <t>Migue</t>
  </si>
  <si>
    <t>…o y reconocer á imprima, publique y -¡rcule.=Rubricadude !a Reai mano.ccEn palacio Viscarret; y habiendo sabido por estos que en electo la s guada divi ¿ »i de Febrero de i8a3 = \ D. Migue! Loprz d-- Baños. I sión se hallaba en él , me dirigí al citado pu.-bio, y después de haber Pf/recciones generales de la Hacienda ft¡b..ca. conferenciado con ti coronel Salcedo, ia división de su m&lt;ndo quedó Por el minnt, rio de Hac.enda se J a comunicado a e…</t>
  </si>
  <si>
    <t>…jemplo de accio que va en persecución de Mina. ( Echo du Midi). nes las mas nobles y de sacrificios los mas generosos. Lugo 1 o de Julio. Ccirta de la reina de Portugal al Infante D. Migue!. A las once de esta mañana ha entrado en esta ciudad e! gefe n Hijo mió: es preciso obrar. Empufia tu espada, y mani del estado mayor, d intendente y otros oficiales dr1 ejercito fiesta que la sangre Real circula por tus venas. Ha llegado ei francés al mando…</t>
  </si>
  <si>
    <t>Miguel</t>
  </si>
  <si>
    <t>…ado á las fuerzas nacionales en aquella comarca , que el dia 6 á las 4 Viacrucis y meditaciones sobre la pasión de nuestro señor Jesticrude la tarde salió de este último pueblo el comandante D. Miguel to , sacadas riel santo evangelio por el limo. Sr. D. Santiago Jo»' Gastón , dirigiéndose por Santistiban ai pueblo, de Elrasun con la se Brncomo , obispo de Astorga , y el mejor que se conoce para andar gunda compañía del resguardo y 25 individuos de los pel…</t>
  </si>
  <si>
    <t>…os apreciable*, que en de las provincias de Venezuela &amp;c. &amp;c. el seno de vuestras fzmiiias y talleres lloráis la seducción de los otros » Soldados: El Rey ha querido que. S. E. el general D. Miguel y sus tristes efectos , contribuid i la unión y la concordia entre todos, de Latorre se encargue de la capitanía general de la isla de Puertadesalucinad á los incautos, y que conozcan la necesidad de extinguir Rico en calidad de interino, y que yo me ponga á…</t>
  </si>
  <si>
    <t>…os encargados darán recibo á cada pueblo d: la cantidad de frutos que entregue, valorándolos al precio corriente en el pueblo y Habiéndose denunciado al Sr. alcalde constitucional D. Miguel dia de la entrega, y añadiendo á su importe el de la conducción, según García de la Madrid por D. Juan He la Cruz los números 251, 252 y se previene en el art. 4.“ Los encargados remitirán los testimonios de 253 del periódico titulado el indicador, por estar…</t>
  </si>
  <si>
    <t>…prenta, á excitación del Excmo. Sr. gefe políti dades, asi civiles como militares y eclesiásticas, de cualquiera clase co de esta provincia .denunció al S?. alcalde constitucional D. Miguel y dignidad, que guarden y bagan guardar, cumplir y ege:utar el pre García de la Mad:id ¡a cláusula de la nota primara puesta al discurso sente decreto en todas sus partes. Tendreislo entendido para su cum de Luis xviri, inserto en el Espectador núm. 662 , que…</t>
  </si>
  <si>
    <t>…arie de los pueblos del Asia. La comisión de Guerra , en vista del informe del Gobierno sobre la "V. M. , bien penetrado de la injusticia y monstruosidad de tales pre solicitud de D. Miguel figueroa, para que se rehabilite á su hijo D. Juan tcnsión s, ha contestado dignamente las notas de las potencias continen en el empico de sargento mayor , que le fue conferido en z\.mérioa , y aten tales de la santa alianza, haciéndoles ver en esto con íirme…</t>
  </si>
  <si>
    <t>…al ofrecer á V. E. para defender los in y i ai rs. iluminada. destructibles derechos de la independencia nacional á D. Tomas Mora Con fecha de 10 de Agosto próximo pasado remitió D. Miguel de les , único hijo que le quedaba bajo su patria potestad , equipado á sus Zavaleta , del comercio de Zaragoza , á los Srcs. Doña Ramona Legar expensas; y al mismo tiempo que S. M. recibe gustoso tan precioso do ía é hijo , del comercio de írun, por el corre…</t>
  </si>
  <si>
    <t>…probadas- Propuesto por el riña pase á la comisión de Gmrra. Aprobado. Gobierno fl total de ios cupos del repartimiento proporcional La misma conusion , en vista del expediente de D. Miguel de cada provincia, los Sres. diputados se podrán enterar de si I-olian, opinaba que no podía accederse á su solicitud; pero que guarda ó no la debida proporcionalidad cada cupo con el total, podía cono. se le a.vuna espera para hacer el pago de la? canti Jo q…</t>
  </si>
  <si>
    <t>…amente lut.’snio hallo entrada en el corazón incauto y sin experiencia del y a las ordenes de sus gefes se hallan armado, en su, barrio, res hijo del mejor de los Reyes El Infante D. Miguel desamparó ú la pectivos. Es la una de la madrugada, y tal es , d.spucs de un una de esta misma madru jada la casa paterna, y fue á reunirse á acontecimiento que por su naturaleza habría excitado el descreen aquel puñado de hombres ilusos, acompañado, según pa…</t>
  </si>
  <si>
    <t>…n sido vigorosa La gaceta contiene larga relación de la afectuosa acogi mente rechazadas por todas partes, habiendo durado el fuego da ds este general que le ,lia hecho el Infapte D. Miguel, que tres horas. La primer columna ha vuelto á Monjuí en desorden, salió á su encuentro, y por la de SS. MM. en Bemposta, y la segunda se ha retirado al lugar de Sans, al abrigo del fue Dicha gaceta trae un decreto, carta de ley, que suprime to go de la plaza…</t>
  </si>
  <si>
    <t>…fe Saint-March, acompañado del brigadier UU PORTUGAL. man, y demas comitiva {Cartaparticular ). Madrid 25 de Julio. Lisboa 27 de JulioFragmento de una carta escrita por el Infante D. Miguel al El Gobierno ha recibido parte de que SS. MM.yAA. con Sermo. Sr. Duque de Angulema. tinuaban sin novedad en su importante salud en los dias j¡&gt;, n Dios ha bendecido uns primeros esfuerzos......He libtado 19 y 20 del corriente. á mi patria del yugo infame de…</t>
  </si>
  <si>
    <t>…trar el camino de ia -eumon á to general tranquiliza los espíritus. das las comuniones cristlana*. Era llegado el momento de dar el grito de resistencia í !a opresión. El Príncipe D. Miguel toma una resolución magnáni AMERTCA. ma. A la voz de este jóven héroe, modelo de nobKza y fideli Santiago de Chile etj de Abril. dad, resuena en todo el reino un grito universal.d; entusiasmo. Los diputados de las juntas provinciales instalaron ayer al El ejé…</t>
  </si>
  <si>
    <t>…á cargar á vengar ¡a sangre de los" Ubres vert endo ¡a de sus enemigos. El las: ia reserva paso por el molino , y á esta parte de el ocupo una capitán Je granaderos del 16 de Enea D. Miguel l.’ader.as , y al posición .ventajosa para defenderlo, y el te.-i o lo pasó también subteniente de zapadores D. Josef ia Riba Robledo no estando</t>
  </si>
  <si>
    <t>…r ejemplo,‘ qtieal principiode li para el doifsejo de Estado los sugetós sigtiíénfés:' •1 revolución .dt- España , ‘f aun seis mises ‘ha*e ,La E isba! i 'Mori S: A. R. el Infante :D. Miguel, eJ '¿Kqñé‘de Cadávil J el llo , -SMfifcl y Villatanipá estuviesen sineérihiéute adictos*! psr= marques de Pálmela,' éPcSAdc'de Stlb'-Sérra (St.Pamplóna*1 ¿ éf tido cobslitucional !y- á las cortesí peróV'it'toigue de aqtlí- que conde de Povoa , d conde de Lar…</t>
  </si>
  <si>
    <t>…ardamente en cuanto Se lia dicho en nuestros periódicos, con referencia á cartas pertenecía á vuestro ramo y deber militar, poniendo en claro de París, que la proclama del infante D. Miguel no había lle muchas cosas útiles, y dándonos consecuencias muy importantes. nado las esperanzas de los ultras , por cuanto en ella se promete •n Entre ellas no es la primera «mayor el haberse fugado Couna amnistia general á todos los partidos, y se babla de e…</t>
  </si>
  <si>
    <t>…sa dei -Tanógona y obispos-de Plasencia, deMainás y a uxiliarde. Ma Sr. Landriís. EÍ ¡¡¡p se oyó Uti vivó tiroteo. Nuestro correspon drid.-1;* música era nueva y compuesta- por el Sr. D. Miguel sal nos'profflíte qye en sii ptírtiera'cárta nos anunciará la rendi »£opez-Rfemacha , -y -ejecutada-por te» músicos ds la Realcámación dei fuertejjry a se h'íibiéra verificado, sino por'fa obstina ■**sy capilla; Él catafalco, hecho; por: D; . Angel -Tadei,. p…</t>
  </si>
  <si>
    <t>…proyectos presentes , futuros y pre presos por opiniones políticas , á pesar de la famosa proclama del téritos ; qué proyecto ! esto si que es calcular, esto si que es ade infante D. Miguel, y de las protestas de S. M. fidelísima. El nú lantar la economía política. Los economistas anteriores han sido mero de encarcelados se regulaba en mas de diez mil. unos ignorantes-, se han roto las cabezas para llenar los vacíos en Habia llegado á la embocad…</t>
  </si>
  <si>
    <t>…. Josef Gil, segundo ayudante general de la plana mayor, y lo* pueblos de su jurisdicción , vestir y arma* toda la tropa qua demas oficiales adictos á ella ,m¡s ayudantes de campo D. Miguel del regimiento provincial, á que da nombre, se reúna en aquella Porcell , D. Bernardo Elío, D. Gustavo de Cominges y Don capital , sin gravamen alguno del Real erario; y S. A. S., al sa Luis de Riviere merecen que ios nombre á V." E.: oficiales y ber ia loabl…</t>
  </si>
  <si>
    <t>…do mayor de la división coronel D. Andrés García Camba, ayu ministró el viático. S. S. conocia el peligro en que se hallaba: le dantes de estado mayor general tenientes coroneles D. Miguel de ofrecieron algunos cordiales para reanimarlo , y respondió: &lt;&gt; No Araoz, D. Vicente Garni , secretario mió , y cap tan D. Luis »tenco que tomar otro cuidado que el de preparar mi alma para Raseti, mis ayudantes de campo coronel D. Pablo de Echever dar cuen…</t>
  </si>
  <si>
    <t>…s periódicos del dia de mañana, satisfactoria la respuesta dada por S. M. Católica 4 la comunica Y por acuerdo del Excmo. Ayuntamiento se hace saber al ción hecha ayer al teniente general D. Miguel deAlava ,y no público. Cádiz 6 de Setiembre de 1813, año 4° de la restaura tratando S. A. R. el Duque de Angulema de' entrar en contes ción de la libertad de las España*.^Cipriano González Espinosa, tación alguna que no fuese bajo aquellas bases&gt; esperaba que…</t>
  </si>
  <si>
    <t>…ecida que esté sentado sus credenciales y arengado a S. M. , dirigió después un por la naturaleza y el art*. =: Firmado = Áadm García Camba, discurso análogo á S. A. R. el ínfaut* D. Miguel, quien le con Ayudante general.</t>
  </si>
  <si>
    <t>…diarios revolucionarios están sobremanera coléricos general en esta corte los dias de S. A. R. el Sermo. Sr. Infante contra los periódicos españoles y franceses, porque traen que D. Miguel. Las innumerables personas que han concurrido al cuando Sir Guillermo A’Court fue presentado al Rey Fernan Real Palacio de Bemposta para cumplimentar á S- A. R. por do en Sevilla le felicitó por su dichosa libertad. ,, ¡Cómo, excla- tan fausto motivo daban bi…</t>
  </si>
  <si>
    <t>Miguel'</t>
  </si>
  <si>
    <t>…gión Art. 14. El Sr. Loisel, Capitán de artillería, y Sebreaun, con el incontrastable escudo del santo Oficio de la Inquisición, Capitán de Ingenieros por una parte; y los Señores D. Miguel' contra quien rió pudieron prevalecer durante su permanencia los Jordanes, teniente de artillería , y D. Josef dé Inzar, teniente tiros de las falsas doctrinas, y en el que como una impenetrable de ingenieros de la otra, harán el inventario del material de ar…</t>
  </si>
  <si>
    <t>Miguel, Evaristo S.</t>
  </si>
  <si>
    <t>Evaristo S. Miguel</t>
  </si>
  <si>
    <t>…mprima, publi energía, que y circule."Está rubricado de la Real mano.—Hn palacio í 5 de Mar A pesar del abandono de la Rusia, los griegos volvían todavía sus o lo; zo de 182 3.-=A D. Evaristo S. Miguel. y sus esperanzas hacia este imperio, y no se puede dudar que la causa in mediata de ia revolución de la Grecia no haya sido la desavenencia qu4 VARIEDADES. reinaba entre la Rusia y h Turquía. Cuando ios griegos tremolaron el es La Grecia. El Observador austr…</t>
  </si>
  <si>
    <t>…eos formados, y abastecer la» plaza» sitiadas por las Extracto de una carta interceptada del Sr. D. Joaquín Fran fuerzas de mar y tierra de S. M. Cma. cisco Campuzano , dirigida á D. Evaristo S. Miguel, como mi *&gt; La experiencia ha demostrado al Gobierno (ranees que su nistro de Estado, fecha en Dresde el 25 de Mayo. Iiabia engañado, pues todos los días, buques bajo diferentes pa En ella le da noticia de las intenciones que cree tienen los lie J Jones, inte…</t>
  </si>
  <si>
    <t>…egio, fue nombrado Secretario de listado. auxiliares fuero» muertos en el campo 120 y 24 prisioneros con 40 á 50 caballos y algunos heridos, y unos 160 que se vieron La prisión de D. Evaristo S. Miguel , de que hace mención obligados á rendirse á nuestras banderas por no encontrar me el pafte que'insertamos en seguida, tomado del Diario de Zara— dio alguno para poder evadirse de mi columna restante , que los gozadel n, y en cuya ciudad entró muy mal herido…</t>
  </si>
  <si>
    <t>Miguel, Evaristo San</t>
  </si>
  <si>
    <t>Evaristo San Miguel</t>
  </si>
  <si>
    <t>…nte *e imprima , publique y circuí?. = Está rubricado de la Real mano.za el Gobierno, hasta que se trasfieran á los respectivos acreedores, sin En Palacio á 3 de Enero de 1823.= A D. Evaristo San Miguel.” que en manera alguna, ni por ningún motivo ni pretexto, puedan enagtnarse ni en todo i&gt;i en parte. Décimo: Se aplican al mismo pago los Dirección ¿eneral de adnanas y resguardos. fondos en renta y su» interetes entregados por el mismo Gobierno fran El Exmo.…</t>
  </si>
  <si>
    <t>…nester proporcionárselos, y yo no lo descui cado de la Real mano.e=En el Alcázar de Sevilla á 23 de Abril daré siempre que las circunstancias me lo permitan, convencido de iS23.=A D. Evaristo San Miguel. de lo conveniente que es para la tranquilidad de los pueblos, é inspirarles la seguridad de que la Constitución persigue á los ma Mi Gobierno ha recibiio ios parles siguientes. los, y protege la seguridad individual y la propiedad de los que' El comandante d…</t>
  </si>
  <si>
    <t>…un oficio del Sr. secretario El coronel mas antiguo de cada brigada se encargará por aho* de la Guerra, en que manifestaba que accediendo el Rey á la ra de su mando. solicitud de D. Evaristo San Miguel, se ha servido mandar que Artillería. pase al primer ejército de operaciones, á fin de que el general del Piezas. Cuarto escuadrón de artillería 12 , artillería de ba mismo ejército lo emplee en lo que tenga por conveniente en su talla 8. Total 20. clase de c…</t>
  </si>
  <si>
    <t>…e ocasionó la muerte poco tiempo des • —- pués; En atención i las circunstancias actuales toda la impresión se ha distribuido éntre Sevilla , Cádiz y la Havana,y solo ha Luego que D. Evaristo San Miguel hubo leído en las Cor quedado en Madrid tan corto número de ejemplares , que ape tes la memoria del ministerio' de Estado que estaba á su cargo, ñas bastarán para satisfacer la curiosidad de las muchas personas dejando en el acto de se*r-ministro, hizo una ex…</t>
  </si>
  <si>
    <t>…yo puerto se embarcaron para El ex-diputado y ex-ministro Capaz había desaparecido de Marsella con el objeto de dirijirse adonde los llama ia voz del Cádiz; y lo mismo se decía de D. Evaristo San Miguel, tam honor. bién ex-diputado y ex-ministro revolucionario , llevándose al __Del 8 ai i» a’ci mes próximo llegarán i esta ciudad los 1500 gunos millones. ó 1800 hombres del tren de artillería encargados de conducir á Bayona las baterías de reserva y cerca de 4…</t>
  </si>
  <si>
    <t>Miguel, Evaristo Sari</t>
  </si>
  <si>
    <t>Evaristo Sari Miguel</t>
  </si>
  <si>
    <t>…extrangera en estos tér rio de la Guerra , en que les -participaba qü'e’ habiendo accedido minos: » T,os gefes, oficiales y sargentps éxtiangeros acredita el Rey á la solicitud de D. Evaristo Sari Miguel, individuo de rán el empico con que servían en el egército de su nación, pa la junta protectora de libertad de imprenta, se había servido ra que á medida que se vaya formando el cuerpo se agreguen á. mandar pasase ai primer egército de operaciones, á fin de q…</t>
  </si>
  <si>
    <t>Miguel, Juan</t>
  </si>
  <si>
    <t>Juan Miguel</t>
  </si>
  <si>
    <t>…sores la lucha — Doce de la creación de Setiembre de 1819, cuyos réditos cor mas terrible y sangrienta que han visto los siglos. Ya se deja co ren desde 29 de Junio de 1822. Id. á D. Juan Miguel da nocer que hablamos de la Grecia, á la cual parece que destinó Adarraga: 23,779,23,780, 23,781,23,782 , 23,783,23,784 la Providencia para ser prodigiosa y sublime en todos tiempos. 24,073. Id á D. Jacobo Gatens 24,074, 24,075 y 24,076 He aquí una relación e…</t>
  </si>
  <si>
    <t>Miguel, Ma Evaristo Sin</t>
  </si>
  <si>
    <t>Ma Evaristo Sin Miguel</t>
  </si>
  <si>
    <t>…chilla 4 D. Pedro Jos.-f Lorenzo; para la del d: Cuspe pasaportes que pide; aprovecho &amp;c. Palacio 11 de Enero de 1813.= áO. Miguel Navacrcte y Alpuente: para la del da Calaceit: á D. Ma Evaristo Sin Miguel.=Sr. Encargado de negocio* de Prusia.” riano Marton y Manon; y para la del de Tarraja á D. Francisco de l’au.ia Sagaz. » El infrascrito Encargado de Negocios de S. M. el Emperador de Se previene que con arreglo i lo resuelto por S. M. por punto ge todas las R…</t>
  </si>
  <si>
    <t>Miguel, Magín</t>
  </si>
  <si>
    <t>Magín Miguel</t>
  </si>
  <si>
    <t>…turaleza los han expuesto á vejaciones, que que en el día de hoy se han batido á mis órdenes, con particula se han renovado sin cesar. (1) El fruto de sus trabajos ha sido ridad á D. Magín Miguel, Comandante del primer batallón del de ordinario presa de su opresor y feroces agentes. Las esposas regimiento infantería de Fernando vii , que con la mayor intre é hijas de los griegos, expuestos i los ultrajes infames de los ti pidez se arrojaba por los tej…</t>
  </si>
  <si>
    <t>Miguel, S.</t>
  </si>
  <si>
    <t>S. Miguel</t>
  </si>
  <si>
    <t>…n. y á la que correspondieron los circunstantes con nuevos aplausos y vi El Sr. Zulueta: A pesar de la unanimidad del Congreso en apro vas. Desde allí fue la música á casa del Sr. ministro S. Miguel, cuya bar ti mensage, pido que 1a votación sea nominal. presencia deseaba el pueblo para manifestarle su gratitud y confianza; Se hizo esta pregunta, y se acordó asi, con aplauso» repetido» por pero 00 hab endo podido verle, porque todavía no había vuelto á s…</t>
  </si>
  <si>
    <t>…staban acordes en el sugeto, aunque ambos se nado de júbilo á los buenos , al paso que habrá consternado á los rían á un parte telegráfico; al presente podemos decir que ma'os. El caballero S. Miguel, gobernador de la plaza, que ha— correo de Roma, que pasó ayer por esta con dirección á Sevi-' bia jurado sepultarse entre las ruinas cte la misma antes que en Ha, lleva la noticia de haber sido electo el Cardenal de la Gcnva,</t>
  </si>
  <si>
    <t>Miguel, San</t>
  </si>
  <si>
    <t>San Miguel</t>
  </si>
  <si>
    <t>…se funda en ninguna apariencia de verdad porque - El infrascrito aprovecha esta ocasión para renovar á S. E. si la Europa tiene demasiadas luces para desaprobar un sistema que se Sr. San Miguel las seguridades de su mas distinguida consideración.3 El apoya en las leyes eternas de la naturaleza y de la razón. Lo que sí conde de Bulgary.” reprueba »'lamente la ilustración de la Europa es que una ó muchas Madrid 18 de Diciembre de j8T2. (9 de Enero de…</t>
  </si>
  <si>
    <t>…El Times deshace otra equivocación , que tal ves la maldad de los ttl- car consultando la prudencia el largo, sino que hizo sufrir ¿ aquella tras ha atribuido al ministro español Sr. San Miguel : la palabra des plaz3. Resulta pues quedas operaciones no se. terminarían en ur.a cam comedida, do &lt;yus usó este ministro hablando de la Rusia, la ha- paña. Asi que, á pesar de-cuantos votes hiciesen para la felicidad de ¡a bian traducido por la de insolente…</t>
  </si>
  <si>
    <t>…esta obra la aceptación con que fue recibida en Pa de operaciones. S. M. ha accedido ¿ esta solicitud, destinando rís,donde se publicó en lengua.francesa el año pasado de 1822. al Sr. San Miguel en su clase de coronel primer ayudante gene Véndese en la librería de Antoran: dos tomos en 8.a ¿ 24 rs. ral de estado mayor del prim'er egército de operaciones. en rústica. EN LA IMPRENTA NACIONAL.</t>
  </si>
  <si>
    <t>Miguel, Santiago de</t>
  </si>
  <si>
    <t>Santiago de Miguel</t>
  </si>
  <si>
    <t>…o dr opera* Idem iS. cuines. Siguen en esta ciudad los preparativos para cuando llegue el Go bierno; y Sevilla tomará entonc-s un nutvo aspecto , como sucedió en » Excmo. Sr. — El coronel D. Santiago de Miguel , gobernador di tiempo de la Junta central. No faltan aquí ahora muchos edificios púla p az.i de Ber.a , con úchi de 25 Ucl finido Fcbrcio me dice lo bl eos, en dor.d: pueden colocarse varias oficinas ácc. que » gur: o Gobierno m:lít:r de ¡a p'nza de Berra, n…</t>
  </si>
  <si>
    <t>Miguel, Santos S.</t>
  </si>
  <si>
    <t>Santos S. Miguel</t>
  </si>
  <si>
    <t>…ho de usar con sus perabundantemente abastecida y con ¿9 - hombres do guarnición, pueblos. del kncuage que les conviene; y seria difícil compren que tienen á su frente al valiente D. Santos S. Miguel.*’ der como puede el Gobierno portugués alarmarse de un discur— Y con fecha del 24 dice; « No extrañaríamos ei que á estas so dirigido á los diputados de Francia. horas hubiesen ya entrado en el territorio francés por tres distin Si el ejército francés se vie…</t>
  </si>
  <si>
    <t>Miguel, Vicente</t>
  </si>
  <si>
    <t>Vicente Miguel</t>
  </si>
  <si>
    <t>…............................................... 1*0,000. por plaza, ¿.¡'.viéndose V. S. escoltar dicho metálico, y cuidará se en 9 de 8,000... 72,000. tregue en poder del tesorero D. Vicente Miguel, tocando al comisio 20 de 4,000............................. 80,000. nado del ayuntamiento buscar local para los efectos en otio caso, y fa 30 de 3,000................................................... po,ooo. cilitando á este fin losbagages necesarios. 429…</t>
  </si>
  <si>
    <t>Míguez, Ramón</t>
  </si>
  <si>
    <t>Ramón Míguez</t>
  </si>
  <si>
    <t>…tendrán Joaquín María Goñi, D. Juan Bautista Carrera , D. Josef María la los mismos haberes que en sus respectivas provincias esten señalados á los Arroyo, D. Josef Perez Torroba, D. Ramón Míguez y D. Francisco de iguales clases de las compañías creadas en virtud del d creto de tas Antonio Larraza, por unanimidad declaró haber tugar á la forma Cortes de i.° de Febrero último. Art. 3." A las madres ancianas, muge- ción de causa res , hijos menores 6 hijas solteras de…</t>
  </si>
  <si>
    <t>Migurl, San</t>
  </si>
  <si>
    <t>San Migurl</t>
  </si>
  <si>
    <t>…onces reconoció por excelente , lo cual » En su consecuencia tiene el infrascrito el honor de pedir á S. E. no es ciertamente una prueba de buena fe. Dice con mucho énfasis que el Sr. San Migurl le envíe sus pasaportes, agregando i ellos los em la rez m pública de Europa desaprueba nuestras leyes; pero esta es una pleados que componen la legación imperial cer a de S. M. Católica. suposición que no se funda en ninguna apariencia de verdad porque - El…</t>
  </si>
  <si>
    <t>Mil</t>
  </si>
  <si>
    <t>…ón. .Aprobado. desorden , que entonces será en el acto. Las Cortes recibieron con aprecio una memoria presentada » A toda persona que entre de fuera , y no se presente , como piar D. Mil riano 'lamaíz sobre establecimiento de-uh ministerio «stá publicado en el diario, al gefe militar del cuartel, se castigará de ccononva pob'nca. con arreglo á la malicia que tenga la falta. Se procedió' á la discusión del dictamen de la com.sion de i&gt; Ya esta…</t>
  </si>
  <si>
    <t>Milán</t>
  </si>
  <si>
    <t>…s Sicilias) ra.^Claudio Roux,=Manuel Lamata.=De acuerdo del M. I. y su esposa permanecerán con SS. MM, hasta que partan para ayuntamiento— Baltasar la Iglesia, secretarío.szStrmo. Señor Milán; ios acompañarán á Italia, y volverán después á Ñapóles. presidente ¿ individuos de la Regencia del Reino.” ALEMANIA. El comandante general de la división expedicionaria del Brunswick 28 de Julio. ejército Real de Navarra, dependiente del segundo cuerpo del S…</t>
  </si>
  <si>
    <t>Milan.s</t>
  </si>
  <si>
    <t>…ación; calculándose mu el lector escogiera á su gusto la que mus probable cha mavor ¡a de ios enemigos. Las tropas al mando le pareciese; peí o mejor será esperar á que se acla dd general Milan.s y el brigadier Llovera volvieron ren algo las voces «pie acerca de eda se han propa á ocupar,esta tarde las posiciones que tenían ante gado. T.o mismo podemos decir sobre acontecimn n- riormente, tos de Malaga , que tampoco nos atrevemos á espe Licia ai».—Est…</t>
  </si>
  <si>
    <t>Milani</t>
  </si>
  <si>
    <t>__ Pot un oficial de la división del general Milani, que salió de Tar narían los objetos de los decretos de las Cortes, dirigidos á aumentar ragona el viernes último coir pliegos de la mayor importancia para el los ingresos nacionales con la exacta observancia de la ley del impues Gt bit-rno , sabe que el egér…</t>
  </si>
  <si>
    <t>Mílans</t>
  </si>
  <si>
    <t>…ervicio en los cuerpos,y pi Brota La felicitación It-ida en ia sesión de ayer por el Sr. Infante era dan pensión de viudedad, ó de Jas mugeres de los prisioneros que soliciten dei general Mílans y de los individuos que componen su división , y no del la media paca de estos ó de igual naturaleza, serán examinadas en las ins general Manso, como se dijo equivocadamente. pecciones respectivas, y tendrán por ellas el curso competente siempre que las encue…</t>
  </si>
  <si>
    <t>Milans</t>
  </si>
  <si>
    <t>…ntra la Junquera, interceptando el correo que salió de aquí monarquía , debe convencer á todos de la sinceridad de los sentimien el sábado para Cataluña. El 23 solió de .Gerona el general Milans coa tos que adornan el Rea! corazón de V. M. Mas si esta prueba puede rl recetan i Fígueras, después de dejar tn aquella ciudad 1500 recluta* todavía dar lugar á dudas en el espíritu de aquellos que solo buscan para el servicio de la plaza. F.stos jóvenes sol…</t>
  </si>
  <si>
    <t>…ón D. Josef-Tejerina, que se hallaba enfermo, pueblo de Besalú, donde permanecía aun á las seis déla mis con la pequeña fuerza naciona!„quc mando he tenido ¡a sensible ma tarde el general Milans. pérdida del cazador D. Josef Iban, y herido gravemente el vo Las noticias de Barcelona del 28 confirman la intención de luntario de caballería D. Josef Campillo, y levemente el segun los enemigos de invadir á Gerona aquella misma noche ó á la do comandante d…</t>
  </si>
  <si>
    <t>…miércoles 10 del corriente que á la letra dice asi: ocho oficiales, entre ¡os cuales hay algunos coroneles, el secreta Parte que ha recibido el Excmo. Sr. general en ge/e. rio del general Milans, y el Sr. Quich y Alacias. Se asegura que estos dos últimos han sido ya sentenciados á pena capital por el «Capitanía del Puerto. = Al Excmo. Sr general en gefe da consejo ríe guerra , y creemos que los otros no se librarán de'ella. parte el capitán del Puert…</t>
  </si>
  <si>
    <t>Milans, Francisco</t>
  </si>
  <si>
    <t>Francisco Milans</t>
  </si>
  <si>
    <t>…continuos méritos y Egército de operaciones del séptimo distrito militar.—Excmo. Sr.— servicios que contraen en bett-firiode nu-stra amida pama.=rí) os guar »E1 mariscal de campo D. Francisco Milans, comandante general de de á V. E. muchos años. Cuartel general d: Adra 1 1,8 de Enero de la segunda división del egército de mi mando, me dice desde Tortellá i8i3.= 'ixcmo. Sr. = Francisco Espoz y Mina, = £xcmo. Sr. secretario con (echa r8 del corriente lo qu…</t>
  </si>
  <si>
    <t>…ada en 17 del del gefe político de la provincia de Gerona con fecha de 8 del cor corriente, se ha confirmado aquella , acordando al propio tiempo ss riente el parte que le pasó el general D. Francisco Milans desde Ver- ponga en noticia del Gobierno, como lo hago en su conformidad por ges á las seis de la mañana del mismo dii, cuyo tenor es como 'sigue: medio de V. F.. y con arreglo tamb en á lo prevenido en el art. 2.°, ar » Egércíto del séptimo distrito, s-guada…</t>
  </si>
  <si>
    <t>…lo hemos tenido tres heridos, dos de Bur desde hoy en cuatro divisiones. gos y uno del segundo de Aragón de dos que se hallaban en esta , y Primera, al mando del mariscal de campo D. Francisco Milans, se una contusión que he recibido en la pierna derecha, ignorando cuál compondrá de Sos cuerpos siguientes gundo batallón de Africa , pri habrá sido la pérdida del enemigo. mero de Zamora , regimiento infante.ia de linca de Murcia , M. A. da » Faltaría á mi d…</t>
  </si>
  <si>
    <t>…ntre todas las familias reinantes, sea la que quiera la güedad y adhesión al sistema constitucional del mariscal de cam forma del Gobierno. Verdad es que en algunos Estados los po D. Francisco Milans, ha tenido á bien promoverlo á tenien Soberanos deciden sobre este punto arbitrariamente, sin atender á te general de los ejércitos nacionales. si el nuevo enlace puede ser conveniente á la nación, pues les basta que lo consideren como tal para sus intereses…</t>
  </si>
  <si>
    <t>…á las Cortes acerca del estado de la nación, y de güedad y aihesidn al sistema constitucional del mariscal de las medidas que creyera necesarias para sacarla de él; añadien campo D. Francisco Milans, ha tenido á bien promoverlo á te do que deseaba saber si el Gobierno había accedido á consultar niente general de ios egércitos racionales. al consejo de hstado acerca del estado de la nación. Et Sr. secretario de Estado contestó que el Gubierno había El alm…</t>
  </si>
  <si>
    <t>Milesia, Basilio</t>
  </si>
  <si>
    <t>Basilio Milesia</t>
  </si>
  <si>
    <t>…erto modo el blanco de los feroces fanáticos, enemigos de la A la com.sion de Hacienda se mandó pasar una exposición Constituc.on, preferirán morir matando en detensa del honor de D. Basilio Milesia, oficial mayor del juzgado del consulado nacional á ser víctimas tranquilas de la venganza de los pérfidos de Ce.d.z , solicitando la continuación del paco de una pensión enemigos domésticos y extraños que parece los persiguen con en que se le concedió en 816…</t>
  </si>
  <si>
    <t>Militar</t>
  </si>
  <si>
    <t>…ñale; y co dudo que conociendo 10* Pr mira de dragón; 5 por ei biron Castei. 3 res. diputados ia importancia de montar cuanto antes La caba.ieria, Segundo cuerpo retar dado pur el conde Militar, pioporcionarán sus disposiciones á la urgencia que obliga a melarías. Prim ra d.visión mil. I.iha por el conde Lov rdó. Tercero : Para la artillen! uel egército se neces.ta también un con Segundu por el conde Panfi o Lacroix. siderable número de muías i prop…</t>
  </si>
  <si>
    <t>Millan</t>
  </si>
  <si>
    <t>…insurrección cunde por estos mismos presos se enejaban pocos dias antes de la poca rivi— las márgenes del Sur en los condados de ^ateríord y Tippe- lauda del dignísimo patriota y gobernador Millan, rary.” « Los buenos de Tortosa claman por una pronta justicia , y « El Globo y el TrateUer anuncian que por autoridad muy por c»ta vez creemos que sus votos van á ser oido?. superior á la del Courier saben que en el ducado de Varsovia no « El general Manso ,…</t>
  </si>
  <si>
    <t>Miller</t>
  </si>
  <si>
    <t>…para auxiliarla con fuerzas efectivas; mas 800 chilenos á las ordenes del general La Cruz: 800 peruanos á sin embargo se sabe por desgracia que esta aquella ciudad ha mas la» del coronel Miller: 1200 de Buenos-Aires a las de Alvarade un mes sufriendo un sitio rigorosísimo; y por lo mismo yo do , y 1200 columbiar.os. Alvarado es el que manda en gefe— he pedido la palabra para estimular el zelo del Sr. secretario de El general D. Josef Larnar es presi…</t>
  </si>
  <si>
    <t>Milliau</t>
  </si>
  <si>
    <t>…rid. El Sr. Oms , ex-ipinistro d* España en Lon fuesen tan poderosas. dres , estiba también pronto para paitir ; peio una enfermedad grave le ha obligado i detenerse en Paris.__Ei Sr. Milliau está nombiado direc Lista de ¡as circularla, decretos frc. publicados en las casetas de tor de correos del gran cuartel gcneial del egército dJ España. Alano, Ltem del i.). Recibimos gran número de cartas, que los limites de r.stado. nuestro periódico no nos…</t>
  </si>
  <si>
    <t>Milosch</t>
  </si>
  <si>
    <t>…de su unión. Los Monarcas eu pir, y que ya se iban retirando. ropeos tenían al presente dos objetos, á saber , primero consetvir la En Belgrado lia intentado un turco asesinar al príncipe Milosch, que paz general; y el segundo no provocar una exasperación p^neral mire es el principal señor de los servios. El príncipe tuvo la fortuna de evi los Estados libres , confirmando una opinión (diestramente propalada y tar el golpe, y mató á su contrario. Desde…</t>
  </si>
  <si>
    <t>Mina</t>
  </si>
  <si>
    <t>…ión el Mensage que _E1 Gobierno ha recibido varios partes que puf:1'Varemos en el nú tas Cortes extraordinarias han tenido á bien dirigirme con Echa 11 del mero siguiente: i.° del general Mina desde su cuartel general de B;llcorriente , y al ver en él la umlcrmidad de sus sentimientos con lo» ver con fecha 31 del pasado, detallando la gloriosa acción que sostu míos, me he congratulado nuevamente de estar al frente de una Nación vieron en 17 del mis…</t>
  </si>
  <si>
    <t>…istro sabrá conducir los nego Marlorell ; una proclama del general Butrón , nombrado segundo co cios políticos de una manera que no desdiga de la celebridad que ha ad mandante del general Mina; un parte drl comandante militar de Ja pro quirido como literato; y que siendo acérrimo d?f*v,or del Rey f.ufs xvnr, vincia de Lérida ; una carta de Cataluña (inmediaciones de la Seo), fe no dejará de conocer que ni al interes personal del Monarca ni al ge ch…</t>
  </si>
  <si>
    <t>…s ocurrencias anteriores y posteriores Bi-ctiona li de Enero. ni referido dia, y el resultado de lo* documentos que obraban en la Parte del capitán de la compañía de cazadores del general Mina. comisión , y se incluian en el expediente. Después de este resumen exa » Sabedor de que en los pueblos de Semanal y Castellar estaban re minaba la comisión la conducta que en dichas ocurrencias habian ob uniendo 400 camisas que les faabia pedido el cabecilla…</t>
  </si>
  <si>
    <t>Miña</t>
  </si>
  <si>
    <t>…inistración y acarreo. Ei dr. Canga ¡uc de'of&gt;m¡on qu2 se declarase benemérito de la pa- Arí* 2.° «Que aunque el Gobierno tenia ya en el día parte de la 'trii éif grado heróíco‘al general Miña!’ ‘autorización que’pedia en su 2/ propuesta, sin embargo podía conce El Sr. secretario de la Guerra manifestó que extrajudicialmenté dérsele que cobrase en frutos los atrasos del subsidio que debían las jun sabia el Gobierno por cartas particulatés qúe los e…</t>
  </si>
  <si>
    <t>…e se dedica i las doctrinas sub y del Despacho de la Guerra.” versivas de la Carta, cuyo nombre no se pronuncia ya sino ea ia fór — Con fecha del 37 participa al Gobierno el mismo Sr. Mina, qu: mula del juramento que todavía se presta de ser fiel á sus disposiciones. los facciosos en número de 500 á 600 hombres , capitaneados por ¡c; Un.i injusta desconfianza de la nación , preocupaciones sobre peligros cabecillas Tristani y Mirilles , intentar…</t>
  </si>
  <si>
    <t>…ha dado tal prisa, que será un milagro no caigan todos que se esfuerzan por sacar ventajas de una restauración concebid» en-en su, jiianos, degollados se entiende. ¡ Viva nuestro general Mina y la constancia y;p»ño!a ote. &amp;c I .. el ínteres de la sociedad entera. Fengo suficiente-valor para presentar la verdad desnuda. Estos mismos «cntimiento» caballerescos, que en el En ot a carta de U Seo, que se nos presenta en este momento, ss rió.- qt.s !a a…</t>
  </si>
  <si>
    <t>…e sangra en ser españoles e y españoles constitu Idem is¡. cionales. Exctracto de varios partes publicados en nuesttos periódicos. En ningún periódico se hace la menor mención del general Mina, El oficial comandante del destacamento de caballería de corace ni dicen en qué punto se halla , ni qué planes forma. De este s:ri!oros del Rey, qus con una columna de 40 infantes y 11 caballos pa debemos alegrarnos; y ya otra vez lo tuvimos por un buen pronó…</t>
  </si>
  <si>
    <t>…l dia anterior le mataron el su El 21 de Marzo tuvo el honor esta ciudad de ver entrar al desea yo ; en cuyo estado y á una hora y media de este punto he pddido dar do y dignísimo general Mina en medio de los vivas y aplausos de esta á mi tropa el descanso que necesitaba , respecto de haber desistido es vecindario. Todas las autoridades le visitaron y cumplimentaron , y al carmentados de su empresa los enemigos de nuestra l.bertad. = En esta dia si…</t>
  </si>
  <si>
    <t>…ragona el viernes último coir pliegos de la mayor importancia para el los ingresos nacionales con la exacta observancia de la ley del impues Gt bit-rno , sabe que el egército del general Mina se compone de to dándome V. S. aviso de hab.r;o hecho asi.” 21 á 2^9 hombre dé tropas permanentes y de 10 í 1*9 de miquele- Y lo inserto i V. S. i los propios fiaes en la provincia de su carao. tes y milicias. Que todos se hallan perfectamente organizados, y…</t>
  </si>
  <si>
    <t>…los de Barcelona dejamos insertas arriba las pocas noticias que contienen; y notamos que nada se habla en D. Josef Pozo, director de contribuciones directas de la ellos acerca del general Mina__En artículo de Cádiz quedan in provincia de Lérida, ha solicitado del Gobierno se le permita, du dicadas varias noticias que aquellos periódicos publican, y toda rante las actuales circunstancias, pasar al ejército, donde ha ser vía Insertan algunas mas de U…</t>
  </si>
  <si>
    <t>…militar al capitán adic extraordinario un oficio, en que se le participaba que á las cha to al,E. M. D. l.eon Rodríguez de Camargo. Se reconocerán iro de la tarde del x 2 entró el general Mina en Tarragona , en por ayudantes de campo del Excmo. Sr. teniente general Don la que solo estuvo media .hora; y se matchó á reunir con ona Josef de Zayas, comandante de la primera división de este división de 4© hombres, que traía á marchas dobles con direc eg…</t>
  </si>
  <si>
    <t>…RTES. de ha llegado uno de mis patrones, procedente de Tarragona , con la- noticia de que el dia r 2 á las cuatro horas de la tarde entró el PRESIDENCIA DEL SEÑOR FLORES CALDERON. general Mina en aquella plaza, en la que solamente estuve una media hora, y se marchó á reunir con una división de q0 hom Sesión del dia 26. bres cjue traía á marchas dobles con dirección á Valencia. Se leyó) y aprobó el acta de la'anterior. «En el mismo dia y hora en que…</t>
  </si>
  <si>
    <t>…Cortes, sin faltar á la Constitución cxtrajudicu!mentí-, los formidables cuerpos de tropa que han or ni al reglamento , lo que se hace en todo» los países constitucio ganizado el general Mina en Cataluña, el conde de! Abisbal en nales. el primer distrito, y otros varios generales en los suyos respecti Previendo yo que el examen de la memoria de Hacienda no vos ; y tal vez si nos hubiéramos detenido á registrar esos pape puede menos de ocupar á la…</t>
  </si>
  <si>
    <t>…e Hacienda, y al Sr. Nuñcz (D. lonb.o) para la ciendo los presos a Eadajoz. de Diplomática; y levantó la sesión á las tres menos cuarto. Orden de la plaza del i.° al a de Mayo. El general Mina con fecha i.° de Abril desde su cuartel ge Gefe de dia el comandante de la Reina D. Francisco Castellón. neral de Vich ha publicado un bando, en que después de una __Servicio á palacio la Reina vM. N. L. de Madrid ,á las orde introducción dice ¡o siguiente: n…</t>
  </si>
  <si>
    <t>…oficiales franceses que le acom pués de una débil resistencia los batieron y arrollaron, matándo pañasen. les 4 ó 5 hombres con su segundo comandante, y cogiéndo Se asecura aue el general Mina ha derrotado en el Ammir— les 46 prisioneros, 16 de ellos heridos, porción de armas y lan dan un cuerpo de ic¿) hombres, dejando 3O muertos en e: cam zas con una caja de guerra y algunos caballos (véase U ¿Mita po de batalla y haciendo muchos pasioneros. íifi…</t>
  </si>
  <si>
    <t>…se lia contestado con una nota de Mr. De Ripoll con ¡fecha dd 21 decían: «Ayer llegó á esta el de Chateaubriand, en que refiriéndose á sus primeras declaracio valiente y decidido general Mina; son muchas las tropas que se nes dice que el deseo y la intención del Gobierno de S. M. reúnen y hay reunidas; ignoramos el plan de operaciones; el ba Cristianísima es continuar en paz con Portugal: que sin embarco tallón de Barcelona fue á apostarse en Camp…</t>
  </si>
  <si>
    <t>…o , y de los informes que naya recibido guerrilla , y estas van aumentándose por todas partes. También lo remita á las Cortes acompañado de su dictamen .á la mayor se decía que el general Mina habia tenido una acción, en que ha brevedad posible, i fin de que cuanto antes puedan tomar en la bía destrozado á algunos miles de-franceses , v el boletín ultra re actual legislatura la determinación que crean mas conveniente.” gulaba su pérdida en 900 homb…</t>
  </si>
  <si>
    <t>…al rededor de la carroza. La misma honra se les S. A. R. el Sr. duque de Angulema se ha dignado enviar un dispensó durante la permanencia de S. A. R., que satisfecha de mensage al general Mina , convidándole á que se rinda, y no se su consume zelo, se dignó manifestarles su r.iisfaccion. obstine en prolongar una lucha tan desigual , cuyos resultados Otros o.'^os triunfales se habían elevado en lo interior de la beben ser tan funestos al ejército co…</t>
  </si>
  <si>
    <t>…ün al man de ambas armas. [ít: continuara.1 do del mariscal Moncey ascienden de i5 á ao 9 hom bres. También se han dividido en tres puntos, con centrándose todas acia lUanrcsa. El general Mina á la cabeza de las valientes tropas de su mando ha po CURTES. dido ir sosteniéndose en posiciones ventajosas; pero en sus últimos partes manifiesta la necesidad de que PRESIDENCIA. DEt SEÑOR JENEK. se le faciliten recursos, pues tiene que cubrir las im portan…</t>
  </si>
  <si>
    <t>…eñor 'efe político de la provincia de la Con y tropelías. lde.tr- aS. —-Según relación de nr¡ paisano que salió Luego que las fuerzas constitucionales regresaron ayer de Vicli, el general Mina después do ó J ho ;&gt; Columbres se supo la egndu de franceses v íueeio- ras de un continuo fungo tuvo que re tira re de di sos ú San Yicenl de la i’i.ii'ipn't'a . Treceno y Cabe- cha ciudad, no tanto parla resistencia que le lucie zmi de la Sal , v p:e su dire…</t>
  </si>
  <si>
    <t>…idad absoluta el restable de la Gironda se habia tremolado el estandarte tricolor: esto, cimiento del expresado ministerio, y que una de las medidas unido á las últimas cartas del general Mina, en que noticia la que adopte sea la de dar al general Riego el mando del ejér retirada, confirma los grandes sucesos que veremos muy pronto, cito de Andalucía, poniéndose en comunicación con el ge y favorables á la justa causa que defendemos.” neral Balleste…</t>
  </si>
  <si>
    <t>…&lt;3tc.=sEl mariscal duque de Coneglla Ñapóles, y se dice que ha dejado pliegos para el embajador de ño , Moncey " Francia : se ignora todavía su contenido. Por lo demás tas noti El general Mina, que ademas de tener los pies helados, se cias son muy lisonjeras; y no tardaremos sin duda en saber que baila muy incomodado de resultas de una caída del cabal lo, ha S, M. C. ha sido arrancado de las manos de sus carceleros. sido conducido á Barcelona en un…</t>
  </si>
  <si>
    <t>…o la justicia con que las Cor blos vecinos, y nuestro ejército se halla en Aíolins de Rey y tes anteriores confirmaron en favor de dicho pueblo i* capitali Villafranca. El adorado general Mina va convaleciendo de su dad de aquellas Islas , y cuan infundada es la solicitud del ayun dolencia, pero no herida como se había dicho en un diario, y tamiento de la ciudad de las Palmas: y las exposiciones de varios nos da esperanzas de que bien pronto volver…</t>
  </si>
  <si>
    <t>…n reparada, podrán tomarla los servir en dicha compañía, con el fin de que aprobado el plan, ingenieros franetses. pueda proceder al nombramiento de oficiales escogidos del mis El general Mina tiene á sus órdenes unos 2oí) hombres de mo cuerpo, conformándose con el reglamento de 23 de Mayo tropas regladas, y de 10 á ii3 milicianos experimentados Ba último sobre la formación de compañías urbanas sedentarias. Al llesteros, Quiroga y otros generales i…</t>
  </si>
  <si>
    <t>Mina, Francisco Espoz y</t>
  </si>
  <si>
    <t>Francisco Espoz y Mina</t>
  </si>
  <si>
    <t>…isión á V. S. para que sean castigados con arreglo al art. 3.” del bando circu la patria de ios males que la amenazaron en tan críticas circunstancias. lado por el general en jefe D. Francisco Espoz y Mina; pues con ésta No sucedió asi con respecto al gefe político que entonces era D. Joegemplar los rebeldes que existen en ciertos pueblos no prestarán á ja sef Martínez de S. Martin , pues en su conducta se notó aun mayor facción, como hanti ahora la han efectua…</t>
  </si>
  <si>
    <t>…andonada,y tuvo que salir pa trito militar continuará como hasta aquí á las órdenes del teniente ge ra salvarse del caos de sus antiguas leyes, derogar unas, reformar otras, neral D. Francisco Espoz y Mina , organizado en la forma prevenida y en fin enlazarlas todas á un sistema nacional, nadie le negó este de en ia Real orden de ir de Diciembre del año último. 2.0 Los cuerpos recho , porque para esto hubiera sido preciso negar el principio eterno de egército q…</t>
  </si>
  <si>
    <t>…n caballo con su gracias al benemérito egército del séptimo distrito militar, á su digní montura , un casco, dos sables , dos carabinas , dos capas blancas y simo gefe ei teniente general D. Francisco Espoz y Mina , i la mili, otros efectos. Las noticias divagaban; se me aseguró que el cabtciBa cía local, y i las demas partidas de patriotas que hayan tenido parte Sarasa con 300 miserables ocupaba á Zubiri, y que Ladrón , Pastor y en sus glorias; declarando al mismo tie…</t>
  </si>
  <si>
    <t>…esta de Mr. Manuel, y sin duda ha campo comandante general , Antonio Roten. 1= Excelentísimo br. ge creído que el mejor modo de contestar á Mr. Manuel era el de impo neral en gefe D. Francisco Espoz y Mina. nerle silencio. E‘ objeto de la proposición e; echar d'e la tribuna á los diputados, Sezilla hf de Marzo. y vosotros no tenéis este derecho, reconocedlo pues, cese esta discu- Es singular el rasgo patriótico que ha manifestado Doña Josefa lioa, volved á la d…</t>
  </si>
  <si>
    <t>…omento no tiene 50 hombres reunidos. Se le han CEi cual tmbra ya hecho de ello el uso conveniente.) hecho muchos prisioneros , aunque no puedo todavía determi Y el segundo otra de D. Francisco Espoz y Mina, fe nar su número; y se hubieran hecho muchos mas si la noche cha en Saus a 28 de Jumo, que dirije al ministro de la Guerra, ao hubiese favorecido su huida. Hemos encontrado muchísimas donde pinta el triste cuadro ds su situación comparándola con municiones.…</t>
  </si>
  <si>
    <t>Mincha, Francisco</t>
  </si>
  <si>
    <t>Francisco Mincha</t>
  </si>
  <si>
    <t>…o á entrar en una conferencia amistosa, representando í aqu-i el co tomos mas pobres, ¡no valemos por lo mismo ahora mas que en aquel mandante principal del regimiento de Asturias D. Francisco Mincha, reinado, siendo como somos mas amantes dé la libertad y menos fas y hibitndo convenido en que el único y necesario arb'tno de conseguir tuosos? ¿Hemos degenerado! • el refeiido amable objjto es el que se forme una sota fam lia d: es; aPara trasponer Napoleón…</t>
  </si>
  <si>
    <t>Minio, Miguel</t>
  </si>
  <si>
    <t>Miguel Minio</t>
  </si>
  <si>
    <t>…la para indemnizar los gastos de esta obra. orden de ayer, mandadas por el coronel del regimiento caballería Después de una discusión entre ios Sres. Diez, Seoane Oje- de Aimansa D. Miguel Minio, hasta la llegada del Excmo, se ro, Becerra, Navarro Tejetro y Buey, quedó aprobado este dic ñor comandante general como está prevenido. =cLcghsa. tamen. DOS DE MAYO. A la comisión de Visita del Crédito público se mandó pasar una exposición de D. Julián Miraz…</t>
  </si>
  <si>
    <t>Minio, Vicente</t>
  </si>
  <si>
    <t>Vicente Minio</t>
  </si>
  <si>
    <t>…les del estado mayor: todos han hecho su de Orden de la plaza del 6 al y de Mayo. ber. A los gritos de viva (¡Rey pelearon constantemente sus fie Gefe de dia el coronel de Almansa D. Vicente Minio__ Ser les súbditos, y contestaren á las vociferaciones de los revolucio vicio á palacio la milicia activa y milicia nacional local de Sevi narios (estilo na.[ lei-iico). lla, á las órdenes del comandante del primer batallón de !a últi «El general Bourke cita…</t>
  </si>
  <si>
    <t>Ministro</t>
  </si>
  <si>
    <t>…valientes tropas del Grande Luis xvm, que en pocos diai han vencido un obstáculo que no pudieron en 30 meses las de Bonaparte! También acaba de recibir por el conducto del Exorno. Sr. Ministro de la Guerra el oficio siguiente dado en Andujar antes de ayer 21. «Excuso. Sr.; Habiendo recibido la orden del Mayor general del ejér cito para poner el prisionero Riego i disposición de la autoridad españo la , me apresuro á hacerlo entregar, como también s…</t>
  </si>
  <si>
    <t>…por la de 1820, y sin consideración á grados. cautividad de S. M. y Reai Familia; y para conseguir su libertad, y que goce de la plenitud de siis derechos soberanos, dirige sus El Sr. Ministro de la Guerra ha recibido del Excmo. Señor oraciones al Todopoderoso, y á V. A. S. se ofrece con cuantos Mariscal Duque de Reggio, Comandante en gefe del primer medios y sacrificios pueda contribuir. Señor', en toda época ésta cuerpo, con fecha i.° dei corrien…</t>
  </si>
  <si>
    <t>Minué</t>
  </si>
  <si>
    <t>…e político de esta provincia acaba de recibir del coman ga: U cuando queramos! 1 c,.. dónde parara este azote tenible é inexo- dante de ia columna volante de cazadores voluntarios D. Minué. Onarab e &gt; A este punto se dirige, s.ñrrcs , mi adición ; he aquí el espan te ei pa’te siguiente : toso peligro sobre cuya existencia quisiera que nos dieran algunas ex n Co’umna volante de cazadores voluntarios de la provincia (}: Z2plica.iones los ministro…</t>
  </si>
  <si>
    <t>Minzuki</t>
  </si>
  <si>
    <t>…os:cion de la Providenc.a el que aquel resolución de nombrar un nuevo cónsul general en los principa que siendo estudiante en el colegio de Eton ( Mr. Cann.ag ) can dos , y que el Sr. Minzuki, nombrado ya para este destino, ha tó en versos tan patéticos los padecimientos de los griegos opri bía llegado á Hermanstadt con el objeto de entablar negociacio midos , fuese el individuo destinado á aliviar sus penas cuando ya nes relativas á su empleo; añ…</t>
  </si>
  <si>
    <t>Minzuky</t>
  </si>
  <si>
    <t>…opri bía llegado á Hermanstadt con el objeto de entablar negociacio midos , fuese el individuo destinado á aliviar sus penas cuando ya nes relativas á su empleo; añadiendo que el Sr. Minzuky venia es un hombre de estado. comisionado para establecer cuando llegase áJSucharest las hases en Ninguna variación ha ocurrido en la situación de los ejércitos que hablan de fundarse las relaciones futuras entre la Rusia y la que nos rodean desde que se han…</t>
  </si>
  <si>
    <t>Mir, Pedro</t>
  </si>
  <si>
    <t>Pedro Mir</t>
  </si>
  <si>
    <t>…en su ausencia Ja Batallón del General. 2.0 Comandante D. Braulio Díaz: causa sin emplazarle mas hasta la sentencia definitiva , habiendo de teniente coronel D. Francisco Matali: capitán D. Pedro Mir: lotificarse ios autos que se proveyeren en los estrados de este tri ayudante D. Francisco Sánchez : teniente D. Martin Bastida: sub bunal , y de pararle estas notificaciones el perjuicio á: que "haya teniente D. Ramón l'uster: sargentos primeros Manuel Touja…</t>
  </si>
  <si>
    <t>…ida de hoy Es concede por la Constitución, han decretado lo siguiente: al otro lado de la Cortadura. Articulo x.° Para llenar á electo el decreto de 20 de Mar/o Clises. Capitanes, D. Pedro Mir y D. Antonio García próximo pisado se distribuirán en tíos mitades las rentas, contri Liñan. buciones y subsidios acordados por las Cortes para el servicio de Teniente, D. Manuel Terreros. un ano-* Ja una se recaudará en dos trimestres , que vencerán el Subtenientes , D. Francis…</t>
  </si>
  <si>
    <t>Miráa, Josef</t>
  </si>
  <si>
    <t>Josef Miráa</t>
  </si>
  <si>
    <t>…ris y ,'vl tdrid en varios individuos del resguardo militar. los empréstitos, se han dado para preparar concesiones mudando el minis Las Cortes quedaron enteradas de un oficio del Sr. D. Josef Miráa terio español. González, electo diputado por la provincia de Granada, en que purt.opaEs tan cierto, según dicha correspondínc'a, que el Gobierno francés so ba á las Cortes que habiendo sufrido uní fuerte caída de un «bailo, üe la lo desea un medio cualquiera…</t>
  </si>
  <si>
    <t>Miralles, Antonio</t>
  </si>
  <si>
    <t>Antonio Miralles</t>
  </si>
  <si>
    <t>…o mayor: Los segundos ayudantes generales D. Jacobo de banderas del tercer regimiento de artillería, y bajo Ja presi Oreiro y D. Vicente Bausa. dencia del gefe de escuela interino D. Antonio Miralles, para La primera división la compondrán los cuerpos de todas ar juzgar á los sargertos del tercer regimiento de dicho cuerpo Fran mas que guarnecen el décimo distrito y la plaza de Ceuta, que cisco Espejo, y al del regimiento de la Reina Josef Jiménez,' son:…</t>
  </si>
  <si>
    <t>Miralles, Salvador Josef</t>
  </si>
  <si>
    <t>Salvador Josef Miralles</t>
  </si>
  <si>
    <t>…'público emsu lugar. Las cargas ;no quedarán desatendidas, Marín, y los adictos D. Jos:, fjcnzalcz, O. Pitsc Gaivez.y porque no posean, laí .manos muertas; y bajo este concepto yo D. Salvador Josef Miralles, Primer batallón del regimiento in apoyo el proyectó en su tbtalidad, sin perjuicio de las objeciones fantería de Africa. Batallón de milicia nacional activa de Gra que se pueden hacer i algunos de sus-, artículos. nada. Milicia nacional activa de Motril. Mil…</t>
  </si>
  <si>
    <t>Miranda</t>
  </si>
  <si>
    <t>…oso , Escul- chos prisioneros: esto ha sido á Jas inmediaciones de Algemesi. queira y Cadabos ; y el primero me dice entre otras cosas 1c si Anoche ha llegado á esta el comandante general Miranda, y está guiente : en este motníDtotpda la tropa; en movimiento: creemos qua No puedo menos de recomendará V. S. et mérito de esta hoy á mañana tendremos un dia de gloria. Valencia continúa valiente M. N. V. de ambas armas, tropa de Pontevedra y vo su defensa…</t>
  </si>
  <si>
    <t>…y los dichos pri Cataluña. sioneros: esto ha sido á las inmediaciones de Algemesi. Anoche » Doy á V. S. el parte por la noche, por ser cuerdo lo re ha llegado á esta el comandante general Miranda, y está en este cibe de varios puntos el Sr. gefe político de esta provincia. D os momento toda la tropa en movimiento; creemos que de hoy á guarde á V. S. muchos años. S. Felipe de Játiva 23 de Abril mañana tendremos un día de gloria. Valencia continúa su de…</t>
  </si>
  <si>
    <t>I0O contrado al general Miranda que iba í ponerse al frente de la di sa han entrado en dicha villa de S. Martin de Valde-Iglesias. visión. Nada puedo decir á V. S. acerca de la pérdida de nuestra Madrid 12 de Mayo de 18?3.=Juan Lasaña", (Air continuará.') valiente tropa, y mucho menos la de…</t>
  </si>
  <si>
    <t>Miranda, Antonio</t>
  </si>
  <si>
    <t>Antonio Miranda</t>
  </si>
  <si>
    <t>…, coi.-.pu. sta de los de Be- De ia sociedad patriótica de Avila , presentada y leída por el se lanzr s y .Salamanca, los pr.m ros por el capitán D. Jostf María Gasé, ñor Guevara. D. Antonio Miranda de '.astro, tenientes L). Eduardo Amado , Don De la milicia nac'onal local de Usuna.</t>
  </si>
  <si>
    <t>Miranda, Bernardo</t>
  </si>
  <si>
    <t>Bernardo Miranda</t>
  </si>
  <si>
    <t>…nar vuestras sienes vencedoras , y la provincia se dos ellos conformes resulta que el comandante español muerto vanagloria de haber enviado un verdadero socorro á ios heróidos fue D. Bernardo Miranda, el cual tenia la insolencia de titular valencianos. se coronel vivo del regimiento de Algarve, g° de ligeros, y co — Ayer han llegado 203 cumplidos de la M. N- A. de esta ca mandante de las tropas realistas; que además dé los tres portu pital que vienen de C…</t>
  </si>
  <si>
    <t>Miranda, Conde de</t>
  </si>
  <si>
    <t>Conde de Miranda</t>
  </si>
  <si>
    <t>…nque se hallaba postrado en cama, no ,de Rusia al Conde de la Alcudia. Para Mayordomo mayor de pudiendd cónteñér el júbilo dé su corazón, mandó que por todo su Real Casa al Excmo. Sr. Conde de Miranda, y para la Pre el mt» se suspendiesen los apremios despachados contra varios sidencia del Consejo supremo de las Indias al Excmo. Sr. Duque pueblos morosos de la provincia, y que se pusiesen en libertad de Montemar. algunas mugeres presas por contrabando: hiz…</t>
  </si>
  <si>
    <t>Miranda, Josef Joaquín</t>
  </si>
  <si>
    <t>Josef Joaquín Miranda</t>
  </si>
  <si>
    <t>…a uña , que llegan hasta el 4 riel se, por conservar intacta nuestra Constitución y sabias instituciones. comente , en ios cuales se hal an solamente algunos partes de acciones —- Don Josef Joaquín Miranda , vecino de Parada, ayuntamiento de pare a &lt;■&lt;-, qu ; se ir¿n pub:'Cando, Trasalba, partido judicial de Carballino, en la provincia de Orime K Norte constitucional de Almería del 5 habla solamente do la sabedor de que se iiacia la requisición de caballos para…</t>
  </si>
  <si>
    <t>Miranda, Josef María</t>
  </si>
  <si>
    <t>Josef María Miranda</t>
  </si>
  <si>
    <t>…tísima verdad, y los portugueics co D. Jos'f de Resurta, D. Josef Dionisio de Ugarte, D. josef meterían el mas craso y mas funesto error en política, si sepa Pascual de Guillenea, D. Josef María Miranda, D. Salvador rando su causa de la de los españoles creyesen poder conservar su de Oria, D. Matías Olave, y D. Félix Josef Reinoso, para ca libertad al mismo tiempo que zozobraba Is nuestra. Los intereses lificar un artículo del Constitucional de Cádiz de 26 d…</t>
  </si>
  <si>
    <t>…omo creiamos. Gracias á los Sres. que compusieron el jurado: 1&gt;. Miguel García Ortiz, esfuerzos de algunos hombres piadosos que recorren el Africa con D. Pedro'Antonio de Aguirre, D. Josef María Miranda, Don la biblia en la rnano : los cafres empiezan por su parte á formar Félix de Aguirre , D. J osef de Resusta , D. Francisco Antonio mejor concepto de los europeos, y van conociendo que no todos de tarraza, D. Tomas López Calderón , D. Josef Diez Imbrecht, s…</t>
  </si>
  <si>
    <t>Miranda, Juan</t>
  </si>
  <si>
    <t>Juan Miranda</t>
  </si>
  <si>
    <t>…d luibrn, pues nadie ig •Se aprobó el dictamen d-e la comisión de Legislación , ¡a cual nora que lo es el que los asientos de los corredores hacen fe, y en vista de la íxpeócon de D. Juan Miranda , D. Ramón de que tienen mucha experiencia en los negocios; pero la cuestión Llano y Chavarrí , y otros varios individuos que habían sido a no es esta, es si ios corredores vitalicios han de jomar las corre restados en Barcelona en Setiembre del año pasado, y…</t>
  </si>
  <si>
    <t>…de grano del extrange- Se aprobó el dictamen de la comisión de Legislación-, 1¿ ro, sin perjuicio de lo acordado en la sesión en que se trata de qual, en vista de la exposición de D. Juan Miranda, I&gt;. Ramón este asunto. de Llano y Chavarrí, y otros varios individuos que habían sido Se leyeron estas proposiciones, y se declararon comprendi arrestados en Barcelona,en Setiembre del ano pasado, y condu das en el art. ioo del reglamento, y quedó aprobada l…</t>
  </si>
  <si>
    <t>Miranda, Julián Cid y</t>
  </si>
  <si>
    <t>Julián Cid y Miranda</t>
  </si>
  <si>
    <t>…Fpis de la rampa junto al Arca- orden y tranquilidad de los pueblos.” daire. Los Sres. oficiales conservarán las suyas. Art. g.° La guarnición será conducida con escolta á Gerona; D. Julián Cid y Miranda, del consejo de S. M., alcalde de y á su llegada, cada uno de los militares que la componen ele su Real casa y corte, y Superintendente general de Vigilancia girá uno de tos tres destinos que se especifican á continuación, pública del reino &amp;c. &gt; á saber es :…</t>
  </si>
  <si>
    <t>Miranda, Mateo</t>
  </si>
  <si>
    <t>Mateo Miranda</t>
  </si>
  <si>
    <t>…á ia Iglesia del fruto de presentadas)' leídas por el Sr. Neira. la sabiduría y piedad de los prelados. H.'chos bien recientes confirman Del juez de pr me-a instancia de Valencia D. Mateo Miranda, mas mi proposición. A los Sres. arzobispo eketo de Sevilla y obispo presentada y leida por el Sr. Salva. electo de Guadix se han mgado las bulas; ¡y perqué! porque han Del ayuntamiento constitucional de la villa de Miranda de Duero, dado mas de una vez en es…</t>
  </si>
  <si>
    <t>Miranda, Pablo</t>
  </si>
  <si>
    <t>Pablo Miranda</t>
  </si>
  <si>
    <t>…echo en esta ocasión á ia causa pública , ha me reunió sobre el mismo movimiento la columna que estaba al biéndose servido mandar se publique en gaceta extraordinaria. = cargo del brigadier D. Pablo Miranda, para lo cual habia dado £1 genevai gefe de estado mayor general—¿arco deL Valle. mis disposiciones con anticipación; y sabedor allí de que Capapé También ha recibido el Gobierno el sigu'tnte ejemplar imprc había tomado el camino de este pueblo, destaqué sobr…</t>
  </si>
  <si>
    <t>…da estr tierra, causando las mayores atrocidades, asesi lla, dejándose tendidos en el campo al brigadier de artillería natos y vejaciones; pero i nuestra llegada el dia 10 á S. Ro D. Pablo Miranda, al teniente de granaderos de la Union Don que, se tomó la línea de Gibraltar á las tres de su tarde sin Manuel Marcos Ramiro, un cabo del escuadrón ligero, y un disparar un tiro, pues los que la defendían, viéndose cargados soldado de la Union con 10 heridos…</t>
  </si>
  <si>
    <t>Miranda, Vicente</t>
  </si>
  <si>
    <t>Vicente Miranda</t>
  </si>
  <si>
    <t>…egua, donde tuvo su primer encuentro con el de su fuerza , que intentaba forzar el derecho , y el teniente co general del ejército español Valdés: parece que este mandaba la ronel D. Vicente Miranda sostenía el centro , di Jugar á que el vanguardia del ejército de Canterac, y en la acción de este día audaz alférez Arteaga con la mitad de cazadores montados se quedo la victoria indecisa por Ja notable diferencia de fuerzas que u.n era á mi columna de un m…</t>
  </si>
  <si>
    <t>Mirar, Jacinto</t>
  </si>
  <si>
    <t>Jacinto Mirar</t>
  </si>
  <si>
    <t>…ontener sus progresos. La creación de esta.especie de El Sr. Mor.t'&gt;.nos presentí&gt; y levo des exposic cines , una de compañías , compuestas de hombres de confianza, nos parece uno D. Jacinto Mirar,da, oficial Ktirado, v que en ¡a actualidad ob de los medios mas oportunos para remediar este daño, y ojalá tiene un desuno con el sueldo Je gd&gt; r&gt;:, haciendo renuncia de se adopte en todas partes, de manera que podamos contar pron este, y pidiendo se le perm…</t>
  </si>
  <si>
    <t>Mis, Oliven</t>
  </si>
  <si>
    <t>Oliven Mis</t>
  </si>
  <si>
    <t>…mente este asunto, estando, como están , per rurales. suadidos del sagrado objeto en que se funda esta contribución. Ultimamente, si las Cortes desechan esta base, la. comidon. El Sr. Oliven Mis ¡deas están conformes con las que acaba se verá en la precisión de retirar todo le restante ; y anuncio i de manifestar el Sr. Galiano; yo no me opongo á que se haga las Cortes en nombre de la comisión, que en tal caso esta no este servicio extraordinario: cu…</t>
  </si>
  <si>
    <t>Mitro</t>
  </si>
  <si>
    <t>…te ¡i ios dragón, s, y que dos compañías del de los brillantes resu tulo- de esta gloriosa operación. Sab cíe este cuar primero de estos cuerpos á las ordenes dei teniente coron-l D. Mitro tel general el jó de Marzo último con destacamentos de los bala Iones Ramírez , continuasen en la d.rcccion de la de carederes del Imperizd, del Infante, C.antabr&gt;a, prim-ro y s gundo del Imperial Alejandro, etr.pleíndosí en atacar al etirnu.o por mi ¡1 meo i…</t>
  </si>
  <si>
    <t>Mo</t>
  </si>
  <si>
    <t>…ilicia de Del ayuntamiento constitucional y milicia nacional de Villareal, Laredo, por el mismo. provincia de Casteljon. De la milicia nacional local voluntaria de Leganés, por el Sr. Mo Del ayuntamiento constitucional y milicia voluntaria de Denla, reno. por el Sr. Salví. Del ayuntamiento y milicia de Rioaeco. Del intendente y demas empleados de la hacienda pública en la ciu Las Cortes las oyeron con agrado, y mandaron m insertasen en el dad de…</t>
  </si>
  <si>
    <t>…os cau dillos y entre los habitantes de aquella plaza. Tamhifn se ha recibido parte de que el dia 13 se rindió el castillo de Lorca á la tercera división del ejército que manda el conde Mo;itor, la cual había llegado á aquella ciudad el dia anterior. Dos brigadieres, un coronel , varios oficiales y 580 sargentos, cabos y soldados fueron hechos prisioneros en él, con 17 piezas de artillería de grueso calibre, y muchos víveres y municiones. _Igua…</t>
  </si>
  <si>
    <t>…sta por el En las noticias de la Coruña le dan el primer papel al Don brigadier D. Francisco Antonio de Cabello. Con gusto nos de Quijote britano , Wilson. Este se queja de que el general Mo tendríamos á h.cer el elogio qus merece esta obra tan útil en el rillo no ha hecho caso para volveise á unir á los constituciona día para aprender con facilidad la lengua francesa, si no nos les de los avisos y amonestaciones que le habia dado; y con ahorrara…</t>
  </si>
  <si>
    <t>Mo, Amonio Diaz del</t>
  </si>
  <si>
    <t>Amonio Diaz del Mo</t>
  </si>
  <si>
    <t>…obernación do la Península, en que participaba que S. M. se ha tr i la Constitución , y no habrá necesidad de disparar un fusil, intenten bía servido admitir la renuncia hecha por D. Amonio Diaz del Mo un golpe de mano sobre estas primeras plazas, y aventuren el éxito de ral y D. Jostf Zorraquin de los ministerios ,de Gobernación y Gracia los primeros esfuerzos para, en caso de serles favorables, influir en las y Justicia para que habían sido nombrados. neg…</t>
  </si>
  <si>
    <t>Mo, Antonio Díaz del</t>
  </si>
  <si>
    <t>Antonio Díaz del Mo</t>
  </si>
  <si>
    <t>…uesto de los Sres. siguientes: D. Joaquín Huerta Cevallos, D. Josef gunos frutos, ó se considerase útil hacerlo , se verificará mediando su Antonio Ponzoa, conde de Floridablanca, D. Antonio Díaz del Mo orden y con todas las formalidades y precauciones que convengan a ral , D. Francisco Barra , D. Miguel Ripa , D. Cayetano Romero, asegurar el buen éxito de la operación en seguridad de los intercies D. Nicolás de Cano Luque y D. Julián de Fuentes. Habida la c…</t>
  </si>
  <si>
    <t>Mo, Juan</t>
  </si>
  <si>
    <t>Juan Mo</t>
  </si>
  <si>
    <t>…do al milicia Realista de Andujar, que han acompañado al freso hasta principal instrumento de la Acción jacobina, que tantos dias de esta corte; y no menos la del Teniente Coronel D. Juan Mo amargura le ha acarreado; pero la prudencia del Gobierno dis reno, Gefe de Estado mayor de la división del General Cisner puso que le condujesen á la citada hora desde el puente de To y demas oficiales de la escolta; pero sobre todo merece la n_ ledo por las…</t>
  </si>
  <si>
    <t>Mo, Prudencio</t>
  </si>
  <si>
    <t>Prudencio Mo</t>
  </si>
  <si>
    <t>…derramarse J8. del corriente, en los autos que,en dicho juzgado .sigue Juan de sus amados vállos, la desolación de sús pueblos! ¡Qué funes Antonio Pellicode ésta vecindad, contra-D. Prudencio Mo tas y aterradoras imágenes para el corazón sensible de Fernán- • reno y su muger Doña María Albera sobre .pago r&lt;je 1167 rs., ¿o! Para' decidirse solóse le concedía, uñ brevísimo término: procedentes de manutención de unas muías, se ha ipandado con ¿qué debía…</t>
  </si>
  <si>
    <t>Mo-</t>
  </si>
  <si>
    <t>…n buta, emanación indudable de las ideas filantrópicas que V. E. sin consideración alarma 18 sacos 018 toneles a todo aquel que abriga en su corazón; perd que asi comoS. E. el Sr. general Mo- faltare á la entrega de los seis que aquí se mancan , pulqueando litor dió un plazo al general en gefe del i.° ejercito de operacio- ademas su nombre en los papeles públicos. nes para que consultase y exigiese el parecer de todos los gefes y 4.a Solo se excep…</t>
  </si>
  <si>
    <t>Mo.ejon</t>
  </si>
  <si>
    <t>…o por los nuevos regentes los Sres. Eguía , Fleires, Melavtlla . Zava- vencimiento íntimo me obliga á subir á la tribuna. Asi pues, espero, b, Grimarest, Valero, Ahina, Peris y el secretario Mo.ejon. Estos señores, que me prestareis atención. militares regentes son francos, como se verá por sus expresiones. Estos » Lar.o tiempo hace que el universo aguarda ver el partido que to señores en una proclama, dirigida á los realistas de España y á las de- mará…</t>
  </si>
  <si>
    <t>Moblar</t>
  </si>
  <si>
    <t>…ancos" , en les cuales no estaba el aumento ofre ferior. Su cuartel general estará en Tolosa. cido á las tropas, ni lo mucho que se ha Ir.vestido en llamar ¡os El teniente general conde Moblar, comandante en gefe del veteranos al servicio activo , ni los gastos del cjerc-to ¿e reserva, secundo cuerpo del ejérc.to, tendrá el mando superior de los rei ni tampoco las cantidades necesaria» para empezar ei 51:¡o de Cá no» de Valencia, Murcia y Granada.…</t>
  </si>
  <si>
    <t>Mobtor</t>
  </si>
  <si>
    <t>…a religión no teme ia misma muer partidarios: todo hacia creer que se d-fenderia en esta posición te, Gracias al cielo; este golpe ha aterrado tanto á los revolto jm;:oríar¡r-. El conde Mobtor, á pesar de no tener consigo mas sos que difícilmente se volverán á ver.por aquí. que la divi-i m de Lovírdo, no dudo en marchar á atacarlo; pero Como testigo ocular suplico á VV. se sirvan Insertar en iu luego qu - su vanguardia llegó A Fiche , sr retiró el…</t>
  </si>
  <si>
    <t>Modet, Miguel</t>
  </si>
  <si>
    <t>Miguel Modet</t>
  </si>
  <si>
    <t>…o, confiando en vuestro Gobierno, que será cons te que recib o de oficio por medio del comisionado rejio tante en perseguir á cuantos con una rabia infernal han cubier aquel reino D. Miguel Modet , el avóo de haberse instalado en esa capital con toda solemnidad y júbilo la Regencia del rei to de luto nuestros corazones.” no, procedió en 5 del corriente mes de Junio a renovar el ju El espitan general de Aragón dice al Sr. secretario del Des ramento de…</t>
  </si>
  <si>
    <t>Mogica, Juan Poloux y</t>
  </si>
  <si>
    <t>Juan Poloux y Mogica</t>
  </si>
  <si>
    <t>…efensor de los principios revolucionarios y anár En atención at mérito y distinguidos servicios del-Mariscal quicos; y habiéndose hecho indigno por esté medio de las órde de Campo D. Juan Poloux y Mogica, ha tenido a bien el Res' nes con que se le había agraciado anteriormente, he encargado á nuestro Señor reponerle en su destino de s.guaco -CaL-.o de la la comisión general de las Ordenes borren su nombre cfel catálo provincia de Costilla la Vieja en los-ntis…</t>
  </si>
  <si>
    <t>MoHnerto, Josef</t>
  </si>
  <si>
    <t>Josef MoHnerto</t>
  </si>
  <si>
    <t>…constitucional, f '■ efecro , jqire arrojaban en su huida. I u: herido uno de los expresados mi ¡cítaos lla «cena t-n patética y tan majestuosa ! ¡qué cuadro tan patriarcal! mado D. Josef MoHnerto , y libertado de ser fusilada un paisano quo El Sr. gefe político en medio de los pobres y ds los ricos , de los conducía a Cádiz un prefugo, al cual robaron cuanto llevaba. valientes y de los pusilánimes, de los hombres favorecidos y de los in Direcciones ge…</t>
  </si>
  <si>
    <t>Mohtor</t>
  </si>
  <si>
    <t>…muchas islas del Archipiélago y algunas comarcas del acuartelarse a los pueblos siguientes, señalados de acuerdo con imperio otomano. En su consecuencia se han tornado medidas el general Mohtor, á saber es: Quesada , Cazarla, Ubeda, de precaución en todos os puntos de nuesttas costa». Loja, Lucena , Algavinejo y Archidona. Prefectura de puhcía. __ Esta tarde á las dos se ha celebrado con repique gene En todo el mes de Jumo d: 18*3 el tribunal de pol…</t>
  </si>
  <si>
    <t>Moieno</t>
  </si>
  <si>
    <t>…de Libertad de imprenta una exposición de la diputación provin parte á otra, á los nacionales ó extrangeros cuya residencia pueda ser per cial de Cuenca, presentada y leída por el Sr. Moieno, pidiendo á las Cur judicial ai sistema constitucional. tes tomen medidas capaces de contener los abusos que se advierten en cier Art. g.° Las disposiciones del presente decreto solo tendrán efecto tos periodistas y escritores públicos so color de libertad de…</t>
  </si>
  <si>
    <t>Mol</t>
  </si>
  <si>
    <t>…siete de la tarde en ¿as respeclivas poderes. 2= El primer ayudante general de E. M. Josef Guerre comisarías de barrio lo menos seis sacos de cañamazo, construi ro de Torres.tczEl general Mol tor. Es traducion del originabas dos de tres cuartas de esta tela dobjada por su ancho, con sus Gaspar Herrera, secretario. Es copia. 2= Guenduiain. amarraderos correspondientes, V sin perjuicio de que aquellas á Contestación que el Sr. comandante general de…</t>
  </si>
  <si>
    <t>Moli</t>
  </si>
  <si>
    <t>…niente coronel Cavaller, como también á sus demas ayudan ver al enemigo. , tes de campo y oficiales de estado mayor, tanto dsi cuerpo del Después de una hora de marcha encontró el general Moli ejército como de las divisiones. . , tor una descubierta de 150 caballos, que situados sobre úna La derrota del día 28 causó tai desaliento en el ejército ene eminencia, hicieron fuego sobre la cabeza de la columna. El migo, que se desertaron de él r 500 homb…</t>
  </si>
  <si>
    <t>Molilor</t>
  </si>
  <si>
    <t>…V. — La pilan de hospital y su retirada á Valencia, y fue alcanzado por una par tida de facciosos , .según irnos, v según otros por unprovisiones : San Mari tul. destacamento del general Molilor, el cual, por su pues Esta mañana ha desembarcado en este puerto una to , le lazo añicos ¿ce. óce. Por este estilo huí mu parte del ejército del general López-baños con la cho en los periódicos ultras, fuerza de 5i&gt;on hombres de infantería, procedentes de liu…</t>
  </si>
  <si>
    <t>…« *i 1 ? i í* 5* ül’IJ l!&lt;r 'IS í; pan pruvlll- div 1- ion de ó'i hombres de La.'.las armas v cuatro me ci;i de ,S.mi ar.de r , puede decii e ser Únicamente las zas , al mando del general Molilor. Ll general La Jr.tucesas . que en número de mú seiseu líos ilujll- croix oenpa ú fraga con otra división de igual mí bres bloíjuean por ¡ierra á Sau’eña. i guarní ion oe mero &gt;00o mas ó meuos. Los enemigos parece tr itaii ].-. plaza si ise animosa v recibien…</t>
  </si>
  <si>
    <t>Molina, Josef Pío de</t>
  </si>
  <si>
    <t>Josef Pío de Molina</t>
  </si>
  <si>
    <t>…en papel y suma corrección. El Sr. fiscal de libertad de imprenta denunció al Sr. alcalde constitu Carla tomo lleva una portada bien grabada que representa objetos análogos cional D. Josef Pío de Molina el suplemento al núm. y del Procurador á lo que contiene. Se hallará en la librería de Orea á 50 rs. en rústica y general del Rey, como subversivo y sedicioso. En su virtud se reunió el 60 en pasta. jurado, compuesto de los señores siguientes; D. BenitoOrtcga…</t>
  </si>
  <si>
    <t>Molina, Pió de</t>
  </si>
  <si>
    <t>Pió de Molina</t>
  </si>
  <si>
    <t>…de tenece á la población de España, batallas , acciones de guerra y demas los negociados, y es como sigue. ocurrido en el tiempo de la invasión de las tropas francesas: Seis 10Al Sr. Pió de Molina , todo lo gubernativo y económico , y lo tomos en 4.° Se bailarán en las librerías de Sauz, de Antoiait , y en. correspondiente i la milicia. la imprenta de Davila. Al Sr. García de la Madrid, los presos y la policía urbana. Ebota. En la gaceta del 10 , col.…</t>
  </si>
  <si>
    <t>Molincr, Josef María</t>
  </si>
  <si>
    <t>Josef María Molincr</t>
  </si>
  <si>
    <t>…Aprobado. no es sino á que se dé una resolución para este caso particular, La comisión de Legislación. en vista de una exposición de opinando que debe ser una resolución general. D. Josef María Molincr, oficial de la milicia nacional local de Los señores de la comisión se convinieron en qut se entendie esta ciudad, opinaba que debían llevarse á efecto el art. 65 del se por regla general este dictamen , y quedó asi aprobado. • reglamento para la milicia naci…</t>
  </si>
  <si>
    <t>Moliné, Manuel Pecino y D Antonio</t>
  </si>
  <si>
    <t>Manuel Pecino y D Antonio Moliné</t>
  </si>
  <si>
    <t>…ía ; recomen las principales librerías del reino á jó rs. cada juego por razón de portes. dando al mismo tiempo la bizarría de los caballeros cadetes de Extre El traductof. madura D. Manuel Pecino y D Antonio Moliné. Dios guarde á V. S. Nota. En la gaceta del 25 , artículo de anuncios, en donde dice muchos años. Valderobres 18 de Febrero de i323=£runo Alaiz. es •• Reglas de obediencia para los pueblos en tiempo áe tiiscimim entre laa Sr. brigadier barón de Carondelet.”.…</t>
  </si>
  <si>
    <t>Molino, Gregorio Moreno del</t>
  </si>
  <si>
    <t>Gregorio Moreno del Molino</t>
  </si>
  <si>
    <t>…o de ellos,ron senterdos O. Sebastian de la Cuesta , D. Ramón Ibafiez , D. Bese servirá avisarlo en la casa y calle del Sacramento, rúna. 3 , cuarton 10 santos, D. Diego Bisadre , D. Gregorio Moreno del Molino, D. Jcnef Ar-as Carvajal', D. Pedro Santisteban, D. Benito Sama- bajo de la izquierda. nieto y D, Josrf de did’- . y previas lis formalidades que previene ha ■ Se halla vacante el magisterio de primeras letras del Picazo (Cuen l y di- ! heríaJ de imprenta, de…</t>
  </si>
  <si>
    <t>Molinrdo, Josef</t>
  </si>
  <si>
    <t>Josef Molinrdo</t>
  </si>
  <si>
    <t>…de lo» Gobiernos constitucionales , que se han ofre M. N. de esta ciudad y una cuadrilla de (acetosos , y icsiiU»- h iedo cido ya á ser mediadores entre los pu.-blos y lo» Reyes? D. Josef Molinrdo , hijo de D. l'ernaijo. II,lu.mto r..u no Calculemos ahora las fu- rzas. Los Gobiernos constitucionales tie algunos dias, tuvo e1 padre que rcl:r?.ts; .1 'a oda de ». i :i........ p.' a nen mas dineto , mas recursos de toda especie , una población mas ac aten…</t>
  </si>
  <si>
    <t>Molitor</t>
  </si>
  <si>
    <t>…sueltas brados por el Rey el 29 de Enero para el egército de España. de patriotas españoles que molestaban bastante á tes &lt;gentes : tjlle Tenientes generales. El barón Canuel, el conde Molitor , el prín en la Nueva-Valencia y coro era et guto general por su unión á la cipe de Hohenlohe, el conde Curial, el vizconde Roussel de Hurbal, metrópoli , como también que había entrado di el puerto de-su salid* el vizconde Tirlet : el conde Guilleminot, el c…</t>
  </si>
  <si>
    <t>…reforma que ras lema general en gefe , el general Guilleminot gcfs de estado mayor. oirás naciones quieran hacer en sus Gobiernos perversos y degenerados Primera división el conde general Molitor: 2.a d.visión el barón de para librarse de las calamidades que les causasen. Pero se hallaron. iB Damas: 3.1 división el temiente general Bourke : 4.a división el tenien algún embarazo cuando ios ministros de S. M. Brit .nica tes declararon te general vizcond…</t>
  </si>
  <si>
    <t>…tes dice que el egército se dividirá en cinco cuer gefe ha seguido á Logroño desde Hato , según oficio que acabo de r.. ■ r. pos: eli.° al mando del duque de Reggio : el i.°al del general Molitor: eL 3.° Dios guarde á V. E. muchos años. Vitoria 27 de Febrero de iSrg.ee al del príncipe Hohenlohe: el 4.0 debía estar i las órdenes del marques Lau- Excmo. Sr.=Greeorio Piquero Argiíe!les.=Excmo. 8r. ministro de !a (iston; pero este ya no saha de Paris, y n…</t>
  </si>
  <si>
    <t>…a el marisca!; peto pisa por el Fran ,bancos del lado izquierdo: en el centro izquierdo se ven sentados co-Condado para ir á Perpiñan. Hoy ha salido igualmente para el egército el general Molitor. unos pocos. Se leyó y aprobó el acta del anterior, y en el entre tanto entraron __Si hemos de dar crédito á la Estrella , se han tomado todas las dis solos siete diputados del lado izquierdo. posiciones para que empiecen las hostilidades del i.u al 5 da Abri…</t>
  </si>
  <si>
    <t>…eneral Bonnetnaim en persecución del cnem ^o-. un desta ra de 1500 i »9 hombres, ¿ igual número ocupaba á Teruel. camento que se dirij'ó i la orilla del mar tomó 16 piezas de » El general Molitor, después de haber pasado el Ebro, sa artillería y muchas municiones, que el enemigo no tuvo tiem dirijió con el segundo cuerpo sobre este último punto. La bri po de embarcar. gada Ordoneau marchó tan diligenta, que llegó el dia 6 , jr á » La retirada de Balle…</t>
  </si>
  <si>
    <t>…acional agenesa. Las cartas de Aragón nos habían dicho que Ballestero? había F :a guardia , que se habia reunido á las dos de la tarde en sido hecho prisionero con su tropa por el general Molitor. el campo de Marte, y á quien pasó revista el general Papin, Nada de nuevo en Pamplona ni en S. Sebastian: lá mayor tío dejó las armas de la mano hasta que la augusta viajera en tranquilidad reina en todo el norte de España , y no hay ni ves tró en sus habita…</t>
  </si>
  <si>
    <t>Gaceta de Madrid n.º 233 (extraordinaria)</t>
  </si>
  <si>
    <t>…noticias se le habían ya cojido roo hombres, y el friego seguía muy vivo: se cree que no podrá llegar á la Seo de Urgel, jr entonces correrá el riesgo de una total destrucción. El general Molitor avisa que su vanguardia alcanzó el día 14 la reta guardia de Ballesteros en Alcira, que estaba apoyada en la cabeza de un puente fortificado, y defendido con la artillería por tropas elejidas. Des pués de cuatro horas de acc¡cn la fortaleza fue tomada: se ha…</t>
  </si>
  <si>
    <t>Molitór</t>
  </si>
  <si>
    <t>…e reunirse á Villacampa, y seguir hasta Cádiz. A este efecto Viliacampa te Ejército de lot Pirintos.*-Éo\z\m 14.a nia ya su caballería enUtrera, cuando la llegada de la vanguar El conde Molitór da parte í S- A. R. que la vanguardia' dia francesa le hizo retirar sobre Ronda, en donde ha sido aban -2é tu ejército, pandada por el general Bonnemains, que llegó donado de toda su tropa, de la cual mucha parte se ha reunido él 13 á Silla, habiendo marchado…</t>
  </si>
  <si>
    <t>…ad liberales revolucionarios, y si preciso fuese, rejicidas. Por eso vemos que muchos realistas se cipitación. han hecho liberales, pero pocos de estos se han vuelto realistas; El conde Molitor pone en noticia de S. A. R. que en con secuencia de las órdenes que se había servido dirijirle, el maris y por algunos convertidos, que no son dificiles de contar, que cal de campo D. Ramón Chambó después de dejar en Tortosa han llegado hasta á hacerse devoto…</t>
  </si>
  <si>
    <t>…pase , manifestando procedían de una columna batida por El ejército francés marcha hacia Alicante ,y su general en el Locho, frívolo pretexto sin duda que figuraron para d.scugefe conde Molitor parece d¿be sai ir antes del 4 próximo para brir ci espífilu del vecindario, pues claro se vió que era abanMurcia, y desde allí para Granada. zada de una columna como de roo liombres que después se __Sabemos que el ejército libertador entró el 16 del pasado e…</t>
  </si>
  <si>
    <t>…han sido eficazmente auxiliados por el __Los boletines anteriores contenían las ventajas obtenidas por mariscal de campo Corsin, quien á ¡a vista, y á tiro de la forta el general conde Molitor, comandante en gefe del segundo leza , dirigiendo su artillería sobre las alturas que la dominan, cuerpo, en su rápida marcha desde el Ebrio hasta Murcia , y el y disponiendo sus columnas de ataque para subir al asalto , con último ha anunciado que S- A. R. a…</t>
  </si>
  <si>
    <t>…mpo de batalla vincias de Guipúzcoa, Navarra, Aragón, del Ebro bajo, su hasta después de haber quemado todos sus cartuchos; al cabo cuartel geners! fin TolosSa El tcnisnís gsnsjül conde Molitor^ Fíandin que volvió-al combate después de haberse curado unacomandante en gefe del segundo cuerpo ds ejército tendrá el herida de bastante gravedad, y al de igual .dase Basta n que re mando superior de los reinos da Valencia, Murcia y Granada. cibió dos balaz…</t>
  </si>
  <si>
    <t>…, con tal, dice, » que presten juramento solemne en las retirarse hácia Granada; pero habiendo entrado en este día el manos de un sacerdote de no volver á hacer la guerra á los es conde Molitor en esta capital , no le queda mas recurso que pa- pañoles.” sar el Guadalquivir por Ecíja ó Córdoba f donde se halla el re- Nosotros creemos que esta ettica como otras muchas está cimiento de cazadores de la guardia Real, o dirigirse hácia la forjada en algun…</t>
  </si>
  <si>
    <t>…prisioneros. El 28 se » Sanlúcar de Barrameda 25 de Julio de i823.=Sermo. Se presento de nuevo Ballesteros con unos ii£&gt; hombres al frente ñor. = El gobernador Carlos Dunos.” del general Molitor , que apenas había tenido tiempo de reunir 62 i á pesar de las bellas posiciones que ocupaba el general Ba NOTICIAS EXIRANGERAS. llesteros en Campillo de Arenas, fue atacado por nuestras tro pas á la bayoneta con mucho ímpetu , y puesto cu derrota, ha FRANCIA…</t>
  </si>
  <si>
    <t>…ia parte (fe - : . 'Boletínafuera del estrecho. El'utfo de ellos es ef Presidente Bolívar, de 27.. 18 cañones* y han cogidd Varias embarcaciones españolas rica Ei teniente general conde Molitor., cónjañdants erf gef; de!* mente careadas. ' 1 . segundo cuerpo de ejército', ha dirrgidtPnÜ. A- R- P¿r dti ¿or-La señora Vigo, muger del gobernador de la Coruíía, que reo que salió de Granada ¿1 1." de1 A^ósfO: ,:Ta‘ rdaciaV'áé ¡¡lis acaba de llegar á Londr…</t>
  </si>
  <si>
    <t>…: no ligeros atacaba.coh -felizaiucevo Ios-montes que dominan á C: tu sotros no podía moa oponerle sobre este punto sino 400 caba pa lo., tambre la izquierda adonde: se hallaba el conde Molitor llos, que acababan de hacer una marcha de 1 a horas; sin em intentó elemmigpjjlcfendet las avenidas del pueblo; pero el ge„ bargo , ei general Bonnemain, que mandaba esu vanguardia, no setal Su Chaman»,, ai frente del 4,0 y 2o,0 de cazadoresdió mu comenzar el…</t>
  </si>
  <si>
    <t>Gaceta de Madrid n.º 553 (extraordinaria)</t>
  </si>
  <si>
    <t>…u importante salud en los dias 30 y 31 del pasado, 1 y 2 del corriente. También acaba de recibir la agradable noticia de oficio de que el ge neral Ballesteros ha capitulado con el conde Molitor, general en ge fe del segundo cuerpo del ejército francés, el día «9 del corriente en Granada, habiendo reconocido con todo el ejército de su mando á la Regencia que gobierna la Monarquía española durante la cautividad de S. M., y entre gando Jas piazas de lo…</t>
  </si>
  <si>
    <t>Mólitor</t>
  </si>
  <si>
    <t>…ada su cuar D. Policarpo S. Martin, voluntarios ambos de caballería. tel general á Sevilla para ínspirai á sus soldados un nuevo ardor con su presencia. Convenio entre el teniente general Mólitor , comandante en El Rey lia dicho al embajador del augusto prisionero de la gefe del segundo cuerpo dél ejército de los Pirineos, autorizado convención'de Cádiz: «Dios ha piotegido hasta aqui tan visi- por S. A. R. el Sermo. Sr&gt; duque de Angulema, y el tenient…</t>
  </si>
  <si>
    <t>…mente puros muchos que pn la realidad llesteros se acantonarán en los punios que se determinen de con » están muy manchados” ; pero sin negar nosotros que esto hasta cierto con el general Molitor. cierto punto sea una verdad, «qué otro es mas propio para evi Art. 4-° » Los generales, gefes y oficiales pertenecientes al tar este mal , del cual pueda valerse el Gobierno con, el fin de segundo ejército conservarán sus grados, empleos, distinciones indaga…</t>
  </si>
  <si>
    <t>…, y las armas y for Boletín 28.0 nituras se entregarán al capitán de Voluntarios de Tortosa Doa Salvador Llobet; y verificado esto, la tropa se mantendiá en la El teniente general conde Molitor, comandante en gefe del plaza en el sitio que el general y gobernador detallen hasta el segundo cuerpo de ejército , según las instrucciones que había dia 21. recibido del Sermo. Sr. Duque de Angulema, ajustó el 4 de 4.0 Los oficiales conservarán sus espadas…</t>
  </si>
  <si>
    <t>…ados y á la seguridad del Estado. Esperamos tam v La revolución de España se aceres ripidamente i su tér bién otros que nos aseguren la preciosa joya de nuestra creencia, mino. El general Molitor, al frente de 14$) hombrea escogidos, imponiendo perpetuo silencio á las lenguas y plumas blasfemas, cLb: reunirse en este momento con los generales Bocdesoulle y heréticas, cismáticas é inmorales. Finalmente , nos prometemos Bourmont delante de Cádiz. Los re…</t>
  </si>
  <si>
    <t>…diterráneo que la peste desuna la Alejandría, un impreso en que anuncia el convenio ajustado el 4 del cor y que un gran número de buques europeos que se encuentran riente entre el conde Molitor y D. Francisco Ballesteros, y quí en este puerto han sido atacados de esta plaga, que arruina y en su cump tímenlo las tropas del mando de BalUst ros iban á despuebla muchas islas del Archipiélago y algunas comarcas del acuartelarse a los pueblos siguientes, señalados de acuerdo con im…</t>
  </si>
  <si>
    <t>…'CO.= Manuel de Aramiia. sr Jacinto clama del general Torrijos, de que dimos noticia en nuestro nú Ochoa de Retana. =rFrancisco Josef de Garay.” mero anterior: y la tercera, que d general Molitor se ha dejado engañar con la aparente sumisüai de Ballesteros. A la verdad Madrid o.) de Agosto. que este no es jircto que haga ancho favor al citado General ni El Gobierno ha recibido patte de que SS. MM. y AA. con al ejército francés; y por consecuencia fija…</t>
  </si>
  <si>
    <t>…s han reforzado la cortadura con dos ba- mayor del general Zayas ha querido servir bajo sus óidenes; y tali n-s, han hecho una pequeña salida, que nada Jes ha pro han suplicado al general Molitor les admitiese la sumis r.n que ducido. estaban prontos á hacer. El grurso del rrg miento de lúigos ha Ei fuego de hoy ha sido mayor que el de ayer, y creo que pasado igualmente de Motril á Granada , como lambón ei cuer ya todos los dias coitmuaá lo mismo, seg…</t>
  </si>
  <si>
    <t>…r ejercito de operaciones. :z: Bernardo de Guen3 A Las tropas á las órdenes del general Ballesteros tomarán dulain.” los acantonamientos que se han determinado de concierto con el general Molitor. En dicho periódico, igualmente que en otros de esta cap’tab 4.0 Los generales, gefes y oficiales que pertenecen a! segundo se han publicado los edictos siguientes: ejército conservarán sus grados, empleos, distinciones , y los suel E&gt;. Manuel de Latre, briga…</t>
  </si>
  <si>
    <t>…uerto dos y tres heridos ; per , . Boletín 33.0 ro de ellos nose sabe todavía cuantos ; son muchos, y muchísimos prisioneros y pasados á estas horas. En otra diré con verdad el El conde Molitor / comandante en gefe del segundo cuerpo, resultado. {Carta particular.') da parte á S. A.R. confio habiendo dado orden al teniente gene ral Bonnemains que se hadaba en Baza paré qr.e pasase i Má Madrid 19 de Setiembre. laga por A-nnría y costa con el objeto d…</t>
  </si>
  <si>
    <t>…ra, ninguna difi na ; pero el movimiento del general Bonnemains le precisó, á re cultad-tenían la mayor pane de ellos en manifestar á los pro/a» tirarse á las montañas, tomando el conde Molitor las mas acti tíos, asi en conversaciones como en escritos, los misterios mu vas disposiciones para perseguirle.en.ellas. recónditos de su secta perniciosa. No es pues de extrañar que El general Loverdo ha quedado enteramente satisfecho en entredós muchos homb…</t>
  </si>
  <si>
    <t>…guida de la sesión sccteta; y por disposición del se cuerpos, «orno también muchos oficiales del Estado mayor, ñor presidente ocupó el Sr. Saavedra la tribuna, y leyó el si que el conde Molitor ha puesto i La benigna consideración de guiente dictamen como minuta de contestación al discurso del S» A. R. Rey. Al salir de la Mancha Real tomó Riego la dirección dé *&gt; Señor: Las cortes, prontas siempre al llamamiento de Jodar, sin duda con ánimo de ver s…</t>
  </si>
  <si>
    <t>ejército del general Molitor entró en ella el j g de Abril; y el El Piloto. Dígase lo que se quiera, yo insisto en que lá cau pueblo español, convencido de que hemos venido para bién suyo, sa de las Cortes 110 está desesperada. Riego acaba de salir de sale por todas partes al encuentro á…</t>
  </si>
  <si>
    <t>Molitor, Conde</t>
  </si>
  <si>
    <t>Conde Molitor</t>
  </si>
  <si>
    <t>…é,'Setiembre de 1813 =Franciscó Ba „Españoies; Tranquilo aguardaba con el ejército de mi mando llesteros.'' !- * - ..... los felices resultados del convenio celebradocon el Excmo. Señor Conde Molitor, y aprobado por S. A. R. el Sr. Duque de An — Han vehido á nuestras maños los números del Espectador gulema , ocupándome únicamente en Conciliar los ánimos de de Cádiz de lo* dias 7. y. 8 '.«Jelco/rónte,. donde te rea insertas los españoles, como el medio mas…</t>
  </si>
  <si>
    <t>…poder decir que la Reina d* Luis, por la grada de Dios (?c. Portugal es la Nieta de Luis x iv Queriendo recompensar de un modo digno los servicios deí NOTICIAS DE ESPAÑA. Teniente general Conde Molitor , y particularmente los que ha Ultramar. contraido en la última campaña,........... hemos decretado y de cretamos lo siguiente: Lima 22 de Junio. Art. i.° El Conde Molitor ([Gabriel Juan. Josef), Tenien Extracto del boletín del ejército Realista del Perú de e…</t>
  </si>
  <si>
    <t>Molitor, Conde de</t>
  </si>
  <si>
    <t>Conde de Molitor</t>
  </si>
  <si>
    <t>…tanto que una comisión nombra Nombrado V. S. Comandante de esta plaza por lo que hace da de su seno se postra á L. R. P. de V. M., dígnese pues de al ejército aliado por el Excmo. Sr. Conde de Molitor, General echar sobre estos habitantes una mirada de protección, y recibir en gefe del 2.0 cuerpo del ejército de los Pirineos, creería faltar los mas respetuosos homenages de su acendrada lealtad y amor á mi deber si no manifestare á V. S. el agradecimiento y…</t>
  </si>
  <si>
    <t>Mollinedo, Bernardo</t>
  </si>
  <si>
    <t>Bernardo Mollinedo</t>
  </si>
  <si>
    <t>…que Contestación del ayuntamiento constitucional de Jerez á la exposi estaría en directa oposición con el sistema europeo. Efectivamente se ción que le dirigió en 8 del corriente D. Bernardo Mollinedo. ( Véase gún los pnnepios que forman la base de aquel sistema, y que han ¡a gaceta del 7.) sido sentados por uno de los ministros mas activos en el congreso de » Lleno del mas profundo ¿olor por la sensibilísima pérdida de su Viena, » si la Prusia y el Austri…</t>
  </si>
  <si>
    <t>Mollinedo, Josef</t>
  </si>
  <si>
    <t>Josef Mollinedo</t>
  </si>
  <si>
    <t>…s ministros mas activos en el congreso de » Lleno del mas profundo ¿olor por la sensibilísima pérdida de su Viena, » si la Prusia y el Austria forman una barrera inexpugnable hijo D. Josef Mollinedo ha recibido este ayuntamiento constitucional contra las empresas di- *0do Príncipe conquistador que ocupase nueva en la mañana de hoy el escrito de V. , en que macis ,cta su agradeci mente el trono de Fraucia ó el de Rusia,” la independencia telativa miento p…</t>
  </si>
  <si>
    <t>Mome</t>
  </si>
  <si>
    <t>…Diaz. llecido de un ataque de apoplegia, después de una larga y penosa be procedió á la disensión del dictamen de la comisión de Le enfermedad. gislación sobre la proposición del Sr. Mome, para que la misma Tl/RI.V. propusiese un proyecto de decreto por el cual se resolviesen las Genova 17 de Mayo. dudas ocurridas en las elecciones de ayuntamientos respecto de los Escriben de Nantucket ( Amórica septentrional) que un bu militares; la comisión…</t>
  </si>
  <si>
    <t>Momea</t>
  </si>
  <si>
    <t>…DEA CADIZ VIERNES 27 DE JUNIO DE 1823. •w&gt;^BSii&gt;*ss^®s©!Oí®^®©i5®gESs»:®iei&lt;sst33»e-^e&gt;=^ frggOCaum. Cádiz 26 de junio. La comisión de Legislación informando sobre la ad icien del Sr. Momea, artículo 2. 5 del di. tánica Continua la sesión de Cortes del dia 11. uceica del modo con que deben intet venir los mili ]\o queriendo pues S. M. ponerse á salvo, y pa tares en las elecciones do diputados a Córte-, opi reciendo mas bien á primera vista que 6…</t>
  </si>
  <si>
    <t>MomMinisterio, Ildefonso</t>
  </si>
  <si>
    <t>Ildefonso MomMinisterio</t>
  </si>
  <si>
    <t>…de Estado y del Des Sánchez; en Sarcelcr,. en la de D. Juan Francisco Piferrer y en la de pacho de la Gobernación de la Península. la viuda é hijos de Brusi; en Valencia en la de D. Ildefonso MomMinisterio de la Guerra. pié; en Granada en la de D. Antonio Aguilera; en Sevilla en ¡a de Excmo. Sr.nsPor el oficio de V. E. de 5 del actual, y copias que se D. Agustín Berard ; en Cádiz en la de D. Diego Zaragoza; en Bidaacompañan, ha visto S. M. con la mayor satisfac…</t>
  </si>
  <si>
    <t>Mon, Francisco</t>
  </si>
  <si>
    <t>Francisco Mon</t>
  </si>
  <si>
    <t>…sguardo militar de Barcelona* * D. Juan Linan, D. Luis Fernando Mon, el conde la Torre. muerto en acción contra los facciosos, pidiendo se le conceda Alta. Los tenientes coroneles D. Francisco Mon , D. Francisco la misma gracia que á las demas viudas que se hallan en el mis Vallarino, D. JosefBrodini, D. Juan Ignacio Cervera, Don. mo caso se Ira concedido, y del informe del Gobierno que Mauricio conde de Balbiani. Los capitanes D. Felipe Saint-March, a…</t>
  </si>
  <si>
    <t>Mon, Luis Fernando</t>
  </si>
  <si>
    <t>Luis Fernando Mon</t>
  </si>
  <si>
    <t>…a de Hacienda , en vista de la exposición Los coroneles D. Francisco Marimon, D. Fernando Salamanca, de la viuda de un soldado del resguardo militar de Barcelona* * D. Juan Linan, D. Luis Fernando Mon, el conde la Torre. muerto en acción contra los facciosos, pidiendo se le conceda Alta. Los tenientes coroneles D. Francisco Mon , D. Francisco la misma gracia que á las demas viudas que se hallan en el mis Vallarino, D. JosefBrodini, D. Juan Ignacio Cervera,…</t>
  </si>
  <si>
    <t>…anta María. que tenga por conveniente el Sr. Capitán reneral nombrado • . También se ha servido S. M. nombrar Ministro residente cer por S. M. ca de los Cantones suizos al Coronel D. Luis Fernando Mon, Art. 7.0 Al Comandante general D. Francisco Plasencia, sus en atención á sus distinguidos méritos, acreditados servicios y Ayudantes y Estado mayor se les franqueará pasaporte y escolta amor á su Real Persona. para ei punto donde lcj¡ convenga hasta que S. M…</t>
  </si>
  <si>
    <t>Monarca, Juan</t>
  </si>
  <si>
    <t>Juan Monarca</t>
  </si>
  <si>
    <t>…ia Al instante que el día i g de Setiembre fue conducido Riego fue arreglando los sucesos hasta disponer que nuestro amado á la Carolina, el Intendente interino de aquella colonia D. Juan Monarca volviese libre á su reino en Marzo de 1814, después Josef Caballero ofició al Mariscal de,Campo D. Juan Courten, de su largo cautiverio, á coronar las heroicas hazañas, y llenar Comandante general de la provincia de la Mancha, dándole no los ardientes votos d…</t>
  </si>
  <si>
    <t>Monarquía, F</t>
  </si>
  <si>
    <t>F Monarquía</t>
  </si>
  <si>
    <t>…ayuntamiento deía 'ciudad de Al faro, en todas ¿pocas fiel ern Anuo vn, al paso que fe guió el putbio español con sus antiguas leyes fundaraentale*_de la 4 su amado So ser.ano ti Sr. D. F Monarquía y fueros particuiares.de.teiuo» y provincias, y vivió licitan á V. A. S- y se felicitan, recíprocamente con todos los tan venturosamente. Espeta esta ciudad que V. A. Sedará el .pueblos que componen esta Monatsptía por la instalación d« ¡ del reino, dan infin…</t>
  </si>
  <si>
    <t>Monarquía, Francisco la</t>
  </si>
  <si>
    <t>Francisco la Monarquía</t>
  </si>
  <si>
    <t>…__Primer ayudante general D. Lino Lavina-----Primer ayu. Don Fernando vu por :a gracia da Dio» y por la Constitución de dante general el coronel del regimiento infantería de Soria D. Francisco la Monarquía española , Rey de las Espinas, a todos los que las pre Figueras.__Otro ídem el coronel D. Antonio Puig, teniente de Rey sentes vieren y entendieren , sabed: Que las Cortes extraoidinarsas de la plaza de Barcelona—Segundo ayudante general el teniente coro han…</t>
  </si>
  <si>
    <t>Monasterio, Alanuel Alegre</t>
  </si>
  <si>
    <t>Alanuel Alegre Monasterio</t>
  </si>
  <si>
    <t>…de Alcaráz , con un egercicip á la barraca del Coll de este nombre; en su consecuencia previne á los cotidiano y oraciones para recibir dignamente los santos sacramento; oficiales D. Alanuel Alegre Monasterio y D. Josef Puig marchasen ¡i car de la penitencia y de la eucaristía: un tomo en 16.0 mayor , adornado garlos con los asistentes que hasta entonces estaban de reserva , lo que se con trece estampas de buen dibujo y grabado , y las mejores que has» egecutó puntualmente, arroj…</t>
  </si>
  <si>
    <t>Monccy</t>
  </si>
  <si>
    <t>…quella época, y el neutralizar el espíritu que reina en España ni la Francia por el camino que el Gobierno francés ha Ja península. elegido __En el diario de Tolosa se dice que el mariscal Monccy ha Si este no tiene ahora por libre á Fernando vu , los españo pedido que se le permita dejar el mando. les tampoco le mirarian en hbeitad si llegase á verseen medio de las bayoneta» francesas. Todos sus actos serian reputados como FRANCIA. sugestiones ele lo…</t>
  </si>
  <si>
    <t>Moncey</t>
  </si>
  <si>
    <t>…o de los trabajadores me estimuló, maniobras. Se esperaba en Perpiñan al duque de Angulema pata el 32, sonriéndose , á que mirase un vidr o de los que había sobre, mi cabeza, y al mariscal Moncey para el ao. Los ultras se quejan en uno Je sus el cual se hallaba hendido poi medio , de suerte que se veian pasar peiiód-cos de la tarde de que la policía pernota se prrsent'i» al público constantemente por él una serie de ampollas de aire. Mientras duró los…</t>
  </si>
  <si>
    <t>…que ya se trata de enviar un cónsul ruso áBuebarest. dependen de Banyuis deis Aspres. El 20 debía llegar á Pcrpiían Se ha d.cho que el ministro ingles en Petcrsburgo ha recibi el mariscal Moncey, y el 22 el duque de Angulema, por cuyo do nuevas instrucciones para presentar una nota relativa á los ne motivo se iban acercando tropas á aquella dudad. gocios de España y Francia; y no se d.ce todavía el resultado so El conde Dijeon habia prestado jurament…</t>
  </si>
  <si>
    <t>…ía sinos, y provocar el poder y rigor de la icy, poniendo ei Go de un genera! y dos edecanes. bierno en Ja necesidad de declarar los distritos en estado ds El 31 del pasado dió el mariscal Moncey á su egército una guerra, y hacer pesar sobre todos Jas duus providencias que la orden del dia, que parecería prematura á quien no entendiera que necesids s y la justicia exigen? ¡ Ah ! qut, hartas pruebas desgra no tanto ia dirigiría í sus soldados, cuanto á…</t>
  </si>
  <si>
    <t>…n del Sr. González Alonso, relativa á los Advierten los periodistas que el 23 de Abril debía entrar por premios que hayan de concederse á las familias de los militares Cataluña el general Moncey, y callan varias particularidades que que mueran en defensa de la patria en esta guerra, y á los que se citan los periódicos ingleses, y entre ellas la siguiente que el Pas inutilicen en ella. tor dispuso una emboscada en una altura cerca de un paso difícil,…</t>
  </si>
  <si>
    <t>…ad que buena fe, ó una ignorancia la mas El segundo cuerpo , después de haberse puesto en comuni soez imaginab c. Otra cosa diremos de la igualdad legal. cación con las tropas del mariscal Moncey en Aeramunr, y no Obligados los hombres por la necesidad de su conservación, siendo ya necesaria su presencia en Cataluña, ha repasado -a ori se han reunido siempre (ó mejor, nunca se han separado) en lla derecha del Ebro, y verificado en este momento su marc…</t>
  </si>
  <si>
    <t>…to por una razón bien sim te: si No ha vuelto á saberse del rebelde Mina después que fue ple , y es que en ningún punto de Portugal me creo tan securo alcanzado y destruido por el mariscal Moncey, aunque se dice de como entre los habitantes de Lisboa,que hace mas de cuatro días un modo vago haberse acogido á Francia con a3 de los suyos, mantienen el sosiego de la ciudad de un modo prodigioso: asi solicitando indulto!!!” Leido esto, ya puede juzgarse l…</t>
  </si>
  <si>
    <t>…jeto cubrir el país de Aragón hasta Lérida. no cree que estará eu la ¡Mancha con 700 hombres Las tropas que han entrado en Cataíuün al man de ambas armas. [ít: continuara.1 do del mariscal Moncey ascienden de i5 á ao 9 hom bres. También se han dividido en tres puntos, con centrándose todas acia lUanrcsa. El general Mina á la cabeza de las valientes tropas de su mando ha po CURTES. dido ir sosteniéndose en posiciones ventajosas; pero en sus últimos par…</t>
  </si>
  <si>
    <t>…. Un nación á resistirse si el pueblo hubiera tenido medios para ello. aviso de esta clase podriaser muy oportuno en las actuales circuns &lt;Se atreverá ná citarnos á Mina ?;Pero el mariscal Moncey se hu tancias, Aunque por otro lado es un engaño manifiesto el creer, biera podido sostener en Cataluña con su pequeño ejército sí la que no habiendo esta expresa prohibición, sea permitido dar ar población de esta provincia hubiera auxiliado las operaciones…</t>
  </si>
  <si>
    <t>…a el Estado, perteneciente de un No seria extraño que los enemigos hiciesen movimiento por mayorazgo que ha heredado , por no haber temado aun posesión haber licuado aver noche el mariscal Moncey á Arcns de Alai de el: y opinaba que las Cortes debían oír el dictamen de la co con alguna fuerza de la guarnición de Gerona y dos cañones de misión de Legislación. Aprobado. batallón. Las Cortes oyeron con particular agrado dos exposiciones, El sugeto que ha…</t>
  </si>
  <si>
    <t>…as oir una noticia mas placentera que la ría, Hostalrich y Barbastro, se han entregado en Villafranca marcha de sir Wilson para Cádiz. Se sabe que este caballero de del Panadés al general Moncey el 6 del corriente, y ya pelean las revoluciones siempre llega á todas partes cuando la cosa se en nuestras filas. acaba. Su presencia es una especie de desenlace, ó por mejor Han desertado de los fuertes de Urgel un porta-estandarte decir el chiflido del pit…</t>
  </si>
  <si>
    <t>…eto yardiente. (Quotidienne.) * premiado los desvelos de este sumo sacerdote, velará por su igle sia, fiándole sin digno sucesor, como debemos pedirle coa ferParte oficial del Sr. mariscal Moncey alExcmo. Sn ministro vór todos los fieles. de la Guerra. . *r ' Exorno. Sr.: Éí enemigo se dirige por Solsona sobre'Tora, Según cartas que hemos visto de Andalucía con fechas de 28 y gene raímente se cree que marcha por Mombtaqc hicia el cam de'. Agosto úitim…</t>
  </si>
  <si>
    <t>…aba de ha para con su tan idolatrado como perseguido Monarca. Repre cer Milans en la alta Cataluña, será la última. sentado este hoy por V. A. S., no duda un momento se digna — El mariscal Moncey se hallaba cerca de Tarragona á la fecba rá acoger bajo su auspicio el fiel homenage que este honrado de la carta que trae los pormenores precedentes. Alilans y Llo vecindario le presenta. Esta villa, Señor, que habiéndola cabido vera se habian establecido ba…</t>
  </si>
  <si>
    <t>…ido muy bien el ejército francés y el generalísimo maestría en maniobrar, cuyo resultado será probablemente el do que lo manda. Poco deben importarles, si su ánimo es asegu que el mariscal Moncey tendrá que abandonar el bloqueo de rarnos instituciones igualmente distantes del despotismo y Barcelona , pues de lo contrario está expuesto á ver cortadas to de a aua'^uía , pues para conseguirlo , siempre que sea das sus comunicaciones. Esperamos con la may…</t>
  </si>
  <si>
    <t>…habian caído en la Corana en poder de los france Cataluña había una suspensión general de-hostilidades ; que S. E/ ses. Algunos diás antes efivió pólvora y balas; pero no se ha el general Moncey había dispuesto aguardar á ver el efecto que vuelto á saber el paradero del buque que Jas conducía: también causaban en los rebeldes las órdenes de S. M. Católica antes de habrá sido presa de los franceses si no se hundió en la mar. Los disponerse á darles el…</t>
  </si>
  <si>
    <t>Mond'za, Francisco</t>
  </si>
  <si>
    <t>Francisco Mond'za</t>
  </si>
  <si>
    <t>…l Congreso; tados desde esta publicación , se presenten por medio de procu pero no podemos menos de admirar las miras profundas y gran- rador ante dicho señor por la escribanía de D. Francisco Mond'za de alma que han .sido necesarias para esperar la situación toya, á decir de su derecho en la demanda instaurada por uno en que nes hemos puesto. El problem a, en una palabra , estaba de ios acreedores para que se le pague su crédito; sin embargó reducidoá emp…</t>
  </si>
  <si>
    <t>Mondedeu</t>
  </si>
  <si>
    <t>…fin las diligencias convenien á que han conseguido este triunfo sobre fuerzas muy superiores tes para sustraerlos del protocolo. en número. Junta general del dia 34 de Mayo. — El coronel Mondedeu , de la división del general Bessieres, Enterada la junta de las diligencias practicadas por los seño derrotó el 18 en Picazo, cerca de Sisante, casi á ia frontera del res síndicos procuradores generales de este Señorío , á consecuen reino de Murcia un destac…</t>
  </si>
  <si>
    <t>Mondedeu, Josef</t>
  </si>
  <si>
    <t>Josef Mondedeu</t>
  </si>
  <si>
    <t>…nspirado á la condesa el pensamiento de desprenderse de del coronel del regimiento de lanceros carabineros del Soberano aquellas rentas en beneficio de SS. MM-, para que en tamaña D. Josef Mondedeu con una columna compuesta de 120 infan adversidad no carezcan de algún consuelo. Al efecto ha dado á tes, que componen la compañía de cazadores, y 100 caballos su administrador ias órdenes mas positivas; pero como pueda del regimiento de su mando. Este valien…</t>
  </si>
  <si>
    <t>Monedero, Josef María</t>
  </si>
  <si>
    <t>Josef María Monedero</t>
  </si>
  <si>
    <t>…con poder bastante á usar de su derecho en los autos que en el misino de dicho Merino qu&gt;&gt; se habían quedado de rezaga; y como viesen una tribunal y por la escribanía de Cámara de D. Josef María Monedero y partida de voluntarios de Moradilio al mando de Ayuso, escondieron Ayala sigue D. Silvestre Collar, como marido de Doña Teresa Fer íes fusiles y retrocedieron: que son ias únicas noticias que hasta ahora nandez Llores, con D. Antonio Gutiérrez Pando y D. Jo…</t>
  </si>
  <si>
    <t>Monet</t>
  </si>
  <si>
    <t>…io día estábamos en el Carmen, distante dos en caso de ser rechazadas, y quedó mandando esta importante re leguas y media de lea , donde se hallaba el general enemigo Don serva el brigadier Monet. Dispuse que Ios-destacamentos de CantaDomingo Tristun con los batallones números t y g del Perú, bria y del Infante siguiesen inmediatamente á los dragones, y quo 1 de Chile , granaderos del Perú , y dependían también de esta dos compañías del primero de est…</t>
  </si>
  <si>
    <t>…Cádiz £ di Setiembre. derarse de la altura que. domina dicho pueblo , y fue escarmen En el Espectador de hoy se ley el artículo siguiente: tado en este ensayo como expresa el Sr. brigadier Monet en su S. Fernando eg de Setiembre. parte níim. 3 : dióse esta acción mientras la división marchaba A Aqui se ha publicado el siguiente edicto. Hamantangua, en cuyo pueblo descansó el 22 y eL 23. • Los alcaldes constitucionales de esta ciudad hacemos saber: Se…</t>
  </si>
  <si>
    <t>…ha manifestado la mas viva gratitud por la aten recha de caballería, y las otras dos de Los batallones de Cantabria ción del Rey de Francia. y Burgos: estas al cargo del digno Sr. brigadier Monet, acompaña No obstante el 16 iba siempre de aumento la debilidad del do de su ayudante el teniente coronel graduado D. Josef Brizuela. augusto enfermo, y se declaraba por diversos síntomas melancó Marché con pausa por el camino real dando t empo al movi licos:…</t>
  </si>
  <si>
    <t>…s de las quebradas de la sierra y arenales se van en Cantabria , mandado por su bizarro comandante D. Antonio contrando dispersos desarmados. Tur, y conducido por el esforzado Sr. brigadier Monet, atravesó Y' por últimodestruida completamente la expedición qus al paso de carga los dos barrancos para atacar el centro del enemigo; tanto decantaban los enemigos con el impropio, pero pomposo el batallón de Burgos marchó á la izquierda de Cantabria á las ó…</t>
  </si>
  <si>
    <t>Monet, Juan Antonio</t>
  </si>
  <si>
    <t>Juan Antonio Monet</t>
  </si>
  <si>
    <t>…trangero que no ofrece mas que escla D. Juan James, oficiales y tropa de su compañía. Los Sres. brigadieres vitud y vilipendio! Lejos de eso, creemos que acordándose de lo que fue D. Juan Antonio Monet, D. Juan Loriga y D. Josef Carratalá, con ron y de lo que son, harán cuantos sacrificios sean imaginables para la fiiuieza y serenidad que les son propias, haciendo siempre mas de conservar la integridad de la Monarquía española constitucional, y para loque e…</t>
  </si>
  <si>
    <t>…cazadores del Infante, mandadas por sus capitanes los bagage y la infantería, mandada por los comandantes de división tenientes coroneles graduados D. Pedro Asnar y D. Pedro Peña, D. Juan Antonio Monet, D. Josef Carrataiá y el gefe del Esta desalojaron con gallardía sobre la marcha. Hice venir el resto do M. G. D. Gerónimo Valdés, marchasen rápidamente á Bede infantería, caballería y artillería que quedaba en Late, y ha llavista por Santa Cruz , abriendo ca…</t>
  </si>
  <si>
    <t>…zan la Europa, y de sus ministros y sata!.tes, el cual el coronel D. Gerónimo Valdés, ios comandantes de división el ha de celebrarse en. V.cua el mes de Octubre Se dice que el es brigadier D. Juan Antonio Monet ; coronel D. Joscf Carra tala, tado que presentan las cosas de España ha inspirado este proyecto. y ia infantería por el camino de los Altos que conduce á ia en Parece que se c.ta para apocar esta nueva reunión de los despotas trada de la quebrada de S. Mateo…</t>
  </si>
  <si>
    <t>…ndo cesar los males que afligen á gefe del E. M. G. D. Gerónimo Valdés, y los Sres. coman Jos pueblos por las partidas que bajo pretexto de oponerse á V. S., dantes de división el brigadier D. Juan Antonio Monet, los co no causan mas que danos y vejaciones á sus pacíficos habitantes, roneles D. Josef Carratalá y D. Juan Loriga, y el particular podr í entenderse con el teniente general Bonnemains, por cuyo mérito que han contraído por sus disposiciones y valor en las…</t>
  </si>
  <si>
    <t>…ara recibirle en las inmediaciones de la isla de Ischia. á retaguardia los batallones de Cantabria y Burgos mandados por Hoy por la mañana ha entrado el Rey eh el puerto de el Sr. brigadier D. Juan Antonio Monet. Llegados á Jejua y Ñipóles , y ha desembarcado después de.un viage feliz en Mono- inedia de iMoquegua me adelanté con el Sr. brigadier Valdés pa siglio , juntamente con la duquesa de Flor id ¡a, donde ha encon ra reconocer el enemigo: este ocupaba una posici…</t>
  </si>
  <si>
    <t>Moniz, Pato</t>
  </si>
  <si>
    <t>Pato Moniz</t>
  </si>
  <si>
    <t>:9°Sr. Pato Moniz manifestó en un jurga discurso que algunos do do de sus consejeros de Estado y afligido profundamente , á con los ministros hablan perdido enteramente Ja confianza publica; secuencia de la indiscreción y desobediencia de su hijo el Inlaute y «¿poniendo las ra…</t>
  </si>
  <si>
    <t>Moñiz, Pato</t>
  </si>
  <si>
    <t>Pato Moñiz</t>
  </si>
  <si>
    <t>…do ser sacado este del seno mismo tadas por la fuerza , y que son insinuarías, ó mas bien exigidas j de las Cortes. imperiosamente por una nación extranjera al frente de las ba El Sr. Pato Moñiz se congratuló de que la comisión hubiese yonetas , y en el mismo momento en que sus tropas han pene coincidíalo con sus ideas, adelantándose á ia indicación que tenia trado , valiéndose de iguales medios, hasta el centro de un pais dispuesta con este ir , con…</t>
  </si>
  <si>
    <t>…boa 31 de Mayo de 18 23. = Antonio Guerreiro;” Los Sres. Derramado v Liberato fueron del parecer del señor Y de mano propia de S. M. se recibió "la contc-stacion si Moura; pero el Sr. Pato Moniz siguió el dictamen del señor guiente : Margiochi, apoyándole con otras nuevas observaciones. &gt;&gt; Autorizo á Guerreiro y á sus colegas para dar las provi Él Sr. Sá Carvalhodijo que sus comitentes le encargaron que dencias que juzguen necesarias en cuanto no man…</t>
  </si>
  <si>
    <t>Moniz, Puto</t>
  </si>
  <si>
    <t>Puto Moniz</t>
  </si>
  <si>
    <t>…la drid un periódico deL tamaño y letra igual, al antiguo diario de capital. aquella capital: surperíluo será advertir el estilo y el giro que si. Volvió á sostener su opinión el Sr. Puto Moniz y el Sr. Ser gue este periodista ; bastará, para conocerlo saber que publica unos pa Machado habló en los términos siguientes: pomposos versos á la entrada del duque de Angulema. Ei Sr. Serpa Machado: La serenidad de mi espíritu, nacida He aqui un rasgo moral…</t>
  </si>
  <si>
    <t>Monnier</t>
  </si>
  <si>
    <t>…ción notable teniente Counok, al sargento Eibourlater, y en el 17.0 al ayu del orden, habiendo tenido la satisfacción de cortar acertada dante mayor Camón ,al capitán Rabandi y al sargento Monnier. mente las cuestiones y los incidentes que me parecía, podían También elogia al capitán Courad , su ayudante de campo, y á alterarla en cualquier sentido. En mi exposición anterior pude los carabineros del 5.0 ligero Boyneau y Mahé, que heridos es indicar á V…</t>
  </si>
  <si>
    <t>Monroy, Beatriz de Astete y</t>
  </si>
  <si>
    <t>Beatriz de Astete y Monroy</t>
  </si>
  <si>
    <t>…mo pasado, se presenten í deducirlo en los cita Medina del Campo con antelación de la tercera situación en ca dos autos; con la prevención de que cumplido se procederá sin beza de Doña Beatriz de Astete y Monroy, viuda de D. Juan mas citación ni emplazamiento á la práctica de las convenientes de Arce yOtaiora. diligencias, parando et perjuicio que hubiere lugar á los no Silabario metódico para facilitar á los nifios el conocicomparecientes. miento de todas las sílaba…</t>
  </si>
  <si>
    <t>Monserrat</t>
  </si>
  <si>
    <t>…on la dad y buena armonía en esta capital de las Españas, digna mo rendición de la plaza sin condición alguna; sin embargo, fue ad rada de nuestros Soberanos. mitido ayer tarde el coronel Monserrat, y no hemos traslucido Si llenáis estos deberes, como es de esperar, sereis la admira el objeto de su venida. ción de todo el orbe, se os preterirá á loa mas esforzados cam Se asegura que antes de la venida de la orden Real habia peones, adquiriréis el mejor…</t>
  </si>
  <si>
    <t>Mont-</t>
  </si>
  <si>
    <t>n6 » La.coiusr.aa de la Izquierda, mandada por el general Mont- « El barón de Eróles por su parte marchó sobre Calaf, donde girdéi reducida ya al i.° ligero y á tres escuadrones de Caballé- sorprendió al enemigo. Este pueblo, según su aviso del dia antería sacados del 6.° de binares, del t8.° y del 23o de cazadores, Ttor,…</t>
  </si>
  <si>
    <t>Montalemberg</t>
  </si>
  <si>
    <t>…para no tan solo en sus propios estados, sino también en todos los cie paliar esta empresa inicua, la desvanecen enteramente las pala rnas de Europa. bras siguientes dichas por el barón Montalemberg en el discur Art. 3.0 «Estando persuadidos de que los principios reli so que pronunció en la Cámara de los Pares en la sesión del 30 giosos son los que pueden todavía contribuir mas poderosamente de Abril con motivo de la discusión de la ley de reemplazo del…</t>
  </si>
  <si>
    <t>Monteagudo, Bernardo</t>
  </si>
  <si>
    <t>Bernardo Monteagudo</t>
  </si>
  <si>
    <t>…de Madrid 24 de Diciembre. ajo duros". La persona que quisiere verle se dirigirá á casa del ciudadano Luque.” (ZVnv-Times.) El Rey nuestro Señor, atendiendo á los dilatados buenos D. Bernardo Monteagudo, que era el año pasado Ministro servicios del Capitán general dé lá Real Armada D. Juan María de Relaciones exteriores de la nueva república d,el Perú, ha per Villavicencio, y á las constantes pruebas de amor y fidelidad que dido su destino, y ha publicado de…</t>
  </si>
  <si>
    <t>Monteiro, Javier</t>
  </si>
  <si>
    <t>Javier Monteiro</t>
  </si>
  <si>
    <t>…Joaquín Ferrer y co pronunciaron largos y elocuentes discursos en apoyo del dictamen „ Amat. de la comisión. De resultas de los avisos anteriores que tenia el Gobierno de babee 81 Sr. Javier Monteiro dijo que .cuando los legisladores hicieron aparecido en Calilla reunidas las facciones de Misas, Masen Antón, el pacto social, tuvieron presente que el antiguo se había rescindido- Carago! y otros, se había ya dispuesto ayer que saliese una columna pero aunqu…</t>
  </si>
  <si>
    <t>…inuó diciendo que la opinión pública pedia la podia admitir acusaciones vagas, y dijo que se presentasen hechos: dimisión de todo el ministerio ; que esta misma era la voz gene el Sr. Javier Monteiro fue "de la misma Opinión, diciendo que ral de la tropat que no verificándose podrían resultar algunos ¡nlas Cortes no deben nunca pedir , sino solamente mandar; y que •convenientes; que al salir de palacio se había dirigido áia secr¿lano pudiendo mandar tampo…</t>
  </si>
  <si>
    <t>Montenegro, A. de</t>
  </si>
  <si>
    <t>A. de Montenegro</t>
  </si>
  <si>
    <t>…de la Monarquía libre y espontáneamente; marcha el primero por su senda , y sosteniendo la Constitución se perteperamos 'a artillería para el sitio, y no llega de modo alguno. El Sr. D. A. de Montenegro, comandante de ingenieros de la nece por consecuencia al partido de S. M., y se sostiene la causa división española, que ha concluido todas las obras que estaban á de laT»Nación española.* . r 11* su cargo , se ha ofrecido á abrir ia trinchera en 18 días-, pe…</t>
  </si>
  <si>
    <t>Montenegro, Antonio</t>
  </si>
  <si>
    <t>Antonio Montenegro</t>
  </si>
  <si>
    <t>…de el principio mientos que he pedido , ios que remitiré a V. E. tan pronto co del bloqueo, y el benemérito teniente coronal del Real cuerpo mo lleguen á mis manos.” de ingenieros D. Antonio Montenegro, de cuyo zelo , valor é En consecuencia S. A- S. ha concedido el grado de subte inteligencia me hallo I3n plenamente satisfecho, no solamente niente al cadete que se cita. rn asta ocasión, sino en todas las que se han ofrecido en lo» cinco meses de bloqueo. E…</t>
  </si>
  <si>
    <t>…ió al rayar eldia 16, ofreciendo un espectáculo gran amencia de nuestro augusto, amado y deseado Soberano. dioso , digno de (a magestad del augusto Monarca y de la Na „ El Coronel D. Antonio Montenegro, Comandante del Real ción belicosa y generosa que presta á la causa del Rey nuestro Cuerpo de Ingenieros, que despacho á V. E., cu consideración Señor y á la pacificación de la España, el auxilio de sus armas debidaá los peligros particularesá que su zelo por…</t>
  </si>
  <si>
    <t>Montenegro, Isidro</t>
  </si>
  <si>
    <t>Isidro Montenegro</t>
  </si>
  <si>
    <t>…nuevo insulto Lisbba á D. Juan Bautista Ardison. Igualmente se ha servido que hacían á su .Rey, le cantaban con insolencia trágala ferro. S. M. .conferir el consulado de Burdeos a D. Isidro Montenegro, Ved los que por último acto de su voluntad sufrema restituyen y el de Gibraltar á D. Juan Rivas. á su Cautivo la plenitud de su poder, le piden perdón y le su plican que capitule con los franceses victoriosos. A la verdad 1 Carmena 23 de Octubre.oue las revo…</t>
  </si>
  <si>
    <t>Montero, Josef</t>
  </si>
  <si>
    <t>Josef Montero</t>
  </si>
  <si>
    <t>…de sus atribuciones sin haber llegado vincia ; del Sr. marques de Valladares, diputado de la provin el caso que previene la constitución, ni haber observado ningu cia de Vigo; de D. Josef Montero, diputado por la provincia na de las fórmulas establecidas en el reglamento y en los decre de la Coruña, y de D. Francisco Andrés Alvarez, diputado tos, he recibido continuas diputaciones de los gefes y oficiales por esta. de la segunda y tercera división, en…</t>
  </si>
  <si>
    <t>Montero, Tomas</t>
  </si>
  <si>
    <t>Tomas Montero</t>
  </si>
  <si>
    <t>…V. A. S. Noticias de las fronteras de Francia. Por la villa de Herencia sus comisionados Josef Díaz Pavón, El día 7 á las 6 de la mañana desocupó Mina con sus tro cura párroco.=El coronel Tomas Montero. == El regidor Juan pas los pueblos de Oseja, Paliau, Age y Sasperdum, y se diri Henriquez.=Vícente Enriqu.z Perca.” gió por las montañas sobre Cardona, siendo perseguido en esta Al Sa mo. Sr. Duque de Angulema. dirección mas de dos horas por dos compañías fr…</t>
  </si>
  <si>
    <t>Montes</t>
  </si>
  <si>
    <t>…ente. Burgos en los años de 1818 y 1819, igualmente que los de Enero t 8 de Abril de 1823.” Mayo que no se hallen en lámina de 1822 , seguirán presentán Sexto distrito militar. El brigadier Montes comunica el dolos para ponerles una nota que indique el dia en que acudie parte siguiente: ron, para que al tiempo de su renovación se les consideren los in 1, Excmo Sr.: Noticioso que la facción de Capapé intentaba tereses respectivos. Y entre tanto que las…</t>
  </si>
  <si>
    <t>Montes, Felipe</t>
  </si>
  <si>
    <t>Felipe Montes</t>
  </si>
  <si>
    <t>…que dicta la humanidad en favor de su des los egércitos de operaciones de ios distritos 6 0 y 7- i°3 brigadieres gracia é indigencia. También he dado las mas activas disposiciones D. Felipe Montes , D- Josef Manso , D. Antonio Roten y D. Maria para que inmediatamente queden enterrados los cadáveres. En los fuer no Zorraquin , el primero gefe de estado mayor del segundo egército tes ss están recibiendo los inventarios, que pasaré 3 manos de V. E de oper…</t>
  </si>
  <si>
    <t>…por ¡a ds Cubi, D- Manuel Llórente por D. l'cdro González de Menclmca----F»tado mayor : gefe de estado ma. la de Galicia , D. Dominjo Eulogio de la Torre par la da Vizcaya, yor el brigadier D. Felipe Montes. — Frimer ayudante general y y D. Francisco de Paula ce Seria por la de Granada.” segundo gefe del estado mayor, el coronel D. Josef Sánchez Boafo oficial jubilado de la secretaría dei Despacho de la Gobernación de lí El R-y ha expedido el decreto siguientr :…</t>
  </si>
  <si>
    <t>…asi á V. E. para que lo eleve ai superior conoc m’cnco de ble. Marché pues el día 15 , acompañado del mariscal de campo.. S. M. Dios guarda á V. E. muchos años.=Cuartel genera! de D. Felipe Montes, gefe de1 estado mayor general de este ejército, Alcira 18 de Mayo de 1823.— Excmo. Sr.=Frar.císco Balleste y comandante general de la primera división de infantería, y de ros. — Excmo. Sr. secretario de Estada y del Despacho de la los ayudantes generales del…</t>
  </si>
  <si>
    <t>Monteser, Josefa</t>
  </si>
  <si>
    <t>Josefa Monteser</t>
  </si>
  <si>
    <t>…alquier de D. Juan de Gauna , de 133,898 mrs ; y últimamente otro situadestino que exija un sugeto de patriotismo y firmeza ¿ toda prueba, do en millones de Sevii’c., en cabeza de Doña Josefa Monteser, decon las demas apreciabics cualidades que reúne Topete. 122,400 mrs. Se iuplic3 á la persona que tenga noticia de los expresa dos privilegios se sirva avisarlo eu la casa del mismo Sr. conde que vi El Rey , i propuesta del consejo de Estado, se ha servido n…</t>
  </si>
  <si>
    <t>Montesinos</t>
  </si>
  <si>
    <t>…cual , pasado dicho término, no se admitir* tu instanCuenca. Del tribunal especial de Guerra y Marina. cia , i no ser en queja de qu: se le niega ó retarda indebidamente aquel El Sr. Montesinos leyó una exposición sobre lo mismo de la mili- documento.” Previa una breve discusión , quedó aprobado este artículo.cía nacional voluntaria de Badajoz. El Sr. Becerra leyó otra del cuerpo de inválidos de Madrid. Art. 21. » Sí la diputación provincial hallase…</t>
  </si>
  <si>
    <t>…andante y de los oficiales de la tropa el cuidar de que no nos mili ares residentes en aquella ciudad , y cura del Arroyo, presen beyi 2r.~tto en esta circunstancia.” tadas por ci Sr. Montesinos. Después de una ligera discusión quedó aprobado , poniéndose des Ei colegio de S. Bartolomé y Santiago de Granada, por el sefiot pués de Ja palabra trepa las siguientes , de marina. Infante. Art. 7.0 » En los arsenales se aplicará este castiga por providencia…</t>
  </si>
  <si>
    <t>…no puedo menos de repetir í0 Del ayuntamiento y milicia nacional voluntaria de Navas del Ma que dije ayer; á saber: que no seria otro el resultado de la cobranza en droño , por el Sr. Montesinos. frutos que el de aumentar la morosidad en el pago de contribuciones Del ayuntamiento de Vigo, diputación provincia’ y comandante y ademas ocasiona otro inconveniente grave, cual e» el de hacer de* militar de aquella provincia, y de la diputación provincial d…</t>
  </si>
  <si>
    <t>í MÍ: d: la de amb’i armas de Alburquerqus en la provincia de Badajoz, por En Algeciras......... .................................-................. 1 t el Sr. Montesinos. En Ceuta...................................... 1 1 Del ayuntamiento constitucional de Tarragona, por el Sr. Sepilen. En Sevilla............................... ........................... -....... 1 r Del administrador principal de correos de Cicerei y de la…</t>
  </si>
  <si>
    <t>…Becerra , Tomas, nas agregadas á la embajada inglesa. Adan , Pedralvez, Falcó, Cano, Tejeiro, Scptien, Lapuetta, Caías y Esta observación recuerda otra circunstancia, y es que el ministro Montesinos; y en pro los Sres. Ferrer (D. Joaquín), Muifi y Mén de Inglaterra en Madrid asistió, acompañado de los principales em dez. Los Sres. Arguelles , Marau , Saavcdra , Calderón , Alonso y Valpleados de su legación, á la sesión de Cortes del 9 de este mes , en la…</t>
  </si>
  <si>
    <t>…otas , patentizando en segu.da á sus habitantes el insulto que recibía el de cunstancias de cada uno. coro nacional con tan insolentes y desusadas producciones, en el mismo dia El Sr. Montesinos: La solicitud de los oficiales de* Guardias se reduc» te le presentaron yo facciosos armados á pedir el indulto. á dos cosas: primera á que se fije su suerte: segunda d que se les coloque. » Hay varios pueblos en que se han fot mado de los mismos faccioso* Au…</t>
  </si>
  <si>
    <t>…Sres. diputados podrán hacer las preguntas que blo español viese cuáles eran los sentimientos de sus diputados en gusten. la expresión de los del Sr. presidente. Asi se acordó. El Sr. Montesinos: Nos hallamos ya en el caso de estar inva A la comisión segunda de Hacienda se mandó pasar un ex dido parte de-nuestro territorio por un ejército extranjero , según pediente promovido por los relatores y escribanos de cámara del las moticias oficiales que nos…</t>
  </si>
  <si>
    <t>…r. González Alonso: Creo que hemos perdido una por Se leyó dicho decreto á petición de algunos señores diputados. ción de tiempo en este asunto por no habernos enterado bien dé El Sr. Montesinos dijo que en su opinión debia el Gobierno el. Por un decreto de las Cortes se previene que de todo de haber remitido á las Cortes aL tiempo que lo ha hecho de este creto remita el Gobierno dos ejemplares á las Cortes para archi decreto, los documentos en cuya…</t>
  </si>
  <si>
    <t>St claró que las Cortes la habían oído cón particular agrado, y que E! Sr. Montesinos: Este proyecto de decreto á mi modo de se insertase íntegra en el diario de sus sesiones. ver estriba únicamente en el concepto de que la causa de la de— Se hizo la segunda lectura de las dos proposiciones de! Sr. Bu- «erc.on son los pueblos ó los ayuntamient…</t>
  </si>
  <si>
    <t>…el corriente haberse descu - Habiéndose presentado en el Congreso los Sres. secretarios bierto el horroroso atentado de entregar á los serviles aquel cas del Despacho, preguntó el Sr. Montesinos si tenían noticias de tillo, y que el comandante de la milicia activa de Toro que lo la proclama publicada por el Sr. duque de Angulema, relativa guarnece se halla preso sin saber la causa. á la invasión. Zaragoza 19 de Abril. El Sr. secretario de Estado :E1…</t>
  </si>
  <si>
    <t>…tan su separación , sutraán dos Fuerte, que los individuos de la comisión no han podido menos meses de arresto. de convenir en que el art.4.“ no "estábil conforme con la Consti El Sr. Montesinos impugnó este artículo , porque la pena era tución ; mas yo no hubiera querido oir del Sr. preopinante que en demasiado leve cu el concepto de que fuesen ios oficiales ios las actuales circunstancias no deb:a hacerse gran mérito de la culpables. Constitución:…</t>
  </si>
  <si>
    <t>Montesinos, Manuel</t>
  </si>
  <si>
    <t>Manuel Montesinos</t>
  </si>
  <si>
    <t>…día 12 el gefe Realista D. Ramón Chambo se apode artillería el coronel D. Antonio Buk; al comandante de la ciu ró del castillo de Tortosa; y espera en pocos días hacerse dueño dad D. Manuel Montesinos; al teniente de Rey D. Manuel de toda (a plaza. Esto ha sido de la mayor importancia pan Vidal, y á D. Antonio Urillas, gefe de batallón , comandante nuestras relaciones con Cataluña. de las tropas. » Cuartel general de Madrid 18 de Junio de i8ig.=:Por or » E…</t>
  </si>
  <si>
    <t>Montesinos, Paula Maiía</t>
  </si>
  <si>
    <t>Paula Maiía Montesinos</t>
  </si>
  <si>
    <t>…de su independencia. Asi pues ¡os exposiciones, una del payador de! mismo ramo , consultar-do va que imaginaban aterra nos solo consiguen encender mas y mas rias dudas; y rtra de Doña Paula Maiía Montesinos, solicitando este fuego sagrado, que en todos tiempos hizo de los españoles los se le conceda la viudedad que la corresponde por el destino que mas dignos de la admiración y de la gloria. obtenía su difunto marido. En la revista pasada el domingo 20 por el ci…</t>
  </si>
  <si>
    <t>Montey</t>
  </si>
  <si>
    <t>…ablecer en seguida otras nuevas/El.'teh.ente gdneral » Tengó'el honor de itr: &amp;c/ Igualada 26 de Julio 1S13. 3 Sarsfiel, que está con nosotros, se ha servido tomír sobre sí es- El mariscal Montey.* ’ *v t; cargo. ‘r /’ __b. M. continúa gozando de la mejor salud. :y. » Mientras que las tropas tomaban las convenientes posicio Mr. Cmief VíWcboifV&amp;a'tenido el honor de presentarle los nes militares se enviaron descubiertas , las "cuales hallaron Jas dos-pr…</t>
  </si>
  <si>
    <t>Montgardé</t>
  </si>
  <si>
    <t>…e cazadores estaba»! retaguardiade,esta linea. ólo. Kl general Birge y la brigada Aehard siguieron la misma La reserva consistía en dos barbones del 3.0 de línea del dirección. El general Montgardé marchó con su división por el general Taulin. , camino real. El resultado de la acción fue desalojar al enemigo ■ El ataque'fue muy decidido tn. todos los puntos; pero el de todas sus posiciones, persiguiéndolo hasta tiro de fusil de sus «Ufínigo-fue recibido…</t>
  </si>
  <si>
    <t>Montgarde</t>
  </si>
  <si>
    <t>…s naves, y anclaron fuera de tiro de cañón. Antes de salir de Igualada había tenido cuidado el mariscal de »&gt; Los realistas hallaron la ciudad nniy destruida y saqueada. enviar al general Montgarde á apostarse en Viiiafranca del Fa Las tropas columbinas se replegaban sobre rio del Hacha. Los rades con el objeto de prevenir los movimientos que podría ha republicanos que hablan ocupado la ciudad el 16 , 17 y 18 se re cer el enemigo por la carretera que va…</t>
  </si>
  <si>
    <t>Monti-</t>
  </si>
  <si>
    <t>…no sean producidas por ia expansión del gas en lo .ut ror de la de J.íuregui; en Calatayud en casa de D. Mariano Lázaro; en Tala materia de que se componen. F.n el g. lr nete del caballero Monti- razona en la de D. Santos Fontana; en Soria en la de D. Rafael de la celli hay un globo semejante i los indicado» , el cual es hueco, y Orden : su precio es «1 mismo que en Madrid. EN LA IMPRENTA NACIONAL.</t>
  </si>
  <si>
    <t>Monticelli</t>
  </si>
  <si>
    <t>…en el ciorai de la ciudad de Cádiz D. Manuel María Fernandez denunció en parage mismo donde se formaron. 19 del corriente un artículo del Constitucional de Cádiz , núm. 56, del hl caballero Monticelli reunió también las muestras siguientes, pro 35 de Febrero último, que empieza: •&gt; S. E. el bajá irritado «Scc.por ducidas en esta erupción: incitador a la desobediencia i y reunido el jurado, compuesto de los se i.° Sulfate de hierro de color amarillo con gra…</t>
  </si>
  <si>
    <t>Montmorenci</t>
  </si>
  <si>
    <t>…o morosidad y co España. Esta pretensión, si acaso es cierta, viene muy mal de bardía ; lo cierto es que teniendo fuerzas ¡guales á las de .Vi na, parte de la Francia, habiendo el duque Montmorenci desechado nada ha hecho en comparación de este general, sino ceder el con tanta altanería la mediación que se le ofreció por medio del campo á los enemigos en una retirada de 140 leguas. duque de VVellington. Entonces contestó, «que la situación de El Empecin…</t>
  </si>
  <si>
    <t>Monto-, Juan</t>
  </si>
  <si>
    <t>Juan Monto-</t>
  </si>
  <si>
    <t>…ederle la gratu'tu construcción de too camisas para se publicó en Cádiz r! afio d; 18:1, mereció 1a aceptación general, los dignos reemplazos , defensores de nuestras libertades." D. Juan Monto- hasta el punto de que en el periódico militar del estado mayor general, to y Garza ofrece á la misma diputación el donativo de cien camisas. núm ir, del jueves 19 de Marzo de aquel año en la página i85 se dije se &gt; „Acaba de publicarse ua tomo en 8.° que comp…</t>
  </si>
  <si>
    <t>Montóla</t>
  </si>
  <si>
    <t>…romará en el año ai.” ARTICULO DE OFICIO. Sm duda que los soldados que se dispersan sin batirse serán los garantes Parte oficial ¿e la derrota d*l ejército colombiano al mando del general Montóla. (1) D. Fernando del Mazo, dueño de esta opulenta hacienda, se Egército nacional de Venezuela =&gt;« A las 11 del día de ayer , i haba emigrado -n esta cort: por rao haber desmentido jamas sus senti mientos de fidelidad á la Nación española. Kl conde de Moutjuur…</t>
  </si>
  <si>
    <t>Montoya, Angel</t>
  </si>
  <si>
    <t>Angel Montoya</t>
  </si>
  <si>
    <t>…y consultando sobre si las Igualmente se aprobó el de la misma cojnision para que no causas formadas por ultrajes á la lápida de la Constitución están se acceda á la solicitud de D. Angel Montoya , hecha para que comprendidas en el decreto que se dió sobre visita de los tri se Je perdone cierta cantidad que debe al erario, ó se le. conceda bunales. morotaria. Se leyó y halló conforme con lo aprobado Ja minuta de de También se aprobó el de la misma com…</t>
  </si>
  <si>
    <t>Montoya, Francisco</t>
  </si>
  <si>
    <t>Francisco Montoya</t>
  </si>
  <si>
    <t>…razón Lunes...................... 3 Bailen. •n la escribanía de provincia que despacha por habilitación Martes™...................l.„.................................. 4 Carolina. D. Francisco Montoya, por donde se presentarán las posturas Miércoles...................... 5 Santa Crut» que se hagan. Jueves...................................... 6 Valdepeñas. Se halla vacante el partido de médico de la villa de VillaViernes. ..................................…</t>
  </si>
  <si>
    <t>Montuvo</t>
  </si>
  <si>
    <t>…dentro di? fuerzas reunidas ascenderán a ur.os hombres, y sus movi poco tiempo renovarse las antiguas relaciones comerciales que mientos dependen de las ordenes Ulteriores del Sr. mariscal Montuvo siempre este departamento con ia hspana, y íu-ron inter cey. Ayer se decía en Puigcerda que el vizconde de Donnarumpidas en la época que las coi tes ia ataron á su yugo. dieu debía llegar de un momento á otto, y todo indica que el Mont Louis lü de Junio. últi…</t>
  </si>
  <si>
    <t>Moodejar, Josef Segundo</t>
  </si>
  <si>
    <t>Josef Segundo Moodejar</t>
  </si>
  <si>
    <t>…Eneio y 8 de Febrero últimos, que tratan ds D. Martin de Navas. £&gt;. Sandalio Arias. la formación de la milicia nacional activa y del segundo reemplazo D. Isidoro Franees Cabañas. D. Josef Segundo Moodejar. extraordinario del egército, ha tomado todas las disposiciones conve D. Juan Paz. D. Josef Escarano. nientes para que uno y otro servicio se verifique con ia brevedad que D. Manuel Ledesma. D. Tonbio Roldan. exige su importancia; y sin embargo de las dificul…</t>
  </si>
  <si>
    <t>Mopcey</t>
  </si>
  <si>
    <t>…seguri dad individual, sin, suponer que aun.les quedan recursos en lot Torredembarra xS dt ¿fjrosio. cuglcs,confian; pesó nosotros no podemos participar de esta con- Ayer llegó el mariscal Mopcey con dos compañías ds infanfi?ozc según las últimas noticias que hemos recibido..(A/orwiHj- tetía a Vals, donde esubap reunidas la brigada Tromelin j lItrald, ptriédico libcraL) iaa tropas del barca de-Eróles., . ■ „ . En Torre.dembárra: quedó el.barón de Berg…</t>
  </si>
  <si>
    <t>MOQCF.GUA, Francisco Maria BATALLA DE</t>
  </si>
  <si>
    <t>Francisco Maria BATALLA DE MOQCF.GUA</t>
  </si>
  <si>
    <t>…y oficiales agregados al E. M. de la división de su mando co ronel D. Pedro Rolando, capitanes D. Domingo Espinos.-?, NOTICIAS DE ULTRAMAR. D. Tiburcio Ortega, el adicto al E. M. D. Francisco Maria BATALLA DE MOQCF.GUA. Valle, y el teniente D. Josef Carrillo, quienes se ocuparon Parte Je! .SV. centra: en gefe. dignamente en su deber durante la acción , condujo sus tropas Excmo. Sr.: En el parte de la brillante victoria de Torata como acostumbra , y no obstante las dificulta…</t>
  </si>
  <si>
    <t>Mor, Santiago Usoz y</t>
  </si>
  <si>
    <t>Santiago Usoz y Mor</t>
  </si>
  <si>
    <t>…la Península para los puertos de Ultramar, i Gaceta sula hasta la llegada del propietario D. Josef María Calalrava. del J7 ) (Gaceta de’ 7.) Guerra. Decreto de S. M. habilitando á D. Santiago Usoz y Mor,- pa Decreto de S. M. para proporcionar á las familias de los cera el Despacho del ministerio de Estado. (Ga.ei.i dei y.') fes y oficiales que estén en campaña, el alivio de percibir en ¡os Olro ídem habilitando á D. Pedro Urquinaona para el Despa pa¡a_ts en…</t>
  </si>
  <si>
    <t>Mor.t'</t>
  </si>
  <si>
    <t>…tos medios son imaginables no procuran extirparlo de raíz, ú Se levo y quedó aprobada el acta de- la anterior. i lo menos contener sus progresos. La creación de esta.especie de El Sr. Mor.t'&gt;.nos presentí&gt; y levo des exposic cines , una de compañías , compuestas de hombres de confianza, nos parece uno D. Jacinto Mirar,da, oficial Ktirado, v que en ¡a actualidad ob de los medios mas oportunos para remediar este daño, y ojalá tiene un desuno con el…</t>
  </si>
  <si>
    <t>Mora</t>
  </si>
  <si>
    <t>…n el NOTICIAS DE ESPAÑA.contenido de este papelucho , cuya lectura es insufrible ; y para refutar los absurdos y mentiras de que se compone , respondere Madrid aó de Junio. mos al Sr. Mora, que cosorros acostumbramos por hábito á El brigadier D. Santos Ladrón da parte al Sr. capEító geiWguiar dos mas por los hechos que por las opiniones , y á creer ral de Aragón desde Tamarite con fecha del ib , de la gloriosa mejor los acontecimientos que las…</t>
  </si>
  <si>
    <t>Mora, Benito</t>
  </si>
  <si>
    <t>Benito Mora</t>
  </si>
  <si>
    <t>…servicios, » Igualmente d.-bo hacer presente á V. E- qu- ¡3 milicia voluntaria jactándose de ello en la época del peligro: no de ocuparnos en alabar de caballería , al mando de su comandante D. Benito Mora , sin em las virtudes y hazañas de nuestros antepasados, sino de imitarlos, pre bargo de no haber podido llegar á ¡o fuerte de la acción, me ha servido sentando al coloso extrangero un frente inmutable en todos sus ataques, de mucha utilidad en las patrullas…</t>
  </si>
  <si>
    <t>Moraieda, Valdomero</t>
  </si>
  <si>
    <t>Valdomero Moraieda</t>
  </si>
  <si>
    <t>…todas las. de ellos en el juzgado de primera instanc.a de1 Sr. D. Ramón de Argos épocas y en todas las naciones la observancia de la subordinación y dis y escribanía cartu.aria de D. Valdomero Moraieda por D. Tomas da ciplina coinciden con la prosperidad de le; imperios, y la relajación y Velasco , como heredero de Doña María Matea Ruiz , para que con abandono ds ias uoas con la decadencia y ruina de los otros. forme á lo prevenido en 1a Constitución de la…</t>
  </si>
  <si>
    <t>Moraies</t>
  </si>
  <si>
    <t>…erminarnos al recurso mas del Angel. propio de su pérfida índole, cual r.s el de la mina. En efecto, El tercer regimiento de artillería nacional estaba formado sabedores de que el general Moraies y ios valientes con quie con la fuerza proporcionada en la Cruz de la Cerrajería y calle nes iba en busca de Urdaueta d.b¿an pernoctar en Estanques, de la Sierpe. le prepararon una en aquella hacienda; la cual no tuvo efecto, El primer batallón de la milicia…</t>
  </si>
  <si>
    <t>Moral, Antonio Díaz del</t>
  </si>
  <si>
    <t>Antonio Díaz del Moral</t>
  </si>
  <si>
    <t>…r.11a a D. llur -- R— may; y que mientras elegía p-.rsona que desempe.vasc el :v&gt; m,te....» O. a CORTES. Gobernación de Ultramar ti aba nombrado ir.í.-r.num.vte pira el m.»:::.i á D. Antonio Díaz del Moral. luis Cortes qucoavor crural.;-. rofSJDENCIA DEL SEKOR FLORES CALDERON. Se mandó pasar á la comisión primera de ilicitud., un ■-vped ; t Sesión de 1 2. mitido por el Sr. secretario del mismo Despach.o sobre abono a . ' ■ bi Se leyeron las actas de Ja instalac…</t>
  </si>
  <si>
    <t>Moral, Antonio Diaz del</t>
  </si>
  <si>
    <t>Antonio Diaz del Moral</t>
  </si>
  <si>
    <t>…0 muertos, se han Flcrcz Estrada para la secretaría de Estado; para la de la Gobernación de hecho algunos prisioneros, y llevan muchos heridos: por nuestra parte ha la Península á D. Antonio Diaz del Moral ; para la de Gracia y Justicia hahido poquísimas desgracias, que manifestaré cuando, pueda dar mas de á D. Josef Zorraquin; para la de Hacienda á D. Lorenzo Calvo de Ro talles. Según noticias siguen en Vanearlo, y tratan de volver en esta zas; para la de Guer…</t>
  </si>
  <si>
    <t>…s. siguientes: dos el Sr. Cano. D. Juan Antonio López, D. Vicente Segurado, D. Zoilo Gómez En 17.0 el Sr. González Aguirre por 79 votos, habiendo tenido uno Casero , D. Juan Paz , D. Antonio Diaz del Moral, D. Francisco Cocada uno de los Sres. Valdés, Bustos y Cano. Jombo, D. Juan Manuel de Aréjula, D. Casimiro Martin, D. Joaquín En la r8d votación quedó electo el Sr. Romero por 85 votos, ha Manrique y Manrique. biendo tenido uno el Sr. Isturiz. Habida la confe…</t>
  </si>
  <si>
    <t>…s, que aunque no hayan servido, sean acree directiva de dicho establecimiento para proveer la vacante qua resulta dores por sus tiientos y mérito sobresaliente. por la renuncia de D. Antonio Díaz del Moral. capitulo 11. A la ’Ecleiiástioeruna exposición de D. Juan Cenáis, apoderado da Art. 5.a » Para los ascensos en este cuerpo, calificación de hojts la villa de Reut, sobre el destino que debe darse á un edificio que los de servicio y propuestas se observará lo…</t>
  </si>
  <si>
    <t>…la nuestra. Se dio orden á nuestras misión hecha del cargo de comisionado especial del Crédito público guerrillas de irse reconcentrando , y se pensó en atraer al enemigo á ia por D. Antonio Díaz del Moral , era de opinión que las Cortes pro población ; pero no se pudo conseguir esto , porque sin duda el enemigo cediesen á la elección de comisionado del Crédito público. Aprobado. penetró nuestra intención, y se contentó con enviar dos emisarios, uno Se aprobó u…</t>
  </si>
  <si>
    <t>Moral, Salvador del</t>
  </si>
  <si>
    <t>Salvador del Moral</t>
  </si>
  <si>
    <t>…misión de Dionisio), Escudero, Buey, Alvarez Gutiérrez , Becerra, Vá rela, Meca , Isturiz , Grases , Abreu , Zulueta, Ruiz de la Ve Crédito público. . . Uno sobre la exposición de D. Salvador del Moral, solici ga , Saavedra , Oliver , Salvato , Garoz , Atier.za , A guiñe , tando se dé por nula la capitalización que hizo de su haber , y se Santafe, "Nudez (D. Tor.bio), Pacheco, Munarn'z, Jencr. le restituya al goce de los 200 rs. que mensualmente disfrutaba;…</t>
  </si>
  <si>
    <t>Moraleda, Valdomero</t>
  </si>
  <si>
    <t>Valdomero Moraleda</t>
  </si>
  <si>
    <t>….......28. cias del Monte pió de criados distinguidos de la grandeza de Es 4. a en 5 de Abril..................................................... 28. paña, y por la escribanía de D. Valdomero Moraleda, se llama 5. a en 3 de Mayo................................................ 28. á todos los interesados en dicho Monte pió, para que en el tér 6.a en 3 r del mismo................................................28. mino preciso de 30 dias, contados desde el 1…</t>
  </si>
  <si>
    <t>Morales</t>
  </si>
  <si>
    <t>…s presentes y de la mayor decisión y ardimiento por descubrirle y llegar á las manos. posteridad. Efectivamente se le avistó como á la mitad del dia en número de La expedición del general Morales á Maracaíbo es una de aquellas X200 infantes y fio caballos, situada su retaguardia en un bosque ele empresas que demuestran toda la constancia y valor de que son capa vado y espeso , su derecha apoyada en la ceja del mismo bosque, y &lt;u ces las tropas español…</t>
  </si>
  <si>
    <t>…la Cetdaña. Idem 14. Hemos recibido las siguientes noticias de Ultramar: NOTICIAS DE ESPAÑA. Maracaibo Octubre 8 de 1803. El 7 por la mañana entró en esta Pamplona 8 de Enero. el general Morales, y sin pérdida de tiempo embarcó parte de su tropa, El &gt;J:í i.° del corriente , hallándose una lucida concurrencia del y en breves dias se apoderó de la laguna, haciéndolo cambien de todos vecindario de Pamplona en el baile de máscaras, el gefe político llamó…</t>
  </si>
  <si>
    <t>…mo la de los 100 diar de Francia; Las noticias de Gibraltar del 3 d* Febrero dic*n lo siguiente : que la primera restauración acaeció ¿n el mes de Mayo ; y todo pro Se sebe que el general Morales devmvió aos buques americanos de nostica que la segitnda acaecerá en el mes de Julio.” los cogidos en Maracmbo, imponiéndoles la condición de transportar Los periódicos publican ya las notas de la santaalianza á la España, varios individuos que tenia arrestad…</t>
  </si>
  <si>
    <t>…ue aspira á esclavizar bién había llegado ds oficio a dicha isla la conquista de Rio Hacha y el mundo? ¡Sobre esta clase de noticias se han fundado sin duda las de Coro: que dicho general Morales se dirigía á Caracas, de donde dis decisiones de los diplomáticos del dial taba 10 dias de camino , por cuya causa emigraban muchas tamil,as Se ha publicado la siguiente lista de los oficiales generales nom de Ja Guaira: que en esta provine a arriaban aranas…</t>
  </si>
  <si>
    <t>…cualquiera transacion. de la mañana del 13 de Noviembre, y á las 1 a ya era decisira la vic- Es pues preciso que atendamos no solo á poner ea pie una fuerza tnna conseguida por el general Morales , el cual hizo 800 ptisioneros, respetable, sinoú buscar los medios de sostenerla. Ea los gastos cor entre los qu- habla 36 oficiales, y cogió 1 roo fusiles , bagajes, muni rientes tenemos un gran déficit ; luego no debemos esperar estos auxi ciones &amp;c. Monti…</t>
  </si>
  <si>
    <t>…de la Petrrmiz, presos de Alaracaibo hasta el 20, que llevó á aquel puerto la goleta espa en el que de Re-.i orden partic paba á las Cates que aeced éneo S. V.. 1 ñola Juanita. El general Morales se preparaba para ir á Caracas, prome las repetidas instjnc.as de lo, actuales secretarios del De,pac.-o pea qu. ..s tiéndose reconquistar las dos provincias sin mucho esfuerzo , en razón que exonerase de este encargo, hab a tenido á bien a-ccd.r _ &gt;u» .t sus…</t>
  </si>
  <si>
    <t>…enemigos muchos muertos y heridos, hacerle 600 prisioneros, tisfacción de los habitantes de esa provincia. Dios guarde á V. E. mu y perder todos los bagages.y municiones. Ei 14 el general Morales se chos años. Bailen 31 de Marzo de 1823.= Gaseo.” puso en movimiento con.gfD hombres , y se cree que nada se le oponga Dirección general de papel sellado y penas de Cámara. en su marcha. Trujólo ha gritado vha ti Rey constitucienial.” Uno de los principales…</t>
  </si>
  <si>
    <t>…ios fran* Antillas.__Santomas 27 de Diciembre. Ayer fondeó aquí ceses 9i entran : á esta gente del bronce no le gustan políticas. un buque de Maracaibo; trae la noticia de que el Sr. Morales Los lanceros no alcanzaron á la caballería de Merino y Cuesalió con su división; que el 4 de este mes se hallaba en Caro villas y se volvieron desde Treviana, y aquel dia anduvo la ca ta: que el padre Torrellas abandonó á Coro , y cometió infini ballería facciosa…</t>
  </si>
  <si>
    <t>…enemigos ocultos para sublevarla y paralizar la ro último, de los cuales se deduce que la pericia y actividad dd acción del Gobierno,se ha llevado á debido efecto días há el últi general Morales han desconcertado los planes de los rebeldes, que mo reemplazo del ejército; y el comandante general tiene ya en s? proponían nada menos que circunvalar y reducir las trepas ¡sa su poder Ja cantidad correspondiente para el vestuario y arma les al extremo de r…</t>
  </si>
  <si>
    <t>…el Emperador y se sar de cuanto hemos oido, dice un periodista anclo-americano, pararlo de la senda constitucional.__En el del 6 se copian dos respecto de la crítica situación del general Morales, sabemos por oficos del mismo general, que se titula del ejército nacional, al noiicías de Caracas, que alcanzan hasta 17 de Enero, que se dis brigadier D. Antonio López Santa Ana, noticiándole haberes ponía á abrir -on nuevo rigo,r la campaña contra los repu…</t>
  </si>
  <si>
    <t>…os al general Ballesteros de cer creer que por acá todos aman la independencia, y están re vuelta de Vitoria nos hallamos con que pasó a una legua de sueltos á ser colombianos. £1 general Morales acaba d: recorrer esta ciudad ("-vitando todo obsequio. Nos ha sido muy sensible las provincias de Trujillo y Mérida, cuya pob’acion exc d - de porque cada dia se hace S. E. mas digno del aprecio de ios pue almas, y fue tal el entus-asmo de ¡as ciudad-s, vi l…</t>
  </si>
  <si>
    <t>…s al conocimiento de _ Según carta de la Guaira ¿e 4 dé Febrero, inserta pn papel los juzgadas ordinarios. Estos artículos quedaron aprobados, ríde Nucva-Yórck del 10 dp Marzo, el general Morales sé ^aaíla- ’ tirando la comisicn la parte del i.° que empieza cuya autoridad. ba en una situación muy apuradaéntre Alta-Gracia y Córp por El Sr. ministro de Estado teyó la memoria perteneciente i haberse adherido i los republicanos las tropas que dejó en este…</t>
  </si>
  <si>
    <t>…e varios puntos de comercio. vincias de Coro y Maracaibo, que estaban bien guarnecidas, se A la comisión de Código de procedimientos militares se pa disfrutaba tranquilidad---- El general Morales se hallaba en pací só un oficio del Sr.,secretario del Despacho de la Guerra, ma fica posesión de las de Trujillo y Mérida, en cuyas inmediacio nifestando que habiendo sido agregado á la expresada coiné, ion nes batió á las tropas columbianas del mando de Urd…</t>
  </si>
  <si>
    <t>…de Upar se han sublevado contra los disiden cuiente para custodia de la causa y demas documentos anejos tes, y jurado y proclamado la Constitución española. Han pe a ella. dido al general Morales auxilios de tropas y oficiales, y desde el — El día 2 del corriente se celebraron en la iglesia catedral unas 11 del corriente marcharon de Maracaibo para aquellos puntos solemnes exequias por la víctimas sacrificadas el Dos de Mayo 800 hombres y un cuadro de…</t>
  </si>
  <si>
    <t>…sión pira disponer lo necesario 'pira l* - - i edíbfición dé l* juntiyy sin salir tfe' li raía se hiro ya vrAüór- Kpfcija;i¿iGifij!tótA,i!Í-'ái: jhf,yy;. ■■ ; E18 de Marzo estibad general Morales en Muvcalbó, y cripcion cónsiderable, después dc loAtiial sc kvantó la sísrañ. había "expidido un decretó en que revoca-* h» relativos al bloqueo dejos (tuertos de los, patriotas', exceptuando los buques cuyo cari* —^ Hemos recibido'periódicos' dé Catalúña 'b…</t>
  </si>
  <si>
    <t>…er que la dirección tuviese este ó el otro trata naron huyendo precipitadamente por el camino de Carora. miento; pero que la comisión no podía menos de tratar de esto El dignísimo general Morales tiene en Maracaibo fuerza muy cuando se trata de dar un reglamento para la dirección; y que respetable de infantería completamente equipada de vestuario y ar habia propuesto este tratamiento de excelencia para la dirección, mamento , y en el mejor pie de inst…</t>
  </si>
  <si>
    <t>…llelver , y detener ro se intercepto una carta del marques de Casa-León, comandante durante dos ó tres dias una cíiv.s.on como Ja de Mina, que cami de Puerto Cabello, dirigida al general Morales, pidiéndole auxilio na sin artillería. y manifestándole que la ciudad se hallaba en una situación de Mina , después de haber recorrido todos los pueblos franceses plorable , que los hub.tantes se morían de hambre , y la guarnición de la Cerdaña, ha desfilado…</t>
  </si>
  <si>
    <t>Gaceta Española n.º 173</t>
  </si>
  <si>
    <t>…aracaibo; la corbeta Ceres, tic 28 cañones, refiriéndose á los periódico: de los Estados-Unidos se aseguraba y la goleta la Especoladera se han hecho á ia vela para Maracai que el general Morales había vuelto á entrar en Maracaibo. Ex bo , donde se espera un combate entre estas fuerzas y las de ios trañamos entonces esta noticia, porque ignorábamos que el gene colombianos.’5 ral Morales hubiese evacuado aquella c ridad; y por Jo tanto ¡le La carta que…</t>
  </si>
  <si>
    <t>…del consistorio. Después del española, y dirigirse á Puerto-Cabello ó Maracaibosiguiendo oficio volverán del mismo modo á la sala de sesiones para pro-r el punto donde se halle el general Morales. El parecer de que es ceder á la elección de comisiones. Empezarán los trabajos á la tos buques están llenos de tropas ha' aumentado mas las inquie mañana siguiente, y se celebrarán 15 sesiones sin interrupción, tudes. En nuestra situación precaria , esta com…</t>
  </si>
  <si>
    <t>Morales, Antonio</t>
  </si>
  <si>
    <t>Antonio Morales</t>
  </si>
  <si>
    <t>…rcito llamado de reserva , á las órdenes del Algatocin; D. Juan Becerra y Sebastian Fajardo su sobrino.de ex-general Villacampa, me dirijí i la plaza de Gatosin, donde Igualeja; y D. Antonio Morales , de Pujerra , se han singulari encontré á D. Sebastian Tinoco, ds aquella vecindad, que traia zado, manifestando valor, serenidad y dirección durante lo como prisioneros dos soldados y dando todos la voz de viva la mas arduo del fuego , y respecto de los vec…</t>
  </si>
  <si>
    <t>Morales, Benito</t>
  </si>
  <si>
    <t>Benito Morales</t>
  </si>
  <si>
    <t>…bierno á este indivi denado que D. Blas Ostolaza, D. Nicolás Santiago Rotalde, duo, para que con arreglo á sus méritos y aptitud le coloque. D. Domingo de la Vega, D. Félix Mejía, D. Benito Morales, Aprobado. D. Leonardo Perez, D. Josef Spínola, D. Ramón Ceruti, Don Se leyó la siguiente proposición del Sr. Murfi : «Pido á Jas Ramón Sánchez y D. Bonifacio Castillo sean detenidos y trasla Córtes se sirvan habilitar el puerto de Arrecife en la Isla de dado…</t>
  </si>
  <si>
    <t>Morales, Felipe</t>
  </si>
  <si>
    <t>Felipe Morales</t>
  </si>
  <si>
    <t>…velos por conservar la tran .■vida; id. de Guadalajara .1 D. Pedro Alcántara Díaz de Laban- quilidad pública, la inviolabilidad de vuestras propiedades v el de duo: id. de Avila á D. Felipe Morales: id. de Soria á D. Ali- coro de vuestras familias, y de que he consagrado á esto toda ia c-uci F.olíri: para el corregimiento de Gu.puzcoa á D. Antonio vigilancia de que soy capaz. Continuad pues en vuestra tranquili Eiboada: id. de Vizcaya a D. Tiburcio Egui…</t>
  </si>
  <si>
    <t>…s justicias de los pue Josef Rey y Alda, y la del de Valencia á D. Ramón de Alda- blos en que se hallaban situados sus derechos; solicitando en soro: la de la provincia de Avila á D. Felipe Morales: la de consecuencia se declare adonde debe acudir í Cobrar el medio Burgos á D. Diego Escandon: la de Madrid á D. Josef de Echa- año de la renta que le pertenece en los pueblos de Aldea dei varría : la de la Mancha :í D. Joaquin María de Errazquin: la de Fres…</t>
  </si>
  <si>
    <t>Morales, Félix Herizo y</t>
  </si>
  <si>
    <t>Félix Herizo y Morales</t>
  </si>
  <si>
    <t>…en todas sus aflicciones y necesida Dios guarde). Coria y su ayuntamiento 19 de Junio de 1823.= des , y no cesará de pedir al Todopoderoso conceda á V. A. S. Sermo. Sr.—Licenciado D. Félix Herizo y Morales.=Juan Ca todo acierto y prosperidad en el desempaño de sus altas funcio pí st rano Alarza y Bravo, es Francisco Román de León, dipu nes para bien tíe la Monarquía. tado. = Licenciado D. Domingo Sánchez Regadera. = Licencia n Madrid 5 de Julio de i82 3.=Sermo.…</t>
  </si>
  <si>
    <t>Morales, Francisco</t>
  </si>
  <si>
    <t>Francisco Morales</t>
  </si>
  <si>
    <t>…sino i traernos la paz, a ¡as cárceles nac.olíales de est 1 c.ud.,d !t» once cié la manar:.1 :r&gt; . i euros leyes, sino á dar libertad á nuestro caut.vo Soinra- da hoy el cabvc’la D. Francisco Morales, su segundo t: • ira que nos vuelva ia» antiguas y sabias leyes que temarnos. bartuleo Rirchcz de I.-con . su cap. lian I"). T,.;r i» Ci apa- ro , v j L, !ido ele S. Luis viene a poner sobre su trono al nieto de S.Fcr- р. ..'lunero» que tueron ítechos con. el…</t>
  </si>
  <si>
    <t>Morales, Francisco Díaz de</t>
  </si>
  <si>
    <t>Francisco Díaz de Morales</t>
  </si>
  <si>
    <t>…a el movimiento simultaneo He toda ella , mar Galí, v tuve Ocasión de vaieimc de sus luces e infehgencta. El chando por el centro ó camino real 2 piezas mandadas por Sola patriota D. Francisco Díaz de Morales qmso acompañarme. y no v D. -Miguel de Omni, sostenidas por la columna de Soria, también comunicó algunas ordenes D. Josct Gasatr.ayor , ayudan quedando las 2 restantes con escolta en la Cruz cubierta ; la dere* te de campo ale V. S., que estuvo conmigo desde…</t>
  </si>
  <si>
    <t>Morales, Francisco Tomas</t>
  </si>
  <si>
    <t>Francisco Tomas Morales</t>
  </si>
  <si>
    <t>…general repitió la orden de que nos rereresemos , y Je obedecimos innieTrocla tía d/J ¿enera! Morales. diatam nte. » El día 6 »e renovó otro rumor alarmant e, y á la media hora ¡3 D. Francisco Tomas Morales, mariscal de campo de los egéreito* prWter.tJ'ir.-n en la prevención los cuatro batallones de voluntarios, dis nació; a'cs, g.-n-ral en gefe dá la Costa-firme, y capitán general de las tribuyendo del mismo modo Ir fu-rza i dif.-rentes plaza»; a nosotros provi…</t>
  </si>
  <si>
    <t>…ria. Ciu dadanos: el que conspire contra zuicstra Constitución; el que procure Proclama del ge..:, .' Morales. volver á ponernos las ya rotas cadenas, esto* y np mas sean nuestros Don Francisco Tomas Morales, mariscal de campo de los egércíenemigos; contra estos y no mas demuéstrese el valor de nuestros pe tos nacionales, general en gefe de la Costa-firme, y capitán geneial chos. Y vosotros, hombres pacíficos, ciudadanos apreciable*, que en de las provincias de V…</t>
  </si>
  <si>
    <t>Morales, Josef</t>
  </si>
  <si>
    <t>Josef Morales</t>
  </si>
  <si>
    <t>…tes. ' férez de caballería marques de Vitlamejor1; por ayudante del go r.° Que inmediata mente se trasladen á la casa de la moneda bernador del cuartel general y al de igual clase D. Josef Morales; para su acuñación las alhajas de plata destinadas al servicio de to y por ayudante del aposentador general al dé la misma ciase Don das has oficinas públicas, empezando;por las de las Cortes. Carlos Rom. 2.0 Que por ahora se reduzcan á moneda aquellas alhaja…</t>
  </si>
  <si>
    <t>…abos , soldados y tam tropa de su mando, y también de la montonera de Pampas y sus bores que á la publicación de este decreto se hallaren en los ejér comandantesD. Carlos Anguiz y D. Josef Morales, quienes con citos ó plazas de guerra, sosteniendo la causa de la ind.pendencia tribuyeron poderosamente á vencer varios obstáculos en aquellas y libertad nacional ó que se presentasen sn el termino de un mes marchas: recomienda igualmente á los fieles pueblo…</t>
  </si>
  <si>
    <t>Morales, Josef Ptrez</t>
  </si>
  <si>
    <t>Josef Ptrez Morales</t>
  </si>
  <si>
    <t>…trofes que carecen de facultativo, po, D. Cayetano Rubio, D. Nicolás A-onso, D, Aquilino y deparan al de Domingo Perez frecuentes apelaciones. Los pro Palomino, D. Lorenzo Lambea, D. Josef Ptrez Morales, Don fesores que teniendo la cualidad enunciada quisieren pretender el Marcelino Torio, D. Arias González de Mendoza, D. Fran partido , dirigirán sus memoriales pot el correo, franco de porte, cisco Zazo de Lares,. D. Miguel de Nájera, D. Aniceto More ai ayun…</t>
  </si>
  <si>
    <t>Moran, Cayetano Rodríguez</t>
  </si>
  <si>
    <t>Cayetano Rodríguez Moran</t>
  </si>
  <si>
    <t>…adrid de injurioso á su persona, carácter y empleo; y reunido el jurado, com dLz y siete de Marzo de mil ochocientos veinte y tres. — Manuel Flo puesto de los Sres. D. Luis Croja, D. Cayetano Rodríguez Moran, res Cs'deron , Presidente. = Leonardo Santos Suarez , diputado Secreta D. Josef María Villaranda, D. Felipe de la Puente, D. Segismundo rio = Manuei Llórente, Diputado secretario.” =Por tanto mandamos á Moret, D. Domingo Banceí, D. Juan Bautista Carrera, D.…</t>
  </si>
  <si>
    <t>Morant, Rafael</t>
  </si>
  <si>
    <t>Rafael Morant</t>
  </si>
  <si>
    <t>…podía meridional, con la plaza de Ministro de capa y espada del su esperar de una medida que chocaba contra las doctrinas de la .Re premo Consejo de las Indias que le es aneja-, á.D. Rafael Morant, ligión, y en un pueblo tan sincera y fuertemente adherido a Oficial mayor de la secretaría de Estado y del Despacho de Ha ellas 2 Por otra parte se destruia con una mano lo que se edificaba cienda de Indias, en consideración á sus méritos, servicios y con ot…</t>
  </si>
  <si>
    <t>Mora’, Antonio Díaz del</t>
  </si>
  <si>
    <t>Antonio Díaz del Mora’</t>
  </si>
  <si>
    <t>…te del batallón de terna para gef; y comisionado especial de liquidación, r-conoc miento Sro. Domingo de México por no traer guia ni otro documento al y expedición de documentos á D. Antonio Díaz del Mora’, D Po guno, y en atención á que el tribunal supremo de Justicia había sen Agustín de Mita y D. Alvaro González de la Vega ; y trie el- «o Dea tenciado que se devolviese al citado ayudante dicha cantidad por no Antonio Diaz del Moral por 70 votes de 77 de tota…</t>
  </si>
  <si>
    <t>Morct, Segismundo</t>
  </si>
  <si>
    <t>Segismundo Morct</t>
  </si>
  <si>
    <t>…de 30 días reunido el jurado , compuesto de los Sres. D. Pedro Ruiz de Loizaga, comparezcan á responder de los cargos que contra ellos resultan ; y pa D. Pedro Antonio d; Aguirre, D. Segismundo Morct, D. Luis Cro- ra que llegue á su noticia que se anuncie en 1a gaceta en obsequio del »a, D. Prud ncio Hernández Sta. Cruz, D. Josef María Viilaranda, mejor servicio. D. Pedro Jos.f Paul , D. Juan de Fuentes y D. Josef Miría Retostólo; ANUNCIOS. dspues de t.-n…</t>
  </si>
  <si>
    <t>Morctti, Federico</t>
  </si>
  <si>
    <t>Federico Morctti</t>
  </si>
  <si>
    <t>…para ponernos en estado de poder rechazar al Instrucciones militares para el servicio avanzado de campaña por el enemigo. Doña Dolores Urzaiz de Romay ha pedido á la d'putac on de brigadier D. Federico Morctti. Esta obiiu, dividida en dos partes, que Viso use digtíe concederle la gratu'tu construcción de too camisas para se publicó en Cádiz r! afio d; 18:1, mereció 1a aceptación general, los dignos reemplazos , defensores de nuestras libertades." D. Juan Monto- has…</t>
  </si>
  <si>
    <t>Mordía</t>
  </si>
  <si>
    <t>…lativo á su salida de esta corte para Se-, La energía y actividad es el alma de los negocios. rolla; y en virtud de todo se lian servido las mismas Cortes re El 6 salió de aquí el general Mordía con su E. M., rjo sol solver i.° La junta directiva del Créd.to público se trasladará a dados , v unos -&lt;o- oficiales de todas, graduaciones , con dirección Sevilla, y permanecerá constantemente al lado del Gobierno¿ Valíadolid. Cuentan de este general un ras…</t>
  </si>
  <si>
    <t>More</t>
  </si>
  <si>
    <t>…a del poder, y por perjuros á los que ia obe prenta. dezcan ; la segunda en otro manifiesto del 26, sin decir donde está da El Sr. Adan manifestó que las opiniones vertidas por el Sr. More do , pero suscrito por Eguí.i, Fleires, Milavila , Zavala , Grimarest, no Guerra contra el intendente Elizalde no podían mirarse como Var.-ro, Alsina y Peris , declara que la primera no fue ni puco ser la opiniones políticas , y sí como una calumnia contra un…</t>
  </si>
  <si>
    <t>…hizo 2¿) prisioneros. Esta pomposa noticia Stokolmo 2 y de Mayo, se insertó ayer tarde en la Estrella como artículo de oficio de i.i El Rey ha regalado al embajador de España, el general More gaceta extraordinaria de Madrid: hoy la han copiado todos los no , lina caja con su retrato guarnecido de diamantes, con motivo periódicos, y el parte del general Bordesoult, que también ha de haber recibido S. M. la investidura de la orden del Toison salido…</t>
  </si>
  <si>
    <t>More, Aniceto</t>
  </si>
  <si>
    <t>Aniceto More</t>
  </si>
  <si>
    <t>…n pretender el Marcelino Torio, D. Arias González de Mendoza, D. Fran partido , dirigirán sus memoriales pot el correo, franco de porte, cisco Zazo de Lares,. D. Miguel de Nájera, D. Aniceto More ai ayuntamiento constitucional de dicha villa hasta el dia 8 dei no y D. Nicolás Cano de Luque, calificaron con la fórmula de próximo Mayo, en que se admiten, para proveer después la absuelto el impreso titulado Observaciones sobre ia probable di plaza en el…</t>
  </si>
  <si>
    <t>Moreda, Francisco</t>
  </si>
  <si>
    <t>Francisco Moreda</t>
  </si>
  <si>
    <t>…a___Del Príncipe, de Borbon , de la R.eina, deLuSanabria an un reconocimiento que hizo el coronel Pinto: anda sitania. ban capitaneados por un famoso Padre Juan , el cual quedó El brigadier D. Francisco Moreda queda nomhraido subinspec muerto en el campo con seis de los suyos. tor interino de inüníería , y el de igual clase D. Samtiago Wall _ Dei Dia&lt;ii de la Coruña hasta ei 32 de Mayo. Por varios lo queda igualmente de los cuerpos de caballería del ejército. pasag…</t>
  </si>
  <si>
    <t>Morejon</t>
  </si>
  <si>
    <t>…ble ni do se repite en vana? partes del proyecto que todo se ha de hacer sin de buenos ni de malos resudados. aumentar la: contribuciones m gravar al erario público ; por consi El profesor Morejon decía que el Rey estiba padeciendo un ataque guiente creo que la comisión antes de dar su dictamen deb.era haber de gota , que por su larva duración, y por los síntomas que la caracteri nido 1 este interesado pata que explayase su proyecto conforme se hi zan…</t>
  </si>
  <si>
    <t>Morejou, Antonio Hernández</t>
  </si>
  <si>
    <t>Antonio Hernández Morejou</t>
  </si>
  <si>
    <t>…, la cua* á la verdad no lo te sores de la ciencia de curar D. Juan Manuel Aréiula, D. Eugen.o Arnia , para invertirlo en s¡ misma. Que las intenciones de: prcop íiantv se ri-.ta, D. Antonio Hernández Morejou , D. V.crnte Sanano: y el de rian sin duda magnánimas; pero que de ningún modo podía adrn vne l«s tres profesores de cámara D. Hilario Torres, D. Agustín Frutos y su proyecto. P01 último manifestó el orador que lo qus fa’taba en Es D. josef María Turlan , ace…</t>
  </si>
  <si>
    <t>Moreno</t>
  </si>
  <si>
    <t>…os conoz llab éndose declarado este pur.ío por bastantemer.t: di-cut'do, se can sus deberes, y que i la vuelta de la hoja conozcan las penas en preguntó sr había lugar á votar. El Sr. Moreno pid.ú que ia votación que incurren si fa tan í elios , el modo de procederse para imponer fuese nominal; y hab.éndo¡o asi acordado la. Cortes , se d-ciani que no las; pero no me hallo conforme con el dictamen de la comisión. había lugar á votar por y: votos c…</t>
  </si>
  <si>
    <t>…entran Se entiende que dependen de un pueblo: un afecto paternal; y asi apruebo en todas sus paites el artículo. t.° Los que tengan habitación ó casa abierta propia ó arrendada El Sr. Moreno: Yo junas me conformaré con que se exija que los en el mismo pueblo. curas párrocos asistan i estas sesiones ; y por la misma razón que Ira i.° Los que esten sujetos á la potestad de su padra vecino del dado el Sr. preopinante de ser odiosa esta operación de…</t>
  </si>
  <si>
    <t>…mos sentimientos que abusos que en otro caso podrían resultar en detrimento de la tanta: lo en las anteriores. que comunico á V. fi. para su inteligencia y efecto!, oportunos." El Sr. Moreno dijo que debiendo ser muchas las representaciones La que traslado ¿ V. S. á los propios fines. Dios guarde á V. Sque con este motivo se dirigirían á (as Cortes , sigun el entusiasmo ge muchos años. Madrid 6 de Enero de 1823. neral con que se babia recibido aq…</t>
  </si>
  <si>
    <t>…unesta íomolaque hemos pade■ do Sesión del dia sS. haya abrumado jamas á los hombres con un cúmulo de males y de mi Se leyó y aprobó el acta de la anterior. serias tan temblé." F1 Sr. Moreno dijo: Ay' oyeron las Cortes por conducto del señor JRANCIA. Becerra los sentimientos patrióticos del gcíe político de guerrea y su París 4 ele Uñero. ayuntamiento constitucional: hoy si se me concedep-rm &gt;0 para ocupar ' Di Peta, i.rabal de Constantinopla, se…</t>
  </si>
  <si>
    <t>…ana Del ayuntamiento, juez de primera instancia y milicia nacional para darles pasaportes í fin de que se internen en Francia , y en caso local de ambas armas de Belmonte , por el Sr. Moreno. de que ne quieran,hacerlos que se vuelvan ¿ su tierra. Del cura párroco de S- Gines , D. Juan Antonio Salcedo , y ca bildo eclesiástico de esta villa, por el Sr. Velaico. NOTICIAS DE ESPAÑA. Del ayuntamiento constitucional y milicia nacional voluntaria de To…</t>
  </si>
  <si>
    <t>…y aunque las expresiones que contiene sean De D. Agustín Alvarez de Sotomayor, vecino de Puente Genis, muy miradas (i) , es no obstante la mas decisiva. El conde de Nesscl- por el Sr. Moreno. zode pone en paralelo á los partidarios de la Constitución y á ¡os in Del ayuntamiento constitucional de la villa de Aranda y milicia surgentes de Navarra, y pronuncia en favor de estos últimos; y añada nacional de la misma, por el Sr. Melendez. si que la re…</t>
  </si>
  <si>
    <t>…ron y mandaron quedar sobre la m-sa das dictámenes, uno ponda a los plazos señalados; tomará conocimiento de las dudas qu* de la comisión encargada del cxp-dicnte promovido por el Sr. Moreno ocurran al tiempo de la entrega de prendas, bien lea á los depósitos Guerra acerca do este asunto , y el otro de la comisión de Gueria so nacionales, bien á los cuerpos; decidirá todas aquellas que no paren bre la capitulación de los oficiales de la brigada d…</t>
  </si>
  <si>
    <t>…a nacional de Valdepeñas de la Mancha, y de la mili cen reflexione» juiciosas respecto i Ja situación á que debe quedar redu cia voluntaria de Rivadeo, presentadas y leídas por el Sr. Moreno. cido el punto de Montevido , llave de la América del Sur; siendo hor De un considerable número de ciudadanos de la ciudad de ILzi, rorosa la pintura que hacen de su estado actual, que atribuyen á la apa por el Sr. Infante. tía é indiferencia con que nuestro…</t>
  </si>
  <si>
    <t>…de confuiente creo local voluntaria y legal de áfitbas armas de la villa de VJlarrobledo, que los datos en que se funda esta exposición no pueden ser suficiente» presentada por el Sr. Moreno. para que los Sres. diput dos formen un juicio exacto para 1 resolución Del ayuntamiento constitucional de Herencia, por el Sr. Cuadra. de este negoc'o. Por otra parte estoy seguro de que la resolución sobre él Del ge fe político de bautander y empleados de s…</t>
  </si>
  <si>
    <t>…os de la santa De los empleados en ks fábricas nacior.ale» de S. Juan y Sierras de AIalianza, decía hace cerca de dos años un diputado en el Parlamento in caraz, presentada por el Sr. Moreno. gles, son ominosos á las libertades del muíalo; sus inmensos preparativos Del ayuntamiento constitucional y AI, N, L de la villa de Torre del militares tienden á tiranizar los Estados menores; avasallada la España y Campo, presentada por el Sr. Lillo. Portug…</t>
  </si>
  <si>
    <t>…de coda res se estrellan los abusos de las autoridades, yes el mas seguro baluarte de La ponsabilidad. 3 libertad individual todos los ciudadanos. Esto supuesto veo que no son El Sr. Moreno: Sea la que quiera la costumbre de Cataluña rí que convincentes las razones de los señores preopinantes , pues cl gefe político hace una coa*-contraria á una ley quebranta la ley.-La del año 3 no puede de Cuba no tuvo ninguna razón política ni legal para proc…</t>
  </si>
  <si>
    <t>…la parada, guardias y puestos de la, pía— cerse.” zas; y cuando lo ejecuten serán recibidos como ronda mayor.” Aprobado. Se hizo la primera lectura de la siguiente proposición del Sr. Moreno: be aprobó el dictamen de la comisión de Guerra sobre tas expusíe ones «Siendo notoria ¡a salida del nuncio de S. S. del territorio español, y para de varios oficiales del reaimienro de ioiedo, del de ia Corona, e.el otado obviar ¡os perjitco» que pudieran re…</t>
  </si>
  <si>
    <t>…nda vez, y se mandó pasar á la comisión Eclesiástica, intereses y al honor del país. También hay cartas de Francia que pretenden hacer creer en esperan la propesie on hecha por el Sr. Moreno en la sesión de 5 del corriente so zas de paz. Lo cierto es que el 13 de Febrero ya se hablaba de que dentro bre dispersas matrimon ales. de tres dias se publicaricva declaración de guerra: después se aseguro que se A la misma connsion se mandó pasar una expo…</t>
  </si>
  <si>
    <t>…niños. En otro concilio, aunque no se rán efectivos, pues son cantidades que quedan en abono del tesoro. prohibió la costumbre da admitir ofrendas , se dijo que no se obligase El Sr. Moreno ha dicho qu; los derechos de estola estaban repro á nadie á darlas. En finen muchos concilios se ha procurado evitar bados por la Iglesia antigua; convengo en esto con S. S.; pero tampo este abuso. A todo esto se agrega el que como no se sabe el valor del co…</t>
  </si>
  <si>
    <t>…do por los Se declaró comprendida en el art. 100 del reglamento , y franceses no hacen mas que administrarla justicia, y libertar á los quedó aprobada la siguiente proposición del Sr. Moreno: •&gt; L t pueblos de Ja anarquía 1 paro ¿que se entiende por administrar la ciucUd de Cuenca acaba de dar por segunda vez el mas solemne</t>
  </si>
  <si>
    <t>…evenido en la orden de 13 dr Mayo de ¡822. Aprobado. manda , la mas noble y generosa que puede haber entre los hom El Sr. presidente nombró para informar robre ¡a proposi ción del Sr. Moreno acerca de proponer recompensas á los de bres. NOTICIAS DE ESPAÑA. fensores de Cuenca á la misma comisión que ha entendido so bre las de Valencia. Cádiz 2 r df Moyo. Se procedió á la discusión del dictamen de la comisión Espe Comandancia militar.—_E1 comandant…</t>
  </si>
  <si>
    <t>…, haciéndoles saber que tal era la vo luntad del Gran Safior. Antes de ayer el embajador de España cerca de nuestra cor En el mismo mes han llegado muchos emigrados: unos hu te el caballero Moreno ha tenido el honor de presentar al Rey yendo de Tina obligados por la miseria y la peste , y los otros las insignias de la orden del Toison ce oro. vueltos de Ipsara, donde habían sido maltratados por los habi __El secretario de la legación Danesa barón de Ho…</t>
  </si>
  <si>
    <t>…) leyese la Constitución de España, en ella veria habia oido al Gobierno ¿obre el particular. que el trono c&lt;n&lt;iit’.i¡nna¡ está vinculado en los Borbones, y Habiendo contestado el Sr. Moreno que la comisión antes por lo mismo que no son los constitucionales sino los enemigos de dar su dictamen habia oido al Gobierno, mairfesto el se de la Constitución los que están en guerra con la tasa de Borbon. ñor Becerra que la misma razón que había tenido l…</t>
  </si>
  <si>
    <t>…o habiéndose impugnado el principio sólido é in Coloma de Queralt y otras, en su defensa contra los facciosos, y del contestable ya después de infinidad de observaciones conformes Sr. Moreno, relativa á la defensa de la ciudad de Cuenca, presen hechas en diferentes naciones y en lugares muy diversos, me pa tó su dictamen en seis artículos, reducidos á que las Cortes conce rece que las Cortes están en eL caso de aprobar el dictamen de la diesen á…</t>
  </si>
  <si>
    <t>Moreno, Aniceto</t>
  </si>
  <si>
    <t>Aniceto Moreno</t>
  </si>
  <si>
    <t>…1821 y 11 acordado es^la junta general de accionistas de! banco ce JVómfr cdos jeor el 1 Kcmo. ayuntamiento. lebrada en 24 de este mes, se avisa a los accionistas que desde hoy 26 D. Aniceto Moreno. D Eugenio Perez González. dC Marzo pueden concurrir á la secretaria del establecimiento desde las D. Manuel Antoran. D. Faustino Fernandez Vidobro. diez hasta la una del día á exhibir sus acciones y presentar ios docu D. Manuel Nufiez. D. Tetisforo Polo. men…</t>
  </si>
  <si>
    <t>…ra: salga finalmente de vuestros pechos á la Merelo, D. Miguel de Nájcra, D. Matías Pinilla, D. Josef manera de un torrente de fuego la ira reconcentrada por tanto Sainz de Rozas, D. Aniceto Moreno. tiempo en vuestro corazón atrozmente agraviado , y que una Habida la conferencia se declaró por unanimidad haber lu prudencia peculiar de vuestro carácter generoso ha podido re gar a la formación de causa. primir hasta ahora. Sobre las ruinas de vuestras ciu…</t>
  </si>
  <si>
    <t>Moreno, Anictto</t>
  </si>
  <si>
    <t>Anictto Moreno</t>
  </si>
  <si>
    <t>…entre todos los pueblos célebres del mundo, y será mirada como D. Arias Gonzalo de Mendoza, D. Francisco Zazo de i. a res, un modelo que todos querrán imitar. D. Miguel de Nájera, D. Anictto Moreno y D. Nicolás Cano de Luque, para calificar el impreso titulado ” Observaciones sobre ARTICULO DE OFICIO. Ja probable disolución del Estado &amp;c.,” denunciado por e! señor Circular de la Gobernación de ¡a Península. fiscal de imprenta como sedicioso, y declarado en jurado de acu Los Sres.…</t>
  </si>
  <si>
    <t>Moreno, Antonio Armero y</t>
  </si>
  <si>
    <t>Antonio Armero y Moreno</t>
  </si>
  <si>
    <t>…aktsehejew, é irá después i Tuichin: de allí pasar! á mandante de mi batallón D. Jos l Moran , el capitán de caza Moscow , donde hace algún tiempo tiene sus equipages. S. M. dores D. Antonio Armero y Moreno, y el oficial D. Diego estará aquí de vuelta para la fiesta de S. Pedro. Perada trabajaron con zc!o imponderable; el coronel de mi es tado mayor D. Cándido de Me. ta y su ayudante D Miguel Lis- INGLATERRA. bona no se separaron un punto del frente de la divisi…</t>
  </si>
  <si>
    <t>Moreno, Juan</t>
  </si>
  <si>
    <t>Juan Moreno</t>
  </si>
  <si>
    <t>…uebas que me habia dado el Capitán y Ayudante mayor D. Mariano González, y la de de fidelidad, con riesgo inminente de su vida. Restituido ahora la izquierda por el de igual clase D. Juan Moreno, y sin aguar á mí libertad y soberanía, me complazco en volverle á mi lado dar lo restante de la fuerza cargaron á los enemigos á los gritos nombrándole como le nombro mi confesor, sin que este nom viva el Rsr absoluto con tal denuedo, que los arrollaron; y a…</t>
  </si>
  <si>
    <t>Moreno, Luis</t>
  </si>
  <si>
    <t>Luis Moreno</t>
  </si>
  <si>
    <t>…tranquilidad general y felicidad de «sios nombre, los cuales trasladan el que desde Castellar de Santiago reinos. Solana 10 de Junio de i823.=cFelix García Tomas = Jes ha dirigido D. Luis Moreno, comandante de la columna Josef Serrano.ssCándido Antonio Romero.zrjosef Joaquín de volante de caballería de defensores del Rey, pertenecientes i la la Torre.rxGabriel Alonso de Lara, secretario.” referida división de D. Manuel Adamé, que copiado á la letra n…</t>
  </si>
  <si>
    <t>…á seis plazas muy fuertes, de una excelente marina Tíl tn un parte muy extenso, entre otras cosas , lo siguiente: y de un ejército considerable. Como estas tres cosas son las que D. Luis Moreno, Comandante de una partida da Realistas, en constituyen k soberanía política, por «so ¡a Grecia se cree un</t>
  </si>
  <si>
    <t>Moreno, Manuel</t>
  </si>
  <si>
    <t>Manuel Moreno</t>
  </si>
  <si>
    <t>…on motivo de la gurrra con Esparcí íes La comisión de Visita del Crédito público en vista de la exposición documentos de esta clase, sobre todo si contienen promesas ó empeños, de D. Manuel Moreno para que se les satisfagan 63 rs. , procedentes son papeles peligrosos; pues algunas veces suelen echarse en can, jus de la transacion hecha en el Crédito público en 1818, opinaba que se tamente cuando debían olvidarse. Ademas, cuando no hay justas razo acced…</t>
  </si>
  <si>
    <t>Moreno, Manuel Diaz</t>
  </si>
  <si>
    <t>Manuel Diaz Moreno</t>
  </si>
  <si>
    <t>…cias que de ellas nidad le habia manifestado serle muy útil ver los proyectos que D. Joresultaren. 3.'' Que no se podrá obligar á persona alguna á que contes »ef María Salamanca y D. Manuel Diaz Moreno presentaron i las Cor-</t>
  </si>
  <si>
    <t>Moreno, Manuel Trinidad</t>
  </si>
  <si>
    <t>Manuel Trinidad Moreno</t>
  </si>
  <si>
    <t>…Sr. Muri¡; Las leyes, tumo muy oportunamente ha dicho A Ja de Casos de responsabilidad se pasaron dos quejas, una el Sr. Infante, tienen declaradas Jas penas que corresponden á de D. Manuel Trinidad Moreno, acerca de la causa secunda por los desertores y encubridores: lo que se trata ahora es de que si D. Francisco Mallon contra D. Josef María Campo; y otra de se desea que la Nación tenga ioo9 hombres los tenga en reali un miliciano de caballería de Toledo, sob…</t>
  </si>
  <si>
    <t>…, al subteniente D. Jo El Sr. Becerra manifestó , que según el acta un oficio del vi sef de Zayas á D. Antonio Masoni, teniente de la M. N. A. sitador ele la audiencia de Sevilla, D. Manuel Trinidad Moreno, de Toledo, y á D. Francisco Fringas, teniente de la M. N. L. se habla pasado á la comisión de Casos de responsabilidad, en lu de caballería de Madrid. Se reconocerán por empicados á las in gar de pasarse á la que detallaba el decreto de 12 de Maye» mediatas…</t>
  </si>
  <si>
    <t>Moreno, Ramón</t>
  </si>
  <si>
    <t>Ramón Moreno</t>
  </si>
  <si>
    <t>…re de i82i.=:Excnio. Sr. = Francisco Es- Contaduría mayor de cuentas de ia Nación. poz y Mina, ü Exento. Sr. sccrerario de Estado y del Despacho de la Quien supiese el paradero de D. Ramón Moreno, subteniente que Guerra.” era en Diciembre del año de 1813 del tegimiento de infantería de Lena , se servirá avisarlo á dicha oficina, pues en ello se interesa la » Egérc’to de operaciones del séptimo distrito.=Excmo. 5¡\:~E1 co verdadera distribución de los…</t>
  </si>
  <si>
    <t>Mores</t>
  </si>
  <si>
    <t>…erales puedan proveerse de ellos deí cx12 han entrado en este puerto los buques siguientes: trangero: opinaba debía pasar al Gobierno. Aprobado. De Torrevieia no lacra Ccncepion , capitán Mores, con sal y El Sr. Canga leyó el dictamen de la comisión primera de otros efectos para Vigo__ Este buque fue detenido el dia 9 como Hacienda sobre ia memoria del ministerio de este ramo, ei cual 30 leguas al S. del cabo de Sta. María por un bergantín insur se…</t>
  </si>
  <si>
    <t>Moret, Segismundo</t>
  </si>
  <si>
    <t>Segismundo Moret</t>
  </si>
  <si>
    <t>…brió algo de ella cuando temió que les cómplices la hubiesen declarado. carce, D. Gerónimo Maitnez Enrile, D. josef María de Ansa , Don ( Se continuará.') Martin Fernandez Elias, D. Segismundo Moret, D. Juan Bautista Al- Aviso de la imprenta nacional. vareda, D- Josef María Retortiilo, D. Juan González y D. Domingo Al siguiente día de entrar el Gobierno en Sevilla empezaré i pu Rancel; declaró haber lugar á la formación de cauta , de cuyo acuerdo blicars…</t>
  </si>
  <si>
    <t>…rán en la gaceta de la corte, y también se anunciará en la del Castillo, D. Juan González, D. Juan Laserna Salcedo, misma cuando una obra ha de recogerse , con arreglo á las leyes D. Segismundo Moret, D. Pedro Antonio de Aguirre, Don sobre libertad de imprenta. En este caso el Gobierno podrá ocu Juan francisco Bidot, D. Agustín de Goicoechea, D. Luis de par y archivar ó quemar todos los ejemplares que pertenezcan al Gargollo, D. Lázaro ElejaJde y D. Juan…</t>
  </si>
  <si>
    <t>…el establecimiento igualmente provisional de los Comi la contrata del ramo de víveres, y se uve informó de que era sarios Regios. A favor de estas acertadas medidas se logró resta D. Segismundo Moret, que aunque la habia estado desempeñando blecer rápidamente las cosas al ser y estado que tenían antes del y con toda la legalidad y franqueza , y debiéndosele de esta y otras de Marzo de 1820 en los distritos ocupados por las tropas de contrata-de pertrechos…</t>
  </si>
  <si>
    <t>Moretin</t>
  </si>
  <si>
    <t>…les que se añadiese á la proposición la siguiente clausula: » Subsis tiendo los nombramientos que para varias comisione:- ; hechos elD. Josef Fernandtz Manso ; quedando elegido el Sr. Moretin. Se leyó la siguiente proposición de los Sres, Salvá, Reillo, Salva- Gobierno.” to , Seoane , Muro , Prat, Oiiver, Ruiz de la Vega , Ferrer (D. Joa- Habiendo convenido en esta adición los Sres. autores de la propo quin) , Villanueva y Soria. sición , se aprob…</t>
  </si>
  <si>
    <t>Moretin, Felipe Martínez de</t>
  </si>
  <si>
    <t>Felipe Martínez de Moretin</t>
  </si>
  <si>
    <t>…o á estas tengan á bien aprobar la proposición. Declarado el punto suficientemente discutido , pr„p,&lt;t" el Sr. Arrial de Valladolid. La comisión de Visita de tribunales proponía ¿ D. Felipe Martínez de Moretin ,á D. Andrés García del Corral, y á guelles que se añadiese á la proposición la siguiente clausula: » Subsis tiendo los nombramientos que para varias comisione:- ; hechos elD. Josef Fernandtz Manso ; quedando elegido el Sr. Moretin. Se leyó la siguiente propo…</t>
  </si>
  <si>
    <t>Moretti, Federico</t>
  </si>
  <si>
    <t>Federico Moretti</t>
  </si>
  <si>
    <t>…es ha ambas del ingles al castellano, ¿ ilustrada la primera con notas por el rán sus proposiciones al administrador de la misma fábrica; en cl concepto brigadier de los egércitos D. Federico Moretti. La primera parte de es de que se ha de verificar e! remate ante el misino á ¡os dos días siguientes ta obra trata de los puestos, guardias y patrullas avanzadas, de las pa *1 en que se inserte este anuncio en la gaceta, y de que no ha de tener trullas por io…</t>
  </si>
  <si>
    <t>…ner deo &amp;c., escrita en francés por el general de brigada Hugo, y traduci-' nuestros derechos, y salvar á la Nación de la anarquía que la amenaza. da libremente y con notas por el brigadier D. Federico Moretti. Esta Valencia 21 de Marzo da i8i3.=Josef de Castellar, presidente. =Joa- obrita forma la tercera parte de las instrucciones militares para el ser qu n Aparicio.—Joscf Jimeno. =Francisco Martínez Macht,=Miguel vicio avanzado da campaña, publicadas por el cita…</t>
  </si>
  <si>
    <t>Mori</t>
  </si>
  <si>
    <t>…e bia señalado 5 rs. diarios á los soldados de la compañía de caza mitirán ai del ejército los estados correspondientes y en las épo dores-----El 17 de Mayo llegó á Villafranca el general Mori cas señaladas. llo-----Entre Lugo y Betanzos andaba una gabilla de ladrones Lo que se hace saber al ejército para su conocinsiento.s Ra que robaban á todos los pasageros___ El 15 comunicaba el gefe món Losada. político de León al de la Coruña lo siguiente: «N…</t>
  </si>
  <si>
    <t>Moriega, Felipe</t>
  </si>
  <si>
    <t>Felipe Moriega</t>
  </si>
  <si>
    <t>…7 hombres del resguardo, disipa una multitud de mismas jurisd-.ciones y de Cúbrales, y á las órdenes del ¡ntrép' ’o alucinados, impide mil horrores, renace la tranquilidad en aque D. Felipe Moriega los atacan, y dispersan con perdida de ocho llos contornos, y se llevan á efecto los sorteos. muertos y tres prisioneros. Forman varios grupos, uno acaudi .El concejo de Caso tomé» pretexto del juramento que debía llado por el ladrón Manuel Pilar; entra dos v…</t>
  </si>
  <si>
    <t>Morillo</t>
  </si>
  <si>
    <t>…espa sión de-los franceses en nuestro territorio. Asi se io comunica ñol! Almas pequeñas y envilecidas, &lt; veréis tranquilos la deso el gefe político de Burgos, el de Vitoria y el general Morillo lación de ia patria , el incendio de vuestras propiedades y el ul- desde Valiadolid. Preceden i los franceses una vanguardia de trage de vuestras madres y esposas? i Y no maldeciréis una vi españoles afrancesados al mando del bárbaro Quesada. da cargada de ig…</t>
  </si>
  <si>
    <t>…no se du artillería. El general Regó le persigue con ~0 infantes y mil ca da , v es mas probable que fuese la causa el no ser grata su pre ballos , y ambos han pasado el Esla. El general Morillo ha ido á sencia á los ultras; pero se quiere paliar este acontecimiento con salir al encuentro á Silveira, y es muy probable que este traidor aquel pretexto: que en Madrid permanecerían solamente icO pague en breve la pena de su delito. franceses; pero no aña…</t>
  </si>
  <si>
    <t>…convenientes el faccioso portugués cx-condc de Amarante se habia rendido que presenta en aquella provincia el repartimiento de baldíos y con la mayor parte de sus tropts á las de! general Morillo. propios, por estar implicados en estos términos intereses de la Orden de la plaza dtl 2 8 al e 9 de Abril de íS SJ". mesa maestral de Calatrava y del duque de MedinaceJi. A la de Hacienda y Comercio reunidas se pasaron varios Gefe de día el coronel comandant…</t>
  </si>
  <si>
    <t>…s españoles: y quiere fecha del 28 de Abril,decian que al cuartel general de León habia también S. M. que el E. M. haga las diligencias correspondien llegada el 24 un ayudante del general Morillo , avisando al ge tes para averiguar si se ha hecho acreedor á la cruz de S. Fer neral Regó que se habia batido con los facciosos portugueses: el nando. Lo que noticio á V. S. de Real orden para los efectos 25 entró en aquella ciudad el general Regó, y se adel…</t>
  </si>
  <si>
    <t>…ación de Ultramar dio principio á la «a ciudad para dirigirse á Lugo á verse con el general Quiroga, lectura de la memoria del ministerio de su careo, la cual tam y después con el general Morillo. bién se suspendió, y se levantó la sesión á las tres.</t>
  </si>
  <si>
    <t>…ron ent eradas de un oficio del Sr. secretario Se sabia que el general Ballesteros continuaba reconcentrándose; de Estado , en que les participaba que S. M. habia tenido á bien el general Morillo seguía infatigable en organizar y completar nombrar para desempeñar el ministerio de la Gobernación de la cuerpos: y el conde de! Abisbal, no 'menos activo, hace cuanto Península á D. Alanuel García Herreros, y para el de Marina á está de su parte porque al f…</t>
  </si>
  <si>
    <t>…rándole. En facciosos se ve que todos se quejan de la falta de dinero __Pol ambas partes habia gran número de mugerotas y muchachos, las ultimas noticias de Braganza consta que el general Morillo se chisperos &amp;c., siendo tanta su ilusión que equivocando a Zayas hallaba á 10 leguas de aquella ciudad, circunstancia que necesaria con Bessieres le tendieron las capas para que pasase, dándole mil mente debe aumentar las dificultades de cualquier empresa po…</t>
  </si>
  <si>
    <t>…mano , el honor, la vida y la hacienda de los honrados habi partido faccioso de Madrid. tantes de Lisboa, satisfaciendo, de acuerdo con el ministerio, es Según el tal Realista el general Morillo había bajado desde te deber de la gratitud. Astorga á Ciudad-Rodrigo, y no se lo creemos. No convengo en la idea propuesta de la traslación de las Cor En donde luce el periodista su habilidad es la noticia siguien tes , qu* la Constitución nos da, y esto por…</t>
  </si>
  <si>
    <t>…les resultó que habiéndoseles te alegría que en todos tos pueblos de España. jí,du cutíctenidos por algún tiempo, al cabo de él, cercamos de A cons-cu nc¡a de la determinación del general Morillo to paisanos armados la plaza en que se hallaban aquellos, con cu mó Quiroga el camino de la Goruña, recojiendo de paso ayu yo tenz resultado se les intimó la rendición, y viendo que la nos reales, que dice serian á cuenta de sus mesadas; y que sin fuerza era…</t>
  </si>
  <si>
    <t>…blo de Picazo, dispuso pasase un oficial, para que de Junio de i8i3-=Senno. Sr.=La condesa de Alcudia. obrando de acuerdo con 1'- división de la guardia real, situada Proclama del general Morillo. en Vara de Rey, se atacase ai enemigo por la noche; que el Soldados del cuarto ejército :*&gt; Habéis manifestado vuestra decisión á no obedecer las órdenes de una regencia que las cortes (1) Está visto que las hordas constitucionales, que por des instalaron en…</t>
  </si>
  <si>
    <t>…estacamento enemigo, á quien le mató 6 hombres y le cogió un oficial , 3 soldados y 10 caballos: el sargento Denis, del 7.0 de cazadores, se ha distinguido en este encuentro. __EL general Morillo, comandante de las tropas constitucionales en Galicia , indigna do de la conducta que han tenido las cortes con el Rey de España, se ha negado &amp; re conocer la regencia que estas crearon al salir de Sevilla. Con este motivo ha habido un rompimiento completo en…</t>
  </si>
  <si>
    <t>…milicianos llafranca del Vierzo, y ha debido ¡legar ei jo á Lugo con to d:í provincial de Ronda, que el dia anterior habían sido apre das sus tropas: todo da lugar á creer que el general Morillo, sados por una fragata francesa en un bergantín constitucional habiéndose separado enteiamente de Quiroga , se ha reunido que pasaba á Ceuta con varios oficiales, entre ellos Ribera , co- ahora al general Bourk. tonel de artillería , bien conocido en los fast…</t>
  </si>
  <si>
    <t>…ella. Ataca pues esa infame constitución que de alegría general y con imponderables aplausos y aclamaciones la ha ennegrecido. Todo lo tpngo dispuesto: te esperan, no de todos. El general Morillo, después de haber negado ia obe pierdas ni un minuto: marcha, tú triunfarás. Llevas mi bendi- diencia á los carceleros del Rey en Cádiz, lejos de hab-r hecho CÍon. = Carlota Joaquina. ( Feo du Midi.') una resistencia infructuosa ai ejército francés, se ba dec…</t>
  </si>
  <si>
    <t>…lia, y para bien del reino. Por noticias fidedigna* de la misma ciudad de Lugo se sabe que el general Breson había sido hecho prisionero, y Palarea nuevamente der rotado; y que e! general Morillo, en combinación con el ejército francés, marchaba sobre la Corufia y Vigo. . Por la correspondencia interceptada de algunos gefe* de marinade! de partamento de Cartagena, dirigida á Sevilla al secretario del Despacho del propio ramo , se sabe que é la fecha d…</t>
  </si>
  <si>
    <t>…de Fstado é individuo de »u consejo privado. el 1 2 la marcha sobre la Coruña. Un oficial superior del estado — Hoy , después de misa, ha presidido el Rey el consejo de mayor del general Morillo lu sido enviado c:rca de S- A. R. los ministros, b. M. se ha dignado recibir en audiencia pública para enterarle formalmente de que este general y las tropas que al Sr. duque de S. Carlos, embajador de España, y ha tenido el manda reconocen ia Regencia instit…</t>
  </si>
  <si>
    <t>…enester hablar con quien lovió,pues devoción con algunos golpes de pecho.» dicho parece exageración: me ha dicho uno que soloen un hoyo » El espíritu público mejora en Galicia. El general Morillo habia sus 150 , esto cerca de la puerta , que por los trigos habia no omite esfuerzo para organizar el ejército, cuyo mando le ha á centenares, muchas mugeres y bastantes niños , que sin duda sido confiado. La división de Campillo está en un pie mny bri había…</t>
  </si>
  <si>
    <t>…gloriosamente. Mientras el conde Bourk marchaba sobre la Coruña, el ge En esta brillante jornada el teniente general Bonnemains y el neral Huber se dirigió sobre el Ferro! , y el general Morillo# mariscal de campo Buchet, comandante del 4.0, ligero han jus conde de Cartagena , partió para Santiago , donde llegó el 16, tificado nuevamente el ascenso que S. A. R. íes concedió por persiguiendo muy de cerca el cuerpo de Palarea. 1a toma de Alcira; ellos…</t>
  </si>
  <si>
    <t>…el nombre pensa do noticias oficiales de Galicia , v en su vista viene a dar cuenta rán que es alguna gran escuela de una instrucción sublime, co á las Cortes de la defección del general Morillo. Al paso que ha mo por ejemplo la de Oxford ó de Cambridge, consiste real mirado con disgusto la conducta de este general , no puede me mente en 26 academias, y en 358 colegios esparcidos por toda ros de hacer presente á las Cortes el placer que le acompaña a…</t>
  </si>
  <si>
    <t>…Cáceres hay otro sub ejército se hallaba á las órdenes del general Quiroga después de alterno de aquel, como sucede en otras muchas partes; de con haber abandonado enteramente al general Morillo, en cuyo tiem siguiente la comisión se entiende con el principal y no con el sub po constaba cíe yooo a y^oo hombres, dispuestos a Gcfendcr a alterno, ademas uc que la visita se ha hecho bajo ei plan de las toda costa la Constitución que han jurado; y el mism…</t>
  </si>
  <si>
    <t>…ue ha expuesto el Sr. preopi sionar actos de desobediencia a! Gobierno lefc timo , como el que nante de haber ofendido al Congreso aquel general en la procla acabamos de saber del general Morillo. Que las expresiones son ma , por la misma razón creo que no deben las Córtes tomar en mal sonantes, no adm.te duda : que pueden producir resultados consideración este asunto, ademas de que el Gobierno, usando muy funestos , tampoco : pero ¿a mo debe proceder…</t>
  </si>
  <si>
    <t>…iedad y á la exacti primeros que se han opuesto abiertamente á no dar cumplimien tud , al dar el sentido á expresiones que se vierten. Lo que yo di to á las órdenes despóticas del general Morillo. je ayer fue que sin que se ofendiese su orgullo , ó sea amor pro w lia llenado de satisfacción á todos los amantes del sistema el pio natural en todos los hombres, mas valia la Opinión de la ma oficio de V. E., pues aunque no se dudaba del partido que abra y…</t>
  </si>
  <si>
    <t>…ntinúa haciendo el servicio de la plaza de la ciudad de Vitoria del tenor siguiente : unida con las tropas francesas. El teniente coronel y ayudante general de la plana mayor — El general Morillo entró el 16 en Santiago. Palarea con i9 del ejército Real de Navarra me dice con esta fecha lo siguiente: hombres había salido de allí i su llegada, retirándose bácia Vi- En estv momento que es la una de la tarde acabo de recibir go, adonde se dirigen ios gen…</t>
  </si>
  <si>
    <t>…s., y de que de publicaron en la gaceta del 29 último se hallarán en la librería pende la salud general. Por desgracia la mutua correspondencia de Sanz, calle de las Carretas. del general Morillo,y los franceses oponan unos obstáculos in Otra. En la gaceta núm. 48, pág. ijj,’i.a lín. de la a.1 co vencibles.”- lumna , donde dice ido 4 aoo9 rs., lease 4$ á £Q&amp; duros. EN LA IMPRENTA REAL.</t>
  </si>
  <si>
    <t>…a caita de D. Juan Jabat fecha en Lóndrn el 17 de Junio dirigida al llamado ministro de Estado, en que sages. acompaña varios documentos relativos al empréstito de 40 mi Carta del general Morillo conde de Cartagena a! teniente gene llones, que no ha tenido efecto, con la casa de los Síes. Betnales ral cande Bourk- y sobrinos de aquella ciudad; ni lo tuvo despues.con la de Cock, Cuartel general de Redondela a5 de Julio de 18*3 á U un» quien retiró las…</t>
  </si>
  <si>
    <t>…l mes próximo pasa clarasen beneméritos de la patria á los gefes y demas individuos do , hasta que Jas Cortes resuelvan otra cosa si se reúnen en ex que no siguieron las ideas del general Morillo en su escandalosa traordinarias , ó» la Diputación permanente, á la cual se autoriza defección. La comisión opinaba que podia aprobarse lo siguiente: para ello, dando cuenta á las Córtcs á su debido tiempo dei uso » Que los gefes , oficiales , sargentos , tam…</t>
  </si>
  <si>
    <t>…nte en comu trad que á despecho de las asechanzas , de ¡a petiid a v de ios sa nicación con los enemigos: cudimientos de la violenca , se conserva viva en vuestras minas No era el general Morillo ni stt junta prevaricadora los que la antorcha del bien social. Cádiz id» de Agosto de a ü a3.=. habían de decidir solos de la suerte del Estado. Formando un Fernando. orden nuevo de cosas incompatible con las leyes , y repugnante á la voluntad general, para…</t>
  </si>
  <si>
    <t>…deradas: solo le gusta el yor tenga un caballo solo. Todo esto irrita hasta el extremo , y silencio de los muertos. Solo se ocupa en insultar y en disgustar ya es imposible que el general Morillo recobre el prestigio que 4 todo miliciano (3),á los cuales mira como 4 comuneros y zur- antes gozaba, porque todo el mundo es testigo de las infamias que riaguistas: ve y conoce muy bien los desórdenes y ia nulidad de autoriza, de su poca actividad, de la des…</t>
  </si>
  <si>
    <t>…en virtud de la plenitud de su potestad, y por Regencia se confirma por las voces que corren relativamente al él se han cortado las alas á los regentes prevaricadores, y á los ex—general Morillo, de quien se asegura que no la ha querido aborrecibles serviles. reconocer, y sin embargo se mantiene en la gracia de ¡os inva Pero : qué efecto les habrá causado este decreto precursor de sores. otros muchos consiguientes: Por de pronto ha producido él solo…</t>
  </si>
  <si>
    <t>…a patria á de cesantes. (Gaceta del y.) los ind;v,duos del cuarto ejército que se han resistido á las suges Circular del ministerio sobre dónde deben cobrar las viudas, tiones del general Morillo. (Gacet ¡ del 24.) pensionistas, cesantes y demas incluidos en el presupuesto de Ha Decreto de las Cortes sobre los Alabarderos. (Gaceta ele! 2g.) cienda. (Gaeta del y.) Decreto de las Córtes sobre los dos batallones de que se com Decreto de las Cortes pernvt…</t>
  </si>
  <si>
    <t>Morillo, Merced Forminado</t>
  </si>
  <si>
    <t>Merced Forminado Morillo</t>
  </si>
  <si>
    <t>…es fue premiada con un exquisito medio pañuelo para el facción de infantería y caballería al manco de un tal Lastra y otro no cuello , y recayeron dichas suertes en las ciudadanas Doña Merced Forminado Morillo, en número de 200 hombres de infantería y caballería, naguera, Doña Dolores Frons, Doña María Arguer y Casa, Doña Jo viene de Peñamelíera, y se apodera de Llanes, y en «odas partes despe sefa Medir y Carnesoltas , Doña Francisca Grau, Doña Bárbara Riera, daza…</t>
  </si>
  <si>
    <t>Morillo, Pablo</t>
  </si>
  <si>
    <t>Pablo Morillo</t>
  </si>
  <si>
    <t>…te egército D. Demetrio O-Dafy , al co cito de operaciones, fechado en Valladolid á i» del corrien ronel D. Ramón Maitinrz y Gutiérrez y al comandanti Don te,'se me noticia que el general D. Pablo Morillo estaba en Joaquin de Aguirre. Se reconocerá por auxiliar del E. M. de comunicación con el general Do-Regó para atacar á la facción este egéicito al subteniente D Julián Pastor, y el de esta clase portuguesa de Silveira, que en número de i9 hombres de in D. Ma…</t>
  </si>
  <si>
    <t>…cabeza, é intentar desalojar al enemigo en corporaciones populares se Lavan resistido á las sugestiones del ge caso que no la ocupase con fuerzas ñipen res; y por si esto se neral D. Pablo Morillo, permaneciendo fieles á sus juramentos. conseguía salió también el teniente de meeiveros D. Ferinin Ar Alt. 2.'J El Gobierno mandará formar el oportuno expe teta con un destacamento de 30 zapadores, al mando del .subte- diente, á linde que esta honorífica dis…</t>
  </si>
  <si>
    <t>Morirá</t>
  </si>
  <si>
    <t>…o haaeiu.o en esto Se empezó la discusión del dictamen de u a .misión especia! sobre la mai. que se-.ulr las huellas del usurpador Napoleón, el cual por el ínteres pvopus clon del Sr. Morirá por el pre .m.bulo y atl. 1. , que decía: tu'tÍLL lar J-j i»u cuba rompió todo ios vínculos de ain.stad y de antigua aban- Art. i.” » Cujiquiera unu» on I r.i r .11 la l’.r r.a,i con -r.tcnt.s za cu - unían a ambas naciones. La iniquidad de su empresa no puco…</t>
  </si>
  <si>
    <t>Moriré</t>
  </si>
  <si>
    <t>….aca Gobierno ¡r. nud.atan-..: te , pues ¡as necesidades sobre ser grandí para este día. simas no admitan espeta. be levo el dictamen . y en se.u da toim la pa'al ra e: bi . Gó El Sr. Moriré p.di-.. que se leyese el oficio de remisión del mez .vt), Manuel), y eí.,01 Con beso que me i„, se'*: pr. rc.uv .te Gobierno sobie este asunto. (Se leyó.) dictamen. Se reduce a que queden »M i;.u etos ,o&gt; &gt; ¡o.- , c e,Ui* El Sr. D.e/ hizo vana, observaciones…</t>
  </si>
  <si>
    <t>Moriré, Carlos</t>
  </si>
  <si>
    <t>Carlos Moriré</t>
  </si>
  <si>
    <t>…da y derecha con Carlos González con 40 horiibres de voluntarios de Aragón, Don ínucho denuedo; mas los enemigos, parapetados en número de Carlos López con 30 nációnálcs de Beade, D. Carlos Moriré con 250, y sostenidos por los vecinos del pueblo, que desde las casas 100 de Brues y D. Antonio Pereira con 20 de Carbalbño, con hacían un fuego vivísimo, al momento mandé avanzar al caoitan 16 prisioneros da ios dispersados del ataque, y entre ellos un te Pe…</t>
  </si>
  <si>
    <t>Morlones, Francisco</t>
  </si>
  <si>
    <t>Francisco Morlones</t>
  </si>
  <si>
    <t>…pretexte» alguno de ellos: debiendo quierda por el escuadrón de lanceros á las órdenes del capitán co siempre- atenerse á lo» demarcados por la ordenanza del ejerc.to , o mandante D. Francisco Morlones. bien el nuevamente reconocido co i.o marcha nacional por decre H1 enemigo engañado empeño todas sus fuerzas, y aproximán to de las Cortes generales de ia Nación, respecto a ser el que con dolas á la plaza cañoneó nussti a retirada con un obús de siete pul du…</t>
  </si>
  <si>
    <t>Mornau, Josef Francisco</t>
  </si>
  <si>
    <t>Josef Francisco Mornau</t>
  </si>
  <si>
    <t>…cimiento de varios ramos de instrucción pú =F.s copia—Abisbal.” blica, y especialmente de idiomas, en el que se esmerarán los profesores _ En atención á los méritos y servicios de D. Josef Francisco Mornau en proporcionar un método sumamente fácil: ofrecen su casa , calle de se ha servido S. Al. concederle los honores de intendente. Ifortaleza , núm. 7, cuarto principal , frente á la del Colmillo, donde ___S. M, ha concedido á D. Lus Negro, ebanista de esta cor…</t>
  </si>
  <si>
    <t>Morsa, Francisco</t>
  </si>
  <si>
    <t>Francisco Morsa</t>
  </si>
  <si>
    <t>…rimera ins dría conducir al peligro de ser menospreciada la nac:on en las tancia : personas de sus representantes sin esperanza de utilidad pública, La de Andujar, por renuncia de D. Francisco Morsa, que interrumpen sus sesiones hasta que la diputación permanente , que habla sido frasl idado desde Vigo___La de Tarazona de ia Alanqueda continuando en su encargo, ó el presidente de las Cortes, cha , por dim sion de D. Benito Fernandez Daza, q e habla sido…</t>
  </si>
  <si>
    <t>Mos.o.o, Jo.eí Mart.nez</t>
  </si>
  <si>
    <t>Jo.eí Mart.nez Mos.o.o</t>
  </si>
  <si>
    <t>…las Cortes de d de Juno de la que se queja de virios-procedimientos úel juez de primera ins«i;:, y existir la responsabilidad a quien hubiese. Ut Mr. Apiolando. taiic .i de Madrid D. Jo.eí Mart.nez Mos.o.o, c-;n motivo de Ja Se acordó que pasase á la comisión actual Eelcii.'.stiet un dic- contrata que tenia hecha con la casa rea! para surtir de veno de tunen de la anterior convVion Eclesiástica sobre la exposición de Valdepeñas, y pide se le exL.a la responsabi…</t>
  </si>
  <si>
    <t>Moscoso</t>
  </si>
  <si>
    <t>…o. No cobrar ni poner obstáculo á bande Havana en lasrre, y coiiúucicOáo 70 pasagefos, entre ellos se halla ra alguna en Bahía, donde el resguardo de esta plaza hará sus funcio el general Moscoso y 30 oficiales,sargentos , cabos y soldados. nes. Suministrar io3 pesos mensuales al castillo. La bandera española Nada se adelanta sobre lo que »e publicó en fiuéatro diario de ha pagará los derechos con arreglo al ano di 78, ó séase al libre comer berse pre…</t>
  </si>
  <si>
    <t>…s, sin perjuicio de procurar eficazmente recompensar ración y respete que le habéis dispensado , vuestro compañero sus virtudes y fatigas en los términos y del modo que ¡as mis el general Moscoso.=Es c'pia.=El coronel ge fe del estado ma mas circunstancias permitan. Madrid 20 de Abril de x323.= yor de la división, JacoLo Escario. De acuerdo de la diputación provincial, Juan Francisco Múra Madrid Lunes oí de Abril. te , secretario. El fuego santo de la…</t>
  </si>
  <si>
    <t>…s de k misma ; k comisión , observando que las que debía declararse haber lugar á la formación de causa ai cita monjas no querían ceder el'terreno necesario sino á la fuerza, y do juez Moscoso, como infractor de k Constitución y de las le que esto seria atacar la propiedad , opinaba que no podía accc- yes. Aprobado. derse á ella. Aprobado. La misma com sion, en vista de la solicitud de D- Josef Va La comisión de Legislación , informando sobre la ad…</t>
  </si>
  <si>
    <t>Moscoso, Josef Martínez</t>
  </si>
  <si>
    <t>Josef Martínez Moscoso</t>
  </si>
  <si>
    <t>…Trapero, en que pedia se decretase concedérsele la gracia que solicitaba por ser perjudicial al bien k formación de causa al juez de primera instancia de Madrid público. Aprobado. D. Josef Martínez Moscoso por los procedimientos que con el Otro sobre la exposición de la sociedad de Amigos del pms ha tenido con motivo de una contr t i que tema hecha con la casa de Badajoz sobre el establecimiento de una cátedra en un con real para proveer á ella de vino de Valde…</t>
  </si>
  <si>
    <t>Moscoso, Juan</t>
  </si>
  <si>
    <t>Juan Moscoso</t>
  </si>
  <si>
    <t>…rito y la plaza de Ceuta. hombres el número de franceses y facciosos que hasta el ar de Primera brizada. . A las órdenes del mariscal de campo Abril habian pasado por Vitoria. . . D. Juan Moscoso, comandante militar de ia provincia de Cádiz. Nosotros tenemos en el dia noticias mas exactas sobre este Ettado mayor. Los segundos ayudantes generales D. Jaco particular, y. diremos que todavía es maypr el número de enemi bo Oreiro y D. Vicente Bausat. gos .…</t>
  </si>
  <si>
    <t>…ico por los participando que S. M. había nombrado ge fe político de Cádiz medios ó arbitrios que las Cortes tuvieren á bien' decretar.” di comandante militar de la misma provincia D. Juan Moscoso. Se declaró haber lugar á votar sobre,la totalidad de tóté pro • *•-- El Sr. Salva presentó una exposición de la diputación, „pro-. yecto, y quedó aprobado en todos-Sus artículos. — vincial de Játiva, pidiendo á las Cortes se sirviesen tomar me La comisión pr…</t>
  </si>
  <si>
    <t>Mostir, Héctor</t>
  </si>
  <si>
    <t>Héctor Mostir</t>
  </si>
  <si>
    <t>…Boatur^in, Co ¿estos abusos. El tschaouthbachi no tendrá, derecho {. visitar los; ronel y Edecán del Emperador de Rusia. Cruces supernumerarias de la expresada J3rden á los Srei. D. Héctor Mostir , JiÍáron de ues. ° La Puerta firmará, un tratado de paz y de amistad con Vielcástel','¿onde de Chavare, Conde de Courtibron^ Príncipe la Cerdeña. _ ( de Luxembureo y Vizconde de Castel Bayae, todos empleados 3.0 La Puerta promete admitir lds-buques de todas…</t>
  </si>
  <si>
    <t>Motacey</t>
  </si>
  <si>
    <t>…l. Gu.sona, Sanahuja y Biosca: de Sanahuja se llevaron preso al De Francia hemos recibido las noticias siguientes: Dr. Igiuco Combellas, sacerdote venerando de 3o años de edad, El mariscal Motacey está ya de vuelta de la visita que se pro que gozi de muda reputac on en toda la comarca, y tuvo que puso hacer de las fortalezas de la frontera; y según parece no alojar para es, marse un monton de onzas de oro; de • Biosca se está íaada contento. En aquella…</t>
  </si>
  <si>
    <t>Moté</t>
  </si>
  <si>
    <t>…ores, este partido es el unico que clama por la guerra, porque imagina hallar en ella su p*opio ínteres: este partidoclusive, no contienen ninguna noticia importante. Disiurso del conde Moté de la Cámara de los Pares. sabe lo que va á bu.-car ra la guerra de España; quiere H?cer aili ia contrarevolucion pata consumarla dsspues en Francia: i- conttarevolu- » Señores: Solo al Rey pertenece el Ucrscho de declarar la guerra y</t>
  </si>
  <si>
    <t>Motilar</t>
  </si>
  <si>
    <t>…undo cuerpo del ejército que está á destacamentos; no podía pensar en dejar otros nuevos para blo quear á Lorca, ni menos podía pensar en ponerle sitio ; y así ra. las órdenes del conde Motilar. En la mañana del 13 de este mes solvió ver cómo podía apoderarse de ella por uno de aque¡|os se apoderaron nuestras tropas de esta fortaleza por un golpe de golpes de mano, de que ofrecen pocos ejemplos l.os anales de la mano de los mas arriesgados. guerra.…</t>
  </si>
  <si>
    <t>Moura</t>
  </si>
  <si>
    <t>…o hagamos á ministros — liemos recibido periódicos de Portugal hasta el 11 » y en ellos se franceses la injuria de creer que sean capaces de abrir el paso por nues rnos que el Sr. diputado Moura hizo una1 proposición, en que mani tro territorio á egércitos extrangeros. Yo les luego encarecidamente qu« festaba que habiendo declarado el Rey de Francia en la apertura de las no» dígan con qué esperanzas , con qué gaiantias se arrojan á un porve Cámaras q…</t>
  </si>
  <si>
    <t>…onerse con atmas ó sin edas áLf La proposición fue apoyada por un gran número de diputados, y egecucion de. alguna ley , acto d- justicia , servicio legítimo ó providen m autor el Sr. Moura, tomó la palabra , y. dejo:-Pido al congreso que cia de las autoridades, ó de atacar ó resistir violentamente 4 estas ó f mi p.oaosicion se examine por una comisión, y también pídola mayor tus ministros , ó de excitar la guerra civil, ó de 'hacer daños á pers…</t>
  </si>
  <si>
    <t>…para hacer una proposición que juzgaba muy urgente , r bre vano; y se abriría otro manantial mas fecundo todavía que los an que tenia una intima conexión con la que hab a hecho el Sr. Moura teriores de nuevas guerras, que acarreasen la destrucción de todos los en la sesión anterior. Las Cortes decidieron por aclamación que la hi Gobiernos de Europa. ciese , y su autor dijo : Tal vez se reconoció que la revolución de España se habia verifi Sr. pr…</t>
  </si>
  <si>
    <t>…n subsiste. La Reina si El Congreso acordó que pasase á la comisión especial que entiende gue con sus ataques de convulsión. SS. AA. continúan sin novedad en en la proposición del Sr. Moura, y que se agregase á ella el autor de su importante salud.” esta. NOTICIAS DE ESPAÑA. Primer diitrito militar. (Madrid.) Véase el artículo de oficio. El Liberal Guipuzcoano publica el siguiente extracto de los perió San Sebastian 13 de Febrera. dicos de París…</t>
  </si>
  <si>
    <t>…ocupado militarmente, por el dictamen de la comisión diplomática sobre las proposiciones hechas por que su autoridad seria nula, y podría paralizar ó entorpecer Las operaciones el diputado Moura, en vista del discurso del Rev de Francia á las Cáma militares, por cuya razón le parecia conveniente que se suspendiese la mar ras. Aunque nos reservamos el dar cuenta de estas sesiones con Li proliji cha de la regencia para cuando las circunstancias lo perm…</t>
  </si>
  <si>
    <t>…a • su partido. Sin emiv.rgo, esta merece el mismo crédito que mereció Lisboa 8 de Marzo* en Braganza la que lucieron correr allí los facciosos de que Braga, En la sísion del 6 el Sr. Moura llamó U atención del CoBgíeso con' Gurmrrraens, Qporto y Lamego se habían unido con ellos. el discurso siguiente: •&gt; Señores: las noticias que acabamos de recibir de En Ja sesión del 8 se dió cuenta de haberse enviado una diputa Inglaterra son las mas lisonje…</t>
  </si>
  <si>
    <t>…ier VURTUCAt. tos y defendidos por aquella egida impenetrable que forman ios coraLisboa 10 de Marzo. zones de todos los portugueses. Fn la sesión de Cortes del d.a 8 d;o cuenta el Sr. Moura, como » Las bendiciones del Guiador descansan por tanto sobre V. M. y pretiuer.te de la comisión nombrada para felicitar á S. M. en nombra sobre su augusta familia. d. i Congreso por la aiocucion que se había dignado dirigir á los por «Las prosperidades públi…</t>
  </si>
  <si>
    <t>…no s-.r ar.t constitucional. aj.s.on. El orador p.-or.unc o a este fin un largo discurso , comh -t.-.iuio la El Sr. Aforra se opuso en esta parte al aitícuio en cuestión, idea del Sr. Moura de- que el mensaee era anarqn.co adema» ce sosteniendo enérgicamente que ia comisión no piopone medidas antipoi.tico , pue-s en e! no se iba a c&gt;bii¿ar j1 Rey a qu- ío ba tac ices: defendió que era anticonst tucional el mandar un men ga, sino á pedirle eon el…</t>
  </si>
  <si>
    <t>…a Constitución promulgada pol que no estaban bien conceptuados. las Cortes de r ¡ja i que habia jurado con toda espontaneidad.” Se procedió ¿i ia lectura de la carta pedida por el Sr. Moura, No pudo contenerse el entusiasmo de ios Sres. diputados y ,-F que era como sigue (véase la gaceta del 3). los espectadores: los vivas á la Constitución, al Rey const.nicioEl Sr. Castello Branco habló en un largo discurso contra el nal, y á los portugueses qu…</t>
  </si>
  <si>
    <t>…u deber comuni El Sr. Basilio Alberto pasó la lista de los señores diputados, carle que se disponía para presentarse á desempeñar sus fun y dió) cuenta de su resultado. ciones. El Sr. Moura dijo: Señor presidente, hoy es un dia en que El Sr. Galiano dijo: Pido se haga de esta representación el los grandes raciocinios y discusiones son inoportunos: solo debe uso conveniente. tratarse de manifestar cada uno sus sentimientos tranquilamente, Se acor…</t>
  </si>
  <si>
    <t>…e á cos rio. r=Con una rúbrica de S. M. = Palacio de Villafvanca de ta de su vida ia defenderia , poique no seria nunca perjuro al ju Mayo de 1823.” ramento que había prestado. El Sr. Moura dió ¡os mayores elogios al pueblo de Lisboa, Extracto de noticias. y dijo que nunca aprobaría la traslación de las Cortes, porque Del Realista español__.Con este título ha aparecido en Ma en ninguna parte podrian estar con tanta seguridad como en la drid un p…</t>
  </si>
  <si>
    <t>Moure</t>
  </si>
  <si>
    <t>…que después de hecho el víage, y un mes mas, es decir , cuando están total. Echos todos Jos sorteos extraordinarios decretado» por tas Corte», ique En la octava votación lo fue el Sr. Moure por 83 voto» , teniendo ur.t» “'líeos quedan después: Nenguno. Propone [a conus.on en este ait.^ulo que cí Sr. Suarez. d individuo que le loque la suerte de soldado puede continuar en ia mil.cía Iin la novena votación lo fue el Sr. lXe; por 8t voto», que era…</t>
  </si>
  <si>
    <t>…de filosofía. Se mandu pasar ,i la com son de Legislación. A la del Crédito público una exposición de lo* cinco Gremios mayó La conistió» de Guerra, cu vista de la proposición del Sr. Moure -mm</t>
  </si>
  <si>
    <t>…me proponia el Sr. González Alonso. rece ningún crédito. Igualmente se mandó pasar á la misma comisión otra adi Parece que se ha instalado ya el nuevo gobierno que ha de ción del Sr. Moure á dicho proyecto para que se declare que el regir en las provincias de España donde dominen las armas fran tiempo de servicio del reemplazo del ejército se limita solo á la cesas. Se da el título de Gobierno provisional, y no de Regencia duración de la guerra…</t>
  </si>
  <si>
    <t>…cidas legislativas necesarias para que la Nación repela con la Se mandó pasar á la comisión de Guerra una adición del fuerza la injusta agresión de nuestros enemigos; indicando al Sr. Moure á dicho proyecto, para que se declare que el tiempo m suiu ílcíupó á S- M. que las Cortes creen oportuno en la cri de servicio del reemplazo del egército se limita solo á la dura sis presente que no separe al ministerio acre al hasta que esté ción de la guerr…</t>
  </si>
  <si>
    <t>…provinc-as de El Sr. LLuiz de la Vega hizo presente á las Cortes que este Ultramar. interesado por su adhesión al sistema se halla perseguido, y sin Se aprobó una proposición del Sr. Moure, en la cual repro poder obtener las órdmcs.mayores, fundándose esta negativa en ducía las que anteriormente tenía hechas acerca de hacer exten que aunque era profeso no era regular, por lo cual pidió) que la sivos á Ja M. N. A. varios artículos de la ley orgá…</t>
  </si>
  <si>
    <t>…AÑOLA. SEVILLA SABADO 31 DE MAYO DE 18x3. NOTICIAS EXTRANGERAS. ya remitido al Gobierno estas observaciones, por cuya razón se veía que en este estaba la detención. INGLATERRA. El Sr. Moure pidió la lectura de varios artículos de la orde LdnJrct 6 de Maya. nanza para el gobierno pohtico-económico de las provincias, J Hemos recibido de América las noticias siguientes: el 10 del decreto de 27 de Enero de 822 ; y verificada esta hizo Santiago .«&gt; C…</t>
  </si>
  <si>
    <t>…do de los negocios de Justicia, esperandoSe tuvo por de primera lectura la que se hizo de la siguiente la llegada del correo que envié ayer á S. M,: mientras perma proposición del Sr. Moure: »Pido que el decreto de las Cortes nezca aquí, y lo mismo cuando baya salido, y en cualquier parte de 26 de Setiembre de 1812 , en el que se previene que ucban que sea, estoy pronto á cumplir ias órdenes de S. m. comunica quemarse las banderas de los afrance…</t>
  </si>
  <si>
    <t>…diputado no ha aprobado esta proposición. j yecto presentado por la comisión de Guerra acerca de las propo El Sr. Albear: Yo he aprobado ia proposición; pero si se í siciones del Sr. Moure relativas á la organización de los batallo ha de expresar que lo ha sido por unanimidad no la aprobaré. ■ nes de milicia nacional activa. (Véase el Espectador de 9 del cor Interin se presentaba el Gobierno á dar cuenta á las Corte* riente , sesión del 8.) Que…</t>
  </si>
  <si>
    <t>…a , de Sta. Catalina y de San Se leyó por segunda vez y mandó pasar á la comisión de Le Andrés, que hacían en otro tiempo parte del víremelo de Santa gislación una proposición del Sr. Moure , relativa á que se pro I-e, han sido reunidas á la república. Con este motivo el Go ponga un proyecto de dc-ertto que resuelva algunas dificultades bierno de Chile ha publicado una correspondencia acompañada ocurridas en la concurrencia de los militares en l…</t>
  </si>
  <si>
    <t>…liquidación , le satisfarán en Se leyó por segunda vez, y se mando pasar á la comisión de último término los sugetos á quienes se hubieren encabezado; y Guerra, la proposición del Sr. Moure, reducida á que se declare si estos hubieren fallecido , ó no existieren, ó fueren supuestos que el servicio de los milicianos provinciales que salieron quintos sus nombres, el perjuicio lo sufrirá el primeéo á cuya mano hu con anterioridad al restablecimient…</t>
  </si>
  <si>
    <t>…eficencia puedan ejercer La comisión de Guerra presentó los siguientes dictámenes. sus funciones desembarazadamente y sin les obstáculos y dificulta L'r.o sobre la proposición del Sr. Moure para que á los quin des que han experimentado hasta ahora , especialmente por la va tos de milicia activa que se sortearon antes del restablecimiento ría inteligencia que se ha dado á los art. t 2 , 2 5,40 , 127,128 y 134 de la ley de 25 de Enero de 1822 , se…</t>
  </si>
  <si>
    <t>…entonces se va la salud de la patria , lo hizo á las Cortes de las que le paree.eren riarán las elecciones. mas necesarias. Las circunstancias críticas que entonces se tuvieron El Sr. Moure redamó el cumplimiento de algunas proposi presentes para aprobarías, esta lejos el Gobierno de creer que havan ciones que liabia hecho acerca de las rectificaciones referidas, y cesado; y por tanto no cree que se este en el caso de que se quiten que se habían…</t>
  </si>
  <si>
    <t>…dministrar sus bienes sin necesidad de curador. da la segunda, y que volviese ¿i la comisión. A la comisión de Hacienda se pasó también el expediente Otro sobre la proposición del Sr. Moure acercad; que la nvspromovido por el Mayordomo mayor del Rey, sobre que el pa ma comisión presentase un proyecto de decreto rciat.vo ai mudo go de las pensiones, viudedades y limosnas concedidas á criados de concurrir á las elecciones de ayuntamientos los nubl…</t>
  </si>
  <si>
    <t>…la proposición deL Sr. Alvarcz, y constante en el deseo de que no lo son, alcance á aquellos lo que no merecen. que las Cortes den pruebas de protección á las personas encarga El Sr. Moure hizo presente que advertía no hacerse menc’on das de la enseñanza , .opinaba que las Cortes se sirviesen declarar en este dictamen de los tres diputados provinciales de Orense, derogado el artículo ó.° del reglamento de Instrucción pública. Viilafranca y Ovie…</t>
  </si>
  <si>
    <t>…a, pid.ofido !av lud.Lid corresponderte, La comisión de Visita del Cred.ro público en vista de la pro opinaba que se diese á esta viuda la cuarta parte del sueldo cae posición del Sr. Moure que decía: «Pido á las Cortes se sirvan tema su difunto marido. Aprobado. declarar que todo secularizado que hubiere hecho o haza uso del Se leyó ia siguiente propos cion del Sr. Moure: " Fdo a las hábito ó vestimenta de su religión después de haberse veri Có…</t>
  </si>
  <si>
    <t>Moure, Josef</t>
  </si>
  <si>
    <t>Josef Moure</t>
  </si>
  <si>
    <t>…e el general fíchr.varn se hsy l|c.enc‘*» Y de los exonerados de su encargo. El mismo Ür. Romero liaba en Jalapa á visitar ¿ Iturbide, y qoeia voz ^tíneral es que Santan* d-jo que D. Josef Moure , diputado suplente por Galicia que debía »£ decidió á esta empresa de resultas del mal tratamiento qu* recibió reemplazar al Sr, Patifio , había presentado sus poderes á Ja Diputa Iturbide el dia 27 de Octubre. A su venida pura dejó estabitcidc d ción perman…</t>
  </si>
  <si>
    <t>…siguen su antigua marcha. Se leyó el dictamen de la ■‘.omisión de "poderes acerca de los pre A beneficio de datos falsos , de presunciones prematuras y de arbitra sentados por el Sr. D. Josef Moure , diputado suplente por la provin rias suposiciones , se crea una fantasma que confunde ledos les juicios, cia de Galicia , los cuales opinaba la coin.sion qu; estando conformes todos los discursos , y lo que es peor, que.embrolla todos lo» naceos» con lo pre…</t>
  </si>
  <si>
    <t>Mousin, Josef Antonio Guerreiro---- Josef Xavier</t>
  </si>
  <si>
    <t>Josef Antonio Guerreiro---- Josef Xavier Mousin</t>
  </si>
  <si>
    <t>…se han repartido en los pueblos donde no se ha he Dios guarde á V. E. Lisboa 2 de Junio de 1823. = limo, y cho: La comisión, repito, no hace inculpaciones á la diputación, Excmo. Sr. Josef Antonio Guerreiro---- Josef Xavier Mousin á propósito ha llevado el mayor estudio en las palabras al exten ho de Silveira. der su dictamen; y asi dice que continúa con el mayor zato: esto Respuesta al ofi io precedente. indica que lo ha tenido; no podia decir que la diputación no ha limo, y Excmo. Sr…</t>
  </si>
  <si>
    <t>Mousudun</t>
  </si>
  <si>
    <t>…res, comandante del reco nocimiento , á cuya ciencia y denuedo se debe tan fel z resultado ; al capitán Feruel, su ayudante de campo ; a) Sr. Alingry, su oficial de ordenanzas; al Sr. Mousudun, oficial de ordenanzas del genera' Bomk; al Sr. Cretet, capitán del 7.0 de cazadores; al Sr. Girouu, tnirnte del mismo regimiento, que hizo pr stoneto al general español; al sefior de Joleau, teniente del de húsares; é los sargentos primaros Dartix y Lacrois;…</t>
  </si>
  <si>
    <t>Moütor</t>
  </si>
  <si>
    <t>…uía la gavilla de Santo Bania sobre el camino medio de las aclamaciones de todo el pueblo que salió á recibirle, i de Oviedo por Mier, Cangas é Infiesto, alcanzó el 23 á este __El conde Moütor ha dado parte a S. A. R. de que Ja van partidario, le hizo prisionero con 35 de los suyos, y le cojió guardia del segundo cuerpo estaba el 30 en Monfort-, frente á 300 fusiles. Continuando el alcance de la gavilla, qus se com Alicante, y en Elche, jornada y m…</t>
  </si>
  <si>
    <t>…ondres 2 de Julio. da á Mantesa , porque parece que solo le hemos ocupado para es Es seguro que se aumentarán en Portugal los elementos de la tar en comunicación con el cuerpo del general Moütor cuando discordia civil si el Rey , ó mas bien el conde Palmclla , lleva ocupaba á Balaguer y á Fraga. Si se abandona este pueblo, no Jas cosas al extremo. Es cosa bien sabida que habrá dos ó tres cabe duda en que serán superiores los constitucionales que son…</t>
  </si>
  <si>
    <t>Moy, Antonio</t>
  </si>
  <si>
    <t>Antonio Moy</t>
  </si>
  <si>
    <t>…con los cantares proscritos, uno de de las Medas, de una parte; y de la otra el Sr. capitán del; ejér los mas atrevidos, fingiendo convencerse, se le acercó improvi cito nacional D. Antonio Moy , caballero de la Real y militar samente con una navaja que llevaba escondida; hizo consumar su orden de S. Hermenegildo, condecorado con la medalla de oro carrera á un militar tan benemérito que pudo escapar de tantos por los padecimientos por la patria, y c…</t>
  </si>
  <si>
    <t>Moya, Justo</t>
  </si>
  <si>
    <t>Justo Moya</t>
  </si>
  <si>
    <t>…ambición se alimenta en el des El rq dispuse que al amanecer saliesen los tenientes D. Alejandro Ro orden , en la anarquía y en la ruina y destrucción de Ja existencia del bles y D. Justo Moya con 80 hombres de Pontevedra y Fenol á re mundo moral, que depende del orden, de principios, leyes y reglas que correr los puntos de S. Andrés de Roade y el Castro, pues en el pri para su felicidad establecieron en sociedad loe hombres. Esta bestia fe mero se…</t>
  </si>
  <si>
    <t>Mozo, Joaquin de Lorenzo y</t>
  </si>
  <si>
    <t>Joaquin de Lorenzo y Mozo</t>
  </si>
  <si>
    <t>…i vida, dispuesto justes deseos de tan beneméritos militares. constantemente i morir por el Rey nuestra Señor, por la reli gión católica y por la pafria.zrjoaquin Lorenzo Mozo. El Sr. D. Joaquin de Lorenzo y Mozo, consejero honorario de Guerra, y.corregidor de esta M. H, villa, en »4 de Mayo NOTICIAS EXTRANGERAS. próximo pasado fue presentado ante S. A. R. el Serroo. Señor duque de Angulema, y pronunció la siguiente arenga. HUNGRIA. »Sermo. Sr.: En este dia, en que re…</t>
  </si>
  <si>
    <t>Mozo, Joaquín Lorenzo</t>
  </si>
  <si>
    <t>Joaquín Lorenzo Mozo</t>
  </si>
  <si>
    <t>…el pueblo portugués , mejore sus horas. ia enfermedad de- este al ayudante primero D. Manuel bantos. «Cuartel general de la calle del Olivar i.° de Jumo de El corregidor de Madrid D. Joaquín Lorenzo Mozo publicó 1823.=: Jorge Aviiez Juzarte de Sousa Tabares.” un bando pava celebrar debidamente los días del R«y ; y el in 2.a Habitantes de Lisboa: «El comandante en gefe os dirice tendente de Madrid había felicitado á la llamada Regencia, cuya su voz para daros…</t>
  </si>
  <si>
    <t>Mozun, Josef Perez</t>
  </si>
  <si>
    <t>Josef Perez Mozun</t>
  </si>
  <si>
    <t>…lcance , y no habiéndole tocado, le dejó i sus pies pasado con la es siblemente la multa de io3 rs. vn., siendo responsable mancumuna- pada ; é igualmente distingue a! subteniente D. Josef Perez Mozun, damente el surtidor. que viendo escaparse al cabecilla Pelayo , le siguió a pie , le alcanzó , y Y para que llegue á noticia de todos se manda publicar y fijar et volviéndose el cabecilla se agarró á brazo partido con él , le rindió y presente en fos parages…</t>
  </si>
  <si>
    <t>Mozy, Santiago Usoz y</t>
  </si>
  <si>
    <t>Santiago Usoz y Mozy</t>
  </si>
  <si>
    <t>…recibir tan nece interino de la secretaría de Estado, he venido en habilitar para saria instrucción podrán avistarse con dicho profesor, que vive servirla al oficial mayor de ella D. Santiago Usoz y Mozy. Tcn- en la parroquia de S. Andrés, calle del Cristo, núm. 2 , en don dreislo entendido , y lo comunicareis á quien corresponda. En el de se le encontrará desde las once de la mañana hasta las dos, y Alcázar de Sevilla á 7 de Mayo de 1813. = Está señalado de…</t>
  </si>
  <si>
    <t>Mr</t>
  </si>
  <si>
    <t>…l comisionado, Stewar continuaría las negociaciones. Ante» de partir el duque tuvo y con asistencia de los dueños, se reconozcan y tasen por el albeitar nom una conferencia con el ministro Mr. de Villele y el embajador ruso. brado por la autoridad militar, y por otro que nombrará el procurador En et mismo dia llegó á París Mr. Chateaubriand , el cual dicen no sindico del pueblo. viene muy contento, y que se irá al instante á su embajada de Lóndres…</t>
  </si>
  <si>
    <t>…do en las actua’c* «hostilidades.” Cortes, y .tratándose en esta memoria del modo de subrogar otra con Se ha dicho muchas veces qae este periódico era el eco de las opi niones del ministro Mr. de Villele; pero si hemos de dar ctédito i un tribución para la manutención dsl clero , pasase á la comisión Eclesiás artículo de la Cotidiana, esta aserción no es fundada. En ¿I se dice que tica , á la que probablemente no desagradarían las ideas de Lezama.…</t>
  </si>
  <si>
    <t>…oficial interrumpió la plática, asegurando á los soldados que á la Rusia. pronto estarían contentos. __Varios individuos han hecho un regalo de ciertas piezas de plata al Idem 30. ministro Mr. CanDing: la política qua sigue 1c hacen mas digno de sus El general Llobera atacó ayer los facciosos que manda J B. BatV, conciudadanos. alias Bronce, y se habían reconcentrado ea el lugar de R. I&gt; s en nú En Irlanda no han cesado enteramente los desórdenes;…</t>
  </si>
  <si>
    <t>…alianza, y se reduce á una nota dirigirla por el famoso deán de La Nación reconoce desde ahora en el gran libro la cantidad, mayor ó los fanatices ultras M.'. Aquilea Jauffroy al ministro Mr. de Montmo- menor , de 40 millones de reales para la indemnización que resu'te de renci con fecha 23 de Setiembre de 1812 , y en la que este fanático se la transacion mencionada; dando con esto una prueba de la sinceridad explaya á las mil maravillas sobre la…</t>
  </si>
  <si>
    <t>…as ia coníanza del Rey me mantenga motivo de las reflexiones hechas por el tiuque de Wellingion viéndo tntl pumo que hoy ocupo, no habrá guerra ni con España, ni con se acosado el ministro Mr, de Villele por lo» furibundos fanmeos del «Ui ninguna potencia, porque me parece, por muchas razones, que la pavellon Marsan, ¡es contesto solamente: &gt;1 Dejadme morir tranqui cuestión de la guerra et la mas importante que hasta ahora se ha ven lo.” Por otra…</t>
  </si>
  <si>
    <t>…muestra de su zelo por el El 24 estaban en Londres los 3 por 100 consolidados á ^as ins bien de la patria, y que se inserte en la gacela. cripciones de España del año 21 á 32J. El ministro Mr. Canning había dado un magnífico banquete al duque y duquesa de S. Lorenzo, y asistie ron á él el duque de Wellington, y los Síes, conde de Liverpool, Hus- En el dia 28 del pasado empezaron á ingresar en la caja de quintos de kisson y otros personases. la pro…</t>
  </si>
  <si>
    <t>…nos heridos, que después observamos Gendarmería. Dos compañías 80. ponían sobr: los caballos. La serenidad con que los granaderos, caza Artillería. Secundo regimiento de á pie, su coronel Mr. Mathieu, dores y fusileros avanzaban sobra los ficciosos, el fuego horroroso y 4ÓQ. Tercero ídem de á caballo, Ídem el barón Marsellac, 120. Cua sostenido que se lesjdzo, y la calma con que despucs de todo se sen tro compañías de obreros de artillería, 100.…</t>
  </si>
  <si>
    <t>…l cm laLmo Rom -ro A puen la guardia nacional , llamado Mr. Mercler , se negó á poner las ñuños te, y por lo mismo se debe dejar a ía ley que obre en este caso. \o no tn dcUncr *1 diputado Mr. Manut!, como *• iubí* latsatario, y *</t>
  </si>
  <si>
    <t>…teresante publicar hoy parte de la stsion que arriba ciales. Est: dcst.ramento se coloca delante de la guardia nacional y da »e cita. los inválidos. Hibiendoentrado en el salón el diputado Mr. Manuel, á pesar de las El lado izquierdo permanece impávido. órdenes dadas á los cuestores y ujieres, leyó el presulrite el art. 9* El coronel d: gendarmería se acerca á los diputados, y dice: * Teña del reglamento, cu virtud del cual tiene este á su cargo l…</t>
  </si>
  <si>
    <t>…Las noticias de Perpiñan comunican h.b. r llegado á iquilla ciudad Idem g- el conde Duverger, primer ayudante de campo dtl ministro de Gjrrra, Se decidió* al fin la exclusión del diputado Mr. Manuel de (a C-mi que dicen va encargado de una comisión de la mayor unpojtanc.a. ra de los Diputados de Francia , y este hecho escandaloso será un nue También había Legado a Perpiñan el general Gnnsai'st. quien sa vo borrón en nuestra historia. La sesión en…</t>
  </si>
  <si>
    <t>…sobre la pro para cuando pueda llegar el caso estará dasrnipsñzdo con órdenes y posición de Mr. bappey. Queda adoptada. disposiciones oportunamente dictada: por el br. comandante general Mr. Casimiro Perrisr propone una modificación, dirigida á que se del distr’to. autor.ze á Mr. Manuel para que pueda recusar i 70 individuos. (A la — Anteayer sábado al medio dia salimos de dudas ac-rca de la causa derecha: no, no! (Se continuará.) de no habimos…</t>
  </si>
  <si>
    <t>…nos trae á la memoria otro no menos honorífico para los nes , sacado* de las familias distinguidas, y principalmente de la» de spezziotas. Estos, en viitud de una s mple carta del cónsul Mr. David los ulemas. Estos jóvenes musulmanes debían adquirir bajo los ampí al senado de jip'zzia , restituyeron un cargamento de gorros pertene elos del Rey Cristianísimo todos los conocimientos pertenecientes a Jas ciente á unos tunecinos que se haüabaD en Sm…</t>
  </si>
  <si>
    <t>…que se usa en Irlanda para romper con de a peseta por individuo para costear una corona cívica, destinada al barrenos ios peñascos debajo del agua, valiéndose de la campana de los diputado Mr. Manuel, y cuando salió el correo habia ya jrecogidos mas buzos. Para esto se emplean tres operarios; el uno sostiene el instru de 15Q francos. En IVis s* despacharon, burlando la vigilancia de la mento de ii.— io propio para horadar la roca , y los otros dos…</t>
  </si>
  <si>
    <t>…ientos lo principal es no faltar á la verdad. administrativos ni una decidida moderación de principios y de carácter. *En cuanto á la calificación de enemigos ó de absurdos que el señor Mr. Pelet nació en la religión reformada; creyó que la me|or varan tía relator se digna dar á los deseos de los ciudadanos, que por lo m:tios para los reformados del Gard era la reelecc on del conde de Saint-Au - tienen tanto ínteres como él en la conservación d…</t>
  </si>
  <si>
    <t>…rar» animarum. Art. 6.° Se suspenden los efectos del ar yo 13 de i823=Excmo. Sr.=Francisco de Langa. =Excelentísitículo anterior respecto de los que hayan obtenido en tiempo há mo Sr. Mr. Guilleminot, mayor general del ejército francés y bil y con las formalidades canónicas capellanías de sangre, y no realista español. esten ordenados de mayores. Madrid 28 de Junio de 1822.=:Por tanto mandamos á todos los tribunales , justicias, gefes, gober…</t>
  </si>
  <si>
    <t>…te año la conscripción correspondiente al de Y. S. , :i comí efecto recibí de aqnel gobernador de itm.-j. las instmociones «pie al efecto acompaño en copia. =» Coñ este motivo, el diputado Mr. Laisné de Yi- '■'.'siguiendo mi marcha, eran las once de la mañana IInvoque pronunció un elocuentísimo y enérgico dis cuando descubrí el mesón del Y ¡cuto. y me llamó la. curso en contra de dicho proyecto; y no podiendo atención la vista de gente «le infante…</t>
  </si>
  <si>
    <t>…perseguía El Coronel d’Argout ha continuado: está operación con el vivamente al enemigo , logró alcanzarlo el 13 en Jaén , a tiem mayor vigor y actividad. La conducta del teniente coronel Mr po que se hallaba ocupado en exigir contribuciones. Riego trató de Chateaubriant le es muy satisfactoria; y al mismo tiempo qué de defenderse en Ja ciudad ; pero el Teniente General Bonno- da parte de que. en esta acción han rivalizado en valor y deci mains l…</t>
  </si>
  <si>
    <t>Mrrc.er</t>
  </si>
  <si>
    <t>…rnier, sargento de la cuaila legión de '.a guardia nac.ouaí V. E. muchos años. Guadalajara íg de Marzo de itíag ecEx^ma. Sr.= de Paris , liemos mandado y mandamos lo siguiente: ei Sr. Mrrc.er, Juan de la Cuadia.emExcrno. hr. conde del Abisval.” sargento de la cuarta legren de Ja guardia nacional de Paris, será bor —En un periódico de esta capital se hallan las siguientes noticias re rado inmediatamente de tbeha guardia. ( Hito ¡e llama no pararse…</t>
  </si>
  <si>
    <t>Mtlo</t>
  </si>
  <si>
    <t>…gada de extender el proyecto tiérrez al dictamen de la comisión Eclesiástica sobre arreglo del clero. sobre el arreglo definitivo del clero, que está sometido á ia deliberación E¡ Sr. Mtlo; Me parece imposible volver á hablar de este asunto del Congreso , no puedo menos de conocer que su autor ha despejado sin rrp-ti lo que antes se ha dicho. Constituido en esta alternativa, en gran manera la principal cuestión ; pues emitiendo con prudencia y…</t>
  </si>
  <si>
    <t>Mtria-</t>
  </si>
  <si>
    <t>…, v en dispensarme la honra de que le sustituya en la mis tivos había de temer si no »e estaba ¿ ia mira; en que ha consis-tima calidad de interino ha.t.i ¡a becada del prup.eUrio D. Mtria- do que se dejase continuar el desorden algunas horas , v que ñor jo Zorraquin. Lleno de reeonr amiento a esta distinción , y acos haya sido arrestado ninguno de los motores y principales autores tumbrado siempre á ocupar el puesto ;¡ que se me destina , qui d…</t>
  </si>
  <si>
    <t>Mu</t>
  </si>
  <si>
    <t>…nio Lorenie , el conde de Floridablanca, D. Juan anur.c’o, sus proposiciones en la misma factoría, en donde por cl gcfe Antonio Marco, Di'Saturnino' Lozano , D. Tomas Torresar.o , D. Mu de ella se les ciará noticia del dia en que haya de celebratse el remate nuel Carnicero y D. Lorenzo Latnbea. de ia empresí,-y las condiciones con que deba verificarse.-............ Habida la conferencia , sj declaró por unanimidad « habit logar á la • • ----…</t>
  </si>
  <si>
    <t>…«'a upados por el enemigo, sin pagar'rñ.¡s derechos consiguiente se pagarían los derechos. Que en cuan que los cjue pagan las harinas procedentes de puer to á la observación «leí Sr. Mu¡íi sobre que podíanla» tos libres. Córtes no estar reunidas para fines de diciembre, la Se mandó quedar sobre la mes* el dieiámen de comisión habi n creído que no ilebiu ¡levar.-!.' «’i per la eoini ;ion «le Hacienda proponiendo medidas pava miso mas allá de…</t>
  </si>
  <si>
    <t>Mu-n</t>
  </si>
  <si>
    <t>…as d-1 Archipiélago, que se habían sometido á los turcos , han Sr. diputado. tomado de nuevo el partido de la insurrección. De la milicia nacional voluntan» de la Cortrñt , por el Sr. Mu-n. Del ayuntamiento de un pu»b o del partido de Campos , en la pro PORTUGAL. vincia de Valladolid, por el br. conde de Aditicio. Lisboa 24 de Enero. Del ayuntamiento , milicia voluntaria de ambas arma» y aociedid El capitán de un buque procedente de Maranon, qu…</t>
  </si>
  <si>
    <t>Mu.oz</t>
  </si>
  <si>
    <t>…llamado nueva poblac’on de S. Cárlos se porque nadie habrá que haya tenido mejor proporción de ¡lacer edifico en los años d.e 1774 y 177c , y cst. tmre ia Isla ce León ia que c-1 general Mu.oz . que vivió 40 anos en Cádiz, donde fue y la Carraca , á igual distancia de una y otra , y se tundo para fa comandante en gafe del cuerpo de ingenieros , establee.do en la cilitar las comunicaciones de entrambas plazas. Está habitada Carraca , famoso arsenal…</t>
  </si>
  <si>
    <t>Müans</t>
  </si>
  <si>
    <t>…e ha dirigido ánimo sea pasar aquel rio alguna fuerza, y adelantar sobreestá una nota al vizconde de Chateaubriand, diciéndole que en virtud capital, aunque tal vez el hallarse el general Müans con su divi de las instrucciones que ha recibido de su Gobierno considera sión en Besalú , el comandante militar en Tortellá , y el general como interrumpidas las relaciones de amistad entre los dos paí Mina , según se me asegura , en Olot, les contendrá algú…</t>
  </si>
  <si>
    <t>Muerza, Josef</t>
  </si>
  <si>
    <t>Josef Muerza</t>
  </si>
  <si>
    <t>…s que se arrojaron sobre esta masa ; al brigada Broun que se miento de dicha,villa, que dirijirán á D. Josef Bonifaz ó í echó sobre un destacamento , despreciando su fn-go, é hizo D. Josef Muerza, procuradores síndicos de ia misma, que los prisionero al oficial que le mandaba; al de igual clase Parrat, que admitirán hasta el dia 20 del corriente mes. llegó el primero sobre las piezas, y acuchilló á los artilleros eti Se halla vacante el partido de cir…</t>
  </si>
  <si>
    <t>Muguiro, Juan</t>
  </si>
  <si>
    <t>Juan Muguiro</t>
  </si>
  <si>
    <t>…to y fornituras para infantería ds línea: 55 D. Joaquín Cevallos. D. Josef Urrutia y Anatia. para caballería también de línea: 66 para idem ligera: 13 para artilfrI&gt;. Josef Brull. D. Juan Muguiro. lía , y otros 13 para zapadores, que en todo componen los 774 hom P&gt;. Juan Jabat. D. Antonio Lambea. bres de su cupo. D. Celedonio Martínez. D. Baltasar Martin Pérez. Ademas y en este intermedio ha organizado la diputación com D. Tadeo Parras Hermosilla. D.…</t>
  </si>
  <si>
    <t>Muidlo</t>
  </si>
  <si>
    <t>…formar en el café Teissier, plaza de los Celestinos. de guarnición in lo interior; Hice unos cuanto* dias qu? se han distr'huido fusiles enfe (i) Hace a uuon á la declarac on del general Muidlo, en los vicióos. V !o¡&gt; ! an t.-cib.iro con í.i maicr aepr.i- f ’V en que no reconoce mas autoridad que la dei Rey , y cu su nom- estos aliedsdor-s mes de ;£&gt; pr imos á o rio á las armas a ia kfe la de la Regencia del Remo. menor señal. Lo. 24 pudúes ¿c* con…</t>
  </si>
  <si>
    <t>Muifi</t>
  </si>
  <si>
    <t>…opongo á la apro del bien de la Nación.. Las cpmisiones se componen de diputados , y bación de este artículo. tío embargo sus dictámenes no se ponen en cgecucion sin que se to El Sr. Muifi : El Sr. preopinante ha principiado su discurso coa men en consideración por las Cortes; pues en el mismo caso nos iar una suposición que rea!menta no existe. Ha dicho S. S. que todos los hamos con este asunto. JPodrá decírseme: si np se aprueba el dictamen,…</t>
  </si>
  <si>
    <t>…si es posible, y recobrar el ter La comisión de Diputaciones provinciales, en vista de la proposi reno que de pocos dias á esta parte van perdiendo rápidamente. Esta pri ción del Sr. Muifi para que se hiciesen extensiva» i las islas Canaria* mera hipótesis tiene mucho de posible , y aun de factible, si las supe las lacultades concedidas i !?.■ diputaciones provinciales de la Penínsu riores autoridades civiles y militares de estas provincias no…</t>
  </si>
  <si>
    <t>Muiguiru, Josef Francisco</t>
  </si>
  <si>
    <t>Josef Francisco Muiguiru</t>
  </si>
  <si>
    <t>…déla Vega y Quintana. D. Cayetano Rubio. D. Luis de Mata y Araujo. D. Bei nardo Asen jo. _ Debiendo empezarse desde luego las operaciones preliminares par.» D. Gregorio Mendivil. D. Josef Francisco Muiguiru. ci pago del dividendo de 30 rs. por acción en metílico por ios años, de 1821 y 11 acordado es^la junta general de accionistas de! banco ce JVómfr cdos jeor el 1 Kcmo. ayuntamiento. lebrada en 24 de este mes, se avisa a los accionistas que desde hoy 26 D. Ani…</t>
  </si>
  <si>
    <t>Munainz</t>
  </si>
  <si>
    <t>…d de este, por negra é infa De la diputación provincial de Pamplona y ayuntamiento de aque me que fuese , excitó nunca mayor disgusto , n¡ causó tanta indigna lla capital , por el Sr. Munainz. ción a toda la Nación británica como el discurso del legitimo Luis.” Del ayuntamiento constitucional de Msrchena , por el Sr. B-cerra. Se está preparando una exposición al G-obiemo filmada por los De la miLcia voluntjiía, patriotas y cura párroco de Fuente d…</t>
  </si>
  <si>
    <t>Muñan</t>
  </si>
  <si>
    <t>…que vengan á esta isla,” luntarios de artillería y tercio de caballería de aquella ciudad, presentadas Aquel proyecto de los santos aii.tdos se ha confirmado nuevamente e;i por el Sr. Muñan iz. *1 Congreso de’Verona. Ellos han declarado en su circular de 14 de Di Del ayuntamiento constitucional, cura párroco y M. N. L. de k villa ciembre último, que están cada vez mas unidos para reprimir teda revolu de Estela, provincia de Cádiz , presentada po…</t>
  </si>
  <si>
    <t>Munarnz</t>
  </si>
  <si>
    <t>…;. .- escrutinio para vxe-presidente no hubo elección , te go ¡ no siéndome de poca satisfacción el respeto y aprecio que merecen niendo el Sr. Marau 53 votos, el Sr. Falcó 46, el Sr. Munarnz uno, mis relaciones. el Sr. Becerra uno, el m. Vega nnn, ol s«. Cnas uno, d o.. Im .n,. En otras del 18 se dice : Se ha formado un Congreso para arre uno, el Sr. Garmendía uno, el Sr Fetrcr (D. Joaquin ) uno, el se glar el mido de minorar &lt;1 poder é influenci…</t>
  </si>
  <si>
    <t>…os gunas tropas del egército permanente; y haciendo un pequfcño descanso poi su prudencia y conocimientos. en la villa de Torrrjon'de' Ardoz, llegué á las ocho de la poché i 1/ El Sr. Munarnz: Este artículo le considero contrarió i lo que ciudad de Alcai-i de Hsnares. El ar , entre seis y siete de la macana, previene el . 36 de la Constitución. El Rey no tiene otro cuerpo seguí halla Guadalajtra-, y descansando unas dos horas, continué mi ñ quien…</t>
  </si>
  <si>
    <t>…o M. Ni. de aquella vi 11 % , tta&gt;. nbiendo el que le htbia pasado el di la marían excitados por la necesidad. M. N. de caballería di 'a misma D F mando López. Resulta que este El Sr. Munarnz ; A! pedir la palabra en contra del dictamen no ¡e adelantó con la caballería i la cortijada llamada Casas de D. Juan es mi ánimo desconocer que la benemérita ciudad de Barcelona exige Pedro , á Sn de adqu rir noticia» di tos facciosos que se decía haber una…</t>
  </si>
  <si>
    <t>Munarriz</t>
  </si>
  <si>
    <t>…ada del proyecto sobre sí modo de ma NOTICIAS DE ESPAÑA. nifestar la gratitud nacional por los acontecimientos del 7 de Julio , en Coruña 2- de Diciembre. vi t_3 de la adición del Sr. Munarriz, relativa al peso de ia medalla de Con fecha de ayer se participa haberse restablecido enteramente la que habla el decreto de 17 de Diciembre último; opinaba que el peso trarqu.lidad en ia villa de Puente de Eume y en ia Sarria, en donde d: dicha medalla de o…</t>
  </si>
  <si>
    <t>…s de Guzdalajara y Bujslance, en medio de los apíauKt. Hubo lugar á votar s-bre &lt;1 mensage por unanimidad. de un innumerable gentío,que los esperaba con impaciencia para darles El Sr. Munarriz: Aunque he pedido la palabra antes, no ha sido las pruebas mas tiernas y enérgicas de su amor, gratitud y admiración. para entrar en el fondo de la cuestión , y solo para advertir que en Por todas partes se oían resonar los vivas al Congraso nacional , á la e…</t>
  </si>
  <si>
    <t>…el art. 100 del reglamento , y se admi dictamen no son á la totalidad de él, sino al art. 65. tió í discusión. La base de. este proyecto es si el reemplazo se ha da hacer ó no El Sr. Munarriz dijo: El Gobierno, al recibir las notas de los Ga poT sorteo , y esta base nadie la ha impugnado : todo lo demás serán binetes de Viena , Berlin y S- Petersburgo , juzgó oportuno el hacer discusiones subalternas ; y si se hubiera de tratar ahora de ellas se e…</t>
  </si>
  <si>
    <t>…enten • n el co y dos vecinos honrados asistan ai ayuntamiento , para que se en lado derecho de la Cámara. teren fondo de todos los actos sobre el alistamiento de que se trata. El Sr. Munarriz: Puesto que ¡as sesionas de ayuntamiento pata es ARTICULO DE OFICIO. te efecto han de ser públicas á puerta abierta, es supertluo que se exija Dirección general de Hacienda pública. la asistencia dei cura ptrroco y dos vecinos honrados, y yo no quisie Por el…</t>
  </si>
  <si>
    <t>…y. aquella autorización; por todas estas razones creo debe aprobarse la Del ayuntamiento constitucional ds Peñíscola. proposición. De 1 ayuntamiento constitucional de Palencia. El Sr. Munarriz: Se trata aquí solamente de si ha de continuar la De varios ciudadanos de la Cctufia. dispensa de un reglamento, y de ningún modo de una autorización que De los individuos de las dos secretarías de la diputación provincial choque con la Constitución. Es bien…</t>
  </si>
  <si>
    <t>…creíble que un pueblo libre esté en do 30 el Sr. Veiasco, cuatro el Sr. Soria , cinco el Sr. Marchámalo, choque con los defensores de la misma libertad , contra el heroico ba 3 el Sr. Munarriz, y uno respectivamente los Sres. Soberon y Tomas. tallón de San Marcial, que fue el primero que se pronunció por la Total ia. Constitución, y que tantos dias de gloria ha dado á la patria5 «Este En segundo lugar quedó elegido el Sr. Aillon por 79 vetos, tenie…</t>
  </si>
  <si>
    <t>…go al ocupar los pueblos en que residan de los cuerpos é individuos que componen el arma de su cargo, quienes dichos empleados. por su conducto dirigirán sus instancias al Rey. El Sr. Munarriz: Yo creo que el objeto de la proposición no puede Art. 5-c »Los informes que den los inspectores al secretario del menos de ser el de que se fije por el Gobierno la clase de empleados que Despacho de la Guivri serán terminantes y breves , sin ambigüedad é in…</t>
  </si>
  <si>
    <t>…e poner en sus manos el Tos amigos de los enemigos de su patria residentes en esta ca mensage de las Cortes. pital , y que contaban Con que vi dia 2 2 entrarían los facciosos y El Sr. Munarriz pidió la palabra, y obtenida dijo: Hoyes los franceses en Madrid, están como admirados al ver que van pa el aniversario de aquel memorable 2 de Mayó en que Daoiz, sando dias y dias sin que se realicen sus perversos deseos. Tam Velar de y tantos ilustres españ…</t>
  </si>
  <si>
    <t>…ará ínteres por el Petersbúrgo presentar en ocasión mas oportuna sus sentimientos, triunfo de nuestra causa. sus principios, su resolución y la justicia de nuestra causa, pedia El Sr. Munarriz: Cuando hice al principio mi proposiciofl «Tías Cortes se sirviesen mandar que llevara á cabo con ia pronti se' me' dijo por un Sr. secretario del Despacho que estaba ya he tud posible la formación y publicación del expresado manifiesto. cho el manifiesto, y…</t>
  </si>
  <si>
    <t>Munárriz</t>
  </si>
  <si>
    <t>…las Cortes por las sesiones del 0 y del 11 v no ofensivo; observando que una alianza defensiva entre dos de Enero. iiaciones.no obliga á ¡a una á empeñarse en guerra cuando la EJ Sr. Munárriz: Hoy es el aniversario de aquel memorable otra voluntariamente k emprende; bien que con satisfacción día Dos de Mayo, en que Daoiz y Vekrde, y tantos otros Huípreviniese que el Gobierno francés jamas habí» cesado de decla tres españoles lanzaron en Madrid el…</t>
  </si>
  <si>
    <t>…ias. la Constitución, y generosidad con que a-.imsmo ha contribuido Sevilla 3,7 de Mayo. con los gastos para la defensa de la Constiiuc.oa en aquella nu merosa capital. CORTES. El Sr. Munarriz se opuso á que se dijese que añad.Ae á sus BRESIDENC1A DEL SEÑOR fERRER (jDON JOAQUIN). títulos el de constitucional . pues esto va lo era como todas las demás de la Nación; por cura razón crv a que e-taria mejor de Sesión del día ¿y. cir v heroica” ii otro n…</t>
  </si>
  <si>
    <t>…manifestó que nunca se gar de los Sres. Alvarcz Gutiérrez y Alcántara á los Sres. Her había tenido en España por corporación civil á las audiencias. rera , Lustamant» y Seoane. El Sr. Munarriz: Antis de entrar á hacer algunas observaciones Al anunciar el Sr. Presidente que mañana se haría la elección sobre este articulo pido se lean los a 24 y 22 j de la Constitución, de presidente, vice-presidcnto y secretarios tomó la palabra el Sr. (be leve-ron)…</t>
  </si>
  <si>
    <t>…lar del Sr. Castejon. 17 \ otos el Sr. Qaliano, 37 el Sr. Zulueta, 7 el Sr. Afonzo,_ 7 Con mucho sentimiento mió no puedo conformarme con el el Sr. Alonso, 4 el Sr. Escobedo, 2 el Sr. Munarriz, otros 1 dictamen de la comisión en la suspensión que propone del articu el Sr. Somoza, y uno cada uno de los Sres. lsturiz , Cuadra, To lo 306 déla Constitución, porque no creo que su tenor está más , Sotos , Meca , Oliver, Pumarejo , Casiejon, Falcon , bati…</t>
  </si>
  <si>
    <t>…tener la tranquilidad y la seguridad en el lugar de mi alta residen que se oponía a este proyecto. cia y en todos mis dominios. Dios te guarde con su divina y eter A petición del Sr. Munarriz se leyó el articulo 309 de la na providencia, igualmente que á todos los que desempeñan con Constitución , que dijo acaso no haber tenido presente el señor telo y probidad los negocios de ¡ni imperio. Amen. preopinante. El primer Jia de la luna de Rhezeb, año…</t>
  </si>
  <si>
    <t>…a mas que un resto de la brar la victoria conseguida en Madrid contra el despotismo el 7 ignorancia; pero que sin embargo era de Opinión tuviese el de de Julio de 1822. Alteza. El Sr. Munarriz manifestó que el reglamento que ahora Egipto: progresos en su cirilízacíon: tu situación mercantil jr proponía la comisión era una ampliación de varias disposiciones J abril. del d:creto de las Cortes de 29 de Junio de'1821, y asi que Parece que esta hermosa…</t>
  </si>
  <si>
    <t>…r casualidad en el Declarado el punto suficientemente discutido, y votada la pro Cairo un pobre viejo muy versado en la literatura ethiópica, y posición por partes á propuesta del Sr. Munarriz, se aprobo en se valió de él para hacer esta tradticlon , la cual se ha impreso á las dos que contiene. expensas de la sociedad bíblica de Ja Gran Bretaña. El Sr. presidente manifestó que la comisión especial de Elacienda nombrada ayer habia principiado sus t…</t>
  </si>
  <si>
    <t>Munck</t>
  </si>
  <si>
    <t>…n dado otras corporaciones del reino, llegó el batallón 3.0 del 3a.0 y el i.° del 6o.°, al mando del ni menos por subsanar con él algún extravío político de que se coronel de este vizconde Munck d’Uzer , y cargando al enemigo le pudiera tachar: el gozo inexplicable de ver en V. A. S. res por el flanco, le pusieron en una completa derrota , y le persi tablecido el tp rocío de la soberanía, que los revolucionarios guieron hasta debajo los muros de ia p…</t>
  </si>
  <si>
    <t>Munguia, Manuel Mart.nez</t>
  </si>
  <si>
    <t>Manuel Mart.nez Munguia</t>
  </si>
  <si>
    <t>…la provincia de Soria D. Josef Simón de Loigorri, y los oficiales 2.0 y y secuto de la serenidad de estos valientes, me dec.d: a tomar ,as casas, que 3.0 de la propia dependencia D. Manuel Mart.nez Munguia y D. Juan Pa estando en contacto todas, irustras-m las tentat.vas de ios crenucos: ti .si tricio Mead, por las cuales solicitan estos antiguos militares ,llevados del mas to correspondí,' á mis esperanza-.. A ¡as c.nco de la ma. ana fui avisado de recomendable patriotismo…</t>
  </si>
  <si>
    <t>Munich</t>
  </si>
  <si>
    <t>…la paz. Va la Rusia hab a hecho un sacrificio semejante do* fus padres después de habtr obtenido el perdo:» del g- neral en g» fe. Mi veces en menos ae jn stlo. Cuan jo el célebre mariscal Munich con na los mandó ir á su cuartel general de Belver , y les hizo primes los cibió el proyecto ue res: ¡decer un imperio de Oriente en 1736, exci males que habían causado í su patria, siguiendo las instigaci &gt;n s de unes to la sublevación de los griegos, y esto…</t>
  </si>
  <si>
    <t>Muñoz, Fernando</t>
  </si>
  <si>
    <t>Fernando Muñoz</t>
  </si>
  <si>
    <t>…s ger.ey 20 caballos. Por el caño del Zurraque navegaban cuatro lanchas nerales y demas gefes de las columnas han llenado tan cumplidamen cañoneras al mando del capitán de fragata D. Fernando Muñoz, te sus deberes, y desempeñado tan á su satisfacción ks ordenes é comandante del apostadero. apoyando la marcha de las tropas del instrucciones que les habia dado, que nada le han dejado que de centro. Otras ocho cañoneras protegían el movimiento de las tro s…</t>
  </si>
  <si>
    <t>Muñoz, Juan</t>
  </si>
  <si>
    <t>Juan Muñoz</t>
  </si>
  <si>
    <t>…ntonio Antón mes de Abril ,y á mediados d« Jun.o el de Mayo, y asi sucesiva con la caballería de su mando se distinguieron extraordinariamente mente. ios alféreces de dicho cuerpo D. Juan Muñoz y D. Martin de la Pe- Bien se echa de ver que estas operaciones ofrecerán a! principio zuela, y el sargento primero del mismo cuerpo N. Pastor ; que el sus dificultades; pero ninguna puede haber qne no la venza ei zelo y ayudante de F.. M. D. Mariana Bayo, después de hab…</t>
  </si>
  <si>
    <t>Muñoz, Manuel</t>
  </si>
  <si>
    <t>Manuel Muñoz</t>
  </si>
  <si>
    <t>…insulto en el alcázar sagrado é in tramar D. Josef Manuel Vadilio, había tenido á bien nombrar violable, que nuestros pechos sabrán siempre proporcionarle : re para desempeñarle á D. Manuel Muñoz, ayudante general del peler la fuerza con la fuerza esnuestro deber principal. estado mayor. No es solo nuestra libertad, la que atacan : es nuestra indepen En seguida se leyeron los siguientes oficios remitidos por el dencia á la que quieren atentar. Quieren…</t>
  </si>
  <si>
    <t>…á voluntad del enfílenla, y brados secretarios del Despacho D. Alvaro Flores Estrada , Don que se ha de hacer en dinero ó como concierten entre sí los in Josef Joaquín Mariátegui, D. Manuel Muñoz, D. Lorenzo teresados , entregándose al dueño el capital redimido, ó dejándo- Calvo de Rozas, D. Josef Torrijos y D. B.amon Romay, he dolo á su libre disposición. venido en revocar , como por el presente revoco, los expresados El Sr, secretario del Despacho d…</t>
  </si>
  <si>
    <t>…escribir bien'todo; porque yivo de artillería y fusilería de una y otra parte. de los unos no se conocía él uso, ni el color en otros, y mu Entre los papeles interesantes hallados D. Manuel Muñoz, chos no se sabia si eran pedazos rasgados ó enteros. pnm-r ayudante general de estado mayor del ejército de Zayas, » En el salón del/piso tercero aun habia señales de haberse apr- hendido en un barco frente de Comí , se asegura hallarse unas desbastado el ar…</t>
  </si>
  <si>
    <t>Muñoz, Miguel</t>
  </si>
  <si>
    <t>Miguel Muñoz</t>
  </si>
  <si>
    <t>…movimiento horizon negocios pendientes y que se quieran instruir en ti Gobierno, bijo ja tal, y s - para ia campana sobre el is tmo p-ñasco. Si ¡a campana se dirección y cargo de D. Miguel Muñoz. Las personas que gusten va-'crhaba ' á.ia un lado á poca distancia, los trabajadores pueden injirrli se de ella, y encargarle sus solicitudes , podrán remitirlas á dicho señor, uno ó cus pi s en cualquiera d.reccon, pon éorcsr de pies en e&lt; fondo que vive en…</t>
  </si>
  <si>
    <t>Muñoz, Tomas</t>
  </si>
  <si>
    <t>Tomas Muñoz</t>
  </si>
  <si>
    <t>…andonaron sus casas de campo , y cons ocurrido o puedan ocurrir. Esta descripción es la misma que dió truyeron otras en Chiclana. La población de ia Isla, antes de la á sus amigos D. Tomas Muñoz, teniente gene-ral e ingen.ero última epidemia, era de 32O amias. general de la Marina española; y debe- tenerse por exacta y fiel, El pequeño pueblo llamado nueva poblac’on de S. Cárlos se porque nadie habrá que haya tenido mejor proporción de ¡lacer edifico…</t>
  </si>
  <si>
    <t>Muran</t>
  </si>
  <si>
    <t>…rovincias , no habría d incubad alguna. A es sueido ademas de las raer nes y a.ojamicnto en el tránsito.” to contestó ayer el Sr. Rom ro que sena causa de que w .produjesen ai— El Sr. Muran : De aprobar este artículo cr&gt; mi conct pto se hace iluso cunos zelos por parte de los m.lic-anos Je bcvilia, Yo cr..o que tas milicias rio todo lo demas que se previene en el decre-to, porque para mí tanto va •le esta ciudad no podrán 'tener mot.vo de queja,…</t>
  </si>
  <si>
    <t>…era eí de auxiliar y que los cristianos occidentales vayan á establecerse en su país; sin consultar á ia autoridad. embargo tratan con bondad á los europeos que no se meten en El Sr. Muran propuso se añadiese á la proposición, el que se hacer conversiones. trajesen también Jas actas de la junta , para tomar conocimiento Lo mas importante que se ha hecho para los Abisinios en los de los acuerdos que hubiese tenido ; álo que se opuso el Sr. Canga…</t>
  </si>
  <si>
    <t>Murau</t>
  </si>
  <si>
    <t>…n al indulto en iíeichite 8 facciosos con 7 ca pro y en contra de su totalidad varios Srcs. diputados. ballos, armas y vestuario; y es de esperar que circulado bien el benéfico El Sr. Murau: Yo encuentro que el proyecto de decreto que presenta dccrcro de amnistía vayan acudiendo á la reconciliación con la patria todos la comisión no está seguramente conforme con las intenciones del Sr. di los que alucinados y engañados han scauido hasta aquí' el…</t>
  </si>
  <si>
    <t>Murcia, Rafael Hu</t>
  </si>
  <si>
    <t>Rafael Hu Murcia</t>
  </si>
  <si>
    <t>…á de ró , y al subteniente D. Benito Tuñon , y por ayudante de órde- liberar sobre Ja solicitud del marques de la Torre, vecino de denes del E. M. de este ejército al subteniente D. Rafael Hu Murcia, relativa á que se determinase si estaba comprendida et* mara. la ley de vinculaciones una casa de campo que poseia, la cual 2.0 Ningún sargento, cabo ó soldado del ejército llevará el estaba hipotecada para el derecho de lanzas: la comisión se funda capote p…</t>
  </si>
  <si>
    <t>Muren, Juan Bautista Vea</t>
  </si>
  <si>
    <t>Juan Bautista Vea Muren</t>
  </si>
  <si>
    <t>…sta el 4 del corriente &amp;c. Apenas reunido el jurado , compuesto de los Sres. D. Domingo Ortiz de Vá te encuentra m ellos cosa aiguna que interese , pues aquilio» países no llate , D. Juan Bautista Vea Muren a , D. Lope Manuel de Luen ofrec-n mas que apatía e indiferencia , abatimiento y yugo. gas , D. Miguel del Pino y I.opez, D. Juan José; del Cabillo, D. Ma Va se sabia la llegada del ministro m&lt;les A Confuí.(inopia , y se tías Olave , D. Clemente Zulueta , D.…</t>
  </si>
  <si>
    <t>Murfi</t>
  </si>
  <si>
    <t>…resentó el Sr. G~&gt; liano; y otra de la segunda compañía que dejasen á cubierto los intereses de la Nación. d- fusileros j.i cua:ro batallón de ¡a m'licia nacional local volunta El Sr. Murfi dijo que si algun medio hubiese para dejar á cu ria de esta corte, en la que lucían igual manifestación. bierto los intereses de la Nación, seguramente lo hubieran propuesto Se continuó la discusión s'bre la ordenanza para el reemplazo del los señores que hab…</t>
  </si>
  <si>
    <t>…ros adelante.” aiguientes.” Aprobado. Se'suspendió esta discusión, y se mandó pasar á la comisión una Art- 6g. En el caso de que sea declarado soldado el hijo único da adición del Sr. Murfi al art. 73. padre impedido ó de madre viuda también impedida , siendo el padre y El Sr. presidente anunció los asuntos que debían discutirse en la la madre absolutamente pobres, y concurriendo la circunstancia de qua sesión inmediata, y levantó la sesión á la…</t>
  </si>
  <si>
    <t>…é que haya nece gloria de Uegar muy próximo á las tapias, sufriendo un vivísimo sidad de este artículo. que eí t-nem go hacia parapetado , y si que no podía cor.t-'siar cual at El Sr. Murfi : Las Cortes no deben desentendería ds que el Go acaba por el orden de foimacion qu.i tenia, y estar dclaDte nuiii'1’*</t>
  </si>
  <si>
    <t>…ovincial -En este estado entraron en el salón, y tomaron asiento los se ■de Canarias y ayuntamiento de Santa Cruz de Tenerife ,-presen ñores secretarios del Despacho. tadas por el Sr. Murfi. Se mandaron pasar á la comisión de Poderes los presen El Sr. Canga pidió la palabra-para hacer .presente á las Cor tados por D. Jooef María González, diputado electo por la pro tes lo oportuno que seria que estas se sirviesen mandar que se vincia de Granada.…</t>
  </si>
  <si>
    <t>…Aprobado. (Véate lagareta de ayer.') mandantes de guerrilla en dependencia del inspeetor lo mismo Artcu'o 2.° que á los cuerpos militares: cuerpos militares no pueden dejar de El Sr. Murfi: Aunque estoy conforme con el espíritu de este serlo las guerrillas, porque obran como tales cuerpos militares.articulo, no puedo menos de hacer presente á las Cortes que no Se dice que ios comandantes de provine:;: serán ¡nsp-ctores de iashallo oportuno el q…</t>
  </si>
  <si>
    <t>…ón: Jo atribuyo á un exceso de velo de S. S., y creo El Sr. Lillo contestó á las observaciones del Sr. Montesinos. también que las palabras no se entienden como suenan. En esta El Sr. Murfi : No puedo menos de oponerme a este jrt culo, ocasión debemos asirnos fuertemente á la Comí ¡tucion tan odia porque la pena que en él se impone á los oficiales, a saber, dos da de nuestros enemigos : debemos sostenerlaá todo trance, y nun meses de arresto, no…</t>
  </si>
  <si>
    <t>…é que es un mal frutos , efectos y manufacturas nacionales; pero de ningún modo que ataca á la marina nacional; pero por ahora es irremediable. se admitirán las que no lo sean. El Sr. Murfi: Atendiendo al contenido del art. 3.° no pue Art. 4.0 Asimismo podrán trasportarse los frutos , efectos do menos de oponerme eft la totalidad del dictamen de ja comi y manufacturas nacionales, y las extrangeras legítimamente in sión. D,ce este a;t cilio que p…</t>
  </si>
  <si>
    <t>…mínimum de tres ó cuatro meses, y.que sean cndosablcs El Sr. presidente contestó que se leerían á su tiempo. los abonarés. Medida a.'*1 Aprobada.1 2 * 4 5 6 * (Véase la nota.) El Sr. Murfi : El Sr. Muró me ha prevenido en las vjL&gt;5ci'Va— Medida 3.a ( Idem.) clones que pensaba hacer; y habiendo satisfce^ ya la comisión, El Sr. Muro: Estov conforme con la idea de la comisión; no tengo que decir en esta parte; pero si observaré que este estí pero…</t>
  </si>
  <si>
    <t>…que sufre, pe-dimos á las Cortes se sirvan La comisión primera de Hacienda, habiendo examinado la acordar se presente en esta sesión el Sr. secretario de la Guerra proposición del Sr. Murfi para que se haga extensiva á las islas para informarnos de todas las medidas tomadas para este efecto, Canarias la autorización concedida á ias diputaciones provinciales y que no sean de naturaleza reservada.” Se declaró comprendida ele las provincias invadid…</t>
  </si>
  <si>
    <t>…pidiendo á las Cortes se sirviesen tomar me La comisión primera de Hacienda, habiendo examinado la didas enérgicas para remediar el mal estado en que se hallaba la proposición del Sr. Murfi para que se haga extensiva á las islas provincia de Valencia. En seguida presentó la proposición si Canarias la autorización concedida á las diputaciones de las pro guiente, firmada por los Sres. Salva, Villanueva, Marau, Na vincias invadidas ó próximas á ser…</t>
  </si>
  <si>
    <t>…mano, cuales son partes el artículo, y quedó aprobado en su totalidad. las de las diputaciones provinciales que han de aprobarlos, es cla Se mandó insertar en el acta el voto del Sr. Murfi, contra ro que se harén estas rectificaciones, y par consiguiente no debe río á lo resuelto sobre las contribuciones de consumo, territorial haber dificultad en aprobar el artículo. y de casas. El Sr. Qliver: A mí me parece que el artículo manifiesta Se leyó…</t>
  </si>
  <si>
    <t>…mposición de la pena con la gra to. También se ha confundido lo que es la cau.-a con .a pena cue vedad del delito. se impone: pero cuando se trata de que ia p.va no se 'niponga El Sr. Murfi: Yo no puedo aprobar el art culo , porque cu él hasta que «vrvutoriada la causa , ; por que se ha de suponer no se hace diferencia de la pena de aquel individuo que solici que se les impone el castigo antes de ;u e: iguai su co'Vucta : De te servir á los enem…</t>
  </si>
  <si>
    <t>…prohibitivo en las de la publicación de la paz en los respectivos puertos se permiti circunstancias actuales. rá el comercio entre ¡os de la Península e islas adyacentes y los El Sr. Murfi mam testó que le parecía demasiado corto este de las provincias de Ultramar en buques extranjeros de bandera derecho, por io cual no se compensarían los perjuicios que oca amiga o neutral. sionan al comercio nac onal : y asi, que aunque estaba convencido Art.…</t>
  </si>
  <si>
    <t>…or las bases orgánicas to de la sesión de ayer.) del arancel general. Art. i.° Aprobado. Declarado el punto suficientemente discutido quedó aproba Alt. 2.0..... do el articulo. El Sr. Murfi dijo que aunque convenía en el fondo con el Habiendo manifestado el Sr. secretario de Hacienda que podictamen de la comisión, 110 podía aprobar el articulo en razón dia quedar absistente el cuatro por ciento para la bandera ex á los derechos que se proponían…</t>
  </si>
  <si>
    <t>…itud le coloque. D. Domingo de la Vega, D. Félix Mejía, D. Benito Morales, Aprobado. D. Leonardo Perez, D. Josef Spínola, D. Ramón Ceruti, Don Se leyó la siguiente proposición del Sr. Murfi : «Pido á Jas Ramón Sánchez y D. Bonifacio Castillo sean detenidos y trasla Córtes se sirvan habilitar el puerto de Arrecife en la Isla de dados á las Islas Canarias; y que D. Josef Moreno Guerra y Lanzarote, como de segunda clase." D. Josef Aricochea sean de…</t>
  </si>
  <si>
    <t>…os Floridas, S. M. habia resuelto asistir al acto de cerrar las Cortes sus sesio y la parte española d* la isla de Santo Domingo: nes, acompañado de S. M. la Reina y de SS. AA. El Sr. Murfi: Se anticipa en este asunto una cuestión que ab Las Cortes quedaron enteradas. solutamente no es del dia : á saber, la de la independencia de la Se leyó la lista de los Sres, diputados nombrados para com América española. La comisión de ninguna manera propone…</t>
  </si>
  <si>
    <t>Murfl</t>
  </si>
  <si>
    <t>…ideraciones . jus Se levó un oficio del Sr. secretario de la Goberna tas en otras circunstancias . pero no en las actuales. ción de la Península en que participaba á las Cortes El Sr. Murfl manifestó que no *e oponía al dic que teniendo el ReL en cousideracionlas circunstancias tamen de la comisión sino en cnanto por él se ha eu que actualmente se encuentra la Sacíen, v los cia mui poco favor á La bandera nacional en la: in— muchos negocios qu«…</t>
  </si>
  <si>
    <t>MurG</t>
  </si>
  <si>
    <t>…estarían rendidas. cualquier protesto se separen de sus cuerpo, y se reú El Sr. Rico apayó en un Lodo las observacio nan á Jas partidas de guerrillas sean considerados co nes del Sr. MurG , y citó el ejemplo «le los Estados- rno desertores en tiempo de guerra, castigados como unido« do América en &lt;¡oe nirvuin j^ucro ni ei’cdo tales; sufriendo igual pena lo» comandantes líe las liai pro'ti bulo, para ¡&gt;r«*L., r «¡no ia caí isa del centraban- pa…</t>
  </si>
  <si>
    <t>Murguia, Juan Bautista Vea</t>
  </si>
  <si>
    <t>Juan Bautista Vea Murguia</t>
  </si>
  <si>
    <t>…cuanto riódico titulado el Grito de Riego en 21 det pasado; y reunido el jura esté de mi pane para reducirla al mas estrecho círculo , y para abreviar do , compuesto de los Sres. D. Juan Bautista Vea Murguia; D. Bernar su duración. Solo la enipniuJcié para conquistar la paz que el estado do de la Peña Díaz; D. Francisco Carranza; D. Luis Igartu.butu; Don actuatde la España hace imposible.” Fernando Gargollo: D. Josef Carreño; D. Pablo Mateu; D. Matías La guerra p…</t>
  </si>
  <si>
    <t>Muri</t>
  </si>
  <si>
    <t>…ue siendo siete ro , poique han sido ilusorios ios efectos de las disposiciones del ú ocho personas las culpables, solo se castigue á quien no lo es. Congreso sobre este punto. Ei Sr. Muri¡; Las leyes, tumo muy oportunamente ha dicho A Ja de Casos de responsabilidad se pasaron dos quejas, una el Sr. Infante, tienen declaradas Jas penas que corresponden á de D. Manuel Trinidad Moreno, acerca de la causa secunda por los desertores y encubridores:…</t>
  </si>
  <si>
    <t>Muría</t>
  </si>
  <si>
    <t>…de Julio. Consignación del Sermo. Sr. D. Fran CORTES. cisco de Paula......................................1.650,000 Gastos de cámara de la berma. Sra. PRESIDENCIA BEL SEÑOR JESER. Doña Muría i.11 n su esposa. . . 6co,a00 JS.rtr uto Je iet sesión Je 4 Je Jttl’.o. Consignación del Infante D. Carlos Se leyó y aprobó el acia ele la anterior. Luis, hijo de S. M. la Duquesa La comisión ele Guerra , informando sobre la exposición ele de Lúea. ..........…</t>
  </si>
  <si>
    <t>Muro</t>
  </si>
  <si>
    <t>…contra la agresión extranjera. Arreglen enhorabuena primer nombrado.” Aprobado. las potencias de Europa su administración interior , si les place; la Es En cuanto á la adición del Sr. Muro al art. ao, que dice que á los paña no está sujeta á depender de los políticos extrangeros. Declárenla depositarios se lee exijan fianzas, opinaba la comisión que siendo pri ios otros Estados de Europa , si asi lo quieren, como ya la han amena vativo interes…</t>
  </si>
  <si>
    <t>…onvencido de que las diputaciones provinciales ao Baria sula i la que se Ha opuesto el Sr. preopinante. esta comisión á hombres criminales ni desafectos al sistema; y- refirién El Sr. Muro manifestó como de la comisión que no se conforma dome á la provincia de Aragón, donde se crearon dos compañías de mi ba con esta supresión. ñones , puedo decir que mientras existieron no hubo en aquella provin El Sr- Romero: He pedido antes 1* palabra para ha…</t>
  </si>
  <si>
    <t>…i quisiera sia, y el otro i la Francia. (Repetidos aplausos ') que los Sres. de la comisión me explicasen esto. EL Sr. Infante: Poco hay que decir en esta cuestión. Yo vec deci El Sr. Muro manifestó que ¡a comisión no tenia inconveniente en didos i todos líos señores diputados á apoyar la exposición hecha por la fijat igualmente el abono de la tercera parte del tiempo para los qus miiicia nacional voluntaria de Madrid. Este mes, como yo me habí…</t>
  </si>
  <si>
    <t>…ormar un con Marau por 60 votos di 1.13, reuniendo ios restantes el Sr Falcó. venio.__El aspecto político se presenta mas favorable para los habitan Para secretario fue elegido el Sr. Muro por 53 votos , habiendo tes y europeas, y ea de esperar que S. Martin á su vuelta no tenga me reunido 43 el Sr. Rodríguez Paterna, y uno cada uno de los Sres. So dios para seguir en sus iniquidades. tos, Montesinos, López del Baño, Cano", Garmendía , Apoita ,…</t>
  </si>
  <si>
    <t>…los diligentespues á estos se les por el Sr. Llórente. ha exigido su cuota en metálico, y acaso con apremio, al paso que 4 Del regimiento de caballería de la Constitucicu, por el Sr. Muro. los otros se Jes permite pagar con frutos. Asi pues yo no puedo menos Del ayuntamiento de la ciudad de S. Fernando, por elSr. Zulueta. de oponerme al parecer de la comisión. ■ ' •• Se leyeron los siguientes decretos de las Cortes, pasados por la co El Sr. Me…</t>
  </si>
  <si>
    <t>…s, diputados den El Sr. Zulueta: Es esd.dente.qnc el modo de hacer estas an tro y fuera de la sesión , para dar mayor claridad á ciertos artí ticipaciones es el que ha indicado el Sr. Muro ; pero parece que culos ha hecho algunas variaciones en el -f.° y 5-°'del proyecto, la comisión no debe extenderse ¿ puntos tan reglamentarios; mas las cuales se han hecho Imprimir y se están repartiendo. Pide la sin embargo la comisión no tiene inconveniente…</t>
  </si>
  <si>
    <t>…cer el Sr. Falcó son las mismas que indicó en ia ses.on ele ayer; Ei Sr. presidente suspendió esta discusión. pero es preciso tenga S.’S. presente que ..I objito de este proyec El Sr. Muro leyó un dictamen de la comisión de Comercio, to, según la mente de sus autores, es d.sponer los m.d os ile lle relativo á Jas dificultades que lian ocurrido para llevar á efecto el var á efecto algunas disposic.oaes del decreto de 2? de Setiem decreto de las…</t>
  </si>
  <si>
    <t>…do se trata de presunciones no sé por que se ha de Se declare» el punto suficientemente di-.cutido, y á petición estar en Ja del mal, y no en Ja dd bien, á lo menos en este ne del Sr. Muro se leyó el oficio del Gobierno,con el cual remitía gocio, pues en otros los Sres. que han impugnado ei dictamen por el expediente que había dado ¡usar á este dictamen. su índole natural se han inclinado mas al bien que al mal. La También se leyeron á petición…</t>
  </si>
  <si>
    <t>…cias, no babia otro medio que aprobar el reparti Galicia seis ú ocho millones de reales cu contribu miento que se presentaba. ciones; y que el Gobierno no había teñirlo en con El Sr. Muro, después de manifestar lo sobrecar sideración las justas que as de aquella Diputación pro gada que se baila la provincia de Galicia, pues paga vincial. Después de otras varias observaciones con iin doble de contribución, dijo que desearía saber cluyó manifest…</t>
  </si>
  <si>
    <t>…el caso de llevar á efecto el art. 92 de la -Cons comisión de Corrección de estilo. titución , las ofrece mayores en cuanto á que á lo menos la mitad Se nombró para reemplazar al Sr. Muro en la comisión se-, de la renta proceda de bienes raíces. El citado art. 92 solamente gunda de Hacienda al Sr. Torre. exige que los bienes sean propios, y nadie dirá que únicamente El Sr. presidente designó los asuntos que se discutirían en La podemos tener p…</t>
  </si>
  <si>
    <t>…nta que reunió, y cuyos sugetos deseaba Habiendo manifestado el Sr. Sotos que la comisión se con se expresasen. formaba con esta observación , se declaró haber Jugar á votar so El Sr. Muro dijo que advertía también no hacerse mención bre el dictamen por 49 votos contra 40 , y quedó aprobado. de los empleados del ejercito como comisarios de guerra y demás. Las Cortes quedaron enteradas y mandaron que se repartiesen los El Sr. Gómez Becerra: Que…</t>
  </si>
  <si>
    <t>Muro, Josef</t>
  </si>
  <si>
    <t>Josef Muro</t>
  </si>
  <si>
    <t>…si los franceses estubiesen á mil leguas de distancia. de batallón, Don Gabriel Pflouguer;el de la Ley al coronel Está todo preparado para recibirlos, y deseamos que se adelanten D. Josef Muro; el de España Libre al de igual cUse D. Anto un poquito mas para manifestarles nuestro agradecimiento por las nio Viladomar; el de Cortes al teniente coronel D. Mariano Ji felicidades que vienen á traernos. Tenemos buena guarnición ; la ménez Bagusé ; el de I…</t>
  </si>
  <si>
    <t>Muro, Juan Josef María</t>
  </si>
  <si>
    <t>Juan Josef María Muro</t>
  </si>
  <si>
    <t>…nial que tiene solicitada. de los diputados absorven toda la atención pública , sin que por eso cesen I.as Cortes oyeron con agrado y mandaron pisar al Gobierno una ex posición de D. Juan Josef María Muro, captan de infantería retirado, los preparativos hostiles. As i es que nosotros , sean la» que quieran hs esperanza» de paz que se vecino de Alcalá de los Gazules, para que se le admitan por vía de dona propaguen , no debemos pensar mas que en prepararnos á l…</t>
  </si>
  <si>
    <t>Murray</t>
  </si>
  <si>
    <t>pués que llegó la escuadra á has órdenes de sir .-Eduardo Owen. ISX.V1 JONICAS. Ei primer buque enviado á est? efecto es Ja corbeta Ja Corfú yo de Abril. lerosa, capitán Murray, que debe haber tocado en todos los puertos situados mas allá de Campano. A pcccr de ¡a condena So Iiibla aquí de algunos días á esta parte de las órdenes del Gran Señor, por tas cuales Mustaí, pacha de Scudra, debía' del .navio Auroraren la ruta de Greenock…</t>
  </si>
  <si>
    <t>Murti</t>
  </si>
  <si>
    <t>…capítu Se mandaron quedar sobre la mesa dos dictámenes de la co los definitorios, o reconocido la autoridad de tilos, ó hayan da misión de Comercio, uno sobre una proposición del Sr. Murti, do el hábito á algún, regular , ó permitido la profesión de loa no y otro sobre que se permita introducir los géneros que trae el vicios , .6 protegido de cualquier modo á ios facciosos ó alus bergantín sueco Europa. franceses, ó que hayan reclamado los bien…</t>
  </si>
  <si>
    <t>Murto-, Juan</t>
  </si>
  <si>
    <t>Juan Murto-</t>
  </si>
  <si>
    <t>…éndose: una lancha de la corbeta Aretusa , armados con un obús y un ca el fuego sobre los enemigos que estaban en el parapeto, y lo ha ñón de á 12 al mando del teniente de fragata D. Juan Murto- bían ya hecho anteriormente. Lbi batallón enemigo se mantenia' rell A la señal convenida se verificó la salida desde el muelle por siempre situado en una arboleda sobre la derecha del camino real. Vocahina al caño de Sto. Domingo , en cuyas salinas se hizo el…</t>
  </si>
  <si>
    <t>Muruaga, Domingo de</t>
  </si>
  <si>
    <t>Domingo de Muruaga</t>
  </si>
  <si>
    <t>…enerales en gefe y el Gobierno puedan colocar á los ta, en Vizcaya, emigrado en esta ciudad; y para suplentes á oficiales supernumerarios y á los existentes en lo? depósitos. Artí D. Domingo de Muruaga, tesorero de la provincia de Logroño, culo 6° No obstante lo dispuesto en el artículo anterior los gene y á D. Vicente Lozano y Pcrona , secretario del Gobierno polí rales en gefe podrán premiar los servicios extraordinarios en ac tico de Valencia , igualment…</t>
  </si>
  <si>
    <t>Musías</t>
  </si>
  <si>
    <t>…. con hechos muy conocidos en toaa la Península su acendrado Fl coronel d’Uzer con dificultad podía contener el ardor da patriotismo. nuestras tropas , y e’ogia particularmente al capitán Musías, del » Apenas en la capital de esta provincia se dió el infausto tercer batal.on del 32.0 de línea; al teniente Arca! ,dei 60.°; al grito de constitución, las autor,újd s envidas en e’la comisio cabo L clrr, de la cuarta compañía del primer batallón del 6a.°;…</t>
  </si>
  <si>
    <t>Mzlendez</t>
  </si>
  <si>
    <t>…enemigos : Mr. Peel, que sostsnla la discusión por ausencia de Mr. Cinning , contestó á Mr. Brougham casi en lo» mismos términos que lo ha En la sesión de» 27 de Enero presentó el Sr. Mzlendez una exposi bía hecho Lord Liverpool. La contestación había sido aprobada po- unetción del ayuntamiento , comunidad de carmelitas descalzos, varios in nimldaden la Cámara de lo* lares, y c»»i habi» sucedido lo momo en la dividuos del clero y M. N. voluntaria d…</t>
  </si>
  <si>
    <t>N, Alunuel</t>
  </si>
  <si>
    <t>Alunuel N</t>
  </si>
  <si>
    <t>…escasez del erario no permitía acceder á ello. Aprobado. narca Cristianísimo la energía, el tesón y la constancia de las Cortes; las La misma comisión, en vista de la solicitud de D. Alunuel N., capitán Cortes respetando el sabio y profundo juicio de V. Ai., harán ver á todo que fue del extinguido regimiento de Hibernia , opinaba que atendiendo á los el mundo que no en vano ha librado en ellos V. M. sus esperanzas; y que sei vicios que este interesa…</t>
  </si>
  <si>
    <t>N, Carlos y M.</t>
  </si>
  <si>
    <t>Carlos y M. N</t>
  </si>
  <si>
    <t>…Madrid ,á las orde introducción dice ¡o siguiente: nes del coronel de la Reina D. Francisco Fernandez Golfín— En consecuencia de todo, habiendo variado tan notable Pavada Infante D. Carlos y M. N.L. de Madrid; el demas servi mente el estado de estas provincias; espirando h.ov la amnistía cio y patrullas lo detallado----Hospital y provisiones la Reina— concedida por las Cortes á los facciosos , y siendo necesaria» me Guardia al Congreso y archivo la M.…</t>
  </si>
  <si>
    <t>N, Francisca</t>
  </si>
  <si>
    <t>Francisca N</t>
  </si>
  <si>
    <t>…rgada de presentar ¿ S. M. bre que no podía accederse á las solicitudes de pensiones hechas por D. Jo— la contes!.'..ion al discurso de apertura , que dice asi: tef .María Mauri y Doña Francisca N; viuda de un capitán de Alinansa. « Señor: Los glandes y nobles sentimiento» que V. M. ha manifestado Se leyó por segunda vez el proyecto sobre dotación de! elero. á las Cortes al abrir las sesiones ordinarias ce ia cuarta legislatura 10 pue Se levó v se mand…</t>
  </si>
  <si>
    <t>N, Juan Antonio</t>
  </si>
  <si>
    <t>Juan Antonio N</t>
  </si>
  <si>
    <t>…tículos. - 11. Los pleitos que ocurran sobre el mejor dere A la comisión segunda de Hacienda se mandó pa cho á los bienes y sobre su partición, se substancia sar una exposición de D. Juan Antonio N. , vecino rán v determinarán por los jueces de primera instan y del comercio de esta plaza, reclamando el afumo cia' con las apelaciones á las audiencias. —Aprobado. de los 25,477 ps. i’s. en que se le obligó á vender por ia. Hallándose en poder del Crédito pú…</t>
  </si>
  <si>
    <t>N, Pablo</t>
  </si>
  <si>
    <t>Pablo N</t>
  </si>
  <si>
    <t>…ndü pasar i ia comisión de Hacienda un proyecto de ley para mas , y hecho un sorteo resultará por 41 cuál es el que debe dar una evitar el contrabando, presentado * las Cortes por D. Pablo N., veci décima.” no da Cádiz. Art. 45. » Fuera del caso prevenido en el artículo anterior, no se La comisión encargada da informar sobre el expediente de la casa hará cuenta con las fracciones que resulten después de repartidas las de Beiguerie , presentó su di…</t>
  </si>
  <si>
    <t>Na</t>
  </si>
  <si>
    <t>…Del g.fe político de la Ccmuña , por al Sr. balv-. retiró directamente hac a el buque del capud-.n-bajá que lo llamaba; Del regimiento de caballería ds la costa de Granada, por el Sr. Na pero asi que Pipinis estuvo cerca del buque# prendió fuego al brulote, varro Tejeiro. y huyó en una barca. El capudan bajá se salvó echándose a una lancha; De la diputación provincial de la Cereña , del ayuntam:er&gt;to de pero el buque se voló ron 2600 hombrjs…</t>
  </si>
  <si>
    <t>…plácese á En atención ai mérito, distinguidos servicios y constante D. Francisco María de Neve, vecino de Méjico, sus herederos adhesión al Rey nuestro Señor del Mariscal de campo D. Na— ó sucesores, publicándose por medio de la Gaceta del reino en «ario de Eguia, ha;tenido á bien S. M. conferirle la Comandan la forma acostumbrada &amp;c. cia general de la provincia de Tuy. Por providencia del Sr. D. Mariano Rufino González, Alcalde de la Real C…</t>
  </si>
  <si>
    <t>Na, Juan Gómez</t>
  </si>
  <si>
    <t>Juan Gómez Na</t>
  </si>
  <si>
    <t>…sobre la de la tarde dirige el secretario de Relacione* exteriores D. Joscf toma de la plaza de Veracruz, y de los peligros que amenazan á Manuel Herrera al del consejo de Estado D. Juan Gómez Na la patria por la falta de representación nacional (único baluarte va» etc , poniendo en tu noticia que el capitán general de la pro que sostiene la libertad civil) . después de haberse discutido ex vincia de Veracruz le acompañaba con oficio del 22 »el origi…</t>
  </si>
  <si>
    <t>Na-, Joaquín Antonio</t>
  </si>
  <si>
    <t>Joaquín Antonio Na-</t>
  </si>
  <si>
    <t>…lde primero de Cheg.n , logró cortarles la retirada, y derribó mor- malidad está inserta en la Novísima Recopilación. Per esta se exige taiinenti'h-rido de un sab azo al cabecilla D. Joaquín Antonio Na- qür el plan sea presentado por aigun profesor insigne y acreditado, ó in sairo , capitán retirado del provincial de Murcia. formado por una academia, y el que se presenta para esta p'aza rs de un En aquel momento se reunió á Quirós el regidor de Cehegín Don b…</t>
  </si>
  <si>
    <t>NACtCNALBS, ÍOtRECCION GBNERAt DE LOTERIAS</t>
  </si>
  <si>
    <t>ÍOtRECCION GBNERAt DE LOTERIAS NACtCNALBS</t>
  </si>
  <si>
    <t>…n de aquellos valientes ; pero en circunstancias dencias. Lo que se publica para inteligencia de los interesados. de haberlo hecho m¡ secretario y ministro asistente el presb.tero Don ÍOtRECCION GBNERAt DE LOTERIAS NACtCNALBS. Josef Miria Padilla , con motivo de hallarse nombrado por mí para gobernador de mi mitra, y reemplazar al que quedó supliendo, a fin da En la cstraccion de la primitiva lotería nacional egecutada en la darles el mejor pasto espiritual á mis pobres y fieles o…</t>
  </si>
  <si>
    <t>Nada, Benito de Echague</t>
  </si>
  <si>
    <t>Benito de Echague Nada</t>
  </si>
  <si>
    <t>…gime bajo la dos generales de esta provincia y de sus adjuntos en la forma si Opresión de un puñado de hombres perjuros y desmoralizados. guiente : para S. Sebastian fue nombrado D. Benito de Echague Nada debe arredrarles de esta empresa; y añadiendo un nuevo por diputado general, y por su adjunto D. Josef María de So timbre á la lealtad con que en los fastos de la historia se han roa y Sozoa. Fara Tolosa D. Josef Manuel de Barranechea , y distinguido los gene…</t>
  </si>
  <si>
    <t>Nadal, Antonio</t>
  </si>
  <si>
    <t>Antonio Nadal</t>
  </si>
  <si>
    <t>…ario de la publicación de la Constitución A la misma hora empezará un bule público de mascara en el al política de la Monarquía. Desde muy temprano se engalanaron los bal macén de D. Antonio Nadal á 4 rt. por persona. cones con vistosas colgaduras, y fue grande la afluencia de gentes al Ciudadanos: el 19 de Marzo de iSia ; el 10 de Marzo de 1810; parage en que se verificó la formación , á la S:a. iglesia catedral , y por uní recompensa i lo* benemérito…</t>
  </si>
  <si>
    <t>Nadal, Ramón</t>
  </si>
  <si>
    <t>Ramón Nadal</t>
  </si>
  <si>
    <t>…desempeñado D. Mariano Egea en y m s ayudantas de campo coronel D. Pablo Echeverría , comandante calidad de interino el ministerio de Hacienda , lie venido en nombrar de es uadron D. Ramón Nadal , y capitanes D- Juan Díaz de Rivcro le en propiedad secretario de Estado y del Despacha del mismo ramo. y D. Josef Mana Cid , con el valor y decisión que les caracteriza, se Lo tendréis entendido , y comunicareis á qui-.n corresponda para su arrojaron al pel…</t>
  </si>
  <si>
    <t>…co que tomar otro cuidado que el de preparar mi alma para Raseti, mis ayudantes de campo coronel D. Pablo de Echever dar cuenta ;í Dios de mi larga vida.” ría, tenientes coroneles D. Ramón Nadal, D. Manuel SanjuaneEl 19 á lá una y media de la mañana recibió la extrema na, y espitan D. José Maria Cid, me dirigí de frente al centro unción , y luego después perdió el habla; únicamente se advertía del enemigo. En esta marcha fueron vivamente cañoneadas l…</t>
  </si>
  <si>
    <t>Nájcra, Miguel de</t>
  </si>
  <si>
    <t>Miguel de Nájcra</t>
  </si>
  <si>
    <t>…lo que hay pata vosotros de mas precioso y va , D. Cayetano Rubio, I&gt;. Josef Segundo Monde jar, D". Josef sagrado sobre la tierra: salga finalmente de vuestros pechos á la Merelo, D. Miguel de Nájcra, D. Matías Pinilla, D. Josef manera de un torrente de fuego la ira reconcentrada por tanto Sainz de Rozas, D. Aniceto Moreno. tiempo en vuestro corazón atrozmente agraviado , y que una Habida la conferencia se declaró por unanimidad haber lu prudencia peculia…</t>
  </si>
  <si>
    <t>Nájera, Miguel de</t>
  </si>
  <si>
    <t>Miguel de Nájera</t>
  </si>
  <si>
    <t>…ad enunciada quisieren pretender el Marcelino Torio, D. Arias González de Mendoza, D. Fran partido , dirigirán sus memoriales pot el correo, franco de porte, cisco Zazo de Lares,. D. Miguel de Nájera, D. Aniceto More ai ayuntamiento constitucional de dicha villa hasta el dia 8 dei no y D. Nicolás Cano de Luque, calificaron con la fórmula de próximo Mayo, en que se admiten, para proveer después la absuelto el impreso titulado Observaciones sobre ia probabl…</t>
  </si>
  <si>
    <t>…D. Marcelino Lorio, entre todos los pueblos célebres del mundo, y será mirada como D. Arias Gonzalo de Mendoza, D. Francisco Zazo de i. a res, un modelo que todos querrán imitar. D. Miguel de Nájera, D. Anictto Moreno y D. Nicolás Cano de Luque, para calificar el impreso titulado ” Observaciones sobre ARTICULO DE OFICIO. Ja probable disolución del Estado &amp;c.,” denunciado por e! señor Circular de la Gobernación de ¡a Península. fiscal de imprenta como sed…</t>
  </si>
  <si>
    <t>Nantil</t>
  </si>
  <si>
    <t>…que el tono principios de 182 1 : negado.__En 1822 , (hablando al ora res absoluto de la junta no nene valor sin el permiso de sus amos pecto de la misma Francia) , se mandi 1 al capitán Nantil v demas los ultras. retugiados franceses qile se internasen a 30 ¡caías de la frontera, __El general Zavas había hecho un escarmiento con los bullan mienrras-que el ex—general K.u 1. Abren v toda la que se t iti gueros de Avila, en donde impuso por castigo un…</t>
  </si>
  <si>
    <t>Nápoli, María Antonia</t>
  </si>
  <si>
    <t>María Antonia Nápoli</t>
  </si>
  <si>
    <t>…l es el camino, las re fensa de la justa causa de la Nación, cupo en suerte del primer glas y los límites de una justa neutralidad, le respondería con extracto de la de este dia á Doña María Antonia Nápoli. muy pocas palabras. Hay una divina máxima, que se aplica ANUNCIOS. también á Iá política como á la moral. Obra con los demas como tú quisieras que obrasen contigo. Pero con respecto á la Inglaterra . Prontuario en que se han reunido las obligaciones del sol…</t>
  </si>
  <si>
    <t>Nar</t>
  </si>
  <si>
    <t>…de de su vida ni ofensa de la madre, y para extraer la cabeza que guerra, pasó de ministro de Hacienda y Guerra de Menorca, ha quedado en el útero separada del cuerpo, por el Dr. D. Nar con ia subdelegaron de todas rentas que se le confirió en 5 de ciso Esparragosa y Gallardo , profesor de medicina y cirujía ci Octubre del mismo año. En Febrero de 94 ascendió i comisario rujano honorario de cím-.a de S. M.: un cuaderno en rústica, ordenador,…</t>
  </si>
  <si>
    <t>Narra, Ramón</t>
  </si>
  <si>
    <t>Ramón Narra</t>
  </si>
  <si>
    <t>…rego&gt;. con sus caza que huyeron al que»- r reconocerla». Instruid a de esta novedad el ofi dores, asi como e¡ varí m &gt; 1 &gt;’ de granaderos de ^ piúnza Francisco cial de plan? mayor D. Ramón Narra;?, que se hallaba situado con Ast no. Igualmente recomiendo a V. E. al cade;; D. Joaquín Ruiz 30 hombres de! batallón de Sieiienza al cargo de su ■ h. al D. Vicenta de Zjñi.;a , jí sargento i.1' Gregorio Cartera , y--íl soldado Jo».-f Silves Mue»as en el cami…</t>
  </si>
  <si>
    <t>Narvaez, Francisco</t>
  </si>
  <si>
    <t>Francisco Narvaez</t>
  </si>
  <si>
    <t>…nsa de esta posición es muy urgente en las actuales to del batallón de este nombre, mandado por su activo coman circunstancias. La tropa se ocupa en ellas, y no siendo conve dante D. Francisco Narvaez , y una mitad de granaderos de la niente emplear mucha por no privarla del preciso descanso, guardia atacaEn á aquellos: esta brillante operación se efectuó cuando tiene que hacer e! servicio de armas, seria muy loable bajo las órdenes de los dignos coroneles…</t>
  </si>
  <si>
    <t>Nasaiii</t>
  </si>
  <si>
    <t>…romana y de las ideas monárquicas, se de cer entre ambas cortes; y que la elección del Santo Padre re cidan á ir á disfrutar de los encantos del gobierno de ias cortes caerá en el conde Nasaiii, arzobispo de Ciro , y nuncio apostó de Cádiz , de la bendita central de Ñipóles , de los oradoras ds lico cerca de la confederación Helvética, (Diario de Bruselas.) Spatfields, de los iniciado» de Teutonia y de la comisión direc tora de París. Todos los homb…</t>
  </si>
  <si>
    <t>Nash, Juan María</t>
  </si>
  <si>
    <t>Juan María Nash</t>
  </si>
  <si>
    <t>…orno de dos batallones , y en granaderos del 5,5 de linea á las del virtuoso y malogrado joven, seguida una columna de caballería de unos 200 á 25.0 caballos. teniente graduado de capitán D. Juan María Nash: una tuarta Desde luego mandó retirar las tres columnas en el mismo or deest* mismo cuerpo mandada por el digno capitán D. Mariano den con que habían avanzado, y dispuso que las guerrillas se sos Moría , la compañía de guias, ocho salineros que hicieron este…</t>
  </si>
  <si>
    <t>Nassau, N.</t>
  </si>
  <si>
    <t>N. Nassau</t>
  </si>
  <si>
    <t>…at, Auge.eau , mariscal , duque de Castiglione , general de Catuluna. Au- duque d: Bcrg y luego Rey de N ipoles. Musni-r. gereau . general de brigada, hermano del anterior. Avril, gobernador N. Nassau. Ney, mariscal , duque de Elchingen. Noirot. Nourrit de Bilbao. O. Ornano, conde. B. Balathier. Baraguay d’liiltieri, conde. Barbou , prisionero con P. Paioiiibini. Pannetier, piisionero con Dupon». París, muerto an Dupont. Barrié , prisionero en Ciudad-Rodri…</t>
  </si>
  <si>
    <t>Nasvaez, Francisco</t>
  </si>
  <si>
    <t>Francisco Nasvaez</t>
  </si>
  <si>
    <t>…tambiéná Córdoba dosd'as des Del Thlht. pués las cinco compañías del 2.0 batallón del primer regimiento, El Tibet , poco conocido todavía de ios europeo;, cncvrr.T al mando de su comandante D. Francisco Nasvaez , que habían en su seno montes cubiertos de n.cve» etern’s, nu« abo- que el venido con Rodil, mediante á que yo debía marchar sobre los Mont-Blanc y que el Chinborazo. y valles donde se da- todos pueblos de Palpa y Nasca con los 100 cazadores y compañías de l…</t>
  </si>
  <si>
    <t>Nava, Miguel Antonio García</t>
  </si>
  <si>
    <t>Miguel Antonio García Nava</t>
  </si>
  <si>
    <t>…o que teóricamente ha pital ó parroquia , donde acaso habrá muerto el Bernardo Lago , s: bia previsto el Dr. VVollaiton en su cuiiosa é interesante memoria so sirvan comunicarlo i D. Miguel Antonio García Nava, déla ciudad bre Jos sonidos que cienos oídos no pueden percibir. (Trans. Hiosof.) de Oviedo. EN LA IMPRENTA NACIONAL.</t>
  </si>
  <si>
    <t>Nava, Pedro de</t>
  </si>
  <si>
    <t>Pedro de Nava</t>
  </si>
  <si>
    <t>…el servicio que prestaba hacía mucho tiempo, la tenian ya cansada.- Se habían distribuido ANUNCIOS. grandes sumas de dinero entre el pueblo: se tenian ganados al En eL juzgado de D. Pedro de Nava, Alcalde mayor del gunos individuos de las cortes: otros participaban del terror ge Real Sitio de S. Lorenzo, se sigue causa criminal de oficio contra neral (3 ): el Rey prometia solemnemente su mediación (4), y Salvador García, de aquella vecindad, por la mu…</t>
  </si>
  <si>
    <t>Navarrete, Martin Fernandez de</t>
  </si>
  <si>
    <t>Martin Fernandez de Navarrete</t>
  </si>
  <si>
    <t>…rido desde su noticias y documentos inéditos pertenecientes á la historia y literatura1 ’í parte anterior, y que respecto A !a He Navarra tolo sabe que el general de su tiempo por D. Martin Fernandez de Navarrete: un tomo tai f Torrijos continúa en la mas activa persecución de la facción del cabe octavo marquilla, con el fac-simile de una carta de Cervantes, su®'*1 cilla O-Donell; mas que en la de Logroño las armas nacionales han retrato bellamente grabado por Ametlle…</t>
  </si>
  <si>
    <t>Navarro</t>
  </si>
  <si>
    <t>…hayan podido ocuparse del examen de ios presupues era) es. l'or to las estas razones me opon, o r ia propoiiC on. tos; pero es ya llegado el caso de que lus Cortes se ocupan de El Sr. Navarro 'lcje.ro : listos conforme cor. io que ha ma este importante negocio desde mañana mamo si es posible , y nifestado el sei or prcop nante ; pero el Gobierno , como punto de ningún modo convendré en que entremos en el examen de centr.co de toe’is las op.rac.onc…</t>
  </si>
  <si>
    <t>Navarro, Andrés</t>
  </si>
  <si>
    <t>Andrés Navarro</t>
  </si>
  <si>
    <t>…terrible, me Ruiz Abreu, D. Manuel González del Campo, D. Luis de Mata se les persiguió vivamente, y solo faltó media hora de dia para que Atauio, D. Joaquín Manrique y Manrique, D. Andrés Navarro. lodos hubiesen sido prisioneros; pero se ocultaron en las asperezas de . Habida la conferencia se decidió por unanimidad haber lugar á la los montes con ia oscuridad de la noche. Han debido tener bastante formación de cania. pérdida, y desje luego so ha cons…</t>
  </si>
  <si>
    <t>Navarro, Felipe Becicio</t>
  </si>
  <si>
    <t>Felipe Becicio Navarro</t>
  </si>
  <si>
    <t>…, debieron su salvación 4 los eslucrzcs y bricado da la Real msno.esEn Palacio á ene; Febrero de 1 8c¿-=sA constancia de los españoles : estos eran entonces sus íngel's tutelases D. Felipe Becicio Navarro. y el apevo de sus esperanzas. En efecto no salieron fallidas: cayó el c.i ..'o.del ministerio de Hacienda. trono de Napoleón , y cesaron los vaivenes que anunciaban la ruina de Para llevar í afean ¡o acoidudo y'or les Cor ¡es en decuto d; 1 2 de los drmas de…</t>
  </si>
  <si>
    <t>Navarro, Felipe Benicio</t>
  </si>
  <si>
    <t>Felipe Benicio Navarro</t>
  </si>
  <si>
    <t>…s) , física méd.ca, pondréis lo necesario á su cumplimiento. En el Alcázar de Sevi flemón , flemonoso , flebitis y otros. El tomo xvi se halla en pren lla á 7 de Mayo de 1823. = A D. Felipe Benicio Navarro.” sa , y se dará al tiempo ofrecido: la suscripción continúa abierta. Gramática de la lengua latina, compuesta con nuevo método El Gobierno ha recibido el siguiente parte de aviso, al que que facilita su enseñanza: novena edición: obra muy acreditada y ha dad…</t>
  </si>
  <si>
    <t>…a, se ha para las atenciones de la guerra. bía servido nombrar para despachar también interinamente dicha 1. a La Nación hará un servicio extraordinario para la pre-1 secretaría á D. Felipe Benicio Navarro. sente guerra, á que nos obliga la invasión del egército francés. La comisión primera de Hacienda presentó un dictamen, Todos los españoles y todos los extranjeros avecindados en Es proponiendo varios recursos para atender á las necesidades de la paña deben c…</t>
  </si>
  <si>
    <t>Navarro, Felipe Fenicio</t>
  </si>
  <si>
    <t>Felipe Fenicio Navarro</t>
  </si>
  <si>
    <t>I 2 6 cha secretaría á D. Felipe Fenicio Navarro, actual secretarlo de blos que no tengan prop’os hagan repartimientos vecinales para Gracia y Justicia. pagar el juzgado de primera instancia, opinaba que los pueblqs A la comisión de Podres se mandó pasar el testimonio del que se hallasen en el caso de no te…</t>
  </si>
  <si>
    <t>Navarro, Francisco Jossf</t>
  </si>
  <si>
    <t>Francisco Jossf Navarro</t>
  </si>
  <si>
    <t>…ando al propio tiempo ello. Se dirigirán las solicitudes á la secretaría de dicho ayuntamiento, de esparcir noticias alarmantes. Se manejó con tal cautela, que si todos á cargo de D. Francisco Jossf Navarro. le hubieran imitado, seria hoy problemático si hubo ó no la conspira Decretos de las Cortes, tomo x. Se hall» de venta con los anterio ción de que se trata. En primera y segunda instancia se le ha ¡tn Miesto res en la librería di Antorau. Ea la imprenta de A…</t>
  </si>
  <si>
    <t>Navarro, Jacobo Vicente</t>
  </si>
  <si>
    <t>Jacobo Vicente Navarro</t>
  </si>
  <si>
    <t>…Havana y Cuba. Arí. 2.0 En caso ANUNCIOS. que los efectos extranjeros legítimamente introducidos en estos puertos agraciados se remitiesen á los de la Havana y Cuba, de Poesías de D. Jacobo Vicente Navarro. En esta obrita, que berán pagar á su introducción en estos últimos la misma quinta es un tomo en octavo , se recopilan Jas dos clases de poesías lírica parte de derechos que dejaron de satisfacer en el de su proceden y dramática. Entre la lírica se insertan…</t>
  </si>
  <si>
    <t>Navarro, Manuel</t>
  </si>
  <si>
    <t>Manuel Navarro</t>
  </si>
  <si>
    <t>…utido,y quedó aprobado el rina, los milicianos provinciales cuando no están sobre las armas, dictamen de la comisión. y la marinería ó maestranza desembarcada , aun cuando trabaja D. Manuel Navarro, vecino de Moraleja, provincia de Cá- en arsenales. • ceres, exponia que no pudiendo por sí servir en la M. N. V. ha Art. 4.0 Estas elecciones parroquiales de los militares serán bia puesto en su lugar á un soldado cumplido que siempre habia siempre presidida…</t>
  </si>
  <si>
    <t>NavarroTeijelro</t>
  </si>
  <si>
    <t>…e estos males principai.de rí-ctos estancados de la provincia de Lérida, datada con resolviesen lo conveniente. 50 rs. desueldo, y d.bimdo proveerse por ser absolutamente indis El Sr. NavarroTeijelro tomó la palabra y dijo: Es indudable cuan pensable , se anuncia al público , á fin de que los empleados en activo to dice el ayuntamiento constitucional de Valencia respecto dei ¡ae*— servicio ó cesantes, que aspiren á obtener dicho destino , y reúnan lis men…</t>
  </si>
  <si>
    <t>Navas, Martin de</t>
  </si>
  <si>
    <t>Martin de Navas</t>
  </si>
  <si>
    <t>…La diputación provincial de Madrid, en cumplimiento de los decre D. Joaquín Lumbreras. D. Manuel Conchillos. tos de las Cortes de 5 de Eneio y 8 de Febrero últimos, que tratan ds D. Martin de Navas. £&gt;. Sandalio Arias. la formación de la milicia nacional activa y del segundo reemplazo D. Isidoro Franees Cabañas. D. Josef Segundo Moodejar. extraordinario del egército, ha tomado todas las disposiciones conve D. Juan Paz. D. Josef Escarano. nientes para qu…</t>
  </si>
  <si>
    <t>Navas, Martin González</t>
  </si>
  <si>
    <t>Martin González Navas</t>
  </si>
  <si>
    <t>…posesiones, y finalmente nuestra liber La comisión de Gobierno interior de Cortes, en virtud de la solici tad y la g oria de la nación. Triunfaremos indudablemente de todos tud de D. Martin González Navas, á nombre de la junta protectora de nuestros enemigos, perseguiremos hasta las puertas del averno, y libertad de imprenta, para que se le concediese un socorro para tiasla- encerraremos para siempre en sus cavernas al despotismo y sus odios» darse á Sevilla,…</t>
  </si>
  <si>
    <t>Navas, Ramón</t>
  </si>
  <si>
    <t>Ramón Navas</t>
  </si>
  <si>
    <t>…ue en su calde mayor interino; D. Matías deOchoa , Santiago Hernando, mayor parte estar* destinados á cubrir las de la tesorería general, ordinarios; D. Antonio Cevallos Escalera, D. Ramón Navas y pedia se diese orden i los intendentes para que por ningún pre Damian de la Poza, regidores; Josef del Amo y Francisco No texto dispongan de los caudales de cruzada como exceptuados y dal, procuradores; Manuel Mailen, Félix García, diputados, y Baltasar Agu…</t>
  </si>
  <si>
    <t>Ncbot</t>
  </si>
  <si>
    <t>…on que puede para operar , que se avisase , y saldrían 1 500 hombres. En busca abatirse el orgullo de los aristócratas franceses, humillados por de la tropa de Teruel ha salido el brigadier Ncbot para dirigirla, soio el valor de 600 voluntarios y 8 artilleros que la defendían, por conocer perfectamente el terreno. Hoy han sálico de Alcira i qué no hará Barcelona con los valientes que la guarnecen con 80 infantes y 30 caballos para la Alcudia y Algemes…</t>
  </si>
  <si>
    <t>Ncssel-</t>
  </si>
  <si>
    <t>…de mudarla y modificarla á su arbitrio ? Bien expresos están del mismo lenguage que Napoleón. También este queria salvar á todos los artículos de nuestra Constitución , sin que el Sr. Ncssel- la España, y no conocía mas ley que su insaciable ambición y rode pueda disculparse con la ignorancia del idioma, pues que la su bárbaro orgullo. Seria una cosa curiosísima el recorrer los do censura de Petersburgo permitió publicarla en el idioma francés, cumentos dip…</t>
  </si>
  <si>
    <t>Ncsselrode</t>
  </si>
  <si>
    <t>…er á te general de los ejércitos nacionales. si el nuevo enlace puede ser conveniente á la nación, pues les basta que lo consideren como tal para sus intereses peculiares; pero el Sr. Ncsselrode no podrá menos de convenir en la utili po en que se podrán hacer variaciones en ella. Ha tenido ade dad que resulta á las naciones de que un Príncipe no sea entera mas aprobadores y reconocedores cuando la tuvieron por útil á sus mente árbitro de elegir espos…</t>
  </si>
  <si>
    <t>Neale, H. B.</t>
  </si>
  <si>
    <t>H. B. Neale</t>
  </si>
  <si>
    <t>…ts- general de Málaga. =: Orden general de 23 de Agosto de i 8 2 3. mouth, como se habia dispuesto al principio. El equipage de Sir Servicia. =Gefe de día para hoy. ir El teniente coronel Don H. B. Neale, que ha izado su «bandera en el Rev¿nge, se ha con Pedro Toribio, del bataiion núm. 34 de línea. ducido nuevamente á Chatham desde Portsmouth, adonde se ha Gefe de día para mañana. — El teniente coronel D. Tomas bía llevado para esperar que los buques diesen…</t>
  </si>
  <si>
    <t>Nebe, Isabel de</t>
  </si>
  <si>
    <t>Isabel de Nebe</t>
  </si>
  <si>
    <t>…ificada en el mar en la campana de los bu situado en la renta del almojarifazgo mayor de Sevilla, en cib:za de zas, ace 7. Colla dan , doctor en medicina, individuo de la suciedad Doña Isabel de Nebe. Otro da 4224 mrs., situado en l.i rema general Helvética de tiendas naturales &amp;c., según se halla en ¿a Biblioteca de pescados, en cabeza de D. Felipe de Oini Pacheco. Otro de 113,500 universal. mrs. , situado en la rema de millones de Toledo, en cabeza de D…</t>
  </si>
  <si>
    <t>Negrete, Cayetano del Castilla y</t>
  </si>
  <si>
    <t>Cayetano del Castilla y Negrete</t>
  </si>
  <si>
    <t>„ Sermo. Sr.: D. Cayetano del Castilla y Negrete, alcalda bsneméritas y tan decidida, i favor del mejor de los Monarcas por su estado noble, Braulio Peres, por el estado general jun y su santa religión, no dudando que sus zelosat y acertadas dis tamente con el Sr. D. Juan Antonio Estfiniga, como cura pár po…</t>
  </si>
  <si>
    <t>Negrete, Josef</t>
  </si>
  <si>
    <t>Josef Negrete</t>
  </si>
  <si>
    <t>…Espectador del Al anunciar que éi 4 corrió en Cá tellana D. Guillermo Chacón, accésit D. Josef Rojo..__En ¿a diz la noticia de haberse sublevado la serranía de P.onda, se de latín D. Josef Negrete , accésit D. Manuel Arizcun.—1 n la observa que lo que parece cierto es que unos 4 ó 6 pueblos fue de aritmética D. Manuel Arizctin , accésit D. Facundo de Lara. ron seducidos; siendo de creer qu« los franceses en este aconte __En la de ar miélica práctica D.…</t>
  </si>
  <si>
    <t>Negro, Lus</t>
  </si>
  <si>
    <t>Lus Negro</t>
  </si>
  <si>
    <t>…recen su casa , calle de se ha servido S. Al. concederle los honores de intendente. Ifortaleza , núm. 7, cuarto principal , frente á la del Colmillo, donde ___S. M, ha concedido á D. Lus Negro, ebanista de esta corte, por acudirán las personas que gusten emplearles para tratar del ramo que les despacho de 23 de F.hrero de este año, la propiedad de una máquina de interese: acuden á dar lecciones fuera de su casa: reciben pupilos y me serrar hojas de…</t>
  </si>
  <si>
    <t>Negron</t>
  </si>
  <si>
    <t>…que fuere, lo cierto es que la decadencia del te , y mi ayudante teniente D. Manuel Bayon, y los agregados al imperio griego y la destrucción del christianismo en el Asia no E. M. capitán Negron y alférez Calderón son también dignos de tanto deben atribuirse al odio de los Nestorianos, cuanto á lá de recomendación por la exactitud con que comunicaron mis órde bilidad y á la ineptitud de los emperadores de Constantinopia. nes en medio de varios peligr…</t>
  </si>
  <si>
    <t>Neira</t>
  </si>
  <si>
    <t>…quien dependían. De la milicia nacional local voluntaria y ayuntamiento de Maceda, De este modo se ha privado constant mente á ia Iglesia del fruto de presentadas)' leídas por el Sr. Neira. la sabiduría y piedad de los prelados. H.'chos bien recientes confirman Del juez de pr me-a instancia de Valencia D. Mateo Miranda, mas mi proposición. A los Sres. arzobispo eketo de Sevilla y obispo presentada y leida por el Sr. Salva. electo de Guadix se h…</t>
  </si>
  <si>
    <t>…Crédito públi de los establecimientos. co se debena abastecer á las nunas del Almadén de la leña necesaria. Art.13. » .Si por no tener fondos los cuerpos creyese el Gobierno ne El Sr. Neira se opuso al dictamen de la comisión , manifestando los cesario que los vestuarios y monturas del egército se hagan por cominoperjuicios y abusos que hasta ahora había habidp en la corta de leña pa nes ds oficiales eücaiganos de construir lo que concierna al e…</t>
  </si>
  <si>
    <t>…primer es qué y como d.br hacer a. crutinio el br. Soria por nó votos de 118 de total; hab.endo tenido •&gt; Si se prevunu ademas qué influjo pued; tener sobre el resto de la uro e! Sr. Neira y otro el Sr. Lodares. Europa una expedición francesa contra España , ei dar una contest-cica En seguida ocuparen sus respectivos asientos los Srcl. presidente y term.tiente á una cuestión tar, prematura , si Icese posible hac-r:o, oca steretarios, y el Sr. p…</t>
  </si>
  <si>
    <t>…l de Cortes. Se procedió en efecto á ella, y en primer escrutinio salió electo el se Números. Premios. Administraciones. ñor Gastejoñ por 8p votos de 9Ó de total; teniendo tres el Sr. Neira, tres ei Sr. Marchámalo, y uno el Sr. Gómez Becerra. 5131...... lóooo duros.............. En Madrid. En segunda votación salió electo cl Sr. Gómez Becerra por 90 votos 135...... 8000......................... En Idem. de98 de total; teniendo cuatro el Sr. Marc…</t>
  </si>
  <si>
    <t>…teni binado para llamar la atención por diferentes puntos , librarse asi de la persecución del Excmo. Sr. -conde del Abisbal, y levantar cuanta gentedo 6 el Sr. Marchámalo, y 2 el Sr. Neira. En 8.° lugar el Sr. Rovinat por 73 votos, habiendo tenido 5 el pudiesen, y que ellos hicieron correr esta voz para deslumbrar , lo que se guramente no es extraño, pues V. E. no ignora que este fue uno de los Sr. Marchámalo. En 9.0 lugar el Sr. Baigcs y Oliva…</t>
  </si>
  <si>
    <t>398 fio:- Meca, 24 el Sr. Alvarez (D. Elias), 5 el Sr. Neira, 3 el carlo ya que se dejaba al "Crédito público sin fondos con que ha Sr. Posada, 2 el Sr. Suarez, 2 el Sr. Varela, y uno respectiva cerlo. Este medio lo encuentro en el dictamen que se discute, y mente los Sres. González Aguirre , Septien, Beltran de Lis, e…</t>
  </si>
  <si>
    <t>Neira, Gómez Becer</t>
  </si>
  <si>
    <t>Gómez Becer Neira</t>
  </si>
  <si>
    <t>…cn, Alix , AfonSe procedió á la discusión del dictamen de la comisión pri zo, Villanueva, Neira, Rojo, Lillo, Latrc , Ovalle, Lagasca, mera de Hacienda sobre las proposiciones del Sr. Gómez Becer Neira y otros , pidiendo á ¡as Cortes que en atención á las urgen ra, relativas á proponer medios para auxiliar al Gobierno. cias del erario, y pobreza de la Nación para sostener la guerra que Leído este dictamen se declaró haber Jugar á votar sobre su tan injustam…</t>
  </si>
  <si>
    <t>Nelra</t>
  </si>
  <si>
    <t>…» ie»tam.&gt; o; t’KKMUENCIA nía SESoR ZVtfEt.V. oía lorm.i , 14 t.j Sr. ALca, 4 ei Sr, Salva , 3 el Sr. bou cr. , 5 F.vtrnrto de la sesión del día -jS de Julio. vi Sr. I ornas, ; el Sr. Nelra, v uno re»pee; vamcMc i •» &gt; \-. Se- leyó y quedo aprobada el acta de la anterior. Bellran de Lis, Somo/a . Herrera liustanunte, Kr.cr RE J.uSe leyó un oficio de! Sr. secretario de Gracia y Justicia acom qinn), Semine, Ahítela v Salvato. C i bv -pañando sanci…</t>
  </si>
  <si>
    <t>Nena</t>
  </si>
  <si>
    <t>…Pero en qué se furria esto i ; e tra D: la M. N'. L. V. de Qumtanar de la Serena, presentada y leída jes sun las facu.iud-» de la Diputación prrmr.rr.te ? Véanse -.rías en por -1 Sr. Nena. la Const.tucion, y se hadara que ninguna de ellas tiene conexión con Di! con;.-.::darte D. Gregorio Piquero y demas oficiales de la pia tste punto. ra ruainr deí e^éicito del ¡j. ' distrito , V de un numero considerable Lo mismo digo respecto del presidente…</t>
  </si>
  <si>
    <t>Nesselrode</t>
  </si>
  <si>
    <t>…nistro: es Ja luz que difunden algunos de ellos, y mas convengan á nuestro genio, usos y costumbres. Si dijéramos que ofusca á los que quieren que los hombres no vean ni oigan. al Sr. Nesselrode, que es un oprobio para e! género humano el (6) Nuestra Carta, esto es, nuestra Constitución, ha tenido vasallage y crueldad con que son tratado» los labradores en Ru muchos defensores célebres publicistas, aunque no les haya pare sia, nos’contestaría, que au…</t>
  </si>
  <si>
    <t>…e't otra, á fin de que á Regencia, que era el poder egecutivo, y no con el legislat.vo que la posible brevedad forme y presente el reglamento ya citado.” eran las Cortes; pero al Sr. Nesselrode le conviene mas usar aquí El Sr. presidente, después de anunciar los asuntos que se de otro término , -aunque sea á costa de un disparate. discutirían mañana , levantó Ja sesión á las tres. (9) Dice aquí que era preciso reconocer y garantizar el ré gimen naci…</t>
  </si>
  <si>
    <t>…Antonio Warleta queda nombra que el Rey no siga esta Constitución; ¡no es esto constituirse: do para asistir al consejo con arreglo á ordenanza---- El batallón S. M. I. , ó sea el Sr. Nesselrode, árbitro de gobernar y disponerde Ja Reina nombrará una guardia de un oficial, un sargento, en otro Estado independiente ? :No es esto atribuirse una auto".¡i ¡J un cabo y 12 soldados, que á ias siete de la mañana se hallarán superior á la del Rey de España ?…</t>
  </si>
  <si>
    <t>Nesselrods</t>
  </si>
  <si>
    <t>…rera, Canga, soldados perjuros que volvieran las armas contra su Soberano y su pa Gil Orduña, Riego, Rico, Posada, Adanero , Sierra, Belmonte, tria. Primeramente podía decirnos el Sr. Nesselrods si cundo vino en Baiges , Prat, Moreno , Villanueva , Ferrer ( D. Joaquín), üoberon, el año 14 el Rey Fernando fueron ó no perjuros los soldados que se Gartnendia , Villaboa, Sánchez, Lodares, Blake , Torner, Rubi declararon contra el orden existente que habí…</t>
  </si>
  <si>
    <t>Nestelrode</t>
  </si>
  <si>
    <t>…milicia activa. nal de ta Corima se dice haberse sorprendido en Santiago una junta directiva de facciosos , entre los cuales se contaba el peni Continúa el artículo del oficio del Sr. Nestelrode, inserto en 7a tenciario. Sin esperar el correo para confirmarla pueden vnrds. aho gaceta riel 24. ra mismo darla por falsa. Yo soy el penitenciario de Santiago, » Al tiempo de la conclusión del tratado de Veliky-Louky único de aquella iglesia, conocido por e…</t>
  </si>
  <si>
    <t>Nevares, Miguel Cabrera de</t>
  </si>
  <si>
    <t>Miguel Cabrera de Nevares</t>
  </si>
  <si>
    <t>…Vargas, oficial que fue de rias de 8 de Febrero último, á los individuos de la diputación provin Correos, en la cual á instancia de los síndicos, ha mandado citar y cial de Soria D. Miguel Cabrera de Nevares, gefe político , presidente; emplazar á todos los que se crean con derecho á dichos bienes, para D. Victoiiano María Gallego, intendente; D. Ramón de Santiyan, que dentro del término de 30 días , comparezcan por si ó por medio diputado; D. Raimundo de Oria, d…</t>
  </si>
  <si>
    <t>Nevares, Miguel Cabrera y</t>
  </si>
  <si>
    <t>Miguel Cabrera y Nevares</t>
  </si>
  <si>
    <t>…otra Nación que con su barco que salía de Cádiz , y en él fue arrestado el antiguo gef« ejército mandado por un Príncipe Real y con sus tesoros, acu político de Soria y Calatayud D. Miguel Cabrera y Nevares. den á su redención y libertad; y un reconocimiento y ur.a gra __Por este último correo hemos recibido las gacetas de Lisboa titud tan marcada que sola ella, puede ser.una recompensa dig de todo el mes pasado Fasta 4 del corriente, que sin duda han na de alma…</t>
  </si>
  <si>
    <t>Neve, Francisco María de</t>
  </si>
  <si>
    <t>Francisco María de Neve</t>
  </si>
  <si>
    <t>…rgó por D. Manuel del Valle su marido; y á fin de que este expediente tenga la debida sustanciacion, cítese y emplácese á En atención ai mérito, distinguidos servicios y constante D. Francisco María de Neve, vecino de Méjico, sus herederos adhesión al Rey nuestro Señor del Mariscal de campo D. Na— ó sucesores, publicándose por medio de la Gaceta del reino en «ario de Eguia, ha;tenido á bien S. M. conferirle la Comandan la forma acostumbrada &amp;c. cia general de la…</t>
  </si>
  <si>
    <t>Neve, Juan de</t>
  </si>
  <si>
    <t>Juan de Neve</t>
  </si>
  <si>
    <t>…Octubre de este año los Sres. de la Rea! audiencia Madrid til de Noviembre, de Sevilla, en los autos seguidos por las respectivas partes sobre la posesión del vínculo fundado por D. Juan de Neve, y sobre El Rey nuestro Señor ha tenido á bien aprobar y confirmar encargo de la administración de los bienes de dicho vínculo, •1 empleo dfc Vixey del Reino de Navarra con la presidencia de mandaron : que Doña María Mierra continúe interinamente en aquel Con…</t>
  </si>
  <si>
    <t>Ni</t>
  </si>
  <si>
    <t>…idad ruego á Dios y poder lejítimo durante el cautiverio de nuestro Rf.y y Sobera deseo le guarde muchas años. De mi juma general en la N. y L. no D. Fernando el vi i í No, Sermo. Sr. Ni un instante ha ca villa de Villafranca á 23 de Mayo de iSag.ncEsteban de Gasbido en mí el retardar á mis 263 pueblos, que integran el cor- tañaga.=Por la M. N. y M. L. provincia de Guipúzcoa, su se reji miento que puso á mi cuidado la autoridad Real, la notic…</t>
  </si>
  <si>
    <t>…amo á mas Samper; capitán, I). Antonio García Luían; Teniente, mandar como un déspota, y entonces ya no ve en ellas mas que D. Francisco Martínez ; capitanes, D. Manuel de Yanez , D. Ni unas esclavas que le aman en la apariencia, y le aborrecen en rea colás de Llano; subteniente, D. Fernando Sequeira. San Fer lidad. En vano cada una de estas mugeres le asegura c n las ma nando 20 de Agosto de 1B 2 3. = Bartolomé Gutiérrez Acu fu. yores veras…</t>
  </si>
  <si>
    <t>Ni, Juan</t>
  </si>
  <si>
    <t>Juan Ni</t>
  </si>
  <si>
    <t>…aduanas de la Península en el mes Aligue] Cuevas, á los del ligero de Canarias D. Ramón Quintana y Don de Enero último. Nicolás Calzadilla , y á ¡os de este batallón D. Josef Ami, D. Juan Ni— Rs. su. vare, D. Felipe.Vargas, y D. Joaquín Cortadas; quedando yo di i'cse: a Productos por mercancías extrangeras introducidas en la con Jos ayudantes de la plaza de S. Juan con sola la compañía de grana Península...........................................…</t>
  </si>
  <si>
    <t>Nicola</t>
  </si>
  <si>
    <t>…enia entrasen en el ejército li Núm. 3.0 El Soberano Congreso en su sesión de esta dia ha bertador. nombrado para componer el poder, ejecutivo los sugetos siguien Respuestas. tes: D. Nicola# Biavo, D. Guadalupe Vitoria, D. Pedro Ce 1.a No se puede dejaros ir a Tulancingo ni á !s Jamaica. lestino Negrtte. 2.a En el caso de que se os permita ir :á alguna parte os es Este nombramiento se comunicará inmediatamente á los su coltará el general Bravo y…</t>
  </si>
  <si>
    <t>Nicolás</t>
  </si>
  <si>
    <t>…erse dudar: I.a Nación esp anota en lar Joaquín Dacdtya, D. Joscí Linar- s , D, Policarpo Santistcbm Morale», grandes crisis se desarrolla de un modo fuera del alcance de todo cál D. Nicolás d= Avila., menor, D. Pedro jerez, D. Juan Sánchez, Don eselo diplomático ; y el fucilo alicantino es el tipo del heroísmo. De es Agustín de Entrada , y D. Andr.s Florera. ta verdad respondan los cónsules extranjeros a sqs nacir net «espectivas. Sres. que lo j…</t>
  </si>
  <si>
    <t>…cuin Cevallos, D. Ramón Llord,D. Josef Cartel, D. Gaspar pañola , ó bien á Ies dos, podrán hacerlo tanto en la imprenta nacional Aguii.:ra, D- Antonio Gamonal, D. Francisco Barra, D. Nicolás de esta capital, como en la misma en Sevilla, é igualmente que en to Hered.ro Mayoral, D. Juan Paz , D. Manuel Carnicero , D. Valentin das las principales administraciones de correos, de las de partido y es Recio y D. Tomas Torresano, calificaron con la fórmu…</t>
  </si>
  <si>
    <t>…mos autorizados pira Orden de la plaza del ig al 20 de Abril de l82¿p. declarar que aquella carta es apócrifa.” A vista de lo referido Gefe de dia el brigadier coronel de Numancia D. Nicolás puede suponerse la circulación de semejante carta como invención Chacón. de los agentes, de la llamada santa alianza para fomentar la guerra Servicio á palacio la Reina y voluntarios-nacionales de Ma civil, mucho mas cuando los editores de la citada gaceta de…</t>
  </si>
  <si>
    <t>…esta ciudad Josef Ramón de la Peña. Escribano D. Francisco AUarez. en bastante agitación con motivo de la entrada del traidor sil Procurador eclesiástico D. Josef María Fernandez, D. Nicolás veira en León, que obligó á las autoridades y particulares a to Faujul, D. Bernardo Alonso, D. Juan Areces. Sargento se mar medidas de precaución, recibí un oficio del gele político cundo Juan Amil. De artillería Francisco Suarez. de aquella provincia, partic…</t>
  </si>
  <si>
    <t>…món l'uster: sargentos primeros Manuel Toujal y lugar. Cádiz 2 de Agosto de 1823.tr Dionisio Valdés.r= Por:su Francisco Nicolau: id. 2.0 Manuel Pérez: cabo 1 0 Antonio Te mandato, D. Nicolás .Fernandez de . Ochoa. na: id. segundos Francisco Baños, Francisco Castro y Julián BaDirección general de efectos estancados.salobre: soldados Esteban Hernández, Juan Cano, Rufino Guer rero, Doroteo López, Miguel Perez, Josef Ayu so, Antonio El Rey se ha serv…</t>
  </si>
  <si>
    <t>…io- notificaciones el perjuicio á que haya lugar. Cádiz 12 de Ago'to nal en favor de los defensores de Ja libertad de España. Mil y de 1823. = Dionisio López, r: í’or su mandato — D. Nicolás quinientas personas de ambos sexos, con gran parte de la princi- Fernandez de Oclioa. EN LA IMPRENTA NACIONAL.</t>
  </si>
  <si>
    <t>…de re notificaciones el perjuicio á que haya lugar. Cádiz 12 de Agosto yes, aunque no sea de los de Eepaña, se hubiera contentado con de 1823. = Dionisio Váldés. Por su mandato = D. Nicolás disponer una revista general de las ieyes y disposiciones que han Fernandez de Oclioa. debido su origen al Gobierno constitucional, á fin de haber uni Nota. En la gaceta del 12 , col. i.a, lín. 12 , donde dice: formado en lo posible el régimen que trataban de…</t>
  </si>
  <si>
    <t>Nicolás'testará</t>
  </si>
  <si>
    <t>…a España, la alternativa en las acciones militares hizo suce que deberá celebiarse dentro de muy pocos dias. sivamente caer en manos del ejército francés cuarenta y ocho __El gran duque Nicolás'testará en Varsovia el 34 para asistir á banderas que pertenecían al español. la entrada de las tropas en el campo. « Estas insignias, adquiridas por el valor venturoso sobra __Se asegura que S. A. R. el Príncipe generalísimo ha enviado otro igual menos favorecido de…</t>
  </si>
  <si>
    <t>Nicolás-Compañé</t>
  </si>
  <si>
    <t>…ntinelas á la vez. Barcelona 17 de Marzo. Llegada allí la comitiva , subirán al templo, por el egército perma Ciudadanos: Oíase el estruendo del cañón en toda Europa: las na nente D. Nicolás-Compañé, trompeta de artillería volante ; por la mi ciones ó temblaban ante el poder, ó eran esclavas; y los representantes licia activa, en falta de heridos de ella, D. Antonio Orcajada , del re del pueblo español, firmes en la esperanza da rescatar su patria, forma…</t>
  </si>
  <si>
    <t>Nieto, Josef</t>
  </si>
  <si>
    <t>Josef Nieto</t>
  </si>
  <si>
    <t>…l Frías. niente D. Mariano López, y los alféreces D. Francisco Vázquez, Tararla la minea activa , ja R.e¡na y* 1M. N. L. de Scvilra , y D. Tomas López y D. Lúeas Gastón, el cadete D. Josef Nieto el demás servicio el mismo. y sargento Juan Forreto, pues todos á porfia rivalizaron por en Patrullas las detalladas. señar á sus subordinado» el camino de la gloria. Dios guarde í Hospital y provisiones Numancia. = l.eglisa. V. E. muchos aros. Aranda (¡ de A…</t>
  </si>
  <si>
    <t>Nnr.cz, Manuel</t>
  </si>
  <si>
    <t>Manuel Nnr.cz</t>
  </si>
  <si>
    <t>…so: La comisión está muy de acuerdo con el se Servicio de ¡os ayudantes de plaza para la semana pn xima. ñor Veiasco; de consiguiente conviene en que se diga »sus mu— __Comandante general D. Manuel Nnr.cz.__ Gobernador Don geres , hijos ó padres en el caso de no tener estos hermanos me Josef de los Reyes , que también estará de orden.__Causas Don nores de edad y en la segunda parte &gt;5 y en el caso que alguno Juan de Rojas.__Teatro y toros D. Juan Manuel Chacón…</t>
  </si>
  <si>
    <t>No</t>
  </si>
  <si>
    <t>…bre y legítima que reconoce la nación española, y por cuya de pnisrno tiempo salvar sus propiedades de una total destrucción. fensa obedecerán á V. A. S. durante la cautividad del Sr. Don No nos detendremos en hacer corolarios sobre los motivos Fernando vii (que Dios guarde) hasta perder las vidas les gran que han influido para esta mudanza, pues que eí efecto conduce des existentes en la heróica capital de Aragón. ’ al objeto deseado con ansia;…</t>
  </si>
  <si>
    <t>No, Ala</t>
  </si>
  <si>
    <t>Ala No</t>
  </si>
  <si>
    <t>…l cast.llo de Puntales. El Gobierno se vio tan apurado con esta en hacer feliz á una nación que tamos derechos tiene para serlo. ocurrencia , que envió inmediatamente al Puerto al general Ala No hay sacrificio que no esten prontos á hacer pava conseguirlo, va para negociar. (Gaceta extraordinaria del 9 de ídem.) excepto el del honor , que no es patnmon’O suyo smo de la Na Para los hab.tintes de Cádiz no necesitan comentario estas ción, cuya causa def…</t>
  </si>
  <si>
    <t>No, Jorge de</t>
  </si>
  <si>
    <t>Jorge de No</t>
  </si>
  <si>
    <t>…, hasta el centro de un pais dispuesta con este ir , con .ola la diferencia de que en ella pedia vecino tan digno de mejor fortuna. qué fuese nombrado para lan importante cargo el Sr. Jorge de No os engañéis, portugueses: Es el oro de la Francia; son las Avüez, por reunirse en este benemérito varón todas las virtudes tramas ocultas del gabinete del Rey Cristianísimo; son las tropas sociales y conocimientos militares , con la mas constante adhesión del…</t>
  </si>
  <si>
    <t>Nogueroles, Nicolás</t>
  </si>
  <si>
    <t>Nicolás Nogueroles</t>
  </si>
  <si>
    <t>…artes recibidos solo dicen que el 15 se hallaba El falucho Santa Marta, de 25 toneladas y 6 hombres de en las Guinguetas la división francesa de ¿3 hombres de que tripulación , su capitán Nicolás Nogueroles, matriculado en dejamos hecha mención.; y á estas horas nada se sabe oficial Villajoyosa , cargado de varios géneros para Gibraltar. mente de que hayan adelantado. (Diario constitucional de BarLa bombarda Virgen del Buen Viage, de 30 toneladas y 7 c clonad) h…</t>
  </si>
  <si>
    <t>Nogues, Pedro</t>
  </si>
  <si>
    <t>Pedro Nogues</t>
  </si>
  <si>
    <t>…ue se le concedió en 1448 por los motivos que expresaba, á los coroneles D. Felipe Bros, D. Ignacio Hacha y D. Do opinaba que debía repartirse. Aprobado. mingo Mateos, al teniente coronel D. Pedro Nogues, y á los ca La comisión primera de Legislación, en vista de una solicitud pitanes D. Francisco Palacios y D. Félix Combé, y á los tenien de Doña Ana Ortiz , casada en segundas nupcias, vecina de Ba tes D. Ramón Casulá y D. Josef Vidal; á las inmediatas ór za…</t>
  </si>
  <si>
    <t>Nonnanby</t>
  </si>
  <si>
    <t>…os ejércitos siguieron á Jos fran Erskine, lord Lynedoch, lord Nugert, lord John Russsll, lord ceses: iguales declamaciones hubo entonces sobre el estado de ar.trWilliam lUussell, lord Nonnanby, lord Ebrington , el honora quia y división de ánimos en la Península; y en el fondo, esto ble J. Abereromby , Lcicester Stanbope , J. J.ambton, miembro era cierto, como ahora también loes; el gobierno era insuficiente; del Parlamento; Sir James Mackintosh, m…</t>
  </si>
  <si>
    <t>Noria</t>
  </si>
  <si>
    <t>…palabra aquí la ver ‘ Se lepó la lUt.r de los Sres diputados que dc-M.in dadera que babia Usado S. M. , que era Sevilla. ir* tí palacio á felicitará S. M. por su feliz arribo á El señor Noria dijo que S. M. baliia dicho ter esta ciudad, y salid dicha diputación. minantemente que ni su conciencia ni el afecto que Sb procedió á la disensión del presupuesto uel mi profesaba á sus súbditos le permitía salir de Sevilla. nisterio de la Gobernación de la…</t>
  </si>
  <si>
    <t>Noriega, Felipe</t>
  </si>
  <si>
    <t>Felipe Noriega</t>
  </si>
  <si>
    <t>…ijo: » Amados conciudadanos: en nom de las mismas jurisdicciones y de Cabrales , y á las órdenes del intrépi bre de la nación española, del ayuntamiento constitucional y de los do D. Felipe Noriega los atacan y dispersan con pérdida de 8 muertes y buenos ciudadanos de esta villa se conceden á vmds. estos sombreros en tres prisioneros. Forman varios grupos: uno, acaudillado por el ladrón premio de su aplicación.” Manuel Pilar, entra dos veces en Rivadese…</t>
  </si>
  <si>
    <t>Norte</t>
  </si>
  <si>
    <t>…, informe remitido por el general Guilleminot, ge fe del E. M. amenazas. Resolvió pues el alto tribunal de los Monarcas del Ti 14 salió de Paris el mariscal Víctor, acompañado del general Norte enviar al ministro ingles, lord Strangford, con nuevas Coftlosquet. Se decía en Paris que d nombramiento del general instrucciones á Constantinopla, sin que haya podido traslucirse Guilleminot de mayor general del ejército habia sido revocado, cual es el ú’ti…</t>
  </si>
  <si>
    <t>Nota, Hu</t>
  </si>
  <si>
    <t>Hu Nota</t>
  </si>
  <si>
    <t>….............................. 14,500 minuir su frecuencia y asegurar sus marchas, aumentada con algunas Crédito público. refl xiones sobre el saqueo, pillage, merodeo &amp;c., por el general Hu Nota del importe de ¡os créditos cancelados con ínteres y sin él que go, traducida libremente con notas por el citado brigadier D. Federico han entrado en este establecimiento en pago de fincas y redenciones decen ■Mor-tfi.*’ io; á cuya quema se procederá cl día 7…</t>
  </si>
  <si>
    <t>Noticias</t>
  </si>
  <si>
    <t>…pidez, á la cual se debe la conservación del parque , que se ha sacado de en medio de las llamas entre los Junta gubernativa. grito» ds viva el Rey , viva el duque de Angulema. El capitán Noticias extrangeras. de Monfercet, del. tercer regimiento de infantería de laGuatdia, que en estas circunstancia. ha dado las mayores pruebas de su MSTADOS-UNIDOS DE AMERICA. zelo, fue; levemente Herido: ocho soldados de diferentes cuerpos jSfueva-Yorck. 6 de Mayo. l…</t>
  </si>
  <si>
    <t>Noticias, V. A. S.</t>
  </si>
  <si>
    <t>V. A. S. Noticias</t>
  </si>
  <si>
    <t>…getos todos inspiran la confianza que se berano y en toda su pureza la religión de nuestros padres. Ma merece tai establecimiento. drid 7 de Junio de 1823. csSermo. Sr. = A. L. P. D. V. A. S. Noticias de las fronteras de Francia. Por la villa de Herencia sus comisionados Josef Díaz Pavón, El día 7 á las 6 de la mañana desocupó Mina con sus tro cura párroco.=El coronel Tomas Montero. == El regidor Juan pas los pueblos de Oseja, Paliau, Age y Sasperdum, y se…</t>
  </si>
  <si>
    <t>Nourhasta</t>
  </si>
  <si>
    <t>…a sición , la cual ganó este regimiento con una intrepidez digna desenganchó el pueblo los caballos de su carroza, y la condujo de todo elogio. El 5.0 de cazadores, mandado por el barón Nourhasta dicho palacio con las demostraciones de la mas extraordi ry , ha protegido vigorosamente estos ataques por todas paites naria alegría; yt costó mucho trabajo el disuadirlo para que no donde lo permite la naturaleza del terreno. hiciese otro tanto á su vuelta.…</t>
  </si>
  <si>
    <t>Novell</t>
  </si>
  <si>
    <t>…irmación de esta no que nadie pueda entrar ni salir. ticia. Después de la fuga de Quiroga antes del amanecer del 31 Santiago 4 de Agosto. con dirección á Inglaterra , el comándame general Novell» que Los gefes disidentes y sus inlormes tropas de resto que se ha ha sucedido pl primero envió un parlamentario al general si llaban sobre el puente de S. Payo, han sido flanqueadas por Jas tiador, pidiéndole admitiese la capitulación que habia propuesto tfo…</t>
  </si>
  <si>
    <t>Novell, Lorenzo</t>
  </si>
  <si>
    <t>Lorenzo Novell</t>
  </si>
  <si>
    <t>…que no sufren las cosas Capuchinos: P. Manuel de la Nou, P. Josef de Barcelona. humanas, sujetando en consecuencia las variaciones que el tieot* Presbíteros :D. Antonio Valparda, D. Lorenzo Novell, ca po y la experiencia puedan hacer necesarias, á formas fijas y nónigo de Sta. Ana D. Antonio Ibero, párroco de Ribes Don precisas, que la nación pondrá en práctica cuando convenga, sin Josef Meselans. que ningún otro poder sobre la tierra tenga la facultad…</t>
  </si>
  <si>
    <t>Novella</t>
  </si>
  <si>
    <t>…ga camino de Ponteareas , ha ra han observado los sitiados recibiendo á balazos al primer par biéndose desertado y acogido á las tropas Reales la mayor par lamentario. Temiendo el general Novella, en vista de esta ne te de su fuerza y casi todo el regimiento lie Aragón con oficia gativa, que la plaza iba á ser entrada por asalto, suplicó al ge les de todas clases, y entre ellos el sargento mayor de la plaza neral francés conoediese paso a un coronel d…</t>
  </si>
  <si>
    <t>…erden «casion de divulgar notivista de la aparición de lo» dos cadáveres pronto se desengaña cias locamente aterradoras*, estos dias han hecho correr rumoresron que no fue asi. El general Novella, á consecuencia de esta de sonados desórdenes en la ciudad de Oporto, y la deserciónnovedad inesperada, dispuso inmediatamente se hiciesen las mas eficaces averiguaciones para indagar la certeza de un hacho de paite de nuestro regimiento de infantería nútn. 2…</t>
  </si>
  <si>
    <t>…de 29 de Julio, venidas por correo ex en mi corazón la idea de merecer vuestro cariño, y que dirigi traordinario, confirman la aflictiva noticia que dimos ayer so dos por el digno general Novella, á quien de Real orden he bre la salud del Sutno Pontífice. S. S. se había empeorado, y entregado el mando , completareis la obra comenzada, conser el mal se agravó tanto, que S. E. Mr. el duque de Lava! creyó vando este sagrado depósito de la libertad é inde…</t>
  </si>
  <si>
    <t>…a capitulación siguiente: te p'aza de la Coruña , y á las 10 entraron en ella las tropas « El artículo i.° del convenio hecho entre el teniente general francesas. conde Bourk y el general Novella pone á la guarnición de la EN LA IMPRENTA REAL.</t>
  </si>
  <si>
    <t>…a sedentaria, primera base de toda civiliza zón la idea de merecer vuestro cariño , y que dirigido* por el dig ción , y á las labores del campo, y bajo este aspecto son acreedo no general Novella, á quien de Real orden lie entregado el man res á la gratitud de los amigos de la humanidad; pero por lo que do , completareis Ja obra comenzada, conservando este sagrado toca ú las conversiones que se supone lian hecho , 110 merecen el deposito á la libertad…</t>
  </si>
  <si>
    <t>Novella, Francisco</t>
  </si>
  <si>
    <t>Francisco Novella</t>
  </si>
  <si>
    <t>…de la facción de Buron y otras en los chos años. Pontevedra 29 de Marzo de i8i3.= Ántonio Quiroga.c: días ,4 y 15 por las tropas de Cayuela, las facciones se disolvieron, y Excmo. Sr. D. Francisco Novella. los cabecillas que no se acogieron al indulto tratan de hacerlo; qae Gobierno político de la provincia de la Coruiía.habiendo reclamado el indulto la facción entera de Cibeiro y muchos de los cabecillas de la de Cotobad , y mediante la actividad y buenas »&gt;…</t>
  </si>
  <si>
    <t>Novilla, Francisco</t>
  </si>
  <si>
    <t>Francisco Novilla</t>
  </si>
  <si>
    <t>…a , que ha estado separada mo de Agosto de i823~EI intendente interino del cuarto ejército, mentáneamente dd ejército, vuelve á incorporarse tn él, y es encargado por S. E. el Sr. general D. Francisco Novilla, Agus considerada como todas las demás tropas que le componen. Los tín Rodríguez y Fernandez.=F.l mariscal de campo , encargado generales, ge fes y oficiales conservarán sus empleos, graduacio de los poderes de Monsieur el general conde Bourk., el ba nes y di…</t>
  </si>
  <si>
    <t>Novoa, Pascual Boiaños y</t>
  </si>
  <si>
    <t>Pascual Boiaños y Novoa</t>
  </si>
  <si>
    <t>…F.í Rfy ha expedido el decreto siguiente! sef María Recortillo, D. Francisco Hidalgo, D. Juan Josrf del Cubi « Don Fernando ni por la gracia de Dios y por la Constitución de llo, D. Pascual Boiaños y Novoa, D. Antonio ds Oiazarra , D.Franla Munarquía española , Rey de las Espadas , á todos !o¡ que las pre cisco Carranza y D. Josef María de Arroyo, por unanimidad dec aró sentes.vieren y entendieren, sabed: Que las Cortjs han decretado lo haber lagar á la formaci…</t>
  </si>
  <si>
    <t>Nrssritode</t>
  </si>
  <si>
    <t>…ga se habia tramado con tanta astucia, din‘omr.tico austr acó: otro, que no míeme menos, esperaba en Paiis que hasta en la espera sé vendia el resumen de la Estrella en ingles, ai Sr. Nrssritode; y todavía hay otro que dice que estamos fon fi-ando t Pero puede esperarse otra conducta de hombre» que viven de la men ei Retiro!! tira , que insultan a los Pares de Francia, porque quieren hacer oir Ja En Lóndres es muy singular y muy general el entusiasmo…</t>
  </si>
  <si>
    <t>NT</t>
  </si>
  <si>
    <t>…del regimiento de Extremadura y una compañía del In n División expedicionaria del primer distrito militar. = Excmo. Sr.i fante D. Carie:, mandada esta per cí comandante del mismo D. NT. Por mi oficio fecha 28 del actual «uve el honor de manifestar á V. E. Rcig , y aquellas por el capitán D. Manuel Perez , en número de 200 que ¡i pesar de recelar que las órdenes del Gobierno , relativas á la des hombres, á cuya cabeza se puso el bizarro gene…</t>
  </si>
  <si>
    <t>Ntuviüe, Hide de</t>
  </si>
  <si>
    <t>Hide de Ntuviüe</t>
  </si>
  <si>
    <t>…as igUsias que no sean catedrales designarán los ayunt-nrentos la dota- Concluye ¡i ,irrjc:;.'j Je e-. I cion que hayan de g- zar , la que no excederá de ia de los pirrccos, lo El Sr. Hide de Ntuviüe sube a ia tribuna ; C tumulto llosa ai extre cual no puede aprobarse, porque el pu.blo de corto vecindario á quien mo ; apenas puede conseguir que se o.g.i re voz.... le tocó la suerte de tener una colegiata por alguna incidencia , ó por la El mismo: Solicito…</t>
  </si>
  <si>
    <t>Nudez, Almud</t>
  </si>
  <si>
    <t>Almud Nudez</t>
  </si>
  <si>
    <t>…ra impaciente por firmar la paz. ¡Quién, Comandante general y consejo D. Ji.*n Manuel Chacón----Go pues, de pronto le inspira tanta moderación, y libra al Austria bernador y orden D. Almud Nudez. — De causas D. Juan de de un conquistador altamente ofendido é irritado! ¡quién! La Rojas. _Teatro y toros D. Antonio \\ ai lúa y D. Josef ¡os Nación española que le llama toda su atención y ocupa sus me Reyes.__Mañana es dia de corte, á cuyo efecto se halla…</t>
  </si>
  <si>
    <t>Nue, Miguel</t>
  </si>
  <si>
    <t>Miguel Nue</t>
  </si>
  <si>
    <t>…3. = Excmo- Sr. rzEl gefe que la de un artillero herido de mucha gravedad. El capitán Don de estado mayor Francisco Javier Cavancs.” Vicente Ruiz, los alféreces D. fausto García y D. Miguel Nue ras , de Alcántara, y el de igual clase de artillería D. Agustín Bla- __En la provincia de Madrid y en Ja de Ciudad-Real se han ke con dos cabos y un soldado siguieron á Bessieres hasta Mon- levantado ya veinte y dos guerrillas debidamente autorizadas por tea…</t>
  </si>
  <si>
    <t>Nuestra, Ra</t>
  </si>
  <si>
    <t>Ra Nuestra</t>
  </si>
  <si>
    <t>…espada-sable obra en su po acción principió á empeñarse: el gefe del primer batallón de der , por haberla tomado en el campo. cazadores de provincia mandó al capitán de tiradores D. Ra Nuestra perdida ha sido, del pnmero He caradores de provin món que con su compañía atacase las guerrillas que avanzaron cia her-do de un balazo en el p&lt;e el surten,.r.te D. .Kr.iqu.rt los encímeos desde la torre de la Pubilia Gasas, y que 25 ca Alaban , el s.rgettr.»…</t>
  </si>
  <si>
    <t>Nuestro, Conde da</t>
  </si>
  <si>
    <t>Conde da Nuestro</t>
  </si>
  <si>
    <t>…que tanto se repi tonio Gómez, se sacan í pública subasta, en virtud de Real fa ten ahora en ese reino contra las cosas de la Iglesia. cultad concedida per S. M. en 1815 al Excmo. Sr. Conde da Nuestro corazón no puede dejar ds prorumpir en profundos Salvatierra, actual Duque de Mijar, por térm.no de 30 diss, suspiros cuando consideramos que aquella gloriosa Nación ¿ la contados desde la fecha de este anuncio, las fincas s guitnt s: cuai liab a sido hasta a…</t>
  </si>
  <si>
    <t>Nueva, Jaime Ruíz y Abreue la</t>
  </si>
  <si>
    <t>Jaime Ruíz y Abreue la Nueva</t>
  </si>
  <si>
    <t>…En su vista sé reúriió el jurado, compuesto de los señores siguientes: de Argos, magistrado honorario de la audiencia territorial de Castilla D. Josef Rives, D. Casimiro Martin , D. Jaime Ruíz y Abreue la Nueva , y juez ietrido de primera instancia en esta dicha villa: Ha- D. Andrés de Aloya Luzuriaga , D. Josef Antonio Ponzoa , el conde tiendo visto la cau:a seguida á instancia de D. Agustín Josef Mestre, ' de Floridablanca , D. Nicolás Cano de Luquo , D. Juan Fern…</t>
  </si>
  <si>
    <t>Nufiet</t>
  </si>
  <si>
    <t>…de las dos secretarías de la diputación provincial choque con la Constitución. Es bien sabido el objeto por qué esta se y gobierno político de Salamanca, presentada y leída por el Sr. Nufiet concedió. Las Coites al dar esta autorización, conocieron la necesidad (D. Toribio). de que se diesen por el Gobierno ciertos encargos ó comisiones á mi El Sr. presidente anunció que mañana debían concurrir los señor» litares que por sus talentos aplicados op…</t>
  </si>
  <si>
    <t>Nufiez</t>
  </si>
  <si>
    <t>…daba sobre la mesa , y decreto de las Cortes de 23 de Diciembre de 182a. que señalaría die para su discusión. Art. y.0 » Para facilitar las propuestas, tanto de antigüedad como El Sr. Nufiez (D. Toribio) ocupó la tribuna, y leyó por primera de elección, el primer médico formará la correspondiente hoja de ser vez el proyecto de código de procedimientos criminales, presentado por vicio á todos los individuos del cuerpo de sus diferentes clases, con…</t>
  </si>
  <si>
    <t>Nufiez, Manuel</t>
  </si>
  <si>
    <t>Manuel Nufiez</t>
  </si>
  <si>
    <t>…den concurrir á la secretaria del establecimiento desde las D. Manuel Antoran. D. Faustino Fernandez Vidobro. diez hasta la una del día á exhibir sus acciones y presentar ios docu D. Manuel Nufiez. D. Tetisforo Polo. mentos convenientes para el cobro de dicho dividendo, que se ira ve D. Vicente Santiago Les. D. Josef M.re'o. rificando á medida que baya proporción de fondos. D. Manuel Loprz Concia. D. Valentín Recio. Juicios de jurado. D. Pciayo Zorrill…</t>
  </si>
  <si>
    <t>Nugen</t>
  </si>
  <si>
    <t>…s de Inglaterra! por otra parte son en pequeño nú ejército. mero: deseo pues que se d scuta esta cuestión. Los habitantes de Manresa y de los pueblos circunvecino! La petición del lord Nugen fue concedida por unanimidad. manifiestan ia mejor voluntad; y hallándose convencidos del buen ¡ (Diario de los Debates.) resultado que debe tener.nuestro ejército , nos ayudan con tod3¡ I la* I_ Los periódicos de Ja Jamaica traer; las noticias siguien sus fu…</t>
  </si>
  <si>
    <t>Nugert</t>
  </si>
  <si>
    <t>…resto de Europa, quiero decir, Grosvenor , lord Gcsford, lord Lansdownc, lord Grey , lord la confederación germánica , cuyos ejércitos siguieron á Jos fran Erskine, lord Lynedoch, lord Nugert, lord John Russsll, lord ceses: iguales declamaciones hubo entonces sobre el estado de ar.trWilliam lUussell, lord Nonnanby, lord Ebrington , el honora quia y división de ánimos en la Península; y en el fondo, esto ble J. Abereromby , Lcicester Stanbope , J.…</t>
  </si>
  <si>
    <t>Números, Ma</t>
  </si>
  <si>
    <t>Ma Números</t>
  </si>
  <si>
    <t>…ría moderna nacional en el sorteo de este dia. establecida en el piso bajo del edificio de la Panadería, y hora de lai 10 da la mañana, al juicio de conciliación que ha solicitado D. Ma Números. Premios. AJmmistracicues. nuel Morato, apoderado de la Sra. viuda de Robledo é hijo, vecinos de 2880.......... 1 COCIO ps. fs.............. ... En Sigitsnza. esta corte, cuya pretensión versa sobre entrega de las llaves de una casi 15-Ha......... 4000.......…</t>
  </si>
  <si>
    <t>Nunciante</t>
  </si>
  <si>
    <t>…cias, entonce? fue cuando1 V. A. S. el duque de Miranda, obtendrá los empleos y honores dei duque buscó un asilo en tan horrorosa tempestad entre nuestros ínti -de Ascoli.' que el general Nunciante será ministro de Guerra; el mos y fieles aliados los franceses, dirigiendo desde sus-dominios general Fardeila inspector de !a guardia Real, y el general Churcb, como sabio piloto esta nave política para que no fuese sumida y cuya conducta ha sido tan buena e…</t>
  </si>
  <si>
    <t>Nuncio</t>
  </si>
  <si>
    <t>…V. E- del mas profundo dolor, y no cesa de ofrecer al Altísimo loa su mas atento y seguro servidora Víctor Saez.” mas fervorosos votos para que se digne libertar al infeliz Mo Ei Sr. Nuncio, conservando siempre aquel bello carácter narca de la terrible penosa situación en que se halla. Semejan que le ha distinguido en circunstancias las mas críticas y espi tes votos, yo (o espero, serán muy pronto satisfechos, y el nosas, contestó en los término…</t>
  </si>
  <si>
    <t>…en el acata reúnen en conciliábulos, y alli se solazan, lisonjeándose estúpi miento de! Omnipotente! damente con que estos males han de ir en aumento, y señala i, En cuanto á vos, Sr. Nuncio, la Regencia y la España cada uno las víctimas qus en su caso le toca sacrificar. Y estos toda se complace, y se complacerá indudablemente, y se con miserables, oprobio del género humano, aun reclamarán ds solará nuestro amado Rey de volver á ver entre nosotr…</t>
  </si>
  <si>
    <t>…ón-..» tes los Síes, obispos y los prelados generales de las órdenes-regulares. "jniquéléteaf-por no considerarse como tropa reglada: son'una El duelo era presidido por el Exorno. Sr. Nuncio , y ofició gavilla 3e bandidos manchados con los crímenes mas horribles. de pontifical el ilustristmó-Sr. obispo de Osma , regente. Die 4Qu¿'*ei4~pues det italiano Linatti su digno gefe? Bl z8 cogie ron las últimas'absoluciones los ilustrísimos Sres. arzobisp…</t>
  </si>
  <si>
    <t>Nuñcz</t>
  </si>
  <si>
    <t>…por la izquierda del Suarez para las de Legislación y Ultramar: al Sr. Isturiz pira ibro. F.1 • j salieron miliciano» de infantería y caballería condu la primera de Hacienda, y al Sr. Nuñcz (D. lonb.o) para la ciendo los presos a Eadajoz. de Diplomática; y levantó la sesión á las tres menos cuarto. Orden de la plaza del i.° al a de Mayo. El general Mina con fecha i.° de Abril desde su cuartel ge Gefe de dia el comandante de la Reina D. Francisco…</t>
  </si>
  <si>
    <t>Nuñez</t>
  </si>
  <si>
    <t>…egimiento de caballería de Far- podía presentarse en las Cortes sino con el objeto de exigir responsa bísío. bilidad á los que la hubiesen merecido; pero no resultando del expe El Sr. Nuñez (D. Toribio) leyó otra de 1 alcalde constitucional diente méritos bastantes para exigirla, las Cortes tenían que fallar sobre de Piedrahita. lo principal del asunto del modo que proponía la comisión. Que no El Sr. secretario Valdés leyó otra del ayuntamiento…</t>
  </si>
  <si>
    <t>…del corriente. Da Del colegio nacional de S. Miguel de Granada , por el Sr. Ruiz de este número fueron las siguientes: de la universidad de Salamanca, pre la Vega. sentada por el Sr. Nuñez (D.Toribio), y del ayuntamiento y milicia de Del ayuntamiento constitucional y milicia nacional de Villareal, Laredo, por el mismo. provincia de Casteljon. De la milicia nacional local voluntaria de Leganés, por el Sr. Mo Del ayuntamiento constitucional y mil…</t>
  </si>
  <si>
    <t>…Francisco Crespo de Tejada el suplemento al nu En 1 $.° lugar el Sr. Bartolomé por 82 votos, que era el total. mero 7 del Procurador general, en concepto de subversivo. En 16.0 el Sr. Nuñez (D. Toribio) por 79 votos, habiendo tenido En su vista se reunió el jurado , compuesto de los Sres. siguientes: dos el Sr. Cano. D. Juan Antonio López, D. Vicente Segurado, D. Zoilo Gómez En 17.0 el Sr. González Aguirre por 79 votos, habiendo tenido uno Caser…</t>
  </si>
  <si>
    <t>…ado a deño por 67 del total 12 r .habiendo tenido 14 el Sr. Pachc-co, El Sr. Dice: Ale he opuesto á la totalidad del proyecto que 11 cada uno de los Sres. Falcó y Alcántara , 3 el Sr. Nuñez se discute, poique estoy persuadido de que es un equivalente d (D. Toribio), 2 cada uno de Jos Sres. Tomas , Pedralvez, Reh d&gt;.l derecho de registro; y para convencerse de ello basta solo el ilo , Ovalle y Sánchez, y uno los Sres. Latre, Ximenez , Cuevas cote…</t>
  </si>
  <si>
    <t>…ados de la Rema.=:Lr vclisa, Habiéndose opuesto á este dictamen el Sr. Trujulo, el señor presidente suspendió esta discusión. Se mandaron agregar a! acta dos votos, el primero del señor Nuñez (D. Toribio), contrario á la aprobación del dictamen acer Las noticias de Talavera de la Reina hasta el 36 del pasado ca de 110 admitir en Galicia mas que un 5 por 100 de las con inclusive dicen lo siguiente: tribuciones en calderilla; y el segundo del Sr. .R…</t>
  </si>
  <si>
    <t>Nuñez, Manuel</t>
  </si>
  <si>
    <t>Manuel Nuñez</t>
  </si>
  <si>
    <t>…a á los culpados. Confiad pues en su Manuel Chacón___Causas D. Juan de Rojas-----Teatro y demas zelo: escuchad su voz paternal, y conservad en estas circunstan— funciones públicas D. Manuel Nuñez. __ Asistencia al consejo c as la calma y prudencia que tienen derecho á esperar de vosotros, de Sres. generales D. Josef los Reyes. y de que tantas pruebas tenéis dadas. Evitad sobre todo cuanto pu diere dirigirse á turbar la armonía que debe reinar entre lo…</t>
  </si>
  <si>
    <t>…ral y consejo D. Antonio Warleta__ Go bernador y de orden D. Juan Chacón.__Causas D. Juan de Ro ARTICULO DE OFICIO. jas__ Teatro y demás funciones públicas D. Josef de los Reyes y D. Manuel Nuñez... Circular dirigida por el secretario del Despacho de Estado a Mañana hay corte, á cuyo efecto se hallarán en pala cío á las los agentes diplomáticos de S. M. en Jas Cortes extranjeras. n los Sres. gefes y oficiales de los cuerpos de la guarnición. = si Es n…</t>
  </si>
  <si>
    <t>…s—GoLernador misión los males que esta medida podría causar. y de orden D. Antonio Warleta__ Consejo de guerra de gene El Sr. Rico: Es menester también no perder de vista, y rales D. Manuel Nuñez__ De causas D. Juan de Rojas—Tea que ias Cortes se convenzan, de que la mayor parte de los pue tro y demas funciones públicas D. Juan Mauuel Chacón y Don blos están penetrados de que ios pósitos solo han sido útiles á dos Manuel Nuñez. ó tres familias privile…</t>
  </si>
  <si>
    <t>O, Demetrio</t>
  </si>
  <si>
    <t>Demetrio O</t>
  </si>
  <si>
    <t>…Carraca fue por el caño de Santo Desde el Trocadero partieion cerca de i9 hombres al mando Domingo , y habiendo salido del terreno de las salinas , y llegado del mariscal de campo D. Demetrio O—Daly , y su vanguardia basta la casa de Villanueva, rompió y sostuvo un vivo fuego con á Jas órdenes del coronel D. Josef Sta. Cruz , comandante de tra los enemigos, hasta que se la mando retirar. El coionel aquel puesto Golfin ejecutó esta operación con el m…</t>
  </si>
  <si>
    <t>O, Francisco López</t>
  </si>
  <si>
    <t>Francisco López O</t>
  </si>
  <si>
    <t>…147 mrs., situados en las sedas de Granada__ Tres Luis de Mata Araujo, D. Arias Gonzalo de Mendoza, D. jo juros en el Almojarifazgo mayor de Sevilla de 1010 rs. 2 mrs. sef Merelo, D. Francisco López O.avarrieta, D. Faustino Fer de renta en cabeza de Juan de Aumada___Otro en cabeza de nandez Huidobro , D. Marceliano Torio y Torres y D. Ma Doña María Ortiz de Rivadeneira de 24,146 de renta, situados nuel Ledesma. en el servicio y montazgo de los ganados dei r…</t>
  </si>
  <si>
    <t>O, Nicolás de</t>
  </si>
  <si>
    <t>Nicolás de O</t>
  </si>
  <si>
    <t>…s é italianas, las antiguas castellanas di Por el mismo tribunal y escribanía , y á instancia de los Ferrara , Vatera &amp;c., y sobre todo la manera con que han tra testamentarios de D. Nicolás de O tiz, se cita, llama y empla ducido la mayor parte de los versos de ia sagrada Escritura ea za á los acreedores de D. Josef de Sobrevilla y demas intere sus tratados de piedad los sabios escritores españoles dei siglo sados á la cantidad de 48,559 rs. de capit…</t>
  </si>
  <si>
    <t>O, Ramón</t>
  </si>
  <si>
    <t>Ramón O</t>
  </si>
  <si>
    <t>…el teatro de acudirán á recogerlos con la brevedad posible, fenxnto coronel, uin guerra civil continua, pues no cesan un instante las riñas en D. Blas del Castillo Luna; teniente, D. Ramón O.inety; subte tre las mugeres y las quejas de estas al marido. Las cuatro espo nientes , D. j jan Josef Bracho, D. Manuel Garcái, D. josef sas leg'timas se quejan de que son preferidas las esclavas, y estas Lluch, D. Bernardino Herrero, D. Juan Muros y Fernande…</t>
  </si>
  <si>
    <t>O-Da, Demetrio</t>
  </si>
  <si>
    <t>Demetrio O-Da</t>
  </si>
  <si>
    <t>…imera brigada de la Corona , al que asistirán corno vocales dos capitanes del batallón segunda d.v slon. de la Reina, dos de la milicia activa , y dos del cuerpo de arti Ei Excmo. Sr. D. Demetrio O-Da!; tomará el mando de llería. La misa del Espíritu Santo se dirá á las ocho en la parro las tropas de la primera d.v .Yon liaría el regreso de la com.Von quia de S. Esteban__ El batallón de la milicia activa nombrará que desempeña el comandante general propxta…</t>
  </si>
  <si>
    <t>O-Dafy, Demetrio</t>
  </si>
  <si>
    <t>Demetrio O-Dafy</t>
  </si>
  <si>
    <t>*4 ti Don en postillón del gefe del estado mayor del cuarto egér segunda división de este egército D. Demetrio O-Dafy , al co cito de operaciones, fechado en Valladolid á i» del corrien ronel D. Ramón Maitinrz y Gutiérrez y al comandanti Don te,'se me noticia que el general D. Pablo Morillo estaba en Joaquin de Aguirre. Se reconocerá por auxiliar del E. M. de comunicación co…</t>
  </si>
  <si>
    <t>O-Daii</t>
  </si>
  <si>
    <t>…anos; y me incorporé con la última 9217...,. tooo....i...................... En Madrid. columna , que fuimos cerrando hasta Brihucga, según la orden que ea Torija me ínbia dado el general O-Daii. 9593...... tooo........................ En Ciudad Real, n Al llegar á Biiliuega fueron desalojados los enemigos de todas 142/3...... 1000.. ................. En Logroño. las vertientes de la parte anterior de dicho pueblo, por Ja intrepidez ARTICULO DE OFICI…</t>
  </si>
  <si>
    <t>O-Dalí</t>
  </si>
  <si>
    <t>…tada Abisbal sin pérdida de un momento ha salido en persecución de la fac mente sus tiros á los fugitivos mientras subían á encerrarse en los fuerción cor; las tropas que mandó el general O-Dalí , y las que ha traído tes , que inmediatamente, y en particular el reducto de Balira y su pun el mariscal de campo Velasco, en dirección de Oídle, habiendo que to avanzado , segundaron con la fusilería el incesante fuego de la arti dado en esta el último con…</t>
  </si>
  <si>
    <t>O-Dali</t>
  </si>
  <si>
    <t>…la facción ds Ulman, que manifestaba dirigirse al bajo Aragón, cuyo tos, si io estimase útil; entendiéndose en la clase de pagos en que el pais conoce perfectamente Torres ; y al general O-Dali le previne qm Gobierno dirige su acción contra los particulares , y no co&amp;txa los pue siguiese mi movimiento que emprendí ayer mañana , forzando li blos ó ayuntamientos. marcha hasta aqui, y voy á continuar hacia Sigiienza , donde se Art. 4.'" v Las autoridad…</t>
  </si>
  <si>
    <t>…x-secrctario del Despacho de la paró Bessieres, quedando mandada por el Royo, llamado Capapé. I.a Guerra D. Estanislao Sánchez Salvador , sobre infracción de Constitu división del general O-Dali dormirá hoy en Berlanga , y la he dado ción y de ley en la que se siguió contra el brigadier D. Francisco orden para dob'ar la marcee cuanto sea posible. Dios guarde á V. E. Serrano , el teniente coronel D. Florencio Ceruti y e! capitán Don muchos años. Cuart…</t>
  </si>
  <si>
    <t>…lo» enemigos. papel sellado, era de parecer que ,-e debía aprobar ia p.anta pro «Todo el resto de ¡a divis.on de infantería a las órdenes del puesta por el Gobierno. .Aprobado. ■ general O-Dali ha quedado acantonado esta noche en Valdela- Se leyó el dictamen de la misma comisión sobre -el provecto casa, y el cuartel general en esta, de cuyos puntos seguiremos propuesto por el Gobierno para el derecho de reynt: o , v cual mañana el movimiento. observ…</t>
  </si>
  <si>
    <t>O-Dali, Demetrio</t>
  </si>
  <si>
    <t>Demetrio O-Dali</t>
  </si>
  <si>
    <t>…es rona, y 280 caballos, verificándolo por Orche lo restante de la divi de dicho empréstito acudirán desde el dia i.° de Febrero próximo, sión á las. órdenes del mariscal de campo D. Demetrio O-Dali, la y de diez á.una de la mañana , i su dirección , sita en la casa del banco cual debe reunirse conmigo en este pueblo á las siete de la próxima nacional de S. Carlos , á cobrar los correspondientes al tercer semestre xnafiana para seguir con rapidez la pers…</t>
  </si>
  <si>
    <t>O-Daly</t>
  </si>
  <si>
    <t>…, y aquellas por el capitán D. Manuel Perez , en número de 200 que ¡i pesar de recelar que las órdenes del Gobierno , relativas á la des hombres, á cuya cabeza se puso el bizarro general O-Daly, acom trucción y defensa del puente de Auñon sobre el Tajo, que parida de- pañado del gtfe de su plana rnrycr D. Antonio Wanhalen , la reco srar pa&gt;ar el enemigo, no había sido inutilizado ni custodiado como bró á la biyoneta casi sin disparar un tiro, dejand…</t>
  </si>
  <si>
    <t>…tuvimos aquella posición dos horas seguidas, hasta que perdida la dos en barro hasta la rodilla, manifestaron en este momento la sereni esperanza de que nos ayúdese la columna del general O-Daly, y vien dad y valor propio de hombres libres. En tal estado me fue prevenido do que los enemigos se corrían por nuestra izquierda, mandó el gene retirarse la columna , lo que egecuté situándome otra vez en batalla en ral retirarse para el pueblo d= Vaideavei;…</t>
  </si>
  <si>
    <t>O-Daly, Demetrio</t>
  </si>
  <si>
    <t>Demetrio O-Daly</t>
  </si>
  <si>
    <t>…cerán por empicados á las in gar de pasarse á la que detallaba el decreto de 12 de Maye» mediatas órdenes del general comandante de la secunda división de 18?. 3. de este ejército D. Demetrio O-Daly, al coronel D. Ramón Mar Se leyó dicho decreto, y en su vista se resolvió que dicho ofi tínez y Gutiérrez, y al comandante D. Joaquin de Aguirre. Se cio pasase á una comisión ele Visita que se nombraría al efecto. reconocerá por auxiliar del estado mayor de e…</t>
  </si>
  <si>
    <t>…el hospital buques que vengan de paises sospechosos á un lazareto que se es muy bien asistidos. tablezca en esta Isla, opinando la comisión que los buques pro El mariscal de campo D. Demetrio O-Daly, encargado de cedentes de paises sospechosos y que hayan superado el bloqueo mandar la salida por la parte del Trocadero, dispuso cuatro co del enemigo , sean puestos en cuarentena en buen lazareto de lumnas : la primera para que atacase á Puerto Real, al car…</t>
  </si>
  <si>
    <t>O-Dily</t>
  </si>
  <si>
    <t>…egército español siempre re mañana me hallaba en marcha con dirección hacia Carrascosa des cordará con dolor la péidida del capitán de dragones de la Union Don de Garcinarro, y el general O-Dily en la misma dirección desde VeLuis Seco y el cadete del mismo cuerpo D. Fernando Rodríguez: los llisca con el ob|íto de proteger la venida de las tropas del octavo dis cuerpos de estos valientes fueron deshechos á balazos y bayonetazos. trito militar y del es…</t>
  </si>
  <si>
    <t>O-Doncil</t>
  </si>
  <si>
    <t>…ica dinero con una docilidad que espanta , y lo peor es que no es solo. Hoy sin ninguna duda que os d-jais arrastrar de los mas nobles sentimientos. sin embargo se nos dice que el coronel O-Doncil se ha bal do en Yo os lo pregunto,, señores; ¡Estáis bien seguros de que no ha Maestu con Uranga la mañana y tarde de ayer. Ladrón sigue en banquedado vestigio alguno de aquellas pasiones tan violentamente mani giiesa, y^ en Puente la Reina tenia un fuerte de…</t>
  </si>
  <si>
    <t>O-Doncll, Leopoldo</t>
  </si>
  <si>
    <t>Leopoldo O-Doncll</t>
  </si>
  <si>
    <t>…comandantes los tenien caballo. También se me presentaron dos ayudantes de campo de tes coroneles D. Francisco de Paula Vidal y D. Josef Pujol, con nuestro ínclito general en gefe D. Leopoldo O-Doncll y D. Jua.i c] de voluntarios de Mataré que formaban la izquierda , marcha Chiba t. ron soeun les prcv no el capitán D. Félix Domcnech , oficial del Según los partes y noticias que recibí de les pa.teños fue K. M., á quien di las órdenes al efecto, y fueron colocados en…</t>
  </si>
  <si>
    <t>O-Doneíl, Cirios</t>
  </si>
  <si>
    <t>Cirios O-Doneíl</t>
  </si>
  <si>
    <t>…da á Francia, donde entrará el 29, el mismo día que tomarán lidad pública , ni cometido el menor exceso. los franceses posesión de esta plaza tan importante por su posi El Capitán general D. Cirios O-Doneíl comunicó la noti ción topográfica como por su fuerza. cia al gobernador de Ciudad-Rodrigo; y acordada por ambos la Figueras 29. suspensión de las hostilidades, espera el secundo las órdenes de Hoy á las siete de la mañana la guarnición constitucional S. M. pa…</t>
  </si>
  <si>
    <t>O-Donelj, Hcnrique</t>
  </si>
  <si>
    <t>Hcnrique O-Donelj</t>
  </si>
  <si>
    <t>…as {Espectador.} . .. que acordaren nuevamente .las Cuites, en consideración á las cir Madrid Viernes ig de Abril. cunstancias que rodean á la Nación ; y entre tanto que estas se .Don Hcnrique O-Donelj, conde del Abisval, general en promulgan , la diputación , cn uso de las facultades que le están gvfe del tercer egército de operaciones, comandante general del conferidas, ha determinado que VV. pongan en egecücion las prinvro y undécimo distrito militar. me…</t>
  </si>
  <si>
    <t>O-Donell</t>
  </si>
  <si>
    <t>…siguientes". Astier, ayuda de campo del Sr. general conde Bourk, que le Junta general del dia 1 ¿ de Mayo, acompañaba. Habiendo propuesto varios señores apoderados que debían — El señor O-Donell, capitán general de Castilla la Vieja, declararse nulos los poderes conferidos i los diputados de las ha dado parte á S. A. R. de que la columna móvil, á las ór llamadas corta del pretendido sistema constitucional, y todo lo denes del coronel conde de Negri,…</t>
  </si>
  <si>
    <t>…El Papa pidió La división francesa del General Bourk marchó desde Sane— por medio de su Nuncio se abriesen conferencias generales sobre ti Sfiritus por Salamanca á Segovia; la del Señor O-Donell e$ este asunto en Ratisbona, y en estas negociaciones fue donde brillante y bien disciplinada. Hoy cuenta ya, con inclusión de el Señor Della Genga, Arzobispo entonces de Tiro, v Nuncio los depósitos de reclutas, 3S) hombres de infantería y como 800 de S. S.,…</t>
  </si>
  <si>
    <t>O-Donell, Alejandro</t>
  </si>
  <si>
    <t>Alejandro O-Donell</t>
  </si>
  <si>
    <t>…ndecorosos y ratero» , ha sido ia recom das el dia 15 , según noticié d V. E., cooperando al mismo objeto el pensa de aquellos sacrificio» y el premio de tanta» y tan noble» virtu coronel D. Alejandro O-Donell, que de mi orden se colocó en ei des. Sin embargo , los que hayan formado el proyecto de esclavizar la punto de Armiñon para estorbar el paso de los grupos dispersos que España , ó de atentar contra, sus derechos y dignidad , bien pueden intentasen marchar al…</t>
  </si>
  <si>
    <t>O-Donell, Carlos</t>
  </si>
  <si>
    <t>Carlos O-Donell</t>
  </si>
  <si>
    <t>…pa de caballería que dieron la brillante car responda. ga , y destrozando al enemigo le tomaron el cañón. A los capi 9.a De esta responsabilidad quedan exentos los gobernado tanes D. Carlos O-Donell y D. Juan de Bellengero la cruz de res políticos, corregidores y alcaldes mayores; pero se les en segunda dase de la Real y militar orden de San Fernando, para carga estrechamente que auxilien á los alcaldes ordinarios é in lo cual deberán llenarse ames los requisitos que previene e…</t>
  </si>
  <si>
    <t>…uerdo de la mas y caballos, con muerte de dos hombres, y conformándose M. N. y M. L. ciudad de Andujar, Miguel de Enciso.” con el dictamen del Capitán general de Castilla la Vieja Don Carlos O-Donell, consiguiente á la orden de la Regencia del ,.Señor : Vuestra villa de Coin, capital de las cuatro de la Hoy» Reino de 15 del mismo mes de Agosto; se ha servido S. M. de Málaga , nos ha dado la honrosa comisión de felicitar á V. \í., "lonceder á los expresado…</t>
  </si>
  <si>
    <t>O-Donell, Enrique</t>
  </si>
  <si>
    <t>Enrique O-Donell</t>
  </si>
  <si>
    <t>…ucederían tantos robos y ase j\rÍAdrut 18 de Abrí!. sinatos en los infelices que pasan por Qrgacá y ©liana. En el Diario muevo de hoy se publica iosiguiente: LuiUoba 14 ‘e tiltil. Don Enrique O-Donell, conde del Abishal, general en (tefe ' En el Escudo de la libertad de Córdoba se publican las re del tercer ejército de operaciones, comandante general del primer flexiones siguientes: d.stnto militar", y gefe político de ia provincia. La libertad solo la con…</t>
  </si>
  <si>
    <t>…yor parte del regimiento de Navarra, que se ha distinguido entre drid 2 1 de Abril de 1823.=E1 conde del Abisbal. todos , pues los mismos de los otros cuerpos los alaban; y el mo D. Enrique O-Donell , conde del Abisbal, general en gefe del tivo de la pérdida ha sido por haberse metido una guerrilla de tercer ejército de eperacioncs, comandante general del i.° y 11-° dicho regimiento demasiado, y la cortaron; y esa es la mayor distrito militar. parte de n…</t>
  </si>
  <si>
    <t>O-Donell, Henrique</t>
  </si>
  <si>
    <t>Henrique O-Donell</t>
  </si>
  <si>
    <t>…metidas por su adhesión ai sistema Y á fin de que llegue á noticia de todos, y nadie pueda ale constitucional. 2,y. gar ignorancia, he mandado fijar el presente bando en los para— D. Henrique O-Donell, conde del Abisbal, general en cefe ges acostumbrados. Madrid 23 de Abril de 1823. = El conde del tercer ejército de operaciones, comandante general del i.° y del Abisbal. xi.° distrito militar. Stlveira salió del territorio portugués el 13 del actual: su Hab…</t>
  </si>
  <si>
    <t>…tes efec y levantó la sesión. tos de la anarquía; y se halla venal á 18 rs. en Madrid en las Madrid Jueves jg de Mayo. librerías de Sanz, Miyar, Cruz, Urraca y Monnie: en Sevilla, Don Henrique O-Donell, conde del Abisval, teniente ge en casa de Berard, y en Cádiz en casa de Zaragoza. neral de los ejércitos nacionales, general en gefe del tercer egér- Los suscn’ptores á la obra de Mr. Bignon, titulada^ los Ga cito de operaciones, y comandante general del pri…</t>
  </si>
  <si>
    <t>O-Donell, Joscf</t>
  </si>
  <si>
    <t>Joscf O-Donell</t>
  </si>
  <si>
    <t>…g, traducidas por EsCoiquiz: 4 tomos en pas su casa alojamiento el rtferido capnan general, con su estado* ta, 52*rs.' Paraíso perdido de Milton, 3 totnqs, 7* ts, Méjico mayor, el general D. Joscf O-Donell, los oficiales de guardias conquistada^ poema, 3 tomes en pa ;a, óo rs. Se hallarán en de infantería, que se hallan.con un destacamento en esta ciudad, la lfbrería'de.Qairogs, El nombre dé.Escoiqui? es bien conocido, &lt;1 clero, y el ayuntamiento en cuerpo con…</t>
  </si>
  <si>
    <t>O-Donell, Josef</t>
  </si>
  <si>
    <t>Josef O-Donell</t>
  </si>
  <si>
    <t>…e y tener por maestros á los Universales, Espec do al gobernador el general D. Alvaro María Chacón, y darlo al tadores y Diarios nuevos3 ¡Pues qué mas se necesita para conogeneral D. Josef O-Donell. El citado gobernador reunió en su cer lo que pueden dar de sí tales hombres ? Y á la verdad si ennoche i los de la facción dominante, y el resultado de sus con Madrid hubo semejantes rectores del espíritu público en la époferencias fue embarcar inmediatament…</t>
  </si>
  <si>
    <t>O-Donell, Lino de Pombo</t>
  </si>
  <si>
    <t>Lino de Pombo O-Donell</t>
  </si>
  <si>
    <t>…as cartas que se echaren por el cion da la juventud por el doctor Goldsmith ; y traducido al castellano buzón, dirigidas á Sevilla y demás pueblos de la carrera , se remitirán por D. Lino de Pombo O-Donell, subteniente aspirante de ingenie-: por los partes diarios qu? salen de esta capital á aquella; en la inteli ros: 2 tomes en 8.° de buen papel y carácter de letra. Se hallara en U’ gencia de que dichas carias serán porteadas y cobradas como las demas, librerí…</t>
  </si>
  <si>
    <t>O-Donnei</t>
  </si>
  <si>
    <t>…os nías funestos nuirs. La forma y de artillería, y las mandaran los generales Longa , Quesada y Espa en que se ha discutido el proyecto esta cousign-.iu en tas actas , y n ña. El general O-Donnei , que estaba en Bayona, debe recibir para su bi*.B públicas á toda Europa, que sabrá juzgar .mp.icia mente de gs;_j égerciio 62&gt; fusiles, seis piezas de artillería y cuantas municiones ne atrevidas resoluciones, y d: .as d.scu.ionrs que .« h-.a precedido. ces…</t>
  </si>
  <si>
    <t>O-Reilli</t>
  </si>
  <si>
    <t>…s a un Alcalde por del Marques de lorretagle : ser -derrotados en Pasco un batallón haber permitido que la viruela reinase en su partido por espacio y un escuadrón mandados por el brigadier O-Reilli: morir á de tres meses, sin haber dado parte á Ja autoridad superior, liste centanares nuestros valientes soldados del Imperial Alejandro y culpable descuido, dice aquel, ha costado la vida á 15 personas, de otros cuerpos, que bajando de Ja nevada cordillera…</t>
  </si>
  <si>
    <t>Oaliano</t>
  </si>
  <si>
    <t>…n. El Sr. Arguelles hizo una adición para que se entendiese ¡a proposición con. Continua la sesión de Curtes del dia 11. respecto ú la familia Real; se señalase el punto de la El .Sr. Oaliano liizo varias preguntas á los Sres. Isla-gaditana y- el tiempo de 1 ;t salida basta ui-Alalia secretarios del Despacho, concluyendo con esta: Si al medio clia. Después de una discusión entre varios ereisn que podrían ser mini-l ros sosteniendo la Cons fíres. d…</t>
  </si>
  <si>
    <t>Obeit</t>
  </si>
  <si>
    <t>…sen. Pero se hallaron. iB Damas: 3.1 división el temiente general Bourke : 4.a división el tenien algún embarazo cuando ios ministros de S. M. Brit .nica tes declararon te general vizconde Obeit. División de caballería el teniente general que si la Francia se empeñaba en ía agresión contra la España, el r suivizconde Castex. Artillería el teniente general Tirlet. Ingenieros el te tado seria incierto, y podía llegar á un extremo imprev.sto , en cuyo c…</t>
  </si>
  <si>
    <t>…ocupado por una compañía d.s El teniente general conde Bordcssoufic hace á S. A. R. el cazadores. La quinta columna, de cerca de á 1200 hombres, mayor elogio del teniente general vizconde Obeit , á quien hi 12Íió de la Carraca para caer sobre el reducto Ruffin; y por úl rieron su caballo , asi como de los. mariscales de campo Goutimo la sexta, que tenia mas de iS), salió del Trocadero. Estas jon , de Carignan y de B.thisy: sobr? este último se dirig…</t>
  </si>
  <si>
    <t>Obert</t>
  </si>
  <si>
    <t>…e la Brunerie, el barón de Damas, el vizconde Donadieu, el mente por noticia que en el puerto ds la Guaira habia una corbeta in vizconde Pamfi'.o-Lacroix , el barón de Conchy y el vizconde Obert. surgente de 22 cañones construida en el norte de América. Mar scales rfe campo. El vizconde Corsin , el conde de la Roche- Consejo Je EstaJo. Aimond , el barón Bruny, el barón Bonnemains, el conde Grundler, Por renuncia que ha hecho D. Josef Matías Cablera d…</t>
  </si>
  <si>
    <t>Obispo</t>
  </si>
  <si>
    <t>…echa en el Gordo cu deber dar gi.ieias al Todopoderoso por medio de un Te Dcum y i.° del corriente, en que comunica haber sido derrotados los co misa solemne, que celebró el limo. Sr. Obispo err la iglesia cate raceros constitucionales por las tropa» Aliadas y Realistas pasa dral con asistencia del cabildo eclesiástico, y de mas autoridades do el pueüo de Miubctc. civiles y militares, y del General y Oficialidad f.ir.eesa: ea s»-</t>
  </si>
  <si>
    <t>…adas encontradas en el aire, sin con . mo Cabildo, del de parroquiales; comunidades religiosas y dos tar los fuegos de cañón y 3e mixtos que habia preparados de una familiares del Sr. Obispo. Un fuego continuo de voladores v des y otra parte. Al fin el castillo , abrumado de los muchos fuegos cargas anunciaron La salida para la plaza del retrato de S. M., de los navios, largó bandera parlamentaria , pero no se copvino llevado por el Corregidor, y…</t>
  </si>
  <si>
    <t>Obre, Juan de</t>
  </si>
  <si>
    <t>Juan de Obre</t>
  </si>
  <si>
    <t>…s ios merecen es sin duda expuesto, no pasaré en silencio el ras le tienen abrumado por no poder cumplir con la brevedad que qui singular mérito de los ayudantes primero y segundo D. Juan de Obre siera con dichos señores. gon y D. Manuel Pina Espiga , y la bizarría de los sargentos Bonifacio Los suscriptores al gran diccionario de Ciencias médicas, traduci Pascual y Juan Tirpo , como también el sargento Antonio Parra, que do al castellano, se servirán…</t>
  </si>
  <si>
    <t>ObreEl, Juan</t>
  </si>
  <si>
    <t>Juan ObreEl</t>
  </si>
  <si>
    <t>…ese á los cutas párrocos de su» prime comunicado la Rea: orden siguiente: ras ob'igacionrs •, asi que , me opongo á que se apruebe. »tremo, or.: Enterado ti Rey de la instancia de D. Juan ObreEl nr. Santafe : Se exige la asistencia de estas tres personas de pro gon , administrado.' cesante de rentas estancadas de la Pola de Gotean, bidad y de carácter para que el alistamiento se haga con la mayor for en la provincia de León, en que pide una tenencia…</t>
  </si>
  <si>
    <t>Obregon</t>
  </si>
  <si>
    <t>…hi;o D. Joaquín , y hallados; en la acción de Roa , donde fue der bían tenido el honor de firmar la proposición , y que entonces no tuvo rotado el cura Merino , á las órdenes del coronel Obregon , pedia que presente que entre al egército de que se trataba habia también milicias en vez de su hijo fuese é servir uno de los facciosos que este aprehen nacionales locales: por lo tanto pidió se incluyese en el decreto , ó se dió. La comisicn opinaba que ne…</t>
  </si>
  <si>
    <t>Obregon, Francisco de</t>
  </si>
  <si>
    <t>Francisco de Obregon</t>
  </si>
  <si>
    <t>…de 22,828 graduado D. Francisco Lázaro pata que escoltasen el convoy , al mis mrs.: otro 02-44,89.; mrs. situado en el propio servicio de millón:* mo tiempo que el primer ayudante D. Francisco de Obregon desplega de Salamanca y sil provincia, en c-tb-za del precitado-Juan 1er de los ba los cazadores, y contenia al enemigo. Como el terreno es muy coita- Ríos*, otro en cabeza del mismo Juan T.r de los Rit-s . situado sobre do, y era preciso ocupar una gran exte…</t>
  </si>
  <si>
    <t>Obregon, Juan</t>
  </si>
  <si>
    <t>Juan Obregon</t>
  </si>
  <si>
    <t>…ado Juan pecho al frente de su tropa cargando*al enemigó á la .ayoneta ; y tam Domingo Berastegui y Timoteo Larrea, hombres de muy depravada bién á los ayudantes primero y segundo D. Juan Obregon y D. Ma conducta, á quienes he mandado formar la correspondiente causa para nuel Pina Espiga, al subteniente D. Miguel Gómez, y á los sargentos que recaiga sobre ellos todo el rigor de la ley. Acabo de saber en este Bonifacio Pascual, Juan Tirpo y Antonio Parra , cuy…</t>
  </si>
  <si>
    <t>…scribano qu; ha tras relaciones con la regencia de Argel. (Gaceta del ig.) sido en la villa de Valdsltcha , y que residía en esta cone en el mes Real orden sobre una instancia cíe D. Juan Obregon. (Gaceta del 14.) de Junio último, para que al término de odio dias comparezca en la Riso ucion de S. M. sobre una exposición del tribuna; supremo d« escribanía de Cámara del crimen del cargo de D. Juan Diego Martí Justicia y de la contaduría mayor de cuentas…</t>
  </si>
  <si>
    <t>Ocaña, Andrés Sánchez de</t>
  </si>
  <si>
    <t>Andrés Sánchez de Ocaña</t>
  </si>
  <si>
    <t>…mediano, D. Juan Bautista Erro y D. Fausto Igna Felicitación que hizo de palabra á S. M. el dia 25 de No cio de Corral, que pondrán en manos de V. R. M. esta mi ex viembre de 1823 D. Andrés Sánchez de Ocaña, Ministro dd posición, y ruego á V. M. se digne darle su benévola acogida, y Real y Supremo Consejo de Hacienda. recibir con aquella distinción y agrado que ha tenido la bondad ,,Señor: La villa de Fejar, pueblo de mi naturaleza, repre de dispensar siempre á…</t>
  </si>
  <si>
    <t>Ocasión, Manuel</t>
  </si>
  <si>
    <t>Manuel Ocasión</t>
  </si>
  <si>
    <t>…del regi&gt;~ vido dispensar en nombre de S. M. las gracias s.quient-s: miento provincial de Orense, de guarnición en Terrosa , ansiaba Al capitán del regimiento provincial d: Orense D. Manuel Ocasión &lt;íc d.r un testimonio de su lea tad al Rey nuestro Se González, primer autor dei proyecto y-rie su arrojada cj.-cuc on, ñor , y meditaba los medios de hacer un importante servicio á el empleo de Uniente coronel vivo y efectivo ríe ¡níanuría y' la la justa cau…</t>
  </si>
  <si>
    <t>Oceguers, Juan Perez</t>
  </si>
  <si>
    <t>Juan Perez Oceguers</t>
  </si>
  <si>
    <t>…= Con esta fecha digo servido S. M. nombrar para una ración de la Sta. iglesia catedral me *1 Excmo, Sr. comandante general del primer distrito lo qu: sigue tropolitana de Cuba á D. Juan Perez Oceguers. Excito. Sr. ecSirmpre pensé sacar un gran partido del movim entu que yi.ím r.t'tr.tri,n principal del correo de fifadiid, mandé egecutar á una mitad d: Sicuoto por la orilla izquierda del Ta El correo de la GrruiVi que d-bió llegar ayer á i sla corte ha sido…</t>
  </si>
  <si>
    <t>Ochoa</t>
  </si>
  <si>
    <t>…e conceda la viudedad que la corresponde por el destino que mas dignos de la admiración y de la gloria. obtenía su difunto marido. En la revista pasada el domingo 20 por el citado Sr. Ochoa l.as Cortes overon con agrado una exposición de los gefes, á la milicia nacional brillaron en sumo grado todos estos senti oficiales y tropa del regimiento infantería de la Has-ana, mani mientos, y la energía y alocución pronunciada por este joven festando su…</t>
  </si>
  <si>
    <t>Ochoa, Domingo Pallete y</t>
  </si>
  <si>
    <t>Domingo Pallete y Ochoa</t>
  </si>
  <si>
    <t>…con-motivo de las instan cabida de ocho resmas de papal común, los que quieran tomar á su cargo esta obra entregarán sus proposiciones al administrador del estacia» presentada»por D. Domingo Pallete y Ochoa , oficial 3.0 interino blecimiento , que para ello les enterará de las circunstancias con que sede la áecretaria del Gobierno político de Aragón, teniente que fue del ha de celebrar la contrata; en la inteligencia de que ei viernes próximoregimiento infanterí…</t>
  </si>
  <si>
    <t>Ochoa, Francisco Javier</t>
  </si>
  <si>
    <t>Francisco Javier Ochoa</t>
  </si>
  <si>
    <t>…por dos paisanos que sallan de que ejercía el 7 de Marzo de 1820: el cua! se compendia por Cieno tiliicjales que la gavilla se hallaba toda alojada en dicho ahora de los ministros D. Francisco Javier Ochoa, decano; el [■u.bio en número de 80 á roo hombres; que solo tenían una marques de Ciileruelo; D. Josef de ia Calle y Cepeda; D. Jo* avanzada de 4 hombres en las mismas calles del m:&gt;tno; que sef Lledó; D. Angel Fuenes; D. Femando Velez, y ¡os su tenían echada…</t>
  </si>
  <si>
    <t>Ochoa, Nicolás Fernandez</t>
  </si>
  <si>
    <t>Nicolás Fernandez Ochoa</t>
  </si>
  <si>
    <t>…io de V. S. de fecha de ayer perjuicio á que haya lugar. Cádiz 23 de Julio de 18 2 g.enDionisio á que me acompaña las copias de su carta al general enemi Valdés. = Por su mandato =D. Nicolás Fernandez Ochoa. go por medio de parlamentario, proponiendo el cange de un voluntario de caballería de Madrid , por un dragón que es Hoy han corrido noticias muy favorables del general Balles tá en nuestro poder, de la impertinente é inoportuna contesta teros, y nos consta q…</t>
  </si>
  <si>
    <t>Ochoa, Nicolás Fernandez de</t>
  </si>
  <si>
    <t>Nicolás Fernandez de Ochoa</t>
  </si>
  <si>
    <t>…s, diputado á Córtcs por la provincia de Ma lugar. Cádiz i de Agosto de 1823. = Dionisio Valdés. — Por su drid, y presidente de] tribunal de estas , de que el infrascrito mandato, D. Nicolás Fernandez de Ochoa. secretario de S. M. y escribano de cámara del mismo certifica: Tribunal supremo de Justicia. Por el presente edicto cito y emplazo al Sr. D. Bernardo Fal Reunido el tribunal supremo de Justicia, á virtud de Real có, actual diputado por la provincia de Valenc…</t>
  </si>
  <si>
    <t>…ue haya lugar. Cá- silería de muy corta duración. &lt;¡i;z 3a de Agosto de 1823. zs Dionisio Valdés. == Por su man En la parte interior de dichas baterías hacia fuego una pieza dato, D. Nicolás Fernandez de Ochoa. de aitillería. El de fusilería fue obstinado en el reducto interior, y deLista de las circulares y decretas publicadas en las gacetas bastante duración , replegándose la tropa hacia Ja boca del caño, del mes de Agostó. en donde se sostuvo igualmente con much…</t>
  </si>
  <si>
    <t>Ochoa, Sebastian</t>
  </si>
  <si>
    <t>Sebastian Ochoa</t>
  </si>
  <si>
    <t>…ular de su noble indicia, por lo que esta ha he ja dada por D. Félix Mejía contra el gefe político de esta pro cho para salvar al Gobierno: pues esta misma milicia , tan me vincia D. Sebastian Ochoa , por haberle hecho salir de la provin ritoria verdaderamente, se halla pereciendo, y hoy mismo no cia de su mando en el término de 24 horas, opinaba que pasase tiene que comer. Hace 2 2 días que no se Ies da el prest, y algu a! Gobierno para que informe y re…</t>
  </si>
  <si>
    <t>Ochoa, Sebastian Fernandez</t>
  </si>
  <si>
    <t>Sebastian Fernandez Ochoa</t>
  </si>
  <si>
    <t>…nientes. ques extrangeros.” El Sr, Fuentes del Rio pidió que se exigiese la responsabili Art. 7.“ » El Gobierno establecerá las reglas convenientes dad al gefe político de Sevilla D. Sebastian Fernandez Ochoa, para el reconocimisnto y vigilaheiá de las personas que nave al alcalde primero constitucional D. Josef Ruiz del Arco, y á guen ó se trasporten en ios buques que se empleen en el tráfico uno de los jueces de primera instancia por el despojo que se ha indicad…</t>
  </si>
  <si>
    <t>…mas justo, y que el medio expediente promovido contra el gefe » impolítico , despótico ¿in que podría emplearse para restablecer la paz y unión seria: pri humano de esta provincia D. Sebastian Fernandez Ochoa, por el mero , anunciar al ejército invasor que la Nación de acuerdo con escandaloso despojo hecho al hospital de la Caridad de esta el ejercito y con su Rey se convienen en hacer en la Constitu ciudad.” ción las alteraciones que sean necesarias para reunir l…</t>
  </si>
  <si>
    <t>Oclioa, Nicolás Fernandez de</t>
  </si>
  <si>
    <t>Nicolás Fernandez de Oclioa</t>
  </si>
  <si>
    <t>…ue aquí se refiere á la Constitución , pues que este es diz 20 de Agosto de 1823. = Dionisio Valdés.Por su man ti asumo principal que motiva ia guerra. ¡Infelices Jos reinos dato, D. Nicolás Fernandez de Oclioa. dyude se oye á sangre fiia que su, constituciones renen el carác ter de un don gratuito de ios mismos que ¡os dominan ! O) El Gobierno portugués tuvo cinco días preso al ecncral Wi! son, que venia heiido á bordo de la balandra Nassau , en el El general Wilso…</t>
  </si>
  <si>
    <t>Odonell, Henrique</t>
  </si>
  <si>
    <t>Henrique Odonell</t>
  </si>
  <si>
    <t>…ranos de Jemappe, Marengo, bloqueo. Austerlitz y Moscow.” {Universal.') Se cortó esta discusión. Madrtd Miércoles 14 de Mayo Se levantó la sesión pública, y quedaron las Cortes en D. Henrique Odonell., conde del Abisval, teniente general secreta. de los egércitos nacionales, caballero gran cruz de la orden na __AL repoducir el Redactor general el atentado del Gobier cional y militar de San Fernando , general en gefe del tercer no francés en apoderarse de…</t>
  </si>
  <si>
    <t>Oeboa, Antoido Lope- do</t>
  </si>
  <si>
    <t>Antoido Lope- do Oeboa</t>
  </si>
  <si>
    <t>…&gt;obíerno y de las Cortesía sido posible adquirir lilernltneuíc lioi. Quedó api'i bada. A continuación se leyó una esposicion de los tó ldenles coroneles 1). Aidi ¡do Mevconcbini y D. Antoido Lope- do Oeboa, en que pedían se autorizase AVISOS. o! Gobierno á fin de que los habilitase para formar Debiendo continuar la publicad--n de la Gaceta un í columna patriótica. So ae riló , á propuesta del Española en esta capital desde el i&lt;) d i corriente, se -señor Valdes…</t>
  </si>
  <si>
    <t>Oehoa, Nicolás Fernandez de</t>
  </si>
  <si>
    <t>Nicolás Fernandez de Oehoa</t>
  </si>
  <si>
    <t>…en todas sus par perjuicio ú que haya lugar. Cádiz 23 de Julio de 1 8 2 3.2= Dionisio tes. Tenfireislo entendido para su cumplimiento, y dispondréis se Valdes. = Por sil mandato =D. Nicolás Fernandez de Oehoa. EN LA IMPRENTA NACIONAL.</t>
  </si>
  <si>
    <t>Oembreros, Pedro García</t>
  </si>
  <si>
    <t>Pedro García Oembreros</t>
  </si>
  <si>
    <t>…otage de Civita-vecchia á Roma) íio; público acaba de sentenciarse por el juez de primera instancia de esta táscanos 71 j napolitanos 115; sardos 79; franceses 2»; de Lúea capital D. Pedro García Oembreros. A D. Baltasar González y á An n; austríacos 3; españoles 3 : total 521. tonio Calvo (alias Nini) se ies'condena á la pena ordinaria de garro Ancona. Pontificios (la mayor parte correspondientes al cabotage te ; á Salvador López (alias Colmillico) y Juan de L…</t>
  </si>
  <si>
    <t>Oficio, Fcrmin Aivarez Eulate</t>
  </si>
  <si>
    <t>Fcrmin Aivarez Eulate Oficio</t>
  </si>
  <si>
    <t>…os de las Córtes al Gobierno par D. Pedro Prado, D. Antonio González Ron y D. Nicolás ticipándole haber cerrado estas sus sesiones. (Gaceta del 6. ) Gómez Villaboa por la de León: D. Fcrmin Aivarez Eulate Oficio de los Síes, diputados que componen la Diputación por la de Navarra: D, Josef Cano y D. Leandro Ladrón de permanente de Córtes , participando al Gobierno la instalación Guevara por ¡a de Avila: D. Manuel Pío de Arias por la de de la Diputación permanente. (Ga…</t>
  </si>
  <si>
    <t>OFICIO, JosefLuis de Amandos ARTICULO DE</t>
  </si>
  <si>
    <t>JosefLuis de Amandos ARTICULO DE OFICIO</t>
  </si>
  <si>
    <t>…otros que se incorporaron 3 la misma , los cuales han regresado ra , secretario. posierioimcnte. Dios guarde a V. E. muchos años. Madrid 2 de Fe brero de 1 ¡i j g.=:Kxcmo. or.=El comandante JosefLuis de Amandos ARTICULO DE OFICIO. Fxcrr.o. ‘ir. ayuntamiento constitucional. El Gobierno h,i rcnbi.lo los f.irtts s;g:i'rntes. Ei dia de riu st&gt;a salida y siguiente 21 nada ocurrió de considera Comandancia general del 2.“ distrito mi'inr__ Excmo. Sr.: &gt;, Consi ción , haciendo la primera jorn…</t>
  </si>
  <si>
    <t>OFICIO, Juan de Ro ARTICULO DE</t>
  </si>
  <si>
    <t>Juan de Ro ARTICULO DE OFICIO</t>
  </si>
  <si>
    <t>…-rWtio de los ayudanta de plaza para la semana próxima. ción que cabe á los demas. Comandante general y consejo D. Antonio Warleta__ Go bernador y de orden D. Juan Chacón.__Causas D. Juan de Ro ARTICULO DE OFICIO. jas__ Teatro y demás funciones públicas D. Josef de los Reyes y D. Manuel Nuñez... Circular dirigida por el secretario del Despacho de Estado a Mañana hay corte, á cuyo efecto se hallarán en pala cío á las los agentes diplomáticos de S. M. en Jas Cortes extr…</t>
  </si>
  <si>
    <t>Oharros, Domingo</t>
  </si>
  <si>
    <t>Domingo Oharros</t>
  </si>
  <si>
    <t>…o habiendo quedado apenas otra cos3 mas que los rótulos en el bergantín Voluntario. de las casas en donde existió. Las escuelas están á su disposición; A la de Agricultura otra de D. Domingo Oharros , vecino asi como todas las demas que se destinan para las clases interiores de S. Fernando, quejándose de que se le quiere exigir el diezmo de la sociedad, se hallan en manos de los capellanes, curas, ó del tabaco que tiene sembrado. bien en las de los Fercs…</t>
  </si>
  <si>
    <t>Ohver</t>
  </si>
  <si>
    <t>…Ues de á.cu;',a a.SeUsicm lio t-ubc» .mar .• volar ,-obr. A con los cuales no ¡o había poJ.do Ji..cer exacto. dictamen, y se ucordo que pasase .1 ias eom.s ones ele iuac.enda y El Sr. Ohver , despms eL man Estar que ¡a proposic on en Ee.i es. i.s t ica. cerraba dos partes: una sobre el npart miento de los ióc millo be mando pasar ala comis on de lr.»t:i¡cc:on p.bLca una nes de rs. , \ otra sobre el arrecio de tabacos , dr¡o que en cuauio proposi…</t>
  </si>
  <si>
    <t>OI</t>
  </si>
  <si>
    <t>….” Aprobado. , ■ ................. pacho de la Guerra, del regimiento de caballería de Calatrava (presen Art. 6° » La comisión nombrada tendi'á'él' número de dependien tada por él Sr. OI i ver), de ios individuos de la plana mayor del pri tes que necesite , dando cuenta justificada'de stís jgSstes.” Aprobado. mer distrito militar,, de los empleados en la administración principal Att. 7.0 » Los comi.ionados disfrutarán en remuneración‘de su de…</t>
  </si>
  <si>
    <t>…papel sellado , letras de cambio, títulos de empleados &amp;c. opinó que d;bia aprobarse el dictamen de la mayoría. Otra de los individuos del segundo batalle r i regimiento de in El Sr. OI i ver se opuso al dictamen de la comisión , opinando, fantería de Mallorca. que aunque estaba ya dada ta sentencia por el poder judicial, i tas Cor Otra de los, oficiales, sargentos y cabos excedentes del segundo re tes tocaba examinar e! modo de llevarla i e…</t>
  </si>
  <si>
    <t>…án al cuidado d; la ¡unta de inspectores en todo lo que concierne i men quedarán las minas reducidas ácere. la policía y régimen interior de ellos, siendo su principal atención E¡ Sr. OI i ver manifestó que los argumentos del Sr. Surra probaban el qu; nada les fa t; para su subsistencia; que existan reunidos en el mítanto que no probaban nada ; porque, dijo , si por la razón que las mi ñor tiempo posible; y para lograr su completa extinción d…</t>
  </si>
  <si>
    <t>…é ingenieros, los coroneles D. Fernando Ca.ho j Don todo el servicio exterior. y fiambren ei úi aigu.io» puntos de ¡a capital. Migueí Atero. j)i corsigui mts las observaciones del Sr. OI i ver qi.dan en toda su o Uria marcha r-pida ezecutsda con orden y entus'asc o nos h zo íurrr» &gt; puesto que los alabarderos no licúen que hacer ningún nuevo vencer las grandes dificultades del pato de ¡os Andes; y et 6 d- /Abril s;,vicio porque luyan faltado…</t>
  </si>
  <si>
    <t>…v.” tario^, mayormente cuando ei el sistema constitucional pueden Art. 4. ’ El Sr. Oiiver - Yo rogaría á los señores de la combion qtie evitarle por los medios de conciliación. El Sr. OI ¡ver .dijo que aprobaría el proyecto en su total dad suprimiesen la palabra &gt;&gt; civiles” para extender ei arrculo a todas siemp-e que luego se discutieran uno por uno las artículos que las, senieucÍL'i- de toda* lo* tribunales; y adema* 1«* roja: ¡a taño-</t>
  </si>
  <si>
    <t>…ado por Jas no se presenta como parte sino por el interes que resulta á la Cortes las siguientes minutas de decreto, revisadas por la co Nación. misión de Corrección de estilo. El Sr. OI i ver manifestó que la comisión en este asunto no Una sobre que los jueces de i.a instancia disfruten solo la hacia mas que responder según el principio de derecho que se mitad de sus sueldos durante el tiempo que usen de Ucencia para consultaba, y que creia…</t>
  </si>
  <si>
    <t>Oí</t>
  </si>
  <si>
    <t>…le habia dado el ta ha sido la impugnación principal dd Sr Becerra, y voy á de Gobierno, opinaba que estando prohibido por decreto délas cir dos palabras sobre la que ha hecho el Sr. Oí ¡ver. Quería su Cortes que los individuos de la junta nacional del Crédito públi señoría que la comisión hubiese propuesto las contribuciones para co no reciban encargo del Gobierno ni de sus agentes, como asi los seis meses últimos de este año civil, y para…</t>
  </si>
  <si>
    <t>OI.ver</t>
  </si>
  <si>
    <t>…odo cuanto hay en su favor se reduce á asegurarleslidad de la cantidad señalada para los gastos de estas oficinas. su independencia y la integridad de su territorio; pero no su E. Sr. OI.ver: Por lo indicado por cí ir. preopinante me Constitución ni su actual Gobierno. Los ministros ingleses ha„ opon 10 vo tamli.en ;j !a planta de estas «lianas, y ademas por dicho que si Portugal fuese provocado por los franceses á la guer que atendido, el estado…</t>
  </si>
  <si>
    <t>Oiavarrieta, Francisco López de</t>
  </si>
  <si>
    <t>Francisco López de Oiavarrieta</t>
  </si>
  <si>
    <t>…preciamos mas nues Los señores socios ó sus apoderados se presentarán con el resguar tro sabio y benéfico código de Indias, que las leyes coloniales de do de su seguro al Contador D. Francisco López de Oiavarrieta, las naciones todas de Europa. ; Quiénes pues, preguntará el Cou~ que vive en la plazuela de Sto. Domingo, casa núm. 4, tienda rier, son los insurgentes del Perú’ Los insurgentes del Perú son lonja, quien les proveerá de una esquela impresa y rubricada una ga…</t>
  </si>
  <si>
    <t>Oienfuegos, Nicasio Alvarez de</t>
  </si>
  <si>
    <t>Nicasio Alvarez de Oienfuegos</t>
  </si>
  <si>
    <t>…mo á atacar al Ro¡o de Valdcrasiy versos que se hallan esparcidos por toda la obra son del célebre y ma combinado asi e! p'an de ataque, aguardaba felices *esultados, como logrado D. Nicasio Alvarez de Oienfuegos. Está de venta en la librería en cf.cto ha comenzado 3 verificarse, pues esta madrugada he recibido de Hurtado á 34 rs. en pasta y 28 en rústica. un parte de! teniente coronel D. F ormeio Ceruti , cuyo tener es el si Expos'c on hecha á lasCort.s por el ciudad…</t>
  </si>
  <si>
    <t>Oiiveira</t>
  </si>
  <si>
    <t>…arla , puesto qne estaba conforme Después de haber tratado de algunos asumo» particulares obturo la con el modo de pensar secreto de nuestro negociador , aunque este no palabra ci Sr. Oiiveira , y cijo que las consideras.ores que debían todo» estuviese facultado para cooperar formalmente á ella. ¡os hombres libres a su mas constante delcnsOt Benjrm n Ccr.sten: la Ei conocimiento de este estado de cosa» ha sido el que ha desper ammabin 4 presentir u…</t>
  </si>
  <si>
    <t>Oiiveira, Juan Francisco de</t>
  </si>
  <si>
    <t>Juan Francisco de Oiiveira</t>
  </si>
  <si>
    <t>…estado actual de la seguridad pública. Se no de Acevedo , para el ministerio de los Negocios del reino; y gunda : que se dirija á la nación una proclama á nombre de las al Excmo. Sr. Juan Francisco de Oiiveira para el ministerio de Cortes, haciendo una manifestación franca y fiel del estado actual Negocios extrangeros. (Fue interrumpido por las vivas demostra de los negocios públicos, y. de la firme resolución en que se halla ciones de júbilo y alegría, y se repiti…</t>
  </si>
  <si>
    <t>Oíiver</t>
  </si>
  <si>
    <t>…miserable horda de esclavos han venido cerca de nuestros confines , y presentan batalla, sino que huyen. según parece que anuncian, tratan de dirigirse á Madrid , salgan los mi E1 Sr. Oíiver: No comprendo bien cuál ee la razón por que á licianos de Madrid á rechazarlos, y í darlos el escarmiento merecido. los individuos ue estas compañías que pasen á servir en la milicia ac (Grandes aplausos.) Este lo harán con tanto mas ardor, no su‘o por tiva s…</t>
  </si>
  <si>
    <t>…as razones me to que es la mas i propósito para el caso, á cuyo fin suplico á la co eponvo al articulo. misión retire este articulo y los dos siguientes para arreglarlos confor El Sr. Oíiver: Ha dicho el Sr. preopinante qu- se Causa ur grava me á ella. men al mozo que se incluye en ei sorteo de dos pu-*b va , porque si fio El Sr. Gómez Becerra: El Sr. preopinante ha supuesto que todas le toca servir en el número que saque en un pueblo', le podrí…</t>
  </si>
  <si>
    <t>Oiiver</t>
  </si>
  <si>
    <t>…s del batallón Sagrado que se formó en esta ca ignorancia del Gabinete de Pelersburgo relativamente á los asuntos de pital en las ocurrencias de Julio anterior , presentada por el Sr. Oiiver, España ? 1 si esta ignorancia es fingida, como d&lt; be creerse , c,n el ob «n que pedían se íes permitiese alternar con la milicia nacional volunta jeto de fabricar sobre elia todo el cúmulo de calumnias qua forman el ria local en el servicio de la plaza que e…</t>
  </si>
  <si>
    <t>…tación que el Gabinete de Berlín hace á la España; es una De la milicia voluntaria de Valdemoro, presentad* y leída por mera opinión: y esta circunstancia no debe despreciarse. el Sr. Oiiver. Queda la nota rusa; y aunque las expresiones que contiene sean De D. Agustín Alvarez de Sotomayor, vecino de Puente Genis, muy miradas (i) , es no obstante la mas decisiva. El conde de Nesscl- por el Sr. Moreno. zode pone en paralelo á los partidarios de la…</t>
  </si>
  <si>
    <t>…r Del juez de primera instancia del juzgado primero de Málaga y ticulares; y después de haberse extendido en sus observaciones, con cursantes de la universidad de Granada , por el Sr. Oíiver. cluyó con pedir no se admitiese este proyecto. . Del gobernador interino y estado mayor, de Tortosa , por eL señor Se suspendió es» discusión-, y se leyeron varias exposiciones dirigi Sepilen. das i felicitar á las Cortes por las sesiones de 9 y 11 del corri…</t>
  </si>
  <si>
    <t>…ia de imbis armas de la villa de Campillo, presentada* y Hoy no pasan de a3 los útiles para batirse. Bolitin ítel 30. Gorgonio entró con ocho de los suyos en Moreda, leídas por el Sr. Oiiver. De lo* gefes, oficiales y demás individuos que componen la armad* hizo juntar al pueblo y al ayuntamiento, mandó tocar las campanas, y i nombre de los Soberanos de Francia, Austria ,Prusia y Rusia decla en la ciudad de S. Fernando, presentada y leída por el…</t>
  </si>
  <si>
    <t>…ues que la Nación entera vea la precaución con para fijar la dotación dei clero , leyó el dictamen de la misma; y el que prccedeT.c-, y por lo mismo debe aprobarse la proposición. Sr. Oiiver leyó su voto particular sobré la misma materia , suscrito por El Sr. Falcó : Las Cortes acaban de autorizar al Gobierno para que él Sr. Ferrer (D. Joaquín ). Se mandaron imprimir. pueda emplear en comisiones ú otros encargos á los individuos del con S« leyó y…</t>
  </si>
  <si>
    <t>…n grado de cap.tan , y otra de un ofi El Sr. González Alonso manifestó qne habiendo tenido á cial retirado, pidiendo se les permita voLver ai ejército para dc- bien conformarse el Sr. Oiiver con ia propuesta del Sr. Velas. fende-r los derechos de ia nación española, como lo hicieron en co nada tenia que contestar. la guerra de la independencia. En este estado se declaró el punto suficientemente discutido, A la de Instrucción pública una exposició…</t>
  </si>
  <si>
    <t>…voto activo en las elec Salcedo estaba en su oficina desempeñando su destino, cuan ciones de prelados locales. do supo que los facciosos se dirigían ai pueblo para prenderle y El Sr. Oiiver : Me opongo á este dictamen, porque por él llevársele, En este estado desamparó inmediatamente el pueblo, y se deja el asunto en el mismo estado que estaba, y porque hay se salió de él abandonando su casa y Familia; y después de salir de un decreto de las Cor…</t>
  </si>
  <si>
    <t>…e asunto, y CORTES. que.había lugar á votar sobre su totalidad. Art. r.° Aprobado. PRESIDENCIA DEL SEítOR FERftER (D- JOAQUIN).' Art. 2.0 Contluvt la sesión del día $t de Mayo. El Sr. Oiiver propuso que el papel de ofic’o que se aumen El Se. Istui ,z: El Sr. preopinante no ha impugnado el dicta ta hasta 20 iim. se dejase en ul de b como estaba a.-t s, peque men de la comisión sino el del Gobierno, pues que ia como on es ello nada pierde la Hacien…</t>
  </si>
  <si>
    <t>…eéis , Somoza , Bailolomé, Riego , Marchámalo y Sánchez. cuya razón fue de parecer que debia aprobarse el artículo. Habiéndose procedido á 2.0 escrutinio entre los Sres. Jener, El Sr. Oiiver manifestó que la Constitución estaba terminan González Alonso y Cairo , quedo elegido el Sr. Jener por 76 te , pues según ella el propietario podia estar suspenso, y luego</t>
  </si>
  <si>
    <t>Oilit, Miguel García</t>
  </si>
  <si>
    <t>Miguel García Oilit</t>
  </si>
  <si>
    <t>…osiciones para concurrir eficacísima- tista Vea Murguia , D. Jocquin Alvar-z , D. Juan Francisco Espalomente i conservar la dignidad y el honor ae la Nación, el trono cone • sin , D. Miguel García Oilit , D. Francisco Hidalgo y D. Antonio d* titucional, y por consiguiente la Constitución de la Monarquía españo Olazarra , dec'aró por unanimidad haber lugar á la formación de causa. la. Solo la idea de una invasión de franceses con objeto de imponernos __Don Ju…</t>
  </si>
  <si>
    <t>OitaíFi</t>
  </si>
  <si>
    <t>…y de agregarle dos individuos, uno de los cuales será el general Etuíz. haber querido insertar ea su periódico un artículo comunicado. También parece que se trata de destituir al Sr. OitaíFi , y tros adelan Una canción sobre la muerte de Bonaparte ha abierto mucho loa te al marques de Matafiorida , y cuando a haya hecho esta operac on ojos de la policía, y también se sigue causa contra el autor. voiverá el Sr. arzobispo á Pcrpiñan , donde s; le h…</t>
  </si>
  <si>
    <t>Oitiz, Nicolás</t>
  </si>
  <si>
    <t>Nicolás Oitiz</t>
  </si>
  <si>
    <t>…o en salinas espaninas de seis fanegas de sal, redu Diciembre. cidas á mrs.; suplican i la persona que tenga noticia donde existen se sir Gobernación de la Península. van avisar á D. Nicolás Oitiz , que vive calle del Olmo , número 6, Decreto de las Cortes sobre el arreglo de los teatros. (Gaceta cuarto 2.0 del a.) El triunfo de la Constitución en el dia 7 de Julio de :81a en Resolución de las Cortes sobre el presupuesto á que debe cargarse Madrid, com…</t>
  </si>
  <si>
    <t>OJaciregui, Josef Joaquín de</t>
  </si>
  <si>
    <t>Josef Joaquín de OJaciregui</t>
  </si>
  <si>
    <t>…IX Juan Castriilon. D. Juan Vidi. D. Eduardo Brett. j Segundos tenientes. . . Idem ídem ídem. io8qoD. Manuel Alaria de la Calle. D. Ramón Fabregues. D. Antonio Perez de Barragas. D. Josef Joaquín de OJaciregui D. Joaquín Martínez de Mcdinilla.-1 D. Josef Zar ibrano..........................., „ ■. , Capitanes supernumerarios, según el artícu- r- u ■ r Adereces, capitanes 9600 D- Esteban Guinea............................ * ■'lo 10, primera parte........................................…</t>
  </si>
  <si>
    <t>Ojeda, Francisco Javier de</t>
  </si>
  <si>
    <t>Francisco Javier de Ojeda</t>
  </si>
  <si>
    <t>…- de vuestros enemigos y los nuestros. res con quienes jamas se ha contado» La gran cuestión de esta ANUNCIOS. guerra debe decidirse en Cádiz, y es imposible intentar nada con Jül Sr. D. Francisco Javier de Ojeda, Juez asesor general de tra esta plaza mientras no se ocupe á Chiclana, Puerto de Santa la Real Casa y Patrimonio, ha mandado se saque á pública su María y Puerto Real. basta el suministro de paja y cebada para la Real Caballeriza y El Mayor General. Chiclana…</t>
  </si>
  <si>
    <t>Ojero</t>
  </si>
  <si>
    <t>…parece mucho; sin embargo es menester tener presente que en el qu- está designado.»» ai empleado se le debí dar lo necesario , no solo para su subsistencia, Se concedió permiso al Sr. Ojero para pasar á su país por tiempo sino también para que pueda evadirse de bajas seducciones. de un mes para restablecer su salud. La comparación que ha hecho el Sr. preopinante entre los gsfes Se continuó la discusión pendiente. de las secretarias del Despacho…</t>
  </si>
  <si>
    <t>…morada de valor y patriotismo. Vuestros pe Después de una ligera discu:ion quedó aprobado el dictamen. chos y bayonetas los hicieron ver con escarmiento que la libertad tiene Del Sr. Ojero ai art. 18:: » Pido que se añadan después de la pala en Zaragoza sus héroes, como los tuvo la independencia. Estoy pues en bra corresponde las siguientes: para casos tidiñarlo!\ pero en los ex la gustosa Obligación de anunciaros que habéis merecido bien de la…</t>
  </si>
  <si>
    <t>…entar á las Cortes una adición á esta memo que tal vez no será posioie obtener inme’di.itamente ios pasaportes. ria. Si las Cortes lo tienen por conveniente se leerá primero la El Sr. Ojero hizo algunas observaciones en contra de este ar memoria, á ia cual acompaña un legajo de documentos, y des tículo, á las que contesto el Sr. Valdes ( L&gt;. Cayetano) ; y en se pués se leerá la adición. guida se aprobó, añadiéndose después de ia palabra » circun…</t>
  </si>
  <si>
    <t>…menos cuarto; y leida el acta de la ante Idem 2. rior quedó aprobada, mandándose agregar á ella el voto particu Estado mayor del tercer ejército de operaciones. — Cuartel lar del Sr. Ojero, contrario á la resolución de las Cortes, apro general de Madrid i.° de Mayo de 1823. — Orden general. bando los artículos de la comisión de Comercio sobre introduc Art. i.° E11 cumplimiento del decreto de las Cortes que ción de granos en Barcelona. previene…</t>
  </si>
  <si>
    <t>…a cantidad' posibilidad de los contribuyentes. Yo dificulto que se hayaxon- que se les pide porque no la tienen. sultado con esta base, pues se han hecho argumentos que Jo prue El Sr. Ojero: Se impugna la base que presenta la comis:on y ban , y no se han contestado. Habrá pues dificultades y desigual se proponen otros medios, respecto de los cuales se ha probado dades en este repartimiento; y lo que es peor se vendrá á parar ya que militan las m…</t>
  </si>
  <si>
    <t>…pero que no debia atender estas razones apoyo el artículo. se tanto á esto como á la necesidad de esta autorización. Se declaró el punto suficientemente discutido, y habiéndose El Sr. Ojero manifestó que era mas conforme at espíritu c!e preguntado á petición de algunos Sres. diputados si seria nomi la Constiruclon el que los diputados provinciales suplentes ocu nal la votación, se acordó que no por 49 votos contra 45. pasen el lugar de los propi…</t>
  </si>
  <si>
    <t>OJier, Juan Villa y</t>
  </si>
  <si>
    <t>Juan Villa y OJier</t>
  </si>
  <si>
    <t>…o de 15 tos instrumentos militares, según convenga para engañar, desor días, contados desde esta fecha, se presenten en la Escribanía del denar y causar daño al enemigo. número de D. Juan Villa y OJier para hacerles la citación man 10. Los Tambores y Trompetas han de saber, á mas de los dada; prevenidos todos que pasado dicho término se, dará á los toques españoles con toda perfección, los toques de ordenanza autos el curso correspondiente, y les parará el…</t>
  </si>
  <si>
    <t>OJiver</t>
  </si>
  <si>
    <t>…no haber lugar á votar a fin de que. lijase toda su atención sobre el que entonces se decía ' sobre el dictamen. cordon sanitario; pero que para mí fue siempre :un ejército dis El Sr. OJiver; Ninguno de. los señortó que han impugnado puesto á.fiQStilizarnos, y qué en .aquellos momentos nos hostiliza este dictamen lo han hecho por creer que el conde del Abisbal ba ya de hecho, fomentando y sosteniendo las facciones y las re no sea acreedor á la pe…</t>
  </si>
  <si>
    <t>…lecidas en la tarifa, diciendo que en esta parte el que estos puedan dar lugar; y conviniendo con h observación del Gobierno es á quien toca exclusivamente el presentar los medios Sr. OJiver rogo á los. Sres. de la comúion se sirvieran tomarla en de hacer efectivas las contribuciones. i&gt;¿ el medio de hacer electi consideración. va esta no es á propósito, al Gobierno, no á la comisión, es á Declarado el punto suficientemente discutido, se vetó el…</t>
  </si>
  <si>
    <t>OJoneíI, Hentique</t>
  </si>
  <si>
    <t>Hentique OJoneíI</t>
  </si>
  <si>
    <t>…las avanzadas nuestras llegan mas allá de Tor- darrama , fortificándose en el edificio que sea mas á propósito. qciimada. La compañía de zapadores se acantonará cn Galapagar, y ss D. Hentique OJoneíI, conde del Abisva!, general en «fe egtre-tatá en los deberes de su instituto. del tercer egército de operaciones, comandante general del i.° Art. 5.0 La guarnición de Madrid no dará mas servicio du y 1 x.° distrito militar. rante el dia que el de tas cárceles…</t>
  </si>
  <si>
    <t>OL</t>
  </si>
  <si>
    <t>…ado los enemigos á pote* mutuantes de cu.tslra sal.da; y en ha sido inútil á la'causa pública en fas apurada» circunstancias del ir.o- Guadaía¡ara me presente iciñedi-t-iiníute ai general OL&gt;i¡¡, á quirn m.r.te. ' ... '• ofrecí cuantos auxilios pecuniarios necesitase. Cotí autoriza-un del ” Dios guardé ÍV. E. muchos años. Madrid 2y de Enero de 1823. mismo gefe me presenté también al gefe político de ia provincia y csbxcmo. -br. m Vic -nle Bertrán…</t>
  </si>
  <si>
    <t>Olavarrieta, Fiancisco López</t>
  </si>
  <si>
    <t>Fiancisco López Olavarrieta</t>
  </si>
  <si>
    <t>…io Marco, D- Andrea Moya Luzuriaga, D- Saturnino Lozano, D. Josef Castel, D. Andrés (4) Los español» lo conocen ; y extrañan que el Sr. Chateaubriand Alcon, D. Domingo Vrllítnil’, D. Fiancisco López Olavarrieta y se meta en lo que no le toca, como él mismo confiesa.'Para conservar D- Gonzalo Cárdenas. el honor de su partido-es capaz de ir á buscar tretas d ultra Garamatt- Habida ia conferencia, se declaró por unanimidad haber lugar á la tas et Indos. formación de ce…</t>
  </si>
  <si>
    <t>Olavarrieta, Francisco López de</t>
  </si>
  <si>
    <t>Francisco López de Olavarrieta</t>
  </si>
  <si>
    <t>…uerra extrangeia. Dígnese V. E. inclinar el Uta! D. Gonzalo de Cárdenas, D. Antonio de Alcázar, D. Ramón Llord, ánimo de S- M. i admitir esta pequeña ofrenda, que hago gustosí.imo D. Francisco López de Olavarrieta, D. Joaquín de Ce"-! os, P. Ju en i» aras de a libertad , ai mismo tiempo que renuevo el juramento lián de Fuentes, D. Nicolás Cano de Luque, D. Juan de Cortes y -de defender la Constitución hasta mi última agonía en toda la provin D. Sebastian Andrés. cia qu…</t>
  </si>
  <si>
    <t>Olave, Florencio</t>
  </si>
  <si>
    <t>Florencio Olave</t>
  </si>
  <si>
    <t>…de íSig.txeFclix Carrera. ==br. coman sangre fria ha brillado en los do» ataque» que con tanta oportu dante general de la j.-* división. nidad dirigió. El de igual clase y cuerpo D. Florencio Olave, que con 26 hombres de infantería y 16 caballos resistió el im pulso de la mavor parte de la facción sin perder terreno sino i Orden de la plaza dei ty al 18 de Abril de I 82 palmos: los tenientes también de Granada D. Francisco Aller, Gefe de día el comandan…</t>
  </si>
  <si>
    <t>Olave, Matías</t>
  </si>
  <si>
    <t>Matías Olave</t>
  </si>
  <si>
    <t>…craso y mas funesto error en política, si sepa Pascual de Guillenea, D. Josef María Miranda, D. Salvador rando su causa de la de los españoles creyesen poder conservar su de Oria, D. Matías Olave, y D. Félix Josef Reinoso, para ca libertad al mismo tiempo que zozobraba Is nuestra. Los intereses lificar un artículo del Constitucional de Cádiz de 26 de Febrero constitucionales de ambas naciones están íntimamente ligados, y de este año , que principia »…</t>
  </si>
  <si>
    <t>Oli</t>
  </si>
  <si>
    <t>…expediente sobre enajenación de los pre Liverpool replico que no dudaba declarar que la Inglaterra r.o había con sidios menores, se haga extensiva á Jos mismos lo propuesto por el Sr. Oli traído obligación alguna que en La menor cosa pudiera poner trabas al ejer ven sobre la plaza de Ceuta , mayormente constándome ser grandes los cicio de la líbre acción del Gobierno del Rey en cuanto era relativo a ios la de apuros de Melilla.” Se leyó por se…</t>
  </si>
  <si>
    <t>…, Manifestó en seguida que los entorpecimientos que se notan en opine de un modo contrario al nombramiento de la Regencia Jos tribunales de Consulado (según lo manifestado por el Sr. Oli provisional, y no culpamos las palabras con que se ha tachado de ver) son bastante generales en todos los demás de la Nación; por anti-coustituciunal un decreto de las Cortes, sino por la doctri cuya razón dijo que si se aprobase el dictamen , mas bien result…</t>
  </si>
  <si>
    <t>Oli-j</t>
  </si>
  <si>
    <t>…Acto continuo se pasó-á la discusión del otro dictamen , á sos, y el terreno sobre que ha de obrar con mas perfección que la cuyo efecto se leyó de nuevo, y tomando la palabra el Sr. Oli-j autoridad militar, quien por otra parte entregada á negocios de ver, dijo: Aprobada por las Cortes la proposición del Sr. Can mucha entidad , no está en el caso de examinar los pormenores ga , parece indudable que el Congreso conceptúe preciso que an que está…</t>
  </si>
  <si>
    <t>Oliva, Baigcs y</t>
  </si>
  <si>
    <t>Baigcs y Oliva</t>
  </si>
  <si>
    <t>…el pudiesen, y que ellos hicieron correr esta voz para deslumbrar , lo que se guramente no es extraño, pues V. E. no ignora que este fue uno de los Sr. Marchámalo. En 9.0 lugar el Sr. Baigcs y Oliva por 78 votos, habiendo tenido planes que seguían nuestras partidas en la guerra de la independencia.” a el Sr. Marchámalo y 2 el Sr. Sotos. En io.° lugar quedó elegido ei Sr. Ramírez Arcllano por 79 vo El Rey se ha icrvido admitir la oferta que ha hecho D. An…</t>
  </si>
  <si>
    <t>Olivar</t>
  </si>
  <si>
    <t>…por el mismo Sr. diputado. En Búrgos.................. r De los individuos que componen el resguardo militar de la pro En Granada...................... 1 vincia de Málaga, por el Sr. Olivar. &lt; Ea Santander................................................................. I Del comandante de armas de Alhamí, por el Sr. Soria. Hospitales de segunda clase. Del ayuntamiento constitucional y milicia nacional voluntaria de En el Peñón de la Gotneta....…</t>
  </si>
  <si>
    <t>Olivcr</t>
  </si>
  <si>
    <t>…la Nación no reconoce como legítima la pena fabricantes; peto que en su opinión estos debian ser preferidos. de excomunión ipso fado incurrenda\ y yo no alcanzo ni es fácil al El Sr. Olivcr apoyó el dictamen de la comisión, manifestando que canzar con qué objeto se dice esto , poique el es en orden á los efectos no se atacaba la propiedad can lo que en él te proponía, y que solo civiles, semejante excomunión no ios excluye por le general: nuestr…</t>
  </si>
  <si>
    <t>…ianos, y ciertamente que los que se prestan a este servicio son para conservar aquella denominación.” acreedores á alguna recompensa. b¡ ú alguno de etros le toca ¡a suerte de Del Sr. Olivcr al art. c.° nPido á las Cortes que después de la pala soldado, se le permitirá permanecer seis meses en la milicia voluntaria, bra activo se añada:_y rii-Li misma miiicia nacional, y sujetos á su re pasados los cuales tiene que servir en el egército seis años…</t>
  </si>
  <si>
    <t>…s aduanas, Después de haber hecho algunas observaciones sobre este ar podrán remitirse en buque de bandera amiga desde ios puertos tículo el Sr. Buruaga , y á las que satisfizo el Sr. Olivcr, se de que se hallen libres de las tropas enemigas a ios ocu paco» por claró el punto suficiente discutido, y hubo lugar á votar sobre la citas. Art- 3.0 Igualmente podran trasportarse en dichos buques totalidad del dictamen. desde los puertos que esteu ocupa…</t>
  </si>
  <si>
    <t>…sta el , Habiendo hecho otras observaciones sobre este articulo el se sagrado de este recinto, ni se han oido en boca de los señores que ñor Navarro Tcjeiro, á las que contesto el Sr. Olivcr , se decla han hablado en contra de lo que propone ia comisión. An radaró hallarse suficientemente discutido el asunto. Varios Sres. dipu ble seria á esta ver los presentados; y yo aunque el menos ilus tados pidieron la palabra para votar; pero el Sr. preside…</t>
  </si>
  <si>
    <t>…ey 3.a, tit. 7, hh. 20 de la bajo su primer punto de vista vale tanto como decir á los pue Novísima Recopilación. blos vengan esos fondos que son vuestros; primer obstáculo que El Sr. Olivcr: Varios decretos existen en que se comprueba ha de haber para que esta medida produzca buenos resultados, á la propensión de las Cortes á la supresión de los pósitos, En efec Jo menos para que se reciba por los pueblos sin disgusto. Hay to se ha autorizado á…</t>
  </si>
  <si>
    <t>…ra cosa sino que ción de Jas leyes, diga francamente á las Cortes su opinión sobre me conformo con el dictamen de la mayoría de la comisión. la segunda parte de la proposición. El Sr. Olivcr : Al entrar en esta discusión el Sr. Albear lia Se ha dicho que seria dar un mal ejemplo á la posteridad, y tratado de manifestar la ventaja ó desventaja que puede resultar aumentarse este sistema de pedir al Gobierno aconseje al cuerpo de la aprobación de su…</t>
  </si>
  <si>
    <t>Olivef</t>
  </si>
  <si>
    <t>…sidad , y no hay motivo para que la pacte interesada no satisfaga mo con residencia fijz en aquel pueblo, ó si ha de alistarse aunque so los gastos que se hacen á su instancia. El Sr. Olivef: A pesar de que el Sr. preopinante me ha precedido lo haya estado en aquel pueblo 24 horas ; por todas estas razones creo en algunas observaciones, debo añadir sobre la última que no puede no debe aprobarse el articulo. El St. Gómez Becerra : La comisión no h…</t>
  </si>
  <si>
    <t>Olivei</t>
  </si>
  <si>
    <t>…e proyecto, porque en primer lugar, que el argumento hecho por este Sr. diputado creo que en él se perjud.ca notablemente á los derechos de. la Na deque la cita que había hecho el Sr. Olivei era ura instiucción , pues esta , según él hace un verdadero regalo de propieda cion, al paso que la que él hacia era una ley , no era argumento des que en la actualidad posee, y de otras que aunque no las po que probase en su favor, pues era sabido que todo…</t>
  </si>
  <si>
    <t>Oliveira</t>
  </si>
  <si>
    <t>…imiento 49 de infan pondencia de los ministros franceses con Mr. de Lesscps. tería ligera , y ha quedado muy satisfecha de su buen porte. _ Aparece por esta correspondencia que el Sr. Oliveira, en A las once recibió en audiencia al general Scc.” Sigue una larga cargado de Negocios de Portugal cerca de esta corte, fue durante lista de los presentados á su corte. este verano á la casa de Mr. de Villele , con el objeto de hacerle A cuatro franceses he…</t>
  </si>
  <si>
    <t>Oliven</t>
  </si>
  <si>
    <t>…a tolomé Gutiérrez Acuña, pues por tilas se le debía en gran par Hae íenda pública y a objetos de beneficencia. te el feliz desenlace de aquellos desagradables sucesos , era de El Sr. Oliven El señor preopinante, lejos de oponerse-al opinión que no habia Jugar á exigir la enunciada rcsponsab.Ldad dictamen, le ha sostenido con razones muy solidas, y aun quiere á d.cho gefe pqfr co. que se amplíe mas; pero S. á,debe tener presente que, aunque Ja Quedo…</t>
  </si>
  <si>
    <t>Oliver</t>
  </si>
  <si>
    <t>…ntos del oriente. Asi, ;cu?l Se nombró para la comisión especial de Medidas en ¡"u-^ar J-l se_ podrá mas, el amotinamiento de una sold?desca indisciplinada, ó 18 ñor presidente ai Sr. Oliver; para la especial encargada de informar sobre meses de combinaciones diplomáticas, aun suponiendo que sea bajo el la exposición del Sr. Moreno Guerra al Sr. S irrano; para la de gobier no economico-político de las provincias al Sr. Melendez; para la de Pogobi…</t>
  </si>
  <si>
    <t>…ostico infalible La comisión de Gobierno económico-político de Jas provincias, de los esfuerzos heroicos que barí Ja Nación española en defensa de sa en vi«:a de las adiciones del Sr. Oliver al proyecto presentado por la independencia y de su ubertal que un inmensos sacrificios le han cas misma, relativas a la asistencia de los espumares a ¡os ayuntamien tado, y que no se dejará arrancar aunque se conjure c.ntra ella todo ei tos, y i ia responsab…</t>
  </si>
  <si>
    <t>…estas razones fue de opinión que 00 debía admitirse á discusión este pro ct diario de sos sesiones. yecto. El Sr..... presentó otra felicitación en los mi,naos términos de lo» El Sr. Oliver: Las razones alejadas por los señoras qu; han irapug-</t>
  </si>
  <si>
    <t>…lo mismo petable magistratura velar noche y dia sobre el orden público, mien no debía adoptarse la adición. tras vuestro zcloio é infatigable ayuntamiento se ocupaba de todo en El Sr. Oliver te opuso al dictamen de la comisión, manifestando sesión permanente. He visto con admiiccion convertidos vuestros paseos que debía imponerse un máximum,, ya fuese el que 1* proponía en la «n campo de batalla , y á la población con toda la calma y alegría de a…</t>
  </si>
  <si>
    <t>…ñías de caza compañeros; y confiada eu que las que tantas honras han lincho á lo* dores constitucionales. defensores de la libertad en el 7 de Julio no podrán negarles la única El Sr. Oliver presentó una exposición de los oficiales de las ofici • gracia que les piden en recompensa: ñas del Crédito público de esta corte, felicitando i las Cortes por las » Suplican respetuosamente á las Cortes extraordinarias á nombre sesiones de 9 y 11 del corrien…</t>
  </si>
  <si>
    <t>…icitando á las Cortes por la sesión de 9 del las firmas.) corriente. Recayó) igual resolución que en la anterior. n Comandancia militar de la provincia de Lérida.__Excmo. $r.__ El Sr. Oliver leyó dos exposiciones sobre lo mismo dtl ayunta Tengo la mayor complacencia en incluir á V. E. el bando del general miento constitucional y milicia nacional de Albacete. Recayó) en ellas en gefe del 6.a distrito militar, por el que se enterará de la situación…</t>
  </si>
  <si>
    <t>…que que si se dejaba un término indefinido para estas reclamaciones, jamas se contiene aquella instrucción. Aprobado. haría el reemplazo. Se nombró para la comisión de Poderes al Sr. Oliver en lugar del El Sr. Oliver manifestó que tiendo la idea de la comisión el que en Sr. Alix. ningún caso pudiese declararse nulo el sorteo, podían suprimirse las La-comisión d« Gobierno interior, en vista de la solicitud de Don palabras » por regla general,” di…</t>
  </si>
  <si>
    <t>…es n- ticio-ode que cabían men de la comisión era opoituno. d jado una reserva en c.crta altura, ant.s de atacar e puebl ■ , ;a ,co* 121 2;. Canga manifestó que los argumentos del Sr. Oliver le ha m- te, la destruye , y privéndo es de este apoyo, les obuga - a.iraniarse bían hecho tanta fuerza que le obligaban á hacer proposición para que en p-queños grupos por el campo, y á que todos busquen su salvación se exigiese la responsabilidad á quien re…</t>
  </si>
  <si>
    <t>…uido de otros lo cha provincia, y de los individuos del seminario de Málaga , presenta ultrajaban , y trataban de arrestarlo por sí. El Sr. alcalde segundo dis das y leídas por el Sr. Oliver. puso quedase detenido el oficial, que dijo llamarse D. Santos Fidalgo, De los jueces de primera instancia de esta capital, presentada y leí y el paisano , que es D. Josef Sánchez ( que fue ó es todavía cabo de da por el Sr. Castejon. hacheros del segundo bat…</t>
  </si>
  <si>
    <t>…icia nacional y ayuntamiento constitucional de Alcobendas, trabajo de trasladarse á aquellos parages, examinar las posiciones, y y oirá de la milicia de Murcia, presentadas por el Sr. Oliver. consultasen ademas algunos de nuestros valientes que han luchado en La comisión de Poderes, en vista de una solicitud de la diputación Espilla con los obstáculos del país y con el valor de sus moradores, se provincial de Almería para que se aumentase el núme…</t>
  </si>
  <si>
    <t>…oco que ambas armas de ia villa de Almendraíejo, por el Sr. Becerra. los tejidos de seda no se hacen para un año, sino que se consumen en De varios ciudadanos de Valencia , por el Sr. Oliver. -na temporada del año en que es moda llevar esta clase de tela. De la milicia nacional voluntaria y local de Medellin, y de varios El sello que ha de ponerse á las piezas d; géneros es muy (acil ciudadanos de Toro , por el Sr. Alonso. falsificarlo , y por to…</t>
  </si>
  <si>
    <t>…s de España, de Ayamonte, y de un número considerable de ciudadanos de Córdo en especialidad por los de Toledo , tiene el dolor de ver que el señor ba, presentadas y leídas por el Sr. Oliver. Falcó considera esta propuesta como una novedad peligrosa que puede De un número considerable de ciudadanos de Fuente el Maestre ocasionar la división religiosa. Pero, señor, cen los primeros r.'glos de (provincia de Badajoz), presentada y leída por el Sr. A…</t>
  </si>
  <si>
    <t>…la» quejas que produzcan los regimientos nos oficiales generales,’’ sobre la cal-dad, construcción , y coste á que salea las prendas ó efectos Se mandó agregar al acta el voto del Sr. Oliver, contrario á lo re recibidos; que sean de las fabricas nacionales, y de cuanto pueda pro suella sobre arreglo de la secretaría de Corte». ducir gravamen 4 los fondo» y perjuicio á lo» individuos; se asegurará Se continuó la discusión del dictamen relativo á l…</t>
  </si>
  <si>
    <t>…mpañía voluntaría de milicia nacional local de un pueblo minos y bajo lis mismas reglas que en el extraordinario anterior, coa de la piovincia de Málaga, presentada y leída por el Sr. Oliver. solo los modificaciones que se expresan en los artículos 4.0 y 5.° Del clero de Albacete, y del comandante, oficiales y demas indivi Art. 4.° » Los ya filiados en los batallones de la milicia activa duos de la milicia nacional de Albondon, provincia de Grana…</t>
  </si>
  <si>
    <t>…a al frente de banderas de, aquel benemérito egército.” " ai Gobierno que propusiese otros arbitrios efectivos para cubrir las aten '■ Se :leyó por primera-vez una proposición del Sr. Oliver para que se ciones mas urgentes. cnagenen los préstalos menores,.y se aplique el erario su valor.' ! El Srt Adan: Para impugnar este proyecto no puedo menos de en La comisión de Hacienda, en vista del expediente promovida acer trar en lá análisis de cada uno…</t>
  </si>
  <si>
    <t>…ima , sobre la El Sr. Surta: Muchas impugnaciones se han hecho al dictamen de cual debe girar el dictamen de la comisión. ¿ Por qué el Gobierno ho las comisiones reunidas; peio el Sr. Oliver, sobre todos, ha sido el que ha presentado economías en los sueldos ? ; Por qué no ha presentado la mas fuertemente le ha atacado , manifestando que no solo era vicioso &amp; ley del máximum? ¡ Por qué no ha procurado descargar í la Nación inconexo, sino que cont…</t>
  </si>
  <si>
    <t>…autorizársele para que pueda admitir fru precio muy ventajoso para esta. Con esta reflexión contesto á otra deltos á tos primeros contribuyentes en pago de los grandes atrasos de Sr. Oliver , que dice que los deudores podían vender los frutos, y pancontribuciones hasta fin del segundo año económico para surtir las pla gar en metálico á la Hacienda nacional; pero esta observación nó eizas fuertes y demas puntos déla costa en donde tenga que forma…</t>
  </si>
  <si>
    <t>…e el Gobierno ía los particulares. E¡ Gcbierno nada tiene que ver con ios contribuyen su propuesta octava." tes sino con los ayuntamientos; y lo que dije respecto ai embargo de E¡ Sr. Oliver: Guando ayer hablé sobre la totalidad de este pro efectos fue refiriéndome d los contribuyentes ccn quienes se entiende di yecto me opuse i este artículo, porque en vez de resolver .'a dificultad rectamente el Gobierno; de forma que si itn cundí r.o quiere pa…</t>
  </si>
  <si>
    <t>…Gobierno, y la comisión sistencia del egército ; \y en qu’é'época, Señor! Cuando los puebles aca baban de sufrir las rapiñas de los franceses , y cuando las diputacionesadmite. El Sr. Oliver: Me opongo á este pedido, porque me parece que provinciales apenas eran reconocidas por ¡os puiblos; sin embargo de puede decirse en este casó aquella expresión vulgar de que es anclarse estorepito, se cobraron las anticipaciones que acordaton aquellas por la…</t>
  </si>
  <si>
    <t>…n perdido , y también vamos quzá i gún mérito extraordinario que hubiesen contraido en acción de guerra. perder la paz de que tanta necesidad tenemos para renovar nuestras rela El Sr. Oliver: Cuando se dió el decreto para la organización de la ciones, con torf s los pu.blos, y con ella ¡a libertad de los mares, la in guardia Real se dijo que existirían dos compañías de alabarderos; y dustria y el conrcrcro. ahora se pide el aumento de dos íntegra…</t>
  </si>
  <si>
    <t>…contra 34, y se man Del intendente y demás empleados de la Hacienda pública de la dó pasar á la comisión de Hacienda la proposición de segunda lectura provincia de Salamanca. del Sr. Oliver, sobre la enagenacicn de los presidios menores, en vir De la milicia N. V. di Santiago. ‘ ; ;. tud de su mucho coste, extrayendo de ellos cuanto fuese útil. Del ayuntamiento constitucional déla ciudad-de Zaragoza. ' ■- Sé leyó y halló conforme la minuta de de…</t>
  </si>
  <si>
    <t>…y tenido ocasión de conocer el efecto que pro De la M N. V. de ambas armas de Cienpozualos, presentad» ducían en la opinión pública la* atrocidades del tirano Napoleón: pue por el Sr. Oliver. dan estar seguros de que ninguna iniquidad de este, por negra é infa De la diputación provincial de Pamplona y ayuntamiento de aque me que fuese , excitó nunca mayor disgusto , n¡ causó tanta indigna lla capital , por el Sr. Munainz. ción a toda la Nación br…</t>
  </si>
  <si>
    <t>…Loeches , se han denunciado en habiendo tenido el Sr. Marchámalo dos. el concepto de no tener dueño legítimo conocido tres solares sitos en la ca En la 23a votación fue electo el Sr. Oliver por 82 votos, habiendo lle de S. Antón de esta corte , señalados con los m'ims. 34, 3 3 y 35 de tenido dos ei Sr. Marchámalo y uno el Sr. Villaboa. la manz. 3 2 3; y como de las primeras diligencias practicadas haya resulta En la 24.a votación fue elegido el…</t>
  </si>
  <si>
    <t>…emos en nuestros corazones sus nombres para imi fieran en igualdad de circunstancias á los milicianos.” Aprobado. tarlos en Ja carrera de la libarfad." Se leyó una proposición del Sr. Oliver, reducida á que las Cortes se El gefe políceo de Tarragona ha dirigido al nuestro el siguiente oficio: sirvan recomendar al Gobierno el pronto socorro de la guarnición y em •n Desde la toma de Mora por las tropas nacionales continúa la presen pleados de la pl…</t>
  </si>
  <si>
    <t>…to canicular de los Sres. Fcrrer y El art. 13 es por sí bastante para que deba desecharse este dicta Oliver. men. En él se aplican al Crédito público todos los bienes de los ca El Sr. Oliver: Entre las varias objeciones que se han hecho al dic bildos, catedrales, colegiatas, parroquias y cualesquiera otros ecle tamen de la minoría de la comisión, la que se ha r ’petido con mas fre siásticos , exceptuando los de capellanías de sangre. Después de d…</t>
  </si>
  <si>
    <t>…icia activa y eL 27 de la es injurioso é insuficiente , fundándose principalmente en que constitutiva del ejérc’to. quedan impunes los delincuentes; pero yo délo hacer presente El Sr. Oliver: El Sr. preopinante ha apoyado el artículo, que las leyes tienen impuestas penas al desertor y al que encubre fundándose en que es preciso interesar á una porc’on de personas la deserción; lo que la comisión ha querido evitar en este pro para que eviten la de…</t>
  </si>
  <si>
    <t>…la que fus cumplimiento, = Está rubricado de la Real mano. = Alcázar, de ■ suspendida por haber llegado la diputación. Sevilla á 29 de Abril de 1823. = A D. Dionisio Capaz.” ' El Sr. Oliver, presidente de la diputación, manifestó que es ta habia puesto en rítanos del Rey el decreto sobre señoríos, y El Gobierno ha recibido el parte siguiente. que S. M. la habia recibida con su natural agrado; á lo que el Con fecha de 15 del actual en Alcira me d…</t>
  </si>
  <si>
    <t>…a posibilidad de los pueblos char el sistema, y repeler la agresión de nuestros enemigos. para pa.ar las contribuciones, para después decretarlas; pero aquí Por tanto estoy con el Sr. Oliver en que es preciso que las se trata de que se acuerden aquellas cantidades que las circunstan Cortes suplan por sí esta especie de horfandad en que se halla la cias exigen para poder sostener la guerra, sustrayéndolas después de Nación sin Gobierno, lo que se…</t>
  </si>
  <si>
    <t>…y, político, en quien residirá la autoridad superior, para cuidar de cuando asi lo exigía la salud de la patria. la tranquilidad pública, del buen orden, de la seguridad de las El Sr. Oliver manifestó que siendo la cuestión principal la personas y bienes de sus habitantes, de la egecueion de las leyes, de si se habla de conceder al Gobierno aurorizac on para sus decretos y órdenes del Gobierno, y en general de todo lo que pender por determinado t…</t>
  </si>
  <si>
    <t>…ismo ramo. Se leyó por segunda vez , y admitida á discusión, se mandó Se procedió á la discusión del dictamen de la comisión pri pasar á la comisión de Hacienda la proposición del Sr. Oliver, mera de Hacienda sobre el comercio con los puertos ocupados. para que se permita la introducción de hierro extrangerc, leída Se leyó en seguida este dictamen, y después de alguna dis en la sesión del 28 del corriente. cusión se declaró haber lugar á votar en…</t>
  </si>
  <si>
    <t>…en devolver á sus legítimos dueños los caudales que iiabia cia de los que antiguamente gobernaban el Estado. en ¡os pús’tcs , siempre que se extritiesen para les efectos preve El Sr. Oliver dijo que el Sr. Isturiz no habría tenido Jugar nidos en el citado decreto. Aprobado. de examinar el expediente o la exposición de los corredores de La comisión segunda de Hacienda opinaba que por las cir cambio que había sido pasada á la comisión : estos (que…</t>
  </si>
  <si>
    <t>Olíver</t>
  </si>
  <si>
    <t>…s , y piden por lo tanto que se les paguen sus atrasos para rización , es la que da el derecho de elección. atender á su subsistencia, era de opinión que debía accederse á esta El Sr. Olíver : Al impugnar el Sr. preopinante el dictamen instancia por creerla muy justa. Aprobado. de la comisión ha echado al olvido los principios que siempre se La comisión segunda de Hacienda, en vista de la exposición han tenido por indudables cuando se ha tratado…</t>
  </si>
  <si>
    <t>…xpuesto soy de opinión que debe declararse no que ya legítimamente tienen adquiridos no hay razón para pri haber lugar á volar sobre la totalidad del dictamen. varlas de ellos. Ei Sr. Oliver: Aunque la comisión no pueda probar la bon A esto se me contestará que según el decreto de 3 de No dad de su proyecto, explicará las razones que la han servido de viembre de 820 estos bienes deben pasar al Crédito público. Pido norte pata proponerle tal como…</t>
  </si>
  <si>
    <t>…l proyecto que presenta á está pendiente. Pava esto me parece que puede servir de demos la deliberación de ias Cortes, reduciéndose á un solo artículo, en tración la reflexión del Sr. Oliver , que hablando del art. 3.0 di el cual se comprendan las dos bases principales del objeto de 1* jo que se obligaba á los que habían adquirido nuevamente estos propos cion que ¡a motiva: á saber , el quitar toda especie de per bienes á pagar un derecho algo gr…</t>
  </si>
  <si>
    <t>…¿ v ; da .hasta mas adelante de la época del decreto de 27 de Setiem del decreto sobre ai!;,trio, b b.nvt'ieen.. a. bre del año 20 , y que de ninguna manera se perjudique á es E! Sr. Oliver dqo que la i ave del ar! culo que se d sci-fa no tos interesados, resulta la necesidad de hacer esta aclaración, era equivocada corno había supuesto el Sr. Calderón , porque la pues de otra manera se les ocasionarla algún perjuicio. ley de 27 de Setiembre de…</t>
  </si>
  <si>
    <t>…iera otra casa: han hecho voto de conservar la pobre para la secularización, es la que da el derecho de elección. za en medio de Jos mayores peligros; han ofrecido ser castos y El Sr. Oliver: Al impugnar el Sr. preopinante el dictamen puros en su conducta, ; pues no saben que han de estar rodea de la comisión ha echado en olvido los principios que siempre se dos de todos los peligros, y que han de ser un todo para todo? han tenido por indudables…</t>
  </si>
  <si>
    <t>…edad y en la segunda parte &gt;5 y en el caso que alguno Juan de Rojas.__Teatro y toros D. Juan Manuel Chacón y de los hijos, padres ó hermano» se halle Ore.” D. Antonio Éubaieta. El Sr. Oliver : Se me ofrecen tro dificultades. Se dice en el artículo que se señalarán por las autoridades los alimentos.-, mas, Hemos recibido periódicos de la Con:ña hasta el 7, de Eaza no se sabe quienes son estas autoridades. Se dice que estos ali hasta el ti, de Alme…</t>
  </si>
  <si>
    <t>…erse á los decretos vigentes, de D. Antonio García para que se le concediese permiso para en que se fijan las reglas para la concesión de pensiones. r rifar una casa. Aprobado. El Sr. Oliver manifestó que en realidad la causa de la muer L£ comisión ,de Comercio, habiendo examinado de nuevo el te de este empleado habia sido su amor al sistema; y que ademas dictamen sobren admisión de algunos géneros extrangeros , que por un principio de justicia d…</t>
  </si>
  <si>
    <t>…aquella aserción es sumamente luudada ; pea demas que puedan tener derecho á ellos; y como este caso es lo rn.smo desapruebo este art culo. muy factible, preciso será evitarlo. El Sr. Oliver: Son muv plausibles las razones que el Sr. pre En cuanto al servicio que se preste á la Nación deberá de opinante ha alegado para oponerse al dictamen; pero preciso es cirse si están comprendeos, ademas de ios que sirven en el ejér que S. S. se haga car. o de…</t>
  </si>
  <si>
    <t>…rar un perjuicio permanente á los interesados. Pero satisfecho, antes sí se ha reforzado con la razón alegada por el ahora ya no se trata de un secuestro y administración, sino de Sr. Oliver. una apíicccion; y de consiguiente no puede pasarse como una Aun hay mas, y es que cuando se dió el decreto que ahora simple medida preventiva. Esta aplicación es cosa excéntrica de se pretende declarar vigente se había dicho que todo español de las facultade…</t>
  </si>
  <si>
    <t>OLiver</t>
  </si>
  <si>
    <t>…a exigirla sino se aprobase el local. dictamen. Por este motivo no puedo desentenderme de la obser Se procedió á la discusión del dictamen de la comisión de vación que ha hecho el Sr. OLiver. Casos de responsabilidad sobre el oficio del Sr. secretario del Des Se dice que se entorpecerán los procedimientos por este modo, pacho de la Guerra, pasado á.ella en la sesión de anteayer , re pero yo no Jo creo asi. El Gobierno en uso de sus facultades ha…</t>
  </si>
  <si>
    <t>…también se portaron en aquella ocasión, y que salie que prevenía la Constitución en los aírenlos 18 , 3 j y 50. ron heridos; opinaba que las Cortes podían acordar á la viuda de El Sr. Oliver contesto á las objeciones del Sr. preopinante, que se trataba la pensión de 39 rs. sobre los fondos del resguardo haciendo ver que las disposiciones del proyecto no se oponían 4 militar mientras permanezca viuda, pasando á süs hijos hasta la los artículos de…</t>
  </si>
  <si>
    <t>…Tc-r 1. .Cu .0 ull.moé) Aprobado. vo quisiera que l.u Cortrs no de-.»n.l esen a ios pe-, mci-.vrcs de Art. u. (!J.) las oficinas que se pre-yaun en !i planta que .Ku.up;:— el GeEl Sr. Oliver dijo que i fin de que esta renta fuese im, pro bierno , pues esto o; mas prop.o del mi.mo t U-b e-1 o. ductiva quisiera que el papel de pobres lo Usasen solamente ¡o» El Sr. CansaO : La .0111. on isla de act.-rd.- »or&gt; «1 ‘i; te:í-</t>
  </si>
  <si>
    <t>…ltimo , pura que en atención á sio , Llórente , Aguirre y Escovedo. la enorme diferencia del repartimiento de contribuciones entre Se mando agregar al acta, un voto particular del Sr. Oliver, las cantidades que se asignan a unas provincias, v a ias que se contrario á la aprobación de los ans. 11 y 12 del cap. i.° apro les asignaron en el año anterior, volviese el expediente al Go bado a ver sobre papel sellado. bierno para que lo rectificase , u…</t>
  </si>
  <si>
    <t>…e el anterior, renta no cabria Jos excesivos gastos que ocasionaba. Restablecido porque la duda era intempestiva el sistema constitucional una de las primeras atenciones del G&lt;&gt;El Sr. Oliver, después de haber expuesto que las mismas ob bie rno y las Cortes fue la mejora do esta renta , y aun en cierto jeciones que se habían puesto al dictamen probaban que dentro de modo se pasó de un extremo á otro por el zelo con que se em Jas Cortes habia quien…</t>
  </si>
  <si>
    <t>…verse lo que cada uno lia '¿:r i a i-.sporv -ibilidad de algún tribunal'de Consulado sean juz votado: gados ;us ind.v.duos p-ir la audiencia del territorio. Aprobado. Dijo ayer el Sr. Oliver que el inconveniente de poderse vetar La misma comisión, en vista de la exposición de D. Mi una persona á si misma era demasiado pequeño en comparac.on guel Romero Siimanieeo, escribano público único de cálcala del de las ventajas que resultarán de aprobarse…</t>
  </si>
  <si>
    <t>…ión político subalterno, porque para el ramo gubernativo está sufi pueda cometer la bajeza dt volarse á sí mismo. cientemente provista aquella isla para su defensa. La razón de El Sr. Oliver: Según ei tenor literal del artículo 73 de la economía de que se hace mérito en el expediente no puede dejar Constitución la votación es absolutamente secreta, pues no signi de hacer mucha fuerza. En efecto, en la osla de Menorca produ fican otra cosa las pal…</t>
  </si>
  <si>
    <t>…era vista no se penetrase de la precisión de esta medida, y de bación del art. i.° del proyecto sobre pósitos. lo importante que era facilitar al Gobierno todos los recursos ne El Sr. Oliver , después de haber pedido la palabra, manifestó cesarios para la salvación de la patria. que un número considerable de ciudadanos de Málaga, conocien £1 Sr. Galiano expuso que para resolver este dictamen era do tas críticas circunstancias en que se halla la N…</t>
  </si>
  <si>
    <t>…os. opinaba que habiendo ya fallecido dicho Sr. Lapuerta no debía El Sr. Isturiz se opuso á este* dictamen; y habiéndole conteshaber lugar á resolver sobre ello. Aprobado. bado el Sr. Oliver , quedó aprobado. Otro sobre la sohcitud de D. Victoriano Torrecilla, opinan La comisión de Casos de responsabilidad , en vista de k ex do que á pesar de su aplicación y patriotismo creía no deber posición de D. Pedro Sánchez Trapero, en que pedia se decretas…</t>
  </si>
  <si>
    <t>…el levantó la sesión. Sr. Canga, se propuso demostrar Ja necesidad de conservar rl ministerio de la Gobernación, cmicluvando que d-bia aprobarse el dictamen. Cádiz 20 de junio. El Sr. Oliver apoyó las impugnaciones del Sr. Orden- de t, a plaza.=Guardia del Congreso y archi González Alonso, y fue de parecer que debía desa vo : M. JV. F".=Guardia de palacio.- Princesa y M. probarse el dictamen. n. r. : su jefe el segundo co'nandan'e del mismo Se de…</t>
  </si>
  <si>
    <t>…alguna. Por lo que no aprobaba ” El ejercito conservaba el ard.nvento sagrado que ir.»pira la jusel dictamen. » ticia y el amor a la glor.a; y si el en tus vento de tropa; amernEl Sr. Oliver contestó que era preciso hacerse cargo de los » das, y la constancia de sus bravos ¡teLs pueden ser ei ar.unco de ahu&lt;os que había y pocha haber en esta materia , y asi que la co » la victoria, no tememos a segurar se vera muy pronto htmv liado misión solo ha…</t>
  </si>
  <si>
    <t>…l Gobierno ó por los generales trarán en el sorteo todos los que lo fueron en el año anterior. en gefe, se les abonará el sueldo de su clase, acreditando por me (Es la adición del Sr. Oliver presentada en dicha sesión.) Apro dio de Jos respectivos comandantes militares la comisión que bado. ejercen , y tendrán derecho á la mejora del retiro por el tiempo Art. 15. El Jurado de acusación ha de reunirse dentro de que estuvieren empleados. tres dias…</t>
  </si>
  <si>
    <t>…tiva de Burgos que en la marcha de Alicante á Elche se pasaron rina que exigen ¡napenosamente las circunstancias. al enemigo, y la de los que permanecieron fieles á sus juramen El Sr. Oliver , después de pedir se leyese el avt. 109 del re tos ; manifestando al mismo tiempo que S. M. había tenido á bien glamento (se leyó ) , dijo : Aun cuando el dictamen que se discutí mandar se diese de baja en el cuerpo á los primeros de que se tra no se opusies…</t>
  </si>
  <si>
    <t>…odría el ciudadano zeloso del bien público atre tión , seria necesario retirar otros varios que dimanan de él. verse á decir la verdad al Soberano, y este quizá la oiría con be El Sr. Oliver fue de opinión que debia retirarse el artículo, nignidad; pero estando perpetuamente rodeado de una multitud por creer excesivo el número de directores que en él se propo de hombres que no tienen mas ídolo que su bien particular, y nían, manifestando ser sufi…</t>
  </si>
  <si>
    <t>…en contra de los demas acreedores ña Angela ...............viuda de un oficial de la Dirección general del ¡Estado. de Estudios, y de Doña Cayetana Jiménez, viuda de un emplea El Sr. Oliver añadió que también resultaría en perjuicio de do en el Observatorio astronómico de este departamento, en las las atenciones militares que se pagaban por tesorería , y en el dia qué pedían se les señalase alguna pensión. ton las mas interesantes. También se ap…</t>
  </si>
  <si>
    <t>…esgracia fueseis vencedores, solo lo seriáis por un momento, conviniese al objeto que debían proponerse las Cortes. pues la Europa que os contempla con horror no podría tolerar El Sr. Oliver manifestó que la palabra cuerpo intermedio por mucho tiempo los efectos funestos de vuestro abominable • tenia un sentido muy diferente del que habia explicado la comí— triunfo. ■ sion. Que para aprobarse este artículo seria preciso derogar otros tres de Ja C…</t>
  </si>
  <si>
    <t>…ra dar ó negar su sanción á la ley de que se trataba , desde que se le pre PRESIDENCIA 13EL SEÍSCR ZULUETA. sentase para este efecto. Extracto de la sesión del dia 79 de Julio. El Sr. Oliver contestó que el Sr. preopinante deseaba segura Se leyó y aprobó el acta de la anterior, mandándose agregar á ella mente se empezasen acontar los treinta dias desde que se pt ementase el voto particular de los Sres. Isturiz , Rico, Alix,Canga y Muro, la ley á…</t>
  </si>
  <si>
    <t>…agadas puntualmente por la Tesorería na lativamente á las negociaciones con la Puerta. En estos pliegos cional. se incluye otra nota rusa dirigida al Divan concebida en los tér El Sr. Oliver se opuso á este artículo, manifestando hacerlo minos inas fuertes , en la cual se desechan varias pretensiones de por subsistir 1 as mismas razones que tuvo para impugnar la tota la Puerta, y entre otras la evacuación de las fortalezas asiáticas. lidad del di…</t>
  </si>
  <si>
    <t>…Córtes lo tenían á bien, en la discusión de los Se procedió á la discusión del dictamen de la comisión artículos. primera de Hacienda sobre el presupuesto del ministerio de Ma El Sr. Oliver dijo que no estaba conforme con sus ideas el rina. La comisión , después de dividir en tres clases las atencio que se diesen unos derechos tan extensos á los patronos , y que nes de este ministerio, á saber: personales, materiales y arma por el art. i.° se da…</t>
  </si>
  <si>
    <t>…os llamados revolucionarios, y cuyo origen es puramente huma sonal , y no por razón de oficio ú otra cualidad. no, con la paz y la felicidad de que se goza en los sistemas abso El Sr. Oliver expuso que este artículo era contrario al 9 de lutos, cuyo origen se supone divino: ;Es posible que á esos Re la ley de 29 de Junio último, por cuya razón las Cortes no po yes armados les han de infundir tanto temor los libros y Jos pe dían aprobarlo sin infr…</t>
  </si>
  <si>
    <t>…inistradores, intervenir en los caudales &amp;c. , por cuyo motivo opinó que debía aprobarse el artículo. de Huamanga. Se aprobó otra proposición tic los Sres. Isturiz y Canga , re El Sr. Oliver dijo que en este artículo se daba el nombre lativa á que el Gobierno informase con la posible brevedad si de propiedad á una cosa que bajo ningún aspecto debía com en efecto es cierto el decreto de la llamada Regencia de Mudud prenderse en esta clase, porque…</t>
  </si>
  <si>
    <t>…tículo en los términos en que está. En mi con der de cimas personas ó corporaciones los fondos de beneficencia. cepto me parece que seria bastante someter los asuntos de que se El Sr. Oliver; En rigor no ha hecho nías el señor preopi trata al conocimiento de los alcaldes constitucionales, baj» ciertas nante que manifestar convendría aprobar el artículo para cor reglas v formalidades especiales, sin faltar en nada á lo prevenido tar las innumerabl…</t>
  </si>
  <si>
    <t>…y que en fin se podría formar juicio sobre este políticos de las provincias de Galicia , y demás personas que tan asunto. admirablemente se han portado en estas circunstancias. El Sr. Oliver deshizo varias equivocaciones que dijo haber El Sr. Canga convino en esta reforma, y añadió á la prrtpo- padecido el Sr. Canga, por haberse fundado en un discuiso suyo sicion : &gt; Pido iüiialnieme á las Cortes que se sirvan declarar bene- que no se habia extra…</t>
  </si>
  <si>
    <t>…uiebras son 1 58 de la Constitución, teniendo presente lo resuelto sobre este negocios puramente mercantiles. asunto en la anterior legislatura , opinaba que respecto á que las El Sr. Oliver contestó que á la comisión le habla parecido circunstancias no habian variado podía hacerse el nombramiento conveniente esta reforma , y que solamente debían examinar los de la Diputación permanente en la misma forma que hasta el Srcs. que impugnasen el dicta…</t>
  </si>
  <si>
    <t>…naba debía acPalmas, en Canarias, haciendo varias observaciones, y acompa ccderse á esta solicitud. Aprobado. ñando algunos documentos relativos á ¡a división del territorio de El Sr. Oliver ocupó la tribuna, y leyó el dictamen de la aquella provincia. mayoría de la comisión de Legislación sobre la proposición del La comisión de Diputaciones provinciales en vista de la adi—, Sr. Albear, relativa á las rentas que deben disfrutar ios que sean cion…</t>
  </si>
  <si>
    <t>…en Gobierno llamaba á los españoles emigrados, prometiéndoles igual Jas cuentas que supone el señor preopinante. protección que á los patricios, y que en Chile habia muchos par El Sr. Oliver : Si se aprobase lo que se propone se aumenta tidos, y reinaba un descontento general. También escriben de Gua rían y se complicarían mucho los trabajos de la Tesorería nacio yaquil que ya no pueden soportar las contribuciones. nal , pues seria preciso que es…</t>
  </si>
  <si>
    <t>…visión las recti se cierren las sesiones de la actual legislatura ordinaria. Se levo H ficaciones convenientes. voto particular del Sr. Santafe, individuo de la comisión, 'U el El Sr. Olíver contestó que de aprobarse el artículo no se se que disentía de la mayoría, opinando que debía aprobarse la pro guía ninguna consecuencia para no tomar en consideración Jas posición del Sr. Marau. rectificaciones que se desean para obtener una buena división d…</t>
  </si>
  <si>
    <t>…o y constancia molestia de explicar su dictamen , tal vez nos habríamos ahorrado la resistencia de la plaza por largo espacio de tiempo, contando cotí esta discusión, y tal vez el Sr. Oliver no se hubiera visto em algunos auxilios de que necesitaban. Con bastante fundamento barazado para dar una explicación, que según mi modo de pen debe esperarse los tengan superabundantemente; y asi los dignos car no satisface á las impugnaciones que se le han…</t>
  </si>
  <si>
    <t>…y otro modo de poner en ejercicio sus acuerdos que pasando un pliede ia tuda, nos resarce de tantas privaciones y riesgos la notorie go de papel al Gobierno; pero yo preguntaré al Sr. Oliver, co dad de que hemos cumplido con honor. mo individuo de la comisión de Legislación, si tuvo presente esto Barcelona ti de Julio de 1823. =E1 mariscal de campo mismo cuando propuso el artículo i.° sobre formación de tribu Josef Antonio de Sans. nales especial…</t>
  </si>
  <si>
    <t>…no, esperando de ia comisión las que son medidas de facultades, se ha visto precisada á presen que tenga la bondad de hacer estas explicaciones. tar este dictamen tan confuso. JE! Sr. Oliver , después de aclarar algunos hechos , manifestó El orador continuó demostrando con la lectura de Jos decretos que como individuo de la comisión retiraba por su parte c¡ dic en los.cuales se contienen las facultades extraordinarias concedidas tamen para presen…</t>
  </si>
  <si>
    <t>…xpedición recido á S. M. no estar conforme con algunos arts. del tít. 8.° necesaria en los casos de una defensa. de ¡a ordenanza militar ya publicada, singularmente con el 5.0, El Sr. Oliver , contestando al Sr. Valdes, dijo que en su dis tp , 32 y 4», pudiendo producir resultados opuestos á la patrió curso no se tocaba una soia razón que probase no deber admit rse tica idea que se propusieron las Córtes, y dar lugar á competen la proposición del…</t>
  </si>
  <si>
    <t>…con acierto; de lo contrario era inú til este sión habia tenido á la vista los antecedentes que echaba de menos pedido, é inútil también la segunda parte de la proposición apro el Sr. Oliver, los cuales se habían pedido al Gobierno para ins bada. Yo me he acercado á la mesa, y reconocidos los antece trucción de la misma comisión, y que con conocimiento de ellos dentes , no encuentro el expediente mencionado. había presentado su dictamen, que por…</t>
  </si>
  <si>
    <t>Oliver.pues</t>
  </si>
  <si>
    <t>…s tri bunales de comercio, puesto que en ellos se cometían toda claseconformarse con el dictamen de la mayoría de la comisión, de abusos, aun mayores que los que había indicado el Sr. Oliver.pues en su concepto si se aprobaba dejaria de cumplirse lo pre El Sr. Ruiz de la Vega dijo que habiendo acudido el trivenido en la Constitución. Después de una discusión entre los Sres. Santos Srtarcz , Po bunal del Consulado di esta plaza al supremo de Justic:a c…</t>
  </si>
  <si>
    <t>Oliveras</t>
  </si>
  <si>
    <t>…ndulgencia, las infames do los editores de la pastoril del egemplar -desiástico T decid'.'o pa 1 maquinaciones empleadas al efecto, la abierta resistencia i las autonda- triota el Sr. Oliveras, v■■'h.jrnadnr de la diócesis d- Solsom , invertí | des, el entorpecimiento de los sorteos, la, violencias de toda espiche, en el núin.-ro 79 del c t.ido p'.iiodico, hacen les r-ísrxiones siguutitrs: | y la nota en que á la faz de la Nación incurrió una provi…</t>
  </si>
  <si>
    <t>Olives-</t>
  </si>
  <si>
    <t>…iales. Creo, pues, que las Cortes están en el caso de declarar haber lugar 23 8,56 á votar sobre la totalidad del d.ctamen. Numei o de hombres de color libres y esclavos 183209 El Sr. Olives-, Los individuos de cualquiera comisión no de Id. . de mujeres . . id, ... id, ...... . '130993 ben darse por ofendidos porque se diga que a! proponer sobre una ^14201 materia no ha« aoerudo ¿ hacerlo del modq uicjof , pues njcuhas</t>
  </si>
  <si>
    <t>Olivet</t>
  </si>
  <si>
    <t>…y para que sobre esta garantía haga contratas d« dres reclamarían la justa atención de tos ayuntamientos. artículos de boca y gueira para el abastecimiento de plazas y demás *bEl Sr. Olivet fue de opinión que se podría votar el artículo que se jetos necesarios. había propuesto, sin perjuicio de que la comisión se ocupase inmedia Art. 9.0 » Que te excite el ze'.o de todas las corporaciones é in tamente en ia adición que se habia hecho; y que en c…</t>
  </si>
  <si>
    <t>Ollaneta</t>
  </si>
  <si>
    <t>…vyos sanos princi i Iquigua, puerto situado.al Sud de Arica , donde había sido pios caminarán constantemente los exponentes adictos siempre atacado de nuevo y hecho trozos por:el&gt; general Ollaneta, si á su legítimo Soberano el Sr. D. Fernando vii , y con el ho tuado en esta provincia. Se dice que en esta batalla fueron pues nor de ofrecer á V. A. S. los respetos de su mas alta conside tas las tropas independientes en completa derrota, y que su gefe rac…</t>
  </si>
  <si>
    <t>Ollver</t>
  </si>
  <si>
    <t>…de Setiembre, y el 2.0 en 31 de Diciembre del pre que las Cortes se hallan en el caso de api obar el art ículo. sente ano. La otra mitad se aplicará al primer año civil, que em El Sr. Ollver: El Sr. Canga dice que la comisión ha tomado pezará en i.° de Enero de 1824, cobrándose también por tri informes de las personas inteligentes en la materia; pero permí mestres. Unida esta mitad á la suma que las Cortes venideras tame su señoría que le diga qu…</t>
  </si>
  <si>
    <t>Olmo, Francisco de Búrgos y</t>
  </si>
  <si>
    <t>Francisco de Búrgos y Olmo</t>
  </si>
  <si>
    <t>…, sus arbitrios y recursos,debeconfiarst una gran par cas por Mr. Belloc, y traducido al castellano con notas po* te de la defensa de la Isla gaditana,,. Esto supuesto, y teniendo D. Francisco de Búrgos y Olmo : un tomo en octavo mayor. Sa que contiarestar no soio á un enímigo lleno de medios de ofen hallará en las librerías de I’az y Villareal á id rs. en rústica y I» dernos, y que trata de hacerlo con la premura que él mismo nos en pasta. EN LA IMPRENTA REAL. 1 &lt;</t>
  </si>
  <si>
    <t>Olozaga, Celestino</t>
  </si>
  <si>
    <t>Celestino Olozaga</t>
  </si>
  <si>
    <t>…la coincidencia de los dos sorteos, y el de la D. Leonardo Gil de la Cuesta. vara. sexra pane de la milicia actira que ya se hallaba hecho desde el año D. Pedro Sainz de Baranda. D. Celestino Olozaga. anterior en casi todos los pueblos ds la provincia , ha visto con satis D. Fusebic María Balbi. D Antonio Palacios. facción que hasta el dia de hoy quedan filiados en el batallón de Alca IX Ramón Casellas. D. Manuel Carnicero. lá de Henares 600 milicianos, y…</t>
  </si>
  <si>
    <t>Olozaga, Celestino de</t>
  </si>
  <si>
    <t>Celestino de Olozaga</t>
  </si>
  <si>
    <t>…directores los recibos de los Andrés Alcon, D. Miguel Hipa , D. Casimiro Martin , D. Lorenzo encardados, para que comprobándolos con los testimonios, justificación Calvo de Hozas, D. Celestino de Olozaga , D. Antonio Sandatio de y notas, los retengan, abonen á los pueblos su importe (incluso como Arias, D. Gonzalo de Cárdenas. va dicho el coste de la conducción.) , carguen á los encargados en las Habida la conferencia , declararon por unanimidad » haber lugar…</t>
  </si>
  <si>
    <t>OLser</t>
  </si>
  <si>
    <t>…erra con tropas para com estos beneméritos y valientes ciudadanos que tanto se distinguen binar operaciones con el ejército que sitia á Bahía___El tiaubt, por su amor á la patria. capitán OLser , que hacia viage de Gotemburgo á España, encalló — Con fecha del 17 de Marzo escriben de Santo Tomas: » La el 15 de Febrero, mas logró entrar el 24 en Aldenvaggen, sal corbeta i : -z, que salió de la Havana para Cádiz, se halla dete vándose el cargamento.” n…</t>
  </si>
  <si>
    <t>Olser</t>
  </si>
  <si>
    <t>…ertenecido como propiedades ra con tropas, para combinar operaciones con el egército que si particulares, sino en los casos y por los medios que ordenan las tia á Bahía—El Haabet, capitán Olser , que hacia viage de leyes: entendiéndose todo sin perjuicio de los derechos que Gotemburgo á España , encalló el 15 de Febrero; mas logró competan á la Nación acerca de la incorporación ó reversión de entrar el 24 en Alderwaggen, salvándose el cargamento” di…</t>
  </si>
  <si>
    <t>Omenzcan</t>
  </si>
  <si>
    <t>…de los oficiales de la brigada de Carab mros y miliperjuicio á las partes interesadas, y hará presente al Gobierno las que c a activa de Córdoba sublevados, y que se entregaron ai general Omenzcan su resolución , mayormente si hubiese mediado algún fraude, Donojú en Abecojar. ó qu ■ no sean di recibo las prendas que ios asentistas pretendan en Se nombró para individuos de la comisión que ha de presentar el tregar. proyecto de dotación del clero á los S…</t>
  </si>
  <si>
    <t>Omnipotente, Cons</t>
  </si>
  <si>
    <t>Cons Omnipotente</t>
  </si>
  <si>
    <t>…ón el que se hayan dejado sorprende* con una noticia falsa, en uno para tratar del bien general de las naciones, y rogamos al porque sabemos que proceden con sana intención ; y al Sr. Cons Omnipotente que los mantenga siempre en tan laudable unión , y titucional, que nos há dado pruebas de todo lo contrario, le de que repitiéndose la celebración de Los Congresos europeos, des</t>
  </si>
  <si>
    <t>Oms</t>
  </si>
  <si>
    <t>…aríamos tn pa." a en Viena, y que se hallaba en París desde el dia 6 de este mes, materia tirv delicada, si las razones que tenemos para hacer.o asi no salió el tq para Madrid. El Sr. Oms , ex-ipinistro d* España en Lon fuesen tan poderosas. dres , estiba también pronto para paitir ; peio una enfermedad grave le ha obligado i detenerse en Paris.__Ei Sr. Milliau está nombiado direc Lista de ¡as circularla, decretos frc. publicados en las caseta…</t>
  </si>
  <si>
    <t>Oña, Matías de</t>
  </si>
  <si>
    <t>Matías de Oña</t>
  </si>
  <si>
    <t>…s , 15 caballos y Se lu extraviado un documento de crédito perteneciente á ajustes en d .cinco muías cargadas de paños, es hasta ahora lo que hay recogido: aun servicio militar de D. Matías de Oña, capitán de llaves de la pljza de Cá se están haciendo los reconocimientos en un campo de tres leguas , y diz , señalado con el níun. 41,974 , y de importe 1919 rs. y 33 nrrs. Ls .no sé lo que resultará á mas de lo ya dicho. persona que lo haya encontrado se…</t>
  </si>
  <si>
    <t>One, Domingo</t>
  </si>
  <si>
    <t>Domingo One</t>
  </si>
  <si>
    <t>…engua inglesa á sus nuevos amigos, y nombrado el Excmo. ayuntamiento á los individuos siguientes: vinieron á ser fundadores de una colonia. D. Luis Gafgollo, D. Josef Vea-Murguia, D. Domingo One En 1797 fue cuando la sociedad de las misrones de Londres to. Suplentes. D. Francisco Antonio I.nrrasa , D. Tomas López empezó á pensar seriamente en introducir el cristianismo en las Calderón. Cádiz 13 de Setiembre de 1823 , año cuarto de la res islas de la Soc…</t>
  </si>
  <si>
    <t>Oñez, Josef Antonio</t>
  </si>
  <si>
    <t>Josef Antonio Oñez</t>
  </si>
  <si>
    <t>…el conde tiendo visto la cau:a seguida á instancia de D. Agustín Josef Mestre, ' de Floridablanca , D. Nicolás Cano de Luquo , D. Juan Fernandez Caboticario mayor de S. M., contra D. Josef Antonio Oñez , boticario sartego y D. Manuel González del Campo. Habida la conferencia, se en esta corte , por las proposiciones que vertió y estampó' dicho Oñez declaró por unanimidad n haber lugar á la formacionde causa.” contra el D. Agustín Josef Mestre et. el periódi…</t>
  </si>
  <si>
    <t>Onfíroy</t>
  </si>
  <si>
    <t>…barde dad, donde ya se han unido el vizconde de Barres y el coronel de sus soldados. Brouet, director de dicho parque. Todos los altos triunfos se han reducido á olfatear un al El caballero Onfíroy permanecerá algún tiempo en Tolosa: muerzo en la torre de Carol , y á mandar saquear la casa del está encargado de dirigir á Bayona las baterías de reserva y cer- cura de este lugar: esto es io que se podía esperar de un anti ¿a de 300 carros de artillería y…</t>
  </si>
  <si>
    <t>Onis</t>
  </si>
  <si>
    <t>…Ucañas y á El primer secretaiso de la legación , 7do fr__ Los tres segun todo el gran Priorato; pudiendo justamente gloriarse la villa de dos 490.—El duque de b. Lorenzo 2600__ El caballero Onis, Alcázar de haber sido ¡a primera que ha dado ejemplo á la pro ú’timo ministro en Londres, 1300—El Sr. Lema, cónsul gene vincia de la Mancha, llenando de consternación las tropas revo ral de España en esta capital, 5 o— El Sr. Bernetti, vice-cónlucionarias de…</t>
  </si>
  <si>
    <t>Ontiveros, Francisco</t>
  </si>
  <si>
    <t>Francisco Ontiveros</t>
  </si>
  <si>
    <t>…ón tí Sevilla. Para tratar sobre la distribución de la cantidad perteneciente á los CARRUAGES. Lstancias en el viage redondo Precio de la Costo del vía* acreedores del concurso de D. Francisco Ontiveros, pendiente en el juz regular á Se estancia, «e. gado del Sr. D. Angel Fernandez de los Rios, juez letrado de primen villa. K h&gt;. VI). Rs. va. instancia de esta heroica villa, y escribanía de D. Jacinto Gaona y LoeCalesín de una caballería...... 23 ss 1265 che…</t>
  </si>
  <si>
    <t>…marcado al NE. de la aguja, distancia de dos á. to crédito , que en favor del mismo resulta contra el c oncurso tres millas, deduce la estima hasti aquella hora desde la obser de D. Francisco Ontiveros. vada al medio dia , y halla que dicha vigía debe estar jo'1 Se halla vacante ta plaza de médico titular del partido de mas al N. de la situación que tiene en dichas cartas , esto Liévana , dotada en 83 rs. anuales, pagados por el ayuntamien es, en latitud de…</t>
  </si>
  <si>
    <t>Ontrina, Antonio</t>
  </si>
  <si>
    <t>Antonio Ontrina</t>
  </si>
  <si>
    <t>La misma era de parecer debia declararse no ser admisible el el extinguido consejo de Hacienda por los oficiales del mismo proyecto presentado por D. Antonio Ontrina , vecino de Ma- contra el marques de Malferit acerca de la reversión á Ja corona hon , para proveer de plomo á los arsenales. Aprobado. de la villa de Buñol y otros pueblos, opinaba que debia llevarse La misma , habiendo examinado la solicitud de Doña Manue á…</t>
  </si>
  <si>
    <t>Onver</t>
  </si>
  <si>
    <t>…o la proposición , con lo cuar podían proporcionarse recursos al licitaban D. Pee ro E-bre-as y V..a, v ot.e-s pi.meros p.-ct^s r Gobernó. Ai~d:&gt; que en ciuiilu la observación dei Sr. Onver aiumnos ce ¡a escuela n.iUtx.i de Arcns el. Ma.. conocía que era pr.-ia si las c.rvuiistar.c.as lucran otras 1 pero que be proceda a la d.scus.on del d.etur,. 11 de- la eomis on de ui ¡as actuales :;o deb.a atenderse s.au á piopote onar serven ros ai Agiieu.t…</t>
  </si>
  <si>
    <t>Or, Antonio</t>
  </si>
  <si>
    <t>Antonio Or</t>
  </si>
  <si>
    <t>…por espacio de alguno; minutos. Sin embargo, yo no sentí dolor en las orejas; pero mi compañero se ha leba lan incomodado, que nos Baso , D. Josef Manuel Erroz, D Angel Arteaga y D. Antonio Or vimos precisados á suspender el descenso por algunos instantes. Para dofiez han debido sufrir la pena de traidores que s.iiaia la ley 2.J, tít. a.°, remediar este accidente nos aconsejaron los trabajadores que tragásemos partida 7.J, y de consiguiente que la…</t>
  </si>
  <si>
    <t>Or, Francisco Herrera</t>
  </si>
  <si>
    <t>Francisco Herrera Or</t>
  </si>
  <si>
    <t>…tonio Pad¡il¿, Dan 1-iernando vir por la gracia de Dios y por ia Constitución di suplentes. la .vton.rrquí.: espjuoia, Rey de las Empañas, á lo.'o. lo, quejas pre Pur LI:ta&lt;nanga. D. Francisco Herrera Or ca’n, Joszf Bartolomé siones v.eren y ciuenditrcn , sabed; Que las Cortes cx;.'Jt;rd.narias han Zarate, Josef M ndoza , Tomas Mmd-z y Lachica , Francsso Agus decretado io siguiente: » La, Cenes exuaordinarias, usando de la facul tín Argot; , A’onso Cárdenas,…</t>
  </si>
  <si>
    <t>Or-, Nicolás</t>
  </si>
  <si>
    <t>Nicolás Or-</t>
  </si>
  <si>
    <t>…ar erudi virtud á repartir el residuo líquido que quede de la venta de ción y sabiduría, especialmente instruidos en las lenguas he aquella entre los interesados nombrados para el D. Nicolás Or- brea, griega y árabe , y que ademas ds su aprobación mereció tiZ en su testamento, bajo del que falleció. últimamente la del Emino. Sr. Cardenal de Borbon, arzobispo Los herederos fideicomisarios de Doña Juana deSoto y San de Toledo, previa censura de una nue…</t>
  </si>
  <si>
    <t>Oraá, N.</t>
  </si>
  <si>
    <t>N. Oraá</t>
  </si>
  <si>
    <t>…genio Arana, al gefe político da la provincia de Bilbao, y al co llevarán las diputaciones provinciales cuenta separada de los produc mandante de la columna móvil del 4.° distrito D. N. Oraá, que de tos del medio por 100. Art. 4.0 El Gobierno por medio de las diputa ben unirse hoy en Orduña , combinando los movimientos, se cousiga ciones provinciales hará liquidar las deudas que tuvieren contra sí los acabar de una vez con estas vandas, que tanto…</t>
  </si>
  <si>
    <t>Orcajada, Antonio</t>
  </si>
  <si>
    <t>Antonio Orcajada</t>
  </si>
  <si>
    <t>…e D. Nicolás-Compañé, trompeta de artillería volante ; por la mi ciones ó temblaban ante el poder, ó eran esclavas; y los representantes licia activa, en falta de heridos de ella, D. Antonio Orcajada , del re del pueblo español, firmes en la esperanza da rescatar su patria, forma gimiento de Soria; por todos los cuerpos nacionales de la milicia iocal ban el Código inmortal de nuestras libeitades. Este grandioso espectá voluntaria y legal y di la columna e…</t>
  </si>
  <si>
    <t>Orcullo, Juan</t>
  </si>
  <si>
    <t>Juan Orcullo</t>
  </si>
  <si>
    <t>…ada; D. Ver-tura Alisas , D. Josef Antorio Bimof D. Juan Antonio Loredo , D. Josef de la Cámaro , D. Manuel Ra El espíritu público cada día va mas en aumento; y pocos son los mos, D. Juan Orcullo , D. Josef Fernandez , D. Antonio Sola , Pon que se manifiestan indiferentes. Los partidos liberales se van aumentan Vicente y D. Avustin Eguia , D Juan Vicente Allomo , D. N re ,0 do cada día mas, y los serviles conocen su impotencia; pues aun cuan Camacho y…</t>
  </si>
  <si>
    <t>Orden, Josef</t>
  </si>
  <si>
    <t>Josef Orden</t>
  </si>
  <si>
    <t>…el clero. Dios guarde á V. E. Secretaría de Estado de los Negocios de Se levantó la sesión pública, y quedaron las Cortes en secreta. Justicia á 2 de Junio de 1823—linio, y*Excmo. Sr. Josef Orden da la plaza dd 9 al i o de Junio de r&amp;aj. Javier Mousinho da Silveira.rrjosef Antonio Guerreiro. Gefe de día el comandante del primer batallón de la milicia —Habiendo tributado los debidos elogios al zelo y actividad de nacional load de Sevilla D. Manuel Zapa…</t>
  </si>
  <si>
    <t>Orden-</t>
  </si>
  <si>
    <t>…puso demostrar Ja necesidad de conservar rl ministerio de la Gobernación, cmicluvando que d-bia aprobarse el dictamen. Cádiz 20 de junio. El Sr. Oliver apoyó las impugnaciones del Sr. Orden- de t, a plaza.=Guardia del Congreso y archi González Alonso, y fue de parecer que debía desa vo : M. JV. F".=Guardia de palacio.- Princesa y M. probarse el dictamen. n. r. : su jefe el segundo co'nandan'e del mismo Se declaró el punto suficientemente discutid…</t>
  </si>
  <si>
    <t>Ordmlez, Antonio</t>
  </si>
  <si>
    <t>Antonio Ordmlez</t>
  </si>
  <si>
    <t>…te, al concluir la altura dimos con al que hablan traído á Villaverde al general Rh.varr'. gunos de ellos, que sufrieron la muerte por las espadas de los que alia 6d Acompañado de D. Antonio Ordmlez y otros tres sugetos, vi íbamos: los mas ligeros pudieron atravesar un grandísimo barranco que sitó el día 20 de Junio ref-rido a! expresado g-nerel que estíbi en Alseguía, é intentaron hacerse fuertes del lado opuesto, de donde nos hi cobendas, vió que le ha…</t>
  </si>
  <si>
    <t>Ordofíez</t>
  </si>
  <si>
    <t>…n carta de Colombres del 18 último se refiere estaba el 4 en Antequ-ra con 930 caballos.” que las tropas de Campillo , Jauregui y Pa uea han escarmen » Se ha dicho que habiendo el comandante Ordofíez impues tado á los enemigos que intentaban invadir la provincia de As- to una contribución al pueblo de Jim-na por haberse dado en túrias._Afiád;se que de la de Santander acede ia juventud á él pruebas nada equivocas de poca adhesión al sistema constitu alisia…</t>
  </si>
  <si>
    <t>Ordoñez</t>
  </si>
  <si>
    <t>…ntonio de Luque,y Lobjrdo.=Sr. teniente general Caro, comandante de las tropas a D. Josef Rodríguez, comandante de una de ias paTtidas rea de S. M. Católica, en el alojamiento del Sr. Ordoñez. listas de caballería, quien con 20 de los suyos se irn-t ó á bor Cuyo contenido traducido del original se hace sab.r á todos do da uno de los faluchos, y ha continuado la expedición , que los Srcs. gefes, oficiales y demás individuos de clrsis militares, ha…</t>
  </si>
  <si>
    <t>Ordoñez, Antonio</t>
  </si>
  <si>
    <t>Antonio Ordoñez</t>
  </si>
  <si>
    <t>…, Su casi era el sitio en que conferenciaban los cómplices y á ia bao y en los periódicos de la corle, expresando que el primer remate se que asistían coma Ules D. Angel Arteiga; D. Antonio Ordoñez , mú verificará ante dichos intendentes, en cantidad cada uno de 33,400 sicos ambos de ia Real capilla; D. Fernando Cañizares, presbítero ira.eos ea los cuatro años, ó 8,350 anuales, expresando que el primer manchego (prófugo); D. Josef Manuel Erroz, capellán…</t>
  </si>
  <si>
    <t>…cedió á la discusión del dictamen de la comisión Espe Comandancia militar.—_E1 comandante general ha recibido cial encardada de proponer el dist.ntivo honor.fi co que debe con del coronel D. Antonio Ordoñez , comandante de. la columna cederse á los valientes de Valenc a por la gloriosa resistencia que .contra facciosos en esta provincia, un oficio con fecha j 3 de! ac hicieron durante el s.t.o de los facc.osos. tual , en que da parte que una partida de su column…</t>
  </si>
  <si>
    <t>Ordonneau</t>
  </si>
  <si>
    <t>…de S. Julián de Poulo ha queda conde Pedeport , el vizconde jamin, el vizconde Vasserot , el barón do vacante esta plaza, y para su provisión se admiten memoriales po( Berge , el barón Ordonneau ,’el conde de Meynadier, el barón Vin- término de 30 dias. cent , SchaetíVr, el barón Haber, el vizconde Vionet de Maringone, el Dirección general Je corrtot. conde Quinsonas, el conde d; Rastignac, el conde de Vittré.el barón El Excmo. Sr. secretario del Des…</t>
  </si>
  <si>
    <t>Orduña, Gil</t>
  </si>
  <si>
    <t>Gil Orduña</t>
  </si>
  <si>
    <t>…nto. Sacrificios hay fondeada "una fragata americana, y está haciendo víveres Las Cortes le- acordaron asi. con abundancia , teniendo ya á su bordo cerca de ocho millones de pe El Sr. Gil Orduña: Cuando la comisión Eclesiástica se ocupaba en sos , y que Itúrbide baja con toda su familia y oficinas. Lo que no tien* redactar el arreglo definitivo del clero se persuadió á que no se ba duda es que se ha echado sobre dos millones de pesos quo bajaban, y r…</t>
  </si>
  <si>
    <t>…la palabra el diputado De los empleados de las oficinas de Hacienda de la provincia de Moma y dijo, que iba á poner sobre la tr.esa una proposición, que Vigu , presentada por el, Sr. Gil Orduña. creía ser de a mayor importancia por ¡a conexión que tenia con ia £1 Sr. secretario del Despacho as la Gobernación de la Península seguridad pública en el actual estado de cosas; y habiendo resuelto el presentó el discurso que dirigía 0. M. á las Cortes para…</t>
  </si>
  <si>
    <t>…ste asumo. Creo pues que no debe La comisión segunda de Hacienda, en vista de la exposición admitirse la proposición. de Doña Juana y Doña Ramona Itúrbidc, y de los informes pe El Sr. Gil Orduña: Es cierto que el Gobierno al dar cuenta didos al Gobierno sobre el particular, era de op.nioa que las de la traición de un indigno español, manifestó también que en</t>
  </si>
  <si>
    <t>Orea</t>
  </si>
  <si>
    <t>…int-Pricst, ha sido al canzado el 14 en el valle de Oseja cerca de Puigcerdá: una de sus colum nas ha sido destruida: se le han hecho 600 prisioneros, entre los cuales se halla el general Orea con muchos oficiales. £1 día siguiente 15 ha.sido alcar zado de nuevo en el valle de Carol, y á la salida del posta que trae estas noticias se le habían ya cojido roo hombres, y el friego seguía muy vivo: se cree que no podrá llegar á la Seo de Urgel, jr ento…</t>
  </si>
  <si>
    <t>…las Rusias cerca de S. M. Católica llegó á esta capital el tíe aquí tos detalles circunstanciados del exterminio del 23 del corriente. El 25 se presentó á la Regencia de España é general Orea,y lá completa derrota de Mina efectuada el 14 Indias, á cuya inmediación se halla acreditado durante la cauti del corriente en las inmediaciones" d« Palau. vidad del Rby.sEI coíonel Bouthorün, ayudante de campo de Obligados los constitucionales á replegarse d…</t>
  </si>
  <si>
    <t>Orelíana, Antonio Salinas de</t>
  </si>
  <si>
    <t>Antonio Salinas de Orelíana</t>
  </si>
  <si>
    <t>…e y como cristiano. que el cónsul ingles ha sido insultado en el Prado por el popu Córdoba 18 de Octubre. lacho. Se dice también que la Regencia ha mandado notificar al El Coronel D. Antonio Salinas de Orelíana, Comandante General Morillo el secuestro de todos sus bienes (1). QTimes). militar de esta provincia, con fecha de 30 de Setiembre últimodirigió una proclama enérgica á los soldados constitucionales, FRANCIA. exhortándolos á abandonar unas banderas tiznadas c…</t>
  </si>
  <si>
    <t>Oria, Raimundo de</t>
  </si>
  <si>
    <t>Raimundo de Oria</t>
  </si>
  <si>
    <t>…crean con derecho á dichos bienes, para D. Victoiiano María Gallego, intendente; D. Ramón de Santiyan, que dentro del término de 30 días , comparezcan por si ó por medio diputado; D. Raimundo de Oria, diputado; D. Blas Joaquín de Cere de procurador con poder bastante á deducirle en dichos autos; con aper ceda , diputado; D. Salustiano Cabildo y Rebestido, diputado; Don cibimiento de que pasado dicho término sin haberlo verificado les pa Manuel Ramón Herre…</t>
  </si>
  <si>
    <t>Orihuehi, Josef López</t>
  </si>
  <si>
    <t>Josef López Orihuehi</t>
  </si>
  <si>
    <t>…se quejan de que son preferidas las esclavas, y estas Lluch, D. Bernardino Herrero, D. Juan Muros y Fernandez , y de que se las abandona á los zclos de sus amas. Si hace algún re D. Josef López Orihuehi; segundo comandante de infantería, galo á una de ellas , le da algún gusto, ó le permite ir al baño , al D. Saturnino Samaniego; teniente , D. Ramón Am.indi; subte instante quieren las demas lo mismo, y se confabulan para hacer niente, D. Lázaro I.oaiza; teni…</t>
  </si>
  <si>
    <t>Orioff</t>
  </si>
  <si>
    <t>…ables hay alli se van, dice el autor de la cai ta , y 3c quedan soios los efectos de las instituciones políticas. facciosos , tendremos diversión, y quedaran libres todos estos El conde Orioff procura valuar con. igual ¡ustica los efecto» pueblos. de la restauración «.¡ue podía v debía corregir ¡a» impetiv». —une» Los franceses de Murcia permitían á sus vecinos llevar víve de la anterior administración , e indica las causas que han contri res á Car…</t>
  </si>
  <si>
    <t>Oriol</t>
  </si>
  <si>
    <t>…: El general comandante de la primera división deben inspirar á los lectores, 110 dejaremos de observar que el al darme parte de haber hecho ejercicio de fuego el batallón 6. ° de conde Oriol! no ha omitido medio alguno para adquirir Jas no Enea , me manifiesta la aplicación que ha observado la tropa de ticias mas seguras. Este autor, bien diferente de aquellos extraneste cuerpo , cuya conducta me recomienda particularmente por geros presumidos ó…</t>
  </si>
  <si>
    <t>OrJo'ez, Antonio</t>
  </si>
  <si>
    <t>Antonio OrJo'ez</t>
  </si>
  <si>
    <t>…íi lia SE iii nto , u.-be ser ber sacar de sil,.* 'as slyyi ente» nolu'ir * i * ■ o la , yu » aui qu * a ¡ion se bu , d * he* ,t r. buena t ni u;c on , nur.a- 1-1 patriota coronal D. Antonio OrJo'ez , sabedor qu* pa*í di !¡ 1 *' ' ''"I V'diio ¡Ai'r.r r. ;i l ; i!*** » m |jnt-s i .i'vmmsr di montana d: 1 ^í,» *n.!o»Oí , .¡c.iudd..da y -r Juan M .ra, ¡.»;;ia . * r-’" ‘ ■ r 1 o , v » i» qiu / *, • r» .o‘i*.■ L.u *nc ia» ‘r*r-an hir&gt;. ,'mas: g undo que Vi •…</t>
  </si>
  <si>
    <t>Orloff</t>
  </si>
  <si>
    <t>…ayuntamientos de esta ciudad y la de S. Fernando para ser agre bernado; es y el estado de los gobernados. Este es e¡ motivo por gados á los cuerpos del expresado ejército. que el conde Orloff lia creido oportuno llamar la atención de los Segunda. El que por sus negocios ú ocupaciones quiera ser lectores con el cuadro que presenta de !a admir.Vtración de! rei eximido de este servicio, entregará en la depositarla de los respec no de Ñapóles durante…</t>
  </si>
  <si>
    <t>…nteramente.” tar de objetos menos importantes sin duda, pero mas agradables. Otras varias cartas se han recibido de Valencia, las cuales es- La tercera parte de las iv»,norial del conde Orloff comprende la tan contestes en que el espíritu de los pueblos de aquella provin- M -tnri,! . 'eraría del reino de Ñapóles, principiando desde vla se ha rectificado notablemente á consecuencia de la exacción aquella época remeta en que florecían tanto en la Gra…</t>
  </si>
  <si>
    <t>…nconar los partidos, 6 impedir el efecto de Orlnjf', senador del imperio de Iluda &amp;r.__Tradi.'cion. las med,das tomadas por S. A. R., 'por med.o de personalidades Me parece que el conde Orloff se ha aproximado á este mé inoportunas, va por lo tocante á las operaciones militares, como todo mas que sus antecesores , pues coloca los diferentes géneros por io que respeta á la pacificación de España y libertad de de ciencias y de literatura por un orden…</t>
  </si>
  <si>
    <t>Orna, Marcelino</t>
  </si>
  <si>
    <t>Marcelino Orna</t>
  </si>
  <si>
    <t>…consiguió que le diese permiso pa digno de elogio. Entre los bravos oficiales heridos lo fueron el ra celebrar públicamente el culto cristiano. comandante del batallón de Granada D. Marcelino Orna, el de A principios del siglo &gt;;vn fueron los dominicos , los francis voluntarios locales de S. Sebastian y Vitoria D. Miguel de Soroa, cos y los capuchinos á unirse con los jesuítas, y quisieron partir que murió á poco rato, y el general de ingenieros D. Rob…</t>
  </si>
  <si>
    <t>Oro</t>
  </si>
  <si>
    <t>…lle ballos de la Reina, mandados por el teniente D. Pedro López ]barre nó de emisarios y agentes pagados para extraviar la opinión del pue- ta, formé una columna, que al mando del comandante Oro tomó la b o, y todas las arnias:eran lícitas y permitidas en manos de estos Vanguardia, y yo seguí con el Test» de la división. El teniente Don diestros seductores como pudiesen contribuir á su fin. Pero los progre Pablo, bornearte , agregado provisionalmente…</t>
  </si>
  <si>
    <t>Oro, Antonio</t>
  </si>
  <si>
    <t>Antonio Oro</t>
  </si>
  <si>
    <t>…que estaban destinadas para oprimirlos, y que particularmente Juanito sufre del coronel de Pablo y comumliDte J-s hab&lt;nn hecho ya sentir el peer, y el rozamiento ds sus eslabones? D. Antonio Oro , que por indisposición del coronel de Jáuregui le su Las calumnias mas atroces, las imposturas mas evidente» , los insultes, cedió en el mando. El coronel D. Sebastian Arana se aproximó á San las pérfidas maquinaciones, y basta la guerra civil introducida y…</t>
  </si>
  <si>
    <t>Orona, Joscf</t>
  </si>
  <si>
    <t>Joscf Orona</t>
  </si>
  <si>
    <t>…uestro gobernador ha publicado un bando en que manda : La conrv.on de Guerra opinaba que se accediese ala soheitud i.° Toda persona que desde este dia se entretenga en esparcir de D. Joscf Orona , subteniente dc.miheia activa, p’diendo pa directa ó indirectamente noticias melancólicas, ó en extraviar con sar con igual grado ai ejercito permanente. Aprobado.</t>
  </si>
  <si>
    <t>OrSla</t>
  </si>
  <si>
    <t>…Regencia del Reino. cunstancias. A.i que, señores radicales y liberales, sírvanse vmds. defen Parts 6 de Agosta. der su mala causa con otras armas menos prohibidas; y si no di El doctor OrSla hizo en la sesión del 13 de Abril de la remos que no quieren vmds. la libertad sino pata insultar y de academia Real de medicina, la relación de los medios que ha nigrar al nyindo entero. bía empleado contra la excesiva infección de un cuerpo enter rado hacia…</t>
  </si>
  <si>
    <t>Ortafá, Fernando</t>
  </si>
  <si>
    <t>Fernando Ortafá</t>
  </si>
  <si>
    <t>…acia y Justicia se ha servido el Rey Alt. 2.0 Las disposiciones del artículo precedente son exten expedir el decreto siguiente, con fecha n del actual. sivas en iguales términos a D. Fernando Ortafá, D. Tadeo Ca« En la amargura que aflige mi Real ánimo al contemplar lomarde, D. Víctor Damian Saez presbítero, D. Juan Bautista el cúmulo de males que el maquiavelismo sin egemplo del Go Erro, D. Josef García de la Torre, D. Luis María Salazar, D. bierno fran…</t>
  </si>
  <si>
    <t>Ortega</t>
  </si>
  <si>
    <t>…y á las cuatro salió en la diligencia para To’.osa , acompañado del personas, confederádose y convenídose en matar alevosamente á S. E. general Fieire, del coronel Martínez y del Sr. Ortega , secretario d; Ja el marques de Wellcsley , virey de Irlanda.” regen-ra. _ El ministro español duque de S. Lorenzo , dice el Diario de ios de- Se asegura que esta ha recibido instrucciones secretas de i a mayor tnfes, ba alquilado otra casa ; noticia que ent…</t>
  </si>
  <si>
    <t>Ortega, Francisco Piqueras</t>
  </si>
  <si>
    <t>Francisco Piqueras Ortega</t>
  </si>
  <si>
    <t>…puntos de esta línea ni en lo» TRIBUNALES. de la parte del valle de Aran, Organa y Oliana ocurre por hoy cosa que sea digna de la consideración de V. E. El tiempo es cada día mas Don Francisco Piqueras Ortega, teniente del regimiento infantería riguroso; pero estos valientes lo desafian con valor y constancia, man de Guadalajata, y fiscal en la causa que se sigue contra el paisano Pedra teniéndose día y noche sobre las armas en observación de los facciosos Jos;í,…</t>
  </si>
  <si>
    <t>Ortega, Manuel</t>
  </si>
  <si>
    <t>Manuel Ortega</t>
  </si>
  <si>
    <t>…mañana siguiente hace et decano un discurso para «cor general de E. M. Montes, su segundo el capitán de arf Hería tar á los cardenales á que trabajen seriamente en la elección del D. Manuel Ortega, y el capitán de granaderos del 5,8 de línea, Papa. En el mismo dia se procede á la elección, y los cardena antes segundo de la Princesa, que mandaba la infantería, inspira les se reamen en la capilla de escrutinio sin dejarlo por mañana ban todos enteramente…</t>
  </si>
  <si>
    <t>Ortega, Tiburcio</t>
  </si>
  <si>
    <t>Tiburcio Ortega</t>
  </si>
  <si>
    <t>…an sus ayudantes de orde dinario. ) nes y oficiales agregados al E. M. de la división de su mando co ronel D. Pedro Rolando, capitanes D. Domingo Espinos.-?, NOTICIAS DE ULTRAMAR. D. Tiburcio Ortega, el adicto al E. M. D. Francisco Maria BATALLA DE MOQCF.GUA. Valle, y el teniente D. Josef Carrillo, quienes se ocuparon Parte Je! .SV. centra: en gefe. dignamente en su deber durante la acción , condujo sus tropas Excmo. Sr.: En el parte de la brillante vict…</t>
  </si>
  <si>
    <t>Ortes, Antonio</t>
  </si>
  <si>
    <t>Antonio Ortes</t>
  </si>
  <si>
    <t>…des de cialmente acaba de saber por cartas y paisanos que vienen de Allos españoles que se hallan en las provincias de Ultramar disiden geciras que el comandante general del Campo D. Antonio Ortes , que debía prorogarse por un año mas el art. 4.0 del decreto dofiez salió el 26 á las once de la noche con 300 hombres para de 8 de Noviembre de 1822. Quedó aprobado. atacar á los facciosos en S. Roque , como Jo verificó al rayar el La comisión de Agricultur…</t>
  </si>
  <si>
    <t>Ortigosa, Valentín</t>
  </si>
  <si>
    <t>Valentín Ortigosa</t>
  </si>
  <si>
    <t>…puesto de los seño motivo de la expedición que algunos aventureros intentaron contra Puerto— res siguientes: lCico din la vela del departamento de Cartagena en 23 de Noviembre del D. Valentín Ortigosa , D. Marcos Antonio Mcnczo, D. Cayetano Ro aro ultimo con destino á cruzar en aquellas aguas, fondeó en el lirismo mero, D. Nicolás Alcrsz», D. Juan Luqui:, D. Joaquín Manrique , Don puerto ei 14 dei siguiente mes; y enterado su comandante el capúan de Juan F…</t>
  </si>
  <si>
    <t>Ortiz</t>
  </si>
  <si>
    <t>…En su vista se reunió el jurado , compuesto de los señores si Valladotid en cabeza del mismo.__Otro en cabeza de Francisco guientes : D. Pelayo García Zoniila , D. Mat as Pindla, Don Ortiz de 68,147 mrs., situados en las sedas de Granada__ Tres Luis de Mata Araujo, D. Arias Gonzalo de Mendoza, D. jo juros en el Almojarifazgo mayor de Sevilla de 1010 rs. 2 mrs. sef Merelo, D. Francisco López O.avarrieta, D. Faustino Fer de renta en cabeza de Jua…</t>
  </si>
  <si>
    <t>Ortiz, Ana</t>
  </si>
  <si>
    <t>Ana Ortiz</t>
  </si>
  <si>
    <t>…os, al teniente coronel D. Pedro Nogues, y á los ca La comisión primera de Legislación, en vista de una solicitud pitanes D. Francisco Palacios y D. Félix Combé, y á los tenien de Doña Ana Ortiz , casada en segundas nupcias, vecina de Ba tes D. Ramón Casulá y D. Josef Vidal; á las inmediatas ór za , pidiendo que se le permitiese continuar en la tutoría de ut* denes de S. E. los tenientes coroneles D. Vicente Dasder y Don hijo menor que tenia de su pr…</t>
  </si>
  <si>
    <t>Ortiz, Antonio Vicente</t>
  </si>
  <si>
    <t>Antonio Vicente Ortiz</t>
  </si>
  <si>
    <t>…co Fernandez Gaseo. El Sr. Zulueta presentó una proposición, reducida á que las Cortes Ministerio de Hacienda. mandasen que el Gobierno diese las órdenes convenientes para que las Don Antonio Vicente Ortiz, alea d: constitucional del lugar de diputaciones provinciales procedan á la convocación de electores para Manuel, provincia de Jítiva, ha acudido i S. M., por conducto de el nombramiento de individuos de la junta directiva del Crédito públi aquel intendente,…</t>
  </si>
  <si>
    <t>Ortiz, Francisca Ramona</t>
  </si>
  <si>
    <t>Francisca Ramona Ortiz</t>
  </si>
  <si>
    <t>…, t*:rut:nh jtereto , se ve que la Cons A la comisión de Visita del Crédito público se mandó pasar titución* lo que pide es que haya una votación secreta absoluta una instancia de Doña Francisca Ramona Ortiz, como curadora mente , y esto es io que ha entendido !a comidoa, en lo cual lia de su hijo, sobre el pago de una pensión que disfruta este. fundado su dictamen. Una de ¡as razones que »e ha alegado en Continuó la discusión del dictamen de la comisión primera…</t>
  </si>
  <si>
    <t>Ortiz, Francisco</t>
  </si>
  <si>
    <t>Francisco Ortiz</t>
  </si>
  <si>
    <t>…provincial mediato se presenten á tratar lo conveniente para la junta general respectiva; d hiendo acreditar por testimonio de otros españoles que se ha de celebrar en seguida, á D. Francisco Ortiz, en ]a calle comprometidos acérrimos decididos. de D. Pedro, núm. 3, cuarto 2.0, todos los días desde las tres . 8.° Los sueldos y prest de cada clase, modo de percibirlo, y de la tarde en adelante. demas consiguienteá su asistencia, protección y sigilo, debe…</t>
  </si>
  <si>
    <t>Ortíz, Miguel Garda</t>
  </si>
  <si>
    <t>Miguel Garda Ortíz</t>
  </si>
  <si>
    <t>…estriba la conservación de la libertad portugue del Valle y Llera , D. Lázaro de Élcjalde , D. Manuel María sa igualmente que la española. El Congreso nacional lusitano no Mateu , D. Miguel Garda Ortíz, D. josef Pérez Torrova, puede ignorar esta importantísima verdad, y los portugueics co D. Jos'f de Resurta, D. Josef Dionisio de Ugarte, D. josef meterían el mas craso y mas funesto error en política, si sepa Pascual de Guillenea, D. Josef María Miranda, D.…</t>
  </si>
  <si>
    <t>Ortiz, Nicolás</t>
  </si>
  <si>
    <t>Nicolás Ortiz</t>
  </si>
  <si>
    <t>…y Orosco, fita. Teresa , S. Juan de que esta en lo antiguo perteneció á D. Pedro Sobrevida, y la Cruz, el V. Avila, Rívadeneira &amp;c. Habia después el tra después fue adjudicada ai D. Nicolás Ortiz, sucesor de su di ductor de la singular actividad con que de 10 ó 12 años á esta funta muger Doña Josefa Rebina, con la carga y responsabilidad parte se hacen crecidas reimpresiones de versiones antiguas cas* fianza de los citados 48,259 rs. en favor de dicho…</t>
  </si>
  <si>
    <t>Osarrio, Francisco</t>
  </si>
  <si>
    <t>Francisco Osarrio</t>
  </si>
  <si>
    <t>…o, por llevar consigo, comgidicftdjcho periódico, Carro, D. Josct Erroz, D. Jorge Crespo, ÍD. Anroniq OrdqT el carácter de la verdad y. de 1.a banquera militar; y por ser tan ñez, D. Francisco Osarrio y D. Agustin Escudero, procedentes larga .arntjinos no poder imertaria toda por dhoiyra-peio no podeds la causa de Burgos. .... mo^dejar.de publicar el párrafo siguiente: general, dici, Don Salvador Escandon, brigadier, de Astürij?; D.' Fían- „d.dja._i4 nuestra vanguardia, alcanzó…</t>
  </si>
  <si>
    <t>Oset, Francisco</t>
  </si>
  <si>
    <t>Francisco Oset</t>
  </si>
  <si>
    <t>…........ 8400 D. F rancisco Garoz y Zayai D. Agustin del Rio. Alféreces, capitanes. ’J D. Gerónimo Argentó IX Antonio Carcer. IX Agustin Maria de Várgas. Tenientes efectivos. 7200 D. Francisco Oset.................. Jdem teniente } Sargento primero con} D. Luis Torcellinos. . .....................Jgrado de capitán y sueldos Teniente supernumerario, según el art. 13. 6840 Idc teniente........................... ) D. Juan Ruiz Apodaca....................…</t>
  </si>
  <si>
    <t>Osma, Joaquin de</t>
  </si>
  <si>
    <t>Joaquin de Osma</t>
  </si>
  <si>
    <t>…a izquier fueron ejecutadas á toda mi satisfacción por el incansable zelo del da, era indispensable abandonar aquel puesto, so pena de com brigadier y comandante de la propia arma D. Joaquin de Osma. prometer yo el ejército infructuosamente. Enceste estado, y reunidos los demas materiales que requiere nn La evacuación del pueblo se hizo del modo mas ordenado y sitio bajo todas las reglas establecidas en el arte militar, marchó el sin ninguna pérdida, y l…</t>
  </si>
  <si>
    <t>Osma, Miguel de</t>
  </si>
  <si>
    <t>Miguel de Osma</t>
  </si>
  <si>
    <t>…l enemigo , procedieron con la mayor bizarría; señora del Fort, mandadas por dicho capitán , el de ’a misma cla y no puedo, sin faltar á la justicia, recomendar á V. S. á ningu se D. Miguel de Osma, v los subtenientes D. Juan Maza y Don no particularmente , pues todas las tropas se portaron con mucho Manuel Lacerda , cubriendo el costado derecho de la posición el valor, y de las que no entraron en acción se vela en sus caras el lar ilion 13 dr línea al…</t>
  </si>
  <si>
    <t>Oso-, Antonio</t>
  </si>
  <si>
    <t>Antonio Oso-</t>
  </si>
  <si>
    <t>…pérdida , .v no Ha entrado en este puerto la corbeta española de guerra aparentaban mejora, pues se contaba con mas remesas. Ei bacalao Aretusa, su comandante el teniente de navio D. Antonio Oso- ú tres duros quintal.__Las tropas de Canterac estaban á unas q.o rio , de la Coruña en tres dias con cinco millones de reales. leguas en fuerza considerable , y había recelos de que tomasen po Comandancia militar. sesión. Pisco y los puertos de la parte del S…</t>
  </si>
  <si>
    <t>Osorio, Bernardo</t>
  </si>
  <si>
    <t>Bernardo Osorio</t>
  </si>
  <si>
    <t>…senda nombrada de Madrid ij de Diciembre. los Metedores, tierras del convento de Dominicos de dicha villa Atendiendo el Rey nuestro Señor á los méritos, servicios y y olivares del Sr. D. Bernardo Osorio, tasado sin incluir su fru conocida adhesión á su Real Persona , y demas circunstancias de to en 104,800 rs. Item una casa-cortijo, nombrado el Salinero, D. Gonzalo Martínez, Administrador de la imprenta Real, se con sus albergues, tinglados y demas, sito en…</t>
  </si>
  <si>
    <t>Osorio, Francisco de Paula</t>
  </si>
  <si>
    <t>Francisco de Paula Osorio</t>
  </si>
  <si>
    <t>…conde de! Abisbal, no 'menos activo, hace cuanto Península á D. Alanuel García Herreros, y para el de Marina á está de su parte porque al fin se conserve ileso el honor nacional, D. Francisco de Paula Osorio, que debería desempeñar interina y triunfe mas tarde ó mas temprano la justa causa de nuestra in mente el de la Gobernación de Ultramar. dependencia. No parece sino que á estos tres generales los domina Se declaró comprendida en el art'culo roo del reglamento…</t>
  </si>
  <si>
    <t>Osorio, Josef</t>
  </si>
  <si>
    <t>Josef Osorio</t>
  </si>
  <si>
    <t>…aros el estado de nuc-stios negocios en el exte gravemente herido el valeroso teniente del regimiento de mi mando rior. A mf me tocaba del berar; lo he Jucho con. detenimiento} he D. Josef Osorio de bala de fusil, de las varias que disparaban de los consultado la dignidad de tni corona, el honor y la seguridad de la parapetos y zarzales donde se atrincheraban en la huida, y ademas dos Francia. Somos franceses, señores, y siempre estaremos acordes para…</t>
  </si>
  <si>
    <t>Osorio, Joseí</t>
  </si>
  <si>
    <t>Joseí Osorio</t>
  </si>
  <si>
    <t>…rdias D. Benito Diez Canseco y D. Francisco Garoz, de la plana mayor, y el teniente guerra y de la desolación. Vitoria i.° de Febrero de 18ig.=Gre¿orio del regimiento de na¡ cargo D. Joseí Osorio , sostenidos por la compa Piquero Argiielles. ñía de cazadores del mismo cuerpo, á las órdenes ríe! teniente D. Ma El Gobierno ha recibido parte del comandante general interino de nuel Di, y 10 miñones de Vitoria y Bilbao al mando del bizarro te este distrito…</t>
  </si>
  <si>
    <t>Osorio, Lr.mcbeo</t>
  </si>
  <si>
    <t>Lr.mcbeo Osorio</t>
  </si>
  <si>
    <t>…ntento de aca •aveat que me habéis hecho con ios demas secreta'ios de Estado bar con la revolución en su origen, haciendo desaparecer para y del Despacho D. Salvador .Manzanares , D. Lr.mcbeo Osorio, siempre los motivos que la produjeron , que no fueron otros que í&gt; Joref María Cnlatravq, D. Juan Antonio Yandiola , Don la falta de seguridad pura la propiedad y para las personas, y ía Manuel d - la Puente y D. Francisco Fernandez Golf.in, encarga-, de aqu…</t>
  </si>
  <si>
    <t>Ostolaza, Blas</t>
  </si>
  <si>
    <t>Blas Ostolaza</t>
  </si>
  <si>
    <t>…o de Estado, opinaba que no habia inconvenien concedido por el art 2=° del decreto de Julio último, habia or te en que las Córtes recomendasen al Gobierno á este indivi denado que D. Blas Ostolaza, D. Nicolás Santiago Rotalde, duo, para que con arreglo á sus méritos y aptitud le coloque. D. Domingo de la Vega, D. Félix Mejía, D. Benito Morales, Aprobado. D. Leonardo Perez, D. Josef Spínola, D. Ramón Ceruti, Don Se leyó la siguiente proposición del Sr.…</t>
  </si>
  <si>
    <t>Osuna, Fernando</t>
  </si>
  <si>
    <t>Fernando Osuna</t>
  </si>
  <si>
    <t>…ente y otro de gravedad, quedando en su La misma en vista de una solicitud de Doña Teresa Marrano poder seis caballos con sus monturas y equipages, con cuya pre para que á su hijo D. Fernando Osuna se le dispense del; deppsi-</t>
  </si>
  <si>
    <t>Otermin</t>
  </si>
  <si>
    <t>…el 31 de Mayo último , y de los que no se Continuó ¿a discusión del dictamen sobre ¡os poderes presentados hubieren presentado en Cádiz hasta el 30 de Junio &amp;c. ; ” expuso por el Sr. Otermin. en seguida que debía prorogarse el término que señala la comi El Sr. Suarez: Dos son los principales defectos por jos cua sión porque si no esta ley tendría un efecto retroactivo , y pichó' les opina la comisión no deben aprobarse los poderes de que se por ú…</t>
  </si>
  <si>
    <t>Otermin, Agustín</t>
  </si>
  <si>
    <t>Agustín Otermin</t>
  </si>
  <si>
    <t>…rzos para salvarla de la Por noticias oficiales (dice c-1 tumi. g.° ) que dirige el Sr. gefe tiranía que sufre. Comprometido el nombre español , ptFcrando político de Huancaveíica coronel D. Agustín Otermin , se sabe la libertad que nos garantiza el Código fundamental , v expues que el caudillo Quita s que en los .Andes pudo escapar con algu to el estado á los fuertes vaivenes de la tirar, a extrangera , a todos nos de! Sr. Carratalá, y del bizarro comandante ri…</t>
  </si>
  <si>
    <t>Otermin, Agustín de</t>
  </si>
  <si>
    <t>Agustín de Otermin</t>
  </si>
  <si>
    <t>…igualmente en el destino de los cuerpos á las provincias y el poder presentada por el Sr. diputado electo por la misma y guarniciones que convenga sin atender mas que al mejor ser D. Agustín de Otermin, presento su dictamen sobre este asunro, vicio nacional. manifestando en él que en su examen habia encontrado varias in g.° No se darán por ahora las licencias absolutas á los cum exactitudes . tales como la de no celebrársela elección en el tiem plidos. po q…</t>
  </si>
  <si>
    <t>Otero, Santiago</t>
  </si>
  <si>
    <t>Santiago Otero</t>
  </si>
  <si>
    <t>…iente D. Manuel Mena de Aguel y el 2 Aproximaciones de 3000 n. para lo* subteniente del segundo D. Luis Fons, estuviesen prontos para mar char á las órdenes del segundo comsndante D. Santiago Otero, 5 ex dos números anterior y posterior al pre mio de 500,000 rs.................................. 6,000. traer los joD rs. de multa, según el eitado oficio; y en efecto esta sec ción marchó á las once de la mañana , y presentándose en dicha villas a Idem de 1…</t>
  </si>
  <si>
    <t>…de D. Cirilo María Pascual, teniente virán dirigiflas á la gaceta Española á Sevilla desde el 12 de del mencionado cuerpo ; y el centro al del comandante segundo Abril. del mismo D. Santiago Otero. En esta disposición se emprendió Otra. Para mayar comodidad del público de Sevilla se ad el ataque con la mayor bizarría haciéndolo á la bayoneta, y la mitirán suscripciones para ls gaceta Española en la plaza de la caballería sable en mano, arrollando cuant…</t>
  </si>
  <si>
    <t>Otiolini</t>
  </si>
  <si>
    <t>…yasabeis que la comisión signias de la suprema orden del toison de Oro por medio ds su gentil esta constantemente unánime). (Risas á la izquierda.) Mr. Hyd- de hombre de Cámara el conde Otiolini, que ha recibido á su partida la Neuville, repito, os ha dicho que juntamente con ía comisión pedia orden Real y militar de S. Mauricio y b. Lázaro. la exclusión por un año solamente- (Murmullo ca contra á la iz Genova 25 de Febrero. quierda. ) El nuevo Emper…</t>
  </si>
  <si>
    <t>Oudiaot</t>
  </si>
  <si>
    <t>…auta, que procedente de los Bancos-Falsos lo demas dei ejército no puede estar listo anís del ao ó del 25. ([Brasil) en 71 dias, y de Fern3mbuco en 43 , llegó á Sag- Harbor, »» El mariscal Oudiaot, que manda el primer cuerpo de egército , ha s- sr.hs que en Fernarnbuco reinaba la mayor confusión. El capitán del establecido su cuartel general en S- Juan de Luz; ha visto con indig bergantín dinamarqués Mercurio le dijo el 5 de Diciembre que R¡onación la…</t>
  </si>
  <si>
    <t>Oudinot</t>
  </si>
  <si>
    <t>…es, y gantín la Felicidad, cargado de municione* y de un puente. En la no la perciben solamente un corto número de personas , cuya vista perspi che del mismo día llegó i Bayona el mariscal Oudinot; y la munici caz puede seguir el curso de los acontecimientos, y notar las alteracio nes sucesivas. Cuando ya se han reunido ¡os datos necesarios para co palidad ha publicado un bando para que los habitante esten prontos á nocer et carácter y la tendencia de…</t>
  </si>
  <si>
    <t>OufFroy</t>
  </si>
  <si>
    <t>…ército. El teniente coronel Bos- monio tan atroz. quette está en Madrid con otro mando igual; el comandante de « Dónde están las 449 personas encarceladas por asuntos po~ batallón caballero OufFroy ha quedado en Bayona cerca del co Uticos? Puede que no ¡leguen á tanto número todos los españo ronel Bronet, director del parque general, el cual no tardará les que con buena y con mala intención se alistaron en el íatal en ejecutar su movimiento y salir para…</t>
  </si>
  <si>
    <t>OUvarriet, Francisco López</t>
  </si>
  <si>
    <t>Francisco López OUvarriet</t>
  </si>
  <si>
    <t>…n rehusar que fuese en provecho de los españoles; $). Tadeo Perez. D. Luis Peceto de Andrés. y desde entonces ha visto comprobado de mil modos que estos deseos D. Josef Rodríguez. D. Francisco López OUvarriet»., eran la voluntad general, sin la cual mal pudieran haber llevado á ca D. Arias Gonzalo de Mendoza. D. Mariano Goycoechea. bo su loable empresa una porción de hombres valientes sobre toda D. Pedro Bustes. D. Juan Rodríguez Guillen. ponderación , pero en cor…</t>
  </si>
  <si>
    <t>Oüver</t>
  </si>
  <si>
    <t>…que todos se hallan declarados que las leyes señalan para el caso de estos allanamientos debió en este estado. ' haber propuesto-otros; y yo no dudo que muchos Sres. diputados El Sr. Oüver contestó que no estaba declarada en estado de se retraerán de votar este ártículo por sola esta razón, y aun creo guerra toda la monarquía, sino algunos distritos-, y ques á la co que c! Sr. Castejon fundará su voto particular en ella misma. misión le habla p…</t>
  </si>
  <si>
    <t>Ouzman, Rafael</t>
  </si>
  <si>
    <t>Rafael Ouzman</t>
  </si>
  <si>
    <t>…co se enganchan en el cuerpo de los Juan Pedro Quijana, letrado y tefe político interino de la pro mamelucos ; y aunque estas tropas no tienen instrucción ni dis vincia de Toledo; D. Rafael Ouzman el Bueno, coronel retira ciplina, se compensa esta desventaja con su valor, con el de sus do residente en esta ciudad ; D. ¿Modesto Cortázar , juez de pri gefes, y con la falta de artillería y municiones que tienen sus mera instancia de Burgos; Don .Viamiel J…</t>
  </si>
  <si>
    <t>OVA, DIKECCrON CESBRAL BE LOTERIAS NACI</t>
  </si>
  <si>
    <t>DIKECCrON CESBRAL BE LOTERIAS NACI OVA</t>
  </si>
  <si>
    <t>…los que los ultras han decretado en ¡a Cá según las intenciones de ese ministerio uaal seguro y trémulo’ Digan mara. los ultras que el ministro de la Guerra es enviado a ser mayor general DIKECCrON CESBRAL BE LOTERIAS NACI OVA L E. del egército en castigo de su inactividad; aun cuando el remplazo de En ¡a extracción de la primitiva lotería nacional rgecctada en la otros gefesyel arresto de un general no mostrasen claramente que no es tarde de hoy han salido por el mismo orden coa q…</t>
  </si>
  <si>
    <t>Ovaíle</t>
  </si>
  <si>
    <t>…l austriaco no llalla compradores en Inglaterra , por Si. Seivato , 4 el Sr. Salva, : ei Sr Ierre: ¿ D. JoaqumN : el que es imposible que aquel Estado tenga crédito después que se Sr. Ovaíle, y uno respectivamente los Sve» Tomas . Ra e d. !a llan reducido ( con arreglo á un convenio según se dice) a tres Vega, Alaran . Galiana . Ar-uFics, Ad.ineio v IVdr.tlvez 1 no millones y medio los 18 que estaba debiendo .1 los ingleses; y habiendo reunido n.…</t>
  </si>
  <si>
    <t>Ove</t>
  </si>
  <si>
    <t>…la Constitución, pues por esta toca so la provincia, podía suspender al comandante general , ai gobernalo á las Corles interpretar las leyes, y a los tribunales correspon dor , al intendente Ove.; añadió que la restricción que se le pomade su aplicación ; por lo mismo concluyo desaprobando el artículo. de hacerlo con acuerdo de la diputación provincial seria un cor EL Sr. Varóla hizo presente al Congreso que podía llegar el rectivo sino fuese individ…</t>
  </si>
  <si>
    <t>Oviedo, Agustín de</t>
  </si>
  <si>
    <t>Agustín de Oviedo</t>
  </si>
  <si>
    <t>…autoridades, asi nal local de Sevilla , á la» &lt;ird»nos del coronel primer comandan civiles como militares y eclesiásticas , de cualquiera clase y digni te de dicha milicia activa D. Agustín de Oviedo. dad , que guarden y hagan guardar , cumplir y ejecutar el presen Parada la Reina , Infante D. Culos v in'l c'.¡ nacional de Se te decreto en todas sus partes. Terdreislo entendido para su cum villa , y el demas servicio v y irruí :a» ¡o ceta...ido. plimiento…</t>
  </si>
  <si>
    <t>…que tenia á su cargo, lie venido en cia nacional local de Sevilla á las órdenes del coronel de la mili habilitar á D. Francisco Javier Pinilla, oficial mayor de la mis cia activa D. Agustín de Oviedo—Pavada la Reina , milicia ac ma, para el despacho de los negocios de ella , hasta que se presen tiva y la nacional de Sevilla; el demas servicio y patrullas lo de te á servirla el nombrado en propiedad D. Josef Alaria Calatratallado—Guardia al Congreso y arch…</t>
  </si>
  <si>
    <t>Oxit.veros, Francisco</t>
  </si>
  <si>
    <t>Francisco Oxit.veros</t>
  </si>
  <si>
    <t>…den del Rey nuestro Señor, y dedicada á su Entre loa acreedores reconocidos al concurso que en el año Real Persona , constara de rolos tres tomos en 4.0, que para su de 1802 formó D. Francisco Oxit.veros, vecino qu. fue de esta mas cómodo uso podsán d v dirse en seis volúmenes: cada uno corte, y profesor de arquiteauraen ella , se comprendieron Don de ios d&lt; s del Nuevo Testamento constaran de unas 400 pág¡. Cristóbal Cabrero, D. Ped o Antonio Fernandez Rriuz…</t>
  </si>
  <si>
    <t>Ozore, Nicolás de</t>
  </si>
  <si>
    <t>Nicolás de Ozore</t>
  </si>
  <si>
    <t>…rse en mármoles y bronces: serán para su satisfacción. el mejor ornamento de U historia de muchos siglos, y para siempre qu-daiSn grabadas en los corazones de todos los espigóles. D. Nicolás de Ozore , capitán del regimiento de infantería AUNQUE COMO INDIVIDUO PARTICULAR PUDIE Imperial Alejandro expedicionario, ha hecho donación a be RA CONSENTIR EN MI TRASLACION, NI MI CON neficio del Rey nuestro Señor de los sueldos devengados en CIENCIA NI EL INTERES D…</t>
  </si>
  <si>
    <t>O’Donell, Carlos</t>
  </si>
  <si>
    <t>Carlos O’Donell</t>
  </si>
  <si>
    <t>…e en algunos de es Marcq para la capitanía general de Valencia, y para la de Cas tos puntos: un pliego de marca mayor: su precio 20 rs. vn. Se tilla la Vieja al de la propia clase D. Carlos O’Donell. hallará en el Depósito hidrográfico, calle de Alcalá. La plaza de Tarifa ha capitulado, y las tropas que la soste Vista de la ciudad de Cádiz, con el plano de la bahía, su* nían han sido desarmadas y dirigidas a la villa de Moron á re contornos, campamentos…</t>
  </si>
  <si>
    <t>O’Higgins</t>
  </si>
  <si>
    <t>…182g.raBernanio ü’iliggms.mMariar.o Egana.” nas , pero acaso no lo sera Unto para la tranquilidad interior de Este decreto se leyó inmediatamente ai público, y el mis -Méjico. mo Sr. O’Higgins proclamó al nuevo Gobierno; se quito la ban En S de Abril decretó* el Congreso mejicano: da, que es la insignia del supremo Poder en Chile, la puso en i.° Que no ha existido derecho alguno para obligar á la namanos de los elegidos , y habiéndoles recibido el…</t>
  </si>
  <si>
    <t>O’neill</t>
  </si>
  <si>
    <t>…l quería y Blanc, al tenienteGrenier, al subteniente de granaderos Cazeau aprovecharse su general para impedir después que pudiese el y al sargento Boucaul. En el 37.0 de línea al coronel O’neill y esemigo volverse á sus atrincheramientos. al comandante da batallón Barrn. En el 34.a al coronel de FaEn Puerto Real una compañía de granaderos y otra de ca rincourt, al capitán de cazadores Barbette , á los tenientes Motzadores del 3Ó.0, después de haber e…</t>
  </si>
  <si>
    <t>P'ernando</t>
  </si>
  <si>
    <t>…dirigirme con fecha de hoy el decreto ejecutar el presente decreto en todas sus partes. Tcndreislo enten siguiente ; dido para sil cumplimiento, y dispondréis se imprima, publique D. P'ernando vn por la gracia de Dios y por la Constitución y circule. = Está rubricado de la Real mano. de la Monarquía Española, Rey de las Españas, á todos los que Y lo traslado á V. de orden de S. M. para su inteligencia las presentes vieren y entendieren, sabed: Que…</t>
  </si>
  <si>
    <t>P, Francisco de</t>
  </si>
  <si>
    <t>Francisco de P</t>
  </si>
  <si>
    <t>…se aten madura; D. Tomas Jener, que loes por h de la Hilvana; Don día ; los consultores de cirujía en lo relativo á su facultad á lo que francisco Javier Isturiz, por la de Cádiz; D. Francisco de P.n.'a se previene á los de medicina en los alternos 36 , 37, 38 , 39, de Soria , por la de Granada; D. Dionisio Valdes, por la de 40 v 42 del mismo capítulo. Art. 16. Los cirujanos mayores Madrid; D. Antonio Martínez de Vckbco, por la de Burros, tambán igualmen…</t>
  </si>
  <si>
    <t>P, J.</t>
  </si>
  <si>
    <t>J. P</t>
  </si>
  <si>
    <t>…ulos que le las principales festividades del año: un tontito en 8.° á 3. rs. Se prodigan los facciosos los adquirió con la mas negra traición. vende en la librería de Rodríguez. » D. J. P., encargado de Negocios de España en Lisboa, que Relación histórica de la batalla de fas. platerías, por el au riendo revolucionar á Portugal, se dirigió á Manuel Fernandez tor de los Arístides modernos. Folleto «1 8.° á 13 cuartos.Vén Tomas, y este vendió su…</t>
  </si>
  <si>
    <t>P, Josef</t>
  </si>
  <si>
    <t>Josef P</t>
  </si>
  <si>
    <t>…renta, á excitación del Evcmc. Sr. ge.fe po d rigido ¡as mayores fuerzas por Cobeta hacia Sigiienza ó Medinaceli, lítico de esta provincia , denunció al Sr. alcalde constituc onal D. Josef P:o S’endo lo mas esencial dirigir V. E. la marcha para aquellos puntos. Ayer de Molina el núm. 4.0 del folleto titulado Embrollos diplomáticos, como Uc.uc á esta villa, donde adquirí noticias de las muchas partidas que ya sedicioso en primer grado. hab an pasa…</t>
  </si>
  <si>
    <t>P, Jtisr.f</t>
  </si>
  <si>
    <t>Jtisr.f P</t>
  </si>
  <si>
    <t>…icando á medida que baya proporción de fondos. D. Manuel Loprz Concia. D. Valentín Recio. Juicios de jurado. D. Pciayo Zorrilla. D- Eugenio Aravaca. D. Francisco Aceval y Arratia. D. Jtisr.f P.rez Atórales. EISr. D. Francisco de Iribarren denunció en 8 del corriente un ar D. Francisco López Cotana. D. Manuel E.teban Caula. tículo que empieza:» Vamos a dar principio á las semblanza,'* , inserto D. Josef España. D. Antonio Gamonal. «a el 'periódico tu…</t>
  </si>
  <si>
    <t>P, Mateo</t>
  </si>
  <si>
    <t>Mateo P</t>
  </si>
  <si>
    <t>…577, de valor 20 958 rs. y 6 mis—Un libramiento ñor general en g fe del tercer egército de operaciones.” de intereses d- vaies , registro 2, núm 25, de i.°Ei rodé 1822, á favor de D. Mateo P.-reZ , da [083 rs—Otro id., registro 3 , número7BRCER kgercito de oi’ERACioNits—Orden general del 7 de Ahí!. 40,3 favor de D. F’abfo Ibafi. z , de 4813 rs, y 18 mrs—Otro id., La infantina se dividirá por ahora en dos divisiones, y cada una registro 4, núm. 45…</t>
  </si>
  <si>
    <t>P, Santiago</t>
  </si>
  <si>
    <t>Santiago P</t>
  </si>
  <si>
    <t>…isión de Godizo de procedimientos militares manifestó) io útil articulo roo del reglamento, y si ser primera lectura. que seria continuase agregado a ella ei capitán de artillería D. Santiago P¿Se aprobó el dictamen de la comisión de Diputaciones provinciales íieiro, ínterin el Gobierno no dispusiese darle otro de,tino. sobre la queja dada por la de Málaga respecto del sorteo para el reempla Las Cortes accedieron á esta petición. zo del egército: la…</t>
  </si>
  <si>
    <t>Pa, Joaquín María</t>
  </si>
  <si>
    <t>Joaquín María Pa</t>
  </si>
  <si>
    <t>…. Duque del In Instituciones del Derecho español , escritas por los Dres. Aso fantado la rehunda que ha hecho de ¡a Presidencia dé Castilla, v Manuel, corregidas-y adicionadas por D. Joaquín María Pa para que pueda dedicarse exclusivamente, como ló ha propuesto, lacios—Introducción al estudio del derecho patrio, dado á luz ál arreólo ¡de la Guardia ReaL, que S. M. se ha dignado con por el mismo autor: obras útiles á todos los profesores de juris fiarle. ,…</t>
  </si>
  <si>
    <t>Pa, Justo Josef</t>
  </si>
  <si>
    <t>Justo Josef Pa</t>
  </si>
  <si>
    <t>…rrespondencia á Tarancon , guiados los facciosos por un mal que tiene suspensa á toda la Europa. Ya se señalan los generales que español de Saelices que anda con ellos, y se llama D. Justo Josef Pa han de venir á hacernos la guerra, y parece que son Oudinot, Lauris- lero. El escuadrón de Calatrava ba regresado de la expedición que le ton, Marmont y Victor. Los dos primeros no estuvieron en España cometí, y hace dos horas se ha incorporólo á la columna.…</t>
  </si>
  <si>
    <t>Pa-z, Juan Miguel</t>
  </si>
  <si>
    <t>Juan Miguel Pa-z</t>
  </si>
  <si>
    <t>…alguna exaltación el anterior sistema , cedió dó 1). Josef ds Ansa; para las de togados á D. Guillermo de Var cil y virtuoso á la persuasión de que nuestra sanca religión re gas, D. Juan Miguel Pa-z de la Cadena, D. Diego Marta Va- prueba ias venganzas, y de que seria ofender a! Rby en su mas ditlos, D. Joaquín Sistemes, D. Francisco Qucvedo y Bueno y. apreciable prerogativa el tomarse la justicia por su mino , y pri D. Josef Salvador López del Pan; para…</t>
  </si>
  <si>
    <t>Paadin, Francisco de Paula</t>
  </si>
  <si>
    <t>Francisco de Paula Paadin</t>
  </si>
  <si>
    <t>…ución española y portu ción ia causa formada en viitud de Real orden al intendente suspenso guesa y contra las prtlensiones de la Francia, y se echaron muchos de aquella provincia D. Francisco de Paula Paadin , por atribuirle ex brindis sobre ti mismo tema. cesos en ¡as obligaciones de su empleo. Con presencia de elu y de lo El Sun anuncia , fundado en una autoridad , que la Opinión actual expuesto por el Sr. fiscal, se ha servido dicho supremo tribunal en del Gab…</t>
  </si>
  <si>
    <t>Pabla</t>
  </si>
  <si>
    <t>…a Ley vindicada, que se publicó en Cádiz; y reuni detener su marcha : si le alcanzóle atacaré, y espero batir la parte que do el jurado en 11 del corriente, Compuesto de los Sren. D. Pabla se detenga, pues la división que el general Velasco ha traído ds Ara Mateu , D. Felipe de la Puente, D. Domingo Sartachaga, D. Anto gón se halla animada de los mas ardientes deseos de sacrificarse por nio Martínez de Posada, D. Nicolás Furto, D. Juan Martínez…</t>
  </si>
  <si>
    <t>Pablo</t>
  </si>
  <si>
    <t>…d de la patria ; y uno ms votos á los de este gefe ble objeto de reforzar á Bicigahipi, y estar dispuesto para batir al ene en la recomendación que hace de! comandante de Sigü'nza D. Pablo migo al dia siguiente, &gt;!■ como era de presumir salía de ios cotillos á .Bacigalupi y del benemérito batallón que manda, asi como de ios desostener ¡i avenids de los que estaban en C*&gt;tJlvó. Cuando después de . mas individuos que se han distinguido entre los…</t>
  </si>
  <si>
    <t>…6 por too. Se aprobó el dictamen de la comisión de Legislación sobre que se con Art. 4.0 « Que los intereses estipulados y vencidos hasta 31 de Di ceda á D. Julián Chacón, hijo de D. Pablo, vecino ele Villacuñas, per ciembre de 13 21 se paguen en papel con interes; pero desde 1.“ de Enero miso para administrar sus bienes. de 1822 delscn pagarse del modo prevenido en el artículo 6° del decreto ele La comisión segunda da Hacienda presentó su dict…</t>
  </si>
  <si>
    <t>…a Habiéndose reunido en la casa de Socorro de la ciudad de rán las medida» mas decisivas y eficaces para lograr tan sagrado Cádiz el jurado de calificación, compuesto de los Sres. D. Pablo objeto, en el cual estriba la conservación de la libertad portugue del Valle y Llera , D. Lázaro de Élcjalde , D. Manuel María sa igualmente que la española. El Congreso nacional lusitano no Mateu , D. Miguel Garda Ortíz, D. josef Pérez Torrova, puede ignorar…</t>
  </si>
  <si>
    <t>Pablo, De</t>
  </si>
  <si>
    <t>De Pablo</t>
  </si>
  <si>
    <t>…los Acontecimientos que veamos lo que alguna de su fuerza, padeeió algún desorden. menos se espera. La poucia francesa tiene mucho que hacer, y el Entre tanto salió de Pamplona el coronel De Pablo, que aca ejército no poco que expurgar si todo ha de ser ultra. Han ar baba de llegar con un convoy, y tomando alguna fuerza mas de restado á un edecán de Guíileminot, á quien parece que encon la guarnición salió sobre Villaba, donde también se empeñó con tra…</t>
  </si>
  <si>
    <t>Pablo, Francisco</t>
  </si>
  <si>
    <t>Francisco Pablo</t>
  </si>
  <si>
    <t>…haya sido Comandante de una brigada déla 18 .* división empleada en el blo diputado á cortes en las dos últimas legislaturas, ni tampoco los. queo; y de la otra parte el Brigadier D. Francisco Pablo de la Secretarios del Despacho, Consejeros de Estado, Vocales del Peña , comandante militar de la provincia de S. Sebastian, Go supremo tribunal de Justicia, Comandantes generales, Gefes bernador de la plaza dej mismo nombre y del castillo de la Mo políticos,…</t>
  </si>
  <si>
    <t>Pablo, Joaquín de</t>
  </si>
  <si>
    <t>Joaquín de Pablo</t>
  </si>
  <si>
    <t>…de medicina de Madrid , á x rs. en justicia ,que alcanzan hasta el 22, he sabido que la sección del man en rústica. Reglamento de los colegios militares de Alcali; , Valladodo del coronel D. Joaquín de Pablo se puso en marcha el 19 desde las lid y Granada , en 4° marquilla , i Ú rs. en rústica. Respuesta á las Cinco Villas de Aragón , persiguiendo de cerca á los cabecillas Ladrón objeciones hechas contra el proyecto de un trage nacional para ias da y Jucnito, y q…</t>
  </si>
  <si>
    <t>…momentos de crisis para el El Exento. Sr. general en gefe con fecha de 17 del actual me dice lo mundo político: no importa. Nuestro regocijo será el mismo : nuestras siguiente: El coronel D. Joaquín de Pablo, comandante de la coluro' demostraciones patrióticas adquirirán un valor inmenso por las cir na de la derecha del tercer distrito militar, con fecha de ayer me dice cunstancias que rodean i nuestra Nación. desde Monreal lo que copio. Después de una marcha for…</t>
  </si>
  <si>
    <t>Pablo, Juan</t>
  </si>
  <si>
    <t>Juan Pablo</t>
  </si>
  <si>
    <t>…ncia como enviado de Napoleón, decidieron eo, calle dé Carretas, esquina á la Puerta del Sol: en las libre á S. M. á ir ai encuentro de un supuesto aliado, á quien sus cie rías de D. Juan Pablo, calle de Atocha; en la de Fuentes, calle gos adoradores daban los títulos de generoso, grande y omnipoten de h Almudena; en la de Minntria, calle de Toledo; en la Red te. A esta crítica situación llamamos ahora nosotros á los necios de S. Luis, tienda de loz…</t>
  </si>
  <si>
    <t>Pacha</t>
  </si>
  <si>
    <t>…de i82 3.=rSermo. Sr.esMelchor Trabado.cerfedro las del Archipiélago paguen al Estado las mismas contribucio Perez.erjosef Gonzakz.seLuis Ocaña.=Isidro Arias Valdés.se nes que el capitán Pacha exigía de ellos. Carlos Zamora.erBernardo Trabado.reTomas Cipriano de Hat- En este instante se nos anuncia que toda la parte de la Te mosilla.erjosef Rodríguez Maqueda, escribano de ayuntamien salia , comprendida entre el golfo de Volo y el Monte-Osa, to.” ac…</t>
  </si>
  <si>
    <t>Pachc-co</t>
  </si>
  <si>
    <t>…iales.” En la votación para vice-presidente quedó elegido el Sr. Se til Sr. Canea: I.a comisión se conforma con esta modificado a deño por 67 del total 12 r .habiendo tenido 14 el Sr. Pachc-co, El Sr. Dice: Ale he opuesto á la totalidad del proyecto que 11 cada uno de los Sres. Falcó y Alcántara , 3 el Sr. Nuñez se discute, poique estoy persuadido de que es un equivalente d (D. Toribio), 2 cada uno de Jos Sres. Tomas , Pedralvez, Reh d&gt;.l derecho d…</t>
  </si>
  <si>
    <t>Pacheco</t>
  </si>
  <si>
    <t>…ontinuó la discusión del dictamen de la comisión de Visita de nes , en que dij ron había incurrido el Sr. Canga. Crédito público sobre la proposición de varios Síes, diputados. El Sr. Pacheco: Si todos los empleados públicos hiciesen lo que el El Sr.-Viilanueva: Uno de los argumentos mas fuertes que se han clero quiere que se haga con él, es decir, que se le dé lo absoluta hecho contra e! dictamen de la comisión de Visita es que no tenia fa mente…</t>
  </si>
  <si>
    <t>…dir esti autor ración , de que no ia!i t ( i). Gisildo ). necesita , con arreg.o á las lacuttades que tiene por la ConsMucior. 1 &gt;« M. N. L. V. de B jar, presentada y leída por el Sr. Pacheco. Dice el dictamen de ¡a comisión que si C» circunstancia» retiren D í :: r. ndinte y d inas empleados de la Hacienda pública de Ma que el Gobierno mude de residencia, lo haga poniéndose de atu rdo la, 1 ; riel primer batallón de la Princesa; del ayuntamiento,…</t>
  </si>
  <si>
    <t>…su imperio , no» destruyamos y proporcionemos nosotros mismos esta tai 104. triunfo í los enemigos de nuestras glorias! ¡Será que nosotros hagamos En cuarto lugar quedó elegido el Sr. Pacheco por 61 votos, repar buenas las imposturas de los tiranos del Norte , y que justifiquemos sus tiéndose los restantes en esta forma: 16 el Sr. Becerra, 4 el br. Vareinicuos proyectos de sojuzgarnos! No, gaditanos: no suceda semejante la, 2 el Sr. Lasala, 2 el S…</t>
  </si>
  <si>
    <t>…elegidos ocupa dia se instaló la convención preparatoria , á que convocó el direc ron sus respectivos asientos. tor por su decreto de 7 de mayo del presente año. El director se El Sr. Pacheco presentó una exposición firmada por mas de presentó en la convención con todas las corporaciones; y toman 300 ciudadanos del Puerto de Sta. María, ofreciéndose á hacer la do el asiento de presidencia pronunció una arenga, dirigida á ex guerra adonde se les de…</t>
  </si>
  <si>
    <t>…amente electos ocupa troducidas desde los puertos amenazados por las tropas enemi ron sus respectivos asientos. , gas á los libres, entendiéndose por amenazados aquellos de que El Sr. Pacheco presentó una exposición de mas de trescien el enemigo diste 30 leguas ó menos.” tos ciudadanos del puerto de Sta. María, ofreciéndose á hacer la. Art. g.° &gt;5 Los buques que hagan los trasportes expresados guerra donde se les destine por el Gobierno , y de los…</t>
  </si>
  <si>
    <t>Pacheco, Felipe de Oini</t>
  </si>
  <si>
    <t>Felipe de Oini Pacheco</t>
  </si>
  <si>
    <t>…uo de la suciedad Doña Isabel de Nebe. Otro da 4224 mrs., situado en l.i rema general Helvética de tiendas naturales &amp;c., según se halla en ¿a Biblioteca de pescados, en cabeza de D. Felipe de Oini Pacheco. Otro de 113,500 universal. mrs. , situado en la rema de millones de Toledo, en cabeza de Don Entre las muchas aplicaciones de las ciencias á las artes , una de las Gaspar Muñoz. Y otro de 50081 mrs., situarlo en cuatro uno por ico mas notables ¿ importantes…</t>
  </si>
  <si>
    <t>Pachiarotti</t>
  </si>
  <si>
    <t>…anejado , sean de la clase que fue fca-ta el ar inclusive; en ellos se bailan enjre otras cosas dos partes del sen , y procediendo contri ellos egecutivamente ante ¡os tribunales. comandante Pachiarotti que publicaremos. Art. 10. » La comisión clasificará á los acreedores en esta forma: Lérida r¿ de Enero. Mequinenza continúa bloqueada por el solo j.° de mero trabajo personal: zP acreedores forzados por embargos y punto de Escarpe, Torrente y Masalcoretg , p…</t>
  </si>
  <si>
    <t>Pachiarotti, Josef</t>
  </si>
  <si>
    <t>Josef Pachiarotti</t>
  </si>
  <si>
    <t>…la libertad de las naciones. htítts de la monarquía absoluta; se le haría presente su lenguage hos Idem 18. til y amenazador hasta la reunión del Congreso de Verona , y después El comandante D. Josef Pachiarotti ha dado parte en este día it tktsta época sus reticencias, sus tergiversaciones., U dimisión del du- Sr. gefe político y segundo comandante general del distrito de que los yi! de Montmorency ,y su negativa á firmar una circular que se veía cabecillas Garagol,…</t>
  </si>
  <si>
    <t>Padilla</t>
  </si>
  <si>
    <t>…s dé Cádiz: tengamos algunos días de paciencia, y sabremos inmediatas del general Gómez, el mismo que batió Morillo en entonces á qué atenernos. (Monitor ) j81700 la Margarita. E! almirante Padilla había anteriormente Idem 25. forzado la entrada del lago de Maracaibo el 8 de Mayo para Por un parte telegráfico s. ha sabido U muerte de S. S. el cooperar con él, y había embarcado en Mopopo al general Man Papa Pío vii, ocurrida ¿el 20 dcá cemente á ias seis…</t>
  </si>
  <si>
    <t>Padilla, Antonio</t>
  </si>
  <si>
    <t>Antonio Padilla</t>
  </si>
  <si>
    <t>…e aquella, vo cuento Con vucvito* cs!usr/o» v vir férez del regimiento de Sagunío y cuaimd.inte de mis ordenan tudes, asi como vosotros d ivo contar c.o el z.io y dec:.-’on de zas D. Antonio Padilla , tres soldados de zapadores , uno de As vuestro conciud.id.!"o v re1-.’ pu.it cu. — Laice.ona ir de .Mayo turias y otro de Borbon con do-, caballos. de 1823.ere 1 i1 rando Je Pu..on.</t>
  </si>
  <si>
    <t>Padres, Francisco Mi-</t>
  </si>
  <si>
    <t>Francisco Mi- Padres</t>
  </si>
  <si>
    <t>Primera» al mando del mariscal de campo D. Francisco Mi- Padres de familia , habitantes pacíficos de esta capta!, perma ians, se compondrá de los cuerpos siguientes: segundo batallón de neced tranquilos, unidos y sumisos como hasta aqiii á la voz de Africa, primero de Zamora, regimiento infantería de línea de la autoridad…</t>
  </si>
  <si>
    <t>Paez</t>
  </si>
  <si>
    <t>45°do satisfechos de la conducta de aquellos en esta ocasión, pues r.o cos dias ( 1El general Paez se hallaba entre aquella plaza y i* han hecho mas que acreditar la reputación que han adquirido, ts ciudad de Valencia con 5400 hombres , de modo que estaba decir , de haber hecho tan sedo la guerra á los pueblos desarma enteramente sitiada, y se le habían co…</t>
  </si>
  <si>
    <t>Paitoemaux</t>
  </si>
  <si>
    <t>…- Un diputad» elocuente y patriota, im ción á que lo» ultras lian re,h;c:do i »u pal; ia Tarece adema» que ct »e: ce &gt; Tu- pugnando la opimon que parece i.vtic sobre este punto el Sr. Paitoemaux, l’artoune.nix r.o comprende á la Ingiiteria en ci cata .o; o ce i.i» e rana y mejor informado que el, apelo al testimonio de la conciencia de su* y V i-CTJ t il VC7 pxllcjllu CsUl* ioh Utis'ait *C Uii-Jí adversarios; pero la conciencia de los ultras na vale…</t>
  </si>
  <si>
    <t>Paitoutieaux</t>
  </si>
  <si>
    <t>…medio de cof.sccuulo: La Ir.iat.rra r.o encierra en si ti genr.sn de estrados en hispa..a , y Otros que les auxilian con su firji.su patriotismo en reto.lición , como av.-gura ei Sr. Paitoutieaux , s.r.o que en Uta ln.nc m tro lo interior del pa-s. no la libertad , apocado en el corazón y cu la virtud de sus i:.¡o». Lo» (4) Parece que el orador entiende tamo de gloria y de L-»rr como tras tienen su diccionario particular, y »u» ideas son ditarer.tc» d…</t>
  </si>
  <si>
    <t>Paitrainir</t>
  </si>
  <si>
    <t>…e aprueba en teoría. En vano dirá el ministerio: &gt;&lt; {Cómo queréis que la Francia se meta imprudentemente en una guerra que acabará de A las 9 de la noche del 18-dió parte el mismo comandante Paitrainir su comercio ya entorpecido, y su industria que v» declinando chiarotti desde Caldes de Mombuy de que había marchado con direc de un modo manifiesto ? ¡Con qué cara se ha de pedir á un pueblo que ción á Castelltersol , en donde se hallaban, los cabecillas que…</t>
  </si>
  <si>
    <t>Pala, Cirios</t>
  </si>
  <si>
    <t>Cirios Pala</t>
  </si>
  <si>
    <t>…e habla mucho de una mudanza de ministerio! ¿Quién duda pues,Gobierno interior proponía en primer lugar á D. Eusebio López Po lo , oficial de la secretaría de Corres; en segundo á D. Cirios Pala que si llegase i verificarse esta mudanza, y ocupasen las sillas otras per cio, administrador principal de rentas de la provincia de Calatayud, y sonas con menos patriotismo que las actuales que las ocupan, podiiau en tercero á D. Manuel'Velasco, teniente del…</t>
  </si>
  <si>
    <t>Palaben, Juan</t>
  </si>
  <si>
    <t>Juan Palaben</t>
  </si>
  <si>
    <t>…vanta esta en gefe del cuarto cuerpo del ejército español, el mariscal de cam su voz majestuosa , y llegan las revoluciones al término que de po D. Pedro Mendez Viga, el brigadier general D. Juan Palaben tener para que cesen. rea, todos los coroneles y demas oficiales, los empleados civiles Dia llegará, y ¡ojalá na esté lejos! en que será un crimen en y militares, los médicos, cirujanos y todas las tropas de infante un escritor público recordar pasados extrav…</t>
  </si>
  <si>
    <t>Palacfn, Juan</t>
  </si>
  <si>
    <t>Juan Palacfn</t>
  </si>
  <si>
    <t>…y eti Ma que mas se necesitase, encargando la derecha al mando del capi drid por año 176 rs., por Seis meses 88 , por tres meses 44 , y tán de la milicia racional activa de Cuenca D. Juan Palacfn, por mes 16.' sostenido por 30 caballos de Alcántara, mandados por su capitán: - Nota. Loa tribunales, juzgados &amp;c., que en virtud de de la izquierda con la compañía de cazadores y 20 caballos de los cretos dirigían sus providencias á la gaceta de Madrid, se…</t>
  </si>
  <si>
    <t>Palacio, Cirios</t>
  </si>
  <si>
    <t>Cirios Palacio</t>
  </si>
  <si>
    <t>…que las actuales que las ocupan, podiiau en tercero á D. Manuel'Velasco, teniente del regimiento de infamen» acaso abusar de aquella autorización ? de Fernando 7.quedando elegido D. Cirios Palacio por 8z votos De Paris, señores , escriben que no debemos temer á las bayonetas extrangeras sino al oro que se ha puesto en marcha para corromper álosde 110. Se procedió i la elección de un inverventor entre los Sres. D. Ma incluios, y hacer que estallen consp…</t>
  </si>
  <si>
    <t>Palacios, Francisco</t>
  </si>
  <si>
    <t>Francisco Palacios</t>
  </si>
  <si>
    <t>…ef Leglisi y Pinedo. D, Miguel de Nájera. En palacio á 19 de Marzo de 18 23.=A D. Mariano Egca.” D. Marceliano Torio. El conde de Oñate. D. Vicente Segurado. D. Antonio Puiduiiés. D. Francisco Palacios. D. Manuel Zulueta. La diputación provincial de Madrid, en cumplimiento de los decre D. Joaquín Lumbreras. D. Manuel Conchillos. tos de las Cortes de 5 de Eneio y 8 de Febrero últimos, que tratan ds D. Martin de Navas. £&gt;. Sandalio Arias. la formación de la m…</t>
  </si>
  <si>
    <t>…da vista semejante Josef Asuero, D. Juan Bautista Javat, D. Pelayo Zorrilla , Don cuadro de desolación; pero al ver i la puerta de vuestros hoga Josef Radon , D. Joaquín Ceballos, D. Francisco Palacios ,Don res los mismos invasores, al verlos disfrazados con la misma Miguel de Nájera y D. Pedro Sainz de Baranda. De estos, í máscara de hipocresía y política, al contemplar el misterioso excepción del Sr. Javat, que lo calificó de sedicioso en segundo velo con…</t>
  </si>
  <si>
    <t>…y D. Do opinaba que debía repartirse. Aprobado. mingo Mateos, al teniente coronel D. Pedro Nogues, y á los ca La comisión primera de Legislación, en vista de una solicitud pitanes D. Francisco Palacios y D. Félix Combé, y á los tenien de Doña Ana Ortiz , casada en segundas nupcias, vecina de Ba tes D. Ramón Casulá y D. Josef Vidal; á las inmediatas ór za , pidiendo que se le permitiese continuar en la tutoría de ut* denes de S. E. los tenientes coroneles D. Vicente Dasder y…</t>
  </si>
  <si>
    <t>Palacios, Leandro</t>
  </si>
  <si>
    <t>Leandro Palacios</t>
  </si>
  <si>
    <t>…oleta colombiana El y enera! Santander, explicaciones antes de quejarnos abiertamente de sus procedi procedente de la Laguna, y trac a bordo .1 D. Josef María Salazat mientos. y á D. Leandro Palacios; el primero ministro colombiano cerca » Debe tenerse presente, contesta el comodoro Porter, que de los Estados-Unidos, y el segundo cónsul general. la ley para reprimir las piraterías se dictó en 26 de Diciembre 11 as ni ¿ton 6 de Aiato. de 1822. En 14 de Feb…</t>
  </si>
  <si>
    <t>Palacios, Manuel</t>
  </si>
  <si>
    <t>Manuel Palacios</t>
  </si>
  <si>
    <t>…alida que aho W, á la izquierda, que era el punto mas descubierto , mandé for ra mismo, me es indispensable emprender en p-./sei.uir sus restos mar una auerrilía á las ordenes del teniente D. Manuel Palacios, no me permite dirigir á V. E. una relación exacta, corno cor y del subteniente D. Juan Antonio Martínez dei batallón de responde , de ¡o acaecido e-n este día; pero io liare tan luce o co Araron con tropas del mismo, y para sostenerle el capitán del rno pued…</t>
  </si>
  <si>
    <t>Palafcx, Josef</t>
  </si>
  <si>
    <t>Josef Palafcx</t>
  </si>
  <si>
    <t>…tó que eran dignos de atención los oficiales A la comisión de Guerra se mandó pasar una exposición del capi que permanecieron en palacio, y contuvieron la tropa insubordinada; tán general D. Josef Palafcx, haciendo varias observaciones sobre la pues á no haberlo hecho asi , acaso hubiera salido aquella en auxilio resolución de las Cortes relativa al aumento de compañías de ala de los batallones del Pardo cuando trataron de invadir á Madrid, en barderos. cuyo c…</t>
  </si>
  <si>
    <t>Palarea</t>
  </si>
  <si>
    <t>…primido por el • andalisino revolucionario, se Habiendo habido nuevas conferencias, ’os generales Roselló cantó en su igles.a un solemne Te Deum en acción de gracias, y y Vigo, el brigadier Palarea, cuatro coroneles, iris t nientes se celrbróm sa de pontifical con sermón por el ilustrísimo señor coroneles, 144 oficiales de todas graduaciones y 1164 soldados D. Fr Domingo de SilosMoreno, obispo de Canaten, con asis se han entregado prisioneros de'guerra,…</t>
  </si>
  <si>
    <t>…mismos términos, suplr* rerle. atacar,-pidió capitulación /-conforme á la cual .los genera jándole se,uniese y tomase el tpando de una y . otra divi-s.on, les: RoseUó y y ¿go , el brigadier Palarea, 4 coroneles, 6 te pues él se ponchia desde luego bajo sus órdenes ;,,pero habíén- nientes coroneles » 144 oficiálésbde-'toda*, graduaciones y (254 {¡ole contestad», que de ningun.mo.do quebrantóla*: la' capitula» sargento» y soldados se hall entrando prision…</t>
  </si>
  <si>
    <t>Paleé</t>
  </si>
  <si>
    <t>…tornar las instituciones que nos ricen , ¡que derecho tiene para dada por la comisión de Visita &amp;c.” que se guarde con él tales consideraciones • Yo siempre sere el A petición del Sr. Paleé) se preguntó si set ¡a nominal la vo primero en desear que el clero este bien dotado, para quitarle de tación, y se acordó por la negativa. este modo ei falso pretexto ele su incongruidad cuando ataca el A petición del mismo Sr. diputado se leyeron los artícu…</t>
  </si>
  <si>
    <t>Pallera, Antonio</t>
  </si>
  <si>
    <t>Antonio Pallera</t>
  </si>
  <si>
    <t>…on el Teniente de navio D. Josef Maestre, á quien ordinarios y demás capitulares y oficiales de los Ayuntamientos encargó el mando de la María Francisca, y al Teniente de fra gata D. Antonio Pallera, que tomó el de la Carabobo; y yendo de los pueblos del reino. él mismo en persona, consiguió, después de pasar á bordo de ellas El Capitán de fragata da la Real Armada D. Angel Laborde, dos noches de trabajo y fatiga , verlas fondeadas en el puerto. comandan…</t>
  </si>
  <si>
    <t>Pallete, Bsltasar</t>
  </si>
  <si>
    <t>Bsltasar Pallete</t>
  </si>
  <si>
    <t>…Catalina y barón de Krsobre una avanzada , hacen dos prisioneros, y el valiente patriota in ruz, de los cazadores d: Calatayud y sus tres comandantes, de los ofi tendente interino D. Bsltasar Pallete se apoderó de cinco ó seis fusiles ciales retirados y patriotas que se presentaron en este fuerte á defender y una caja de guerra: al mismo tiempo que esto sucedía parte de una la Constitución , haciendo mención honorífica en este número del juez compañía de…</t>
  </si>
  <si>
    <t>Pallete, Domingo</t>
  </si>
  <si>
    <t>Domingo Pallete</t>
  </si>
  <si>
    <t>…e atrae nara ¿1 el mayor número de contribu Se halla vacante la plaza de médico titular de la villa de Cehegin,yente» ;y;por consecuencia deben quedar afectos al monte de oficinas D. Domingo Pallete, D. Dionisio Costilla y todos los de su clase, provincia de Murcia. Su dotación es la de 250 ducados, pagados de sus propio;, sin otra obligación que la asistencia al hospital de carinociendo aplicable á ellos la Real orden de 26 de Julio de 1817; .entendiénd…</t>
  </si>
  <si>
    <t>…altar á su cumplimiento te les exigirá irre licia activa de 18 de Enero último. (Gaceta del 27.) misiblemente la debida responsabilidad. Resolución de S. M. sobre una solicitud de D. Domingo Pallete, Y' de orden de S. M. lo comunico á V. pira tu inteligencia y relativa á descuentos de monte pío. (Gaceta del 29.) cumplimiento en lo que le pertenezca. Madrid 20 de Enero de 1B25. Resolución de las Cortes sobre dos solicitudes relativas i que se ex pidiesen…</t>
  </si>
  <si>
    <t>Palma, Galvao</t>
  </si>
  <si>
    <t>Galvao Palma</t>
  </si>
  <si>
    <t>…lgunas medidas que según creía tra palmente los mas recientes de España , y expuso todos los incon taba de tomar. venientes que pueden resultar de una mudanza de ministros. Des El Sr. Galvao Palma preguntó cual era el espíritu de la tro pués de haber hablado largamente, concluyó contra el dictamen. pa de la capital , y respondió que era enteramente favorable ¡i la El S„r. Pimenta Aguiar dijo, que no apoyaba las medidas Constitución que habia jurado. pr…</t>
  </si>
  <si>
    <t>Palma, Galvaon</t>
  </si>
  <si>
    <t>Galvaon Palma</t>
  </si>
  <si>
    <t>…a Nucon; y la segunda se le perdonen también yO is. que su lidad que cargaría sobre el ministerio en esta crisis. difunto mando debía al monte pió; opinaba debían dcscetiirarse El Sr. Galvaon Palma y otros señores expusieron sus opinio estas solicitudes. .Aprobado. nes , y el Sr. Fonseca Bangel habló largamente proponiendo una La misma com:s&lt;on opinaba se accediese á la solicitud Je enmienda. Doña Josefa Pérez sobre concesión de la viudedad que la corre…</t>
  </si>
  <si>
    <t>Palma, Julián Tomai de</t>
  </si>
  <si>
    <t>Julián Tomai de Palma</t>
  </si>
  <si>
    <t>…informado por el Sr. secretario del mismo Despacho, relativo á Badajoz.......................... 1............... ................ la solicitud del miliciano voluntario de Madrid D. Julián Tomai de Palma............................. 1............... ............. 1, Medina, á fin de que se le habilite para obtener algún destino- otro Mabon........................... ....................................1 también informado por el Gobierno relativo i la aolicitu…</t>
  </si>
  <si>
    <t>Palmclla</t>
  </si>
  <si>
    <t>…s ocupado para es Es seguro que se aumentarán en Portugal los elementos de la tar en comunicación con el cuerpo del general Moütor cuando discordia civil si el Rey , ó mas bien el conde Palmclla , lleva ocupaba á Balaguer y á Fraga. Si se abandona este pueblo, no Jas cosas al extremo. Es cosa bien sabida que habrá dos ó tres cabe duda en que serán superiores los constitucionales que son en años el conde tenia preparada una Constitución para los portu…</t>
  </si>
  <si>
    <t>Pálmela</t>
  </si>
  <si>
    <t>…tenido en Negocios de Austria , en cuya calidad acaba de ser presentado á su indisposición ni calentura ni erisipela; sin embargo ha basta, nuestro Emperador. Parece seguro que el Sr. Pálmela pasará á do para retrasar la partida de S. M. para Windsor, donde debia Viena como plenipotenciario de nuestro joven Soberano , y que entrar el sábado próximo. Al presente se halla 5. M. tan mejo un hermano de nuestro primer ministro obtendrá la legación rado…</t>
  </si>
  <si>
    <t>Palomares, Antonio</t>
  </si>
  <si>
    <t>Antonio Palomares</t>
  </si>
  <si>
    <t>…o mayor para recibir el aviso del parage donde Imperial, mandados por su valiente-capitan el teniente coronel deban dirigirse. Y para la común y pronta noticia se fija el graduado D. Antonio Palomares , llegaron A apoderarse de la ca presente y otros de su tenor en los parages acostumbrados, avi si inaccesible altura de la derecha , mientras que las demas com sándose de casa en casa por los cabos de los cuarteles. S. Fernan pañías de este batallón, alas ór…</t>
  </si>
  <si>
    <t>Palomares, Josef</t>
  </si>
  <si>
    <t>Josef Palomares</t>
  </si>
  <si>
    <t>…del mismo ramo, consultando lo que deberia hacerse Sres. Gil Orduiía y González z\lonso: «Pido que el expediente para que pudiesen circular los nuevos pesos megicanos coh el tí de D. Josef Palomares pase á la comisión de Responsabilidad, tulo de Ití rbide, opinaba que podían aprobarse los dos artículos para que en vista de lo que de él- resulte proponga lo con siguientes: veniente.” t.0 Se admiten á circulación las monedas de oro y plata que La comisión…</t>
  </si>
  <si>
    <t>Palomino, Aquilino</t>
  </si>
  <si>
    <t>Aquilino Palomino</t>
  </si>
  <si>
    <t>…Cortes de 1." de Febrero próximo pasado; y acordado S- E. que ss £&gt;. Matías Pinillt. D. Juan Antonio López. manifieste al público este raigo para que se entere de la inversión que D. Aquilino Palomino. D. Ramón Llord. se da á los fondos de la suscripción voluntaria, y sirva de estímulo í D. Manuel González del Campo. D. Antonio Soliva. los patriotas para continuar sus donativos en favor de la libertad é D. Josef Valla y Roca. D Ramón Queraltó. independenci…</t>
  </si>
  <si>
    <t>…riunfaremos de los que rado de calificación los señores D. Josef Alvarez Crespo, D. Ca quieren imponernos un yugo vergonzoso, mas insoportable que yetano Rubio, D. Nicolás Alonso, D. Aquilino Palomino , Don ia misma muerte, y la Nación española ocupará el primer lugar lorenzo Lambea, D. josef Perez Morales, D. Marcelino Lorio, entre todos los pueblos célebres del mundo, y será mirada como D. Arias Gonzalo de Mendoza, D. Francisco Zazo de i. a res, un model…</t>
  </si>
  <si>
    <t>Palumero, Sebastian</t>
  </si>
  <si>
    <t>Sebastian Palumero</t>
  </si>
  <si>
    <t>…xtrangero , se establecerán esta tarde A la comisión de Vi^jta del Crédito público se pasó una ex seis piezas de artillería al frente del cuartel de suanna, las cuales posición de D. Sebastian Palumero , profeso que fue de la Car á las siete de ella harán una salva de 21 cañonazos, y desde el tuja del Paular. amanecer del dia siguiente seguirán disparando otro de cuarto en Las Cortes quedaron enteradas de ur. oficio del Sr. secretario cuarto de hora hasta l…</t>
  </si>
  <si>
    <t>Pambley, Felipe Sierra</t>
  </si>
  <si>
    <t>Felipe Sierra Pambley</t>
  </si>
  <si>
    <t>…ntarse el Csnsejo uc Castilla á besar la mana á S. M, le domero Moraleda, se hace saber á todos los que se crean dirigió su Decano la siguiente arenga: con derecho á los bienes de D. Felipe Sierra Pambley , vecino que fue de esta corte, que su testamentaría se halla radicada „Señor: Afortunado fue para el Consejo el momento de sa- ante dicho Señor y referida escribanía; y se les cita para que .ber que rotas por la pericia y valor de las tropas del esclarecido…</t>
  </si>
  <si>
    <t>Pamela</t>
  </si>
  <si>
    <t>…cional, pues so tución, que será sancionada por las Cortes, y se cree sea confor lo por ella pueden restablecerse nuestras relaciones, bolo por ella me á la que llevó al Brasil el conde Pamela. puede la España dejar de devorarse á sí misma, recobrar su pro — Lo ocurrido con Mr. Manuel y el sargento Mcrcier dan mu piedad, y consumir los' productos de nuestra industria , puesto chísimo que hablar. El partido ultra no puede ocultar la rabia que según…</t>
  </si>
  <si>
    <t>Pamfi'.o-Lacroix</t>
  </si>
  <si>
    <t>…un corsario armado en dicha isla; dando final Dode de la Brunerie, el barón de Damas, el vizconde Donadieu, el mente por noticia que en el puerto ds la Guaira habia una corbeta in vizconde Pamfi'.o-Lacroix , el barón de Conchy y el vizconde Obert. surgente de 22 cañones construida en el norte de América. Mar scales rfe campo. El vizconde Corsin , el conde de la Roche- Consejo Je EstaJo. Aimond , el barón Bruny, el barón Bonnemains, el conde Grundler, Por renunc…</t>
  </si>
  <si>
    <t>Pamplona</t>
  </si>
  <si>
    <t>…vuestra suerte....? tropas de su mando hasta aquel punto para amenazarlos por la reta » ¡ D.-sengs-’aos, español-s ilusos y frenéticos! los hombres libres no guardia , mientras el brigadier Pamplona marchaba á desalojar en aquel sucumben, el fluido propagador de las luces es incomprensible; y si la mismo da i los facciosos que estaban en Mezao Frío, y al siguiente guerra convenza , los primeros que van á perecer sereis vosotros, hijos reforzado con los b…</t>
  </si>
  <si>
    <t>…s sus fuerzas, y atacaron en la mañana de aquel dia á la divi de guerra argelinos salieron el 4dirigiéndose a Alejandría. El cónsul de sión de tropas ligeras , que mandadas por el brigadier Pamplona, ocu S. M. el Rey de lo» Países-Bajo» en Argel, habiendo declarado de ante paban las posesiones de Ventucello y Rcdel. dic&lt;n que el combate ha mano al Dey que si sus corsarios apresaban un solo buque español , Ja bía sido de consideración ; pero todavía no se…</t>
  </si>
  <si>
    <t>…ncctucdidades y disgustes. Estos en la acción d;i cgéro.to const tuc.ona! con sus b.aderas y tres cañones. han cesado felizmente, pues que SS. MM. y A A. se encuentran sm » El Sr. brigadier Pamplona , prisionero también en ia misma ac novedad alguna en su importante salud en Ja ciudad de Córdoba ; y los ción del 13, pasó por aquí pata Portugal con un sargento mayor y la hijos ilusos y desnaturalizados, todos batidos y .ksi.tcl.oi, ¡os unos en escolta que…</t>
  </si>
  <si>
    <t>…o basta, al parecer de nues cuencia de haber sido hecho prii.or.cro en la acción de Redeal tros ministros, para meternos en una guerra; pero el Gobierno es cerca.de Chaves. EL Sr. brigadier Pamplona, también prisionero dueño de juzgar en qué época podrá haber ya mot.vo alguno en la misma acción de Redeal, llegó á Verin á ias ocho de la particular para nuestra intervención. Si la guerra es larga y san noche de a ver 27 con el sargento mayor de la caballer…</t>
  </si>
  <si>
    <t>…toda costa la atención del pueblo francés, del cuar su Gobierno siguiente con fecha de 1.® del corriente 1 » Hoy al medio dia está sumamente receloso.” ha llegado á esta villa el brigadier Pamplona, un mayor, un Zaragoza 11 de Abril. sargento y dos soldados de caballería y dos,de cazadores, que Comandancia generaldei stxto distrito militar—El conven siendo conducido? de Chaves para Braganza, se escaparon de los cimiento en qne estoy de que el batallón s…</t>
  </si>
  <si>
    <t>…los pueblos inmediatos político de la provincia de Orense, que el comandante de la tro se rectifica y mejora todos los días. Muy á menudo pasan r-or pa española había ofrecido al brigadier Pamplona ios med.os para aquí desertores del ejército francés, que ¿¡andonan, las banda i. escaparse de Villar de Perdices, donde se haiiaba bajo su palabra de ¡a esclavitud y de la ignominia para serv.r tn las filas del ho de honor, por cuyo motivo no p.ceptó entonce…</t>
  </si>
  <si>
    <t>…se. hubiese establecido por la siguiente con fecha de i.° del corriente: «Hoy al medio día.ha «fuerza, y que no adoptase los colores nacionales, no tendría llegado á esta villa el brigadier Pamplona , un mayor , un sargen « mas que una existencia efimera , y no daría ninguna garantía.” to y dos soldados de caballería, y do» de alzadores , que siendo Ella declaró ademas. conducidos de Chaves para Braganza ,-se escaparon de los faccio «Que si las bases enu…</t>
  </si>
  <si>
    <t>…r , de esta vecindad, para que al término de 15 dias, con han ayudado á levantar, y es el gobierno de Oporto. Que el tados desde esta fecha, acudan á deducir el que sea ante dicho general Pamplona , nombrado después de la última reacción, ha Sr. y escribanía, donde se halla radicada la testamentaría de renunciado su destino, lo mismo que Ayres Pinto, encargado aquella; entendidos de que pasados sin haberlo hecho, les para de Ja justicia en dicha ciudad…</t>
  </si>
  <si>
    <t>…de reunirse en Cádiz y no' necesita de justificación; ño batí Ai conde de Pálmela, marques, por dos géneracionés. hecho frias-que obedecer á la voz de sü patrié, abandonando é Al Sr. Pamplona deGlitéteal, conde de Stib-Serra, por dos los minios qué habiénabandocado ¡os intereses de la España. generaciones. 1 • Al Sr. Sousa de S. Payo , vizconde de Sta.* Marta, por dos • ’ •"••• •’ • ' Tdem. »j. J generaciones. ... ' ' Lod fohdos ingleses-y extrang…</t>
  </si>
  <si>
    <t>Pamplona, Manuel Ignacio Martina</t>
  </si>
  <si>
    <t>Manuel Ignacio Martina Pamplona</t>
  </si>
  <si>
    <t>…el coronel Dautel , comandante de de caballcría núm. 4, acompañaron á S. A. S el Sr. Infante D. Miguel á Villaftanca el día 27 del mea pasado, quien publicó luego una proclama. El general Manuel Ignacio Martina Pamplona, que se hallaba después de coen su quinta » tuvo la honra de reunirse el mismo día á S. A. S. y aceptar de su mano la dirección y despacho de los Negocios. El dia 28 marcharon áCartaao , en donde se les reunió desde luego la mayor parte de la caballería de Po…</t>
  </si>
  <si>
    <t>Pamplona-los</t>
  </si>
  <si>
    <t>tropas se ha apoderado de Pezo da Rogca , haciendo prisione tropa española había ofrecido al brigadier Pamplona-los medios ros á los milicianos faccic:os que guarnecían aquella villa, y to para escaparse de Villar de Perdices, donde se hallaba bajo su mándoles cuatro piezas de artillería, como se verá por el si palabra de honor, por cuyo motivo no aceptó entonces el fa gui…</t>
  </si>
  <si>
    <t>Pan, Josef Salvador López del</t>
  </si>
  <si>
    <t>Josef Salvador López del Pan</t>
  </si>
  <si>
    <t>…s venganzas, y de que seria ofender a! Rby en su mas ditlos, D. Joaquín Sistemes, D. Francisco Qucvedo y Bueno y. apreciable prerogativa el tomarse la justicia por su mino , y pri D. Josef Salvador López del Pan; para la de fiscal militar al var á S. M. del derecho de castigar á los que hayan delinquido. mariscal de campo D. Antonio Benavides; para la de togado á Tales son la situación y sentimientos de la vilia del Carpió , á D. Manuel Josef de Arbizu, y para la da…</t>
  </si>
  <si>
    <t>Pando, Antonio Gutiérrez</t>
  </si>
  <si>
    <t>Antonio Gutiérrez Pando</t>
  </si>
  <si>
    <t>…o de Ayuso, escondieron Ayala sigue D. Silvestre Collar, como marido de Doña Teresa Fer íes fusiles y retrocedieron: que son ias únicas noticias que hasta ahora nandez Llores, con D. Antonio Gutiérrez Pando y D. Joscf Fernan tenemos." Las noticias que contiene eí parte inserto se confirman con dez Flores sobre partición de los bienes quedados por muerte de D. Ig otro que lie recibido del alcalde de Riaza, que dice asi: » La partida nacio y Doña Teresa Fernandez Flores , vecinos q…</t>
  </si>
  <si>
    <t>Pando, Josef Mana</t>
  </si>
  <si>
    <t>Josef Mana Pando</t>
  </si>
  <si>
    <t>…e ha servido expedir el Real decreto siguiente : v Teniendo en consideración los méritos v cicunstancia» que Continúan los documentas adiciona es presentados al Parla concurren en D. Josef Mana Pando. oficia! segúralo de ia sccrcmento de Jnviat 1 r.&lt;. ([Véase la gaceta de ayer. ) far-a del Despacho de Estado, y en D. Juan Amon o \ ardióla, Núm. 2.0 Instrucción formada por el marques de London- tesorero general de la Nación ; he vennb ui nominar al pi .ir.…</t>
  </si>
  <si>
    <t>Pando, Josef María</t>
  </si>
  <si>
    <t>Josef María Pando</t>
  </si>
  <si>
    <t>…atisfacerse por los géneros extrangeque se manifiesta que teniendo S. M. en consideración los méri ros existentes en la actualidad é introducidos legítimamente. tos y servicios de D. Josef María Pando, oficial segundo del mi Las Cortes , á propuesta de la comisión de Leaislacion , corce li.steno de Estado, y D. Juan Anton.o Yandiola, tesorero ge dieron carta de ciudadano á D. Juan Rivero , de nación portu neral de la Nación, había tenido á bien nombrarles,…</t>
  </si>
  <si>
    <t>…a del tú.) Decreto de S. M. nombrando á D. Francisco Crespo de Te Gobernación de la Península. jada tesorero general de la Nación. (Gaceta ,•&lt;&gt;/ 27. ) Decreto de S. M. nombrando í D. Josef María Pando y á Otro Idem concediendo al Sr. secretario del Despacho de este D. Juan Antonio Yandiola, al uno secretario de Estado, y al ramo Ja gracia de usar de media firma. (¡dtm.) otro de Hacienda. ([Gaceta del j6.) Otro Ídem privando de su empleo , honores y condeco…</t>
  </si>
  <si>
    <t>Pando, Luis</t>
  </si>
  <si>
    <t>Luis Pando</t>
  </si>
  <si>
    <t>…R. vaocal. fuerza armada, que zeiará al inter.ro. La comisión de Instrucción pública , en vista de la exposición «Toda persona que haga resistencia á la tropa , perjudique las de D. Luis Pando , profesor de matemáticas del colecto de San obras de fortificación ó las baterías , será juzgada cu consejo de tiago, opinaba que este interesado debe recurrir á Ja dirección ge guerra, y su sentencia realizada á las 24 horas; menos en aque neral de Estudios…</t>
  </si>
  <si>
    <t>Panfi</t>
  </si>
  <si>
    <t>…osiciones á la urgencia que obliga a melarías. Prim ra d.visión mil. I.iha por el conde Lov rdó. Tercero : Para la artillen! uel egército se neces.ta también un con Segundu por el conde Panfi o Lacroix. siderable número de muías i propói.to para su s.rvieio. X. odre el hegu &gt;da de dragones por el vizconde Doman. honor de dirigir &amp; cada una de las Exanas. diputaciones una noticia Tercer tuerru maulado Cor el príncipe de llvhenlt.he. de las que deba…</t>
  </si>
  <si>
    <t>Pani, Josef María</t>
  </si>
  <si>
    <t>Josef María Pani</t>
  </si>
  <si>
    <t>…nemigos, satisfechos de la su noticia. ventaja d* so número, avanzaron hasta 180 pasos del puente, y se ANUNCIOS. preparaban á forzarlo; pero en este li mpo mi ayudante de órdenes D. Josef María Pani^gua previno de mi orden á la caballería que ata Al despacho de libros de la Fontana de Oro ha llegado un sur case decididamente al enemigo. Esta carga fue la salvación de esta ciu tido de las mejores obras que se han publicado en Francia hasta mus dad en aque…</t>
  </si>
  <si>
    <t>Paniphile-Lacroix</t>
  </si>
  <si>
    <t>…preparado para su defensa. te general conde Lovérdó, qüe lleva consigo la mayor parte dé Cuando López Baños se presentó delante de Sevilla los ha Su división. El grueso de la del general Paniphile-Lacroix está en bitantes opusieron resistencia: pero este general, que tenia fuerzas Murviedró en observación de la ruta dé Cataluña, con tropas bastante considerables y artillería, logró penetrar. Hubo muer destacadas sobre la de Teruel, y persiguiendo los destacame…</t>
  </si>
  <si>
    <t>Panlagua, Fernando</t>
  </si>
  <si>
    <t>Fernando Panlagua</t>
  </si>
  <si>
    <t>…rialismo helado ha reemplazado la emulación del honor y el entusiasmó caballeresco: ANUNCIOS. la vanidad dé la ciencia ha sucedido al heroísmo del corazón. En. Por providencia del Sr. D. Fernando Panlagua , Alcalde deí medio de tantos conocimientos y de tanta instrucción la fe re Crimen ae la Chancillería de Valladolíd y dé su juzgado de pro ligiosa y política y el antiguo respeto á la discip’ aa desapare vincia, refrendada del Escribano Julián López, se cita…</t>
  </si>
  <si>
    <t>Pantaleon</t>
  </si>
  <si>
    <t>…cida por todos los siete horas han quedado fundidas y reducidas á una masa in pueblos de la península una Regencia digna de toda nuestra fórmelas inmensas puertas de bronce que el cónsul Pantaleon confianza , y la mas apta para curar las heridas que á nuestra Castelli envió de Constantihopla el año 1070. Solo - hace-ocho amada madre patria han abierto los malvados. dias que disputaban su hermosura á las célebres puertas de las m Temeridad y presunción…</t>
  </si>
  <si>
    <t>Pantisco, Francisco Gómez</t>
  </si>
  <si>
    <t>Francisco Gómez Pantisco</t>
  </si>
  <si>
    <t>…es el oro parece lo plaza de Málaga, comprendidos sus armamentos y provi iones llevó Riego consigo: su tropa se ve perseguida por las partidas de toda clase. realistas al mando de D. Francisco Gómez Pantisco, D. Josef Art. 4.0 Todos los militares españoles que se encuentren en Ruiz Vizcaíno, D. Juan Guerra y D. Fernando Roa en unión este momento en Málaga , cua'qAera que sea su posición , están de las tropas francesas , las que no dejarán de picarle su retaguar c…</t>
  </si>
  <si>
    <t>Pantoja, Fernando</t>
  </si>
  <si>
    <t>Fernando Pantoja</t>
  </si>
  <si>
    <t>…a de 4 hombres en las mismas calles del m:&gt;tno; que sef Lledó; D. Angel Fuenes; D. Femando Velez, y ¡os su tenían echada una contribución de 3© rs., 40 fanegas de ce pernumerarios D. Fernando Pantoja y D. Pedro Gómez de la bada y una porción de pares de zapatos: en el momento no Cortina; D. Genaro Azcona y Balanza, secretario , y D. Fran dudé atacarlos, seguro de la victoria por el entusiasmo de que cisco Javier Romano, tesorero ; desempeíande provisiona men Vcia animado»…</t>
  </si>
  <si>
    <t>Papin</t>
  </si>
  <si>
    <t>…lestero? había F :a guardia , que se habia reunido á las dos de la tarde en sido hecho prisionero con su tropa por el general Molitor. el campo de Marte, y á quien pasó revista el general Papin, Nada de nuevo en Pamplona ni en S. Sebastian: lá mayor tío dejó las armas de la mano hasta que la augusta viajera en tranquilidad reina en todo el norte de España , y no hay ni ves tró en sus habitaciones. Una porción elegida quedó entonces en tigios de band…</t>
  </si>
  <si>
    <t>Par, Pablo</t>
  </si>
  <si>
    <t>Pablo Par</t>
  </si>
  <si>
    <t>…Cruz cubierta ; la dere* te de campo ale V. S., que estuvo conmigo desde que nos adelan ib.a en que estaba el 13 de línea y media compañía de cazadores tamos. El bizarro teniente coronel D. Pablo Par se hallo en la de Soria sieuió el movimiento, v los batallones i.° y 3." de ca acción voluntariamente, y animaba las guerrillas: tuvo tiendo su ndores de provincia mandados por sus comandantes los tenien caballo. También se me presentaron dos ayudantes de cam…</t>
  </si>
  <si>
    <t>Parada, Joaquín González----</t>
  </si>
  <si>
    <t>Joaquín González---- Parada</t>
  </si>
  <si>
    <t>…cia nacional men unido á la imprevisión (.14).local de Sevilla, á las órdenes del comandante interino del Infante »En semejante situación S. M. I. no puede reconocer otraD. Carlos D. Joaquín González---- Parada la milicia activa y la ley que la de la salvación de la España, y Acá es también la úninacional local de Sevilla; el demas servicio y patrullas lo detallado. ca que está decidido á seguir (15J.«-Hospital y provisiones la Reina,__Guardia al Congieso y ar » Tal…</t>
  </si>
  <si>
    <t>Parada, Ramón</t>
  </si>
  <si>
    <t>Ramón Parada</t>
  </si>
  <si>
    <t>…cielo reservaba tanta glo ría; y son el coronal D fManuel Muñoz", primer ayudante de ria después de tantas desgracias, el Sermo. Sr. Duque de Angu E. M.; D. Juan Dañóse*, coronel; D. Ramón Parada , ídem; lema, quiere acabar su obra. El ha observado desde el centro de D. Antonio Hernández,“fcapitan; D. Fernando Bubn de Gilis, la España las operaciones militares emprendidas en fas diversas comandante del batallón de Cataluña; D Jos- f Polledo, capi prov…</t>
  </si>
  <si>
    <t>Pardo, Andrés</t>
  </si>
  <si>
    <t>Andrés Pardo</t>
  </si>
  <si>
    <t>…onsiderable si se atknde á la extensión del país sublevado : gefe político de Ja nvsma un regimiento portugués de milicia activa acompaña un parte del cap tan de la milicia activa D. Andrés Pardo, para auxiliarla contra los facciosos. ( Se dice que ha entrado ya efec que con una pequeña partida trataba de incorporarse con la que rstí á tivamente. ) Lt orden. » de D. Josef Ramón Sequeiros en el distrito de Ventosa; — Un periódico de esta capital public…</t>
  </si>
  <si>
    <t>Pardo, Juan Antonio</t>
  </si>
  <si>
    <t>Juan Antonio Pardo</t>
  </si>
  <si>
    <t>…con el impropio, pero pomposo el batallón de Burgos marchó á la izquierda de Cantabria á las ór nombre del ejército Liberador del Su-, en laque fundaban los denes de su benemérito coronel D. Juan Antonio Pardo para el siniestros designios de apoderarse de las provincias del alto Perú, mismo objeto, y ligar el ataque del frente con el de la división de y sepultarlas en las mismas miserias y estado deplorable que ex Valdés. El i.° y 2,° escuadrón de la Union, mandado…</t>
  </si>
  <si>
    <t>Pardo, Juan María</t>
  </si>
  <si>
    <t>Juan María Pardo</t>
  </si>
  <si>
    <t>…e liquidación, sostenerla en su integridad y lustre. reconocimiento y expediq¿on de documentos de ia deuda pública: á » Conserve el cielo I* C. R. P de V. M. para bien de la Monar D. Juan María Pardo para comisionado especial de la extinción de la quía. Coruñz Enero 19 de 1833.” (%uzn las firmas.} deuda, incorporación y enajenación de bienes nacionales; y 3 D. Joa quín Suarez del Villar para comisionado especial de administración y lista tlt los jueces de…</t>
  </si>
  <si>
    <t>Paredes, Antonio</t>
  </si>
  <si>
    <t>Antonio Paredes</t>
  </si>
  <si>
    <t>…nal de 2" del tir pides, se declara prohibida de la misma manera que lo está la corriente, en autos mim. 137 del año de 1821 , que son de con de las molidas. curso de acreedores á D. Antonio Paredes ya difunto, se man Art. 2.0 Esta resolución no obsta para que se permita la ex da citar y emplazar á cuantos se consideren con derecho á la ma tracción de las partidas actualmente existentes de las primeras en sa de la indicada quiebra; para que acudan á form…</t>
  </si>
  <si>
    <t>Paredes, Ildefonso</t>
  </si>
  <si>
    <t>Ildefonso Paredes</t>
  </si>
  <si>
    <t>…popu ar. Si los partidas fu ren trn.ents rutilado del batallón ligero de Madores de Letal uña; para te mas de siete se nombrará s'n embargo un diputado por cada partido; niente á D. Ildefonso Paredes, teniente graduado de cap tan ict.ra .0; pero si fu ren menos se nombraiá el que fatr por t-1 que tenga mayor país subteniente pr.mero á D. Magín Apar.mo, subtem-r.t; reinado población ; y si todavía faltare otro, le nombrara el que siga, y asi su del regimie…</t>
  </si>
  <si>
    <t>Paredes, Josrf Gregorio</t>
  </si>
  <si>
    <t>Josrf Gregorio Paredes</t>
  </si>
  <si>
    <t>…Ai l.'jt.i de íus dipu I f.'.'iú.rió;: a. (Jtbierno. tados electot para el Ce utrero en ib' de Agosto. Lr.s indtv'diioi que componen el cuerpo nac'oca! de artillería d; Por Lima. D. Josrf Gregorio Paredes, lanicio Otíz d: Ce rallos, r.isr.n.i del d.paiteir.cuto d: Cidiz kan felicitado ul Gobierno de S. M. Felipe Auc nio Alvarado , Julián Morales , T-ir-liio Rodrigu z , To por ia cont stic oa dada á las notas pasadas por lo» Gabinetes eztranmas Forcaria , Franc…</t>
  </si>
  <si>
    <t>Paredes, Juan García</t>
  </si>
  <si>
    <t>Juan García Paredes</t>
  </si>
  <si>
    <t>…l 31 de Marzo de resultas de lo ocurrido en aque las Cuevas, D. Ramón Bernad, D. Isidoro Uñarte, D. josef lla ciudad. Su te—,r es como sigue: «Habitantes de Brest: La tar Taberné, D. Juan García Paredes , D. Joaquín de los Ríos. de de ayer se señaló con escenas lamentables. Varios ciudadanos D. Angel Díaz del Castdlo , y los coroneles D. Josef Saravia, han tenido que quejarse de ¡a violencia ejercida en sus personas. D. Joaquín Cavaleri y D. Bruno Josef de P…</t>
  </si>
  <si>
    <t>Paredes, Rafael</t>
  </si>
  <si>
    <t>Rafael Paredes</t>
  </si>
  <si>
    <t>…iudad de Sevilla ala A las inmediatas órdenes del Excmo. Sr. general en gefe al co persecución de ladrones y malhechores, de que estaba infestada ronel agregado al E. M. de Madrid D. Rafael Paredes, y al Ja provincia, contaba ya con mas de 50 ladrones presos en la comandante de batallón retirado D. Benito Vdluela. cárcel; pero que se le había quitado el conocimiento de las causas El estado mayor general del ejército lo compondrán por aho de estos reos c…</t>
  </si>
  <si>
    <t>Pareja, Francisco Paula</t>
  </si>
  <si>
    <t>Francisco Paula Pareja</t>
  </si>
  <si>
    <t>…ribuciones directas de la propia provincia; y sa sage. tisfecho de la conducta leal y patriótica del tesorero de la misma Dado en el castillo de S. Fernando de Figueras, primer ba D. Francisco Paula Pareja, quiere se encargue intcrlniUneu'-' luarte de la libertad nacional, á 22 de Abril de 1823. = Firma la intende- cia, publicándose esta resolución en los periódicc do. 5= El gobernador , Santos San Miguel. Real orden lo digo á V. E. y VV. SS. para su conocimien…</t>
  </si>
  <si>
    <t>Pareja, Juan Vibavicencio y</t>
  </si>
  <si>
    <t>Juan Vibavicencio y Pareja</t>
  </si>
  <si>
    <t>…V. E. persígala con su guardias marina» siguientes: D. Josef Baldasano, P. Matiano Pardo v k' los restos del cabecilla Albuin por el valle de Fequin, me Manso, D. Josef Bu:trago, D. Juan Vibavicencio y Pareja , D. Josef de que aquel s: dirigía a pasar el Navia por el Sena , por lo Seidel y Aurrich, D. Juan Martínez y León , D. Santiago Perez y encontrarlo á Fomria: aili supe que el enemigo contramar- Camino, D. Fernando Mergelina y Barreta , D. Joaquín Anguiano, l…</t>
  </si>
  <si>
    <t>París</t>
  </si>
  <si>
    <t>…iente de los beneficios pasados, presentes y futuros. ” Ayer recibimos noticias de lo ocurrido el dia 25, y aleunos / FRANCIA. pormenores que los oficiales del 60 escribieron á su comandante París 18 de Agoste. que está en el depósito. Hallándose un batallón del 16 de línea El Constitución d ¡ie las Dam ts ha publicado el siguiente en una posición algo aventurada, y viendo los constitucionales que cómputo de las víctimas sacrificadas por la inquisición…</t>
  </si>
  <si>
    <t>París, Jabat de</t>
  </si>
  <si>
    <t>Jabat de París</t>
  </si>
  <si>
    <t>…dad de anunciar en su periódico el sant.i alianza , que habían consentido en la guerra: añade que al salir objeto del compasto, para excitar á la imitación de Rodas d todos los el Sr. Jabat de París para su embajada de Londres tuvo una conferen que se obliguen i establecer fábricas de barrilla artificial en los distritos cia con Mr. Villele, en la cual este se explicó enteramente decidido i de las salinas de que abunda nuestro suelo , y con especialidad…</t>
  </si>
  <si>
    <t>París, Víctor</t>
  </si>
  <si>
    <t>Víctor París</t>
  </si>
  <si>
    <t>…exacta relación, que os remitiré por el correo inmediato. timonios de su amor y lealtad. (£V/io du Midi, carta particular, ) LosSres. D. Antonio Allue, Patriarca de las Indias, y D. Víctor París ig de Octubre. Saez, primer Secretario de Estado y del Despacho, confesor del E! barón Puymarin, Diputado y Director del depósito Real J.S.EY nuestro Señor, y canónigo lectora! de la santa Iulesia pri de Medallas, tuvo el honor el martes á las nueve de la mañ…</t>
  </si>
  <si>
    <t>Parra, Antonio</t>
  </si>
  <si>
    <t>Antonio Parra</t>
  </si>
  <si>
    <t>…es. gon y D. Manuel Pina Espiga , y la bizarría de los sargentos Bonifacio Los suscriptores al gran diccionario de Ciencias médicas, traduci Pascual y Juan Tirpo , como también el sargento Antonio Parra, que do al castellano, se servirán acudir á recoger el tomo 1 2 á la librería salió voluntariamente con los granaderos. La pérdida ha sido cortísima de Calleja, y en Jas provincias en las librerías anunciadas, liste tomo y casi increíble en acción tan obstina…</t>
  </si>
  <si>
    <t>Parra, D'ego</t>
  </si>
  <si>
    <t>D'ego Parra</t>
  </si>
  <si>
    <t>…r-ee.amcnto . ios jorna muerte , cuyos delitos el guerrero francés no mira sino con el leros que no pu.den sop 'rt.irio por 1.: de sus ¡jautade», odio que merece” , é igualmente a D. D'ego Parra, no inquie— cu va calificación ¡rara el Excmo. .iruauin.-nto. ten "los-pueblos, mandando á todas las partidas se reinen a sus "«A A fin de igualar ia Gara de „•'•.« bitarones . ningún* casas. -conirañia podra admitir nut de toe fio noca . n.r.-i.n batallan «P…</t>
  </si>
  <si>
    <t>Parrella, Rafael</t>
  </si>
  <si>
    <t>Rafael Parrella</t>
  </si>
  <si>
    <t>…se les repetirá que al formar nuestra Constitución, id. de la convalecencia, D. Cristóbal Mercé, abad de S. Pablo, ni quisimos dejaría expuesta á las versatilidades del capricho, D. Rafael Parrella. ni darla una eternidad é invariabilidad que no sufren las cosas Capuchinos: P. Manuel de la Nou, P. Josef de Barcelona. humanas, sujetando en consecuencia las variaciones que el tieot* Presbíteros :D. Antonio Valparda, D. Lorenzo Novell, ca po y la experienc…</t>
  </si>
  <si>
    <t>…ncisco Vüadecms. no existiría la Nación. Idem de la convalecencia: D. Cristóbal Mere l. .... .¿\_íi2'é Uc S-'.n Habrá un ministerio, aunque sea interino , y á este deben lla Pablo D. Rafael Parrella, mar las Cortes para que proponga recursos con que defender la Capuchinos : P. Manuel de la Non. =P. josef de Barcelona. patria. Si no lo hace, ó muestra dificultades que entorpezcan el Presb.teros: D. Antonio Va!parda. — I). Lorenzo No vellos ndo~Ur Ies s de…</t>
  </si>
  <si>
    <t>Parsen</t>
  </si>
  <si>
    <t>…ica D. Juan Domemch, D. Lorenzo Martínez, escribano, D. Matías An hará impracticable» muchas disposiciones da este proyecto. A este Es tonio Herdara , D. Andrés'Martí ,'escribano, conde Parsen , D. Blas contestado el Sr. Varda que á todos ios casos ae ha ocurrido én él, Madalenes, D. Josef Chisbett, D. Cefírino Pellicer, Vicente Bañue- y con la delicad»- iu posición ha añadido que'si bb se admitiese los. P. Josef Am“is, S. Francisco, P. Lorenzo de…</t>
  </si>
  <si>
    <t>Partouneaux</t>
  </si>
  <si>
    <t>…de comercio y ventas. los otros homlsres; r.o es pues extraño que lo contundan todo. (-) ¡Que política tan luminosa! ¡qué conocimiento tan profundo del (8) {Ha podido imac nar el Sr. Partouneaux que la Inglaterra fuete corazón humano! E11 cuanto á los prósperos sucesos recordamos al ora capaz de entrar en una co:i.»p ración contra el genero humano: La lin..a— dor la fábula de la lechera; y en orden á la influencia ¡&gt; s pos ble concebir térra conoce s…</t>
  </si>
  <si>
    <t>Partouneuux</t>
  </si>
  <si>
    <t>…ica, y que forman sus proyectos sin consultarla ni hacer de Francia en un satélite que descr "e :a orb.ta de su icrom.nia ai rcücv.o: di •lia el menor aprecio. Si asi no lucra, el Sr. Partouneuux aseguraría, io con las grandes rotemi.ss , cuvo b.ncpiaeuo »e ncces.ta para que la hran-u se trario; y su proposición tendría entonces 4 su favor mas de las 09 cen mueva. {Habrá un solo francés i.ac ro brame de turor ai ver la degrada tésimas de la población…</t>
  </si>
  <si>
    <t>Pascua, Rosa Joaquina y Dona</t>
  </si>
  <si>
    <t>Rosa Joaquina y Dona Pascua</t>
  </si>
  <si>
    <t>…los que gusten suscribirse al tomo dés, D. Santiago Fontaines , D. Josef Antonio Jiménez, Don 2.1, que se está imprimiendo, y contendrá lo restante del Nue Pedro Angel de Zt bala, Doña Rosa Joaquina y Dona Pascua vo Testamento, y ademas unas notas ¿enerales en forma de dic la Septiem, D. Manuel haenz López y Cabezón, O. Antonio cionario para inteligencia de varios pasages de la Escritura. St Ardil, D. Manuel Cisneros y el ciudadano Luis Cletnon. A reciben las suscripc…</t>
  </si>
  <si>
    <t>Pascual, Antonio Sánchez</t>
  </si>
  <si>
    <t>Antonio Sánchez Pascual</t>
  </si>
  <si>
    <t>…la caballería á la Almunia, percibir la herencia de su abuelo en dicha ciudad , se publica á luí preparándome yo á seguir el movimiento con la vanguardia del de que acudan al Lie. D. Antonio Sánchez Pascual «n Sevilla, o ejército, que conservó á mi inmediación , y el cual emprendí des- en Ecija á D. Francisco Perez Carvajal. EN LA IMiTU TA NACIONAL.</t>
  </si>
  <si>
    <t>Pascual, Cirilo María</t>
  </si>
  <si>
    <t>Cirilo María Pascual</t>
  </si>
  <si>
    <t>…s &amp;c., que en virtud de de la izquierda con la compañía de cazadores y 20 caballos de los cretos dirigían sus providencias á la gaceta de Madrid, se ser mismos cuerpos al cargo de D. Cirilo María Pascual, teniente virán dirigiflas á la gaceta Española á Sevilla desde el 12 de del mencionado cuerpo ; y el centro al del comandante segundo Abril. del mismo D. Santiago Otero. En esta disposición se emprendió Otra. Para mayar comodidad del público de Sevilla se ad…</t>
  </si>
  <si>
    <t>Pascual, Josef</t>
  </si>
  <si>
    <t>Josef Pascual</t>
  </si>
  <si>
    <t>…ncial del decreto de a 2 de Jumo , si esta objetos de común utilidad. junta quedaba disuelta, quedarían sin efecto muchas de las disposicio A la de L.-t1 "dación una exposición de D. Josef Pascual , vecino nes de aquel decreto. Por lo mismo propuso qua inmediatamente que las de Arenys de Mar en solicitud de dispensa de edad para ser escribano. Cortes 1 egastn á Sevilla se procediese i La elección de la junta para que Se leyeron por primera vez dos piop…</t>
  </si>
  <si>
    <t>Pastor</t>
  </si>
  <si>
    <t>…Junio.que había en las corte». Ballesteros, por ejemplo ¿ no rehusó servir bajo sus órdenes? y después de la batalla de Taiavera ¿no Ha sido una equivocación el haber dicho que el Sr. Pastor, estuvo el ejército ingles expuesto á perecer por falta de subsis uno de los prisioneros de guerra hechos en la acción del 14, tencias? La proposición que se hizo entonces de introducir en fuese ayudante de campo y secretario de Mina, pues no ha sido Cádiz tr…</t>
  </si>
  <si>
    <t>Pastor, Julián</t>
  </si>
  <si>
    <t>Julián Pastor</t>
  </si>
  <si>
    <t>…una comisión ele Visita que se nombraría al efecto. reconocerá por auxiliar del estado mayor de este ejército al sub Se mandé» agregar al acta el voto del Sr. Quiñones, contrario teniente D. Julián Pastor , y el de esta clase D. Manuel Perez al pase á la comisión Eclesiástica de las proposiciones del Sr. Bu Villamii quedará empleado en la primera división. rilaba sobre la confirmación ele Jos obispos, y contrario á lo re Art. 3.0 Los batallones correspondiente…</t>
  </si>
  <si>
    <t>Pastor, Valentín</t>
  </si>
  <si>
    <t>Valentín Pastor</t>
  </si>
  <si>
    <t>…d que se les con Llanas__Olio idem ei teniente coronel D. Quintín Velasco___Adic cede por ¡a Constitución , han decretado 1.0 siguiente : to al estado mayor el capitán de Astúr-as D. Valentín Pastor. __Otro Art. J.” »: El Gobierno liará egseutar en todas sus partes el decreto idem el capitán de M. N. A de Simienza D. Pío fiaII?steros__ Otro de aa de. Jumo de ibzt , ec mbinándoio en lo nzc.rsanu con c- siste idem el aiíercz de la extinguida guardia Real D…</t>
  </si>
  <si>
    <t>Pastor, Víctor</t>
  </si>
  <si>
    <t>Víctor Pastor</t>
  </si>
  <si>
    <t>…Estos nuevos tiranos son tanto mas dignos de execra caballos de Lusitania , al mando del capitán del primer cuerpo ción, cuanto que no los conduce el deseo de ilustrarnos ni de ar D. Víctor Pastor, despreciando el vivo fuego de unos 40D fac rancar de entre nosotros antiguas y funestas preocupaciones , sino ciosos de infantería, que se hallaban ocupando la pequera colma, «1 de apagar la antorcha luminosa que lucia ya sobre el suelo es alameda y la ermit…</t>
  </si>
  <si>
    <t>…cción , recomendando con este motivo á V. E. gar sus ulrrages___Dispuesta ya la tropa, y poniéndose á su ca el m.rilo que c:¡ cFahan contraido, tanto el mencionado coronel beza el capitán D. Víctor Pastor con 20 hombres de Granada, Carrera, como los oficiales y tropa que con su valor y sufrimiento pasamos en columna el puente, arrollando a cuantos ilusos qui han proporcionado á la patria estas ventajas. =0Dios guarde á sieron oponérsenos, y en pocos minutos qu…</t>
  </si>
  <si>
    <t>Paterna</t>
  </si>
  <si>
    <t>…símiles y probables que Para secretario fue elegido el Sr. Seoane por 65 votos de 128 , ha habia acerca del resultado del congreso de Verona , solamente se sacaba biendo tenido el Sr. Paterna 53,0! Sr. Romero 3 , y uno cada uno de en limpio lo siguiente : los Sres. Llórente, Atienza, Calderón , Sotos, Marchámalo, Infante 1.® Que respecto de la España el congreso no habia querido tomir y Galiano. parte en sus negocios, y se habia contentado con dej…</t>
  </si>
  <si>
    <t>…s de la Nación es menester ocuparnos en cosas estraordina— Tampoco puedo menos de contestar á un hecho que ha cita rías y no en mezquindades de empleos. Todos sabemos que he do el Sr. Paterna , á saber, el suicidio del desgraciado general Sal mos venido á este último baluarte de la libertad para esperar un vador. Ha dicho su señoría que se degolló porque no quiso so acontecimiento extraordinario que salve nuestra independencia: si brevivir á algun…</t>
  </si>
  <si>
    <t>…ones que ha proferido su se Varios Sres. diputados pidieron que se escribiesen estas últimas ñora , y una vez que han sido recordadas , me parece que las palabras dei discurso del Sr. Paterna desde donde dice : »todo el Cortes están solo en el caso de declarar que estas expresiones esmundo sabe &amp;c.” tan fuera del orden. El Sr. Rodriguez Paterna pidió que se leyese el primer pár Ei Sr. Rodríguez Paterna: El Sr. Galiano ha sentado una rafo del art.…</t>
  </si>
  <si>
    <t>…que al quebrado. Cartagena podía faltar á sus deberes , y ser un traidor :i su patria; El Sr. González Alonso manifestó que lo que se propon.aen pues que al mismo tiempo pidió el Sr. Paterna se leyese el ar este dictamen era enteramente conforme con lo dispuesto en el ticulo 7.0 de la ley orgánica del ejército. Código penal, y que de ningún modo debían entender los consu El Sr. Castejon no dejará de conocer de que es de absoluta lados en las caus…</t>
  </si>
  <si>
    <t>Paterna, Rodríguez</t>
  </si>
  <si>
    <t>Rodríguez Paterna</t>
  </si>
  <si>
    <t>…la provincia de Murcia. como medidas extraordinarias propias del momento, y de que no ha La milicia nacional voluntaria de Chinchilla , presentada por el de haber resulta alguna. Sr. Rodríguez Paterna. Art. 10. » Los gefes que abusen de la autorización que se les con La milicia nacional local voluntaria de Alicante, por el Sr. Do- cede por los artículos anteriores para la imposición de estos castigos menech. serán juzgados en consejo de guerra , y la pena…</t>
  </si>
  <si>
    <t>…mas favorable para los habitan Para secretario fue elegido el Sr. Muro por 53 votos , habiendo tes y europeas, y ea de esperar que S. Martin á su vuelta no tenga me reunido 43 el Sr. Rodríguez Paterna, y uno cada uno de los Sres. So dios para seguir en sus iniquidades. tos, Montesinos, López del Baño, Cano", Garmendía , Apoita , Rojo, Ha entrado la goleta española Primera Ligera , capitán D. Jaime Fuentes del Rio é Infante. Roca, de la Havana , en 30 días,…</t>
  </si>
  <si>
    <t>…ales debían girar las providencias del Gorán particularmente atendidos en su tiempo los funcionarios pú— biemo. blicos ó empleados que al ocupar los enemigos los pueblos en que El Sr. Rodríguez Paterna: Son bien notorios los obstáculos residan, hayan sido puntuales y eficaces en cumplir las órdenes que se han presentada á todos para poder trasladarse á esta ciu del Gobierno, acreditando asi su amor al sistema constitucional, dad , y también es evidente que…</t>
  </si>
  <si>
    <t>…sesión del día 10 de Julio. ó,óoo, un oficial guarda-almacén con 5,500, y un maestro con Se leyá y aprobó el acta de la anterior, mandándose agregar 4,400. el voto particular del Sr. Rodríguez Paterna, contrario á la apro Art. 6.° Queda en toda su fuerza el decrerd de 19 de Alayo bación de los artículos i.° y 2.a del proyecto sobre los emplea de 1821 , excepto los artículos 4.0, 5.0 y 6.a que desde la publi dos que no han seguido al Gobierno. cación del pr…</t>
  </si>
  <si>
    <t>Paterna, Rodriguez</t>
  </si>
  <si>
    <t>Rodriguez Paterna</t>
  </si>
  <si>
    <t>…unda parte, porque no hay necesidad de esta raleza tal que no puede pasarse en silencio. medida, pues sí el ministerio obra bien , como lo creo, hará lo Fia sentado la doctrina ei Sr. Rodriguez Paterna , de que co que debe. mo diputado puede exponer su opinión libremente; pero permí El Sr. Soria: Yo creo muy bien que eL Gobierno no dejará tanme Jas Cortes que observe que si esta doctrina se adoptara con de tomar cuantas providencias crea conducentes; pero a…</t>
  </si>
  <si>
    <t>…se pasó á la misma comisión otra adición de los Resta únicamente ahora examinar la calidad de las expresio Sres. Navarro Tejeiro y Salva á dicha resolución de las Cortes. nes del Sr. Rodríguez Paterna. A mi entender ellas podían acar Se mandó insertar en el acta el voto del Sr. Rico, contrario rear funestas consecuencias. Nada tendrían de extrañas s¡ cu ellas á la resolución de las Cortes asignando 40© rs. á los ex-secreta- se dijera que no era acertada la…</t>
  </si>
  <si>
    <t>Patiíío, D Josef María</t>
  </si>
  <si>
    <t>D Josef María Patiíío</t>
  </si>
  <si>
    <t>…los señores que se diendo aclaraciones á la ley de aó de Abril-de 1811. oponer al dictamen presenten dos ó tres rail millones de reales para sa Se dió cuenta de una exposición del Sr. D Josef María Patiíío, lir del apuro; si no, es preciso tener paciencia, como la tienen los digní diputado por Galicia, en la que acompañaba una certificación pera simos militares que tienen alcances, y están en el Crédito público. probar la imposibilidad en que te halla de acudir…</t>
  </si>
  <si>
    <t>Patino, Joaquin María</t>
  </si>
  <si>
    <t>Joaquin María Patino</t>
  </si>
  <si>
    <t>…bienes que se la quitaban eran los de !a I.a comisión de Poderes presentó su dictamen sobre la exposición corona, y que tu dote habia consistido en tratados que nunca tuvieron de D. Joaquin María Patino , diputado por Galicia , en la vjí acom efecto; pero que si tenia algún derecho, falo reclamar a, pues á ella 1c pañaba certificaciones de facultativos para probar la imposibilidad de correspondía hacerlo, y no a! Gobierno el ofrecérselo: y que en cuan acudir…</t>
  </si>
  <si>
    <t>Patino, Josef María</t>
  </si>
  <si>
    <t>Josef María Patino</t>
  </si>
  <si>
    <t>…la Princesa, regimiento de infantería de Málaga, mandante de voluntarios nacionales D. Francisco Calviño, el subrebatallón de la M. A. de Orense y el ligero de llostalrich. nienie D. Josef María Patino y otros retirados en esta villa. Los se Tercera división , al mando del mariscal de campo D. Antonio Ro ñores oficiales y tropa del cuerpo nada me han dejado que desear, y ten, la formarán el batallón de Marina, el de Galicia , el de Ordenes lo mismo los volu…</t>
  </si>
  <si>
    <t>Patri</t>
  </si>
  <si>
    <t>…parta servir como tropa permanente durante la guerra. Se d.cc haber mento por ahora del Aude. Las tropas que han entrado hoy 2 llegado á Lérida el corone! Gurrea coa iO hombres, y D. Patri y se esperan mañana , y que formarán otra d visión , pasarán á la cio Domínguez con 4 piezas de artukvia , que se dirigen contra Cerdada á relevar los batallones del 32 de l'nea , que no es muy Mequinenza. seguro, y un batallón del 6.a ligero. El 5.0 ligero,…</t>
  </si>
  <si>
    <t>Patriarca</t>
  </si>
  <si>
    <t>…ajos y penalidades, que el noble y siempre fiel vecindario de Pamplona ha sufrido en los tres años de deso lación , han sido mayores, por la consideración de que V. M., El Exento. Sr. Patriarca de las Indias tuvo la honra de feli privado de sus augustas funciones, estaba sumido en un. grado citar á S. M. en nombre de la ciudad de Huesca el dia 14 del horroroso de abatimiento por los insultos de una facción la mas corriente; y en el mismo acto presen…</t>
  </si>
  <si>
    <t>Patrón, Juan</t>
  </si>
  <si>
    <t>Juan Patrón</t>
  </si>
  <si>
    <t>…de 5 del actual, y copias que se D. Agustín Berard ; en Cádiz en la de D. Diego Zaragoza; en Bidaacompañan, ha visto S. M. con la mayor satisfacción el generoso rasgo joz en la de D. Juan Patrón, y en Palma en la de D. Nicolás Carbode amor patrio con que Doña Josefa Diez de la Cortina ha demostra nell. Su precio es á 20 rs. sin iluminar la estampa de los uniformes, do su heroico desprendimiento al ofrecer á V. E. para defender los in y i ai rs. ilumi…</t>
  </si>
  <si>
    <t>Paul, Pedro Jos.f</t>
  </si>
  <si>
    <t>Pedro Jos.f Paul</t>
  </si>
  <si>
    <t>…ismundo Morct, D. Luis Cro- ra que llegue á su noticia que se anuncie en 1a gaceta en obsequio del »a, D. Prud ncio Hernández Sta. Cruz, D. Josef María Viilaranda, mejor servicio. D. Pedro Jos.f Paul , D. Juan de Fuentes y D. Josef Miría Retostólo; ANUNCIOS. dspues de t.-nida la la conferencia de estilo, por unanimidad ha decla rado haber lugar día formación de causa. D. Joaquín de Usarralde, vecino de la villa de Tolosa , en la provin cia de S. Sebastian…</t>
  </si>
  <si>
    <t>Paul, Pedro Josef</t>
  </si>
  <si>
    <t>Pedro Josef Paul</t>
  </si>
  <si>
    <t>…ez Sla.*Cruz, D. Josef Bsnjum-.'da, D. Juan González, D. An bién una sustancia rojiza, que parece *er deutoxido de hierro unido al tonio Cortes y Coíl, D. Juan Josef del Cubillo , D. Pedro Josef Paul sílex y al muríate de sosa. y D. josef Diez Imbtechs, declaró por unanimidad haber lugar á la 2.0 Una incrustación compuesta de sulfate y, de muríate de hierro y formación de causa. cobre mezclados entre sí: también hay en ella hierro puoxidudo en lá __Habien…</t>
  </si>
  <si>
    <t>Paul, Vicente de</t>
  </si>
  <si>
    <t>Vicente de Paul</t>
  </si>
  <si>
    <t>…á D. Fernando María Segovia: para ía del de Cogolíudo á D. Juan benéficos y generosos sentimientos que abrignn en su corazón loe vence de MataGarralon; y para.la del de Sigüenza á D. Vicente de Paul dores del y de Julio y todos los buenos españoles. Madrid a a de Enero Camin. de 182?. Asimismo, en vista de las propuestas hechas por audiencia ter Se suscribe en la librería de Paz, puerta del Sol.=Pedro Surrá y ritorial de Ascúrias,se ba servido S. M. nomb…</t>
  </si>
  <si>
    <t>Paula, Francisco</t>
  </si>
  <si>
    <t>Francisco Paula</t>
  </si>
  <si>
    <t>…pára-qúé'.htfítilieén ál enemigo , aun cuando no hayan . gobiHí no superior ■rotmeo. tenida ocasión -de recibir la aprobación de aquel.” Aprobado, po En parte que he recibido' de D. Francisco Paula dé Hoyos niéndose-después de la palabra -cireUnst.ninas lis de carear dr con fecha 2 5 del actual desde Játiva se me dice lo siguiente: . Aunque'en el dia de hoy no'ha ocurrido novedad alguna! pádíipórtec" ‘ - -i DAítlVS. -tfOrbiendó se* los auxilios que den…</t>
  </si>
  <si>
    <t>Paula, Francisco de</t>
  </si>
  <si>
    <t>Francisco de Paula</t>
  </si>
  <si>
    <t>…de Menclmca----F»tado mayor : gefe de estado ma. la de Galicia , D. Dominjo Eulogio de la Torre par la da Vizcaya, yor el brigadier D. Felipe Montes. — Frimer ayudante general y y D. Francisco de Paula ce Seria por la de Granada.” segundo gefe del estado mayor, el coronel D. Josef Sánchez Boafo oficial jubilado de la secretaría dei Despacho de la Gobernación de lí El R-y ha expedido el decreto siguientr : Península___Primer ayudante general D. Lino Lavina--…</t>
  </si>
  <si>
    <t>…permiso por la Turquía , le faltaría á la Rusia otra licencia Doña Luisa Carlota, esposa &lt;ie mi muy caro hermano el Infanta mas difícil de obtenír, qLie: es la de ios ingleses. • D. Francisco de Paula, un niño, k qn ca se han puesto en el No es necesario tener mucha penetración para conocer la pos- bautismo ¡os-nombres de Enrique María bernardo y otros; y lítíca de la Gran Bretaña i:* este particular, y dos esfuerzos que deseando con tan plausible motivo d…</t>
  </si>
  <si>
    <t>…. El batallón ligero núm. 16, que estaba destinado ñor D. Henifique María &amp;c., hijo de los Sres. infantes de Espa para su organización para la ciudad de Cuenca, marchará pasado ña D. Francisco de Paula y Doña Luisa Carlota de Borbon. Las mañana á establecerse en Manzanares; y antes de su salida el gefe Cortes quedaron enteradas, y la mandaron archivar. de E. M. le destinará como plazas efectivas todos los soldados A la comisión primera de Hacienda se mandaron pasar un útiles que de difer…</t>
  </si>
  <si>
    <t>…as; el barón de Carondelet cretario de la Gobernación de la Península, la cual se mandó en Villafeliche, y el primer ayudante general de estado mayor pasar á una comisión especial D. Francisco de Paula higueras con la segunda división de in Se continuó y concluyó la lectura de la memoria de la co fantería en Ateca, habiendo llegado antes de ayer á Villa roya, misión de Visita del Crédito público. Se mandó imprimir. ql propio tiempo que yo lo hice con la div…</t>
  </si>
  <si>
    <t>…e Instrucción pública, Otro sobre ia solicitud de D. Vicente Tañamao, platero de acordaron que pasasen á la dirección de estudios para que infor me las siguientes exposiciones: de D. Francisco de Paula, Mar Barcelona; opinaba que podía accederse á su solicitud. Aprobado. tínez , vecino dé Granada, pidiendo á las Cortes una ayuda de Otro sobre la exposición del gobernador, comandante gene ral y ge fe político de Ceuta, matufestando Jos perjuicios que se cost…</t>
  </si>
  <si>
    <t>…e ha servido determinar que las Lándrts 5 de Julio. encomiendas y rentas de los Sermos. Sres. Infantes D. Carlos El brick francés llegó el miércoles í Liverpool f viniendo María y D. Francisco de Paula queden sujetas á la contribu de Buenos-Aires, de donde salió el 24 de Abril: trae las noti ción general del reino y subsidio eclesiástico, conforme te dig cias siguientes: nó S. M- mandarlo en su Real decreto de 30 de Mayo de 1817. » Santiago de Chile 16 de M…</t>
  </si>
  <si>
    <t>Pavía, Josef Feimin</t>
  </si>
  <si>
    <t>Josef Feimin Pavía</t>
  </si>
  <si>
    <t>…a: se contaba con grande Ha entrado en este puerto la corbeta de guerra Diana , su coman apoyo en España, y con una revolución en Madrid; se van desenga dante el teniente de navio D. Josef Feimin Pavía , de la Havana en ñando los españoles, se unen los partidos, no h^jr los choques viólen 39 dias, con 15,300* onzas de oro acuñadas, 413,452 pesos fuertes los que se esperaban, pues ya temen los franceses atacar á la Espafia en plata de varios cuños, dos cajon…</t>
  </si>
  <si>
    <t>Pavón, Clemente</t>
  </si>
  <si>
    <t>Clemente Pavón</t>
  </si>
  <si>
    <t>…del Sr. González Alonso, reducid* O-Daly; y al teniente del batallón de la milicia nacional activa á que las oficinas encargadas de la liquidación de suministros he— . de Talavera D. Clemente Pavón por oficial auxiliar del estado chos en la guerra anterior continúen sin interrupción , y bajo to mayor con destino á la división provisional. El segundo ayudante da responsabilidad, en el desernpeñp de su obbgac.on. be declaró general gefe interino del estad…</t>
  </si>
  <si>
    <t>Payo, Sousa de S.</t>
  </si>
  <si>
    <t>Sousa de S. Payo</t>
  </si>
  <si>
    <t>…cer á la voz de sü patrié, abandonando é Al Sr. Pamplona deGlitéteal, conde de Stib-Serra, por dos los minios qué habiénabandocado ¡os intereses de la España. generaciones. 1 • Al Sr. Sousa de S. Payo , vizconde de Sta.* Marta, por dos • ’ •"••• •’ • ' Tdem. »j. J generaciones. ... ' ' Lod fohdos ingleses-y extrangeros se mantienen mity firmes, Ademas ha provisto muchas encomiendas y canonicatos. á pJsar de que son menos activas las especulaciones que la a…</t>
  </si>
  <si>
    <t>Paz, Bartolomé Ortiz de</t>
  </si>
  <si>
    <t>Bartolomé Ortiz de Paz</t>
  </si>
  <si>
    <t>…en el TrocaJero y delante del nueve de ia mañana para celebrar en su posada junta general de Puente Suazo: S. A. R. se habia trasladado ya á Chichina, y acreedores á los bienes de D. Bartolomé Ortiz de Paz, vecino comunicado las órdenes de ataque, de modo que solo faltaba la de la ciudad de Segovia; lo que se hace notorio á los interesados última'señal, cuando el enemigo, conociendo que no podía resis que no han podido ser citados personalmente. tir á las fuerz…</t>
  </si>
  <si>
    <t>…odo el corriente mes de que conquistadores, no han querido oscurecer con debilidades Noviembre. el esplendor de su gloria; la han querido toda entera, pura y sin Los acreedores de D. Bartolomé Ortiz de Paz, que no hubie mancha, como la bandera que los guia, digna de la causa que sen acudido á la escribanía de D.Claudio Sanz á presentar y jus defienden, y digna sobre todo del augusto General que idolatran, tificar sus créditos por sí ó por medio de procuradores,…</t>
  </si>
  <si>
    <t>Paz, Juan</t>
  </si>
  <si>
    <t>Juan Paz</t>
  </si>
  <si>
    <t>…sto de los Sres. siguientes: dos el Sr. Cano. D. Juan Antonio López, D. Vicente Segurado, D. Zoilo Gómez En 17.0 el Sr. González Aguirre por 79 votos, habiendo tenido uno Casero , D. Juan Paz , D. Antonio Diaz del Moral, D. Francisco Cocada uno de los Sres. Valdés, Bustos y Cano. Jombo, D. Juan Manuel de Aréjula, D. Casimiro Martin, D. Joaquín En la r8d votación quedó electo el Sr. Romero por 85 votos, ha Manrique y Manrique. biendo tenido uno el…</t>
  </si>
  <si>
    <t>…n de la milicia nacional activa y del segundo reemplazo D. Isidoro Franees Cabañas. D. Josef Segundo Moodejar. extraordinario del egército, ha tomado todas las disposiciones conve D. Juan Paz. D. Josef Escarano. nientes para que uno y otro servicio se verifique con ia brevedad que D. Manuel Ledesma. D. Tonbio Roldan. exige su importancia; y sin embargo de las dificultades que se han D. Benito Medrano. D. Francisco Rodríguez de Gue ofrecido con mot…</t>
  </si>
  <si>
    <t>…tanto en la imprenta nacional Aguii.:ra, D- Antonio Gamonal, D. Francisco Barra, D. Nicolás de esta capital, como en la misma en Sevilla, é igualmente que en to Hered.ro Mayoral, D. Juan Paz , D. Manuel Carnicero , D. Valentin das las principales administraciones de correos, de las de partido y es Recio y D. Tomas Torresano, calificaron con la fórmula de absueltos tafetas, á los precios siguientes: los períodos del número 5.0 del periódico titula…</t>
  </si>
  <si>
    <t>Pc-dralvez</t>
  </si>
  <si>
    <t>…upuesto que cons jon, á lo resuelto sobre el art. i.° del proyecto de tribunales es taba la elección en el acta. peciales. Del Sr. López del Baño á la ultima parte del art. 2.“ El Sr. Pc-dralvez contestó que aunque esto r.o era una impug del segundo decreto sobre las medidas extraordinarias propuestas nación , no obstante- las CórU-s conocerían que era un deber de la por c-1 Gobierno , y á los decretos tus y cuatro. Del Sr. Sánchez comisión no omitir…</t>
  </si>
  <si>
    <t>Pcdialvez</t>
  </si>
  <si>
    <t>…ctamen de los tres diputados provinciales de Orense, derogado el artículo ó.° del reglamento de Instrucción pública. Viilafranca y Oviedo, que tanto mérito habían contraído opo El Sr. Pcdialvez dijo que la comisión no se negaria á que niéndose y votando en contra de lo que el General Morillo ha no se comprendiesen en esta disposición las ciencias médicas. bía propuesto en la junta que reunió, y cuyos sugetos deseaba Habiendo manifestado el Sr. Sotos…</t>
  </si>
  <si>
    <t>Pcdralvez</t>
  </si>
  <si>
    <t>…idan en ter contribuciones para ver lo que corresponde propovcionalmente á ritorio francés , y no se presenten en el español libre en el tér cada provincia. mino de seis meses. El Sr. Pcdralvez : Los repartimientos de contribuciones deben El Sr. Saavedra: Yo estov conforme con el esp'r’tu de este tener por base la igualdad posible entre los contribuyentes, de la artículo; pero no con su redacción , pues por c¡ se van á ver en cual han de cuidar escr…</t>
  </si>
  <si>
    <t>Pcixoto</t>
  </si>
  <si>
    <t>…grande, por lo tanto seria el mayor absurdo el entregar á la Reina i un tri alábente todos los pueblos t bunal. •&gt; Solimán , hijo de Mabomed el hijo de Abadallah, á quien Dio» El Sr. Pcixoto dijo:I!u tres representantes, yo quisiera manifesta perdone , y se digne conceder su gracia &amp;c. ros que esta di.cusion no debía haberse suscitado en est- I mplo del » Al grande, poderosísimo Sultán y sublime Rey, Soberano ¿í honor. Poitugucses, este asunto dr…</t>
  </si>
  <si>
    <t>Pcrez, Basilisa Pinilla y</t>
  </si>
  <si>
    <t>Basilisa Pinilla y Pcrez</t>
  </si>
  <si>
    <t>…gado del Sr. D. Manuel Josef Rubio, primer Tesiente de Corregidor, y escribanía de D. Miguel de Llama, está 1,879.... 16000 ps. fs........ .... Cádiz. radicada la testamentaría de Doña Basilisa Pinilla y Pcrez, na 4,143.... 5000.................... .... Madrid. tural que fue del lugar de Vicálvaro, que falleció en ella el dia 8,702.... 1000.................... .... Idem. 9 de Junio último, nombrando por herederos á su marido 13,684.... 1000.................... ....…</t>
  </si>
  <si>
    <t>Pcrez, Francisco</t>
  </si>
  <si>
    <t>Francisco Pcrez</t>
  </si>
  <si>
    <t>…ncipio á la enseñanza en la escuela especial de vete rinaria de esta corte el dia 2 de Abril á las jo de su mañana con una ora Contribuciones. Rs. de vn. ción inaugural, que leerá D. Francisco Pcrez, catedrático de la misma , ha Por la general de los seis prístelos. acordado la junta de catedráticos se manifieste al público para conoci meses de 1820............................... 55,921-29 miento de los que aspiren á matricularse : los requisitos necesar…</t>
  </si>
  <si>
    <t>Pcrona, Vicente Lozano y</t>
  </si>
  <si>
    <t>Vicente Lozano y Pcrona</t>
  </si>
  <si>
    <t>…erarios y á los existentes en lo? depósitos. Artí D. Domingo de Muruaga, tesorero de la provincia de Logroño, culo 6° No obstante lo dispuesto en el artículo anterior los gene y á D. Vicente Lozano y Pcrona , secretario del Gobierno polí rales en gefe podrán premiar los servicios extraordinarios en ac tico de Valencia , igualmente emigrados. ción de guerra y de gran riesgo fuera de ella, ascendiendo a cual quiera que se distinga, aunque no le corresponda por su…</t>
  </si>
  <si>
    <t>Pe</t>
  </si>
  <si>
    <t>…bien dar el mando de la columna de tropas que ha de S. Sebastian á la sazón que también se hallaba el Trapense. Aquel esta escoll ar 1a marcha de los señores diputados ai teniente general D. Pe ba muy triste y de mal humor, causado por las malas noticias que ha dro de la Bárcena, inspector de milicias. bían recibido de España, y este echando bravatas de que JaFrancia pare A la comisión de Comercio se mandó p3sar una solicitud de la ce burlarse de el…</t>
  </si>
  <si>
    <t>…go que se oyó el anuncio de que se acercaban ya Granada g de Abril. SS. MM. y AA. á esta capital empezó un repique general de El Sr. general en gefe dei teiccr egército de reserva D. Pe campanas, que unido á las salvas de artillería, puso en movi dro Villacaxnpa, de acuetdo con el Sr. comandante general de miento y espectacion á todos los hablantes, que se apresuraban este distrito, J;a reforzado los ¿o caballos de Nuniancia, 20 á tomar siti…</t>
  </si>
  <si>
    <t>…mpondrán las tropas que se hallan semejante contravención. — El gobernador interino, López. = en el noveno distrito. Es copia. == Leglisa. Primera brigada. La mandará por ahora el brigadier D. Pe dro Cevallos, comandante militar interino de la provincia de Sabemos haber llegado á Cádiz un barco de Cataluña, que ha Málaga. Gefe del estado mayor, que lo será de la división, el pri traido noticias de Barcelona hasta el 2 3 de Abril. En una carta mer ayud…</t>
  </si>
  <si>
    <t>…el verdadero objeto de la proposición, y de ningu en el noveno distrito. na manera el que queden sin cumplirse las cargas espirituales ni Primera brigada. La mandará por ahora el brigadier D. Pe de justicia; y siempre que se convenga conmigo en esta base de dro Cevallos, comandante militar interino de ia provincia de que las manos muertas deban dejar la propiedad, yo convendré Málaga. también con el Sr. preopinante en que .no: se debe dar el efecto E…</t>
  </si>
  <si>
    <t>…e Mayocapital hasta que la España, obligando á los franceses á poner 2 00S hombres mas acade los Pirineos, produjo ¡a evacuación Gefe de día el teniente corone! capitán de ,a Rema D. Pe de aquel país, y Federico Guillelmo pudo restituirse á su pala dro Noríega.__Servicio a pamao ¡a Rema y milicia naciona: ¡ccio? Napoleón que se traslada á España por el mal éxito de las cal de Sevilla, á ¡as órdenes del coronel del primeroD. Francisco primera…</t>
  </si>
  <si>
    <t>…es, se trata denión se accediese _á-su solicitud. Aprobado. incompatibilidad de dos empleos: ciertamente que no es po-ible La comisión de Legislación , en vista de la solicitud de D. Pe que un juez que sea imi tar y al mismo tiempo desemp.-iu- aquel dro Alvaiez de Toledo -, vecino de tVelcz—Máiaita, relativo á que destino , porque la ley prohíbe dejarle : per ie&gt; mismo creo que sg le comprenda en el decreto de 4 de Enero de 1823 , era de deb…</t>
  </si>
  <si>
    <t>…capital contra la costa de Ari ít struccion pública. Aprobado. ca , sin embargo dei arte con que ha procurado disfrazarse su to La comisión de Guerra , en vista de la adición del Sr. Pe— tal destrucción. El Sr. A ¡varado de=pues de ocuitar maliciosamen dralvcz al art. ió del reglamento del cuerpo de farmacia mili te ej numero de victimas que ha sacrificado en su temeraria em tar , opinaba que debia redactarse dicho art. 16 en la forma si pre…</t>
  </si>
  <si>
    <t>Pé, Angel</t>
  </si>
  <si>
    <t>Angel Pé</t>
  </si>
  <si>
    <t>…on con mucho Manuel Lacerda , cubriendo el costado derecho de la posición el valor, y de las que no entraron en acción se vela en sus caras el lar ilion 13 dr línea al mando de su comandante D. Angel Pé sentimiento y los deseos de batirse y de llenar el jurafnento , que rez , y el flanco izquierdo también cerrado en masa el 2 r de So repito , de Constitución ó muerte. Finalmente aunque me propu ria al cargo de su ge fe D. Tomas Mczguer, situando los cuerpos…</t>
  </si>
  <si>
    <t>Pé, Antonio</t>
  </si>
  <si>
    <t>Antonio Pé</t>
  </si>
  <si>
    <t>…y el or la Reina y la milicia nacional local de Madrid, á las órdenes del den en la capital, es justo y razonable que hagamos lo mismo comandante del segundo batallón de la misma D. Antonio Pé con el ayuntamiento de esta ciudad, deuda que creemos satisfacer rez Duran___Congreso y archivo la milicia nacional local de Ma publicándolos siguientes documentos que prueban su desvelo por drid---- Parada todos los cuerpos según lo detallado___Patrullas Ja…</t>
  </si>
  <si>
    <t>Pe, Antonio</t>
  </si>
  <si>
    <t>Antonio Pe</t>
  </si>
  <si>
    <t>…adan del primer batallón. Las hijas del Sr. conde de Ibangrantíe cos de su arrojada barbaridad, ni son tan débiles que antepusiesen tear y bordar las banderolas de dicho batallón. D. Antonio Pe los intereses de ios panes á su adorado ídolo Fernando vit (que rez Vlllatnil, que por sus achaques y ocupación dice no puede Dios guarde muchos arlos para, escarmiento de picaros); en tal inscribirse en el cuerpo, ofrece equipar un voluntario de ios ya conce…</t>
  </si>
  <si>
    <t>Pe, Juin</t>
  </si>
  <si>
    <t>Juin Pe</t>
  </si>
  <si>
    <t>…osef María Villaranda, D. Felipe de la Puente, D. Segismundo rio = Manuei Llórente, Diputado secretario.” =Por tanto mandamos á Moret, D. Domingo Banceí, D. Juan Bautista Carrera, D. Juin Pe todos los tribunales y justicias, gefes, gobernadores y demás autorida rez y D. Joaquín María Goñi, por unanimidad ha declarado no haber des , asi civiles tomo militares y eclesiásticas, de cualquiera clase y dig lugar á la formación de cansa. nidad , que gti…</t>
  </si>
  <si>
    <t>Pe, Manuel</t>
  </si>
  <si>
    <t>Manuel Pe</t>
  </si>
  <si>
    <t>…regimiento de la Union , antes Imhasta que se presentara en el distrito ó.cha geneial. Su ayudante de p.nai Aleja: dro, que es de 1600 p'azas, v.-enc : establecerse er Trun, campo D. Manuel Pe/ueia, que llegó ayer, me ha snunc aJb iSu 01- bi ¿-jto es cieno, y .es siguen ais unos otros de los brillantes cuerpos oue cunslancia , que tanto anhelaba , pues vto las glorias que bajo .as órde hay en este quinto distr.to , ¡os franceses experimentarán d-sd…</t>
  </si>
  <si>
    <t>Pe, Maya</t>
  </si>
  <si>
    <t>Maya Pe</t>
  </si>
  <si>
    <t>…s estable ~ O cimientos de ¡nstiuceion difunden entre lo-» negros independientes Viudedades y pendente. de Samo Domingo las luces de que todavía carece la parte espa Viudedades de Doña Maya Pe; alta y de Doñola.</t>
  </si>
  <si>
    <t>Pe-, Josef Mana</t>
  </si>
  <si>
    <t>Josef Mana Pe-</t>
  </si>
  <si>
    <t>…stro cautivo Mon arca el Sr. D. Fernando vii (Q. D. G-) Acompaño ¿ V. E. ¡isla al Sr. secretario del Despacho de la Guerra lo siguiente ■ » F.xcmo. Sr. r El teniente de caballería D. Josef Mana Pe- de todos ios individuos que me acompañaron á tan gloriosa ac drinazi, retirado en *a villa de Aracena , con fecha en la misma ción para que no se oscurezcan unos nombres que necesitan ser á 13 del mes actual me dice lo que sigue.- Excmo. Sr. ¡ Viva el grabado…</t>
  </si>
  <si>
    <t>Pea</t>
  </si>
  <si>
    <t>…as con en cuyo transito los batieron largo tiempo dos bizarras compa tinuaba su marcha para ocupar á Braganza. ñías de Jos voluntarios nacionales; hasta que habiendo cargado so El general Pea o se ha visto obligado á poner en ejecución bre ellas franceses, se retiraron. Estos hic'eron fuego á la pla la ley marcial contra el pueblo de la Trinidad, porque ha tenido za , y acercándose al glasis se dispararon contra ellos varias pie el atrevimiento de…</t>
  </si>
  <si>
    <t>Pecheux</t>
  </si>
  <si>
    <t>…or consecr;encía el templo de Sa chsradas, habiendo sufrido una lluvia de metralla. Por otra par lomón que simbólicamente la representa. te la división 12.a, al mando del teniente general Pecheux, com puesta del 20.“ligero, 33.0 y 40.0 de línea, sostenida por el 3.a Comprobación de lo alegado, deducida de muchos y vehementes de húsares, obraba en unión con la división española á Jas ór indicios. denes del teniente general cond* de España frente á la o…</t>
  </si>
  <si>
    <t>Ped</t>
  </si>
  <si>
    <t>…v dirse en seis volúmenes: cada uno corte, y profesor de arquiteauraen ella , se comprendieron Don de ios d&lt; s del Nuevo Testamento constaran de unas 400 pág¡. Cristóbal Cabrero, D. Ped o Antonio Fernandez Rriuz, Don ñas cada uno de ellos, El primero, que contiene los Santos eoan. Dionisio PerezGü'rra, D. Francisco Vcrgara , D. Francisco ¿elios y los Hechos de los Afistoles, esta ya impreso, y puede García, D. Jaime Fabregucs Boisar, D. Fran…</t>
  </si>
  <si>
    <t>Pedeport</t>
  </si>
  <si>
    <t>…echo D. Josef Matías Cablera de la judica el barón Gressot, el vizconde Vallin, el vizconde Toussaint , ei viz tura de primera instancia del partido de S. Julián de Poulo ha queda conde Pedeport , el vizconde jamin, el vizconde Vasserot , el barón do vacante esta plaza, y para su provisión se admiten memoriales po( Berge , el barón Ordonneau ,’el conde de Meynadier, el barón Vin- término de 30 dias. cent , SchaetíVr, el barón Haber, el vizconde Vione…</t>
  </si>
  <si>
    <t>Pedesbaratados</t>
  </si>
  <si>
    <t>…es,;,quienes bajo el .fuego del enemigo.venían á enseñar las les, después de haber opuesto una obstinada resistencia, fueron veredas poj donde podría, ser alcanzado y. cortado. £1 general Pedesbaratados , puesto* en completa derrota y perseguidos hasta ileporijpnió perfc&amp;uspír,t« sus disposiciones, y fue muy bien dos leguas mas allí de Guadalhortuna por los cazadores de los auxiliado por el _gepcral Buchet con-fil *4,° y el 39.° de línea. regimientos so.° y…</t>
  </si>
  <si>
    <t>Pedio</t>
  </si>
  <si>
    <t>…destinado el 29 para el movimiento, y ai ef-cto co sar,- de su fatuta por ‘e larga jornada, y reservarse de la intemperie de municado las órdenes al teniente coronó de artillería D. Pedio del un pai- todo cubi. no de nieve. Barco , para que situándose con 200 hc;.ab: s de Jos cuerpo i Je milicia Todo el ¡2 p unanec.mos en Torija, hasta que á cosa de las ocho activa del Ferrol , Santiago y voluntarios de Aragón , piccurase re ¿r i a toch- se te…</t>
  </si>
  <si>
    <t>…oledo 1). F.-l.x Gauano, el segundo ayudante de Trujimas y mas vuestra mutua correspondencia, y haciéndo.o asi , el triun 11o D. G-briel Gotiz: -z Líanos, el teniente m. de Cuenca D. Pedio fo es indudablemente de la libertad. Y vosotros, pacíficos lub.tantes Trúpita, y ei suLtenieute del primrto D. Joaquín L zana , no siendo de esta provinciapodréis cejar de cstri-cnar también 1 tresnas rela menos r:conicndsb.e el subteniente de Zipadoies L&gt;. I…</t>
  </si>
  <si>
    <t>…lian hecho ha sido.....cu tomaba por su yerno ¡ y en este caso, si los alia daño nuestro. dos hubieran ya consentido en el reconocimiento de, esta nueva legitimidad, y el infante D. Pedio qui siera desistir de sus nuevos derechos, resultarían nue La actual situación de Portugal, reducido-de nue vas dificultades, cuyo «lesenlace no se puede preveer. vo á gobierno absoluto, «Jebe hacernos esperar otros El lipinpo nos liará-ver todavía acontecimi…</t>
  </si>
  <si>
    <t>…p de.S. M, .- , El Rey nuestro Señor se ha servido nombrar Gobernador Art. 4.0 La columna del Mariscal de-Campo D. Juan Mar militar y político de la plaza de Alicante al Brigadier D. Pedio tin el Empecinado queda comprendida en-el artículo primero: lo Fermín de Irriberri. quedan asimismo las compañías constitucionales-de las diputado-, Idem 28. nes provinciales existentes en la provincia, como también los SS. MM. y A A. continúan sin experiment…</t>
  </si>
  <si>
    <t>Pedr</t>
  </si>
  <si>
    <t>…ible pérdida de rar personalmente, habiéndolo concedido solamente al miliciano cinco muertos , 46 heridos, inclusos siete oficíales y cinco contu voluntario de la villa de Rosales D. Pedr® Borunda , que al efec sos, los que pudieron recogerse, entre ellos el dignísimo Casano, to se presentó armado; que todos los oficiales y tropa, los guias cuyo rescate , hecho por un segundo avance dirigido por el salineros, y cuantos concurrieron á la expedi…</t>
  </si>
  <si>
    <t>Pedr.iivez</t>
  </si>
  <si>
    <t>…ado et, Madrid las cortes de Austria, Ru nio el Sr. Valdés Bustos por 111 votos del toiai 127 ; tsnier.de 3 el sia y Prusia puede ser desconocido por un frenesí revolucionario , y Sr. Pedr.iivez , 3 el hr. Pacheco, y uno cada uno de los Srer. Falcó, puede desaprobarlo una política superficial: peto una política prokinóA Toiré, Nuñez ( D. Toribio), Tomas y Eagasca. 110 podrá menos de respetarlo. Este lenguaz; no es ei de una cec..'.ra Hn la votación p…</t>
  </si>
  <si>
    <t>Pedral</t>
  </si>
  <si>
    <t>…e por declaración flecha «ron juramento de man c'ai de Clrinci.ü'j y de! aviiotcmi.nto^ccnst itreional de ídem, dirigi dato judicia..” das por el C'.ruJus.io del ( i 'L'ierr.C. E¡ Sr. Pedral vez : Es tan obvio como justo el objeto de este artícu D- las milicias coi unta: las d. in'artena y caballería de Yaienc.a di lo ; pero ; lo» medios qn- pira cons-guirio se proponen sm oportuno,! Alc.irtara , p:es r.ta.Ja por el fir. Montesinos. Si d muestro…</t>
  </si>
  <si>
    <t>…uesto ayer por algunos señores, veniente en que se apruebe este artículo. Se declaró el punto suficientemente discutido , y quedó aprobado *1 principalmente por el Sr. "Valdés. El Sr. Pedral vez se ha fundado en el art. 105 de la Constitución artículo. para impugnar el que se discute í pero ademas de lo que ha manifesta Se mandó pasar á una comisión Especial un oficio del Gobierno, do el Sr. Marau diré que no oc. hallamos en el caso de aquel artí…</t>
  </si>
  <si>
    <t>…lan en el d a.” los documentos originales. \ probado. Aprobado. La misma comisión, en vista de la consulta del intendente de esta Se mandaron pasar i la comisión dos adiciones del Sr. Pedral vez provincia en virtud de las proposiciones que hizo el ciudadano D. Jo-rf á los arts- 14 y 17 de este proyecto. bel les, comandante de la partida destinada á perseguir el contrabando, La comisión de Hacienda, en vista del proyecto presentado por el opinaba…</t>
  </si>
  <si>
    <t>…omisión sus medidas, es que son tales las circunstancias que ción, y para que lo ponga en noticia de las Cortes. impelen y autorizan para adoptar medidas de esta especie; y asi El Sr. Pedral vez: En iugar de hacer objeciones contra este •s necesario dar al Gobierno esta acción , arbitraria si se quiere, artículo me contentaré con presentar dos dudas que deseo satisfa yero indispensable. En este momento debíamos examinar lo pri ga la comisión. mer…</t>
  </si>
  <si>
    <t>Pedral-</t>
  </si>
  <si>
    <t>…bí» accederse á esta solicitud por las razones que se alegaban. Apro del cap. 5° del reglamento de medicina militar.” bado. ‘ A consecuencia de algunas observaciones hechas por el Sr. Pedral- La misma comisión de Hacienda, habiendo examinado la solicitud vez , la comisión retiró este artículo para redactarlo de tu vo. del duque de Frías sobre la liquidación de vanos documentos, era Art. 18. » El reglamento de hospitales determinará el número ne de op…</t>
  </si>
  <si>
    <t>…o á su señoría que se sirviese repetir el artículo. ignorancia del escribano. El Sr. secretario de Gracia y Justicia dijo que el Gobierno Ademas de estos dos defectos dijo ayer el Señor Pedral- creia que podía reducirse el proyecto á dos artículos , consideran vez que había otros varios , que manifestó. Dijo su señoría do á los empleados de que se trata , divididos en dos clases: pri que mas bien que copia del acta era un resumen lo que se ha mera,…</t>
  </si>
  <si>
    <t>Pedralv-ez</t>
  </si>
  <si>
    <t>…diante i'rqtin hay el local suficiente, r, íiauí,! y de Hacienda.” y que en la provincia no faltan medies de verificar su instalación, Continuó i;a discusión sobre una adición del Sr. Pedralv-ez á ornaba que pasase esta proposición á'la dirección general de Es uno de los artículos del reglamento de medicina militar. tadios para que informe y lo remita á Es Cortas. Apiobado. La comisión varió su dictamen, y opinaba debía añadirse al Se leyó una txpoyc…</t>
  </si>
  <si>
    <t>Pedralvcz</t>
  </si>
  <si>
    <t>…. preopinantes que han impugnado el artículo, porque se tado desde el día en que se entregó el quinto en la caja. han fundado en principios muy filosóficos; pero en materias de El Sr. Pedralvcz: Tomo la palabra cij contra de este artículo, esta naturaleza, particularmente cuando se desatienden las cir porque hallo en él un fondo de injusticia.La ley, señor, en tanto cunstancias críticas y verdaderamente extraordinarias en que nos es buena en cuanto…</t>
  </si>
  <si>
    <t>…omisión de Comercio, en vista del expediente promovi cieñe.as naturales y exactas. do por el capitán del bergantín sur.;:, titularlo Europa, proce Se leyó) el voto particular del -Sr. Pedralvcz ,-en el que mani dente de Marsella, era de opinión que accediendo á lo que este festaba que á pesar de la deferencia que siempre habla tenido para interesado pedia, declarasen las Curtes que debían admitirse los acceder á las opiniones de sus compañeros de co…</t>
  </si>
  <si>
    <t>Pedralvez</t>
  </si>
  <si>
    <t>…o puede dudarse , y lo prue y la comisión lo deja ahora al arbitrio de las diputaciones provincia ba el que en todas las provincias de los distritos 5.1’, 6.} y 7.° se han les. El Sr. Pedralvez ha impugnado el proyecto suponiendo contrarias creado , y que el resultado ha sido muy ventajoso para la Nación. Ade á la Constitución las bases en que se apoya. Ha diebo S. S. que solo mas la necesidad de este aumento de fuerza es imperiosa: tal vez se r.os…</t>
  </si>
  <si>
    <t>…facultades que se dan á las diputaciones cias de cada provincia, y á juicio de las diputaciones provinciales. provinciales podrán, estas bajo el nombre de tales compañías crear El Sr. Pedralvez: Los señores individuos de la comisión han mani so, 1 z ó , solo porque ias crean necesarias, y yo creo que debería festado que la creación de esta* compañía; o; en el concepto de interi haberse fijado el número de éstas compañía;: por eso este proyecto e* na…</t>
  </si>
  <si>
    <t>…l númeio que correspondí El Sr. Canga leyó una exposición de ios individuos de la tesorería á cada uno. gtneral, felicitando al Congreso por su decisión en las sesiones del 9 y El Sr. Pedralvez : Para evitar toda equivocación en estos actos, qui 11 del corriente. siera que los números se inscribiesen en letra en las papeletas , y des El Sr. Adan leyó otra de igual mlurtleza, dirigida por los indivi pués se sacasen al margen en guarismo , y también q…</t>
  </si>
  <si>
    <t>…la Guerra." tura suerte de los facultativos de los pueblos, consiguientes á los tres artí culos aprobados por las Cortes sobre su admisión y dotación : 4.0 dos cartas: una del Sr. diputado Pedralvez al catedrático Piguillcny; y otra Necesitando la fábrica nacional del papel sellado goo cajones, de de un profesor de Cartagena al Sr. diputado Lagasca. EN LA IMPRENTA NACIONAL.</t>
  </si>
  <si>
    <t>…onía que reina entre ambos poderes, como las Cortes no pueden menos de aprobar el dictamen de la comisión. ya han demostrado los Sres. preopinantes que han apoyado el dictamen. El Sr. Pedralvez: Me opongo al articulo en cuestión , porque no De este modo s; conservará la fuerza morai y 1? unidad del Gobierno, está en conformidad con lo que previene la ley fundamental en su poniéndole á cubierto de cualquier tentativa; por !o tanto creo no se ne art 1…</t>
  </si>
  <si>
    <t>…rla. E11 tal concepto expido que presidan. Los síndicos tendrán voto como los demas capitulares. con esta fecha las órdenes competentes á los generales en gefe y co A petición del Sr. Pedralvez se aprobó el artículo, añadiendo des mandantes generales de los distritos militares para que tenga puntual pués de alcalde primero , d el que haga sus veces. Art. jó. 33 Bastará que alista la mitad y uno mas. ds los individuos cumplimiento la tesolucion de S.…</t>
  </si>
  <si>
    <t>…an en tal ó tal regimien aprobado. Se mandaron pasar á la comisión dos adiciones de los señores to Ac. Por todas estas razones me opongo al proyecto. Montesinos y Seoane; otra del Sr. Pedralvez, y otra de! señor £! Sr. Canea: Yo en otra ocasión me he opuesto á que los Moure. . cuerpos de extrangeros se establezcan en España; pero era porque El Sr. secretarlo del Despacho de la Guerra concluyó la lec los cuerpos de que se trataba se componían general…</t>
  </si>
  <si>
    <t>…al respeto, á los que turben el orden público, y á los cel , había salvado á la isla de Cuba de mucho» males. que cometan otras faltas en los asuntos pertenecientes á sus atri El Sr. Pedralvez manifestó que por este artículo podrían los buciones. Ninguna multa pasará de 500 duros sino con acuerdo gefes políticos suspender la ejecuc.on de una ley cuando quisie de la diputación. ren , s.n podérseles exigir la responsabilidad por malos que fue Después…</t>
  </si>
  <si>
    <t>…lo__ Congreso y archivo la M. N. L. de Sevilla___Parada La misma comisión presento un dictamen sobre una adi todos los cuerpos según lu detallado__ Patrullas las mismas__ ción del Sr. Pedralvez al art. 40 del reglamento de medicina mi Hospital y provisiones la M. A__ Teatro esta noche á las siete litar , siendo de opinión que debía admitirse en los términos que y media la M. N. de Madrid.__Función de caballos esta tarde á expresaba. las cuatro r. un…</t>
  </si>
  <si>
    <t>…el artículo 308 votos, habiendo obtenido 4 et Sr. Sonroza, 4 el Sr. Cano, 3 el de la Constitución. Pueden suspenderse formalidades para el ar Sr. Melendez, 3 el Sr. Buruaga , 3 el Sr. Pedralvez, y uno cada resto de los delincuentes, pero no formalidades posteriores al ar uno de los Sres. Belmontc , Posadas, Varela, Rojo , Galiano, resto , y la comisión no solamente propone esto sino también que Alvarez (D. Elias), López del Baño y Arellano. se suspe…</t>
  </si>
  <si>
    <t>…n enteradas. 7.0 La eleec on de cabos y sargentos. propuestos según el arti Continuo la discusión suspendida culo g e de la lev constitutiva del cjérc.to, se hará por el primer El Sr. Pedralvez contesto que la impugnación del Sr. Varegefe del cuerpo, previo el dictamen del encargado del detall, sin la se fundal\i toda ella en principios de política y aun de conve cuya declaración de la aptitud del propuesto no podrá hacérsele niencia , y el dictamen…</t>
  </si>
  <si>
    <t>…a de estudios uno mayor y otro menor; por lo que creia no debía el misino señor Secretario. aprolwrse este provecto. Se mandaron pasar á la comisión especial los documentos que El Sr. Pedralvez contesto que se decia que era costosa la di se habían pedido a consecuencia de orden de las Cortes á ios mi rección general de estudios, que no era útil, que participaba de nisterios de ia Gobernación de la Península y Guerra, acerca de un e erto carácter mon…</t>
  </si>
  <si>
    <t>…l artículo , y fue de opinión debia re tros que quisieron descubrir al Rey las profundas llagas del Es tirarse. tado fueron sacrificados á la venganza del ambicioso privado, el El Sr. Pedralvez contestó) á las varias observaciones que se cual tuvo bastante favor y astucia para burlarse de aquellos dos habían hecho, y dijo que no pedia disminuirse el número de di hombres de bien. rectores , pues era imposible que hubiera hombres que reuniesen Los cor…</t>
  </si>
  <si>
    <t>Pedralvrz</t>
  </si>
  <si>
    <t>…decir lo siguiente: „ ú otros eclesiásticos que dependa.” deputen para suministrar las noticias y conocimiento* que se les pidan, En virtud de algunas observaciones hechas por el Sr. Pedralvrz á cuyo fin llevarán y exhibirán los libros parroquiales que sean ne convino la comisión en sustituir en este artículo en lugar de la palabra cesarios. Su asiento set- entre los regidores. El alistamiento se firmará triple la siguiente cuádruple, y en tirar de…</t>
  </si>
  <si>
    <t>Pedro</t>
  </si>
  <si>
    <t>…ota en lar Joaquín Dacdtya, D. Joscí Linar- s , D, Policarpo Santistcbm Morale», grandes crisis se desarrolla de un modo fuera del alcance de todo cál D. Nicolás d= Avila., menor, D. Pedro jerez, D. Juan Sánchez, Don eselo diplomático ; y el fucilo alicantino es el tipo del heroísmo. De es Agustín de Entrada , y D. Andr.s Florera. ta verdad respondan los cónsules extranjeros a sqs nacir net «espectivas. Sres. que lo juzgaron injurioso en segund…</t>
  </si>
  <si>
    <t>…tro vinculaciones que fundaron D. Francisco Henriquez de desde i.° de Octubre deiSri (como se anunció en la gaceta de Gobier Estrada y ZúBiga, Fr. D. Josef Alfonso Clavero y Sesé, D. Pedro de no de 14 de dicho mes de Octubre),y concluye el 31 de Marzo de Peñalver, presbítero, y el Dr. D. Juan de Peñalver , comparecerán 823 , en Sevilla á Doña Gertrudis de Soto, calle Cadenas, núm. 7, por sí ó por sus apoderados en el juzgado de primera instanci…</t>
  </si>
  <si>
    <t>…ro de España , pronunciado en la sesión de lis morial ó representación alguna tro estando escrita en papel sellado, y la C'-rtes extraordinarias de 3t de Enero del año de 1823 por D. Pedro de que con efecto se presentase te delvolverá al que la haya hecho, pre Prado, diputado por la provincia de León. Se vende en el despacho viniéndole la razón porqué note usa de ella , pudiendo solamente ve de Ja imprenta Nacional í 3 rs. nir en papel común la…</t>
  </si>
  <si>
    <t>…en habilitar para que lo desempeñe, mientras, que se. presenta el . con arreglo á sus circunstancias, teniendo la tercera parte del nombrado en propiedad D. Mariano Zorraquin, á ,D. Pedro sueldo correspondiente á su empleo. Aprobado. Gossens, oficia! mayor de la misma secretaría del Despacho de la El Sr. secretario de la Gobernación de la Península empezó Guerra. Tendreislo entendido y dispondréis lo necesario á su la lectura de la memoria del…</t>
  </si>
  <si>
    <t>…on del ra, y que habia nombrado en los misinos términos hasta la lle cuerpo lerpsiat.vo es ciar al Gob.erno todos lo» medios necesar os gada del propietario D. Mariano Zorraquin á D. Pedro de la para poder llevar adelante la marcha del Estado. El primer me Barcena. dio, el único á que debe acud r el Conarcso, es á proporc onar La comisión primera de Hacienda, en vista de ia planta de ¡a ai sjod.cir.o ios medios de adqu.rir dinero: con dmcro mai…</t>
  </si>
  <si>
    <t>…uó y concluyó la lectura de la memoria de la co que se presente el nombrado en propiedad D. Mariano Zorramisión de Visita del Crédito público, la cual, junto con los esta quin , á D. Pedro de la Barcena. Tcndreislo entendido, y dispon dos que la acompañaban, acordaron las Cortes se imprimiese, dréis Jo necesario á su cumplimiento.rzEstá rubricado de la Real corriendo la misma comisión de Visita con su impresión. mano. = Y de Real orden lo trasl…</t>
  </si>
  <si>
    <t>…el Se leyó un oficio del Sr. secretario de la Gobernación de la depósito ó partida, en que este perciba y suministre lo señalado Península , en que les participaba que en lugar de D. Pedro á cada una, no lo resistirán las oficinas de hacienda militar; pe Gocs ens, que ¡labia renunciado el Despacho interino de la se ro la cuenta y los libramientos que se expidan con este objeto cretaría de ¡a Guerra, había nombrado S. M. en los mismos serán ente…</t>
  </si>
  <si>
    <t>…rea, cuyos pueblos á tres leguas de distancia están situados á nar la memoria de la Gobernación de la Península a los Señores pna misma altura. Cuadra, Calderón, Becerra, Alvarez (D. Pedro) y Gener. „Sin embargo de no haber hecho desde Tarazona mas quq Para componer la comisision encargada de informar sóbrelas pn pequeño descanso en Borja la vanguardia, y déla continua proposiciones del Sr. Alonso, á los Sres. Alonso, Cuadra, Sal— observación d…</t>
  </si>
  <si>
    <t>…rimiere sufrirá irremisiblemente Don Josef García, preso en la c-trcel nacional de Cádiz, de la multa de ;oo duros, ademas de cerrársele la imprenta. nunció como injurioso ante el Sr. D. Pedro de la Fuente, alcalde 3.0 El autor de él, ó el individuo bajo cuya responsabilidad ó constitucional , un párrafo del periódico titulado el &gt;.Vde firma se haya impreso , será tratado como perturbador de la tran JUeyo, núm. 103 de 20 del actual; y retiñido el j…</t>
  </si>
  <si>
    <t>…que de orden del Gobier Continúan ¡os documentos adicionales presentados al Parla* no les hizo presente V. E. en oficio de 5 de Marzo último, re mentó de Inglaterra. lativo á que D. Pedro de la Puente, hermanos y compañía, del Fra&gt;'d&gt;. Núm. i.° El Sr. secretario Canning ai Sr. Car comercio de Cádiz, han cargado en ía salina particular de Don los Stuart. (Extracto.)—Secretaría de Estado Marzo 31 de 1823. lucas Zuluaga 88 cahíces de sal con dest…</t>
  </si>
  <si>
    <t>…france V dispondréis se imprima, publique y circuk.=Rubr¡cado de la ses cruzando distantes en el cuarto cuadrante. Real mano.=2 En el-Alcázar de Sevilla á 3 de Mayo de 1821?. — A D. Pedro de la Barcena. ARTICULO DE OFICIO. Circularas del ministerio Je Guerra. Por partes que el Gobierno acaba de recibir se sabe que el Por el ministerio de la Guerra se ha circulado la Real or general Ballesteros, que con 89 infantes y 19 caballos habia en den si…</t>
  </si>
  <si>
    <t>…s que ocu ra su cumplimiento. 2= Está rubricando de la Real mano. 2= En el paban á Játiva y Alcira las han abandonado. Es cuanto puedo Alcázar de Sevilla a 3 de Mayo de 1823. 2= A D. Pedro de la manifestar á V. S. por hoy. Dios guarde á V. S. muchos años. Hellin 16 de Mayo de 1823 á las nueve de la mañana 2= El co Barcena.” ronel Manuel Fernandez Reina.” =Lo que doy á la prensa para Ja Los títulos en blanco para los empleados dependientes del m…</t>
  </si>
  <si>
    <t>…Gobernación de Ultramar. ( G.treta de id.') (V-‘ ta a.-i 2 de ia.) Decreto de las Cortes suprimiendo el juzgado especial de es- De cato tic S. M. admitiendo la renuncia hecha por D. Pedro polios y vacantes. (Gaceta ¡tel ¡$. ) Goossens del cargo de habilitado para el Despacho de la Guerra, Decreto de las Cortes, sancionado por S. M., mandando se y nombrando a D. Pedro de la Barcena. (G'&gt;reta i. t a.) observe lo dispuesto en los sets. t.ü y 7.0…</t>
  </si>
  <si>
    <t>…putaciones provinciales, hatebuonos al porta Condescendiendo con las repetidas instancias del teniente ge dor, que se entregarán al contribuyente en el acto del pago , á lin neral D. Pedro d_ la Barcena para ser relevado del destino que cíe que sin pérdida de tiempo puedan emplearlos en la compra de interinamente desempeña de mi secretario de Es»ado y del Des lincas, conservando las matrices para acreditar la legitimidad. pacho déla Guerra, he…</t>
  </si>
  <si>
    <t>…rjuicio de lo preve::ido en San diez Salvador para desempeñar interinamente la secretarla de la ley de y de Octubre de 1820 opinaba que ¡as Cortes podían ia Guerra por dimisión de D. Pedro de la Barcena, que tam aprobarla. Aprobado. bién la desempeñaba interinamente: y á D. Salvador Manzana La comisión de Legislación, en vista de una solicitud de treinta res para desempeñar Ja secretaría de la Gobernación de la Pe labradores de la provincia de…</t>
  </si>
  <si>
    <t>…on las demas El Sr. secretario del Despacho de la Guerra en Real orden contribuciones. Siempre que se haga esto por separado habrá im de este cüa me dice lo que sigue: Al teniente general D. Pedro pugnaciones por parte del clero; no podremos averiguar los pro Villacampa digo hoy lo siguiente : El Rey ha tenido á bien re ductos de ¡os bienes que tiene en su poder , v el resultado será solver que V. E. reúna el mando político al militar de esta pro que n…</t>
  </si>
  <si>
    <t>…de tener pase según se prescribe en la nueva ordenanza. los bagages en el ejército, para lo cual so observarán los artículos Alcázar de Sevilla......de................. de 1823.=A Don Pedro de siguientes: , Bárcena, . , i.° Los regimientos de infantería y zapadores no usarán en lo sucesivo ollas grandes de cobre, ni tendrán rancheros, ni ácé- Administración de correos. inilas destinadas para su conducción. El fiarte que debió .llegar ayer desde…</t>
  </si>
  <si>
    <t>…I. I. aña En el número anterior indicamos algunas noticias dió todavía qu«* cualquiera «jue fuesen sus sentimien de l’orlugal, y pudimos haber publicado muchas mas tos para con el príncipe Don Pedro, nunca poilria pilando el «mndmHn por dón.le las recibíamos, y «pie aprobar su resolución de tomar el titulo de empe dalinn cierta probabilidad de asenso; pero tememos rador.” «lar tirina-asila cooli inv.a á los nimiamente crédulos, Pisto hace ver que el prín…</t>
  </si>
  <si>
    <t>…al conocimiento dor encargado de la Real jurisdicción de esta villa D. Manuel de S. A. S. la Regencia dei Reino para su satisfacción, y que ds Moya que en su término se hallaba el brigadier D. Pedro vea que si 40 vecinos han podido destrozar 87 soldados de línea &lt; qué so ha Ramírez, ex-comandante general de la titulada provincia de con un general i la cabeza y gefes de graduación, rán lodos sus habitantes, pues que tanto hombres como niños Huelva, con 87…</t>
  </si>
  <si>
    <t>…tenientes; cor .nosotros: hombres, mugeres, niúo.s cstaban.de, rodillas;, y;nos róñeles. , „ tendían ios .brazos. Lo qu; os digo, mi general ¿ es á :ía letra. Don Timoteo Larrea, D. Pedro -Saioz, Josef Fernandez, Ellos nos rodeaban , nos abrazaban , nos iiaüUbaja sus ilibertaAlonso Caneda, Josef Eouzas, D, Juan Magadan , Narciso dores: las voces di viva la JTranda , .viva el,'Rey Luis ser111. Alonso, Juan Teixtdo,, Ignacio de Barros, D, Franci…</t>
  </si>
  <si>
    <t>…on la los de alianza que unen al Emperador de Austria y al Empera salvaguardia del Aragón y el terror de cerca de 38 liberales dor actual del Brasil; este último (el Príncipe Real D. Pedro de que guarnecen la plaza de Lérida, pues no se atreven á salir de Portugal} es yerno del Emperador de Austria. Esta conducta ella hacia esta parte: mi posición hasta la rendición de Monzon es una nueva prueba de la alianza íntima que subsiste entre la* ha si…</t>
  </si>
  <si>
    <t>…. mariscal de campo D. Antonio Benavides; para la de togado á Tales son la situación y sentimientos de la vilia del Carpió , á D. Manuel Josef de Arbizu, y para la da secretario á D. Pedro cuyo nombre el ayuntamiento del año de 18:0, que se halla £ Díaz ¿a Ribera, quedando sujetos á purificarse los que ya no lo su cabeza, felicita i V. A. S. por su instalaci n, y ruega ai To ésten. Tendreislo entendido, y lo comunicareis á quien corres dopodero…</t>
  </si>
  <si>
    <t>…enos emplear otras la mayor influencia en Ja suerte futura de Portugal. El haberlos armas que la razcm y la .justicia contra los particulares. Si puede puesto bajo el Gobierno del emperador Pedro, es una ventaja hacérseles algún cargo será por la demasiada sencillez y confianza importante para los invasores de la península, porque sus servi mas que generosa del senado napolitano , cuando á pesar de toda cios podrán emplearse con mucha utilidad cuando…</t>
  </si>
  <si>
    <t>…en-libertad t repitiendo mil vi Campo D. Diego Ballesteros; y para la Inspección general ca vas , que mezclaban coi» lágrimas del mas puro placer. Los volun ballería al Brigadier D. Pedro ’ So toma yor, que la servia interi tarios Realistas, tínica ttopá que aqui se haila, cubrió el servi namente. cio de la plaza, dando primero mi paseo militar con una gra Idem 77. ciosa miisica de aficionados. Al mismo tiempo el Contador de la SS. MM. y AA. h…</t>
  </si>
  <si>
    <t>…os a este Vicente Sancho.—Es copia.—El Gefe de Estado mayorcr Aguado. efecto por el Sr. Teniente General Vizconde de Bonnemains, Co mandante de dicha sexta división; y por la otra D. Pedro de — El Sermo. Sr. Duque de Angulema al partir para Francia ha Aguado, Coronel, gefe de Estado mayor del octavo distrito, ca nombrado General en Gefe de todas las tropas francesas que ballero de segunda clase de la orden Real de S. Fernando, Don ocupan la Pen…</t>
  </si>
  <si>
    <t>…nzas; y nadie negará sirvan dar la correspondiente noticia en la escribanía de Cámara que es muy mala situación esta para un país y unos hombres de dicha Sala, que está á cargo de D. Pedro losef delbabé. dotados de una gran movilidad natural, que es necesario contener. Por providencia del Sr. D. Antonio Alvarez de Contreras, ,,La Francia debe conocer á sus legisladores, y no puede con juez protector de los Reales Hospitales, y escribanía de D.…</t>
  </si>
  <si>
    <t>…ia realis ción en nombre del Ayuntamiento de Bilbao, compuesta del ta de esta vuestra ciudad de Almagro, capital del partido de Ca- Excmo. Sr. General D. Francisco Ramón de Eguía, D. Pedro latrava, con profundo respeto y acatamiento se acercan al Tro Novia de Salcedo y el Teniente Coronel D. Juan Ramón Mar no, tributando á V. M., á la Reina nuestra Señora y Real tí , por la feliz conseguida libertad de SS. MM. y A A., del modo Familia los mas a…</t>
  </si>
  <si>
    <t>…general respectiva; d hiendo acreditar por testimonio de otros españoles que se ha de celebrar en seguida, á D. Francisco Ortiz, en ]a calle comprometidos acérrimos decididos. de D. Pedro, núm. 3, cuarto 2.0, todos los días desde las tres . 8.° Los sueldos y prest de cada clase, modo de percibirlo, y de la tarde en adelante. demas consiguienteá su asistencia, protección y sigilo, debe que Por providencia del Sr Corregidor de esta villa , dicta…</t>
  </si>
  <si>
    <t>Pedro, Juan</t>
  </si>
  <si>
    <t>Juan Pedro</t>
  </si>
  <si>
    <t>…de S. Fernando. recorrer las inm diaciones en busca de alguno» otros facciosos, regresó El Sr. Rico: Aunque de algún modo estoy conforme con el señor la partida á la"cortijada ile D. Juan Pedro. El prisionero se llama Ja- preopínart , debo advertir que este asunto no ha venido á las Cortes pa s;í Mana de la Torre , vecino de Lorca. La facción se había reunido ra que aprueben el plan, sino para que concedan los terrenos que se pi en el cortijo de Mig…</t>
  </si>
  <si>
    <t>Pedros, Vicente</t>
  </si>
  <si>
    <t>Vicente Pedros</t>
  </si>
  <si>
    <t>…erra. Se leyó un oficio del Sr. presidente del tribunal de Cortes, acompa nEn las circunstancias en que se halla la España , próxima á sufrir una ñando la dimisión que habia hecho D. Vicente Pedros* del encar ¿o de re invasión axtrantera , al paso que se necesitan disposiciones eficaces y activas, lator del mismo, en atención al mal estado de su saiud , para cuva p’aza debe precaverse el inconveniente de la interceptación absoluta, ó á lo me habla sido…</t>
  </si>
  <si>
    <t>Pedroso</t>
  </si>
  <si>
    <t>…[crmac.cn ds csusa al actual br.-&gt; de milicias en cuatro barcos, y no habiendo querido oir los con secretario del Despacho de Gracia y Justicia por haber jnfr,in?¡.;o ¡a sejos de: teniente Pedroso , fueron acribillados á balazo» los tres barcos Constitución , y pait.cularmeute ei ait. 4. de la misma , en la conduc pnm ro&gt;, y se introdujo tal dsorden en ellos, que anclaron e,» la isla ta que ha observado con el expresado Lucena. Se acordó volviese cu qu…</t>
  </si>
  <si>
    <t>Pee</t>
  </si>
  <si>
    <t>…c iiim.d jtamcj.tv ios dos asuntos de que trataba La misma oj&gt; naba no hab a mot vo para aeetder lo que so la proposición , con lo cuar podían proporcionarse recursos al licitaban D. Pee ro E-bre-as y V..a, v ot.e-s pi.meros p.-ct^s r Gobernó. Ai~d:&gt; que en ciuiilu la observación dei Sr. Onver aiumnos ce ¡a escuela n.iUtx.i de Arcns el. Ma.. conocía que era pr.-ia si las c.rvuiistar.c.as lucran otras 1 pero que be proceda a la d.scus.on del d…</t>
  </si>
  <si>
    <t>Pego</t>
  </si>
  <si>
    <t>…marante el 30 Fondos públicos. Tres por ciento consolidados 73 tres cuar por el caminó de Villar*»!. tos , 78 tres cuartos. Fondos franceses 77 80. Obligaciones de Las fuerzas del brigadier Pego, que se hallaban á la Izquierda España 27 y un cuarto. del Duero, hicieron mucho fuego en los días 28 y -9 hacia el Fiemos dicho muchas veces que en la guerra que va á estallar Pezo de Regoa y sus inmediaciones, en donde estaban algunos entre Francia y España…</t>
  </si>
  <si>
    <t>…o ó: no hemos he En Miranda: infantería tiúms. 8.° y 11 , cuatro piezas de ar cho nada, digo , contra !a Francia de aquello que los franceses, tillería y dos obuses , al mando del brigadier Pego. es decir el Gobierno francés, ha hecho contra nosotros, y hemos En Mirandella y sus inmediaciones: infantería núms. 3.0, hecho por los Gobiernos que pronuncian anatema Cernirá noso y.°, 15, ju , y una brigada de artillería, al nvando del coronel tros lo que…</t>
  </si>
  <si>
    <t>…rias , como ponerse la guardia del princi siciones eran conducentes para frustrar los designios de los enemi pal sobre las armas, enganchar la artillería, y poner piquetes gos. El general Pego mandará todas las tropas reunidas en Trascerrando todas las avenidas de la puerta del Sol. Los garroteros los-Montcs, y el mariscal Vasconcelos las que se reunieren en no cesaban de correr las calles, y no se puede comparar su des la provincia de Beba. caro s…</t>
  </si>
  <si>
    <t>…allería.__ Comandante general el brigadier blemente á dar cuenta de la conducta que han tenido en la últi D. Santiago Wall : estado mayor D. Josef Rendan, D. Feli ma campana.”__El general Pego avisaba el 18 que era proba pe Mendicuti. ble que los facciosos portugueses, que desde Zamora iban mar Cueipos de que se compone----- Regimiento de Farnesio, rechando hacia Salamanca , penetraran en Poifr: ’.l por la parte de gimiento de Algarbe , escuadrones…</t>
  </si>
  <si>
    <t>Peguera, Rafael</t>
  </si>
  <si>
    <t>Rafael Peguera</t>
  </si>
  <si>
    <t>…ardias de infantería que deben tener ingreso en los cuerpos de esta arma con el carácter y sueldo que se expresa. Nombres. Empleos en Guardias. Idem actuales. Sueldo anual rs. vn. D. Rafael Peguera.............. Capitán......................... Coronel, primer comandante......................... 24000 Primer teniente. . . S 1 cni’cnte coronel, primer comandante su- D. Rafael Valcarcel............ ............ipernumerario................................…</t>
  </si>
  <si>
    <t>Peijoto</t>
  </si>
  <si>
    <t>…as ramente derrotados los facciosos , el rebelde Silveira ha sido pre algunas guerrillas, sin mas pérdida .[qu^si.^os soldados heri so por el general de Galicia Quiroga. • dos. El capitán Peijoto, que cubria.-tnií,izquierda, persiguió Nota de un periódico de. esta capital ¿ de •donde hemos sacado del mismo modo á los que se ía- pusieron por delante. To las anteriores noticias. •■■■,, ' dos ¡os oficiales y soldados han llenado su deber de una mane Hemo…</t>
  </si>
  <si>
    <t>Peinador, D- Pedro</t>
  </si>
  <si>
    <t>D- Pedro Peinador</t>
  </si>
  <si>
    <t>…para determinar de mí columna dos secciones , la una compuesta de dos compañías de las latitudes y longitudes de los puntos del globo por observaciones as infantería al mando del teniente D- Pedro Peinador , para que sor tronómicas, eclipses y cálculos para la formación de mapas topográficos prendiendo un número de majadas que le determiné, se dirigiese al y geogr áficos. Las horas que destina á esta enseñanza por alioia son de pueblo de Rafeles , y la otra con…</t>
  </si>
  <si>
    <t>Peirona, Dionisio</t>
  </si>
  <si>
    <t>Dionisio Peirona</t>
  </si>
  <si>
    <t>…e Maus de Salas se No me extiendo mas por pasar á esa con el adjunto el capitán ha distinguido entre todas. Me han acompañado dos días , y con del segundo de voluntarios de Aragón D. Dionisio Peirona, quien testaron á los facciosos cuando Ies pidieron la contribución que la informará á V. S. de los demas pormenores.” habían empleado en pólvora y balas , y qué solo en estas especies «Loque traslado á V. E. para su conocimiento, manifes la podían llevar. Re…</t>
  </si>
  <si>
    <t>…mbién que las milicias nacionales de Brués . Beade y CarSi el tortuoso Sena bal lino, en unión con la columna de voluntarios de Aragón La torpe sien aleando , al mando dei espitan D. Dionisio Peirona, batieron en varios De ponzoñosas vívoras crinada, puntos de la provincia de Vigo los ficciosos de ella, cogiendo Y honores abortando unoa 2^ prisioneras, y matando 16 ó 17 , y quedando entera Prepara á,nuestros cuellos vil cadena...... mente deshecha la facc…</t>
  </si>
  <si>
    <t>…Tria de la edad provecta se encuentra reuni lii o en umon con la columna de voluntarios de Aragón, al man da al valor ardiente de la juventud, y la prudencia se nivela con do del capitán D. Dionisio Peirona, batieron en varios puntos el zelo y ia energía. Todo parece haberse combinado en esta insti de la provincia de Vigo los facciosos de ella, cogiendo unos 30 tución benéfica para defender y consolidar nuestra naciente liber pr:s oneros, y matando 16 ó 17, y qu…</t>
  </si>
  <si>
    <t>…3 NOTICIAS EXTRANGERAS. riendo i muchos y persiguiendo á los demás; en cuya acción, sucedida en 18 de Marzo último , se hallaron-y distinguieron SAXONIA, . los oficiales de Aragón D. Dionisio Peirona , D. Manuel Pa WeitKar1 ii de Marzo. ■ lacio y D. Juan Martínez, -y los de Pontevedra D. Francisco ' S. A. R. el gran duque hizo ?utes de ayer, después de haber Pórtela y D. Manuel&gt;Sequeiros, asi como las dichas milicil asistido i un oficio divino solemne, la…</t>
  </si>
  <si>
    <t>Pelayo, Bernardo García</t>
  </si>
  <si>
    <t>Bernardo García Pelayo</t>
  </si>
  <si>
    <t>…cia acaba de dirigir una ex Los subalternos de la audiencia de Extremadura D. Fernando Gallego posición d Gobierno francés en favor de la conservación de la paz. En vn — González, D. Bernardo García Pelayo , D. Josef Francisco de ¡a Pera, virtud de la que había hecho el comercio de Burdeos se decia ya que D. Juan Briz , D. Julián Arias Rabanal , D. Antonio Rodríguez, S. A. R. la duquesa de Angulema suspendería su premeditado viage á es D. Marcelino Garrido , D.…</t>
  </si>
  <si>
    <t>Peli</t>
  </si>
  <si>
    <t>…diputado debe presentar e'l suyo jara Se niand 1 pa ar á la comisión de Milicias nacionales una ex ser 11dr.1t,do en ¡as Curtes: uue 110 obstante en este momento r.o posición &lt;ie D. Peli:c jost'f de Momia , ayudante- primero del es debía tratarse de esto, pmsto que- de- los dos Sres. diputados solo cuadrón de caballería de ¡a milicia nacional voluntaria de Sevilla, se- había presentado uno , y era cabalmente el que presentaba su pidiendo en m…</t>
  </si>
  <si>
    <t>Pelleport</t>
  </si>
  <si>
    <t>….“ de cazadores; de Sourdis, del 20.a á Campillo, y él mismo se puso á la cabeza de la 6.a división,, de la misma arma; á la mayor parte de los Sres. oficiales supe mandada por el general Pelleport, á quien seguían, los dragones riores de todos los cuerpos; á su primer ayudante de campo el del general Dumont, y se dirigió por la izquierda para envol teniente coronel Cavaller, como también á sus demas ayudan ver al enemigo. , tes de campo y oficiales de…</t>
  </si>
  <si>
    <t>Pellicer, Cefírino</t>
  </si>
  <si>
    <t>Cefírino Pellicer</t>
  </si>
  <si>
    <t>…to. A este Es tonio Herdara , D. Andrés'Martí ,'escribano, conde Parsen , D. Blas contestado el Sr. Varda que á todos ios casos ae ha ocurrido én él, Madalenes, D. Josef Chisbett, D. Cefírino Pellicer, Vicente Bañue- y con la delicad»- iu posición ha añadido que'si bb se admitiese los. P. Josef Am“is, S. Francisco, P. Lorenzo de Valencia, capu el proyecto, la 1 continuaría siendo gobernada:arbitrariamente: chino , Josef Madalenes , escribano, D. Ramón Sans…</t>
  </si>
  <si>
    <t>Pellicer, Francisco</t>
  </si>
  <si>
    <t>Francisco Pellicer</t>
  </si>
  <si>
    <t>…benéfico y un bienhechor menez.=Ayudante segundo , NicolásCorona.=bargcnto primero, amoroso! Buen testigo de esta verdad es el Ayuntamiento del D. Miguel Martinez.=Cabo primero , D. Francisco Pellicer.= Puerto de Sta. Alaría, pues desde el momento en que V. M. pisó Guardias, Pedro Cermeño. = Juan de Lara.rcCayetano Mar esta ciudad se mo=tró Rey justo en los sabios decretos que ex pidió, Padre benéfico en la afabilidad con que nos recibió, y bientines:.” he…</t>
  </si>
  <si>
    <t>Pellicer, Juan Antonio</t>
  </si>
  <si>
    <t>Juan Antonio Pellicer</t>
  </si>
  <si>
    <t>…mones del P. Cárlo» Frey de Neuville, predicador de Luis xv, de Estado y del Despacho de la Güera.” Rey de Francia, dedicadas á Luis xvr 1 traducidos del francés al caitellano por D. Juan Antonio Pellicer. Estos sermones fueron recibidos ” Comandancia general del 7.' distrito.xeFxcmo. Sr.erPor las noti en Francia con tan general aplauso que en ua año se hicieron tre» cias que había dado á V. E. el gob.mador interino de esta plaza du ediciones: consta toda la o…</t>
  </si>
  <si>
    <t>Peñalba, Vicente</t>
  </si>
  <si>
    <t>Vicente Peñalba</t>
  </si>
  <si>
    <t>…acordándonos de un mes desde la publicación de este escrito remitan á mi cuar que el dia en que se vio libre el Rey de España, llevaba el uni tel general ó á mi auditor de guerra D. Vicente Peñalba (que se forme de Gran Almirante.” Y añaden en otra: ,, Las damas no halla en Madrid, casa núm. 1 de la calle del Carmen, esquina á llevarán á mal que las digamos que S. A. R. (la Duquesa) lle la de ía Salud ) razón individual de todas las cantidades que bajo…</t>
  </si>
  <si>
    <t>Peñalver, Juan de</t>
  </si>
  <si>
    <t>Juan de Peñalver</t>
  </si>
  <si>
    <t>…a gaceta de Gobier Estrada y ZúBiga, Fr. D. Josef Alfonso Clavero y Sesé, D. Pedro de no de 14 de dicho mes de Octubre),y concluye el 31 de Marzo de Peñalver, presbítero, y el Dr. D. Juan de Peñalver , comparecerán 823 , en Sevilla á Doña Gertrudis de Soto, calle Cadenas, núm. 7, por sí ó por sus apoderados en el juzgado de primera instancia de Gua- colación de S. Andrés , albacea, tenedora de bienes y acreedores de dalajara, y por conducto de la escriban…</t>
  </si>
  <si>
    <t>Penalver, Juan López</t>
  </si>
  <si>
    <t>Juan López Penalver</t>
  </si>
  <si>
    <t>…Gonzilo de Córdoba , ó la conquista de Granada, escrita por el ca to batidos , se han dividido en tres grandes cuadrillas , mandada» por ballero FJorian, publicada en español por D. Juan López Penalver: se Curvólas. Merino y .-I Kiyip de Vilderas, d.spuse que el comandante gunda impresión en tres tomos en 8.“ El particular aprecio que ha me del segundo batailmi ,¡e Granada tos 150 infames y 60 caballos mar recido del público esta obrita desde que por primer…</t>
  </si>
  <si>
    <t>Peón, Pedro</t>
  </si>
  <si>
    <t>Pedro Peón</t>
  </si>
  <si>
    <t>…ia de los facciosos portugueses, haciettdoies un muerto y va Coroneles: D. Antonio Fernandez Rana, D. Juan Ague- rios prisioneros. La dirección de aquellos malvados parece ser ria D. Pedro Peón. Capitanes: D. Juan Moa Arguelles, Don hacia Patencia ó Búrgos; pero dudo que logren pasar sin encon Francisco Heredia. Teniente D. Marcos Gutiérrez. Subtenien trarse con las tropas nacionales que puede haber por aquellos te D. Josef Mensndez Valdés. Vicario…</t>
  </si>
  <si>
    <t>Per</t>
  </si>
  <si>
    <t>…s En uno de nuestios periódicos se publica la alocución si J caballos; habiéndome sido preciso conservarla para que tuviese guiente : efecto la combinación hecha con el victorioso coronel D. Per— Españoles amantes déla libertad, arrebatárnosla (¡mere un nardino Latorre. Y habiendo cesado ya Ja principal causa por la ejército de estrangeros, que con mentida protección amara nues cual se vió V. S. precisado á mandar qtie estos beneméritos vo tros masca…</t>
  </si>
  <si>
    <t>Peralta, Juan Miras</t>
  </si>
  <si>
    <t>Juan Miras Peralta</t>
  </si>
  <si>
    <t>…socorrerle otros dos sargentos de su arma. Por es con valor: también trabajó con igual esmero el capitán graduado ta acción bizarra el general Torrijos le premió justa y oportuna D. Juan Miras Peralta, ayudante de la misma brigada ; el cape mente en el mismo día con el grado de sargento 2.0 con paga. llán de las compañías de Alcañiz contrajo el particular mérito tic De- este modo se excita ia virtuosa emulación que ha hecho hé haber estado constantemente h…</t>
  </si>
  <si>
    <t>Pereda, Andrés Alvatez</t>
  </si>
  <si>
    <t>Andrés Alvatez Pereda</t>
  </si>
  <si>
    <t>…o primero mi paseo militar con una gra Idem 77. ciosa miisica de aficionados. Al mismo tiempo el Contador de la SS. MM. y AA. han asistido esta tarde á la corrida de cin provincia D. Andrés Alvatez Pereda sacó de su casa dos caño tas y parejas, que en su obsequio ha celebrado la Maestranza de nes reforzados de á tres, prevenidos para un lance, y deque solo caballería de esta ciudad, sirviéndoles después refresco. tenian noticia los Realistas, de los cuales se…</t>
  </si>
  <si>
    <t>Pereira</t>
  </si>
  <si>
    <t>…irigiendo su marcha del capitán graduado de teniente coronel D. Joaquín Lira, qus sobre S. Juan de Lucanas. Ei 13 llegó á su noticia mi salida de mandaba los de caballería , y del comandante Pereira iosde infan Caraveli, y regresó á Nasca hasta que supo mi llegada á Puquio, tería: siendo tal, con la mayor satisfacción mía , la disciplina que con lo cual no se creyó seguro, aunque nos separaba una distan observaban estas tropas, y ias que alternativamente…</t>
  </si>
  <si>
    <t>Pereira, Antonio</t>
  </si>
  <si>
    <t>Antonio Pereira</t>
  </si>
  <si>
    <t>…s enemigos, parapetados en número de Carlos López con 30 nációnálcs de Beade, D. Carlos Moriré con 250, y sostenidos por los vecinos del pueblo, que desde las casas 100 de Brues y D. Antonio Pereira con 20 de Carbalbño, con hacían un fuego vivísimo, al momento mandé avanzar al caoitan 16 prisioneros da ios dispersados del ataque, y entre ellos un te Peirona á sostener la guerrilla, que lo hizo con la mayor bizar niente ó ex-tenknfe de la malvada cuadrill…</t>
  </si>
  <si>
    <t>Pereira, D- Jcrge</t>
  </si>
  <si>
    <t>D- Jcrge Pereira</t>
  </si>
  <si>
    <t>…mismo alcalde prendió á un faccioso de los de la cuadrilla de un tal Melis , del mismo pueblo , contra quien pasó Madrid Lunes 30 de Entro. una partida de caballería al mando del teniente D- Jcrge Pereira ; tu **El Rey continúa aliviado. S. M. Ia Reina está mejor. SS. AA.vo la dicha de sorprenderla en el mismo lugar, y mató á un faccioso, continúan sin novedad en su importante salud.”h:zo dos prisioneros ,y el capitán Melis por huir de sus manos se echó en un…</t>
  </si>
  <si>
    <t>Pereira, Ignacio Manuel</t>
  </si>
  <si>
    <t>Ignacio Manuel Pereira</t>
  </si>
  <si>
    <t>…o y de Antonio Huertas, moradores que lla de ladrones y facinerosos que había organizado en S. Gre fueron en el partido de Roda, término de S. Javier, y por otros gorio el traidor D. Ignacio Manuel Pereira con el capellán que excesos que resultan de la causa. fue de la milicia activa de Monterey D. Pedro Ribera y otros — La sociedad patriótica celebró sesión extraordinaria el 1 o del tales, con la cual habia logrado entrar en esta provincia porEn- corriente con…</t>
  </si>
  <si>
    <t>Perena, Felipe</t>
  </si>
  <si>
    <t>Felipe Perena</t>
  </si>
  <si>
    <t>…ero desde luego me anticipo á hacer á V. E. ahora la armada &amp;c. (Gaceta del 28.) presente, para que lo eleve á conocimiento de S. M., el mérito contraí do por el mariscal de campo D. Felipe Perena , que habiendo hecho á ANUNCIOS. S. M. dimisión del mando de la provincia hace ya algunos meses, y estan do retirado en su casa, ha vuelto á ponerse á la cabeza de las tropas tan Se llalla ya de venta en el despacho de la imprenta Nacional el tomo pronto como…</t>
  </si>
  <si>
    <t>Pérez</t>
  </si>
  <si>
    <t>…que desear. V. para que lo sepan tirios y troyanos, y le traslade Y. si coman » I.a compañía de granaderos de ia M. L. de esa, y la partida que dante general.eeSancho. condujo el teniente Pérez, aun no se me han incorporado, ni sé de su Son las cuatro y media en la Aparecida y seguimos á Orihuela, paradero, por lo que V. S. podrá prevenirles lo que estime cpurtuno. aunque con el disgusto de que la'fiesta se haya acabado, según inferirá n Dios guarde…</t>
  </si>
  <si>
    <t>…ú la dcfibt'r-aeior* del (.ijnr».áoo.i&lt; í jn]; 1| ttr» y !;*« l\ C't.i r!»i(];«(1.9 * Levó v pee---, ntó el Señor zfiilueta una e»po*icion M.’.mliirn se ¡*prolm i i qm¡ si^ue tlrl Sr. Pérez de la 11-pul ación provincial de Cádiz, m mi irst ando Meca: ,,1’ido á las Cóilos se sirvan declarar cuan gra la s.ití-1* i i o que ó' cabía en la traslación dei cuer tos los lian sido tos servicios prc-tados por ia guarni po i a ¡i:esei:( al ivo ¡d recinto d…</t>
  </si>
  <si>
    <t>Perez</t>
  </si>
  <si>
    <t>…vez de estimularlo, gría á la columna, por desgracia de corta duración por haber ‘pero que el cabo de cazadores del 5."batallón Alfonso Jaén y el muerto al fin de sus heridas. El comandante Perez concliivc: He de granaderos del ó.° Domingo Fustcr se distinguieron en sus res 'presenciado todo el valor y energía del patriotismo; oficiales y pectivas guerrillas. tropa le desplegaron noble y fieramente en el ataque detenido so El general D. Carlos Espinos…</t>
  </si>
  <si>
    <t>Pérez, Andrés</t>
  </si>
  <si>
    <t>Andrés Pérez</t>
  </si>
  <si>
    <t>…, í:a venido en resolver que los muy RR. arzo biéndose también fugado disfrazado el teniente de volantes de bispos, RR. obispos y demas prelados con jurisdicción vere esta ciudad D. Andrés Pérez. nullius , y los vicarios capitulares de las iglesias vacantes, pro En los Realistas decididos de Laguniila y del Cerro no ha cedan desde uego a separar de las mencionadas parroquias a esta habido ni siquiera un leve herido. Los prisioneros se han con cla-e d…</t>
  </si>
  <si>
    <t>Pérez, Antonio</t>
  </si>
  <si>
    <t>Antonio Pérez</t>
  </si>
  <si>
    <t>…ofesores na , y en particular al coronel I&gt;. Alfonso Gallego, del batallón da que hayan terminado sucariera de est'.'d'os, y adquirido el correspon- Logroño, al ayudante del mismo D. Antonio Pérez , ai capitán de gradi': ate título conforme á las leyes, serán admitidos á hacer la oposi nadires D. Francisco Javier Abalos, al de cazadores D. Josef María ción de que habla el art 6.°-, entendiéndose que los cirujanos han de Manglano, y á los tenientes D. R…</t>
  </si>
  <si>
    <t>Pérez, Baltasar Martin</t>
  </si>
  <si>
    <t>Baltasar Martin Pérez</t>
  </si>
  <si>
    <t>…tilfrI&gt;. Josef Brull. D. Juan Muguiro. lía , y otros 13 para zapadores, que en todo componen los 774 hom P&gt;. Juan Jabat. D. Antonio Lambea. bres de su cupo. D. Celedonio Martínez. D. Baltasar Martin Pérez. Ademas y en este intermedio ha organizado la diputación com D. Tadeo Parras Hermosilla. D. Domingo García. pletamente y en estado de servicio dos compañías de infantería y una de D. Gonzalo Cárdenas. D. Marcos Izquierdo. caballería de cazadores constituciona…</t>
  </si>
  <si>
    <t>Perez, Fermín Fernández</t>
  </si>
  <si>
    <t>Fermín Fernández Perez</t>
  </si>
  <si>
    <t>…ario de este ramo. adjuntos, excepto en la parte que hablaba de concederla administración " El Sr. presidente anunció que mañana después de la lectura seña de correos de Granada 4 D. Fermín Fernández Perez, al cual solo juz lada para boy del proyecto de código de procedimientos, se continua gaba la comisión acreedor 4 uit de.'.tino'cott el sueldo de 6 i 83 rs. rla la discusión de las ordenanzas militares; y levantó la sesión á las anuales, y una pensión de 400…</t>
  </si>
  <si>
    <t>Perez, Francisco</t>
  </si>
  <si>
    <t>Francisco Perez</t>
  </si>
  <si>
    <t>…a de D.Pedro iVIarcos yD. Francisco Ortega, ve ¡ Qué bien sientan los laureles cinos de la villa de Retuerta , acreedores á los bienes del concur En la frente de los fieles, so de D. Francisco Perez, que lo es de Camarina de lístemelas, Que á su buen Rey aclamando que está radicado en la escribanía de provincia de D. Santiago, Fueron biavos en la lid! Manuel de Albóniga, se ha señalado para celebrar junta general Cuando hay Reyes cual Fernando, el dia 30…</t>
  </si>
  <si>
    <t>Pérez, Josefa</t>
  </si>
  <si>
    <t>Josefa Pérez</t>
  </si>
  <si>
    <t>…pusieron sus opinio estas solicitudes. .Aprobado. nes , y el Sr. Fonseca Bangel habló largamente proponiendo una La misma com:s&lt;on opinaba se accediese á la solicitud Je enmienda. Doña Josefa Pérez sobre concesión de la viudedad que la corres El Sr. Derramado dijo que hallándose el general Sepúlveda pondía por muerte de su marido. Aprobado. dentro del edificio de las Cortes seria bueno fuese introducido La comisión de Casos de responsabilidad, en vista…</t>
  </si>
  <si>
    <t>Perez, Juan</t>
  </si>
  <si>
    <t>Juan Perez</t>
  </si>
  <si>
    <t>…Constitución de la Monarquía españo Olazarra , dec'aró por unanimidad haber lugar á la formación de causa. la. Solo la idea de una invasión de franceses con objeto de imponernos __Don Juan Perez , comandante del segundo batallón de la Princesa, au vugo ha bastado para desp.rt.rr a los mas indiferentes. El carácter denunció en r¡ de Octubre último como injurioso A su persona , é in español jamas asentirá á vivir con oprobio. citador i la desobediencia…</t>
  </si>
  <si>
    <t>…de la ciudad ds Cádiz, núm. 63, de 4 del actual, acusándolo d: novedad en su importante salud.” injurioso á todo el cuerpo en general; y reunido el jurado , compuesto de los Sr:s. D. Juan Perez, D. Gerónimo Martínez Enrile,D. Jo F.í Rfy ha expedido el decreto siguiente! sef María Recortillo, D. Francisco Hidalgo, D. Juan Josrf del Cubi « Don Fernando ni por la gracia de Dios y por la Constitución de llo, D. Pascual Boiaños y Novoa, D. Antonio ds Oia…</t>
  </si>
  <si>
    <t>Perez, Juan Isidoro</t>
  </si>
  <si>
    <t>Juan Isidoro Perez</t>
  </si>
  <si>
    <t>…a, y tanta ignorancia; y En su vista se reunió el jurado, compuesto de los Sres. siguientes: mas imposible parecía que á fuerza de querer perpetuar la esclavitud D. Josef Car.tel; D. Juan Isidoro Perez; D. Simón González Yusíe; de lo: pueblos, se les diesen lecciones tan claras pata que aceleren su D. Josef Radon; D. Sebastian Andrés; D. Ramón Llord; D. Francis libertad. co Martinez Marina; D. Josef Luis de Amandi, y D. Manuei Esteban » El Congreso y el Gob…</t>
  </si>
  <si>
    <t>…D. Josef Antonio Ponzoa , D. Antonio Puigblanch, dear el Moncayo y pasar por Frasno para acercarse á su guarida, y el co D. Nicolás Heredero Mayoral, D. Juan Fernandez Casariego, D. Juan Isidoro Perez, D. Antonio María Espejo, D. Julián de Fuentes, D. Gre ronel Depablo talonea su fuga. n Hoy se lia incorporado ■ ia división el destacamento que proceden gorio Mendivil, D. Joaquín Ruiz, D. Manuel Merino, D. Luis de Ma te de esa corte vinia á ias ■ nir?‘ del…</t>
  </si>
  <si>
    <t>…que contenga lo mismo que si se publicase en papel de D. Antonio Gamonal, D. Antonio Regas, D. Jaime Ruiz Abreu, mayor marca; y se darán ademas todos los suplementos que se crean D. Juan Isidoro Perez, D. Joaquín Manrique y Manrique, D. Josef necesarios para no privar al público de cuanto se considere interesante. Castel, D- Juan de Luque Solano , D. Carlos Martin del Romeral, A los suscriptores que esten abonados á la Gaceta de Madrid por D. Francisco Luc…</t>
  </si>
  <si>
    <t>Perez, Justo Pastor</t>
  </si>
  <si>
    <t>Justo Pastor Perez</t>
  </si>
  <si>
    <t>…ercibo de sus ci dencia del ejército y reino de Aragón á D. Josef Blanco y Gon tadas rentas en los términos que lo hacían antes del Real decre zález: la del de Castilla la Vieja á D. Justo Pastor Perez: la del to de 30 de Mayo de 1817, cuya práctica era la de que los men de Cataluña á D. Vicente Frígola: la del de Extremadura á Don cionados dueños percibian sus haberes de las justicias de los pue Josef Rey y Alda, y la del de Valencia á D. Ramón de Alda- bl…</t>
  </si>
  <si>
    <t>Pérez, Leodcgario</t>
  </si>
  <si>
    <t>Leodcgario Pérez</t>
  </si>
  <si>
    <t>…división al mando interino del brigadier drid al citado Robredo, que vive en la calla de las Fuentes , núm. 3, D. Francisco Ramoner. cuarto principal, y en la Calzada al insinuado D. Leodcgario Pérez. Primera brigada de caballería. La casa de educación de señoritas, que al cargo de su directora Alcántara 600 caballos. Aimansa 600. Total 1200. Doña Bernardina Ruiz de Alegría estiba esteblecidá en Ja calle de Stgunda brigada. Hortaliza , junto á la plazuela…</t>
  </si>
  <si>
    <t>Perez, Leonardo</t>
  </si>
  <si>
    <t>Leonardo Perez</t>
  </si>
  <si>
    <t>…ue D. Blas Ostolaza, D. Nicolás Santiago Rotalde, duo, para que con arreglo á sus méritos y aptitud le coloque. D. Domingo de la Vega, D. Félix Mejía, D. Benito Morales, Aprobado. D. Leonardo Perez, D. Josef Spínola, D. Ramón Ceruti, Don Se leyó la siguiente proposición del Sr. Murfi : «Pido á Jas Ramón Sánchez y D. Bonifacio Castillo sean detenidos y trasla Córtes se sirvan habilitar el puerto de Arrecife en la Isla de dados á las Islas Canarias; y que…</t>
  </si>
  <si>
    <t>Perez, Manuel</t>
  </si>
  <si>
    <t>Manuel Perez</t>
  </si>
  <si>
    <t>…itar. = Excmo. Sr.i fante D. Carie:, mandada esta per cí comandante del mismo D. NT. Por mi oficio fecha 28 del actual «uve el honor de manifestar á V. E. Rcig , y aquellas por el capitán D. Manuel Perez , en número de 200 que ¡i pesar de recelar que las órdenes del Gobierno , relativas á la des hombres, á cuya cabeza se puso el bizarro general O-Daly, acom trucción y defensa del puente de Auñon sobre el Tajo, que parida de- pañado del gtfe de su plana rnrycr…</t>
  </si>
  <si>
    <t>Pérez, Manuel</t>
  </si>
  <si>
    <t>Manuel Pérez</t>
  </si>
  <si>
    <t>…arios en el Del batallón de infantería de Cataluña , s.° de lig-ros. egército permanente , de cada tres vacantes que ocurran en la clase á Del juez de primera instancia de Almería D. Manuel Pérez de qu: pericnezcsn dará dos al reemplazo y una al ascenso, guardando lo» Ríos. en este la alternativa ó reglas señaladas en la ordenanza. El Sr. presidente anunció que mañana se díscutíria el dictamen de Ait. 17. « La junta de inspectores, con presencia de lo…</t>
  </si>
  <si>
    <t>…ecto. reconocerá por auxiliar del estado mayor de este ejército al sub Se mandé» agregar al acta el voto del Sr. Quiñones, contrario teniente D. Julián Pastor , y el de esta clase D. Manuel Perez al pase á la comisión Eclesiástica de las proposiciones del Sr. Bu Villamii quedará empleado en la primera división. rilaba sobre la confirmación ele Jos obispos, y contrario á lo re Art. 3.0 Los batallones correspondientes á la primera divi suelto sobre dese…</t>
  </si>
  <si>
    <t>Perez, Manuel Antonio</t>
  </si>
  <si>
    <t>Manuel Antonio Perez</t>
  </si>
  <si>
    <t>…do el exponente religioso, ademas de tener con que La comisión de Diputaciones provinciales, en vista de la ex sostenerse se habla constituido en el estado de pobreza. posición de D. Manuel Antonio Perez para que se le exonerase Después de haber hablado algunos Srcs. diputados sobre este del cargo de diputado provincial, para que ha sido nombrado , por dictamen , se declaró no haber lugar á votar sobre él, y que vol r¡o tener algunos de los requisitos que se…</t>
  </si>
  <si>
    <t>…gobierno intruso. Aprobado. Las Cortes concedieron carta de naturaleza á D. Daniel Ro- La misma comisión, en vista de la instancia de D. Timoteo binson , y cartas de ciudadanía á D. Manuel Antonio Perez, ori Connelli, teniente coronel de egército , para que se le continúe ginario de Africa, á D. Francisco Tarabino, á D. Juan Bautis la pensión de 100 ducados que se asignó á su tío Fr. Tomas ta Mastorano y á D. Josef Marzoni. Connelli por autor de un diccionar…</t>
  </si>
  <si>
    <t>Perez, Mariano</t>
  </si>
  <si>
    <t>Mariano Perez</t>
  </si>
  <si>
    <t>…n, en vista de la exposición del ayunta La comisión de Instrucción pública opinaba no debía accedermiento de P-ota, manifestando el destrozo que ha causado un «e á la solicitud de D. Mariano Perez para que se le dispensase el temporil en aquellos campos, y proponiendo que se adopte el depósito para obtener el grado de bachiller en filosofía. Aprobadoarbitrio de exigir un derecho á varios de los efectos que se intro la misma comisión era de parecer no d…</t>
  </si>
  <si>
    <t>Perez, Nicolás</t>
  </si>
  <si>
    <t>Nicolás Perez</t>
  </si>
  <si>
    <t>…reemplazo del rios , cometieron el arrojo cuatro de estos dignos españoles , y á su fren egército ; á cuyo fin después de haber acordado una contribución ex te el alcalde segundo D. Nicolás Perez, de salir á atravesar paite de la traordinaria por repartimiento entre todos sus pueblos, ha entablado Carretería, y abrir las puertas de dicho puente. por medio de sus comisionados realizar una contrata que tiene ya muy «Desde entonces un rayo exterminado, c…</t>
  </si>
  <si>
    <t>Pérez, Rumesindo</t>
  </si>
  <si>
    <t>Rumesindo Pérez</t>
  </si>
  <si>
    <t>…roñndc Doíía Jo- , ¡- Sesúspaídió-estadiscÚMoni;; . . sera Hinojosav viuda tíél segundó-profesor; de‘la;armada nacional Se leyó; y' qucdó aprcbadQ el ■dictamen déla comisión de Ha D. Rumesindo Pérez, solicitando una pensión ; opinaba Abla cienda, sobre: d presupuesto del ministerio de la. Gobernaaon de agraciársela con la ;pcrisian ,d^trcs reates diariós ,;cottforme,á los Ja Península. . -. . . decretos5de1 liuCa'rti:s.-Apíób«uio. . ..t.-. b EI Sr. Surrá…</t>
  </si>
  <si>
    <t>Perez, Santiago</t>
  </si>
  <si>
    <t>Santiago Perez</t>
  </si>
  <si>
    <t>…in, me Manso, D. Josef Bu:trago, D. Juan Vibavicencio y Pareja , D. Josef de que aquel s: dirigía a pasar el Navia por el Sena , por lo Seidel y Aurrich, D. Juan Martínez y León , D. Santiago Perez y encontrarlo á Fomria: aili supe que el enemigo contramar- Camino, D. Fernando Mergelina y Barreta , D. Joaquín Anguiano, l?Jii 9naba %icM el valle de Pineira 6 el Hospital y habiendo lomado D. Vicente Jiménez y Pinairo, D. Juan Nepomuceno Baizola , Don Sr X…</t>
  </si>
  <si>
    <t>…9 de Noviembre de 1810. Las Cortes quedaron enteradas de un oficio del Sr. secretista de á quienes con esta fecha traslado esta Real orden. Madrid is de Mar zo de 1823.sEgea.neSr. D. Santiago Perez, administrador cíe estanca Gracia y Justicia, participando que S. M. »e había levantado ayer al gunas horas, y de sus resultas se le habia aumentado la erisipela en el das de la provincia de B lbao. talón del pie derecho; que S. M. la Reina continuaba del mis…</t>
  </si>
  <si>
    <t>Perez, Simón</t>
  </si>
  <si>
    <t>Simón Perez</t>
  </si>
  <si>
    <t>…drá la bondad Brilla, dia feliz, en que la imprenta de enlregarlas ó avisar al furriel mayor del primer regimiento Cesa de ser puñal y arma sangrienta de Reales Guardias Españolas D. Simón Perez; advirtiendo que De vil calumnia y público desdoro;- está dado aviso á las oficinas donde corresponde. EN LA IMPRENTA REAL.</t>
  </si>
  <si>
    <t>Perez, Tadeo</t>
  </si>
  <si>
    <t>Tadeo Perez</t>
  </si>
  <si>
    <t>…s presos que soitircn de la cárcel de Aran- En su vista se reunió el jurado, compuesto de los fres, siguientes: da, y se llevaron el caballo de D. Ramiro Gil de Gibaja y el del mé D. Tadeo Perez, D. Joaquín Lumbreras, D. Francisco &lt;!■' Accvai y dico , y á poco rato entró el general Empecinado con la fuerza de 30 Arratia , D. Francisco Sainz de Rozas, L&gt;. Joscf Valls de Roca , Doa caballos y 20 infantes, y ademas 12 voluntarios de caballería de Nava;…</t>
  </si>
  <si>
    <t>Peri, Felipe</t>
  </si>
  <si>
    <t>Felipe Peri</t>
  </si>
  <si>
    <t>…nemigos que la ocupaban huyeron precipi pa , en los cuales nada queda'» que hacer al comandante general del tadamente , uniéndose en seguida con su guerrilla que se colocó Arsenal D. Felipe Peri, y á los comandantes de los batallones en un parapeto situado entre la venta y el molino de Osio. Des-' 5.0 y 6° de línea. Al amanecer se verificó el embarco en los de este momento desaparecieron los 20 caballos enemigos, y se’ botes, lanchas y falúas destina…</t>
  </si>
  <si>
    <t>Períídt, Francisco Javier</t>
  </si>
  <si>
    <t>Francisco Javier Períídt</t>
  </si>
  <si>
    <t>…pue dias se hace saber al último tenedor de *4 vales, 10 de 600 pe«n, blos de Alhama y Zafarralla , cuya quema de este causó un general sen nueve de 300, y cinco de 150, que lo e$ D. Francisco Javier Períídt timiento á la Nación: 70 años cuentan los antiguos de estar un en Zimbrelo, la reclamación liecha de ellos en el juzgado de prinsera iosguerra abierta el uno con el otro , que raro era el día que no hubiese tancia del Sr. D- Ramón de Argos y escribanía cárlul…</t>
  </si>
  <si>
    <t>Pero</t>
  </si>
  <si>
    <t>…de la Capitulación del cuarto cuerpo del ejército español, hecha opinión pública, obligándola á que no se atreva á levantar su voz. entre el mariscal de campo D. Antonio Roselló, comandante Pero llega el tiempo en que los pueblos se cansan, y que Jos per en gefe de dicho cuerpo, y el mariscal de campo marques de turbadores son víctimas do sus propios desaciertos; y si en aquel Marguerie, comandante de la brigada de la segunda división del momento una…</t>
  </si>
  <si>
    <t>Perrichini, Francisco</t>
  </si>
  <si>
    <t>Francisco Perrichini</t>
  </si>
  <si>
    <t>…rreno sino i Orden de la plaza dei ty al 18 de Abril de I 82 palmos: los tenientes también de Granada D. Francisco Aller, Gefe de día el comandante del primer batallón de la M. Né D. Francisco Perrichini, D. Josef Márquez y D. zVntonio Ve- L. de Madrid D. Benito Marrad. lazquez , que fueren los mas digno* modelos de la decisión con Servicio á palacio el Infante D. Carlos y primer batallón de que se portó su tropa. En la caballería de Lusitania no son me la M.…</t>
  </si>
  <si>
    <t>Perrotc, Manuel</t>
  </si>
  <si>
    <t>Manuel Perrotc</t>
  </si>
  <si>
    <t>…nto, no resulta mas que una que componían la partida de realistas, con especialidad el ca corta porción como de 10 hombres que llevaba dicho Ramírez, pitán de la primera compafiía D. Manuel Perrotc , a fin de que los cuales son los mas oficiales, según el relato de los mismos V. A. se sirva atenderles y declarar á lo menos que le han sido prisioneros; habiéndome privado la satisfacción de quedarme con todos los dispersos la escabrosidad del terreno, por…</t>
  </si>
  <si>
    <t>Persia, Real de</t>
  </si>
  <si>
    <t>Real de Persia</t>
  </si>
  <si>
    <t>…a del acontecimiento ú^t.mámente ocurrido en Se va- Holanda, otras á la Georgia y al Daghistan , S. A. R- Abvilla con el Rey nuestro Señor, seria caminar hácia un puuto bas Mirza, príncipe Real de Persia, promete persona mente inaccesib'e fjbien que tan inaudita perfidia y violencia se po por medio de su ministro cerca de la Gran Bretaña á todos los dría so'o esperar de esos hijos espurios del suelo español, que á que deseen establecerse en su reino de Adcubí…</t>
  </si>
  <si>
    <t>Persz, Juan Isidoro</t>
  </si>
  <si>
    <t>Juan Isidoro Persz</t>
  </si>
  <si>
    <t>…ndo comandante general del quinto distrito militar , con nandez Angulo , D. Zoilo Gómez Casero, D. Bernardo Asenjo, Don íecla de 9 del actual, dice entre otras cosas al Excmo. Sr. secretario Juan Isidoro Persz, D. Cayetano Romero, D. Juan Manuel de Ale da Estado y del Despacho de la Guerra So siguiente; ■» En el monten- jula, D. Juan Antonio López y D. Isidoro de Hoyos, to ile despachar el correo aesbo de recibir parte del general en gefe de Habida la conferencia ,…</t>
  </si>
  <si>
    <t>Perú, Fermín Alvurcz Enlate del</t>
  </si>
  <si>
    <t>Fermín Alvurcz Enlate del Perú</t>
  </si>
  <si>
    <t>…ste motivo se suspendieron las D. Pedro Prado, D. Antonio González Ron y D. Nicolás providencias acordadas para el pronto envió de tropas en auxilio Gómez Villaboa por la de León: D. Fermín Alvurcz Enlate del Perú iScc.” por i a de Navarra: D- Josef Cano y D. Leandro Ladrón de Se asegura qne el general Arenales llegó el i.° del corriente Guevara por la de Avila: D. Manuel Pío de Arias por la de al puerto de Valparaíso. Viene con poderes del Gobierno de Li Cuenca: D. Jo…</t>
  </si>
  <si>
    <t>Pessanha</t>
  </si>
  <si>
    <t>…zar los secretarios del D.: pulió el bien de la patria, cerrando los ojos á toda consideración par exonerados de este encargo, y que anteriormente no ¿oraban ticular. ninguno. El .Sr. Pessanha se opuso al dictamen lo mismo que el señor La comisión de Hacienda , informando sobre las soüe'tudes de Brandaon Pereira y Bettencourt; añadiendo este último que el Doña Alaría Abad Labrador y Doña Josefa Sánchez , viuda de ministerio caería sin duda por las…</t>
  </si>
  <si>
    <t>Pflouguer, Gabriel</t>
  </si>
  <si>
    <t>Gabriel Pflouguer</t>
  </si>
  <si>
    <t>…todo se mantiene tan sereno y tran Juan Bautista León; el de Constitución al teniente coronel, gefe quilo como si los franceses estubiesen á mil leguas de distancia. de batallón, Don Gabriel Pflouguer;el de la Ley al coronel Está todo preparado para recibirlos, y deseamos que se adelanten D. Josef Muro; el de España Libre al de igual cUse D. Anto un poquito mas para manifestarles nuestro agradecimiento por las nio Viladomar; el de Cortes al teniente corone…</t>
  </si>
  <si>
    <t>Philips, R.</t>
  </si>
  <si>
    <t>R. Philips</t>
  </si>
  <si>
    <t>…a .'comisión se acordó la negativa. en una noticia sobre la situación mercantil Jet Egipto en Se suspendió la discusión de este asunto. 1821, inserta en la excelente colección del Sr. R. Philips, inti Se leyó y quedó sobre la mesa el dictamen de la comisión tulada almacén mensual en el número que incluye el mes de No de Libertad de imprenta sobre la adición del Sr. Romero al artí viembre de 1822 , de la cual estractaremos los pasages siguientes. culo…</t>
  </si>
  <si>
    <t>Pi</t>
  </si>
  <si>
    <t>…formes con lo aprobado varias mi otros para que se prohíba, conformándose con el parecer del nutas de decretos. Gobierno, proponia a la deliberación de las Cortes los artículos El Sr. Pi•esidente anunció que habiendo varios asuntos que siguientes : despachar en los pocos dias que quedaban de sesiones se princi i.° Que la extracción para el extrangero de las cortezas sin piarían estas mas temprano, y habría sesiones extraordinarias. moler de e…</t>
  </si>
  <si>
    <t>Piado</t>
  </si>
  <si>
    <t>…cos perceptores! ¿cómo te hade satisfacer á aquellos cuya dotación io misión, vi cual debía aprobarse. ta! ó parcial consista eu predios, si pasan todos estos, y ios bienes del E- Sr. Piado: Antes de entrar en la cuestión quisiera que el Go clero á ios partícipes legos! Vean las Cortes cómo ja instrucción de bierno dijese si la cumular de que se trata fue circulada por el mismo que se trata pugna con el decreto citado. No basta que se dga que á…</t>
  </si>
  <si>
    <t>Piasencia</t>
  </si>
  <si>
    <t>…rmó á S. M. dericsul — miento no debe ser de grande influencia, puesto que no era mas tado. No puedo en este momento decir otra cosa sino qu: S. AL que una parte de la columna del brigadier Piasencia. Este parece, hasta el instante de nuestra salid:’, no ha llegado á resolver defini según los partes dados, que se hallabi en perseguimiento deL Lo tivamente. Puedo asegurar á las Cortes, que el ministerio en cho que ocasionaba m;i vejámenes á ios pueblos, y…</t>
  </si>
  <si>
    <t>Piasencía, Francisco</t>
  </si>
  <si>
    <t>Francisco Piasencía</t>
  </si>
  <si>
    <t>…ierno para ocupar interinamente en S. M. en consideración á los distinguidos méritos y servicios comisiones á los magistrados ó jueces de primera instancia fuga de los brigadieres D. Francisco Piasencía y D. Rafael de llore, dos de sus destinos por tenerlos en provincias ocupadas por el gobernador de Santoña, ha tenido á bien promoverlos á marisca enemigo. Aprobado. les de campo de los ejércitos nacionales. EN LA 1MPRENT A NACIONAL.</t>
  </si>
  <si>
    <t>Piat</t>
  </si>
  <si>
    <t>…agarradle. Al en el mismo egército, que también se anuncia como c erta, la prisión á dia siguiente se daba el baile de Almav.va y llosina ó&gt; el Barbero He dos leguas de París del general Piat y toda su oficialidad, cuando hacia Sevilla-, apíti3s se preientú el oficial español con la escarapela roja propocas horas se acababa de despedir de Luis xvtti para venir a tomar el rumpieron los espectadores en largos aplausos , y se tiro ai proscenio mando…</t>
  </si>
  <si>
    <t>…re ellos 15 oficiales y 2 gefes. La mando de la artillería al general Tirlot: se anuncia como cierta facción ha tenido cuando menos igual pérdida, á pesar de su tri Ja prisión del general Piat y toda su ohciahdad á dos leguas de ple fuerza. Sin embargo los cinco batallones se han quedado so P.ms, saliendo para el ejercito de los Pirineos, y. á muy pocas bre Pamplona como salándola. sabemos que el 4.0 este, destina horas de despedirse de Lu.s xvm pa…</t>
  </si>
  <si>
    <t>Piazza, Pedro</t>
  </si>
  <si>
    <t>Pedro Piazza</t>
  </si>
  <si>
    <t>…bierno constitucional. Art. z.° ígu.altado por el br. Jaimes. rn. nle se le autoriza para apartar del b-neficio del d.cr.tr. de 27 Je Las Cortes concedieron car*." de naturaleza á D. Pedro Piazza, na En.ro de 1822 sobre oí cctn.-rcio de /a isia de Cuba á ios buques y tural del Piarnonte , y emigrado de aquel país , por amante de ia li efuos ptop.rs de las naciones mateada» en el articulo arf-riai, i¡:mbertad. tcmro.o er. tal taso turcamente a aqu-!ias…</t>
  </si>
  <si>
    <t>Picado, Francisco González</t>
  </si>
  <si>
    <t>Francisco González Picado</t>
  </si>
  <si>
    <t>…, es Francisco Román de León, dipu nes para bien tíe la Monarquía. tado. = Licenciado D. Domingo Sánchez Regadera. = Licencia n Madrid 5 de Julio de i82 3.=Sermo. Sx.=Por Ciudaddo D. Francisco González Picado. = Josef Valerio Giraldo. zs Real sus comisionados=Tomas Jiménez Coronado.=Josef An Joaquín Galan.m Antonio Vallejo. = Julián Ponce dé León, tonio Arenas.” secretario. = Sermo. Sr. Presidente y Junta de Regencia de Es paña é Indias.” «* Sermo. Sr,: Esta provi…</t>
  </si>
  <si>
    <t>Pidióla, Torcuato</t>
  </si>
  <si>
    <t>Torcuato Pidióla</t>
  </si>
  <si>
    <t>…n de Guerra presentó los siguientes dictámenes. el expediente promovido por ci capitán de fragata de la armada Lino sobre la exposición de los tenientes del regimiento de nacional D. Torcuato Pidióla , rdat-vo a las dudas ocurridas con Navarra sobre hacerse vanas declaraciones en Livor de sus ascen motivo de haber api esa do en Cartagena de Indias una goleta ene sos á capitanes: la' comisión opinaba que debía declararse no ha miga en el añ» 17-9, a fin de…</t>
  </si>
  <si>
    <t>Pieu, Francisco</t>
  </si>
  <si>
    <t>Francisco Pieu</t>
  </si>
  <si>
    <t>…ado, y D. Juan Anton.o Yandiola, tesorero ge dieron carta de ciudadano á D. Juan Rivero , de nación portu neral de la Nación, había tenido á bien nombrarles, ai primero gués , y-á D. Francisco Pieu, capitán del regimiento infantería secretario del Despacho de Estado, y al segundo del Despacho del ihíncipe , de nación romano. de Hacienda. Las Cortes quedaron enteradas. Se mandaron quedar sobre la mesa un dictamen de la comi A la comisión de Diputaciones…</t>
  </si>
  <si>
    <t>Piferrer, Juan Francisco</t>
  </si>
  <si>
    <t>Juan Francisco Piferrer</t>
  </si>
  <si>
    <t>…res el ex en Vitoria en la de D. Pedro Barrio ; en Zaragoza en la de D. Josef coronel D. Nicolás Isidro.esExcmo. Sr. secretario de Estado y del Des Sánchez; en Sarcelcr,. en la de D. Juan Francisco Piferrer y en la de pacho de la Gobernación de la Península. la viuda é hijos de Brusi; en Valencia en la de D. Ildefonso MomMinisterio de la Guerra. pié; en Granada en la de D. Antonio Aguilera; en Sevilla en ¡a de Excmo. Sr.nsPor el oficio de V. E. de 5 del actual,…</t>
  </si>
  <si>
    <t>Pifieiro, Andrés</t>
  </si>
  <si>
    <t>Andrés Pifieiro</t>
  </si>
  <si>
    <t>…trande la Península,acompañando una exposición de la diputación provin geras, menos el español. Se aseguraba que el G. bínete ruso luego que cial de Vigo acerca de la solicitud de D. Andrés Pifieiro en favor de se hubiese retirado su embajador de Madrid le acreditaría cerca de la un hijo suyo para que se le exceptúe del reemplazo del egército por regencia de Urgel, lo que ciertamente seria muy or.glnal y gracioso. El tener ya cinco hijos sirviendo i la p…</t>
  </si>
  <si>
    <t>Piguillcny</t>
  </si>
  <si>
    <t>…e de los facultativos de los pueblos, consiguientes á los tres artí culos aprobados por las Cortes sobre su admisión y dotación : 4.0 dos cartas: una del Sr. diputado Pedralvez al catedrático Piguillcny; y otra Necesitando la fábrica nacional del papel sellado goo cajones, de de un profesor de Cartagena al Sr. diputado Lagasca. EN LA IMPRENTA NACIONAL.</t>
  </si>
  <si>
    <t>Pillaren</t>
  </si>
  <si>
    <t>…ón ; pejo ai munimU) que so pro cntnrnn la tropa i’í’opas nuestras cu observación del encunen: so y la milicia nacional di-.apareció aquella vil turba y bre l'apre:, al mando del .Sr. Pillaren, Constitución, quedó todo tranquilo. G t ui.u!.!, (oíanles de esta provincia, guer- Según noticia:; de oíu.io el Lsemo. Sr. conde de J'Í lias el lí Ko ilíi ’. ;i y Ini-I amanle ; no se si están laiu- Cartagena tiene* Mi cmiiíel general en Vi! la 1 ranea , y b…</t>
  </si>
  <si>
    <t>Pin</t>
  </si>
  <si>
    <t>…, unida por ios vínculos del patriotismo, por tos » Excmo. Sr. : El Sr. secretario deL Despacho de Marine me dice os la libertad y por los de la virtud ! ¡ Felices los que como ei Sr. Pin en 13 del corriente lo que siguí : En oficio de 30 dei me» ú.tnio «ti to dan estos grandes egemplos de virtud y de caridad ! I.os pueblos se dice el interino espitan del puerto de Mahon io siguiente: El goberna someten con conap1 ucencia h hombres tan generos…</t>
  </si>
  <si>
    <t>Piña, Sebastian</t>
  </si>
  <si>
    <t>Sebastian Piña</t>
  </si>
  <si>
    <t>…o 2¿) ejemp.ar-.s de este interesante docu gada de la segunda d.visión de infantería, v ai subten.cr.te dei re mento , que ha producido el 11 cjor electo. gimiento de Fernando vil D. Sebastian Piña por ayudante del Han Uceado al puerto varios buques de levante, que conducen conductor general de equipajes. multitud de presos de Catan» a y Vakncia. Entre otros se cuen El segundo ayudante general gefe interino del E. Ai. = Bru ta al Sr. Rentería, ob'spo ce…</t>
  </si>
  <si>
    <t>Pinairo, Vicente Jiménez y</t>
  </si>
  <si>
    <t>Vicente Jiménez y Pinairo</t>
  </si>
  <si>
    <t>…o á Fomria: aili supe que el enemigo contramar- Camino, D. Fernando Mergelina y Barreta , D. Joaquín Anguiano, l?Jii 9naba %icM el valle de Pineira 6 el Hospital y habiendo lomado D. Vicente Jiménez y Pinairo, D. Juan Nepomuceno Baizola , Don Sr XqueiUrdtTeccion se me reunió Barco en Villamayor, que también iba Josef Albar González y D. Juan Salomón y Caters. siguiendo sus huellas, y juntos continuamos hasta las alturas del Hos Juúio de jurados. pital, desde donde…</t>
  </si>
  <si>
    <t>Pineda, Martin de</t>
  </si>
  <si>
    <t>Martin de Pineda</t>
  </si>
  <si>
    <t>…Barco y de ley absolvió á D. Antonio Solana, responsable de dichos números; y de Esparza ,48 rs. iluminadas y á 4 en negro: se está grabando otra el Sr. -juez de primera instancia D. Martin de Pineda mandó se le al que representa la plaza de la Constitución, la que s' publicará i' la zase la prisión que sufría por esfa causa, declarando que es*c procedi mayor brevedad. En dicho almacén se vende el retrato de María Josefa miento no debía menoscabar su buen…</t>
  </si>
  <si>
    <t>…mínguez Vilíanuevi. chos anos. Soria 15 de Marzo de 1833—Excmo. Sr.tcrMiguel Cabre TJU SUMALES. ra de Nevares.czcExcmo. Sr. secretario de Estado y dei Despacho de la Por edicto de D. Martin de Pineda , juez de primera instancia en Gobernación de la Península.” esta capital se hace saber que en su juzgado y escribanía del número de Y en su consecuencia S- M. se ha servido declarar beneméritos de D. Cristóbal de Vicuña, se halla pendiente la ocurrencia de a…</t>
  </si>
  <si>
    <t>…e pone en pie con la firmeza de una roca, requiere con nía- TJUJJUN.-U.E.S. gestad los duros músculos de sus brazos, siente dentro de sí su furrza En virtud de providencia del br. D. Martin de Pineda, magistrado nativa , y se prepara tranquilo para recibir y despedazar á sus contrarios. honorario, juez de primera instancia de esta capital , dada por la es S: sabe de oficio que Jaime Alfonso y su compañero Antonio Ver- cribanía d=i número de D. Cristóbal d…</t>
  </si>
  <si>
    <t>Pinedo, Gerónimo</t>
  </si>
  <si>
    <t>Gerónimo Pinedo</t>
  </si>
  <si>
    <t>…a marítima que incomoda mu por Jas tropas de la libertad contra los facciosos y sus auxiliares, cho á los franceses. victoria cuya noticia había llegado á Madrid, y era preciso im D. Gerónimo Pinedo , hermano del marques de Avendaña, pedir los efectos morales que indispensablemente produciría. manda otra partida constitucional, que al parecer es bastante nu ¡Cuán útiles son en buena política los escritores que saben apli merosa. car las palancas del modo…</t>
  </si>
  <si>
    <t>Pinedo, Josef Leglisi y</t>
  </si>
  <si>
    <t>Josef Leglisi y Pinedo</t>
  </si>
  <si>
    <t>…ariz. das sus pattes.=Tendreislo entendido para su cumplimiento , y dispon D. Ramón Escrichs. D. Rodrigo Aracda. dréis se imprima, publique y circule.=Rubricado de Ja Real mano.es D. Josef Leglisi y Pinedo. D, Miguel de Nájera. En palacio á 19 de Marzo de 18 23.=A D. Mariano Egca.” D. Marceliano Torio. El conde de Oñate. D. Vicente Segurado. D. Antonio Puiduiiés. D. Francisco Palacios. D. Manuel Zulueta. La diputación provincial de Madrid, en cumplimiento de lo…</t>
  </si>
  <si>
    <t>Piñeiro, Antonio</t>
  </si>
  <si>
    <t>Antonio Piñeiro</t>
  </si>
  <si>
    <t>…idad de su patria; mas aná ANUNCIOS. logo á las luces del siglo y á la civilización de su pais; mas zeloso en fomentar su comercio y manufacturas, menos activo en fraguar intri Al Sr. D. Antonio Piñeiro de las Casas, marques de Bendañs , se gas contra la libertad de un pueblo vecino, para esclavizar después, ó le han estraviado de su archivo los privilegios de juros que á conti al mismo tiempo, á sus propios conciudadanos. Diríamos también qué nuación se exp…</t>
  </si>
  <si>
    <t>Piñeiro, Buenaventura</t>
  </si>
  <si>
    <t>Buenaventura Piñeiro</t>
  </si>
  <si>
    <t>…tancias que,le constituyan en Alpuente , magistrado de la audiencia territorial de Castilla la estado de obtenerla. Nueva, responsable de dicho impreso: en cuya consecuencia los A D. Buenaventura Piñeiro se le han extraviado de su ar S*rs. ministros del tribunal supremo de Justicia Puig, Tuero, chivo los privilegios de juros que á continuación se expresan. Se Navia, López y Carrion mandaron que fuese, puesto inmediata suplica á la persona en cuyo, poder se ha…</t>
  </si>
  <si>
    <t>Pinera</t>
  </si>
  <si>
    <t>…mbinar, qu; sí no constituyen una dsA’ca'á, cuarto 2,°, encima del hospital Real del Buen Suceso, mostración matemática, forman á lo mines una pru ba legal donde vive el expresado Sr. Pinera , á quien se dirigirá la cor de que este incendio fue procurado por una malicia diabólica respondencia de fuera de Madrid , franca de poite , pata ser ad mas nfinada. hi S. A. R. hubiese tardado cinco minutos mi, mitida. en salir de su casa , ó el sacerdote e…</t>
  </si>
  <si>
    <t>Piniila, Matías</t>
  </si>
  <si>
    <t>Matías Piniila</t>
  </si>
  <si>
    <t>…ión de los Sres. Ferrer (D. Joaquín ) y D. Carlos Romeral, D. Juan Antonio Marcos, D. Josef Rives Garmenclia: ..Pedimos á las Cortes que en atención á las circunstancias Queraltó, D. Matías Piniila, D. Zoilo Gómez Casero, D. Juan Anto en que se halla la provincia de S. Sebastian, la cual confina con Francia, nio López, D. Gaspar Aguilera, D. Bernardo Aser,jo, D. Nicolás He se observe lo que en otras guerras se ha observado , relativo á la forma redero M…</t>
  </si>
  <si>
    <t>Pinilla, Esteban</t>
  </si>
  <si>
    <t>Esteban Pinilla</t>
  </si>
  <si>
    <t>…00.................... .... Idem. 9 de Junio último, nombrando por herederos á su marido 13,684.... 1000.................... .... Algecirae. D. Pedro Vizcaíno y á sus dos hermanos D. Esteban Pinilla, 6,196.... Soo................... .... Cádiz. vecino deOleo, lugar de Vicálvaro, y D. Genaro Pinilla, ausente 14,745.... 500.................... .... Madrid. en Indias; y Apareciendo en dicha testamentaría haber contra 72.... 500................... .... Idem.…</t>
  </si>
  <si>
    <t>Pinilla, Francisco Javier</t>
  </si>
  <si>
    <t>Francisco Javier Pinilla</t>
  </si>
  <si>
    <t>…á palacio la milicia activa y mili Gobernación de la Península, que tenia á su cargo, lie venido en cia nacional local de Sevilla á las órdenes del coronel de la mili habilitar á D. Francisco Javier Pinilla, oficial mayor de la mis cia activa D. Agustín de Oviedo—Pavada la Reina , milicia ac ma, para el despacho de los negocios de ella , hasta que se presen tiva y la nacional de Sevilla; el demas servicio y patrullas lo de te á servirla el nombrado en propiedad…</t>
  </si>
  <si>
    <t>…o Julio de 821, en virtud de la autorización de, las Cortes de 29 de Gracia y Justicia, insertando un decreto del. Rey, por el de-Junio del mismo año. Aprobado. cual se habilita á D. Francisco Javier Pinilla, oficial mayor de Alt. 125. Corresponde a las diputaciones provinciales cono la secretaría de la Gobernación de la Península, para despachar cer de toda excusa, ó exoneración de oficios municipales, debien esta misma secretaría interinamente, y hasta que se p…</t>
  </si>
  <si>
    <t>…rto de hora hasta las diez de la mañana. de Estacte , manifestando que habiendo admitido S. M. la dimi 2.0 Mañana á las diez en punto de ella estarán formadas en sión que ha hecho D. Francisco Javier Pinilla del er.carco inte el Prado con la derecha á Ja fuente del Neptuno la primera bri rinamente del ministerio de la Gobernación de la Pen n.ula , so gada ile la segunda división, la caballería que se halla en esta pla había servido nombrar también interinamente p…</t>
  </si>
  <si>
    <t>…ecretario propuesto las Cortes , sujeta á la deliberación de las mismas las de Estado, en que les participaba que habiendo admitido S. M. siguientes medidas: la dimisión hecha por D. Francisco Javier Pinilla del encargo Proyecto -de decreto para la exacción de un servicio extraordinario interino de ministro de la Gobernación de la Península, se ha para las atenciones de la guerra. bía servido nombrar para despachar también interinamente dicha 1. a La Nación hará…</t>
  </si>
  <si>
    <t>Pinilla, Genaro</t>
  </si>
  <si>
    <t>Genaro Pinilla</t>
  </si>
  <si>
    <t>…00.................... .... Algecirae. D. Pedro Vizcaíno y á sus dos hermanos D. Esteban Pinilla, 6,196.... Soo................... .... Cádiz. vecino deOleo, lugar de Vicálvaro, y D. Genaro Pinilla, ausente 14,745.... 500.................... .... Madrid. en Indias; y Apareciendo en dicha testamentaría haber contra 72.... 500................... .... Idem. ella varios acreedores, se les cita para que en el término de 15 5,685.... 500.....................…</t>
  </si>
  <si>
    <t>Pinilla, Matías</t>
  </si>
  <si>
    <t>Matías Pinilla</t>
  </si>
  <si>
    <t>…gura y Montalban, caminos positivos D. Juan de Cortes, D. Simón González Yilste, D. Juñan de Fuen para la tierra luja y Mcqumci.:-:*: *&lt;•, el momento de mi llegada dispuse sa tes, D. Matías Pinilla , D. Manuel González del Campo,D. Manuel Me liesen tres partidas fuertes de ¡nfanv-ría y caballería con las instrucciones rino, D. Lorenzo Lambca, D. Josef RivesyD. Manuel Carnicero. Ha y ira la persecución y aprehcii'-.i-n de otos infames: igualmente procede…</t>
  </si>
  <si>
    <t>…ros de mas precioso y va , D. Cayetano Rubio, I&gt;. Josef Segundo Monde jar, D". Josef sagrado sobre la tierra: salga finalmente de vuestros pechos á la Merelo, D. Miguel de Nájcra, D. Matías Pinilla, D. Josef manera de un torrente de fuego la ira reconcentrada por tanto Sainz de Rozas, D. Aniceto Moreno. tiempo en vuestro corazón atrozmente agraviado , y que una Habida la conferencia se declaró por unanimidad haber lu prudencia peculiar de vuestro caráct…</t>
  </si>
  <si>
    <t>Pino, Manuel del</t>
  </si>
  <si>
    <t>Manuel del Pino</t>
  </si>
  <si>
    <t>…un retrato suyo (del Rus) hecho por el próximas, previno al capitán de infantería y teniente del resguardo mi celebre West, presidente de la academia de pintura.—51 duque de litar D. Manuel del Pino se adelantase á saber lo que deseaban, lo que Susex y el virey de Irlanda se hallaban indispuestos , y el primero i» verificó marchando á ellas con cuatro cazadores, y observó que á m estaba de cuidado. aproximación le hicieron rendir las armas, amenazándole…</t>
  </si>
  <si>
    <t>Piñol, Miguel</t>
  </si>
  <si>
    <t>Miguel Piñol</t>
  </si>
  <si>
    <t>…hayan percibido Jos últimos descubrimientos modernos, aplicada ák medicina y á las arte: los sueldos que Ies correspondían por los destinos que desempeñaron desde por el ciudadano D. Miguel Piñol , licenciado en farmacia. Este pequeño Mayo de 1806 hasta su extinción, acudan con los documentos justificati compendio , que con tanta brevedad y claridad da á primera vista á cono vos de sus créditos á D. Antonio Soliva, gefe de sección de la dirección cer…</t>
  </si>
  <si>
    <t>Pintado</t>
  </si>
  <si>
    <t>…. Sí bre S viienza para combinarse con las tropas de Aragón: este Sr gefe en el término de dos días os acogéis al indulto que os otrezco en nom poli o lo ha avisado ya al teniente coronel Pintado , que manda nues bre de aquella, os admitirá como a hijos reconocidos ; nfas si perse tra v= guardia. Todo lo que con la mayor satisfacción traslado á V. E. veráis en vuestro engaño, temed la muerte inevnab'e, porque nume para la suya , y con el objeto di ele…</t>
  </si>
  <si>
    <t>…l general que serán muy útiles i la división.__Igualmente la caballería de van Bordesoult. Un regimiento suizo y la guarnición de Lila se dirigen á guardia , que mandó el teniente coronel Pintado, la tomó unas cargas de la frontera. El general Pamfilo de Lactoíx debía llegar i Tolosa el paño, y s: le pasaron los artillero* que fueron prisioneros en la acción 34. Ei embajador de Ñipóles habia dado un convite al cuerpo diplo del &gt;4.=Dios guarde í V. E.…</t>
  </si>
  <si>
    <t>Pintado, Gaspar</t>
  </si>
  <si>
    <t>Gaspar Pintado</t>
  </si>
  <si>
    <t>…en marcha para Samas Martas; debiendo por la noche dose sus tres compañías de cazadores hasta el punto donde se quedar á una ó dos leguas del general Do-Rego. halla actualmente el coronel D. Gaspar Pintado, á quien rele El mismo gefe del estado mayor me manifiesta en dicho vará el de igual clase D. Bartolomé Amor, que mandará la oficio que aquella ciudad se habia alarmado con las exageradas vanguardia. La segunda brigada de la misma se acantonará en noticias qu…</t>
  </si>
  <si>
    <t>…Belmonte, contrario á la resolución de dose sus tres compañías de cazadores hasta el plinto donde se ha no admitirse la propos.cion hecha ayer por el Sr. Riego. lla actualmente el coronel D. Gaspar Pintado , á quien relevará A ia comisión segunda de Hacienda se mandó pasar un ex el de igual clase D. Bartolomé Amor , que mandará la vanguar pediente sobre supresión de ciertas pensiones con ia consulta de dia. La segunda brigada de la misma s; acantonará en Fucnca…</t>
  </si>
  <si>
    <t>Pintaquc, Manuel</t>
  </si>
  <si>
    <t>Manuel Pintaquc</t>
  </si>
  <si>
    <t>…ompañía de caza cilio de su frente. Én tanto la guerrilla del centro al mando de los dores del 25 y la de granaderos del primero de Madrid tuvo or tenientes del c.° y 6.° batallón D. Manuel Pintaquc y D. Fran den de pasar la barca , y se dirigió por e! camino de Chiclana cisco Ron, reforzada después por el capitán D. Manuel Corre ;i unirse con la columna que estaba mas adelantaba, y apoco rato dor , se habia alejado bastante, atacando con arrojo y valentía á se le…</t>
  </si>
  <si>
    <t>Pinto</t>
  </si>
  <si>
    <t>…en e! caso Je que habla el articu Los desvalidos, que han llamado con mas particularidad la aten lo 5-u dei citado decreto dirigirán sus rcclam telones documentadas á ia ción del Sr. Pinto, hrr. sido los huérfanos y expósitos de! hospicio de diputación de su respectiva provincia. 6.a Las diputaciones por medio aquella capital. Los huérfanos, abandonados de todo el mundo, y los de los grfes paiítícos remitirán 2 los comandantes generales una raz…</t>
  </si>
  <si>
    <t>…eguen á es Bilbao. te cuartel general 34 facciosos cogíaos cerca de la Puebla de Caballería___Del Príncipe, de Borbon , de la R.eina, deLuSanabria an un reconocimiento que hizo el coronel Pinto: anda sitania. ban capitaneados por un famoso Padre Juan , el cual quedó El brigadier D. Francisco Moreda queda nomhraido subinspec muerto en el campo con seis de los suyos. tor interino de inüníería , y el de igual clase D. Samtiago Wall _ Dei Dia&lt;ii de la C…</t>
  </si>
  <si>
    <t>Pinto, Antonio de Silveira</t>
  </si>
  <si>
    <t>Antonio de Silveira Pinto</t>
  </si>
  <si>
    <t>…par Tejcira Lacerda : de la provincia de Beira Alta el general Bernardo de Silveira Pinto: de la pro vincia de Beira Bija el general Juan de Silveira: del reino de los Algaibes el general Antonio de Silveira Pinto: de ia provincia de Alentejo el general conde de Barbazena: de la provincia de Extremadura el general Francisco de Paula Leite: gobernador de la plaza de Almeida el general Manuel Pinto de Silveira: presidente y gobernador del consejo de Justicia de Oporto el…</t>
  </si>
  <si>
    <t>Pinto, Bernardo de Silveira</t>
  </si>
  <si>
    <t>Bernardo de Silveira Pinto</t>
  </si>
  <si>
    <t>…tán general de la provincia de Tras-os Montes el conde de Amarante: capitán general de la provincia del Minlio el general Gaspar Tejcira Lacerda : de la provincia de Beira Alta el general Bernardo de Silveira Pinto: de la pro vincia de Beira Bija el general Juan de Silveira: del reino de los Algaibes el general Antonio de Silveira Pinto: de ia provincia de Alentejo el general conde de Barbazena: de la provincia de Extremadura el general Francisco de Paula Leite: goberna…</t>
  </si>
  <si>
    <t>Pinto, Juan López</t>
  </si>
  <si>
    <t>Juan López Pinto</t>
  </si>
  <si>
    <t>…al el viérnes 14 del corriente. Semejante tado mayor, caballero de primera clase de la orden Real de San elección ha sido muy grata á todos los Realistas, por haber re Fernando, y D. Juan López Pinto, Teniente Coronel del Real caído en un General que ha consagrado toda su vida con honor cuerpo de Artillería, benemérito de la Patria, todos tres nom y con gloria á la causa de la Religión y del Trono. brados y autorizados con plenos poderes al efecto p &gt;r el…</t>
  </si>
  <si>
    <t>Pinto, Sá</t>
  </si>
  <si>
    <t>Sá Pinto</t>
  </si>
  <si>
    <t>…la Constitución, al Rey const.nicioEl Sr. Castello Branco habló en un largo discurso contra el nal, y á los portugueses que prefieren la muerte á la esclavitud , re dictamen, y el Sr. Sá Pinto lo aprobó como resultado de la sonaron largo rato por las vastas bóvedas del salón : se descubrió el opinión pública. retrato de S. A’l-, y volvieron á resonar las mismas aclamaciones. El Sr. Girao impugnó el dictamen, fundándose en que no El Sr. general cont…</t>
  </si>
  <si>
    <t>Pinto, Serpa</t>
  </si>
  <si>
    <t>Serpa Pinto</t>
  </si>
  <si>
    <t>…s, por las ciicunstanciss y Litboti a 8 de Diciembre. motivos que exponían. Continúa la sesión de Cortes del 14. S* leyó el proyecto de ordenanza para reemplazo del egército, y El Sr. Serpa Pinto pronunció un largo y elocuente discurso en apo el voto particular del Sr. Garmendia. Se mandó imprimir. yo del dictamen de la comisión, aprobando la conducta del Gobierno Se procedió á la discusión del dictamen de la comisión de Código en el asunto de la Rein…</t>
  </si>
  <si>
    <t>…ean decretadas.... £ Apoyado , apoyado. ) constitucional ! ¡Viva la Constitución! ¡Viva la nación portuguesa! Y » Antes de ocho dias me presentaré en este Congreso con uniform* el Sr. Serpa Pinto añadió; ¡ Viva el egército portugués ! nacional.... ¡ Los aristócratas se arman contra los int-reses públicos , é Todos los diputados levantados y los espectadores de ¡as galerías intentan restablecer el despotismo y la inquisición! Nosotros, los pa correspon…</t>
  </si>
  <si>
    <t>…s galerías repitiendo conti cuyo total era de 2760: el cómo y cuando se empezó á descon nuos y enérgicos vivas.) fiar de la traición del general Sepúlveda, y el modo con que es El Sr. Serpa Pinto dijo que en esta ocasión era necesario que capó de las manos de la milicia nacional, debiéndolo á la gene el Congreso mostrase su firmeza, y diase la mayor publicidad á rosidad del general en gefe y de otro ciudadano: cuales eran las sus trabajos; por lo cual…</t>
  </si>
  <si>
    <t>Piñuesqui, Pedro</t>
  </si>
  <si>
    <t>Pedro Piñuesqui</t>
  </si>
  <si>
    <t>…yecto para la enseñan La comisión de Legislación era de opinión que las Cortes po za mutua, que no había podido plantear por falta de medios: de dían conceder carta de ciudadano á D. Pedro Piñuesqui, vecino D. Antonio Cainp, solicitando una jubilación por servir 40 años de Vclez-Málaga, en vista de los buenos informes que hay en fa hace un magisterio de primeras letras: de D. Antonio Círculo vor del interesado. Aprobado. para que se le admita á examen pa…</t>
  </si>
  <si>
    <t>Pío</t>
  </si>
  <si>
    <t>…: to al estado mayor el capitán de Astúr-as D. Valentín Pastor. __Otro Art. J.” »: El Gobierno liará egseutar en todas sus partes el decreto idem el capitán de M. N. A de Simienza D. Pío fiaII?steros__ Otro de aa de. Jumo de ibzt , ec mbinándoio en lo nzc.rsanu con c- siste idem el aiíercz de la extinguida guardia Real D. Ramón Gaitan. ma de pagadurías é iiHerveircion , resuelto en 7 de Mayo de 1822 ; que dando sin ..efeclc. los aru. 38 y 39…</t>
  </si>
  <si>
    <t>Pío, Man Papa</t>
  </si>
  <si>
    <t>Man Papa Pío</t>
  </si>
  <si>
    <t>…ente Idem 25. forzado la entrada del lago de Maracaibo el 8 de Mayo para Por un parte telegráfico s. ha sabido U muerte de S. S. el cooperar con él, y había embarcado en Mopopo al general Man Papa Pío vii, ocurrida ¿el 20 dcá cemente á ias seis de la-ma rique con dos batallones. ñana. Ejército de los Pirineos. FXANCfA. El mariscal duqu de Con-giiano comunica el ministro de Burdeos 15 de Agosto. la Guerra lo siguiente! Mientras nuestros liberales se. solaza…</t>
  </si>
  <si>
    <t>Píobilitar, Valdes</t>
  </si>
  <si>
    <t>Valdes Píobilitar</t>
  </si>
  <si>
    <t>…s para limpiar la España de franceses, Dionisio) por j8 votos de 90. y de algunos años a esta parte está suministrando caudales para ha Ed la votación para sexto individuo tuvo ei Sr. Valdes Píobilitar á los franceses á que ocupen de nuevo aquel país , pues ge tos 32 votos; el Sr. Velasco 2; ; el Sr. Salvato 29; el Sr. Tr¡neralmente se cree que un sugeto visible lia tomado prestado mi rerq; 2 cada uno de tos Sres. Canga , Pacíaco v Tonta»; v 1. ;c»llón y me…</t>
  </si>
  <si>
    <t>PÍOS, Manuel de</t>
  </si>
  <si>
    <t>Manuel de PÍOS</t>
  </si>
  <si>
    <t>…e *1 Por virtud de providencia de los señores del Real y supreligión, no es en aquellos, libros.divsno§iqfle -.descubren la grandeza., tno Consejo de Castilla se ha mandado por el Sr. D. Manuel de PÍOS,.chacen gustat;al,eorazon la suavidad de sus preceptos; Josef Rubio , primer Teniente Corregidor de esta H. villa, pu sinó en tantos otros impíos oitfeblasfeman;de lo que no entien blicar por ró días más la subasta de una casa, sita en esta corte y den &gt; deja…</t>
  </si>
  <si>
    <t>Piqueras, Francisco</t>
  </si>
  <si>
    <t>Francisco Piqueras</t>
  </si>
  <si>
    <t>…ticular, lo remita.al Gobierno. Aprobado. 2.0 Se reconocerá por ayudante de campo del general de la Art. 119. En las obras de utilidad general de la Nación que Jígunda división al teniente D. Francisco Piqueras, y: a las inme se emprendan en las provincias, tendrán las diputaciones la inter diatas órdenes del mismo general al teniente coronelD. Santiago vención que les señale el Gobierno, dando cuenta de Jos abusos !Najera: por ayudante de catnpo del general D. Manu…</t>
  </si>
  <si>
    <t>Piqueras, Manuela</t>
  </si>
  <si>
    <t>Manuela Piqueras</t>
  </si>
  <si>
    <t>…uciones; dan íobre ellos las Doña María Cata, Doña Teresa Miser y Catá , Doña María Torras, mismas milicias , les matan 9 hombres, les hacen 3 prisioneros y les Doña Rita Jovanet, Doña Manuela Piqueras y Doña Agustina Pir. cogen 13 cabillos, sin que en todos estos encuentros y en tan diversos Después de varios vivas á la Constitución, se dió la sopa á mas da punto- hayan tenido ios patriotas una sola desgracia , señal bien risible 600 familias. Todo esto se practicó por dispos…</t>
  </si>
  <si>
    <t>Piquero, Antonio</t>
  </si>
  <si>
    <t>Antonio Piquero</t>
  </si>
  <si>
    <t>…ar las casas de algunos ciudadanos para extraer Reina se formará una división provisional, que mandará el bri los caballos con el pretexto de que no se han presentado en la gadier D. Antonio Piquero.1 requisición; prevengo, sin perjuicio de obrar contra los que Art. 7.0 Ei batallón ligero número 16 , mandado formar ya han dilinquido , que será tratado como ladrón público cual por orden del Gobierno, se acantonará y organizará en Cuenca. quier individuo,.…</t>
  </si>
  <si>
    <t>…dmitiese la propuesta hecha por el Sr. general Ba Reina se formará una división provisional, que mandará el bri llesteros á D. Josef Sánchez Fondo para su ayudante general. gadier D. Antonio Piquero. La comisión de Guerra era de opinión que no se necesitaba Art. 7.0 El batallón ligero número i(5, mandado formar de la aclaración que solicitaba un señor diputado sobre los mili por orden del Gobierno, se acantonará y organizará en Cuenca, tares que residies…</t>
  </si>
  <si>
    <t>Piquero, D- Gregorio</t>
  </si>
  <si>
    <t>D- Gregorio Piquero</t>
  </si>
  <si>
    <t>…hallan en Madrid ausentes de resguardo militar al tiempo de formar las hojas de scrv.c.o, opi sus cuerpos, . naba que debía aprobarse el dictamen del Consejo de Estado. Se 3.0 El brigadier D- Gregorio Piquero, que reunirá en la mando quedase sobre la mesa. provincia de Cáceres la división dé reserva, tendrá igualmente el Se mandó) imprimir un dictamen de la comisión primera de mando de toda la infantería que se halla en el undécimo distri Hacienda sobre el modo de…</t>
  </si>
  <si>
    <t>Piquero, Gregorio</t>
  </si>
  <si>
    <t>Gregorio Piquero</t>
  </si>
  <si>
    <t>…ída jes sun las facu.iud-» de la Diputación prrmr.rr.te ? Véanse -.rías en por -1 Sr. Nena. la Const.tucion, y se hadara que ninguna de ellas tiene conexión con Di! con;.-.::darte D. Gregorio Piquero y demas oficiales de la pia tste punto. ra ruainr deí e^éicito del ¡j. ' distrito , V de un numero considerable Lo mismo digo respecto del presidente v secretarios de íes Cor d* ciudadanos de ürellana la Vieja , presentadas y leídas por cl^ br. lu- tes oíd na…</t>
  </si>
  <si>
    <t>Piquinoti, Benito</t>
  </si>
  <si>
    <t>Benito Piquinoti</t>
  </si>
  <si>
    <t>…para que el mrs. , en que tenia hecha la consignación del pago do lanzas en juro de Gobierno pueda disponer de las existencias que resultaren oportuna 200,195 mrs. , en cabeza de D. Benito Piquinoti, que por haber pade mente. cido la baja de la mitad en el aña de ió8ó no fue comprendido en la 16. De las entregas de frutos que los encargados hiciesen en los' pragmática de 11 de Agosto de «717, y cuyo juro está situado en el depósitos militares recogerán r…</t>
  </si>
  <si>
    <t>Pirez, Ramón</t>
  </si>
  <si>
    <t>Ramón Pirez</t>
  </si>
  <si>
    <t>…es » El capitán general D. Pedro Mendinueta , los tenientes generales taban arrollando el pucb'o 110 hombres al mando de Portatnbú. Los D. Josef Cienfuegos, príncipe de Anglona y D. Ramón Pirez; los acometieron, y echaron del pueblo; mas se rehicieron, y precisaron á mariscaos de campo D. Bernardo Bonavia y D. Francisco Suazo se me que se introdujesen en el granero de la Decimaria, que es casa fueitr, presrniaron , como todos los demas generales exi…</t>
  </si>
  <si>
    <t>Pita, Josef</t>
  </si>
  <si>
    <t>Josef Pita</t>
  </si>
  <si>
    <t>…la mo. Toda 1a milicia nacional de Villafranca de infantería y los volun aguada, víveres , artillería y cureñage, sin que por esto bajase el agua tarios de caballería de la Coruña D. Josef Pita , D. Manuel Suarez, derioixi2 pulgadas , se La situó en la ensenada de losCocos, después D. Ramón Cid, D Félix Perez y D. Andrés Vales y Ponferrada se ha de haber sido reconocida por una junta de peritos, con el fin de evítat hecho acreedora al reconocimiento…</t>
  </si>
  <si>
    <t>Piulo, Juan L-pez</t>
  </si>
  <si>
    <t>Juan L-pez Piulo</t>
  </si>
  <si>
    <t>….u.one*; se observen por ahora en ia tgeoucmn deél las revisa ocuitar su oprobio á paisis extranjeros. si¿u::ntr&lt;: i/ Los comandantes generales de ios distritos harán las cla __El Sr. D. Juan L-pez Piulo, gefí político en la actualidad de la sificaciones que se les encirga por e! citado decreto de 11 de Noviem provincia de Calatayud , acaba de dar un interesante egtrnp o de cari bre último, a." Los mismos comandantes generales pasarán i las respec dad cristia…</t>
  </si>
  <si>
    <t>Pjt.rna, Rodríguez</t>
  </si>
  <si>
    <t>Rodríguez Pjt.rna</t>
  </si>
  <si>
    <t>…sus sesiones una felicitación d-c la junta diocesana de Murcia por las mismo decreto la creación de una junta auxiliar para rectificir la es sesiones drl p y 11, presentada por el Sr. Rodríguez Pjt.rna. tadística de los perceptores y del medio diezmo: á cuyas juntas pasó el Ei Sr. presidente anuncio que mañana s; coi.t iunrj ’a discusión Gobierno unas instrucciones ¡as mas conducentes para el desempeño de pendiente, y si quedaba tiempo se d-scuíiria el dict…</t>
  </si>
  <si>
    <t>Pla-, Francisco</t>
  </si>
  <si>
    <t>Francisco Pla-</t>
  </si>
  <si>
    <t>…e la plaza; hubo algún tiroteo, y los enemigos se volvieron d primero de ligeros. Francia. Siendo cierto esto, se ve que los franceses no lian hecho Segunda brigada. La mandará el brigadier D. Francisco Pla- mas que una prueba,y en ella se han llevado un nuevo desengaño. sencia. E. M. segundo ayudante general D. Manuel de Soria, los Extracto de noticias de los periódicos de Cádiz del ella 7. segundos ayudantes D. Ramón. González y D. Rafael Marín, Se ha publicado…</t>
  </si>
  <si>
    <t>Pladischef</t>
  </si>
  <si>
    <t>…e la sesión. de Rusia , del reino de Polonia y del gran principado de Finlandia en El banquete anual de los armadores de Léndres fship-owners'), ce 70 mapas en folio, hecho por el coronel Pladischef. Desde que se lebrado el 13 del corriente en la fonda de la ciudad de Lí n-íres, fus abrió la navegación han entrado en nuestro puerto de Cronstadt 1073 presidido por el uimic de Liverpool. Se haliaion presentes otros dos buques extrangeros, y han salido 99Ü…</t>
  </si>
  <si>
    <t>PlaPortugal</t>
  </si>
  <si>
    <t>…loque Los facciosos tratan al ciudadano donde quiera que se hallan sucedió en Ñápales , y lo que recientemente acaba de suceder en con el último rigor ; y de aqui dimana, según el brigadier PlaPortugal. Llamemos pues al Gobierno: sepamos cual es la situa sencia ha hecho presente al Gobierno , con motivo de haberle es ción de Ja patria, y decidámonos: arranquemos á S. M. del pre te pedido explicaciones á causa de que no daba detalles circuns cipicio en que c…</t>
  </si>
  <si>
    <t>Plasencia</t>
  </si>
  <si>
    <t>Gaceta de Madrid n.º 113 (extraordinaria)</t>
  </si>
  <si>
    <t>…donde entró ayer 8: las expresadas trepas ascenderían i aQ hom bres de todas armas. » El general en gefe ha pasado con el resto de su división f y estará hoy en la Carolina. » El brigadier Plasencia, que con una columna de 300 caballos y 300 infantes había salido el dia 6 para Almagro con el fin de batir al Comandante Realista, conocido por el Locho, habiendo sabido que el resto de sus tropas estaban prisioneras en dichos puntos, se ha dirijido i pasar l…</t>
  </si>
  <si>
    <t>…úni la salud de la patria se interesaba en que el Gobierno v las Cor camente para que apareciese que había tropas en Despeñaperros. tes se trasladasen á otro punto mas seguro. El brigadier Plasencia , conociendo que era precisa su presencia en El Sr. Galiano suplico A lo» señores secretarios dei Despacho Almagro para contener un poco los movimientos del enemigo, que no tomasen parte alguna en la discusión , porque iba a tomar hiz® bajar al Visillo los ba…</t>
  </si>
  <si>
    <t>…alor de la tropa y el en •* Ayer tuve el honor de participar á V. A. R. que todos tusiasmo de los habitantes, principalmente de cuatro, compa los partes me habían asegurado que el general Plasencia, des ñías formada» pocos días bacía en esta ciudad. Las mugeres de pués de baber tomado en lugar de Chaleco el mando de la di todas edades y clases se ocupaban en llevar vino, aguardien visión constitucional llamada de la Mancha,;qus se retiró de te, pan y mu…</t>
  </si>
  <si>
    <t>Gaceta de Madrid n.º 173 (extraordinaria)</t>
  </si>
  <si>
    <t>…an felices deposiciones. n La ciudad de Jaén y todas sus inmediaciones se han pronunciado de cididamente por la causa del Rey, y se están armando para rechazar í los dispersos del brigadier Plasencia.” EN LA IMPRENTA REAL.</t>
  </si>
  <si>
    <t>…os por ella. ( a ) L» voluntad de la dé — Ha llegado 4 nuestras minos la correspondencia particular cima restante se manifiesta en las cortes, (3) y quizá está sos interceptada al general Plasencia entrado este mes. Por ella se tenida por aquel mismo ejército que proclamó la constitución; ve la insensata ligereza con que nuestros inesperto» y orgullosos pero que jamas podrá vencer al gran número y poder de sus corifeos provocaron, emprendieron, y han co…</t>
  </si>
  <si>
    <t>Plasencia, Francisco</t>
  </si>
  <si>
    <t>Francisco Plasencia</t>
  </si>
  <si>
    <t>…ron de noche: la corbeta tiró al Tribunales. Vista en el supremo de Justicia, sala segunda, nav'o algunos cañonazos, y apenas conoció su porte se puso en la causa mandada formar á D. Francisco Plasencia, gefe político Iruida: nías á ios tres días de caza hubo de ser adelantada.” de Valencia, ha recibido la sentencia siguiente: .— En ei Redactar general se publican Jas noticias siguientes de » Se absuelve á D. Francisco Plasencia de los careos que se Ultramar…</t>
  </si>
  <si>
    <t>…utas á los cumplidos. Art. 4.0 Todo el que haya cum vincia , he venido en nombrar Gefe político de ella al men plido sin nota indecorosa el tiempo de su empeño podrá reem- cionado general D. Francisco Plasencia. gancharse por el tiempo que solicite, y el que lo hiciese mientras dure la presente guerra podrá reengancharse en lo sucesivo por el Habiendo insistido hasta por tercera vez D. Josef Rtiiz del tiempo que le acomodare , y tendrá derecho á los premios de cons…</t>
  </si>
  <si>
    <t>…Capitán reneral nombrado • . También se ha servido S. M. nombrar Ministro residente cer por S. M. ca de los Cantones suizos al Coronel D. Luis Fernando Mon, Art. 7.0 Al Comandante general D. Francisco Plasencia, sus en atención á sus distinguidos méritos, acreditados servicios y Ayudantes y Estado mayor se les franqueará pasaporte y escolta amor á su Real Persona. para ei punto donde lcj¡ convenga hasta que S. M. determine el El Ayuntamiento de Sevilla ha nomb-ado u…</t>
  </si>
  <si>
    <t>Plaseneia</t>
  </si>
  <si>
    <t>…ca acontecimiento no debe ser de grande influencia , pues pital una fuerza de 3oD y mas hombres, entre ellos to que 110 era m is que una parle de la columna dol unos 7I caballos. brigadier Plaseneia. Este parece, según los pastes da En cuanto al «entro no sabe que baya mas fuerza dos, que se bailaba en per&gt;cg,imiento del Locho, que que la división del cuerpo de Molitor. Esta tiene por ocasionaba mil vejámenes á ¡os pueblos ; y el Gobier objeto cubrir el…</t>
  </si>
  <si>
    <t>Plasmad</t>
  </si>
  <si>
    <t>…mbres tan favorable á los constitucic 'Ves; porque estos con el privile públicos. ' gio esclusivo que han gozado en tres años de hablar y escribir, El general Ti. Luis Balanzat al general Plasmad. lograron engañar á la Europa entera hasta cierto punto; pero » Mi estimado Plasencia: He leído al general y al ministro ahora conocerá que deb;:a rebajárseles muchos , muchos de este Salvador la carta de V* Celebramos verle tac alentado, pero cálculo; y sabr…</t>
  </si>
  <si>
    <t>Plaza, Fernando</t>
  </si>
  <si>
    <t>Fernando Plaza</t>
  </si>
  <si>
    <t>…. facción que hasta el dia de hoy quedan filiados en el batallón de Alca IX Ramón Casellas. D. Manuel Carnicero. lá de Henares 600 milicianos, y entregados en la caja del egército D. Fernando Plaza. D. Felipe Arguelles. permanente 240 quintos, continuando las entregas con la mayor acti D. Andrés Fernandez. D. Saturnino Lozano'. vidad en estos días. D. Miguel Ripa. D. Agustín Arricia. También tiene la diputación contratados y prontos los 637 unifor D. Ju…</t>
  </si>
  <si>
    <t>Plaza, Vicente</t>
  </si>
  <si>
    <t>Vicente Plaza</t>
  </si>
  <si>
    <t>…a diente promovido acerca dé las pensiones que hslran de darse ¿ fas de que el cuello, vueltas y barras de la casaca serán color de tiran a. v hijas'huérfana! del sálgsnfcr ínáyor D. Vicente Plaza , muerto rn uo 1, cifra C. M. 6 1 cadalso por su adhesión al sistema constitucional , opinaba-que se au CAPrruio v. torizase al Gobierno para qué séñale á estas huérfanas, dignas del Art. 17. » Para los batallones de milicia activa se destinarán e« amparo de…</t>
  </si>
  <si>
    <t>Po, Eusebio López</t>
  </si>
  <si>
    <t>Eusebio López Po</t>
  </si>
  <si>
    <t>…tienen por objeto desanimar ¿los ciudadanos 1 ¿Ignórase por ventura que se habla mucho de una mudanza de ministerio! ¿Quién duda pues,Gobierno interior proponía en primer lugar á D. Eusebio López Po lo , oficial de la secretaría de Corres; en segundo á D. Cirios Pala que si llegase i verificarse esta mudanza, y ocupasen las sillas otras per cio, administrador principal de rentas de la provincia de Calatayud, y sonas con menos patriotismo que las actuales…</t>
  </si>
  <si>
    <t>Pobes, Joaquín</t>
  </si>
  <si>
    <t>Joaquín Pobes</t>
  </si>
  <si>
    <t>…. Aprobado. La comisión de Ultramar, en virtud de la perdida del expe Cádiz 16 de Julio. diente promovido por la d.putacion provincial de la Hsvana, acerca de que se declarase que D. Joaquín Pobes, nombrado CORTES. cónsul por S. M., podía ejercer las funciones de diputado de PRESIDENCIA DEL SEÍÍOR ZL'I.UETA. provincia para que había sido nombrado , opinaba que debia ae— Extrae to de la sesión del día 16 de Julio. cederse á lo que proponía aquella diput…</t>
  </si>
  <si>
    <t>Poiter</t>
  </si>
  <si>
    <t>…e han observado aun en las d:,»eU&gt;c:cs mas vi lió de las espadas. = A bordo de la Peaiock á io da Marzo vas v espinosas , son lecciones que debieran aprender las tañara» de 1823. —D. Poiter. de París; y la Cuotidóm.i , ,¡ tuviera vergüenza , se absUnc.riA __El barón deTuyl!, comisionado en calidad de Enviado extraor de sugerir á sus lectores el deseo de hacer un cote;o entre aque dinario y ministro plenipotenciario de ILusia , lúe presentado el…</t>
  </si>
  <si>
    <t>Polidero, Miguel</t>
  </si>
  <si>
    <t>Miguel Polidero</t>
  </si>
  <si>
    <t>…Luzurriaga , alcalde.=Luis Ruiz de E&amp;uiluz.” En el mes de Setiembre habrá un campo austríaco en las cer canías de esta ciudad. Los regimientos acantonados en el alta » Sermo.Sr. :D. Miguel Polidero, teniente coronel retirado ,y Austria maniobrarán allí algunas semanas, y volverán después 3 el nuevo ayuntamiento de la villa de Buenache de Alarcon, en la sus guarniciones. Se cree que S. M. el emperador presenciará es provincia de Cuenca , no pueden menos…</t>
  </si>
  <si>
    <t>Polo</t>
  </si>
  <si>
    <t>66o Carlos v íc fue muy útil por cuanto le libraba de los enredes das las legacías que habia recibido el cardenal Polo para este reino, que !c preparaba la Curia Romana , y cuyo peso entero empezó y que habían producido las mayores ventajas. Estos motivos y a caer sobre Felipe 11. Este príncipe acababa de llegar de Londres otras consideraciones 110 menos importantes, y la nec…</t>
  </si>
  <si>
    <t>Polo, Ensebio López</t>
  </si>
  <si>
    <t>Ensebio López Polo</t>
  </si>
  <si>
    <t>…ia y la in secretarios. dependencia de la Nación española. La comisión de Gobierno interior en vista de la exposición Parece que ia Prov.Juncia divina ha destinado a esta incom de D. Ensebio López Polo, oficial de la secretaría de las Cortes, parable capital para ser el teatro de escenas sublimes y el modelo pidiendo volver al egército con el grado que obtenía cuando se dei mundo. Su célebre 2 de Mayo de 1808 fue el primer paso retiró, y de los informes ped…</t>
  </si>
  <si>
    <t>…a observado la comisión lo acordado por las Cortes. que no habían venido todos los individuos de dicha A ia comisión de Guerra se mandó pasar mía junta. A proba«1 o. exposición de D. Ensebio López Polo, oficial do ¡a ¡Se continuó la discusión p«’ndiente. secretaría de las Cortes, reiterando la que había bo Alt. 2.° Cuando no existan personas llamadas: cho en Sevilla para que se le permita volver ;d iiímh ■ uaiuiente, y los llamamientos guanlen «1 orden ejér…</t>
  </si>
  <si>
    <t>Polo, Éusebio López</t>
  </si>
  <si>
    <t>Éusebio López Polo</t>
  </si>
  <si>
    <t>…intentare decir de nulidad de las elecciones A la comisión de Gobierno interior se mandó pasar una ex ó de tacha de algunos de los electos presentará su queja á la di posición de D. Éusebio López Polo, oficial de la secretar a de las putación directamente, ó al ayuntamiento, en el preciso térmi Cortes, solicitando volver al ejército como capitán de artillería no de ocho dias, pasados los cuales no se adnvtirá. Este término que era antes de obtener el desti…</t>
  </si>
  <si>
    <t>Polo, Tetisforo</t>
  </si>
  <si>
    <t>Tetisforo Polo</t>
  </si>
  <si>
    <t>…secretaria del establecimiento desde las D. Manuel Antoran. D. Faustino Fernandez Vidobro. diez hasta la una del día á exhibir sus acciones y presentar ios docu D. Manuel Nufiez. D. Tetisforo Polo. mentos convenientes para el cobro de dicho dividendo, que se ira ve D. Vicente Santiago Les. D. Josef M.re'o. rificando á medida que baya proporción de fondos. D. Manuel Loprz Concia. D. Valentín Recio. Juicios de jurado. D. Pciayo Zorrilla. D- Eugenio Arava…</t>
  </si>
  <si>
    <t>Pompieres, Labbey de</t>
  </si>
  <si>
    <t>Labbey de Pompieres</t>
  </si>
  <si>
    <t>…os á felicitarle, y hu de los Mártires. bo un gran movimiento en todo el lado derecho. Pero sea de esto lo que quiera , la necesidad de la guerra no está to El Sr. presidente : El Sr. Labbey de Pompieres tiene la palabra, davía demostrada; y no teniendo yo una precisión de impugnaría , vuel (Grandes risotadas á la derecha.) vo á mi primer proyecto, que es el de atacar el derecho de interven Mr. Labbey de Pompieres sube i la tribuna: muchos dejan tus ción. asi…</t>
  </si>
  <si>
    <t>Pon</t>
  </si>
  <si>
    <t>…unto. Yiéronse luego las co que con 'el !manÍíiesto"del‘Red á la Nación .dirige á linas que rodean por pnnicut t á Bayon coronadas por los fieles’d»; -la' diócesis do Barcelona el Sr. Pon , magis mas de cien nacionales que á prevención desplegaron tral «le esth’sanla iglesia vgobernador dejes te. obispado. sus guerrillas, y'habiéndose reunido los de los tres Idem'tomín las mas not¡gas -providencias pueblos, bajaron á la casa rectoral (de la qn…</t>
  </si>
  <si>
    <t>Ponce, Josef María</t>
  </si>
  <si>
    <t>Josef María Ponce</t>
  </si>
  <si>
    <t>…ras serian el blanco de los ingle ta *- que tuviesen efecto sus depravados intentos. ses , que no podrán menos de desear una oca»ion de destruir la - v. Asi las cosas, el patriota D. Josef María Ponce, comandante marina francesa, aumentada ya considerablemente, y arruinar de la milicia del Barco,entró) en combinación con los milicianos enteramente el comercio francés. de los pueblos de Pícdrahita y otros inmediatos, y con una par - Por un lado se ve á los…</t>
  </si>
  <si>
    <t>Ponferrada, Andrés Vales y</t>
  </si>
  <si>
    <t>Andrés Vales y Ponferrada</t>
  </si>
  <si>
    <t>…jase el agua tarios de caballería de la Coruña D. Josef Pita , D. Manuel Suarez, derioixi2 pulgadas , se La situó en la ensenada de losCocos, después D. Ramón Cid, D Félix Perez y D. Andrés Vales y Ponferrada se ha de haber sido reconocida por una junta de peritos, con el fin de evítat hecho acreedora al reconocimiento nacional. Como asimismo cl capi que se fuese á pique , perjudicando el puerto, y que se trataba de extraer tán de artillería D. Jacobo buazo, qu: v…</t>
  </si>
  <si>
    <t>Pongnacnuevo</t>
  </si>
  <si>
    <t>…iente gencráPeorde Eourk , que manda las trópas se°un dicen , el recibo hasta' principios de la semana próxima* francesas delante de la Coruja, solo espera su artillería graes» E! príncipe Pongnacnuevo embajador de Francia , córtiió para comenzar á bombardearla'; está en pftsícion delante dé la ayer con Mr. Cannmg en Gtoct?ster ', ódnde!Se hallaban So. A A; ciudad1; y ta güarnidon no ha hecha rím^tíaa salida. . ' Reales el duque de Gomberland yol principeLe…</t>
  </si>
  <si>
    <t>Pont, Jossf</t>
  </si>
  <si>
    <t>Jossf Pont</t>
  </si>
  <si>
    <t>…gular mérito contraído por todo» estos gefes merecen particular elogio el capitán da dientes en ella y en loe juzgados de villa, y proceda desda lue granaderos del primer batallón D. Jossf Pont y el de cazadogo á cortar las de los presos que resultare estarlo por delitos da poca consideración. Da orden de S. A. lo comunico á V. S. res del segundo D. Josef Félix; distinguiéndose también en una carga y en la comunicación de mis órdenes mi ayudante el…</t>
  </si>
  <si>
    <t>Ponte, Joaquín de</t>
  </si>
  <si>
    <t>Joaquín de Ponte</t>
  </si>
  <si>
    <t>…apital el 10 de Agosto último. Asi se explica: del sub-inspector comandante de artillería de la misma piaza de » Ya no se duda que sea falsa la noticia comunicada por Ba la Coruña D. Joaquín de Ponte , consultado por el gobernador yona con relación á la libertad del Rky. El origen de ella es-, de ella , como todos los demas ge fes militares , para que dijera como ya lo anunciamos anteriormente, el permiso concedida al si se había de transigí con el ejérci…</t>
  </si>
  <si>
    <t>Ponte, Miguel</t>
  </si>
  <si>
    <t>Miguel Ponte</t>
  </si>
  <si>
    <t>…otra cosa. ... Longares 28 de Febrero de 1813—En nombre del coronel Arana.=Fabil El Sr. presidente anunció que sé procedía á la discusión del díctame* Asesio—Esta firma la abonará D. Miguel Ponte y aun D. N. Tol, que de la comisión especial nombrada para examinarla segunda parte de la me ha visto en su casa.=Es cop'i—Amur.” proposición dél Sr. Surrá respecto de los individuos de la milicia nacional Nota. Entre doce y una del dia de I10V han entrado en…</t>
  </si>
  <si>
    <t>Pontos</t>
  </si>
  <si>
    <t>…nsertando dos decretos dei Rey, por los cuales se encarga do las avanzadas de Sta. Leocadia hasta la capilla del Angel de ba interinamente el Despacho de la secretaria de Estado á Don Pontos; y por la parte de Pont de Molins llegaban á los Hos- Santiago Usoz y Mozy, oficial mayor de la misma, y el de la talets, inedia hora de Figueras en la carretera. El faccioso Eró Gobernación de Ultramar, en la misma clase de interino , ¿ les con sus gavillas…</t>
  </si>
  <si>
    <t>Ponzoa, Josef Antonio</t>
  </si>
  <si>
    <t>Josef Antonio Ponzoa</t>
  </si>
  <si>
    <t>…rial de Castilla D. Josef Rives, D. Casimiro Martin , D. Jaime Ruíz y Abreue la Nueva , y juez ietrido de primera instancia en esta dicha villa: Ha- D. Andrés de Aloya Luzuriaga , D. Josef Antonio Ponzoa , el conde tiendo visto la cau:a seguida á instancia de D. Agustín Josef Mestre, ' de Floridablanca , D. Nicolás Cano de Luquo , D. Juan Fernandez Caboticario mayor de S. M., contra D. Josef Antonio Oñez , boticario sartego y D. Manuel González del Campo. Hab…</t>
  </si>
  <si>
    <t>…trito. Excelentísi cisco de Travesedo, D. Julián de Fuent.s, D. Isidoro de Hoyos, Don mo Sefior : Ayer tarde continué la marcha en d.reccion á este , donde Juan Manuel de Aréjula, D. Josef Antonio Ponzoa , D. Antonio según noticias se hallaban los enemigos; pero en el camino supe que á Regas y D. Francisco Luciano Domínguez Villanueva. las dos de la tarde habían salido dirigiéndose á Berzosa, por lo que Hi bida la conferencia, se declaró por unanimidad «no ha…</t>
  </si>
  <si>
    <t>…ige por Aguilar y En la muy heroica villa y corte de Madrid, reunidos en jurado de ca Agreda para procurar cortarles en caso de que su intención sea la de fal lificación los Sres. D. Josef Antonio Ponzoa , D. Antonio Puigblanch, dear el Moncayo y pasar por Frasno para acercarse á su guarida, y el co D. Nicolás Heredero Mayoral, D. Juan Fernandez Casariego, D. Juan Isidoro Perez, D. Antonio María Espejo, D. Julián de Fuentes, D. Gre ronel Depablo talonea su fu…</t>
  </si>
  <si>
    <t>…defender la Constitución hasta mi última agonía en toda la provin D. Sebastian Andrés. cia que el Gobierno se ba dignado fiar á mis desvelos. La provincia Señores que disintieron: D. Josef Antonio Ponzoa, D. Simón continúa en la mas completa tranquilidad. Dios guarde á V- E. mu González Yuste y D. Francisco Luciano Domínguez Vilíanuevi. chos anos. Soria 15 de Marzo de 1833—Excmo. Sr.tcrMiguel Cabre TJU SUMALES. ra de Nevares.czcExcmo. Sr. secretario de Estado…</t>
  </si>
  <si>
    <t>Poppe, Nicolás Bernhard</t>
  </si>
  <si>
    <t>Nicolás Bernhard Poppe</t>
  </si>
  <si>
    <t>…s demandas sobre este asunto, y miento. en caso contrario y sin previa ulterior legitimación los deman Atiso. dantes serán judicialmente declarados los únicos inmediatos he El Dr. D. Nicolás Bernhard Poppe en su nombre, y en ca rederos de las herencias, y se les autorizará para transferir las lidad de apoderado del sr. D. Adolph Philipp Cario Bernhardo cantidades de 38, 3^ , 4$ y t® m. inscritos, como igual Vilentze , vecino de Altona, y las Sras. Anna Agnese A…</t>
  </si>
  <si>
    <t>Porlocarmaban, Elias Montero y</t>
  </si>
  <si>
    <t>Elias Montero y Porlocarmaban</t>
  </si>
  <si>
    <t>…oica, * rogarle que se dignase de dar El Dr. D. Josef Sainz de Rozas. D. Nicolás Alonso. ya fin á las amarguras de sus subditos, adoptando el pació que recla D. Vicente Villanova. D. Elias Montero y Porlocarmaban su bien y sus deseos. Hízolo asi V. M., porque sus entrañas pa D. josef Asnero. . rero. ternales nada podían rehusar que fuese en provecho de los españoles; $). Tadeo Perez. D. Luis Peceto de Andrés. y desde entonces ha visto comprobado de mil modos que estos…</t>
  </si>
  <si>
    <t>Porras</t>
  </si>
  <si>
    <t>…2 artillero* jao oficia Como la-acción te ha dado tajo los murosldehltf plaza, nq les con 130'caballos. amz:r.y ; puede saberse la pérdida que ha sufrido «1 enemigo.¿CuaHel ge» El general Porras y su estado- mayor corrieron: la misma ñera!del Puerto de St». María rZ de Setiembie d* 1833.=De suerte; y habiendo el general Saint Chamans,ds*t«ado hícia orden de S. A-R.=E1 mayor general; conde Guillemiuot. -c Veliz-Málaga ei regimiento de cazadores núm. *…</t>
  </si>
  <si>
    <t>Porras, Francisco</t>
  </si>
  <si>
    <t>Francisco Porras</t>
  </si>
  <si>
    <t>…epido te si no se acogen pronto al indulto. niente D Jacobo Otero y de lo» bizarros subtenientes D. Luis Larri« Leales gallegos : herrados y pacíficos compatriotas míos: ;Qué va y D. Francisco Porras. En la noche del mismo 23 supe que los fac voz sacrilega ba resonado en este recinto , que asi os hizo olvidar de ciosos, en número de 30, estaban en las Cruces de Besejos, desde don vuestTO honor, de vuestra santa religión, de vuestras infelices mugeres, de…</t>
  </si>
  <si>
    <t>…os ticias y evítenlos los dos estrenaos de la presunción y cs-guardias D. Luis y D. José Pafiflo, como los vo de la desconfianza. En esto daremos al mundo una luntarios nacionales D. Francisco Porras, D. Joaquín nueva nueva de cordura y de valor; y nos granjea Canuda . D. Vicente Losada, D. Jacobo Sobreira , D. remos el aprecio del mundo entero. Mauro Migueles, D. José de Puga y D. Joaquín Can dil, tod os de Santiago, silenciando la conducta de ARTÍCULO D…</t>
  </si>
  <si>
    <t>Porras, Josef de</t>
  </si>
  <si>
    <t>Josef de Porras</t>
  </si>
  <si>
    <t>…plata robada, como asimismo gran pc-rcion de artnam nto, vestuario y municiones con varios cuadios de tropa. Convenio concluido y pasado entre e! Jr- comandante de armas y el Sr. general D. Josef de Porras. A las cuatro de la tarde recibí orden del teniente general conde Loberdo para venir solo 3 esta plaza, en donde entré á Arr. i.° La guarnición de Mi!a ;a es prisionera d- guerra, las cinco de ella , habiendo sido mi primer cuidado habilitar tres y los Sres.…</t>
  </si>
  <si>
    <t>Porras, Tomás</t>
  </si>
  <si>
    <t>Tomás Porras</t>
  </si>
  <si>
    <t>…al bado. macenes de mercancías, mezquitas, cuarteles ¡kc. A la comisión Segunda de Hacienda se mandó pa Puede formarse una idea de la eslencien de esta cala sar nna exposición de. D. Tomás Porras, vecino de midad si se considera que la circunferencia de la su Sanlúear de Barrameda pidiendo permiso para rifar perficie incendiada se estiemle A mas de hora y me una casa de sn pertenencia. dia de camino. El número de casas devoradas por las La comisión Pi…</t>
  </si>
  <si>
    <t>Porta, Antonio</t>
  </si>
  <si>
    <t>Antonio Porta</t>
  </si>
  <si>
    <t>…Isidro Casas Yloiirgre. ú ledos, ,4 í níuztd i a valor y consuelo con su presencia á esta guarní- Por nuestra parte hemos tenido ta pérd da de un saldado muerto fíntij El Valiente D. Antonio Porta, teniente, se comportó bizarra y 21 heridos de la guarnición , y comu.o el capitán de Córdoba D. Fé mente con sus miquelete», asistiéndonos en todos los peligros; de mo lix María Zuarnabar. Todos los gefes., oficiales y trop», mis ayudantes do que í los 40 va…</t>
  </si>
  <si>
    <t>Porta, Juan</t>
  </si>
  <si>
    <t>Juan Porta</t>
  </si>
  <si>
    <t>…la N'cion , cupo en la suerte del primer extracto de la de este En cuanto á Jos auxilios de ias tropas del Norte , planes de la santa día á Doña María del Carmen, hija del corone! D. Juan Porta, muerto alianza ¿a Troppau , Laybach y Verona... También hay alianza de pue en el campo del honor. blos, y el plan de estos es niu.ho mas s. nenio y lacil de egecutar, ARTICULO DE OFICIO. porque han d-cho: no queremos ser esclavos, y no 10 ser¿n. Hemos di cho…</t>
  </si>
  <si>
    <t>Pórte, Francisco</t>
  </si>
  <si>
    <t>Francisco Pórte</t>
  </si>
  <si>
    <t>…un te Peirona á sostener la guerrilla, que lo hizo con la mayor bizar niente ó ex-tenknfe de la malvada cuadrilla, que unidos con una ría é intrepidez, y el capitán de Pontevedra D. Francisco Pórte guerrilla de ia columna de mi mando,al cargo de D. Pascual For,la con los 25 del mismo flanqueara los parapetos por la dere tanclla, cubrieron (en virtud de las instrucciones al efecto co cha , quienes lo ejecutaron con la mayor energía, entusiasmo y municada…</t>
  </si>
  <si>
    <t>Portell, Josef</t>
  </si>
  <si>
    <t>Josef Portell</t>
  </si>
  <si>
    <t>…Coloma. Se han dirigido por el Besos arriba ha del batallón núm. 54, D. Pedro Bruguera; de la segunda al te cia Moneada, con su artillería y tropas de todas armas. En este niente coronel D. Josef Portell, y de la tercera al coronel Don último pueblo había esta tarde de 300 á 400 caballos y tres pie Juan Serralde. zas de artillería: de los citados pueblos salieron dos descubiertas, Se avisa en la orden para que sean reconocidos y obedecidos la una que pasó el…</t>
  </si>
  <si>
    <t>Porter</t>
  </si>
  <si>
    <t>…la, y el otro con los fines expuestos son la causa única que me ha conducido á estos bala por elevación. Al ver la guarnición que la goleta se obstina inarcs.zcTcngoO el honor &amp;c.=D. Porter. ba en su empeño, observó rigorosisimamente las ordenes que te 2.0 nia de negar la entrada á la escuadra hasta que yo volviese, con A bordo de la Peacocb , Aguada 8 de Marzo de 1823.=Ex forme á la determinación.tomada ayer por el mencionado tenien celentísimo…</t>
  </si>
  <si>
    <t>Portilo, Carlos</t>
  </si>
  <si>
    <t>Carlos Portilo</t>
  </si>
  <si>
    <t>…los confesores para aconsejar á sus pe o Debo recomendar en particular al subteniente de miqusietcs de nitentes en los negocies temporales, y i toda clase de personas &amp;c.: Cerveru D. Carlos Portilo, quien con su vigilancia y disposiciones acer obra del mismo autor: dos tomos en 8.° á 24 rs. en pasta. Se hallará tadas hizo arrosnar todos los peligros, y defendió los principales pun en Ja librería d; la viuda Je Licscis. tos de este fuerte. Todos los ¿len…</t>
  </si>
  <si>
    <t>Porto</t>
  </si>
  <si>
    <t>…revolución; cuando uno se fija en todo lumna y demas guerrillas, habiendo hecho adelantar otra al mando esto , concluye , esta tentado á explicarlo por las tramas extrangeras, del teniente Porto con 10 hombres de Santiago y dos voluntarios de que queriendo dividir á la Francia , trataban de diezmarla por medio de Orense, los que los han perseguido hasta el pueblo de Siiteda, desapa ella misma. reciendo al momento las grandes columnas de los cortados,…</t>
  </si>
  <si>
    <t>Porto, Vicente María de</t>
  </si>
  <si>
    <t>Vicente María de Porto</t>
  </si>
  <si>
    <t>…en la necesidad de correr el veto que oculta «Visto por el comandante de la reserva, el teniente de Santiago este clandestino volcan , cuya hedionda lava, diseminándose en nuestra D. Vicente María de Porto , y el de la n'.'sma clase D. Gonzalo Rc- patria, amenaza infestarla del contagio político mas destructor, y de gnera , del de Pontevedra , rompieron el toque de caja al paso de ata proponer de nuevo los únicos medios de sostener el árbol de la liber que, con…</t>
  </si>
  <si>
    <t>Portocarrero, Manuel Antonio Prieto</t>
  </si>
  <si>
    <t>Manuel Antonio Prieto Portocarrero</t>
  </si>
  <si>
    <t>…ilicias locales una resis cargo de D. Juan de la Pefta , se hallan pendiente» los autos de con tencia digna de la sublime causa que sostienen. S. M. , que conoce y curso hecho por D. Manuel Antonio Prieto Portocarrero, al cual en aprecia el interes de la pstria en tan recomendable servicio, y no tre otros bienes pertenecen tres casas sitas: la una calle de S. Bernardo, pierde de vista las honrosas fatigas del egiicito, cuya alivio debe barrio d- Sta. Isabel, minz. 20 , núm…</t>
  </si>
  <si>
    <t>PORTUGAL, UU</t>
  </si>
  <si>
    <t>UU PORTUGAL</t>
  </si>
  <si>
    <t>…genera!) a la guarni Esta tarde á las cuatro hace su entrada pública aquí el seción de Igualada, y temo que no la puedan alcanzar. fior general en gefe Saint-March, acompañado del brigadier UU PORTUGAL. man, y demas comitiva {Cartaparticular ). Madrid 25 de Julio. Lisboa 27 de JulioFragmento de una carta escrita por el Infante D. Miguel al El Gobierno ha recibido parte de que SS. MM.yAA. con Sermo. Sr. Duque de Angulema. tinuaban sin novedad en su important…</t>
  </si>
  <si>
    <t>Posada</t>
  </si>
  <si>
    <t>…r seis meses, abonándosele como s: estuviese en el cgercit'n en primer total. h¡. ir no emienda qué es aqui la milicia . porque como en el art. se Fn ia décima votador, lo fue el Sr. Posada por -9 veto» , ene rra U i : oauertido en un cuerpo act.vo y permanente, y al md.vahío que !; totalidad. “ ■■ ¡ la suene de .rulado to mismo le es ..ea en el regimiento de i,_ r i- 1-á Sr. presidente ai-iindo que mañana o'nrV.ia- • ia chseus'on de los 1 na qu…</t>
  </si>
  <si>
    <t>398 fio:- Meca, 24 el Sr. Alvarez (D. Elias), 5 el Sr. Neira, 3 el carlo ya que se dejaba al "Crédito público sin fondos con que ha Sr. Posada, 2 el Sr. Suarez, 2 el Sr. Varela, y uno respectiva cerlo. Este medio lo encuentro en el dictamen que se discute, y mente los Sres. González Aguirre , Septien, Beltran de Lis, es al mismo tiempo el mas conveniente, por lo que creo debe Alonso, Adanero , Serra…</t>
  </si>
  <si>
    <t>Posadas</t>
  </si>
  <si>
    <t>…una barrera contra ¡os proyecto?, de ñor Jencr por 81 votos del total 104, halando tenido 14 -i los bárbaros del Norte. Por esta razón se cree que el bajá de Egip Sr. Varela, 6 el Sr. Posadas y 3 el Sr. Vlzmanos. to favorece secretamente á los griegos, porque á los persas será Para tercer ind.video quedo elegido el Sr. Isturiz por 63 fácil sujetarlos después que el imperio esté asegurado por la parte votos de 109 , habiendo tenido 38 ei Sr. Zuiu.t…</t>
  </si>
  <si>
    <t>Poseus, Luis</t>
  </si>
  <si>
    <t>Luis Poseus</t>
  </si>
  <si>
    <t>…: » Atendiendo á las dificultada que en las A la comisión de Instrucción pública se mandó pasar una ex últimas elecciones se han presentado sobre si los ex-fraiics y exposición de D. Luis Poseus, solititando permutar cursos de leyes monges de los conventos suprimidos deben ó no tener voto en por otros de teología. ellas; pido á las Cortes se sirvan declarar que estos ex-regulares Se leyó y halló conforme la minuta. Je decreto revisada por se hallan h…</t>
  </si>
  <si>
    <t>Pourpart</t>
  </si>
  <si>
    <t>…Maly y Hausac. En el regimiento ai.° se distinguieron también el capitán Benatd, que dió las mayores prue bas de su pericia y valor; el teniente Archias, el subteniente Brette, el sargento Pourpart, el cabo Durand, y el soldado Toucet. El general español Valero animó á Jas tropas con su ejemplo é intrepidez. El teniente general Bourk ha emprendido sus movimientos hacia la Galicia, des pués de haber dado fin í las expediciones de Astúrias; y su vanguardi…</t>
  </si>
  <si>
    <t>Pozas, Juan</t>
  </si>
  <si>
    <t>Juan Pozas</t>
  </si>
  <si>
    <t>…ismo ministerio, comunicando un decreto de haber sido lastimado por su propio caballo el teniente coronel las Cortes, en el cual estas declaran lo que debe entenderse por la mayor D. Juan Pozas; mis como queda algún vacío en la suce expresión de «largos años de servicio." (Gaceta del 30.) sión de él manifestaré á V. E. lo ocurrido. Idem otra, que contiene ;¡r. decreto comunicado por el minis u Cargó á la bayoneta el comandante Hoyos al frente de sus…</t>
  </si>
  <si>
    <t>Pozo, Josef</t>
  </si>
  <si>
    <t>Josef Pozo</t>
  </si>
  <si>
    <t>…ón á naciona bandera de la milicia nacional local. lizarse la guerra._iDe los de Barcelona dejamos insertas arriba las pocas noticias que contienen; y notamos que nada se habla en D. Josef Pozo, director de contribuciones directas de la ellos acerca del general Mina__En artículo de Cádiz quedan in provincia de Lérida, ha solicitado del Gobierno se le permita, du dicadas varias noticias que aquellos periódicos publican, y toda rante las actuales circ…</t>
  </si>
  <si>
    <t>Pozo, Maniió</t>
  </si>
  <si>
    <t>Maniió Pozo</t>
  </si>
  <si>
    <t>…la moderación y el orden, rai- ¡ci. de Miranda de Ebro a D. Josef Bernardo de Aldasolo: pues con esto lo conseguiréis todo, salvareis la patria, y no per id. de A randa de Duero á D. Maniió Pozo: id. de Aifaro á deréis los laureles que habéis cogido en días tan arriesgados y ca 1). Vicente Escudero y Perez: id. de Palcncia á D. Jacinto Alar- lamitosos. fine.' de- Aranzana: id. de Soria á D. Manuel Sedaño: pava la «Cuartel general de la calle del Oliv…</t>
  </si>
  <si>
    <t>Pozo, Manuel del</t>
  </si>
  <si>
    <t>Manuel del Pozo</t>
  </si>
  <si>
    <t>…e resolvieron unáni- Señor guarde á V. E. muchos anos. Aranda de Duero y Jjnio tnerte á defender ios derechos del trono y del altar, y se prepa 4 de 18*3.= Excmo. Sr.c= Lie nciado D. Manuel del Pozo. 3 raron á 'a defensa , para lo cual , noticiosos que en el Coto ha- Antonio Sampago. ssFélix Gavmo B*rdueo.:= Is-dro Cildcb,a ocu tas armas , pasaron en su busca y se proveyeron de 80 ron.m Josef Bonifacio.czlsid-o de Prado™ D:on¡s o Puerca.-.— í ffo fusiles…</t>
  </si>
  <si>
    <t>Pozzo</t>
  </si>
  <si>
    <t>…por todas partes se presentaba 1* cargado de este ministerio, el barón de Vincent, embajador de Austria, imagen de un porvenir dichoso. ¡ Que chas de calma y de prosperidad no el conde Pozzo—di—liorgo , embajador de Rusia , y el conde Lagirde, recién hubieran sido ya estos para la España sin la funesta d.vtsion que la perfid a llegado de su embajada de Midi id, y á quien el Rey acaba de elevar a ¡a ha introducido1. ; Y que felicidad la mía si los…</t>
  </si>
  <si>
    <t>Pozzo-d</t>
  </si>
  <si>
    <t>…arte de de Aragón, y Quesada el de las provincias Vascongadas.—Parece que Que- ayer , y los facciosos han sido acosados con perdidas considerables de sada y Eróles han visitado al Sr. Pozzo-d¡-Borgo, embajador ruso. rezagados y prisioneros. Para nada les sirven ya las armas . y si los pies De Perpiñan el 10 de Febrero se sabia lo siguiente : El 9 llegaron á que tienen sobradamente estropeados. De 900 a iO hombres se compone aquella ciudad Mataflor…</t>
  </si>
  <si>
    <t>Praao</t>
  </si>
  <si>
    <t>…rinci bienes y tantas fortunas sin alivio alguno de la Nación. Los clamores pal impugnación. • universales contra los desórdenes de este establecimiento , tantas veces Ha dicho el Sr. Praao que el medio diezmo no puede considerarse repetidos [en este augusto lugar, me excusan de hacer la enumeración como una contribución , pues en este caso no se observaría lo que «a de las fatales consecuencias que traen ai Crédito nacional , á la Ha dispone en…</t>
  </si>
  <si>
    <t>Prado</t>
  </si>
  <si>
    <t>…los qu - están en el mismo caso. Supuesta esta ligera reseña, ms parece mientos para que pueda llevarse á efecto el código penal, el cual ade que queda debilitado el argumento del Sr. Prado en esta parte. Esforzan mas descansa sobre la base de que ha de haber un jurado. do S. S. sus argumentos ha hecho la historia de los discos que había de Todavía no hemos recado de Heno otra dificultad que ha ocurrido un código penal, de su propuesta y demás p…</t>
  </si>
  <si>
    <t>…ios que no la justiíicm con En este estado entró la diputación que híbia ido á palacio. y »u pre- cualquier motivo ; á continuación se manifestará el resumen de los presid -nts el Sr. Prado dijo: « La diputación ha cumplido con el encargo míos, escudos y total ds individuos con el alta y baja ocurrida desdi de las Cortes: S. M. la ha recibido con su característica afabilidad, y ha ia revista anterior con sujeción en un todo al modelo núm. i.° ma…</t>
  </si>
  <si>
    <t>…es, y poniéndolos de iniaifi-sto á los contri carrera; asi que apruebo el articulo que propon; ia c-.un sion. buyentes para que se sJtislagaa y puedan hacer sus reclamaciones.” Kl Sr. Prado : Una de las razones qu. ha fiado ei Sr. Sauttfe no ha Aprobado. sido desvaiiec.da por el Sr. preopinante. La Nación va t ser giavada Del Sr. Somo.ra: »» Pido qu: al artículo adicional sobre facultati con muchos millones, por los mu»hos retiros que causará es…</t>
  </si>
  <si>
    <t>…leyes ó las otóenes del Se leyó el dictamen de la comisión de Visita del Crédito público Gobierno le pievengan que proceda oyendo á la diputación provincia!, sobre la adición del Sr. Prado y otros Sres. , relativa á que no se lleve ín los casos en que las b-yes ó las órdenes del Gobierno dispongan que el á efecto su instrucción de to d:l próximo pasado. gefe político proceda de acuerdo ó con acuerdo de la diputación provincial, Ei Sr. president…</t>
  </si>
  <si>
    <t>…ia comisión á la de.iberacico de las Cor las funciones de junta directiva hasta qu; se instaló esta. tes se fija la suerte del clero, y se aclara ¡a oscuridad de algunos arf'- Ei Sr. Prado: Resuda pu s que la comisión fue la que impulsó al culos de los decretos que hay sobre la materia. Pues este mismo arreglo Gobierno para circular ¡a instrucción de jo de Agosto último , sien definitivo quedaría ilusorio si se llevase á efecto lo prevenido en…</t>
  </si>
  <si>
    <t>…E»tá pues aprobada la proposición presentada par el señor dos , á todosexclamaron todos los Sres. diputados.) Galiano, en que ha man.festado á la Nación española y á la Europa El Sr. Prado: Por eso he dicho antes en mi discurso que todo* entera cuál es nuestn decisión , y cuáles son las medidas que habri de conveníamos en unos mismos principios (repetidas aclamaciones de los’ tomar para Levar adelante la Constitución de que jamas se separarán.…</t>
  </si>
  <si>
    <t>…s correspouuicli los concilios , sino qu: con injuria de los hombres que enseñaban ti tes en cada artículo. tas doctrinas se qu ría corromper el corazón de S. M. comparándolas (¿I Sr. Prado : No puedo menos de oponerme al proyecto que pre con un veneno; pero qu: S. M., sabiendo perfectamente el origen de senta la comisión, por cuanto veo que choca con. los princ.pio» mas la disciplina de la Iglesia, conocía muy bien los derechos pretendi conocid…</t>
  </si>
  <si>
    <t>…división de los obispados con la disciplina interior de la Igle ticas eclesiásticas recih das hasta el día. En cuanto á la provisión de sia , pues por mas que se haya empeñado el Sr. Prado &lt;-ri la necesidad las sillas de los chispos que sean extrañados del reino se propuso de aquella intervención, yo veo que nuestros antiguos Reyes, sin con demostrar el orador que según los principios del derecho canónico sultar á la autoridad eclesiástica , di…</t>
  </si>
  <si>
    <t>…mente cesen desde este dia.” por un mes á restablecer su salud. Se declaró comprendida en el art. too del reglamento; y admitida La comisión de Guerra , en vista de la adición del Sr. Prado sobre i discusión, tomaron la palabia en pro y en contra de ella varios se el reglamento de medicina militar, opinaba que se debia poner entre ñores diputados. el i.u y 2.0 artículo del mismo otro relativo á que el Gobierno pu El Sr. Buey manifestó que habien…</t>
  </si>
  <si>
    <t>…El mismo patriota oficial que nos comunica esta __En la misma, col. q.J, lín. 29, donde dice rn vista de la noticia quedaba en Elizondo con unos 50 hombres de los pelotones re del Sr. Prado , debe decir en vista de ¡a adición drl Sr. Prut, EN LA IMPRENTA NACIONAL.</t>
  </si>
  <si>
    <t>…crean oportunas puede ad tan p-rjud cial. mitirse el voto que se discute el cual apruebo en »u totalidad. Por el articulo i 2 se fijan las dotaciones de los obispos , prebenda El Sr. Prado: Después de haber presentado el Sr. preopinante á Jo* dos, dignidades eclesiásticas, y la de los curas párrocos. Pero ;por .¡ué canónigos como innecesarios, p-rjuc-;¡a’«s &amp;c., me habo yo en una si rrzon á un canónigo s- le ha de dar la octava p»rt; d; la dota…</t>
  </si>
  <si>
    <t>…o con mandarla , no señor, es necesario que interesados en que se quite un derecho tan indecoroso. ademas de la posibilidad de cobrar haya medios seguros para exigir: este Dice el Sr. Prado que por el art. 1 a de la Constitución la nación principio es inconcuso entt.. todos los economistas , y después de haberse está obligada i' mantener á los eclesiásticos: esto no es cierto; la nación dicho en este lugar que no hay bases sobre que gire la cont…</t>
  </si>
  <si>
    <t>…ngreídos! la copa del sufrimiento ya está Se abrió a las once y cuarto , y leída el acta de la anterior , quedó llena... aprobada, mandándose agr-gar á ella el voto particular del Sr. Prado, » Valientes aragoneses y castellanos, hombres libres de todas las contrario á la s vsolucion de las Cortes sobre Las dos exposiciones de ricas provincias de la hermosa España, el ilustre general Ballesteros D. Vicente Ferrer Carrera. está a vuestro frente :…</t>
  </si>
  <si>
    <t>…os que le cede en foro ó cnñteusis, reservándose el dominio di legislaturas ordinarias, el cual se leyó en seguida. recto; y pregunto yo: ;seria justo que poco tiempo después á El Sr. Prado; Mucho se ha hablado sobre este asunto en pro pretexto de la falta de título se Je despojase de su propiedad: Na y en contra en las dos últimas legislaturas ordinarias; mas sin die me dirá que si. embargo me presento yo por segunda vez en la palestra á hablar…</t>
  </si>
  <si>
    <t>…Curtes se ser berla tenido róseles hubieran dado los ataques tan tuertes que virán admitirle en su totalidad. se le dan. Por último en vista de las observaciones que he tenido El Sr. Prado deshizo una equivocación que dijo haber pade el honor de exponer al Congreso no puedo conformarme con el cido el Sr. preopinante. proyecto'que se presenta. El Sr. Arguelles: Es preciso que confiese á las Cortes que El Sr. Ruiz de la Vega: AI tomar la palabra…</t>
  </si>
  <si>
    <t>…. diputado por Granad» dera el carácter y la índole de la nación que quiere dominarnos, D. Juan Mana González. nos convenceremos de que las cadenas que arrastraría en este caso El Sr. Prado presentó una c.vtificacion de facultativos de la triste España, serian las mas pesadas que han oprimido jamas á Arunjuez, en la que manifestaba no poderse poner en cam no pueblo alguno: y que lejos de hallar moderación en nuestros el Sr. diputado Va puerta po…</t>
  </si>
  <si>
    <t>…timamente dicen los señores de la comisión que han ni pueden considerarse pertenecientes á propiedad particular. creído de buena fe que este era el tiempo oportuno de presentar El Sr. Prado: Antes de entrar en el examen de la rigorosí este artículo,pues por él se sustrae á los pueblos de la esclavitud, sima ley de excepción que se propone en este art. 2.0, debo ob con lo cual se les complacerá en cierta manera. Aqui vuelvo yo servar, que las ley…</t>
  </si>
  <si>
    <t>…eitencciere á ale un y las Cortes no se separan en un ápice del art. z.° de la Consti foro (ii enfireusis que se haya subforado ó vuelto á establecer por tución que ha referido el Sr. Prado. el primer poseedur del domui.o útil , solo este será ei obligado á Con respecto á lo que dijo el Sr. Arguelles de que este asun dar ¡a fianza prescrita en este articulo para satisfacer á su tiempo to debia considerarse bajo un aspecto político, yo solo diré…</t>
  </si>
  <si>
    <t>…ue proponia la comisión se hiciera general para que ejercito. no se presentasen otras dificultades de esta naturaleza. •La comisión primera de Hacienda presentó un dictamen pro El Sr. Prado dijo que la excusa que alegaba el arzobispo para poniendo varios recursos para atender á las necesidades de la no haber concedido las órdenes mayores era efectivamente muy guerra. frívola; pero que aunque podia creerse que en esta negativa hu Habiéndose pedid…</t>
  </si>
  <si>
    <t>…les y todos los extranjeros avecindados en España de fermedades del que lo es en el dia. ben contribuir á él según su posibilidad en la forma que se esta Se leyó un oficio del Sr. diputado Prado acompañando una blece en el presente decreto. certificación dada en Aranjuez, donde se manifestaba haber falle 2. -1 Se aph'ca al reintegro de este scrvicio-la séptima parte de cido en aquel sitio D. Jaime Lapuerta, diputado por la provin los bienes que el cl…</t>
  </si>
  <si>
    <t>…mis tico cesa cuando cesa ia causa que les obligó á ello, y de consi ma categoría que los de pnmera instancia. guiente en este caso son verdaderamente seculares, por cuanto se El Sr. Prado, después de dar las gracias á la comisión por te les ha quitado la obligación que tenían antes como regulares. ner la consideración de sujetar los recursos de mu,dad interpues El Sr. Rico: He extrañado mucho algunos de los princip’os tos en los tribunales cck…</t>
  </si>
  <si>
    <t>…os i.° y 2.° Se procedió á la dis rau , Oliver, Aionso, Romero, Escovedo, Soria , Moreno, Infan cusión del 3.0 te, Saavedra, Navarro Tejeiro, Llórente, Calderón, Orc’uf.a, Sal— El Sr. Prado se opuso á la palabra todas, y dijo que debía vá , Bartolomé , Busaña , Arellar.o , Salvato, Prat, Eaiges , Sepdecirse todas ¡as que na sean absolutamente precisas, porque tien, Alix, Afcnzo, Vilianueva, Neira, Rojo, Liiio, Ovalie, de lo contrario no quedaría…</t>
  </si>
  <si>
    <t>…l cuidado de las cargas que tenga da ; cuando por el que se propone por la comisión pasan la mi la herencia. tad de Los bienes al Crédito público en el. caso de que el poseedor El Sr. Prado: Me he propuesto impugnar el proyecto, por hubiese adquirido el usufructo por sustitución innominada; y no' que en la primera parte favorece poco á los paricntc-s: en la se siendo pariente del testador dentro del cuarto grado, fuese el úl gunda favorece demas…</t>
  </si>
  <si>
    <t>…ibilidad de dejar sus lo , no hay mis que examinar sus dos artxuios primeros, con bienes á manos muertas, los hubiera dejado á sus parientes. En respecto á los cuaics hizo ayer el Sr. Prado una demostración seguida el orador citó el artículo 15 de la ley de 27 de Setiem que no tiene réplica: la Nuc.on que ha sust.tuido en sus dere bre . manifestando que según este artículo se hallan imposibilita chos á varias corporaciones que habían adquirido y…</t>
  </si>
  <si>
    <t>…Setiembre de ib'i^. (Se en que se sustituya á ¡a palabra « cuarto grado” las de - hasta los leyó.) grados que previene la ley de intestados.” Por todas estas razones Continué) el Sr. Prado; A pesar de todo eso . nichos que suplico á las Cortes aprueben el arl ciño en discusión. dudan todavía sobre este punto, y hay una razón especial para El Sr. Flores Calderón dijo: La comisión parte de un supues que esta, orden no iqa en ei caso pr.sente , es…</t>
  </si>
  <si>
    <t>…de Guerra___Nuestras tropas han tomado el puer Y d!e instrucción pública. to y castillo de Guetaria. Hemos hecho 200 prisioneros ( éntre En cuanto á la dificultad propuesta por el Sr. Prado, que es ellos hay dos coroneles y 10 oficiales), y cogido cinco cañones. la mas*especiosa, diré con respecto al caso del hospital de que ha .__S. A. R. el duque de Angulema sigue ‘b.en. Sabemos que el hecho mención, que es mucho mas útil para la causa pública…</t>
  </si>
  <si>
    <t>…i el testador hu ponsabilidad á los svcretarios del EK'spucho, la cual se mandó de biese fallecido abíntejta to.” volver i su autor por no venir acompañada de los comprobantc-s Ei Sr. Prado se opuso á este artículo, porque no se hacia ex que exige el reglamento. cepción alguna en favor de los establecimientos de beneficencia El Sr. presidente anuncié) los asuntos que se discutirían en la y de instrucción pública, ó á lo menos no se les indemniza…</t>
  </si>
  <si>
    <t>…porque yo. trate de inspirar desconfianza respecto de este poder, lo mismo debe aprobarse el artículo. . ; • v. sino porque los jueces no pueden menos de arreglarse a los trámi El Sr. Prado: Estoy conforme con el artículo; pero los tér- . tes de las leyes; asi que el Gobierno espera que las Cortes tomen minos en que está redactado no son conformes á lo que previe- . en consideración la modificación-que he propuesto. ne la Constitución. A mí no m…</t>
  </si>
  <si>
    <t>…ecursos, por considerar á los jueces siguientes: eclesiásticos en la misma categoría que los de primera instancia. 1 .a Todo grupo que se presente gritando en las calles, dan ' El Sr. Prado , después de dar las gracias á la comisión por te do voces ó cantando canciones subersivas , y qué pase de siete ner la consideración de sujetar los recursos de nulidad interpues personas con armas ó sin ellas, será deshecho en el acto á fusi tos en los tribu…</t>
  </si>
  <si>
    <t>…icultades, es preciso J.signar si los proctd.amentos judiciales á que de iu.ar su con..;.cu.” estas deben ser las del país de vecindad del interesado o las de Habiendo empezado el Sr. Prado á hacer observac.ones con su residencia. Me parece que no se hablará del país de vecin tra este artículo, el br. González A.otiso dijo que la coni.sion le dad , porque será muy factible que este esté ocupado por tropas ret.raba abso.utamentc. extranjerass asi…</t>
  </si>
  <si>
    <t>…á xiones generales sobre la materia que se discute, y me concretaré quienes ni siquiera se da audiencia, pues no se celebra ninguna es únicamente á la objeción que ha esforzado el Sr. Prado, y que pecie de juic.o. en sustancia es la misma hecha por el Sr. Diez. El Sr. preopi El Sr. González Alonso: Yo estoy sorprendido de oir al nante ha esforzado la objeción del Sr. Diez por la misma ra Sr. preopinante, pues según se ha expresado S. S. no ha le…</t>
  </si>
  <si>
    <t>…ablecen. para juzgar con acierto, porque el asunto llevaba en pos de Se leyeron estos artículos del código penal. sí una revolución muy grande en el sistema mercantil, por cuya El Sr. Prado: Los artículos del código penal que se han leí razón opinó que no debia aprobarse el dictamen tal como se do prescriben la pena de muerte contra los que ..temen contra el presentaba. sistema constitucional; trátase de saber si los que sirvan empleos El Sr. Zu…</t>
  </si>
  <si>
    <t>…penas que en justicia á la sombra del ejército invasor? ¿Será administrar justi ellos se imponen. cia el perseguir á los amantes del sistema constitucional ? Lo dejo Pero dice el Sr. Prado que podrán obligarles á tomar estos á la consideración de las Cortes. destinos, y que teniendo derecho la sociedad á ser gobernada, ó En seguida leyó el orador una acta de la pretendida chancies necesario que los españoles los acepten, ó de lo contrario los l…</t>
  </si>
  <si>
    <t>…a contribución; de manera que no les ligioso; y muy al contrario escandaloso y opuesto al sistema; por quedaran ganas de volver á quitarla.” lo que debía aprobarse el artículo. El Sr. Prado dijo que en realidad el artículo era insignificante ARTICULO DE OFICIO. y redundante , pues si no estaba mandado por el código penal lo El Rey ha expedido los decretos siguientes: que contenia , lo estaba por nuestras leyes , y que no había una ra Don Fernand…</t>
  </si>
  <si>
    <t>…í s.no que en teclas cpoc.l» 1 a pete.Ki ei cien, el incurrido el Sr. preopinante, á que contesto el Sr. Istur./. diezmo entero o el medio d.e/mo , ro se qu-eie que se t.ate de El Sr. Prado: Ali impugnación se d.nge no contra la instruc su arrecio; Fls menester pues que las Coitc» a...veten se ve Cite ción , sino contra su ejecución, porque es contraria , como c-Li ya punió medid.-:» tuertes pu.i rvmcei.ai .o» ina.es que se ".¡lien ea demostrarl…</t>
  </si>
  <si>
    <t>…jeros de Estado sea exten medida que la salud de la patria, que es conservar idéntica la siva á los Sres. militares individuos de las mismas.” Constitución de 1812. A petición del Sr. Prado se leyó el art. 12y de la Consti El Sr. Marau: Que es difícil encontrar un hombre que salve tución. á la patria dice el Sr. secretario del Despacho de la Guerra, y El Sr. Somoza: La salud de la patria es la suprema ley : si su convengo con esta idea; pero sin…</t>
  </si>
  <si>
    <t>…jo ha - 1 Ln -comision de diputaciones provinciales presentó los siguien- bía incurrido el último vSr. .preopinante, ' 'tcs;dictamencs. ínr.ik ■¡r.'b",.,-'. - . . k.y;.í i'. ’’ El Sr. Prado s Confieso que hubiera deseado que cuando el Uno sobre la expósicio» de Doña María Melendcz, viuda de otro’ dia str trató tic la c:rcu!ar de Ja comisión de Visita del Cré D.' -Mamie! Rincón ¡ médico quefúc de la ciudad de Oviedo, sobre dito público, su fecha…</t>
  </si>
  <si>
    <t>Prado, Diego de</t>
  </si>
  <si>
    <t>Diego de Prado</t>
  </si>
  <si>
    <t>…, llegando su diéndola en otras tres al mando de los respectivos capitanes mas tenaz empeño al extremo de reiterarlos hasta casi la playa antiguos D. Pedro Rubio, del 55 de línea; D. Diego de Prado, del río; no consiguieron otra cosa en cada uno de ellos que ele del "i(5, y D. Manuel Vanhalen , del 3 0 de voluntarios de Ma var á mayor grado el relevante mérito de nuestros bizarros gra drid. Desplegó á su frente en guerrillas las dos compañías de naderos…</t>
  </si>
  <si>
    <t>Prado, Jacobo</t>
  </si>
  <si>
    <t>Jacobo Prado</t>
  </si>
  <si>
    <t>…a el dia de S. Isidro, y el dia 15 las compañías , y en este mismo concepto la partida de Tuy y publicó otro el comandante general, dirigido á reprimir la osadía León, al mando de D. Jacobo Prado y D. Francisco Víllabrilb de ios malévolos, que á la sombra de las armas extrangeras están en corta fuerza , que en el todo y con las primeras apenas compo preparando tumultos, crímenes y venganzas. No dudamos que la nen 40 hombres. Salí en efecto dirigiéndome á la posición fac severi…</t>
  </si>
  <si>
    <t>Prado, Pedro</t>
  </si>
  <si>
    <t>Pedro Prado</t>
  </si>
  <si>
    <t>…algún destino, sufrirá las penas del articulo anterior, y la de Cuba en Ultramar : D. Ezequiel Diez por la de Toro: quedará ademas inhabilitado para servir otro. Exceptúame los em D. Pedro Prado, D. Antonio González Ron y D. Nicolás pleados que vivan en país ocupado ó que sigan en sus destinos Gómez Villaboa por la de León: D. Fermín Alvarez Enlata con licencia expresa dd Gobierno legítimo, y las personas de que por la de Navarra: D. Josef Cano y D.…</t>
  </si>
  <si>
    <t>…ndo independientey ejecutivo corresponde á él mismo. En ella de Cuba en Ultramar : D. Ezequiel Diez por la de Toro: observareis Igualmente "que por este motivo se suspendieron las D. Pedro Prado, D. Antonio González Ron y D. Nicolás providencias acordadas para el pronto envió de tropas en auxilio Gómez Villaboa por la de León: D. Fermín Alvurcz Enlate del Perú iScc.” por i a de Navarra: D- Josef Cano y D. Leandro Ladrón de Se asegura qne el general A…</t>
  </si>
  <si>
    <t>…a: D. Josef Cuevas por la pacial de Justicia. (Gaceta del g.~) de Cuba en Ultramar : D. Ezequiel Diez por la de Toro: Oficio de los Síes, secretarios de las Córtes al Gobierno par D. Pedro Prado, D. Antonio González Ron y D. Nicolás ticipándole haber cerrado estas sus sesiones. (Gaceta del 6. ) Gómez Villaboa por la de León: D. Fcrmin Aivarez Eulate Oficio de los Síes, diputados que componen la Diputación por la de Navarra: D, Josef Cano y D. Leandro…</t>
  </si>
  <si>
    <t>Praf</t>
  </si>
  <si>
    <t>…de las Torres por dó : se defendió valerosamente , pues fue atacado dos veces á la bayo el Sr. Inf-nte. neta , y rechazó al enemigo. De la diputación provincial de Lérida , por el Sr. Praf. Al fin le intimaron la rendición; psro'él no quiso rendirse ni en- Del ministro español en Lisboa y demás ciudadanos residentes en •regar su espada , parque eran la mayor parte jarochos, hasta que vino aquella capital. Sanana , y se la entregó, habiendo muer…</t>
  </si>
  <si>
    <t>Prat</t>
  </si>
  <si>
    <t>…s Cortes lo recibieron con agrado. decir á sus lectores , para calmar los temores actuales, « que el rigor de » la estación en que vamos i entrar retrasará el rompimiento 1 las El Sr. Prat propuso que aunque la exposición de este patriota per tenecía á la comisión de Agricultura , no extítiíndo en las actua’c* «hostilidades.” Cortes, y .tratándose en esta memoria del modo de subrogar otra con Se ha dicho muchas veces qae este periódico era el e…</t>
  </si>
  <si>
    <t>…s y seguiría De la milicia nacional local de Murcia. la discusión pendiente, y levantóla sesión i las tres y media. .Del ayuntamiento de Ecija. Elota. En la sesión de ayer leyó el Sr. Prat tres felicitaciones al De la milicia nacional de Va!ene;a. Congreso por la energía y decisión que habia manifestado en las me De la escuela militar normal de enseñanza mutua del octavo distrito. morables sesiones de 9 y 11 del corriente, y recayó sobre ellas…</t>
  </si>
  <si>
    <t>…cto del arreglo definitivo del migos han tenido entre muertos y heridos 140 hombres tle pérdida, clero.-. entre ellos ocho oficiales. Al día siguiente de la acción se les mandó El Sr. Prat, después de obtenida la palabra, dijo: El ciudadano parlamento; pero ellos no quieren guerra, de sueite que estamos español D. Juan Antonio llórente, que como literato merece bastan mismo que estibamos, quiero decir, en sana paz y correspondencia te considera…</t>
  </si>
  <si>
    <t>…or sustitutos todos aquellos qua De los empleados de la Hacienda pública en la ciudad de S. Se después de cumplir 17 años quieran serlo , con tal que tengan la ro bastian , por ei Sr. Prat. bustez y talla necesarias. De los oficiales del batallón de milicia nacional activa de Tolosa, Art. 6JJ n También podrán ser admitidos voluntarios con las mis» por el Sr. Ferrer (D. Joaquín ). mas circunstancias. De la M. N. V. de Rus, del ayuntamiento const…</t>
  </si>
  <si>
    <t>…de 33 millones, no haya producido ma, que 2 millones! ¡Que la de casa-, comisión debía proponer una terna. calculada en 20 millones, y que debía rendir mas de seis en el primer El Sr. Prat contestó que la comisión había procedido conforme í tercio, no haya producido mas que sjo3 rs.? Fstees el análisis de ias lo prevenido en él reglamento para la oficina de la redacción. rentas, que presentan el cuadro mas melancólico, asi como las contraEl Sr.…</t>
  </si>
  <si>
    <t>…as, quei. *1el honrlnhondo AvernoAverno abortóabortó 1: De la diputación provincial de Barcelona y de la de Tarragona sartas de azucena y rosas, Aqui hay libres ciudadanos, por el Sr. Prat. y sus sienes v.ctoriosas constancia, aceros y manos, Del ayuntamiento de Parra , por el Sr. Becerra. ostenten gloria con ellas. y un pu. b o que dice ....NO. De un considerable númeio de ciudadanos vecinos de Alicante,por S. Sebastian 3 de Febrero. el Sr. B…</t>
  </si>
  <si>
    <t>…a comisión presentó su dictamen sobre la solicitud de Don da por las Cortes al egército del 7.0 distrito militar. Micu-.l Antonio Zamora, manifestando qu; habiendo caído quinto El Sr. Prat dijo que habia sido uno de los individuos que ha su hi;o D. Joaquín , y hallados; en la acción de Roa , donde fue der bían tenido el honor de firmar la proposición , y que entonces no tuvo rotado el cura Merino , á las órdenes del coronel Obregon , pedia que…</t>
  </si>
  <si>
    <t>…nunca llevaría mayor ata, u- la li riitcir.entc a la comisión la exposición de la diputación de Qiceres. bertad que cuando se contundiesen ¡as atribución-s de os dos pc-h res. El Sr. Prat presentó y leyó una exposición de la milicia voluntaria No puedo menos de confesar a las Cortes que lo que irqui se p de de helicnt (en Cataluña), la cual, después de haber dado tantas pruebas por el Gobierno es para mí un misterio incomprt-nsib e; mis :&lt;&gt;s s…</t>
  </si>
  <si>
    <t>…lia. el Sr. Sálvalo. El Rey de Ñapóles continúa cu esta capital. De los ciudadanos que componen el cuadro de la milicia nacícna! acti ALEMANIA. va de Fieucras, 53 de ¡inca, por el Sr. Prat. Se levo un olido del Sr. secretado del Despacho de Gracia v ju-t era, Francjort i*, de Febrero. participando que b. Ai. el Rey cont.nimba a; viado , aunque con :.i hin El censor de nuestra ciudad libre se lia negado hasta ahora á permitir chazón en los pies.…</t>
  </si>
  <si>
    <t>…ad siguiente: de Vich , y del ayuntamiento const.tucional de la villa de Igualada, pre » El Excmo. Sr. comandante de armas de esta plaza ha recibido en la sentadas y leídas por el Sr. Prat. madrugada de hoy el parte de que es copia la siguiente que se ha pasado al Da D. Fernando Gutiérrez Miera, oficial retirado residente,en.Santan gobierno político á las tres y media de esta tarde: der, presentada y leída por el Sr. Tomas; y déla milicia nacio…</t>
  </si>
  <si>
    <t>…de Mayo. mandaron imprimir. CORTES. Fueron nombrados pira individuos de la comisión especial presidencia del seSor ferrer (don Joaquín). que debe informar sobre la proposición del Sr. Prat, relativa a que se lleve á efecto lo prevenido en los decretos de las Cortes Se j ion del Jia jo. de 6 de Abril de 1812 , 18 de Junio de 1813 y 22 de Marzo Se leyó y quedó aprobada el acta de la anterior. de 18x4 á los Síes, duque del Parque , Villavieja , Tr…</t>
  </si>
  <si>
    <t>…presentantes de una nación que muestra en la opinión general 7 de Abril último para la asistencia del ejército. que quiere ser libre , porque si no quisiera serlo no estaríamos El Sr. Prat hizo presente que ia diputación provincial de hoy reunidos tranquilamente en este recinto. Con esta convicción Barcelona habla hecho un adelanto con el mismo objeto el 1 de y bajo estos principios digo pues que es mutil toda resistencia á Abril, y por lo tant…</t>
  </si>
  <si>
    <t>…me fundo para impugnar el dictamen. La expe Se mandó pasar á la comisión de Hacienda la siguiente adi riencia me ha persuadido que las transgresiones que las Coi tes han ción del Sr. Prat á la proposición aprobada ayer , relativa á la tenido que hacer tal vez con el mismo codigo han producido aplicación de los 160 millones acordados como servicio extraor mas malos efectos que buenos. La ultima época lo ha marcado dinario r ,1 Pido que sean com…</t>
  </si>
  <si>
    <t>…utilidad general. Pero como la comisión no tiene Se mando pasar á la comisión primera de Hacienda una adi opinión particular en este negocio, y si ia ha circunscrito á la ción del Sr. Prat al proyecto sobre desestanco de tabaco, que de del Gobierno, no hay sobre qué apelar en esta discusión mas cía: »Pido que los acreedores de tabacos que los hubiesen entre que á la conveniencia pública , sobre laque yo fundaré mi parecer. gado á la Hacienda pú…</t>
  </si>
  <si>
    <t>GACETA ESPAÑOLA. SEVILLA MIERCOLES n DE JUNIO DE i8s3. NOTICIAS DE ESPAÑA. La comisión de lladcnda , en vísta de la adición del Sr. Prat . á la proposición aprobada de ía misma , reianva á la aplicación StutUaio de Jumo. -délos ido millones acordados como servicio cxtraordiiur-o, que CORTES. .decía asi: w Pido que sean comprendidas en dicha aplicación las PRESIDENCIA DEC SESOS. JENER. sumas ad…</t>
  </si>
  <si>
    <t>…sus cuerpos después de observarse la sión de los asuntos pendientes, y levantó la sesión.mala conducta del conde del Abisbal. Se levó por primera vez la siguiente proposición del Sr. Prat: Nota. En la gaceta de ayer , columna t.a, líneas ge y 36, dice:„ Pido á las Cortes se sirvan autorizar al Gobierno para que pue -! de la ciudad de Sevilla sobre el derribo del convento de la Mae-da nombrar, si lo cree conveniente, un gefe político subalterno…</t>
  </si>
  <si>
    <t>…tos de Cortes proceda á lo que hubie do el artículo en cuestión como inútil, fue de opinión que debía desaprobarse. se lugar. Aprobado. Se leyó por segunda vez una proposición del Sr. Prat, relati El Sr. Isturiz : La Oposición que se ha hecho áeste articulo no va á autorizar al Gobierno para que pueda nombrar un gefe po- puede decirse que haya sido impugnación á el, y lo mas que ha brá podido probarse es que no hay fondos para pagar ; pero esta…</t>
  </si>
  <si>
    <t>…los patronos que podía ase nomía que urgentemente reclama tal desorden.” gurar se verificaria bien pronto, y se caba acción á las juntas de » Se leyó la siguiente proposición del Sr. Prat. Acercándose el 'beneficencia para ejercer con tuda latitud sus funciones; por todo nombramiento de la Diputación permanente de Córtes, pido que lo cual debia aprobarse el proyecto. 3a comisión de Legislación proponga el modo de dar cumplimien El Sr. Adan dij…</t>
  </si>
  <si>
    <t>…bre quiebras, atendiendo que los consulados La comis:on de Diputaciones provinciales en vista de la pro 110 podían conocer de la criminalidad de las quiebras, opinaba posición del Sr. Prat, para que se estableciese un gefe político sub que Jas Cortes debían acordar que el conocimiento de las contro-1alterno en Menorca, era de opinión que las Cortes podían au versias aviles y causas criminales corresponde á los juzgados or torizar a! Gobiernopar…</t>
  </si>
  <si>
    <t>…bre esta materia, pero lo reservo para otra la cruz de Carlos m, concedida por el Gobierno-, pero con suje carta.” ción al pago de los derechos establecidos. Cádiz 2 de Agosto. El Sr. Prat dijo que se admiraba mucho de que los Sres. de la comisión no hubiesen apoyado la pretensión del intesesado tan acree CORTES. dor á toda consideración por el servicio prestado en la época á que hacia referencia el oficio del Gobierno, que tanto elogiaba les E…</t>
  </si>
  <si>
    <t>Prats</t>
  </si>
  <si>
    <t>…me los han remitido. Hoy los he encontrado en mi daré otra buena noticia.” En respuesta a esta fausta nueva he marcha, y antes de ayer entiaron [os otros 36 en Valladohd. dado al general Prats, por el acierto con que comunicó sus ins La brillante conducta de estos ¡cales vasallos y defensores del. trucciones al coronel Samper, y á los gefes y oficiales y tropa Rj:v no necesita mas recomendación que la sucinta exposición que han concurrido á esta gl…</t>
  </si>
  <si>
    <t>Prats, Juan</t>
  </si>
  <si>
    <t>Juan Prats</t>
  </si>
  <si>
    <t>…hombres con dos escuadiones dé cabaileiía; ycoaio ei 13 de Febrero se le presentase elrestos de tales personas contristan á las familias á que pertene comandante de tropas ligeras D. Juan Prats con otros oficiales,cen , y á otras muchas con quien tienen relaciones de amistad y igualmente que el coronel D. Ramón Chambea con roo homde parentesco. bres se creó el batallón de Tsrad'jrc; del general. Eitas tropas „ El Rey , que desea cordialmente la unió…</t>
  </si>
  <si>
    <t>…eral de Valencia comunica al Sr. secretario se Jes conceda el premio á que sean dignes por su valor y he del Despacho de la Guerra el parte siguiente: roísmo. El mariscal de campo D. Juan Prats con fecha; 4 de este mes me dice lo que sigue: » Exctno. Sr.: Recorriendo la línea, El Sr. secretario de Estado y del Despacho de la Guerra ha y saliendo de Jijona la larde del 2 para Tibí, recibí allí parte recibido el oficio, que ccn fecha 4 dd corriente le…</t>
  </si>
  <si>
    <t>Prccaduc, Picot de</t>
  </si>
  <si>
    <t>Picot de Prccaduc</t>
  </si>
  <si>
    <t>…stria y Francia, y que se insetle en mon , Gougeon , et vizconde Sai c-H lam:, cí baion Brincan, el cunde los papeles públicos.” reManuel González del Campo. de ArhauHjouguus , el vizconde Picot de Prccaduc, el barón de Faverot, — Los ciudadanos de todas las corporaciones y clases que componen el barón Ruhauil de Fl-ury y el barón Deschampe. la marina nacional del departamento de Cádiz, felicitan á S. M, por las __lambí-11 hemos r.c b do el ¿Vaticinio de la Hava…</t>
  </si>
  <si>
    <t>Pre</t>
  </si>
  <si>
    <t>…o acordado ayer por las Cortes ( 1 ) con respecto al sueldo creto, y lo ha visto confirmado por el edicto del intruso ar un que deben disfrutar los ex-secretarios del Despacho, el Sr. Pre tamiento de Sevilla , su fecha 28 de Junio último que acompa sidente le manifestó cyae solo podía hablar de la exactitud ó in ñaba. Se leyó dicho edicto. exactitud del acta , con lo cual quedó esta aprobada. En seguida se leyó una proposición del Sr. Isturiz,…</t>
  </si>
  <si>
    <t>Presi</t>
  </si>
  <si>
    <t>…eñor con de los Santos Evangelios, pronunciaron tn voz bien perceptible egercicio de decretos D. Francisco Tad;o de Calomardí y Re- el anterior juramento prestado por el Excmo Sr. duque Presi tascon, caballero pensionado de la Real y distinguida orden dente, repitiendo tas mismas é idénticas palabras que S. E. ha española de Cirios 111, comendador y ministro secretario ge bía dicho, y también la imprecación al Todopoderoso que les neral perpetuo d…</t>
  </si>
  <si>
    <t>Presídeme</t>
  </si>
  <si>
    <t>…e Mos.=La con V. A. S. muchos años. Tórrela vega y Junio 6 de 1813. =: Se desa de Mora, marquesa de Valdecarzana.=:P. La condesa-du renísimo Seño». = Francisco de Lcnga. zz Sermo. Sr. Presídeme quesa de Benavente.csEl marques de Valparaíso.—El marques y vocales de Ja Regencia del reino de España é Indias. de Mirafioces.:=El duque de Tamames.=:Por el conde de Mi randa, M. el duque de Medinaeeli y de Santistebin.=M. £1 i&gt; Sermo, Sr.: El ayuntamiento d…</t>
  </si>
  <si>
    <t>Presiden</t>
  </si>
  <si>
    <t>…en el palacio arzo Se mondaron agregar al acta los votos particula bispal de esta ciudad. Las Oírles quedaron enteradas. res siguientes. . , , A las tres tic la mañana anunció el Sr. Presiden El tic ios Sres. Quiñones y Romero, contrarios á te , que habiendo mandado ;i persona de toda confian no haberse acordado hallarse la nación en el caso del za á qm: investigase confidencialmente si la Regencia arl. 187 de la Constitución. nombrada había esperime…</t>
  </si>
  <si>
    <t>…ento, hora antes da llegar espetaba una mu!ti;ud de gente, con el que saltó á caballo, y se despidió en el término de la villa. Aquí ayuntamiento y curas * que manifestaron al Sr. duque Presiden fue recibido por una diputación de la población de Catbarelos, te en un corto discurso lo agradable que les era su venida para cuyo cuta párroco, individuo de ella, dijo: » Excmo. Sr.: Esta que pudiesen presenciar el patriotismo y amor á S. M , que » població…</t>
  </si>
  <si>
    <t>Presidente</t>
  </si>
  <si>
    <t>…lo 20Ó del proyecto tas de todos los cristianos residentes en Constantinopla. Desde enton de la mísrna. ces las familias cristianas se hallan á las puertas de la muerte, y sabe El Sr. Presidente anunció que mañana se discutiría el dictamen da mos que se han comunicado órdenes á Andrinópolis, Philipópolis y Dra la comisión de Hacienda sobre el empréstito, los artículos de ordenanza ma para que se aseguren de las personas de todos los griegos acusados…</t>
  </si>
  <si>
    <t>…a. ([ jiepetíilus arlamos en las galerías.') El Sr. presidente: Cuanto mas criticas sean las circunstancias, tanto mat impotencia física de S. M. (Aplnitsoí en las galerías.) J-.i Sr. Presidente: Orden : en llegando á perder la libertad los dipu se necesita la calma para deliberar en asuntos tan importantes como esta; tados la pierde también la Nación: la libertad de los diputados se compro por lo tanto es necesario que el publico se persuada ete les…</t>
  </si>
  <si>
    <t>…i5 por ciento donde diente. dice 11 por ciento, y d 28 ¡.-aras «Lude dice 98 Se levantó la sesión, varas. 1 i «i 1)0 lugar ¡i votar sobre la totalidad «le este dic tó nv. m , y el Sr. Presidente suspendió momentánea mente ia discusión de este asnillo. Cádiz 20 de junio. Se leyó la siguiente proposición «le varios Sres. Orden de t,a pi.az v.—Guardia del Congreso y archi diputados : ” Pe «limos á las Cortes se sirvan declarar vo : M. N. F.—Guardia de p…</t>
  </si>
  <si>
    <t>…s del llio, á los &gt;Sres. Munaniz, To con sus avanzadas, v esperamos se estreche el sitio mas, Pedralvrz, Serrano y Quiñones. de un mormullo á otro. Los voluntar ¡os reales, des El Sr. Presidente anunció que mañana continjia- pués de haber prometido solemnemente retirarse á ita la discusión pendiente y se discutiría el dictamen Europa para lo cine el banco de! Brasil -u ii.m Y &lt;■ de la comisión de Guerra sobre aumento de ariiüe- todos los gastos, y cu…</t>
  </si>
  <si>
    <t>…íemente discutido y to lia tenido que apelar á decir que estos son malos hubo lugar á votar sobre la totalidad del dictamen. irremediables; pero esta doctrina ó especie de para El Sr. Presidente suspendió la discusión de este doja no se puede sostener, pues Tendríamos á p-U'sr asunto, aun nefando que se continuaría mañana con al estado natural en que cada uno tendría que de la otra qne se habia suspendido: v para que ios Sres. fender sus derechos ó s…</t>
  </si>
  <si>
    <t>…Sres. Her había tenido en España por corporación civil á las audiencias. rera , Lustamant» y Seoane. El Sr. Munarriz: Antis de entrar á hacer algunas observaciones Al anunciar el Sr. Presidente que mañana se haría la elección sobre este articulo pido se lean los a 24 y 22 j de la Constitución, de presidente, vice-presidcnto y secretarios tomó la palabra el Sr. (be leve-ron). Previa la lectura de estos artículos no puedo desen— Galiano, y manifestó q…</t>
  </si>
  <si>
    <t>…or político, y bajo de ambas consideraciones consagraré mis tareas, á fin de que [Quedó aprobado este dictamen. tengan su cumplimiento las benéficas y paternales miras de S. M. El Sr. Presidente anunció que mañana después del acta se y de su sabio Gobierno constitucional. Seré,sí, inflexible y deci procedería á ia elección de presidente, vice-presidente y secreta dido en remover los obstáculos que pueden obstruir el engrande rio , y se discutiría el…</t>
  </si>
  <si>
    <t>…esgo fuera de ella, ascendiendo á que habia salido para palacio á llevar á S. M. algunas leves para cualquiera que se distinga, aunque no le corresponda por su anti su sanción. El Sr. Presidente de ella dijo: ” La diputación encar güedad; pero andarán siempre de usar de esta facultad con suma gada de llevar á la sanción real vanos proyectos de ley , los ha economía, y publicarán en la orden del día estas gracias, y el puesio en manos de S. M. y este…</t>
  </si>
  <si>
    <t>…ana concluidas las Cortes or Por lo tanto esperaba que la voz pública general de Inglaterra fuese dinarias. el eco de los sentimientos de esta numerosa asamblea : que todos los El Sr. Presidente señaló los asuntos que se discutirían en la partidos dejando á un lado su animosidad , ya sea política ya reli sesión de mañana , y levantó la de este dia. giosa, hiciesen ahora causa común en defensa de la libertad civil y religiosa. Apcsar de lo mucho que a…</t>
  </si>
  <si>
    <t>…e hallaron conformes á lo acordado por tido entre amba, naciones. Se ha deten.do v conuiiculo creí ora— las mismas. ve perjuicio desde lo-mares de Europa á un puerto fruncís de El Sr. Presidente señaló Jos asuntos que se discutirían en la las antillas, ó por mejor decir se ha apresado (poique hasta ei pre sesión inmediata, v levantó la de este dia. sente no es otra cosa que un apresamiento) á un buque español que J m navegaba pacificamente bajo la bu…</t>
  </si>
  <si>
    <t>…ó de decreto y se acordó que como minuta de i8¿3.=:Toims Jener , presidente.—Domingo Eulogio de ia Tor decreto. re, diputado secretario.=Francisco de Paula Soria, diputado se-' El Sr. Presidente señaló para mañana los asuntos que habian cretario. = Por tanto maridamos á todos los tribunales, justicias, de discutirse y levanto la sesión. gefes , gobernadores y demas autoridades, asi civiles como mi lirares y eclesiásticas, de cualquiera clase y dignid…</t>
  </si>
  <si>
    <t>…pedi dador. ciones futuras como para las que esten pendientes pudiendo apro Quedaron aprobados estos artículos. barse el dictamen del Director general de aduanas reducido á que El Sr. Presidente anunció los asuntos que se discutirían en la los cargamentos exportados de la Península en buques extrangeros sesión próxima, y levantó la de este dia. deben pagar al contado á.su salida los derechos que adeuden y que ■■■—UE&gt; á los nacionales se les conceda l…</t>
  </si>
  <si>
    <t>…s de consulados solamente deben entender en rección de estilo, y se halló) conforme á lo acordado por las Cortes. los pleitos de los comerciantes, y de ningún modo en los de es El Sr. Presidente sañaló los asuntos que se discutirían en la tas compañías. Aprobado. sesión inmediata, y levantó la de este día. Se leyó y maridó quedar sobre la mesa el dictamen de la comisión de Visita del Créd.to público , para que se paguen pun L,i 1 titulación. tualment…</t>
  </si>
  <si>
    <t>…la antigüedad por» el orden del nombramiento. Aprobado. Se votó asi el artículo, y se aprobó por 42 votos contra 35. Art. 8.“ Siendo el objeto propio de la dirección la inspec El Sr. Presidente suspendió la discusión de este asunto, anun ción y el arreglo de. toda la enseñanza pública, se la considera ciando que mañana se continuaría con la de los demas asuntos se y establece como un cuerpo intermedio entre el Gobierno su ñalados , y levantó la sesi…</t>
  </si>
  <si>
    <t>EL Sr. Canga rogó al Sr. Presidente que tuviese la bondad de F.1 Sr. Vuldés (D. Dionisio) manifestó que puesto que el poner á discusión á la mayor brevedad la solicitud de los indivi Sr. Gómez no había impugnado la totalidad del dictamen, y sí al duos de la comisión de Visita que estaba sobre l…</t>
  </si>
  <si>
    <t>…ceder á la exoneración que solici »Pr. Gerónimo de S. Félix, ministro general de Trinitarios taban estos señores. descalzos, ha acudido á la Regencia del reino, manifestándole Til Sr. Presidente señaló los asuntos que se discutirían en la haber sido suprimidos varios conventos de su orden por decreto» sesión inmediata, y levantó la sesión. del Gobierno revolucionario, y solicitando su entrega con to Neta. F.n el extracto de la ses:on de ayer cometier…</t>
  </si>
  <si>
    <t>…individuos, y aun Gracia. = Marcelino Goded. Francisco Tomas, síndico. = mas por su ilustración y vntudes, mereciese la confianza publica, Bernardo Martínez , secretario. = Sermo. Sr. Presidente é in » Esta honrosa prerogativa gozaba V. A. S. en el alto gra dividuos de la Regencia de España.” do que muestran todas las clases del estado, apresurándose á ofrecerle con la sumisión y obediencia debida cuantos esfucizo» » Sermo. Sr.: La siempre M. N. y L.…</t>
  </si>
  <si>
    <t>…, y en su consecuencia la suspendió chez, Donrenech, Serrano, Buey, y dos Sres. secretarios. el Sr. presidente. La comisión de Corrección de cst.lo presentó revisadas va El mismo Sr. Presidente anunció que esta noche liabria se rias minutas de decretos , las cuales se hallaron conformes con sión extraordinaria á las ocho y media , en que se discutiría el lo aprobado por las Cortes. dictamen de la comisión primera de Hacienda sobre ia nivelación La c…</t>
  </si>
  <si>
    <t>…tes, que fueron los dieren , buscaría en las Cortes extraordinarias el punto de salva que á continuación se expresan : ción para la nave del Estado. Una exposición que mi Gobierno Sr. Presidente , Gener , Isturiz , Soria , Llórente , Valdés, os presentará de orden mía, patentizará que la nave del Estado Velasco, Buriuga, Muro, Canga, Navarro Tejeiro, Moure, Ri está á punto de naufragar si no concurre ásalvarla el Congreso; y co , Surrá, Aivear , Argu…</t>
  </si>
  <si>
    <t>…Malioma que presentaban á los pueblos vencidos en una objeto á participar al Rey la determinación de las Cortes, y mano el akoran, y en otra la esclavitud ó la muerte, no pode el señor Presidente anunció que á las doce del dia inmediato ha mos condenarla sin envolver en la misma sentencia á una multi bría sesión, en el concepto de que si S M. señalase para recibir tud de cristianos fanáticos, cuyos furores igualaron v aun supera í la diputación hora q…</t>
  </si>
  <si>
    <t>…ventajosas y partidos racionales, y que nuestra obstinación nos que le faciliten Vencer las dificultades que se hayan presentado. conduce á un precipicio en que lo envolvemos? El Sr. Presidente advirtió al orador que podría extender la Pónganse pues de manifiesto esos arcanos, y vea el público propos,cion que creyese oportuna , y lo verificó, leyéndose en que ni el Gobierno ni .sus representantes han tenido otra senda esta forma: »Pido á las Cortes…</t>
  </si>
  <si>
    <t>…ver colocado en su trono con tojo vi L.stre y brillantez que el art. too, no se admitió á discusión. le es propio , con todo el decoro que prescriben nuestra» leves sa Anunció el Sr. Presidente que mañana habría sesión á las do bias , y del modo con que lo ocuparon de tiempo ¡nmimorial ce , y levantó la de este día. sus augustos progenitores. En pocas palabras , Serenísimo br . el batallón de la milicia Real voluntaria de Córdoba , au;ere v der rama…</t>
  </si>
  <si>
    <t>…verifique la libertad de npestro Augusto Soberano S. M. I. el Emperador dé Riisia. el Sr, D. Fernando vit. Asi lo .desea .este ayuntamiento. rsAl— S. M. trabajó en seguida con el Sr. Presidente del consejo metía y Setiembre 4 de 1823.zrSermo. Sr-«Sebastian Perez Fe— de Ministros. . liu,=Juan Pedro. Martínez Remacha.«Miguel Vázquez Benavi- !• El Rey después de oír misa recibió á jos Ministros, á los des.rrRaf.iel de Almansa.zrAntonio ,Guajardo,Fajard…</t>
  </si>
  <si>
    <t>Presidr.-ute</t>
  </si>
  <si>
    <t>…iculares de algunos Sres. diputados.~áe mandó la comisión si de buena le creían que pudiera lla imprimirlo todo con urgencia. marse publicación de uu escrito la entrega de tres El Sr. Presidr.-ute señaló los asuntos que se dis egemplares á cualquiera autoridad, cuando esta entre cutirían en la sesión de mañana, y levantó la de es ga según el mismo artículo había de verificarse ántes te dia. de vender ningún egernplar y de darse á persona algu na ; y co…</t>
  </si>
  <si>
    <t>Pretéxtalo</t>
  </si>
  <si>
    <t>…do por este medio que no te La comisión de Guerra presentó sus dict&gt;mcnes acerca de las soli nia libertad. citudes de D. F use be Vail térra, de Fr. Miguel Marti , lego profeso El Sr. Pretéxtalo habló largamente para manifestar que habiendo de un convento de Coria, y D. Miguel Bmdon , médico director de pretendido l.t Reina d'rnbar del trono á su augusto esposo por rio, ve aguas mine;ales, para que se les eximiese de! sorteo, añadiendo el ctaces, t i…</t>
  </si>
  <si>
    <t>Prieto, Josef Antonio</t>
  </si>
  <si>
    <t>Josef Antonio Prieto</t>
  </si>
  <si>
    <t>…s de Ultramar. vido todo el tiempo de la pasada guerra hasta la dase de capitán. _Se sabe por cartas de Madrid del 18 que son tales y tan activas El de la misma dase de la de Vigo D. Josef Antonio Prieto las providencias que en aquella capital va tomando el conde del se ha brindado también gratuitamente á desempeñar con un hijo Abisbal, que nada dejan que desear á los que quieren el fin sin suyo la intervención de Tas contribuciones extraordinarias que se olv…</t>
  </si>
  <si>
    <t>Prieto, Juan Antonio</t>
  </si>
  <si>
    <t>Juan Antonio Prieto</t>
  </si>
  <si>
    <t>…i &amp;2 3 : orden getvetab partimientos cotí anticipación. Se reconocerá por capellán del cuartel general de 'este ejército La misma comisión primera de Hacienda, en mista de la ex á D. Juan Antonio Prieto. posición de D. Pablo López, era de parecer que-este interesado Ministerio principal, inspector de víveres y provisiones , hos debe dar las fianzas que se le exigen por el destino que obtiene. pitales y brigadas D. Luis de ia Cuadra. A sus inmediatas órde Apr…</t>
  </si>
  <si>
    <t>Prieto, Manuel</t>
  </si>
  <si>
    <t>Manuel Prieto</t>
  </si>
  <si>
    <t>…fieras. Loados sean soldados, que se prestaron á cuanto se les ordenó. “El teniente del aquellos á quienes los tigres y las furias 110 intimidar..11; pero los propio destacamento D. Manuel Prieto subsistía con la guardia, que no hemos pasado por L-st^prueba, ¡ podemos asegurar que la y ei resto de la tropa en el puente levadizo, para:atender desde habríamos superado: ,¡ Es tan fácil arrostrar las desgracias cuando alli adur.de se le mandase. Los ofici…</t>
  </si>
  <si>
    <t>Prieto, Manuel Antonio</t>
  </si>
  <si>
    <t>Manuel Antonio Prieto</t>
  </si>
  <si>
    <t>…regando las armas la venta en pública subasta, las cuatro casas sitas en esta cor con todas las municiones y fornituras, y se remitieron á la vi te y pertenecientes al concurso de D. Manuel Antonio Prieto lla de Jubrique, con su comandante nombrado Valdina y un Portocarrero; dos de ellas en la calle de Santa Ana, número teniente graduado de capitán, donde permanece. 22 y 23 de la manzana 93 , tasadas ambas en 49,832 rs., y re » Con motivo de haberme comunicado…</t>
  </si>
  <si>
    <t>Primera</t>
  </si>
  <si>
    <t>…esta arxna y de una de caba la de Cuba; para vice-presidente el Sr. D. Santiago Sedeño, di llería, en la forma siguiente. putado por la provincia de Segovia , y para secretirio el Sr. Don Primera división.__Comandante general el brigadier Don Pedro Lillo, que lo es por.la de Jaén. Juan'-.Palarea: estado mayor, gefe interino D.......; capitán adicto D. Joaquín Cayuela. El Rey ha expedido los decretos siguientes : Cuerpos de que se compone—Tropas del ma…</t>
  </si>
  <si>
    <t>Principe</t>
  </si>
  <si>
    <t>…l anun de unión perpetua , y hoy continúan en el mismo Tegoc:jo; y cio, ios sucesos públicos con su misma variedad han agitado tos con él reciben , obsequian y felicitan al Sermo. Sr. Principe de ánimos , y la divergencia de las opiniones sobre el restableci Cariúan, generales, gefes y demas” miento de nuestras leyes fundamentales impidió aquel ofreti Madrid 16 Je Junio. ñí lento. Unámonos al Rey en el entretanto llega este feliz momen Tenemos á la…</t>
  </si>
  <si>
    <t>Procopio, Luis Alejandro</t>
  </si>
  <si>
    <t>Luis Alejandro Procopio</t>
  </si>
  <si>
    <t>…orable á que se han reducido sus general D. Juan Senen de Contreras: Gobernador de la plaza de provincias desdé 1810 , que comenzó la revolución, hasta la fe Barcelona al Teniente general D. Luis Alejandro Procopio de cha. Para dar una idea aproximada, sin entrar en pormenores Bassecourt; y Gobernador de la plaza de Tarragona al Maris numéricos, indicaré solo el resultado de sus relaciones de co cal de Campo D. Blas Fournás. mercio con la capital, Méjico y. Veracruz. Bi…</t>
  </si>
  <si>
    <t>Protector</t>
  </si>
  <si>
    <t>…DE SETIEMBRE DE 1823. —-------------------------- ----------------------------------NOTICIAS EXTRANGERAS. si estos no la quieren, es por efecto de preocupación, que dester rará el Sr. Protector con sus buenos modos filantróp.cos; pero que INGLATERRA. apreciarán cuando l s hayan ¿ ivi¡izado los libertadores ; mas si se Londres 31 de Julio. empeñan en no convencerse , y en que ios reduce á la pobreza r En Chatam estaban del todo listos para dar la vel…</t>
  </si>
  <si>
    <t>Proti-----, Benito</t>
  </si>
  <si>
    <t>Benito Proti-----</t>
  </si>
  <si>
    <t>…icos. No serla tampoco mas pro D. Antonio Bibcto. __D. Gregorio Machín.—D- Ga bable que un ejercito regular, arrastrando á su retaguardia enjam briel Fernandez.__D. Felipe Coll____D. Benito Proti----- Don bres de cosacos y calmucos indisciplinados , pueda abrirse paso á Joscf de Camps, v.va fuerza por medio de tantas naciones enemigas, sin perder Intendencia lie i r provincia de Sevilla. á cada pulgada de terreno que seria preciso conquistar una por Habiendo f…</t>
  </si>
  <si>
    <t>Provedo, Raimundo</t>
  </si>
  <si>
    <t>Raimundo Provedo</t>
  </si>
  <si>
    <t>…cisiempre rechazados con gran pérdida, según los muchos que se Ies v sia miento,á efecto de que en ei término de 60 dias, contados desde llevar. El ayudante del batallón de Zamora D. Raimundo Provedo, la publicación , acudan i la contaduría de su casa con los competentes que de mi orden pasó i aquella parte, me ba sido muy útil en este dia, documente» que legitimen sas personas, donde seles intruirá de un ne y el teniente de cazadores D- Josef Jiménez tam…</t>
  </si>
  <si>
    <t>Prpsidenle</t>
  </si>
  <si>
    <t>…las circunstancias; llevar á efecto el cobre de la contribución «le pa-' por todo lo cual debía .aprobarse el dictamen. trotes. Se declaró el punto suficientemente disentido, y El Sr. Prpsidenle anunció que mañana se «liseuse iejó un «dicío el&lt;■ i Sr. Secretario de Hacienda por ti'ia «•! dieiámen de ia comisión de Legi-dariou, so en ni conducto, bacía presume el intendente de esta bre el modo de concurrir los militares í las elesprovincia haberse not…</t>
  </si>
  <si>
    <t>Pru</t>
  </si>
  <si>
    <t>…alir en su persecución con la compañía de mimando, con mas que fue capitán de la antigua división de Mina. En la Guardia , que es 48 hombres del regimiento de España .al mando del teniente D. Pru el punto mas á propósito para cubrir la parte de la orilla izquierda del dencio de Santos, y 15 voluntarios de la milicia nacional de esta vi Ebro, se está fortificando el castillo, a pesar de hallarse en bastante lla , al mando del teniente I&gt;. Francisco Iri…</t>
  </si>
  <si>
    <t>Prud</t>
  </si>
  <si>
    <t>…s cargos que contra ellos resultan ; y pa D. Pedro Antonio d; Aguirre, D. Segismundo Morct, D. Luis Cro- ra que llegue á su noticia que se anuncie en 1a gaceta en obsequio del »a, D. Prud ncio Hernández Sta. Cruz, D. Josef María Viilaranda, mejor servicio. D. Pedro Jos.f Paul , D. Juan de Fuentes y D. Josef Miría Retostólo; ANUNCIOS. dspues de t.-nida la la conferencia de estilo, por unanimidad ha decla rado haber lugar día formación de causa.…</t>
  </si>
  <si>
    <t>Prut</t>
  </si>
  <si>
    <t>…En la misma, col. q.J, lín. 29, donde dice rn vista de la noticia quedaba en Elizondo con unos 50 hombres de los pelotones re del Sr. Prado , debe decir en vista de ¡a adición drl Sr. Prut, EN LA IMPRENTA NACIONAL.</t>
  </si>
  <si>
    <t>Psalida</t>
  </si>
  <si>
    <t>…-Cirujanos de ¡a Armada cozaraa de las tria , y concurren á ella cerca de 300 estudiantes; la otra está al divisas, alojamientos, sueldos y demas consideraciones que cor cargo del Sr. Psalida,y cuenta como unos 100. Un mercader respondan en su cuerpo á las que han sido concedidas á los Mé rico, natural de un lugarcito de los contornos de Joanina fundí» dicos del Ejercito por las bases y reglamentos de sanidad militar. esta íntima; ambos seminarios…</t>
  </si>
  <si>
    <t>Pu, Domingo</t>
  </si>
  <si>
    <t>Domingo Pu</t>
  </si>
  <si>
    <t>…n,.r.te D. .Kr.iqu.rt los encímeos desde la torre de la Pubilia Gasas, y que 25 ca Alaban , el s.rgettr.» segundo Buenaventura Vhia, do» cabos y rabineros al mando del subteniente D. Domingo Pu:g aricasen trece Fiadores v cuatro contusos; de caradores He Sor a, un á una fuerte guerrilla de caballería que estaba en el camino real. mutilo y dos hcr.do» gravemente. También fue herido un oh-</t>
  </si>
  <si>
    <t>Puente, Josef María</t>
  </si>
  <si>
    <t>Josef María Puente</t>
  </si>
  <si>
    <t>…Uv.edo para que se le dispense á la fabrica de la I.a comisión de Legislac’on , en vista de la queja dada por i it'.a de! indino pueblo el papar las rentas de sus lincas pertene- D. Josef María Puente sobre reintegro de c erta cantidad , opi c ..rus a! año de 1U21. Aprobado. naba que debía pasarse l.i exposición cíe este interesado al Go— La comisión de Agricultura, en vista de la exposición de los b.erno para los efectos convenientes. Aprobado. avtiruniie…</t>
  </si>
  <si>
    <t>Puente, La-</t>
  </si>
  <si>
    <t>La- Puente</t>
  </si>
  <si>
    <t>…v Riego tam prende su retirada hacia IJldecona. « bién están destinados al servio i a activo militar; y Lo que traslado i Y. E. para su superior cono que el coronel de artillería Sr. La- Puente, ba si cimiento, añadiendo que el Resguardo militar se ba do nombrado pera el ministerio de Guerra. conducido, con arreglo á las instrucciones que se ha bí m comunicado &amp; su gefe , cubriendo los puntos que &gt;e ie señalaron, quedando yo mui satisfecho de su con…</t>
  </si>
  <si>
    <t>Puentel</t>
  </si>
  <si>
    <t>…. Santan listas de Arce, en unión con 30 hombres auxiliares del capitán der 6 de Jimio de 1823. = Sermo. Sr í= El marqué de V.UaD. Amonio Rafael Ruiz y 60 del ejército al mandó de Don Puentel. = Juan Antonio González. — Pedro Mínezo. _ Luía Juan Bautista Calonje, volaba al socorro del pueblo de Erial- Espinosa.=Santiago Polidurá. =Jes«f Cañal VigtlmPor acucr-</t>
  </si>
  <si>
    <t>Puerto</t>
  </si>
  <si>
    <t>…onas se hau se serva, tendsá el mando superior del reino de Sevilla y de las ñalado igualmente. Este general y el general Jamin haíen un operaciones al frente do Cádiz, su cuartel general Puerto de grande elogio del valor y bizarría de sus ayudantes de campo. Santa María. Esta división podrá recibir modificaciones segu¿- El teniente general conde de Espina , comandante de ¡a di ulteriormente obliguen las circunstancias; peto hasta nueva orden visión…</t>
  </si>
  <si>
    <t>Puertolas, Pascual</t>
  </si>
  <si>
    <t>Pascual Puertolas</t>
  </si>
  <si>
    <t>…Gatiano. algunos de los mismos hombres armados, y uno ó dos de ellos pidió Del resguardo municipal de Madrid. a! mismo Sr. alcalde el relevo de esta guardia, amenazándole y gri De D. Pascual Puertolas , comandante de batallón. tando que habría sangre si no se efectuaba , insultando repetidas veces Del ayuntamiento constitucional de Pozo Blanco. á todo el batallón con las voces de muera, muera el 6°, viles paste Del ayuntamiento de Sevilla. leros ; que se q…</t>
  </si>
  <si>
    <t>Pues, Manuel</t>
  </si>
  <si>
    <t>Manuel Pues</t>
  </si>
  <si>
    <t>…os deseos de dominar á pado de Toledo. Noticia interesante i los labradores, curas é la sombra de modificaciones, que dejando la grave enfermedad iglesias parroquiales, por el Dr. D. Manuel Pues. Se hallará á revolucionaria en pie, es demasiado conocida para no ser mi cinco reales en la librería de la viuda de Perez, en Toledo en rada con desprecio, horror é indignación por todos los espa la de Jacinto Hernández, y en Talavera ea 1» de D. Francisco ñ…</t>
  </si>
  <si>
    <t>Puga, Antonio</t>
  </si>
  <si>
    <t>Antonio Puga</t>
  </si>
  <si>
    <t>…D. Juan Palacio, scsttnido por 30 caballos de Miguel Camerino, D. Baltasar Valcarce, D. Juan Francisco Vielot, Alcántara, mancados por su capitán. La izquierda, ccn La compañía de D. Antonio Puga, D. Pedro Ruiz de Lolzaga, D. Nicolás de Iraola cazadores y 20 caballos de los mismos cuerpos, ai cargo de D. Cirilo D. Josef Pascual ds Guillenca, D. Jostf ds Resusta y D. Ciemenr? da María Pascual , teniente del mencionado cuerpo , y el centro al dil co Zul…</t>
  </si>
  <si>
    <t>Puga, José de</t>
  </si>
  <si>
    <t>José de Puga</t>
  </si>
  <si>
    <t>…rancisco Porras, D. Joaquín nueva nueva de cordura y de valor; y nos granjea Canuda . D. Vicente Losada, D. Jacobo Sobreira , D. remos el aprecio del mundo entero. Mauro Migueles, D. José de Puga y D. Joaquín Can dil, tod os de Santiago, silenciando la conducta de ARTÍCULO DE OFICIO. mis oficiales y tropa, cuya subordinación y afan pa Las Cortes, habiendo exáminado la propuesta de ra llegar h las manos con los enemigos, se lian dis S. M. sobre que se proroguen las ses…</t>
  </si>
  <si>
    <t>Puiduiiés, Antonio</t>
  </si>
  <si>
    <t>Antonio Puiduiiés</t>
  </si>
  <si>
    <t>…Ja Real mano.es D. Josef Leglisi y Pinedo. D, Miguel de Nájera. En palacio á 19 de Marzo de 18 23.=A D. Mariano Egca.” D. Marceliano Torio. El conde de Oñate. D. Vicente Segurado. D. Antonio Puiduiiés. D. Francisco Palacios. D. Manuel Zulueta. La diputación provincial de Madrid, en cumplimiento de los decre D. Joaquín Lumbreras. D. Manuel Conchillos. tos de las Cortes de 5 de Eneio y 8 de Febrero últimos, que tratan ds D. Martin de Navas. £&gt;. Sandalio Aria…</t>
  </si>
  <si>
    <t>Puig, Antonio</t>
  </si>
  <si>
    <t>Antonio Puig</t>
  </si>
  <si>
    <t>…onstitución de dante general el coronel del regimiento infantería de Soria D. Francisco la Monarquía española , Rey de las Espinas, a todos los que las pre Figueras.__Otro ídem el coronel D. Antonio Puig, teniente de Rey sentes vieren y entendieren , sabed: Que las Cortes extraoidinarsas de la plaza de Barcelona—Segundo ayudante general el teniente coro han deerriado lo siguiente: nel D. Cirios Emilio___Otra ¡dem ei teniente coronel D. Luis de la. « Las Ccttf…</t>
  </si>
  <si>
    <t>…Cádiz un barco de Cataluña, que ha Málaga. Gefe del estado mayor, que lo será de la división, el pri traido noticias de Barcelona hasta el 2 3 de Abril. En una carta mer ayudante general D. Antonio Puig, y el segundo ayudante de aquella ciudad dicen haber entrado los franceses en España D. Francisco Ruiz. por la junquera; y que su primera operación fue atacar infruc Segundo batallón del regimiento infantería de Galicia, bata tuosamente á Figueras. La divisió…</t>
  </si>
  <si>
    <t>Puigb.anch, Antonio</t>
  </si>
  <si>
    <t>Antonio Puigb.anch</t>
  </si>
  <si>
    <t>…_ “a.bldl Ia conferencia, resulto haber lugar a lafonnaam ae causa ta:.o de caballería de esta cotte , guiado de su patriotismo, y deseoso de p ... 0 v° oa &gt; hab.endo d.sentido el Sr. D. Antonio Puigb.anch. empuñar las armas para defender á la Nación de sus enemigos exterio- ~ E1f Sr' S^al de rmprenta ««citación del Excmo. hr. Gefe político res , ha pedido al Gobierno que se ie designe cuerpo donde con tal d “,iPI?í1“ denuncio al Sr. alcalde constitucional D- M…</t>
  </si>
  <si>
    <t>PuigbkuJi, Antonio</t>
  </si>
  <si>
    <t>Antonio PuigbkuJi</t>
  </si>
  <si>
    <t>…Habida la conferencia se decidió por ocho votos «haber lugar á la for publicado por reunir en un solo volumen lo mas necesario para el uso de mación de causa habiendo disentido el Sr. D. Antonio PuigbkuJi. los fieles. Se vende en las librerías de Perez; en Sevilla en la de Berard-, en Cádiz en la de Zaragoza, y en Scgovia en la de Alejandro. Nota, En k gaceta de ayer, col. 8.*, fin. 27, donde dice Benicat'.o, El dia 27 de Enero último falleció en esta corte á…</t>
  </si>
  <si>
    <t>Puigblanch, Antonio</t>
  </si>
  <si>
    <t>Antonio Puigblanch</t>
  </si>
  <si>
    <t>…e Estado y drl Despacho de Gracia y Justicia con fecha de 7 del corrien el F resn.» y D. Gregorio Miguel de Mendivil. te lo que sigue : Señores que los absolvieron en esta parte 1 D. Antonio Puigblanch, s&gt; Habiendo procedido las Cortes extraordinarias á la renovación de D. Francisco Martínez Marina , D. Valentín Recio, D. Nicolás Here su presidente, rice-presidente y secrstario mas antiguo, que Jo era el dero Mayoral y D. Loienzo Lambía. Sr. D. '•*;-tin Ser…</t>
  </si>
  <si>
    <t>…ido en todos tiempos los grandes y obstinado* D. Pedro Alvaro Delgado, D. Francisco Luciano Domínguez Villaesfuerzos que han hecbo los Príncipes y Reyes mas poderosos para nueva , D. Antonio Puigblanch, D: Juan Isidoro Perez , D. Isidoro d:stru:r ia libertad con la fuerza. Una nación poco numerosa, pobre y de Hoyos , D. Nicolás Cano de Luqui, D. Joaquín Manrique y Man rústica fue la primera que dió á ia Europa un egemplo asombroso de rique , D. Francisco Tr…</t>
  </si>
  <si>
    <t>…y heroica villa y corte de Madrid, reunidos en jurado de ca Agreda para procurar cortarles en caso de que su intención sea la de fal lificación los Sres. D. Josef Antonio Ponzoa , D. Antonio Puigblanch, dear el Moncayo y pasar por Frasno para acercarse á su guarida, y el co D. Nicolás Heredero Mayoral, D. Juan Fernandez Casariego, D. Juan Isidoro Perez, D. Antonio María Espejo, D. Julián de Fuentes, D. Gre ronel Depablo talonea su fuga. n Hoy se lia incorpo…</t>
  </si>
  <si>
    <t>Puigblar, Antonio</t>
  </si>
  <si>
    <t>Antonio Puigblar</t>
  </si>
  <si>
    <t>…ios de devoción : segunda edición D. Gregorio Mendivil, D. Juan Fernandez Casariego , D- Manuel Carni en un tomo en 8.°, adornado ton 1 j láminas finas. En esle nuevo ejerci cero, D. Antonio Puigblar ch , D. Pedro Alvaro Delgado , D, Cayetano cio cotidiano se han recopilado todas las mas principales oraciones , por lo Romero , D. Tomas Torrezno v D. Juan Cortés. que es uno de los mas completos devocionarios que hasta ahora se han Habida la conferencia se…</t>
  </si>
  <si>
    <t>Puigcerdá, Gobernador de</t>
  </si>
  <si>
    <t>Gobernador de Puigcerdá</t>
  </si>
  <si>
    <t>…s tan débiles como execrables de esos mons Según cartas con fecha del 8 del corriente por la noche, se truos que os dan la ley: fue preciso que España levantase el gri sabe que el Sr. Gobernador de Puigcerdá acaba de recibir la no to, y que este, oído mas allá de los Pirineos, acudiese en nues ticia de que esta tropa, estrechada en la conca Bambéra, ha teni tro socorro ese ejército aliado protector, á quien debemos en do igual suerte que la del coronel Fernandez.…</t>
  </si>
  <si>
    <t>Puigmar, Francisco</t>
  </si>
  <si>
    <t>Francisco Puigmar</t>
  </si>
  <si>
    <t>2 O4 ra aprender los idiomas: de varios farmacéuticos de Zaragoza, posición de D. Francisco Puigmar, del comercio de Barcelona, en manifestando la miseria á que se halla reducida esta facultad, y que pide la formación de causa al consulado de aquella ciudad pidiendo se adoptasen varias medidas, entre otras la abolición de por los procedimientos que con él h…</t>
  </si>
  <si>
    <t>Pujada, Josef Juan de</t>
  </si>
  <si>
    <t>Josef Juan de Pujada</t>
  </si>
  <si>
    <t>…salina fi.ifoime, Cruz, D. Juan Bautista Verrnurguia , D. Juan Bautista Alvaneda, dispuesta en forma de pequeñas rosas , que pudiera tenerse por una con D. Joseí María '/¡Baranda, D. Josef Juan de Pujada, D. Francisco creción amoniacal; pero que en realidad no era sino muríate de sosa. Robles, D. Leonardo Miguel Carneruno y D. Tomas López Calderón, y declararon per unanimidad haber lagar á la formación de cauta. TP.IEUX.VLES. _ El procurador síndico tercero d…</t>
  </si>
  <si>
    <t>Pujol, Francisco</t>
  </si>
  <si>
    <t>Francisco Pujol</t>
  </si>
  <si>
    <t>…carse por nio Martínez de Posada, D. Nicolás Furto, D. Juan Martínez de Cri las libertades patrias, como también la caballería de la primera divi tica, D. Juan Bautista Elejaburo, D. Francisco Pujol y D. Josef* sión—La corta partida de cuatro hombres descubridora que se adelan Santo Domingo; declaró por unanimidad no haber lugar á ia formr to esta noche á hacer el reconocimiento de este pueblo encontró seis don de causa. ' liosos lanceros,de los cuales cogió uno pr…</t>
  </si>
  <si>
    <t>Pujols, Antonio</t>
  </si>
  <si>
    <t>Antonio Pujols</t>
  </si>
  <si>
    <t>…inistros letrados del tribunal es lán , Francisco Portas, Lope Natacio , Alonso Gómez. pecial de Guerra y Marina, y si estos no bastasen, con los jue 14 ligero. ■ Los subtenientes D. Antonio Pujols, D. Francis ces también letrados del tribunal especial de Justicia formado co Montalvo (murió), D. Cipriano González y D. Rafael por Real decreto de 13 del corriente. Rubia: sargento i.° Manuel Vaillo: corneta Francisco Perez: cabo i.° Domingo Fernandez: sold…</t>
  </si>
  <si>
    <t>Pulunell, Jaime</t>
  </si>
  <si>
    <t>Jaime Pulunell</t>
  </si>
  <si>
    <t>…s, al muido de su cap.tan L&gt;. Cu- la monarquía. los Chiachino, la piintcia del batallen de la IguaWad al mando ds su El Sr. dsnch z: En mi opinión d-berian publicarse los d cursos capitán D. Jaime Pulunell, y el resto del batulon de la Igualdad ¡as pronunciados en ¡a sesión de a)cr con motivo de .as netas te.das por el órdenes del comandante accidental O. Jos. f üonapiata, con el fin de br. srcrrtat.o dei Despacho dr Estado. hacer la descubierta y ocupar las al…</t>
  </si>
  <si>
    <t>Pumarejo</t>
  </si>
  <si>
    <t>…zv.tan , provincia de Toledo , por el Sr. Buruaga. consiguiente el erario sufre gfaves pérdidas con perjuicio de las atencio. De varios ciudadanos de la Corulla, presentada por el Sr. Pumarejo. nes que tiene que cubrir. Por otra parte no puedo menos de repetir í0 Del ayuntamiento y milicia nacional voluntaria de Navas del Ma que dije ayer; á saber: que no seria otro el resultado de la cobranza en droño , por el Sr. Montesinos. frutos que el de aume…</t>
  </si>
  <si>
    <t>…ues de en De la milicia voluntaria del Ferrol, y de un número Éoniiderable viarlas á llegar aqui con felicidad hay alguna diferencia, por no con de ciudadanos de la Coruña, por el Sr. Pumarejo. tarse con la huéspeda, que son los temporales del Cabo de Hornos, en De la milicia nacional de Pazos, provincia de Oviedo, y déla jun los que si los navios ó fragatas sufren un descalabro, tienen que perecer, ta diocesana de esta provincia, presentidas y leí…</t>
  </si>
  <si>
    <t>Pusterla</t>
  </si>
  <si>
    <t>…ncias penden sin duda alguna su reposo y cibir aviso de Jaén de que á las 10 de ¡a mañana salió de aque prosperidad. Para la pronta asecucion del primer objeto , ei lla capital el general Pusterla con la poca tropa que había: se ayuntamiento de Lerma ofrece á V. A. S. las personas y bienes echó abajo la lápida; se proclmó al Rey, y se instaló el go de sus leales habitantes; y para la del segundo encarecida y hu bierno de t8i9.=Calatrava. mildemente sup…</t>
  </si>
  <si>
    <t>Puyal, Atánasio</t>
  </si>
  <si>
    <t>Atánasio Puyal</t>
  </si>
  <si>
    <t>, "f FJ limo. Sr, Obispo D. Atánasio Puyal^celebró de pontifi Noticia de los pueblos donde han cabido los 'premies mayores ca] en este dia, consagrado por la Iglesia de España para agrade de ia Real lotería moderna en el sorteo de este dia. . cer al Dios de las Misericordias los favores que la dispens…</t>
  </si>
  <si>
    <t>Puymarin</t>
  </si>
  <si>
    <t>…du Midi, carta particular, ) LosSres. D. Antonio Allue, Patriarca de las Indias, y D. Víctor París ig de Octubre. Saez, primer Secretario de Estado y del Despacho, confesor del E! barón Puymarin, Diputado y Director del depósito Real J.S.EY nuestro Señor, y canónigo lectora! de la santa Iulesia pri de Medallas, tuvo el honor el martes á las nueve de la mañana mada de Toledo, han tenido la honra de felicitar al Rey nues de presentar las que se habían…</t>
  </si>
  <si>
    <t>Puyol, Francisco</t>
  </si>
  <si>
    <t>Francisco Puyol</t>
  </si>
  <si>
    <t>…ones de dragones de Arequipa y 3.0 de dra sigue : gones de la Union á las órdenes de sus comandantes^ D. Manuel H Al amanecer de este día avisaron los puestos avanzados de Horna y D. Francisco Puyol por el camino real , quedando en que los enemigos habían levantado su campo y se dirigían sobre reserva el g.° de granaderos de la Guardia al mando de su gefe nosotros con roda su fuerza; en consecuencia, y despucs de haber D. Josef Domingo Vidart. tomado las…</t>
  </si>
  <si>
    <t>P’ado</t>
  </si>
  <si>
    <t>…ién están los frailes y los monges, cuyos atrasos son muy notorios. fue el que impu'só a! Gobierno para circularla. Aunque no existiesen contra la instrucción las razones opues Ei Sr. P’ado: Si no existía la junta directiva, existia ja junta naciotas, bastaría solo para aprobar la proposición la idea de que d-ntro cional del Cradito público. de pocos días van á ocupaise tas Cortes del arregio del clero. En el El Sr. Canga : Ño existía ya esta ju…</t>
  </si>
  <si>
    <t>Qaliano</t>
  </si>
  <si>
    <t>…uantos medios sean imaginables Jos El Sr. ferrer ( D. Joaquín); Siento mucho tener que disen recursos que son necesarios para atender á una guerra tan justa, tir de la opinicn del Sr. Qaliano, porque yo no solo no creo im tan legítima y fan ¡nd.spcnsable, para sostener el honor y la in pertinentes, las preguntas, sino que las considero la primer deten dependencia de la nación española. Tengo presentada una pro ía que se puede hacer á nuestra liber…</t>
  </si>
  <si>
    <t>…re lomas acer ción de presidente , vice-presidente y un secretario. tado. En primer escrutinio para la elección de presidente obtuvo Voto particular del Sr. Castejon. 17 \ otos el Sr. Qaliano, 37 el Sr. Zulueta, 7 el Sr. Afonzo,_ 7 Con mucho sentimiento mió no puedo conformarme con el el Sr. Alonso, 4 el Sr. Escobedo, 2 el Sr. Munarriz, otros 1 dictamen de la comisión en la suspensión que propone del articu el Sr. Somoza, y uno cada uno de los Sre…</t>
  </si>
  <si>
    <t>Qchoa, Sebastian Fernandez</t>
  </si>
  <si>
    <t>Sebastian Fernandez Qchoa</t>
  </si>
  <si>
    <t>…Colombia con siguiente: «Pido que las Cortes hagan efectiva la responsabilidad la mayor brevedad , y otro á Lima. Los dos primeros fueron , uno al gefe político de esta provincia D. Sebastian Fernandez Qchoa, del ministro de Colombia, y otro del Exento. Sr. libertador Bo al alcalde constitucional de esta ciudad D. Josef Riuz del Arco, lívar: proponen que un plenipotenciario en unión de otro del Pe y á uno de los jueces de primera instancia de la misma , por el rú…</t>
  </si>
  <si>
    <t>Ql'ver</t>
  </si>
  <si>
    <t>…d de imprenta y d secre dose ambos expedientes se diese un decreto general. tario del Despacho de la Gobernación en su memoria , y siendo El Sr. Arguelles apoyó lo expuesto por el Sr. Ql'ver, aña estos abusos un mal bastante poderoso para desorganizar el lista diendo que no había un decreto que aboliese estas corredurías , co do, pido que la comisión de libertad de imprenta presente su dic mo lo había con respecto á ¡os señoríos y escribanías de…</t>
  </si>
  <si>
    <t>Qliver</t>
  </si>
  <si>
    <t>…harén estas rectificaciones, y par consiguiente no debe río á lo resuelto sobre las contribuciones de consumo, territorial haber dificultad en aprobar el artículo. y de casas. El Sr. Qliver: A mí me parece que el artículo manifiesta Se leyó y mandó quedase sobre la mesa el dictamen de la cierta injusticia, porque para todas las contribuciones y para comisión de Comercio sobre las medidas que han de tomarse con rodos los pueblos se fija el mismo…</t>
  </si>
  <si>
    <t>Qu, Cayetano Valdés-</t>
  </si>
  <si>
    <t>Cayetano Valdés- Qu</t>
  </si>
  <si>
    <t>…El 2.................... mi .................. II. Se da por muy cierto que Alava ha sido nombrado gober El é...................... ISO» 65. 23. nador militar de Cádiz en lugar de D. Cayetano Valdés- Qu¡El 10.................... 894. za. 4.El II.......... rega, que también se encuentra allí, está sin reputación alguna. £1 6l. «06» , 81. Se dice que han impuesto una contribución exotbisanie al 80.El 13.................... El ....................... a jo. ico.…</t>
  </si>
  <si>
    <t>Qucsada</t>
  </si>
  <si>
    <t>…de personas con Se ha presentado ai corazón sensible del heroico pueblo ma dificultad retrogradan en sus proyectos.” ¡Y tales hombres ten- drileño una benemérita división (la del general Qucsada), que dr.;n el descaro de pretender que el Gobierno los mantenga en después de tantos sacrificios como ha hecho pata restituir á la rus destinos, los alimente, y ios deje pasear con cu-lio erguido, España su religión, su Rey y su tranquilidad, se ve imposibi…</t>
  </si>
  <si>
    <t>Que, Oliven</t>
  </si>
  <si>
    <t>Oliven Que</t>
  </si>
  <si>
    <t>…elecciones de que se trataba eran para elegir diputados á Cor de moneda de la fábrica de Juvia, destinando la fábrica al objeto tes ó' empleados municipales. que mas convenga. El Sr. Oliven Que solo se trataba de las elecciones para di Otro sobre la exposición del director general de aduanas, putados 2 Cortes , y que después la corhision propondría lo acerca de las recompensas;! que juzga acreedores á la viuda ael conveniente para las demas. segundo…</t>
  </si>
  <si>
    <t>Queiñdá</t>
  </si>
  <si>
    <t>…vas de artillería de costumbre: por prusiano. f la-tarde hubo gran revista en el Prado, y se halló en «lia la di «Me levanto, ijice, con indignación contra tina mentira visión del general Queiñdá. El embajador de Francia dio un es » tan maligna. Carnot era despreciado . comodebia serió un ase- pléndido banquete de mas de 60 cubiertos; y por la noche gran »j sino de su Rey. ¡Por qué habrá confundido este orgulloso es- concierto, al que asistió un lucid…</t>
  </si>
  <si>
    <t>Queiroga</t>
  </si>
  <si>
    <t>…lativas al so A las diez dijo el Sr. presidente que continuaba la sesión , y siego público: da igualmente cuenta del resultado de la diputa leída el acta de la anterior por el Sr. secretario Queiroga, quedó ción que elevó una súplica al Rey para que volviese i ia corte, aprobada. no pudiendo obtener de S. AI. otra respuesta que la de referirse Ei Sr. secretario Carvaljio y Sousa dió cuenta de los oficios á la proclama que había dirigido ya al ministro de…</t>
  </si>
  <si>
    <t>Queraltó, Josef Rives</t>
  </si>
  <si>
    <t>Josef Rives Queraltó</t>
  </si>
  <si>
    <t>…: D. Francisco Luciano Do mínguez Villanueva, el conde de Floridabianca, D. Isidro Merino, Los Sr??. j^cret-rics de Us Cq’tes extraordinarias comunican al de D. Manuel Carnicera , D. Josef Rives Queraltó, el conde de la Tone Estado y drl Despacho de Gracia y Justicia con fecha de 7 del corrien el F resn.» y D. Gregorio Miguel de Mendivil. te lo que sigue : Señores que los absolvieron en esta parte 1 D. Antonio Puigblanch, s&gt; Habiendo procedido las Cortes extr…</t>
  </si>
  <si>
    <t>Quesaciviles</t>
  </si>
  <si>
    <t>…na.” te el estado de la opinión pública sobre los sucesos de devilla, reuní en la mañana de hoy á todas las autoridades eclesiásticas, El digno ejército Realista, que manda el Sr. general Quesaciviles y militares, y he tenido motivo para convencerme de que da , excita la compasión de todo español amante de su Rey, de los pueblos abundan en la misma idea que las tropas, y que no su patria y de sus semejantes y libertadores, pues se halla des puede reconocer…</t>
  </si>
  <si>
    <t>Quesada</t>
  </si>
  <si>
    <t>…seguro. Asi pues me conformo con la gulema seria antes de la época señalada. idea del Sr. ArgticUcs, stfplieando ai Conercso que se suspenda la lectura —: El barón de Eróles y el general Quesada habían salida de París con di de lat memorias de los diferentes ramos tTcl Estado. rección á Cataluña. El Sr. secretario de la Gobernaron: Los actuales iccfcísrice de! Des — E11 la Cámara de los diputados había habido una sesión muy acalorada' pachó , qüé tie…</t>
  </si>
  <si>
    <t>…__ Kr.íre los feos monumentos de degradación, de infamia y de extravío que presentará la ¡mparcial historia a la posteridad e* ARTICULO DE OFICIO. uno ¡a escandalosa proclama del general Quesada a. cgi'uto rc.i- El (jokltma I¡.i nciH.io .rr f.irifj siguiente?. lis'.t . l .1 &gt;9&lt; r.t- :r ■ l i .tí Vi r :rtí prQVittlt.u V-¡U(Ong.1&lt;i.U, I’.tra dar una idea de la audacia de este faccioso, que ha ido á Comandancia cunera! de! tri e r distrito. rívcjr.r,, S…</t>
  </si>
  <si>
    <t>…al de Ei mismo periódico publica noticias de Londres hasta el 11 Conchy, que desemboca con la suya por Roncesvalles. inclusive, en cuyo dia se habían hecho muchos fondos, y los El general Quesada, que habrá reunido los diferentes cuerpos consolidados se habían abierto al setenta y cinco; llegaron al se que obran en las provincias Vascongadas formará una división de tenta y cinco y cinco octavos, y se cerraron al setenta y cinco y 70 hombres, y flanque…</t>
  </si>
  <si>
    <t>Quesada, Vicente</t>
  </si>
  <si>
    <t>Vicente Quesada</t>
  </si>
  <si>
    <t>…, verificada en la tarde del 27 del pasado. También se hará del que ha remitido el General del ejército „ Constituido el nuevo ayuntamiento ciwó ser su primer Real d e operaciones D. Vicente Quesada , fecha en el Gordo cu deber dar gi.ieias al Todopoderoso por medio de un Te Dcum y i.° del corriente, en que comunica haber sido derrotados los co misa solemne, que celebró el limo. Sr. Obispo err la iglesia cate raceros constitucionales por las tropa» Aliad…</t>
  </si>
  <si>
    <t>Quevcdo, Josef</t>
  </si>
  <si>
    <t>Josef Quevcdo</t>
  </si>
  <si>
    <t>…'a*, ó) ven.d a del coronel Cueto; y acabo de saber que una parte de ella, á las nuestro lado á defender la causa nía* justa atacada por los france órdenes de mi ayudante de campo D. Josef Quevcdo, y mas ses , que preciándose de filántropos no desean sirvo ei exterminio particularmente un trozo de Bovbon , le alcanzó en el pueblo de desús semejantes. Cervera tó de A layo de 18:3. = Rafael de Moneada, é hizo una de las acciones mas brillantes que contar…</t>
  </si>
  <si>
    <t>Quevedo, Josef Vázquez de</t>
  </si>
  <si>
    <t>Josef Vázquez de Quevedo</t>
  </si>
  <si>
    <t>…se situó en Paniza, distante una legua de este juicio que haya lugar. punto y otra de Aladren , que ocupan los cneriiigos. Estos habían dirigido En virtud de despacho librado por D. Josef Vázquez de Quevedo, al gefe político' de Zaragoza por el oficial comisionado por el de Calatayud juez de primera instancia de la ciudad de Cartagena , refrendado por Dondos comisionados, que se me presentaron en este pueblo á mi llegada; y Josef Amonio Alcaraz Martínez, escriba…</t>
  </si>
  <si>
    <t>Quevedo, Manuel Rssiz y</t>
  </si>
  <si>
    <t>Manuel Rssiz y Quevedo</t>
  </si>
  <si>
    <t>…las instancias de D. Josef apéndices sobre la literatura española por D. Agustín García de Ar ríela. Bien conocido es en la república literaria el célebre, autor de estaMunuer» y-D. Manuel Rssiz y Quevedo, que V- E. les ha remitido con oficio de 10 dei actual , relativa la del primero á solicitar que á su obra , la cual es reputada por maestra en su especie , y como tal ha si do impresa muchas veces, y traducida en casi todos los idiomas cultoshijo Josef, sold…</t>
  </si>
  <si>
    <t>Qui</t>
  </si>
  <si>
    <t>…eclarar que ellos se han se Becerra á este proyecto de decreto. parado: La razón por que las Cortes exijieron que un magistrado Se mando insertar en el acta un voto particular del Sr. Qui no pudiese ser removido ó separado sin causa legalmente proba ñones contrario á le declaración de haber lugar á votar sobre la da y sentenciada, no ha sido un privilegio sino una garantia en totalidad del dictamen de la comisión de Hacienda, para que se favor…</t>
  </si>
  <si>
    <t>Quijote</t>
  </si>
  <si>
    <t>…M. Dios guarde á V. E. muchos años. = Cuartel i óa rs.en pasta, 48 en rústica y 44 en papel—El ingenioso hidalgoí j genenl de Fraga r.° de Enero de i8i3.=Excmo. Sr.=Manuel de Ve- D. Quijote de la Mancha, compuesto por Miguel de Cervantes Saavechar lasco.=Excmo. Sr. Secretario de Estado y del Despacho de la Guerra.” cuarta edición, ilustrada con algunas notas y con el análisis de la obra,- ■{ escrito por D. Vicente de los Ríos: cinco tomos en 8.u…</t>
  </si>
  <si>
    <t>…ad aun no se han atrevido á cometer ningún" atentado de impor (7) Este es siempre el pobre gallego, la eterna canción da tancia (6). los hermanos, y los gigantes y encantadores de Don Quijote. v Acaba de verificarse ía incursión del rebelde Silveira , y ha (8) ¡Pobrecitos! sido recibido con las demostraciones mas ".expresivas de alegría, (9) ¡ Y si no que no las obedecieran ! hasta besar los estribos de su caballo., como "si fuese un liberta (10)…</t>
  </si>
  <si>
    <t>…orden y de la concordia, y muy particular que tienen la vista tan prespicaz! Nosotros aconsejáramos i es mente el libertador del clero contra las opresiones y. tiránicas te nuevo D. Quijote político, que no sa exponga ¿la mofa y proscripciones que una rebelión triunfante ha ejercitado desde silbidos , donde hay tan apuestos caballeros, sino que se vaya en su; primeros momentos contra sus respetables individuos. Díg busca de los pampas americanos…</t>
  </si>
  <si>
    <t>…edad en su importante sa.ud el día 15 del siego que les ha robado inicuamente. corriente. Continuaba en aumento la escasez y carestía de víveres en (1) Ofertas muy semejantes hizo D. Quijote a! muchacho Cádiz, de donde se seguía la falta de trabajo para los artesanos, Andrés, porque era tan poderoso caballero como WiJson. y el descontento progresivo de aquellos habitantes. (2) De modo que los io3 hombres se han reducido á uno __El Constitucional…</t>
  </si>
  <si>
    <t>…cucrda la que presidió en la administra- estaban mandadas por el Empecinado.” cien de lord Chesterfield. No se vería entonces una población «Qué tal, madrileños i «be figuró tanto D. Quijote en su de seis millones, hospitalaria, desarmada, nunca agresora, ofre destornillada cabeza, cuando veía tan numerosos ejercito* y cer et lastimoso cuadro de una sociedad sufrida y que perece ba tan bravos generales en un rebaño de ovejas, que faltaron aquí jo…</t>
  </si>
  <si>
    <t>Quiñones</t>
  </si>
  <si>
    <t>…Aguirre. Se cio pasase á una comisión ele Visita que se nombraría al efecto. reconocerá por auxiliar del estado mayor de este ejército al sub Se mandé» agregar al acta el voto del Sr. Quiñones, contrario teniente D. Julián Pastor , y el de esta clase D. Manuel Perez al pase á la comisión Eclesiástica de las proposiciones del Sr. Bu Villamii quedará empleado en la primera división. rilaba sobre la confirmación ele Jos obispos, y contrario á lo re Ar…</t>
  </si>
  <si>
    <t>…egicanos que ha tíaido una fragata española con el se componen sus armas actuales. llo del nuevo Emperador ííúrbiae. El gefe del E. M. de acuerdo con el cirujano mayor del ejér El Sr. Quiñones hizo-presente haber notado que en los últi cito destinará desde luego á cada brigada los botiquines y facul mos tomos de decretos de las Cortes faltan algunos que se han tativos correspondientcs.=Abisbal.=:Es copia. = E1 ayudante se dado concernientes á la is…</t>
  </si>
  <si>
    <t>…de reemplazarlos, » ó con los suplentes ó losSres. López Cuebas ,Castejcn y laño al artículo 2.°del z.° can otros que lo hayan sido después del restablecimiento de la decreto: del Sr. Quiñones, contrario áhaberse admitidoá discusión Constaucion.’’ el misino proyecto; y del Sr. Reyilo, contrario á lo resuelto so Habiéndose declarado el artículo suficientemente discutido que bre la 2.a parte del artículo 2.0, y al 3.0 del decreto 2.0 dó aprobado con…</t>
  </si>
  <si>
    <t>Quinsonas</t>
  </si>
  <si>
    <t>…, el barón Ordonneau ,’el conde de Meynadier, el barón Vin- término de 30 dias. cent , SchaetíVr, el barón Haber, el vizconde Vionet de Maringone, el Dirección general Je corrtot. conde Quinsonas, el conde d; Rastignac, el conde de Vittré.el barón El Excmo. Sr. secretario del Despacho de la Gobernación de la de A bignac, el conde de Armand de la 1 oyere , el conde de Saint- Península con fecha del 2 me dice: » Hago saber á los empleados de Chamans, el…</t>
  </si>
  <si>
    <t>Quintana, Ramón</t>
  </si>
  <si>
    <t>Ramón Quintana</t>
  </si>
  <si>
    <t>…al coronel capitán dei regimiento infantería de Alurcia D011 Resumen de los valores y gastos de las aduanas de la Península en el mes Aligue] Cuevas, á los del ligero de Canarias D. Ramón Quintana y Don de Enero último. Nicolás Calzadilla , y á ¡os de este batallón D. Josef Ami, D. Juan Ni— Rs. su. vare, D. Felipe.Vargas, y D. Joaquín Cortadas; quedando yo di i'cse: a Productos por mercancías extrangeras introducidas en la con Jos ayudantes de la plaza de S. Juan con…</t>
  </si>
  <si>
    <t>Quinto, Francisco Ramón</t>
  </si>
  <si>
    <t>Francisco Ramón Quinto</t>
  </si>
  <si>
    <t>…ica apostólica romana. Se leyó un oficio del Sr. secretario del Despacho de Estado, remi As; pues no se nata de despojar á nadie, sino de saber los bienes tiendo una exposición de D. Francisco Ramón Quinto, rechinando el que paseen las iglesias, empezando por los diezmos, y acabando por lo reintegro de las cantidades que se prestaron á D. Francisco Sichi, cón que produce el decir mbas y cantar el requiero sul de España en Túnez, Se mandó pasase á la comisión de…</t>
  </si>
  <si>
    <t>Quinto, Juan Mo</t>
  </si>
  <si>
    <t>Juan Mo Quinto</t>
  </si>
  <si>
    <t>…Serna dió pendiente , y levantó la sesión á Jas cuatro. la espada á un sargento que tenia á su lado; consírvala , le dijo , ya que muero por la patria. Lo mismo se oyó al ayudante D. Juan Mo Quinto distrito militar. (Vitoria.)—En el Patriota riojano del a» reno y D. Ramón García Flores. Asi este como otros oficiales pelea y 34 del que finaliza, se leen los boletines siguientes: ron hasta exhalar el último aliento. Recomienda también á los sargen Boletín…</t>
  </si>
  <si>
    <t>Quiroga</t>
  </si>
  <si>
    <t>…, y el reciba pliegos importantes que espera, y enseguida marchará á Sr. secretario de la Gobernación de Ultramar dio principio á la «a ciudad para dirigirse á Lugo á verse con el general Quiroga, lectura de la memoria del ministerio de su careo, la cual tam y después con el general Morillo. bién se suspendió, y se levantó la sesión á las tres.</t>
  </si>
  <si>
    <t>…educación liberal; y hay una ley que dades de las plazas del Ferrol y la Coruña, se ha puesto a las or obliga á los maestros de escuelas ó casas de pupilos á llevar los denes del general Quiroga. Ellos han jurado de nuevo no sucum niños que tienen á su cuidado á alguno de estos colegios. Es un bir jamas á la tiranía, v que morirán gustosos defendiendo la sistema agigantado de educación nacional, en que se manifiesta Constitución de 1812. Repito que e…</t>
  </si>
  <si>
    <t>…Cortes los mas interesantes, que leeré sadas. Aprobado. ' si las mismas me lo permiten. A la comisión Eclesiástica se mandó pasar una proposición En seguida se leyó un oficio del general Quiroga dirigido al de los Sres. Velasco, Salvato y Prat, leída por segunda vez, sobro Gobierno, manifestándole los pormenores de la conducta obser reducción de dia; festivos. vada por el cande de Cartagena, siendo uno de ellos el haber Continuó la discusión del dict…</t>
  </si>
  <si>
    <t>…a siguiente falsas noticias que los que te acompañan procuran esparcir acer ca de mi conducta ( 8 ) - Tengo formado tai juicio de tu honraCarta que el cande de Cartagena dirige al general Quiroga oen dez , que me decido á-descansar en ella, prometiéndome que notas Ue este. abrazarás el único partido que te queda, reconociendo el extravio Lugo 28 de Junio de 183$. »&gt; Mi querido Quiroga: Has á que te has conducido ( 9 ). El que en la Isla dió de bu^na f…</t>
  </si>
  <si>
    <t>…t, Baena y Baeza; ballesteros se llamaban defensores de la fé, que han reconocido su erior (4).” emprendió su retirada; y dirigiendo el movimiento por su dere Sigue en su carta el Sr. Quiroga prometiendo amparo y cha parece que intenta huir por 1a Mancha hácia Extremadura. protección á todos Jos que S. S. llama ilusos, descarriados y de Zayas, que ocupaba i Alcalá la Real con $9 hombres , intentó más , con tal, dice, » que presten juramento solemn…</t>
  </si>
  <si>
    <t>…omisión ansiaba en súplica ¡o verifi dos fueron txasladados de la cárcel con otros muchos; y en vir case para consuelo y reposo del vecindario, que tanto habia pa tud de orden del general Quiroga se les trasbordó en número decido con una guarnición cor. quien carees» de seguridad y con- de gr , algunas horas antes de la fuga de este perverso, á un fianza.=El comandante general en segundorrFedencj Castaíion. buque sevillano , quedando los de la plaza d…</t>
  </si>
  <si>
    <t>….un oficial con 30 soldados del ¡citado regimiento de la Coruña á un buque sevillano en la noche del jo por or núm. 21.“ Esto se ha publicado al fin de un suplemento extra den del general Quiroga, y fueron asesinados, y arrojados al ordinario, ai Correo de Oporta del níattes aiy de julio, El gene mar á las cercanías del puerto, á saber : ral Morillo llegó ei 2 r al puente oe 6anPayorde donde siguió Don Ramón Sánchez, Tomas Pérez Osorio, Manuel Du .bat…</t>
  </si>
  <si>
    <t>…o d« regocijo rl corazón de los ven para Lóndres en compañía de dos oficiales con pliegos. Tam díanos la esperanza de ver á V. A. R. continuamente en medio bién ha desembarcado el general Quiroga, gobernador de la de ellos, y nosotros vnimos á pres- ntar á vuestros pies sus de Coruña, que también partirá mañana para Lóndres. Según di seos y su impaciencia. No nos está bien, Madama , el buscar en cen está en ánimo de tomar una comandancia en otro punto…</t>
  </si>
  <si>
    <t>…dos leguas para siempre dentro de este impenetrable recinto (1) , digno ri de la ciudad de falencia. Se halla vacante el magisterio de primeras letras en la villa (1) Hasta que el Sr. Quiroga nos lo ha dicho ignorába de Villarejo de Salvanés, siete leguas de esta corte, con la do mos nosotros que la pretendida libertad de cinco provincias, que tación de 2400 rs. anuales pagados de propios, y casa, y ade componen aquel distrito, según nuestros rege…</t>
  </si>
  <si>
    <t>…osto, Continúa la relación del estado del cristianismo en las diversas Proclama que dirigió á los soldados de este ejército al despe partes del mundo. dirse de ellos , el valiente general Quiroga: Cuando se suprimieron ios jesuítas, se dió el encargo de las «Soldados del 4.0 ejército__Llegó el momento de deciros á misiones á los franciscos y á los dominicos que continuaron la Dios para separarme de vosotros ; y este paso amargo xne arran obra de sus a…</t>
  </si>
  <si>
    <t>Quiroga, Antonio</t>
  </si>
  <si>
    <t>Antonio Quiroga</t>
  </si>
  <si>
    <t>…migos encontra-on Montolo y otros oficiales que pertenecieron al egército de S. Fernando, por las caíies hasta llegar á dos posadas y casa en que estaba hospedado que mandó ?! Sr. general D. Antonio Quiroga, denunciaron en 13 el cabecilla Bejar , en cuyo punto se encontróla mayor resistencia; mas d.'l pasado el núme:o 70 del periódico titulado el Constitucional ds sin embargo la serenidad y valor brilló en este fuerte ataque, viéndose dicha ciudad de! martes 11…</t>
  </si>
  <si>
    <t>…ón de facciosos.érVivá la tenemos la satisfacción de anunciar qu1* el Excmo. Sr. coman Constitución. Sr. gefe político: Ocho facciosos, 11 caballos, dante general de este distrito D. Antonio Quiroga, segundo del varias armas y pertrechos. de guerra han sido el fruto de una de operaciones, v% tomar las mas enérgicas providencias, y mala noche, y también algún, dinero y bastante ropa. Todo ba creemos que ias diputaciones provinciales contribuirán eficaz oc…</t>
  </si>
  <si>
    <t>…eren, sabed: Que las Córtes han de tad franca y sincera de tu amigo Q. B..T. M.=E1 conde de Car cretado lo siguiente : Las Córtes, usando de la facultad qué se les tagena. —Excmo. Sr. D. Antonio Quiroga.=Es copia.imQuiroga. (Diario Constitucional de la CoTiwaC) concede por Ja Constitución, han decretado lo siguiente: Artículo j.° Las familias y bienes de los militares, emplea articulo de oficio. dos y demas personas comprometidas por la santa causa de la Pa…</t>
  </si>
  <si>
    <t>Quirós, Josef</t>
  </si>
  <si>
    <t>Josef Quirós</t>
  </si>
  <si>
    <t>…m-nt.', cargó sobre ellos la partida en Sodas direccio que seguramente no les habrá ocurrido á .os señores de ¡a comisión , tan nes; p ro al iant ndose opo&gt;tunamente el voluntario D. Josef Quirós, to porque esta obra presenta grandes ventajas, como porque dicha for alcalde primero de Cheg.n , logró cortarles la retirada, y derribó mor- malidad está inserta en la Novísima Recopilación. Per esta se exige taiinenti'h-rido de un sab azo al cabecilla D. Jo…</t>
  </si>
  <si>
    <t>Quiroza</t>
  </si>
  <si>
    <t>…en el congreso da Verona, invitando i los » Mañana se me reunirá la columna de Aragón, j marcharé (dice principes alemanes de seguqdo y tercer orden i trasladarte i Viená, pá- el general Quiroza ) en busca del infame Abuin.” ra tomar en consideración las mudanzas proyectadas en la Constitución El tiempo es desastroso, y no permite avanzar mí marchar con la ced. la Con'ediracion germánica sobre ciertos puntes que no estañ en ar- leridad que se quiere…</t>
  </si>
  <si>
    <t>R, Estanislao María del</t>
  </si>
  <si>
    <t>Estanislao María del R</t>
  </si>
  <si>
    <t>…spero que V. lí. tendrá la certificación de libre disposición, nútn. 105 t, de t.° de Abril de 1822, bondad de elevarlo á S. M. pira su Real conocimiento. Dios guarde á á favor de D. Estanislao María del R.vero , tomada razón en la con V E. muchos años. Madridejcs i.’ de Abrir ¿ ias 8 de su noche da taduría ds intervención con el nímn. 31,104, y en el Oédito público 1823. = Ex.mo. Sr.= M comandante Joscf Albornoz. = Exento, Se con e! núm. 30,577, de valor 20 958…</t>
  </si>
  <si>
    <t>R, Francisco</t>
  </si>
  <si>
    <t>Francisco R</t>
  </si>
  <si>
    <t>…llegó ayer por la tarde. pabellón español salió en Enero de Nassau, fue apresada sobre Ma Cádiz 20 de Abril. tanzas por un corsario coiumbiano. El segundo ayudante de estado mayor D. Francisco R.u¡z da — Con fecha de 23 de Marzo avisaban de Rochefort que se es parte desde Arcos, con fecha de 18 del corriente, al comandante taban armando á toda, prisa para cruzar en las aguas de Bayona las militar de esta provincia, de haber batido con la columna de su…</t>
  </si>
  <si>
    <t>R, Joaquín Fuentes del</t>
  </si>
  <si>
    <t>Joaquín Fuentes del R</t>
  </si>
  <si>
    <t>…UNCIOS.rn la i .y cuciun, no son tan poco idénticas las p-nas que han sufrioo; y ei orden y la claridad o-qua-rm que se fije la lY.llu'ncia que tuvo ca Discurso pronunciado por el Sr. D. Joaquín Fuentes del R;o , di da un-i , y se decida si es análogo á ella el ca.ti.'o que s: Ir na impuesto. putado á Corles por Sevilla, en la sesión de 10 de Marzo de este año óiii-c: en d proceso como actor prir.c-pd D. I tom-n.o Baso y sobre dotación del clero. Se vende á dos rs…</t>
  </si>
  <si>
    <t>R, Juan Bautista</t>
  </si>
  <si>
    <t>Juan Bautista R</t>
  </si>
  <si>
    <t>…r la noche se encuentran mas de cuatro jun ción concedieron carta de ciudadano español a D. Herir ¡que d« tos 7 que puedan causar alguna sospecha, serán detenidos por la Moró) y á D. Juan Bautista R. vaocal. fuerza armada, que zeiará al inter.ro. La comisión de Instrucción pública , en vista de la exposición «Toda persona que haga resistencia á la tropa , perjudique las de D. Luis Pando , profesor de matemáticas del colecto de San obras de fortificación ó…</t>
  </si>
  <si>
    <t>R, Miguel y S. A.</t>
  </si>
  <si>
    <t>Miguel y S. A. R</t>
  </si>
  <si>
    <t>…spañoles. Dios nuestro Señor guarde á V. A. S. dilata S. E. va á firmar el contrato de matrimonio entre S. A. I. el dos años. Brozas 14 de Julio de i823.=Sermo. Sr.adDiego de gran duque Miguel y S. A. R. la princesa Carlota de \VurteinPcrrgs—Roque Corchado Alvarez—Pedro Josef de Cácexes.= berg. Juan Jossf Holgado.=Manusl Florez de Lizaur.rrAntonio Mo- —El rey de Wurtemberg volvió antes de ayer de Florencia por linos.=Domingo Valderas de Torres, escribano.” el…</t>
  </si>
  <si>
    <t>Ra</t>
  </si>
  <si>
    <t>…teniente I&gt;. Francisco Irizar, por dos direcciones: á buen estado las obras que con el mismo objeto hicieron los franceses en saber , la mitad de la columna, al mando del teniente coronel D. Ra la últ ¡mí guerra. món de Zugarramurdi, por los puntos de Amezqueta y Azcatate (Na Barcelona 3/ de Diciembre. varra) á caer sobre la citada villa de Arriba, y la otra mitad por la En nuestros periódicos se publican las siguientes noticias: carretera general í…</t>
  </si>
  <si>
    <t>…io; caballos bien armados, del pueblo de Aranda de Duero, en el m Viva la Constitución. El grueso de la facción de Gómez, dia de ayer , fueron atacados por la columna, al mando de D. Ra alias Pantisco , fue ayer atacado y disuelto por la columna de mi món Santilian , compuesta de 140 infantes de Granada y 80 mando en e[ pueblo de Casanchi: el citado Pantisco con 23 ó 30 caballos de Lusltuma, logrando el arrojo extraordinario de estos de los…</t>
  </si>
  <si>
    <t>…e Madrid 5 de Mayo de 18: orden general. timar esta solicitud. Aprobado. Art. t.° A pesar de los encargos hechos á lds señores gefes La misma comisión en vista de la exposición de Doña Ra de los cuerpos para que cuiden de que el soldado no lleve 'en la faela Rodríguez, viuda de D. Pedro Espinosa, sargento i:° del mochila mas que las prendas indispensables, las cuales abultan y resguardo militar de Barcelona, pata que se la conceda alguna " pes…</t>
  </si>
  <si>
    <t>…expresada comisión opinaba que no correspondía á las to estaba de su parte para perderla. Como no sea esta impugna- ’ Cortes el conocer de! asunto de que tr. taba la solicitud de D. Ra don no sé que pueda hacerse otra al artículo. fael Manuel Leiva , vecino de Villaherinosa en Ja Mancha ; y que El Sr. secretario del Despacho de Gracia y Justicia: Todo en cuanto á las infracciones de ley de que se quejaba podia pasar está concluido, añadiénd…</t>
  </si>
  <si>
    <t>…brarse consejo de guerra ordinario en las casas y ba',o la presentarle con toda exact.tud, no nos permite insenar.o hoy, y presidencia del coronel agregado al E. Al. de esta plaza D. Ra nos vemos precisados á remitirlo á otro número. Este señor di món Antentas , que vive calle los Tiros, núm. 27, esquina á la putado con su acostumbrada elocuencia, y el calor patru toro que del Espejo, para juzgar al soldado de la tercera compañía del pri je…</t>
  </si>
  <si>
    <t>…esta brillante acción el quedar Jas calles y cercanías del pmblo en efecto, llegó dicha columna á ia villa del Romeral, é informa cubiertas de cadáveres, y prisioneros el teniente coronel D. Ra dos en ella de ladireccionde aquellos, y de que habian muerto á un fael Rincón , el teniente D. Raimundo Gabaldon (profeso con vecino de la misma y herido á varios, se dirijieronáladeLillo ;y patente en la confederación de comunero), los alféreces Don estando…</t>
  </si>
  <si>
    <t>…má Cervrra el al , manifestando su atroz furor con mandar pren bó, zeloso defensor de nuestro Monarca , y cooperador en Ja der y fudlar á sangre fría á un cura respetable, llamado D. Ra empresa con su d cidida división, corona el triunfo, haciendo món Soler. Este digno eclesiástico , que ha strvido por espacio de piopuesta para las licencias y retóos , recomendando vuestro he algunos meses la parroquia de Mercns en nuestro departamento, roís…</t>
  </si>
  <si>
    <t>…a, dos lancha» S. M., de cuyo acto quedó satisfecho el indicado general. cañoneras de ¡as nueve que se estaban habilitando, y se dispo El comandante de ingenieros de esta plaza el coronel D. Ra nían á toda prisa para salir inmediatamente las siete restantes. fael del Barrio no quiso seguir los ejércitos rebeldes , y ha Hab;a causado allí gran regocijo la noticia del vi age em quedado desempeñando su destino, habiendo algunos gefes y prendido por el…</t>
  </si>
  <si>
    <t>Ra, Manuel</t>
  </si>
  <si>
    <t>Manuel Ra</t>
  </si>
  <si>
    <t>…énez; D. Manuel Belticnate , con su rspo^c, Murcia 17 de Marzo. una h’’B y ani criada; D. Ver-tura Alisas , D. Josef Antorio Bimof D. Juan Antonio Loredo , D. Josef de la Cámaro , D. Manuel Ra El espíritu público cada día va mas en aumento; y pocos son los mos, D. Juan Orcullo , D. Josef Fernandez , D. Antonio Sola , Pon que se manifiestan indiferentes. Los partidos liberales se van aumentan Vicente y D. Avustin Eguia , D Juan Vicente Allomo , D. N re…</t>
  </si>
  <si>
    <t>Ra, Mateo</t>
  </si>
  <si>
    <t>Mateo Ra</t>
  </si>
  <si>
    <t>…tropas al combate, sosteniendo el sucederles. orden, y excitando con su ege.mplo el valor y entusiasmo. El primer ARTICULO DE OFICIO. comandante de! batallón de Arequipa, teniente coronel D. Mateo Ra mírez , los Sres. oficiales de estado mayor tenientes coroneles D. An El Rey se ha servido dirigir en este dia al mínistrq de Marina el drés García Camba, mi secretario D. Vicente Garin , D. Antonio decreto siguiente : García , capitán D. Ramón Gascón y tenie…</t>
  </si>
  <si>
    <t>Ra-</t>
  </si>
  <si>
    <t>…yer. La misma comisión opinaba que no había motivo para acce— Art. 2.0 También lo está cualesquiera que intervenga ó co derse á la dispensad) revalidación de médico que solicitaba D. Ra- nozca en ks causas que sepret endan formar á los españoles-, y en inon Yañez, licenciado en cirugía. Aprobado. que á estos resulte castigo por el motivo de haberse manifestado Se dió cuenta de una exposición de la diputación provincial en favor de la Constitu…</t>
  </si>
  <si>
    <t>Raactuales</t>
  </si>
  <si>
    <t>…e inútil, pues ningún par oro, plata y pedrería de las iglesias. ticular querrá ir á ocupar una finca del Crédito público en las La misma comisión, en vista de una proposición del Sr. Raactuales circunstancias. mirez de Arellano y de otro Sr. diputado, para que se establezca En cuanto á la medida para que se arregle la cantidad de ca inmediatamente una fábrica de fusiles en el punto que se conside da contribuyente para el servicio extraordinario por…</t>
  </si>
  <si>
    <t>Rabanal, Julián Arias</t>
  </si>
  <si>
    <t>Julián Arias Rabanal</t>
  </si>
  <si>
    <t>…ervación de la paz. En vn — González, D. Bernardo García Pelayo , D. Josef Francisco de ¡a Pera, virtud de la que había hecho el comercio de Burdeos se decia ya que D. Juan Briz , D. Julián Arias Rabanal , D. Antonio Rodríguez, S. A. R. la duquesa de Angulema suspendería su premeditado viage á es D. Marcelino Garrido , D. Josef Cepeda del Rio, D. Sancho Sanabria, ta ciudad. D. Juan Martin Carnes, D. Jacinto de las Heras, D. Francisco Caldas y Los nceocios pol…</t>
  </si>
  <si>
    <t>Rabandi</t>
  </si>
  <si>
    <t>…as haya habido alteración notable teniente Counok, al sargento Eibourlater, y en el 17.0 al ayu del orden, habiendo tenido la satisfacción de cortar acertada dante mayor Camón ,al capitán Rabandi y al sargento Monnier. mente las cuestiones y los incidentes que me parecía, podían También elogia al capitán Courad , su ayudante de campo, y á alterarla en cualquier sentido. En mi exposición anterior pude los carabineros del 5.0 ligero Boyneau y Mahé, que…</t>
  </si>
  <si>
    <t>Rabio, Manuel Josef</t>
  </si>
  <si>
    <t>Manuel Josef Rabio</t>
  </si>
  <si>
    <t>…ene calle del Carmen , número a, furor de los vencedores, y al resentimiento de las infinitas per cuarto principal. sonas í quienes habrán maltratado? En virtud de providencia del Sr. D. Manuel Josef Rabio, « Yo os ofrezco sostener el decoro nacíonaf y salvar vues del consejo de S. M., y teniente primero de corregidor de está tros juramentos (i), conduciéndoos al campo del honor, si fuese heróica villa, refrendada de D. Jacinto Gaona y Loeches, es cribano del n…</t>
  </si>
  <si>
    <t>Radillo, Juan</t>
  </si>
  <si>
    <t>Juan Radillo</t>
  </si>
  <si>
    <t>…ta el 3 del corriente; de Cádiz hasta una y otra arma y los cazadores de la misma clase , al mando de el 19 de dicho; de Málaga hasta el 17; de Murcia hasta el 13; sus comandantes D. Juan Radillo, D. Vicente López y D. Pe de Baza hasta el 14. dro la Rcz, los advertí formados, disputándose á competencia la En Madrid publicó el gefe político el dia 14 un bando para gloria de batir la ya dicha facción, exclusivamente á cada una de mantener la tranquilida…</t>
  </si>
  <si>
    <t>Radon</t>
  </si>
  <si>
    <t>…y política, al contemplar el misterioso excepción del Sr. Javat, que lo calificó de sedicioso en segundo velo con que quieren cubrir sus ideas, y al considerar que vie grado,y del Sr. Radon que lo calificó en tercero, todos los de nen auxiliando á unas gavillas de miserables sin honor, sin cré mas lo calificaron de sedicioso en primer grado. Los Sres. Don dito y sin probidad, no puedo menos de exclaman ¡ He aquí Cayetano Rubio, D. Josef Merelo y…</t>
  </si>
  <si>
    <t>Radon, Josef</t>
  </si>
  <si>
    <t>Josef Radon</t>
  </si>
  <si>
    <t>…fuerza de querer perpetuar la esclavitud D. Josef Car.tel; D. Juan Isidoro Perez; D. Simón González Yusíe; de lo: pueblos, se les diesen lecciones tan claras pata que aceleren su D. Josef Radon; D. Sebastian Andrés; D. Ramón Llord; D. Francis libertad. co Martinez Marina; D. Josef Luis de Amandi, y D. Manuei Esteban » El Congreso y el Gobierno en aquel dia de ventura se disputaron Catata. el saber y el patriotismo , y el heroico pueblo espectador si…</t>
  </si>
  <si>
    <t>humilde y adiadamente, sí, porque ist hablan siempre los españoles i D. Andrés Alcon. D. Josef Radon. su Rey, pero con una decisión heroica, * rogarle que se dignase de dar El Dr. D. Josef Sainz de Rozas. D. Nicolás Alonso. ya fin á las amarguras de sus subditos, adoptando el pació que recla D. Vicente Villanova. D. Elias Montero y Porlocarmaban su bien y su…</t>
  </si>
  <si>
    <t>Rafael</t>
  </si>
  <si>
    <t>…s que se habian apoderado de la altura y bosque de Camarlon, lo que verificó inmediatamente, haciéndoles retirar 4 la mitad de ta La marquesa viuda de Villafranca , de acuerdo con D. Rafael de sierra del Corp; y dirigiéndome yo por úUimo al mismo punto con la Peña, secretario y único vocal que ha quedado de la janea de gobier la compañía de cazadores, mandada por el teniente D. Josef Jiménez, no del monee-pío de criados distinguidos de los granj…</t>
  </si>
  <si>
    <t>…iento.) expedido el certificado de invención , con arreglo al art. 12 de la ley El presidente: El art. 25 del reglamento, dice que pasado el término cíe de 1 de Octubre de .820, á D. Rafael d: Rodas , inventor de la fa Una hora continúa la sesión de derecho pleno. De consiguiente continúa la bricación de la barrilla ai t.ricial ; adviniendo que este interesado, por sesión. efecto de su patriotismo, se ¡imita á usar de su derecho en el solo tér M…</t>
  </si>
  <si>
    <t>…egantes» Josef Torres, hermano de id., Pascual Perez, rica ba de quedar ó no emancipada de la Fspaña « cuestión qué’bte es Juan lázaro, D. Juan Francisco García « Francisco Ribas, D. Rafael del momento, y sobre lo que expondré yo mi opinion cuando las Cor Solo, Dr. Domingo Pitalua, D. Rafael Seguí, D. Josef González, tes se ocupen de ella. Se trata ahora únicamente de dar un proyectó D. Joaquín Gil , D. Pedro Boígues, abogado, Mariano Teruel, An…</t>
  </si>
  <si>
    <t>…íuregui; en Calatayud en casa de D. Mariano Lázaro; en Tala materia de que se componen. F.n el g. lr nete del caballero Monti- razona en la de D. Santos Fontana; en Soria en la de D. Rafael de la celli hay un globo semejante i los indicado» , el cual es hueco, y Orden : su precio es «1 mismo que en Madrid. EN LA IMPRENTA NACIONAL.</t>
  </si>
  <si>
    <t>…rtos. ) *13 GACETA DE MADRID. SABADO 16 DE AGOSTO DE 1823. ARTICULO DE OFICIO. la Nación no veía los rayos de luz que después se presentaron. En su consecuencia, se manifiesta que D. Rafael bempere fue El crecido número de prisiones que los pueblos en el exceso elevado á general en gefe del ejército Real de Valencia en la de su zelo, y arrebatados de amor y lealtad á ¡a sagrada Persona época mas espinosa por la voluntad de los que se le unieron,…</t>
  </si>
  <si>
    <t>…va que del que rige me comunican de orden de las mismas lo siguiente : les s.rva de satisfacción, y de ejemplo á otros que quieran imi Las Cui tes han examinado una reclamación de D. Rafael tarlos. Qucrol, coronel vivo y gobernador que fue de Ja Seo de Urqel, dirigida á que se le considere comprendido en la orden de las Nota. En la Gaceta del 21 , col. :..a , 1 í 11. 43 , donde d'ce Curtes de 7 de Noviembre de 1820 , para que con arreglo á ella…</t>
  </si>
  <si>
    <t>…sto obedeció, «— Antes de ayer en la sala segunda de Alcaldes de la Real Casa pronunciando el nombre del Redentor; y presentando sus ma y Corte se vió la causa del famoso criminal D. Rafael del nos y pies al hierro de sus verdugos, le enclavaron sucesivamen Riego. te unas y otros al. madero fatal. Al medio dia se levantó la El Sr. Fiscal, recorriendo ligeramente la historia de todos los cruz; y el mártir sin quejarse, alaba al Eterno é invoca á…</t>
  </si>
  <si>
    <t>…zr llante dentro de las casas, aunque en pasando de cierta distancia, nuestro Señor se ha sacado un FA.C-SIM.1LE. no se puede leer con ella sino con gran pe,nz.—Anglicanus me— „Yo D. Rafael dei Riea,o, preso y estante en la capilla de ia dicus J” Real cárcel de Corte, hallándome en mi cabal juicio, memoria, entendimiento y voluntad, cual su divina Magestad se ha servi ANUNCIOS. do darme, creyendo como firmemente creo todos los misterios Quien su…</t>
  </si>
  <si>
    <t>Raimundo, Juan</t>
  </si>
  <si>
    <t>Juan Raimundo</t>
  </si>
  <si>
    <t>…rro, provincia de Sevilla, quejándose de la diputación Y. M. ,qi,e se complacen en repetir. No; la razón y la justicia no serán provincial sobre la indemnización que había hecho á D. Juan Raimundo turnos valientes que el ¿mío de ¡a opresión y de ¡a servidumbre■ La na■* Borja de varios terrenos de propios, opinaba que debía pasarse al Gobier ciun que capitula con enemigos, cuya mala fe es tan notoria , es nación ya no para que informase lo que creyese o…</t>
  </si>
  <si>
    <t>Ramírez</t>
  </si>
  <si>
    <t>…a, de Los cuales ya tenia yo algunas noticias; pe con 3500 hombres__ El general Cantevac en Arequipa , er. lu ro como la malignidad se complace en asestar sus tiros contra gar del Sr. Ramírez, que se retiró á España, riene __En hombres decididos á sostener la libertad , quisiera que el. Sr. se Jauja hay 2 goo de excelente trop3, y el cuerpo de vanguardia cretario del Despacho de la Guerra dijese si antes de ahora , ó que manda Valdes asciende á iU…</t>
  </si>
  <si>
    <t>Tíí Sr. Ramírez &lt;je Arellano hizo una proposición para que -f La F.slre 'la parisiense se ha picado muel o á causa de este mal se excitase el zelp del Gobierno, á fin de que socorra o destine ensayo , y se vcm.a con decir que en S. Sebastian se han encerra á Jos oficiales ex…</t>
  </si>
  <si>
    <t>…esputs de dos horas de un fuego de 20 caballos, todas las armas, 13 prisioneros, todos sus equimuy sostenido fue batida, teniendo tres individuos muertos, pag'S, incluso el del ex-general Ramírez, que hasta los entor herido mortalmente su comandante Lastache con otros dos ó chados que llevaba puestos obran en mi peder, y les 10 que !• trrs, cogido 1 5 prisioneros, siete fusiles y una caja de guerra, acompañaban no se hubieran escapado si hubiese tenid…</t>
  </si>
  <si>
    <t>…z presagio, franceses y •1 general francés que mandaba estas tropas, según hemos visto españoles participan á una de los sentimientos de sus Soberanos, por los partes dados por el Sr. Ramírez , y las noticias de' cuan y están bien penetrados de que por su mutua felicidad se han tos vienen y escriben desde la columna.”-Siguen algunas observa unido cOmo una sola nación. Esta unión, Señor, es cuanto de ciones propias de tal cabeza, y concluye este pá…</t>
  </si>
  <si>
    <t>Ramírez, Juan</t>
  </si>
  <si>
    <t>Juan Ramírez</t>
  </si>
  <si>
    <t>…punta de sus bayonetas. Yo defenderé de aquellos barbares Han llegado en un buque procedente de Quilca el teniente vuestras vidas, vuestras propiedades y vuestro honor : vosotros general D. Juan Ramírez con varios diputados ¿Cortes por el auxiliareis mis operaciones, aumentareis mis filas, y rechazando á Perú. Todos refieren el respetable estado en que dejaron aquel los que pretenden esclavizarnos volveremos á nuestros hogares á heroico ejército nacional, cu…</t>
  </si>
  <si>
    <t>Ramírez, Mateo</t>
  </si>
  <si>
    <t>Mateo Ramírez</t>
  </si>
  <si>
    <t>…eros del Perú , y dependían también de esta dos compañías del primero de estos cuerpos , á las órdenes del te división los lanceros del Perú que estaban en Chincha, y otras niente coronel D. Mateo Ramírez , continuasen en la dirección compañías sueltas que hacían subir su'fuerza á unos g9 hombres, de la de cazadores del ImperiaL, empleándose en atacar al ene perfectamente bien vestidos y armados. Se me aseguró que los migo por su Hunco izquierdo , con cuyo obj…</t>
  </si>
  <si>
    <t>Ramirez, Mateo</t>
  </si>
  <si>
    <t>Mateo Ramirez</t>
  </si>
  <si>
    <t>…al yugo de la dependencia. Su vida es miserable, y envi primer comandante del batallón de . Arequipa teniente coronel dian las ventajas que no tienen valer vara proporcionarse por D. Mateo Ramirez, los Sres. oficiales de E. M. tenientes coro medio de una aplicación constante....... neles D. Andrés Garda Camba, nii secretario D V.cente Ga- Para juzgar del carácter moral de itv. «aii~*..-r» americanos es nn, D. Antonro García , cap tan D. Ramón Gascón y…</t>
  </si>
  <si>
    <t>Ramírez, Pedro</t>
  </si>
  <si>
    <t>Pedro Ramírez</t>
  </si>
  <si>
    <t>…s y particulares, y de los qu* D*l ayuntamiento de Almendralejo. actualmente se hallan prohibidos por las variaciones que se hicieron en Del c.udadano militar residente en Iiuelva D. Pedro Ramírez. los aranceles en el año 10. Del ayuntamiento de Lérida. Yo no comprendo pues cómo se quiere hacer desaparecer unos gé De los ciudadanos militares del regimiento de milicia activa de neros que se introdujeron porque antes no estaban prohibidos, ó por —onda ,…</t>
  </si>
  <si>
    <t>Ramiro</t>
  </si>
  <si>
    <t>…¡os ene Al ver herido mortalmcnte los soldados del regimiento de la migos, hasta que rompieron estos el fuego de la artillería; y con Union que estaban en guerrillas á su bizarro teniente Ramiro, siguiente á las órdenes que recibí de V. S. me fui replegando a la que rodilla en. tierra hacia fuego al enemigo, hubieron de excla plaza , y ocupé el glasis de la puerta de Madrid. mar doloridos al tiempo de socorrerlo. Entonces este bravo sol La pérdida oc…</t>
  </si>
  <si>
    <t>Ramiro, Manuel Mateos</t>
  </si>
  <si>
    <t>Manuel Mateos Ramiro</t>
  </si>
  <si>
    <t>…de todv's cayo con su caballo. \ a ¡des mande» de un casco de granada , en el teniente de granaderos de- la Union hacer fuego, d.iudo las voces ord.narias como ai un ejercicio. En Don Manuel Mateos Ramiro que recibió dos balazos, podida a este momento fue cuando cargo nuestra caballería ligera al man Ja verdad harto sensible por haber recaído en tan bizarro» uncia do del valentísimo comandante D- Teodoro Fernandez , quien se les; en un cabo del escuadrón liger…</t>
  </si>
  <si>
    <t>Ramón</t>
  </si>
  <si>
    <t>…ticia. ‘ to en el núinefó 5 del Fátilota español , como sediciosos, é incitadores txibunmes. á la desobediencia en primer grado. En la villa de'Madrid á iSde Enero'de 1813: El Sr-'D. Ramón En su vista sé reúriió el jurado, compuesto de los señores siguientes: de Argos, magistrado honorario de la audiencia territorial de Castilla D. Josef Rives, D. Casimiro Martin , D. Jaime Ruíz y Abreue la Nueva , y juez ietrido de primera instancia en esta dicha…</t>
  </si>
  <si>
    <t>…. Josef Calsini; D. Pedro Mariano Baso , cura de Cas- se desde el 11 de Marco: ia persona que quisiere hacer postura á ella til-Tierra, aquel yerno, y este hermano de D. Domingo ; D. Ramón lo eg-cutará mi , .3 cho :-r. y citada escribanía dentro del término reHernández Tirso; Pedro Josef Garviso , criado de D. Josef Ala,:u;l fericki , que se le admitirá siendo arreglada. Erroz; Francisco Ramírez, que acompañó á D. Baltasar Casquero , y ANUNCIOS…</t>
  </si>
  <si>
    <t>…la se han llevado un nuevo desengaño. sencia. E. M. segundo ayudante general D. Manuel de Soria, los Extracto de noticias de los periódicos de Cádiz del ella 7. segundos ayudantes D. Ramón. González y D. Rafael Marín, Se ha publicado de oficio la siguiente noticia, comunicada des los adictos D. Josef González , D. Diego Galvez y D. Salvador de Algeciras con fecha del dia i.°: «Ha entrado en esta bahía en Josef Mirallcs. el dia de antes de ayer…</t>
  </si>
  <si>
    <t>…ie ig •Se aprobó el dictamen d-e la comisión de Legislación , ¡a cual nora que lo es el que los asientos de los corredores hacen fe, y en vista de la íxpeócon de D. Juan Miranda , D. Ramón de que tienen mucha experiencia en los negocios; pero la cuestión Llano y Chavarrí , y otros varios individuos que habían sido a no es esta, es si ios corredores vitalicios han de jomar las corre restados en Barcelona en Setiembre del año pasado, y conducido.…</t>
  </si>
  <si>
    <t>…pidez de la marcha publicarlo mañana._! no habían podido llegar sino mui pocas tropas, las Eti seguida se ¡ «ó v f ié api oh ido «d acta de la compañías de preferencia al mando de Don Ramón sesión esf raéi die. vi i v •!■•« dia 1 &lt;1*1 órnente. Snli.s, primer teniente «■&gt; la estingnida Guardia-real, L-&gt;; (iórtes «jued-u'i'ii entinadas de nn oficio del formaron una columna que fné suficiente para impo Sr. secretario «le la Gobernación do ta penín-…</t>
  </si>
  <si>
    <t>…de cañón desde el castillo, amedrentando á los caribes; desfilan por sea la nación. Villarejo de Salbanés y Junio 4 de i82 3.=sSere- las calles los valientes soldados del invicto general D. Ramón nísimo Sr.zrjulían de Mora.sjuan JosefMonterroso.rrSitnon Chambó, en unión con los del fiel batallón de Orense que guar Fernandez Ascanio.=Juan Manuel de Haro y. Lodeua.=juan necía el castillo, y tos vivas al Ruy y relijion de estos leales Bautista de Balenza…</t>
  </si>
  <si>
    <t>…yuntamiento de esta disfrutan los maestros de trompetas. Aprobado. ciudad , solicitando varias aclaraciones relativamente al decreto La misma comisión, en vista de la solicitud de D. Ramón sobre el derecho de patentes. Garcia , inscrito en la milicia nacional activa de esta ciudad, pa A la de Diputaciones provinciales una exposición de D. Juan ra que se le descontasen de ¡os seis años que debe seivir en día de Lascrna, en nombre del ayuntamient…</t>
  </si>
  <si>
    <t>…s voluntarios del 6-° batallón de milicias de esta cap ral , el de la posic.on mandada por el teniente coronel graduado D. Ker- cabo D. Francisco de A»'s Noguts, y los voluntarios D. Ramón mrdo Uncete. Principió en el camino real el fuego de guerrillas, Sans y D. Francisco Duran se agregaron a ¡a compañía de cara el que se sostuvo como media hora sin mayor empeño. dores de Soria y estuvieron en toda la acción. En la acc on tuve En e;te tetado s…</t>
  </si>
  <si>
    <t>…s que se proveyeren en los estrados de este tri ayudante D. Francisco Sánchez : teniente D. Martin Bastida: sub bunal , y de pararle estas notificaciones el perjuicio á: que "haya teniente D. Ramón l'uster: sargentos primeros Manuel Toujal y lugar. Cádiz 2 de Agosto de 1823.tr Dionisio Valdés.r= Por:su Francisco Nicolau: id. 2.0 Manuel Pérez: cabo 1 0 Antonio Te mandato, D. Nicolás .Fernandez de . Ochoa. na: id. segundos Francisco Baños, Francisco Castr…</t>
  </si>
  <si>
    <t>…tad civil; código re presentarse en la lucha sin necesidad de parapetos ni barrancos, conocido y admirado por todas las naciones ; código , en una pa mandé al capitán de tiradores D. Ramón l-'errer que con su com labra , que repuso la corona á ese mismo que ahora viene á un pañía avanzase, desprecíase sus fuegos, y que en llegando á medio cirnos al carro del despotismo. tiio les cargase con la decisión que acostumbran las tropas libres: La impr…</t>
  </si>
  <si>
    <t>…al efecto por las Diputaciones provinciales , fueron electos tos de 3 del presente mes acerca de si debe entregar los vales re D. Joaquin de Irazabal, D. Francisco de la Carrera , D. Ramón novados y documentos de liquidaciones hechas á los individuos Viton, D. Francisco Colon, D. Josef Manuel Aranalde, Don que se presentan, á recogerlos con los resguardos correspondientes, Miguel Mayora y D. Tomas de Urrutia, .para que compongan aunque pertenez…</t>
  </si>
  <si>
    <t>…rial con la Mancha: D. Josef Apoita por la de Vizcaya: D. Domingo los ministros del tribunal Especial de Guerra y Marina, y si es Cortés, D. Francisco Enriquez, D. josef Alcaide y D. Ramón tos no bastasen con los jueces también letrados del tribunal Es Lamas y Melendez por la de Galicia: D. Josef Cuevas por la pacial de Justicia. (Gaceta del g.~) de Cuba en Ultramar : D. Ezequiel Diez por la de Toro: Oficio de los Síes, secretarios de las Córte…</t>
  </si>
  <si>
    <t>Ramona</t>
  </si>
  <si>
    <t>…chos billetes han sido endosados en favor de D. Juan Pedro Hermil, y cumplimiento. Madrid 14 de Marzo de r8a3.=:Sr. comandante gene de este comercio, de D. Miguel de Zavaleta y de Doña Ramona lé ral del décimo distrito. gaña e hijo ; y para que llegue á conocimiento del público s: insería este aviso para que cualquiera que los tenga los remita á los dichos La junta de gobierno del banco nacional de S. Cirios ha acordado endosadores. que a juma gen…</t>
  </si>
  <si>
    <t>Ramoner, Francisco</t>
  </si>
  <si>
    <t>Francisco Ramoner</t>
  </si>
  <si>
    <t>…de ellos tenga la bondad da avisar en Ma I.a caballería formará una división al mando interino del brigadier drid al citado Robredo, que vive en la calla de las Fuentes , núm. 3, D. Francisco Ramoner. cuarto principal, y en la Calzada al insinuado D. Leodcgario Pérez. Primera brigada de caballería. La casa de educación de señoritas, que al cargo de su directora Alcántara 600 caballos. Aimansa 600. Total 1200. Doña Bernardina Ruiz de Alegría estiba esteble…</t>
  </si>
  <si>
    <t>Ramos, Andrés</t>
  </si>
  <si>
    <t>Andrés Ramos</t>
  </si>
  <si>
    <t>…D. Josef Fonseca me sostenía con el resto de la fuerza de mi En la calle de la Concepción Getónitr.a , esquina de Barrio Nuevo, partida, y que el capitán del regimiento de Algaibe D. Andrés Ramos cuarto entresuelo de la casa del molino de chocolates* halla situsda la con una paitida de este cuerpo, unida con la del teniente de Farnesio enseñanza, hijo la dirección y cargo del director de academia teófeoD. Manuel Calzada, y otra del resguardo militar p…</t>
  </si>
  <si>
    <t>Ramos, Joaquín</t>
  </si>
  <si>
    <t>Joaquín Ramos</t>
  </si>
  <si>
    <t>…s operaciones militares emprendidas en fas diversas comandante del batallón de Cataluña; D Jos- f Polledo, capi provincias; en el dia, que aquellas se han acabado, y que soto tán; D. Joaquín Ramos, teniente coronel; D Juan Romero y Cádiz es el punto que mas llama ¡a atención , traslada su cuar D. Policarpo S. Martin, voluntarios ambos de caballería. tel general á Sevilla para ínspirai á sus soldados un nuevo ardor con su presencia. Convenio entre el te…</t>
  </si>
  <si>
    <t>Ramos, Josef</t>
  </si>
  <si>
    <t>Josef Ramos</t>
  </si>
  <si>
    <t>…razón y de intervención de caudales. (Gaceta del 20.) la misma Isidro López. Decreto de las Cortes en que se adoptan algunos medios para la subsis » La compañía de ViUalba, con su capitán D. Josef Ramos, nada me tencia y habilitación del egército. (Gaceta del 2/.) ha dejado que desear. Por nuestra parte no hemos tenido ni un solo herido, Decreto de las Cortes sobre los géneros prohibidos &amp;c. (Gaceta del ai.) lo que pongo en conocimiento de V. S. , recomendan…</t>
  </si>
  <si>
    <t>Ramos, Manuel</t>
  </si>
  <si>
    <t>Manuel Ramos</t>
  </si>
  <si>
    <t>…haberse ampliado por las Cortes el uso del r .iu.Ud ;i teniente y soldado de carabineros del batallón de Gerona papel sellado , se nota con bastante dolor que sus productos no sa D. Manuel Ramos, que cogió á un teniente de los facciosos , y Gre len apenas del nivel que tenian cuando estaba reducido su uso i m mo gorio Per-z , que presentó siete prisioneros y un caballo; y que el resto res actos civiles. De aquí resulta el perjuicio de no dar esta ren…</t>
  </si>
  <si>
    <t>Ramos, María Francisca</t>
  </si>
  <si>
    <t>María Francisca Ramos</t>
  </si>
  <si>
    <t>…viese muger , hijos ó hermanos menores de y modo enagene las casas propias de Ja Hacienda pública, llama edad en el pais libre, se les señalará por las autoridades los ali das tie Doña María Francisca Ramos y la casa Blanca, tasadas en mentos que crean necesarios para su subsistencia; y en el caso de 309,474 pesos y 7 rs. que uno esté en el ejército defendiendo la Nación, se le hará en Art. 3.0 Se autoriza al Gobierno para que pueda admitir en trega del todo Se…</t>
  </si>
  <si>
    <t>…anos menores de edad en el pais libre, se les y modo enagene las casas propias de la Hacienda pública, lla señalará por las autoridades los alimentos que crean necesarios madas de Doña María Francisca Ramos y la casa Blanca, tasa para su subsistencia; y en el caso de que uno esté en el egército das en 309,474 pesos y 7 r$.” defendiendo la Nación se le hará entrega del todo. Se mandó Art. 3.0 ,,Se autoriza al Gobierno para que pueda admitir imprimir. en cambio de…</t>
  </si>
  <si>
    <t>Ramos, Miguel</t>
  </si>
  <si>
    <t>Miguel Ramos</t>
  </si>
  <si>
    <t>…o nos vemos atacados sin razón, y nos sobra para tratar de naba se accediese a ello. exterminar á los que quieran traer á nuestras casas la desoiac.on y Otro sobre la exposicon de D. Miguel Ramos, para que sin la ruina. Unámonos de buena fe: olvidemos resentimientos mez embarco de haber pasado ei tiempo se le permitiese ei tomarse quinos ; dejemos los partidos que no pueden los hombres publicar el razón en el ofic o de hipotecas de la finca que había…</t>
  </si>
  <si>
    <t>Rana, Antonio Fernandez</t>
  </si>
  <si>
    <t>Antonio Fernandez Rana</t>
  </si>
  <si>
    <t>…de oficio, que sus tropas se batieron con las de la retaguar la autoridad política para entregar en esta. dia de los facciosos portugueses, haciettdoies un muerto y va Coroneles: D. Antonio Fernandez Rana, D. Juan Ague- rios prisioneros. La dirección de aquellos malvados parece ser ria D. Pedro Peón. Capitanes: D. Juan Moa Arguelles, Don hacia Patencia ó Búrgos; pero dudo que logren pasar sin encon Francisco Heredia. Teniente D. Marcos Gutiérrez. Subtenien tra…</t>
  </si>
  <si>
    <t>Ranedo, Francisco</t>
  </si>
  <si>
    <t>Francisco Ranedo</t>
  </si>
  <si>
    <t>…están haciendo y que prometen la regene Saenz , literato , residente en esta plaza ; y para fiscal al licenciado ración del Egipto. Siti embargo, fas gentes de alguna instrucción D. Francisco Ranedo, secretario de la diputación provincial'dp dudan de la posibilidad de un progreso real y duradero, mien Burgos y promotor fiscal que ha sido de aquel juzgado ele prime tras que el bajáagovic con el peso de su poder absoluto la agricul ra instancia; personas t…</t>
  </si>
  <si>
    <t>Rangel, Fonseca</t>
  </si>
  <si>
    <t>Fonseca Rangel</t>
  </si>
  <si>
    <t>…manifestado el espíritu mas patriótico mante su parecer sobre la forma de Gobierno que los pueblos querían. niendo el sosiego de la capital ;que la cámara constitucional habia El Sr. Fonseca Rangel dijo: ¡Que horror! Yo me hallo agi permanecido en sesión permanente trabajando sin cesar , y pro tado por el conflicto de afectos y deberes que pugnan por mani poniendo al Gobierno las providencias que juzgaba convenientes; festarse á un mismo tiempo. Jamas c…</t>
  </si>
  <si>
    <t>Rantrel, Josef Aíáximo Pinto de Fonseca</t>
  </si>
  <si>
    <t>Josef Aíáximo Pinto de Fonseca Rantrel</t>
  </si>
  <si>
    <t>…e e! sentido que debía darse á la palabra ■c- la calle del Olivar á i.° de Junio de iUcg.txrllmo. y Exento. srriri.tí del decreto de 29 de junio de 822 relativo i suministros, ñor D. Josef Aíáximo Pinto de Fonseca Rantrel. =:Joras de y la instrucción sobre bienes del clero, y para pasado mañana Avilez Juzarte, comandante en gefe. Se oyó con particular sa anunció se discutirían los proyectos presentados como ley adicio- tisfacción este parte del comandante en gefe. ji;¡1 á la d…</t>
  </si>
  <si>
    <t>Rascón, Antonio Crespo</t>
  </si>
  <si>
    <t>Antonio Crespo Rascón</t>
  </si>
  <si>
    <t>…clamaciones par prometo el mejor resultado. ticulares. « El cabecilla León se halla sobre Muniesa, y será perseguido vivamente por tropas que he destinado al objeto. Que es cuanto D. Antonio Crespo Rascón, vecino de la ciudad de Sala puedo manifestar á V. E. ocurrido de notable en este distrito de manca, remitió por el correo del 29 de Enero último 4D. Juan mi mando. Zaragoza 2 de Abril de 1823.” Antonio Sánchez, vecino de Madrid, dos certificaciones despa Nov…</t>
  </si>
  <si>
    <t>Rava, Ruperto</t>
  </si>
  <si>
    <t>Ruperto Rava</t>
  </si>
  <si>
    <t>…i traido 1a guerra á nuestros ¡imites. La constancia , el valor y la sión de Legislación. unión deben contrarestarla. Nosotros 1:0 hemos provocado la in Uno sobre la exposición de D. Ruperto Rava p ira que se le vasión ni la división de opiniones entre los españoles, y por lo conceda dispensa de edad para servir oficio de procurador; opi tanto nos vemos atacados sin razón, y nos sobra para tratar de naba se accediese a ello. exterminar á los que quier…</t>
  </si>
  <si>
    <t>Rayneval, Gerardo de</t>
  </si>
  <si>
    <t>Gerardo de Rayneval</t>
  </si>
  <si>
    <t>…ito palabra per palabra caonJ-ro de la muy distinguida orden de Carlos ni Scc.; y S. M. Cris en el convenio de este día. S- ratificará , y las ratificaciones serán cactianísima al Sr. Gerardo de Rayneval, cons jero de E.taJo , su mmi's- gcadas a! mismo tiempo. En fe de ¡o cual ¡os plenipotenciarios res nistro pleiu'pot nciario y enviado extraordinario cerca de la corte de pectivos lo han firmado, y han puesteen ¿f el sebo de sus armas. l'rrsia, cocn. ndador d…</t>
  </si>
  <si>
    <t>Rc-, Gonzalo</t>
  </si>
  <si>
    <t>Gonzalo Rc-</t>
  </si>
  <si>
    <t>…or el comandante de la reserva, el teniente de Santiago este clandestino volcan , cuya hedionda lava, diseminándose en nuestra D. Vicente María de Porto , y el de la n'.'sma clase D. Gonzalo Rc- patria, amenaza infestarla del contagio político mas destructor, y de gnera , del de Pontevedra , rompieron el toque de caja al paso de ata proponer de nuevo los únicos medios de sostener el árbol de la liber que, continuando la columna de mi mando con vivas…</t>
  </si>
  <si>
    <t>Rcat, Josef Maria</t>
  </si>
  <si>
    <t>Josef Maria Rcat</t>
  </si>
  <si>
    <t>…a. Tenientes coroneles, primeros comandantesD. Josef Ramón Solís. ^ Primeros tenientes. . supernumerarios. ...................................................IX Pedro Morell. 16000D. Josef Maria Rcat. D. Josef Bueréns. . D Josef María Craywinckel. D. Juan Cortes...................................J Idem con distino á un cuerpo que esté en D. Pedro Carrillo ele Albornoz. Primer ayudante. ■J campaña, según el artículo 5.0 del expresado deícreto. ............…</t>
  </si>
  <si>
    <t>Rcjrnria, La</t>
  </si>
  <si>
    <t>La Rcjrnria</t>
  </si>
  <si>
    <t>…ialidad, y todos te lomado esta resolución, y la comunicó á ius Cor fueron recibidos con aquella afabilid id que les es cates en los términos siguientes: racte rí-t iva, ”Escjjjo. Sr. La Rcjrnria provisional del reino, El din i5 se reunieron esl 1 aordinariamente las nombrada por las Cortes, no debe resistir sino por Cortea en el templo dr S. Felipe Veri, donde en otro ei tiempo de la traslación de las mismas y del Go tiempo se bribian tenido las sesi…</t>
  </si>
  <si>
    <t>Rctamosa, Julián de</t>
  </si>
  <si>
    <t>Julián de Rctamosa</t>
  </si>
  <si>
    <t>…or su comisionado en estas provincias, sino por un sado consejo ; también ha visto la exposición del teniente gene* pronunciamiento unitormc de la voluntad general de este pue ral D. Julián de Rctamosa, director de U junta del monte pío blo, se apresuran á manif star a V. A. los sentimientos leales militar , reclamando la paga para sus individuos y dependientes, de todos sus habitantes en favor de la justa causa de nuestro como que pertenecen al mismo conse…</t>
  </si>
  <si>
    <t>Re, Antonio</t>
  </si>
  <si>
    <t>Antonio Re</t>
  </si>
  <si>
    <t>…rpo del ejérci pital un escrito , en el cual con motivo de referir lo ocurrido en la llamada comunmente ¡atutía de ¡as Piale ín¡, se hace un to español, autorizado con poderes del general D. Antonio Re elogio tan magnífico como merecido de la milicia nacional vo selló , comandante en gefe de dicho cuerpo , y el mariscal de luntaria de Madrid. Este hecho, y en estas circunstancias, prueba campo marques de Marguerie, comandante de la tercera brisada que va pa…</t>
  </si>
  <si>
    <t>Re-, Ana</t>
  </si>
  <si>
    <t>Ana Re-</t>
  </si>
  <si>
    <t>…en. advertido que en el proyecto que se ha leído no aparecen estas Se mandó quedar sobre lá mesa un; dictamen de la comisión adiciones. primera de Hacienda sobre una exposición de Doña Ana Re- El Sr. Ruiz de la Vega; En efecto la comisión ha tenido al quena dé Salcedo, viuda ikl capitán de navio D. Blas de Salcedo, gunas conferencias; y hallándose presente á una de ellas el Sr. se muerto en irna acción de guerra , pidiendo una pensión para man cretario r…</t>
  </si>
  <si>
    <t>Rea</t>
  </si>
  <si>
    <t>…gar la loza in seme al general de la división, él mérito particular que han contraído en esta glesa. (Gaceta del /jj.) escaramuza el subteniente D.'Ramón Córdoba por su arrojo, el teniente Rea] orden sobre el papel en que se deben forirc." los libros de cuen de caballería de la milicia móvil D. Cárlos Margaría, y el trompeta de ta y razón y de intervención de caudales. (Gaceta del 20.) la misma Isidro López. Decreto de las Cortes en que se adoptan…</t>
  </si>
  <si>
    <t>Real, Decano la</t>
  </si>
  <si>
    <t>Decano la Real</t>
  </si>
  <si>
    <t>…otos, ya en público, ya en secreto, al Altí Gracia y Justicia se ha comunicado al Consejo y Cámara por me simo por la prosperidad de V. M. y de toda su Real Familia; dio del limo. Sr. Decano la Real orden que dice asi: y ahora, después de tributarle las mas rendidas gracias, no halla limo. Sr.: El M. R. Nuncio de S. S. en estos Reinos, resi expresiones en la elocuencia mas sublime con que encarecer el dente en la ciudad de Sevilla, ha participado al Rky…</t>
  </si>
  <si>
    <t>Real, StitciAiio de Hacienda de</t>
  </si>
  <si>
    <t>StitciAiio de Hacienda de Real</t>
  </si>
  <si>
    <t>…altad y decisión, qué puedan Usar pen El Sr. Secretario de Estado y del Despacho con fecha de n del diente en el lado izquierdo de la casaca ó chupa con cinta en corriente dice al Sr. StitciAiio de Hacienda de Real orden lo carnada y blanca por mitad, una medalla circular d&lt;r plata del siguiente: tamaño de la moneda de medio duro, que en el anverso tenga el busto del Re;t nuestro Señor, y al rededor ds su círculo de Excmo. Sr. : Él Ret nuestro Señor, penetrado de los gr…</t>
  </si>
  <si>
    <t>Real, Zulueta la</t>
  </si>
  <si>
    <t>Zulueta la Real</t>
  </si>
  <si>
    <t>…ud, y tanto mayor cuanto la revolución de los dad drl proyecto no se podía decir nada. guardias debía estallar á principios de Julio. Los principales serviles de Habiendo leído el Sr. Zulueta la Real orden de 113 de Junio de España querían también t;s acontecimiento notable local que facilitase lEao, se declaró haber lugas- á votar sobre la totalidad del dictamen. sus planes, y entre tanto se prometían ver entrar en el otoño al egér- Art. i.c » Se reconoc…</t>
  </si>
  <si>
    <t>Reales, Antonio Ma</t>
  </si>
  <si>
    <t>Antonio Ma Reales</t>
  </si>
  <si>
    <t>…de la N, y L. mu»presente, icsutuiijo en conformidad á las disposiciones de benemérita y generosa villa de Irun, restablecido en virLud doV. A., comunicadas por el comisario regio D. Antonio Ma Reales órdenes, siempre fiel, siempre amante de sus Rhyes, sería Segovia , aunque confundido y abrumado con el oneroso apresura á felicitar á V. A. S. por su instalación; y noticiosoencargo que pesa sobre sí , cual es el de gobernar en tan dificidel atentado horrend…</t>
  </si>
  <si>
    <t>Rebestido, Salustiano Cabildo y</t>
  </si>
  <si>
    <t>Salustiano Cabildo y Rebestido</t>
  </si>
  <si>
    <t>…arezcan por si ó por medio diputado; D. Raimundo de Oria, diputado; D. Blas Joaquín de Cere de procurador con poder bastante á deducirle en dichos autos; con aper ceda , diputado; D. Salustiano Cabildo y Rebestido, diputado; Don cibimiento de que pasado dicho término sin haberlo verificado les pa Manuel Ramón Herrero?, secretario. Y que se publique en la gaceta rará el perjuicio que haya lugar. para su satisfacción. Igual declaración se ha hecho con los que compo Por m…</t>
  </si>
  <si>
    <t>Rebina, Josefa</t>
  </si>
  <si>
    <t>Josefa Rebina</t>
  </si>
  <si>
    <t>…Avila, Rívadeneira &amp;c. Habia después el tra después fue adjudicada ai D. Nicolás Ortiz, sucesor de su di ductor de la singular actividad con que de 10 ó 12 años á esta funta muger Doña Josefa Rebina, con la carga y responsabilidad parte se hacen crecidas reimpresiones de versiones antiguas cas* fianza de los citados 48,259 rs. en favor de dichos acreedores, teilanas del Nuevo Testamento, algunas de autores no calóñ para qu^ dentro del téimino preciso y p…</t>
  </si>
  <si>
    <t>Recaída, Marina de</t>
  </si>
  <si>
    <t>Marina de Recaída</t>
  </si>
  <si>
    <t>…síndico de San go la satisfacción de anunciar á V. E. que el comandante general del Francisco de Tolosa : otro ds 1 31,25o , situación id. , en cabeza de Jorge Ibañez de Recalde y Doña Marina de Recaída , su muger: ono8.u distrito y el brigadier Manso han ocupado á Mora en ia mañana del 29, con poca resistencia por parte de los defensores. Los facciosos de 330,493, situados en el primero 2 por 100 de puertos y diezmos de se ha.¡aban eí 28 en Caíaceite, y par…</t>
  </si>
  <si>
    <t>Recamosa, Julián de</t>
  </si>
  <si>
    <t>Julián de Recamosa</t>
  </si>
  <si>
    <t>…i después manchó ei menor desorden su patriótico gorio Rodríguez; para las de feos de marina á los tenientes gene pronunciamiento; pues aunque el puebto en el fervor pr m-ro rales D. Julián de Recamosa y D. Diego Contador; para la de manifestó su resentimiento contra los pocos descamados que político á D. Francisco Antonio Diz; para la de intendente á abrazaron con alguna exaltación el anterior sistema , cedió dó 1). Josef ds Ansa; para las de togados á D. Guillermo de Var cil…</t>
  </si>
  <si>
    <t>Recerra, Gómez</t>
  </si>
  <si>
    <t>Gómez Recerra</t>
  </si>
  <si>
    <t>…ber inr-o*.-- -alen te que hacia mas llevadero el sacrificio de qu-se tratabi. en aprobar este articulo. El Sr. Rodríguez Est-ma: No me hallo conlorme con la parte del Ha dicho el Sr. Gómez Recerra , que acaso podrá no toc«r i un pue artículo que trata d que los sorteo, deban verificarse por los yírs de ios blo en los primeros sotteós que se han d; celebrar tod- s los años para batallones; porqueá mi emsnd-r este método Pene grani-s inconve licenciar un…</t>
  </si>
  <si>
    <t>Recio, Valentín</t>
  </si>
  <si>
    <t>Valentín Recio</t>
  </si>
  <si>
    <t>…o que sigue : Señores que los absolvieron en esta parte 1 D. Antonio Puigblanch, s&gt; Habiendo procedido las Cortes extraordinarias á la renovación de D. Francisco Martínez Marina , D. Valentín Recio, D. Nicolás Here su presidente, rice-presidente y secrstario mas antiguo, que Jo era el dero Mayoral y D. Loienzo Lambía. Sr. D. '•*;-tin Serrano, han salido electos pira presidente el Sr. Don Señores que los declararon sediciosos: Villanueva y Rives. Francis…</t>
  </si>
  <si>
    <t>…i inaccesibles despre-, puesto de los Sres. siguientes: D- Nicola, H«edcro y Mayoral , Don ciando el fuego- El teniente coronel Barco , con el resto de Coraposte- Tomas Torresano, D. Valentín Recio, D. Lorenzo Lam'oea , D. Jai la, siguió por la derecha á flanquearlos sufriendo un fuego terrible, me Ruiz Abreu, D. Manuel González del Campo, D. Luis de Mata se les persiguió vivamente, y solo faltó media hora de dia para que Atauio, D. Joaquín Manrique y M…</t>
  </si>
  <si>
    <t>…o ria para tomar el flanco al enemigo ó anteponérsele en su marcha ; y compuesto de los señores siguientes : si continua--; hacia Logroño espero que encontrará detención , pues an Don Valentín Recio , D. Marcos Menezo , D. Julián de Furní'i, ticipé avisos i las autoridades de la orilla del Ebro , y á poco que le D. Antonio Gamonal, D. Francisco Luciano Domingu-z Vtllar.uivj, entr. tengan será sin duda alcanzado y deshecho. Estoy esperando parte D. Santia…</t>
  </si>
  <si>
    <t>…ó en el lirismo mero, D. Nicolás Alcrsz», D. Juan Luqui:, D. Joaquín Manrique , Don puerto ei 14 dei siguiente mes; y enterado su comandante el capúan de Juan Fernandez Casariego, D. Valentín Recio y D. Juan Castel. fiaeara D. Manuel de Cañas de la tranquilidad que gozaba la isla, y suer Habida la conferencia, se decidió por mayoría »haber lugar á la forma te desastrosa que había tenido la indicada expedición, propuso á las autori ción de causahabiendo disentido los Sre…</t>
  </si>
  <si>
    <t>…os convenientes para el cobro de dicho dividendo, que se ira ve D. Vicente Santiago Les. D. Josef M.re'o. rificando á medida que baya proporción de fondos. D. Manuel Loprz Concia. D. Valentín Recio. Juicios de jurado. D. Pciayo Zorrilla. D- Eugenio Aravaca. D. Francisco Aceval y Arratia. D. Jtisr.f P.rez Atórales. EISr. D. Francisco de Iribarren denunció en 8 del corriente un ar D. Francisco López Cotana. D. Manuel E.teban Caula. tículo que empieza:» Va…</t>
  </si>
  <si>
    <t>Redactor</t>
  </si>
  <si>
    <t>…s suplican la publiquemos en nues Oreja. = Cehegin. = Castellón de Ja Plana—Canals. =Daimiel— tro periódico; dice asi: Espinosa de los Monteros. — El Villar de Alava. = El Real va Señor Redactor: Quisiéramos ser capaces de alabar digna lle de Carriedo. = Espinilla. =:Enguera.= Ferrol. = Fresno-rio mente al Monarca, que la divina Providencia ha vuelto al tro Tirón. = Fuente el Fresno. = Gibraleon. z= Grazalema. = Horna- no de S. Luis para destruir par…</t>
  </si>
  <si>
    <t>Redondo, Juan</t>
  </si>
  <si>
    <t>Juan Redondo</t>
  </si>
  <si>
    <t>…nfinados a Ceuta. Pasaderos. D. Joaquín Seoenc, espitan graduada de teniente coronel, con su esposa y na asistente,mandaba D. Miguel da Céspedes-, compuesta da 35 hombres dií caba D. Juan Redondo, primer cirujano de la armada; Fr. Francisco Jimé llería j siete de á pie, incluso el gefe. nez; Doña Antonia Jiménez; D. Manuel Belticnate , con su rspo^c, Murcia 17 de Marzo. una h’’B y ani criada; D. Ver-tura Alisas , D. Josef Antorio Bimof D. Juan Antonio…</t>
  </si>
  <si>
    <t>Redro</t>
  </si>
  <si>
    <t>…rovincia go bre tina Regencia provisional, compuesta fiel Sr. di bernador de la plaza entregó las llaves de cuta ai Reí/ putado ;i notes D. Cayetano Valdes , presidente ; del y el Sr. D. Redro de La Puente, alea Lie constitucio Sr. D. Gabriel Ciscar, consejero tic listado; y del nal de Cádiz, dirigió á S. Ai la alocución siguiente: Sr. U. Gaspar Vigodet, también consejero de Esta ..Señor : El Ayuntamiento constitucional de, Cádiz tie do; la cual por el tiempo d…</t>
  </si>
  <si>
    <t>Regadera, Domingo Sánchez</t>
  </si>
  <si>
    <t>Domingo Sánchez Regadera</t>
  </si>
  <si>
    <t>…an Ca todo acierto y prosperidad en el desempaño de sus altas funcio pí st rano Alarza y Bravo, es Francisco Román de León, dipu nes para bien tíe la Monarquía. tado. = Licenciado D. Domingo Sánchez Regadera. = Licencia n Madrid 5 de Julio de i82 3.=Sermo. Sx.=Por Ciudaddo D. Francisco González Picado. = Josef Valerio Giraldo. zs Real sus comisionados=Tomas Jiménez Coronado.=Josef An Joaquín Galan.m Antonio Vallejo. = Julián Ponce dé León, tonio Arenas.” secretar…</t>
  </si>
  <si>
    <t>Regañón, SanLiago López</t>
  </si>
  <si>
    <t>SanLiago López Regañón</t>
  </si>
  <si>
    <t>…Cortés, Secretario.” cia que acaba de recibir de haber sido puesto en libertad con su augusta Esposa, y Real Familia de la cautividad en que se halla El Duque de Castro-Terreno y D. SanLiago López Regañón, ba por la perfidia mas atroz. Diputado de Millones, ambos Regidores perpetuos de la ciudad „E1 Ayuntamiento, Señor, no encuentra expresiones para de Zamora, felicitaron á o. M. el sábado 2 2 de Noviembre con explicar su alegría por tan fausto acontecimiento,…</t>
  </si>
  <si>
    <t>Regas, Antonio</t>
  </si>
  <si>
    <t>Antonio Regas</t>
  </si>
  <si>
    <t>…posible las márge grado. En su vista se reunió el jurado, compuesto de los Sres. siguientes: nes á fin de que contenga lo mismo que si se publicase en papel de D. Antonio Gamonal, D. Antonio Regas, D. Jaime Ruiz Abreu, mayor marca; y se darán ademas todos los suplementos que se crean D. Juan Isidoro Perez, D. Joaquín Manrique y Manrique, D. Josef necesarios para no privar al público de cuanto se considere interesante. Castel, D- Juan de Luque Solano ,…</t>
  </si>
  <si>
    <t>Regato, Josef Manuel de</t>
  </si>
  <si>
    <t>Josef Manuel de Regato</t>
  </si>
  <si>
    <t>…lla parte el 18 de Abril: el diario constituo'oLa cotnibion de Casos de responsabilidad, habiendo examinado nal la publica en los términos siguientes__a.m ena 22 de la soliotud de D. Josef Manuel de Regato, en que se quejaba Abrí1__ »&gt;Et Sr. gefe político de esta provincia recibió ayer ro de la conducta que con él había observado el gefe político de esta che dos oficios del de Gerona , de fechas del 19 v zo del cor p:. vinraa por haberle mandado salir de esta c…</t>
  </si>
  <si>
    <t>…do para la mejora de la renta la cual en su opinión es mo sobre ios procedimientos del gefe político de Sevilla contra susceptible de aumentos, y de rendir en el próximo año 40 mi D. Josef Manuel de Regato, mandándole salir en 14 horas de llones . siempre que las Cortes se dignen aprobar los artículos si esta ciudad. guientes. A la comisión de Reemplazos se mandó pasar una consulta i.° El nuevo reglamento y tarifas que se acompañan. del Sr. secretario de la Gue…</t>
  </si>
  <si>
    <t>Regencia, Manuel de S. A. S. la</t>
  </si>
  <si>
    <t>Manuel de S. A. S. la Regencia</t>
  </si>
  <si>
    <t>…lo Rey. Noticioso en la madrugada del 11 del corriente el regi que participo á V. K. para que se sirva elevarlo al conocimiento dor encargado de la Real jurisdicción de esta villa D. Manuel de S. A. S. la Regencia dei Reino para su satisfacción, y que ds Moya que en su término se hallaba el brigadier D. Pedro vea que si 40 vecinos han podido destrozar 87 soldados de línea &lt; qué so ha Ramírez, ex-comandante general de la titulada provincia de con un general i la cabeza…</t>
  </si>
  <si>
    <t>Reggio, Duque de</t>
  </si>
  <si>
    <t>Duque de Reggio</t>
  </si>
  <si>
    <t>…es, quedándome solo con uña 'pe la formación de este y demás cuerpos Realistas. queña guardiajen mi alojamiento. Malogrados asi los trabajos,7 * Se presentaran también al Excmo. &gt; Sr. Duque de Reggio, combinaciones de los actores de esta trama, y desvanecidas lai' Comandante en gefe del primer cuerpo del ejército francés, esperanzas que concibieron iüe que este ejército sostendría sus quien los recibió igualmente con demostraciones especiales de empresas,…</t>
  </si>
  <si>
    <t>Reggio, Mariscal Duque de</t>
  </si>
  <si>
    <t>Mariscal Duque de Reggio</t>
  </si>
  <si>
    <t>Gaceta de Madrid n.º 903 (extraordinaria)</t>
  </si>
  <si>
    <t>Núm. &lt;pOn {t cuartos.) &amp;SS GACETA EXTRAORDINARIA DE MADRID 9HI JUEVES 1 DE OCTUBRE DB 1823. ARTICULO DE OFICIO. El Sr. Mariscal Duque de Reggio acaba de participar á la Regencia que ha recibido la confirmación de las noticias dadas ayer al público, y que para solemnizar tan feliz acontecimiento, ha mandado que hoy al me dio día se haga una salva de xoi cañonazos. Y aunque la Regencia tiene las mismas…</t>
  </si>
  <si>
    <t>Regis, Juan</t>
  </si>
  <si>
    <t>Juan Regis</t>
  </si>
  <si>
    <t>…s Izqui :rdo , D. M./uet de Nájera , D. Lorenzo Lambea, se apoderan del héroe. La fluidez del verso , los rasgos de historia , en I). Juan Rodil,-nf/Guillen , D. Vicente Segurado, D. Juan Regis que se hace un» ligera reseña de nuestros Beyes desde Carlos v, y los de Castro y D. l adeo P.-rez. altes principios de filosofía y política que brillan en toda la heroida, Jlabú!.: Ja conferencia, se decidió por unanimidad haber lugar á la la hacen mas recom…</t>
  </si>
  <si>
    <t>Regís, Juan</t>
  </si>
  <si>
    <t>Juan Regís</t>
  </si>
  <si>
    <t>…presente la Real orden de 2 2 de Mayo de Excmo. ayuntamiento de la heroica viila de Madrid el jura 181 c,, ha tenido á bien resolver: do de calificación, compuesto de los señores D. Juan Regís i.° Todo militar que se halle destinado á los ejércitos de de Castro, D. Manuel Cunehüius , D. Lorenzo Larnbea, Den operaciones ó reserva, y desee asignar alguna parte de sus habe Celedonio Martínez, D. Mariano de Goicochea, D. Baltasar res á sus padres , mug…</t>
  </si>
  <si>
    <t>Regnaud</t>
  </si>
  <si>
    <t>…e los enemigos que conspi copia conforme, re El mariscal de campo, comandante interino raban á nuestra ruina. No dudamos un momento que la divina de la décima división militar, el barón Regnaud. misericordia ha oido ios clamores de las alñtas justas; y con __Voy i divertiros con una nueva hazaña del Sertorio napoli duciendo á V. A. R. á nuestro territorio, deja á su discreción tano. Antes de ayer 5 del corriente las tropas constitucionales et llevar…</t>
  </si>
  <si>
    <t>Regó</t>
  </si>
  <si>
    <t>…boa 3 2 de Febrero. se supieron los sucesos de Braga ; todos se ofrecen á dar la vida en caso En la sesión de Cortes del 24 se leyeron ios articules del dicrzin-n de necesario.'El general Regó vió el testimonio de estaverdud en la oferta que la comisión sobre las proposiciones del br. Maura, y después de alrum le hizo todo el mundo de sus fuerzas y bienes para cuanto pudiera ocurrir. discusión se aprobaron como sigue: De Peñajicl á 25 dicen : Art.…</t>
  </si>
  <si>
    <t>…nducta pública de San ellos se ve que en la provincia de Miño se había restablecido el orden, Martin, y que no ignoráis, cabe tan monstruosa credulidad: de otro en términos que el general Regó estaba dispuesto para marchar el día modo ¡cómo se ntr.esr ;-¡a á publicar que creia segura vuestra indepen 28 de Febrero con todas las tropas de su mando á las fronteras de la dencia , no alcanzando el famoso poder de sus armas mas que á ia pro provincia de…</t>
  </si>
  <si>
    <t>…t absoluto. de Braga y Guimaraeas; y srbiendo que se hallaban defendidos por las » Portugueses: En los tiempos mas felices de esta monarquía no era tropas , al inmediato mando del general Regó, se dirigió á marchas absoluto el poder de Jos Sres. Reyes mis predecesores; si: rnpre buho forzadas al Pezo de Regoa , con el fin de pasar el Duero, y dirigirse Cotíes, donde el Rey se insttuia de la voluntad de los pueblos. Yo 4 Lamego. Empezó á embarcar al…</t>
  </si>
  <si>
    <t>…y Excmo Si. .• De orden de S. M. pongo en noticia de V. E. legumo del mundo por ser puesto por la libré y espontánea voluntad para que se sirva manifestarlo á las Cortes , que el general Regó da de un pu bio generoso y grande , ya estará en completa seguridad, y paite desde Mondim con fecha del y de que informado de la reunión adonde 110 alcancen las huestes de los tiranos, ni las maquinaciones de de los facciosos sobre Villa-Real y Regoa , había…</t>
  </si>
  <si>
    <t>…da comunicación con ia provincia Domingo María Vila, Bruno Petrus, Joaquín Busquen, Francisco insurreccionada. Mota, Cayetano Galup, Francisco Aliés, secretario. El dia 9 entró el general Regó en Villareal con los batallones de Cádiz 19 de Marzo. cazadores núms. 7, 9, so y 12 , y los de infantería de línea núms. 9, El Sr. cónsul de los Países -Bajos en ia provincia de Andalucía me if 7 )i y varios cuerpos de milicias, los facciosos enviaron un par…</t>
  </si>
  <si>
    <t>…e maquinaban ocu.lamente, perdida su esperanza , • an uni la Constitución 1 do en gran parte de nuestro suelo. El egército ha llenado sus íi as por Cor.c inda 'a acción, volvió el general Regó á Amarante con los tres sorteos consecutivos, eg.cuiados con un orden admirable y con una prisioneros, y fue llevado en hombres hasta el cual te! in medio de vi actividad Insta ahora desconocida, be han reemplazado los batallones de vas V aclamaciones. Aquel…</t>
  </si>
  <si>
    <t>…813.=: El comandante general después de haber relevado las guardias de la plaza con la nueva Antonio Quirogá. compañía de milicianos voluntarios de reserva. se formó una co— __ El general Regó, comandante de las fuerzas destinadas í lumnita de 200 hombres, poco mas ó menos, y á las diez em obrar contra los facciosos de Portugal, se ha puesto de acuerdo prendimos ei movimiento con dirección á Pinos, punto de su re con e! comandante general de este d…</t>
  </si>
  <si>
    <t>…colocados en el elevado puesto que ocupabais Noticias de nuestro egército constitucional. en el mundo. «¿Y sufriréis tal ultrage y tal envilecimientol Franceses, Por un oficio del general Regó del z del corriente en Villanuestras desgracias y nuestra degradación casi han llegado ya á real consta que un destacamento de 300 hombrea de nuestras</t>
  </si>
  <si>
    <t>…uedando en esta parte escarmentados los fac mitiéndose al dicho del ministro de lar Guerra, que para el 9 ciosos. EIj hallado en los almacenes dos piezas de á tres con to debió el general Regó tener reunidas'todas sus tropas, y em do su servicio corriente. Dios guarde á V- E* &amp;c.—Joseí Ro prender de firme la pacificacion.de la provincia de Tras-dosdrigue? de Lima, mayor comandante.” montes; añadiendo que.¿ según aquel ministro , seria esto obra — C…</t>
  </si>
  <si>
    <t>…ución de facciosos. vasen cüanto pudiesen á parage seguro , porque iban a entrar la» Excmo. Sr.: »Sobre la marcH tcneo el susto dé decir á tropas constitucionales del ejercito del general Regó , las cuales V. E., que ayer á cosa de las cuatro de la tarde fue deshecha en les persuadió que llevaban orden de saquear el pueblo; y á la ver «ste pueblo y en el de Süleda la facción de Cotobád por estas dad que lo merece bien; pero los comiitiicionalcs son…</t>
  </si>
  <si>
    <t>…a la persecución de los enemigos de las saportes para ti consulado de Barcelona, adonde luego debe pasar. dos naciones. .... Trctnp ,7 de Abril. Consta por un oficio , dirigido al general Regó por el gefe El espíritu público dé esta villa y de los pueblos inmediatos político de la provincia de Orense, que el comandante de la tro se rectifica y mejora todos los días. Muy á menudo pasan r-or pa española había ofrecido al brigadier Pamplona ios med.os…</t>
  </si>
  <si>
    <t>…danos sin ser en benéfic o de la causa de la patria.’ Nótlci.u 3c nntsiró ejercito cor.ílitucional. " «Hemos visto perecer en la capital y en los departamentos á Por un oficio del general Regó del 2 del corriente en Villapersonas eminentemente francesas, y cuya existencia estaba ga - real consta que urt destacamento de "300 hombres de nuestras tro rantida por los mas sagrados tratados. mpas se J.ri apodcrn¿o_4e Pezo da Rogoa, haciendo prisioneros á…</t>
  </si>
  <si>
    <t>…ociedad, y cumplir con los deberes de un patricio honrado. nos ís muy continuada y frecuente/En el mismo dia entró el ,, Recibid nuestros votos y nuestro reconocimiento por la gra general Regó en dicha Puebla persiguiéndole, compuesta su di ta memoria que os merecemos. Recibid la expresión sincera de visión de infantes y i9 caballos, animados del mejor espíritu. nuestros corazones; confiad en la Providencia y en U justicia de El 16 salió íl rebelde…</t>
  </si>
  <si>
    <t>…rá de separarse de la capital y trasladarse a otro pun en España con qO hombres por la Puebla de Sanabr.a, y que el to, con objeto de llenar sus atribución.s y deberes , dirieidos general Regó 1- persigue con 1 ¿3; pero ni los cuatro ni ios do principalmente á la defénsa nac onal; asi pues, en este supuesto ce parecen probables. El rebelde había reunido las tropas si todo miliciano ó patr.ota que quiera acompañaría en su marcha guientes : para prot…</t>
  </si>
  <si>
    <t>…taban implicadas en ella hasta personas 1200 infantes, unos 5,00 caballos, y añaden que ir piezas de de alta esfera ; por lo que toca á la marcha de Víctor no se du artillería. El general Regó le persigue con ~0 infantes y mil ca da , v es mas probable que fuese la causa el no ser grata su pre ballos , y ambos han pasado el Esla. El general Morillo ha ido á sencia á los ultras; pero se quiere paliar este acontecimiento con salir al encuentro á Silv…</t>
  </si>
  <si>
    <t>…seis piezas de artillería , y la deserción de los milicianos es muy con el pretexto de que no se han presentado en la requisición; continuada y frecuente. En el mismo dia entró el general Regó prevengo, sin perjuicio de obrar contra los que ya han delinqui en dicha Puebla persiguiéndole, compuesta su división de ~0 in do , que será tratado como ladrón público cualquier individuo, fantes y i0 caballos, animados del mejor espíritu. El 16 salió sea ó…</t>
  </si>
  <si>
    <t>…dor á la cruz de S. Fer neral Regó que se habia batido con los facciosos portugueses: el nando. Lo que noticio á V. S. de Real orden para los efectos 25 entró en aquella ciudad el general Regó, y se adelantó cinco convenientes. Dios guarde á V. S. muchos años. Alcázar de Se leguas; y no pudiendo alcanzar á los facciosos porque estaban á villa 4 de Mayo de 1823. =:Pedro de la Barcena. := Sr. coman ió leguas de distancia, se volvió atras. El 26 y 27…</t>
  </si>
  <si>
    <t>…u cumplimiento, y dispondréis se Mediante esta declaración, y siendo tan críticas las circuns imprima, publique y circule—Está rubricado de la Real mano. tancias , la retirada del general Regó á Portugal no parece ser =Alcazar.de Sevilla á 3 de Mayo de 182-3.=A Pedro de la una de las providencias que mas debían contribuir al objeto que Barcena. se proponen las dos naciones. Sin embargo, esperamos que en es ta noticia haya alguna otra circunstancia…</t>
  </si>
  <si>
    <t>…halle su cuartel genera!Por noticias posteriores consta que las tropas que guarnecían las pro vincias de Tras os Montes, Miño y partido de Porto pertenecientes á la di visión del general Regó se decidieron luego por la misma causa. De este, general no hay noticiasDicen por noticias con carácter de oficio , que toda la restante tropa de Lisboa ya se había reunido á S-A. S. en Samarem: el regimiento de in fantería núm. 18 trajo consigo la sagrada Pe…</t>
  </si>
  <si>
    <t>…ña y S. Sebastian. Os suplico, ” gabinete ingles con motivo de la entrada en España de las S.r. embajador, os sirváis manifestarlo á vuestro Gobierno, y le »tropas portuguesas dei general Regó; y se supone que haya hagais presente que respetando los principios del derecho marí » sido la respuesta que bien pueden rechazar las fuerzas frantimo, los buques de cualquiera nacían que intentaren introdu * cesas hasta sus fronteras sin compromiso de los tr…</t>
  </si>
  <si>
    <t>Regó, Bernardo Josef de</t>
  </si>
  <si>
    <t>Bernardo Josef de Regó</t>
  </si>
  <si>
    <t>…nte que se nombrare, de D. Juan Manuel del Campo, pidiendo dispensa de edad para para que en este intermedio pueda suspender dichas medidas si Jo administrar sus bienes, y otra de D. Bernardo Josef de Regó, creyese conveniente á la causa pública. pidiendo la abolición del derecho de décima. Continuó la discusión del reglamento para la dirección de Estudios. La comisión de Instrucción pública en vista de la solicitud de D. Santos Miguel García, opinaba que debía…</t>
  </si>
  <si>
    <t>Regó, Luis do</t>
  </si>
  <si>
    <t>Luis do Regó</t>
  </si>
  <si>
    <t>…tandarte de la rebelión, por Jas tropas constitucionales to haya entrado en las cajas y su salida__ Los comandantes generales ds portuguesas al mando del Excmo Sr. general en gefe D. Luis do Regó distrito cuidarán , al exigir las multas , de avisar al intendente de la Barreta-, y,aunque fidedignas y circunstanciadas las tales noticias, ño provine.» respectiva para que las contadurías ds ellas ó intervenciones me decidí á publicarlas por si la desgraci…</t>
  </si>
  <si>
    <t>…cia inminente la invasión: asi es qbe ayer anunciamos el parte de Gradefes, á causa de venir persiguiéndole el digno desgraciado suceso de los nacionales de Laredo , y la sorpresa general D. Luis do Regó con su brillante y leal egército por de los habitantes por facciosos venidos por mar en trincaduras; tugués , el cual entró aquí el lunes por la mañana; y habiendo y hoy aseguran otros haberse salvado los nacionales, pasando en yo recibido esta noticia en Ven…</t>
  </si>
  <si>
    <t>Reída</t>
  </si>
  <si>
    <t>…arte de los milicianos quede hub: sen corr-spon- los cuerpos una división de paitidos. dido, reemp azándoia nuevamente , soy de parecer que el sorteo se vit Ha dicho igualmente el Sr. Reída que pueden despedirse los de ma rifique no por batallones como la comisión propone , s-no entre los yor edad ; pero yo no encu-otto Tazbn alguna para esto, y acaso con milicianos de cada pu-b'o , i fin de que haya igualdad en .1 suerte. vendría mas i los pu t…</t>
  </si>
  <si>
    <t>Reilio</t>
  </si>
  <si>
    <t>…por mitad la plena propiedad el actual poseedor y su in Sevilla por su falta de salud. mediato sucesor; y en caso de no estar llamado otro sucesor hábil Se leyó una pioposc.on del Sr. Reilio, relativa ¿exigir la res pertenecerá la mitad á ios que deberían haberla si el testador hu ponsabilidad á los svcretarios del EK'spucho, la cual se mandó de biese fallecido abíntejta to.” volver i su autor por no venir acompañada de los comprobantc-s Ei Sr. P…</t>
  </si>
  <si>
    <t>Reillo</t>
  </si>
  <si>
    <t>…de acarrear males terribles ¿ irreparables, que, por la natu- Se leyó y aprobó el acta de la anterior. * raleza misma de las cosas , gravitarían mas directamente sobre la Fran- El Sr. Reillo: Ayer preguntó el Sr. Zulueta si se hsbia recibido ea „c;a." ¡perezcan los que los hayan provocado! ¡ Acose un remordimien t secretaría una oxposícion de varios ciudadanos de C.diz , qu. jumóse - infracciones de Constitución del actual jefe po'ítico : el *r.…</t>
  </si>
  <si>
    <t>…dad que hu paña libre con armas V dinero. También incluyen el bando pu biese dado aquella providencia. blicado en Bilbao por los facciosos, de que hablaremos en uno A petición del Sr. Reillo se leyó el art. 4.0 del título primero de los próximos números. de la Constituc:on. El Sr. Canga manifestó que deseaba saber sí el cj.n y io.° dis Ejército de reserva: Profanado nuestro territorio por las tro trito estaban declarados en estado de guerra. pas…</t>
  </si>
  <si>
    <t>…creto de la llamada Regencia de Madrid inserto Se leyó el acta de la sesión anterior, y habiendo pedido la pa en Ja gaceta de 22 del corriente, mandándose teponer los con labra el Sr. Reillo, y tratado de manifestar su opinión contraría ventos suprimidos, decía que reputaba por cierto el atado de á lo acordado ayer por las Cortes ( 1 ) con respecto al sueldo creto, y lo ha visto confirmado por el edicto del intruso ar un que deben disfrutar los e…</t>
  </si>
  <si>
    <t>Reina, Antonio Perez Duran-----Parada la</t>
  </si>
  <si>
    <t>Antonio Perez Duran-----Parada la Reina</t>
  </si>
  <si>
    <t>…e autoridades sin número institui las órdenes del comandante del segundo batallón de la nacional das en los cuatrocientos artículos dr que se compone (y); en fin, local de Sevilla D. Antonio Perez Duran-----Parada la Reina, una Carta de esta clase no podría hallar po: defensor suyo á nin Infante D. Carlos y milicia nacional local de Madrid; el demás gún publicista ilustrado, ni á ninguno de aquellos hombres que servicio y patrullas lo detallado.__Hospital y provisiones, Nu— sab…</t>
  </si>
  <si>
    <t>Reina, Ba</t>
  </si>
  <si>
    <t>Ba Reina</t>
  </si>
  <si>
    <t>…activa de Igualmente se aprobó el dictamen de la comisión de Guerra Madrid, Alcalá, Guadalajara, S. Clemente y Talavera de la sobre que se admitiese la propuesta hecha por el Sr. general Ba Reina se formará una división provisional, que mandará el bri llesteros á D. Josef Sánchez Fondo para su ayudante general. gadier D. Antonio Piquero. La comisión de Guerra era de opinión que no se necesitaba Art. 7.0 El batallón ligero número i(5, mandado formar de…</t>
  </si>
  <si>
    <t>Reinoso, Félix Jos-f</t>
  </si>
  <si>
    <t>Félix Jos-f Reinoso</t>
  </si>
  <si>
    <t>…ez, liste zabal, D. Juan Josef de! Cubillo, D. Pedro Antonio Carrera , IX Pru dia ha sido uno de los mas g (.rieses que pueden darse á la nación es» dencio Hetnar.'d.z Sta. Cruz , D. Félix Jos-f Reinoso, IX josef Juan paño'ri , no por el número con qu: combatieron, sino por las fatales de Puyad-, D. Antonio de CMazina, D. Rafael María Gataicochea y consecti-ncia, que s&gt;r pud; ran haber experimentado en este pais, si por IX Josef de Resust3, por unanimidad de…</t>
  </si>
  <si>
    <t>Reinoso, Félix Josef</t>
  </si>
  <si>
    <t>Félix Josef Reinoso</t>
  </si>
  <si>
    <t>…, y como til se le formará causa inmed atañiente. puesto de los Sres. D. Salvador Gazron de bala/ar, D. Francico 4.0 Se reproduce en todas sus partes el bando publicado por Puga , D. Félix Josef Reinoso , D- Agustín de Goicovchea , .* hm el Excmo. ayuntamiento de- esta capital en 11 de Junio de 1822, Josef María Villaianda, D. Juan F’aut-slu Vea-Murguía, Don por d cual se prohibió la venta de papeles públicos por las calles Juan de Fuentes, D. Fernando de la…</t>
  </si>
  <si>
    <t>…error en política, si sepa Pascual de Guillenea, D. Josef María Miranda, D. Salvador rando su causa de la de los españoles creyesen poder conservar su de Oria, D. Matías Olave, y D. Félix Josef Reinoso, para ca libertad al mismo tiempo que zozobraba Is nuestra. Los intereses lificar un artículo del Constitucional de Cádiz de 26 de Febrero constitucionales de ambas naciones están íntimamente ligados, y de este año , que principia » la facción que capitaneaba…</t>
  </si>
  <si>
    <t>Reinovalor, Alonso Díaz Navarrete y</t>
  </si>
  <si>
    <t>Alonso Díaz Navarrete y Reinovalor</t>
  </si>
  <si>
    <t>…pañoles, y que también proceden de dicho privilegio: otro de 96,250 mrs., en al fin vencieron, porque la noble causa que defendían les infundía un alcabalas de Madrid, y cabeza de D. Alonso Díaz Navarrete y Reinovalor mas que humano. so: otro en tas misma* alcabala* y 1* propia cabeajfe¿de * i5&gt; mrs.. cu» En nuestros dias hemos visto repetido por dos veces este milagro de 280,926 mrs., en alcabalas deSieza- ” cabeza dsjOoíia Ana de Reide la libertad. Los habitantes de los…</t>
  </si>
  <si>
    <t>Relacione, Je</t>
  </si>
  <si>
    <t>Je Relacione</t>
  </si>
  <si>
    <t>…el tos ver sigilo, v afortunadamente &gt;ait la Iglesia , inlerin se remiten al agente otra- lio l.i de esta ciudad al.» once de la noche del :£j , »m que &gt;e hubiese misma sesión ei ministro Je Relacione» J.jo: 'Que la indepen hecho notable la reunicn Je U trepa. Esta &gt;e ccmpoiy» de las</t>
  </si>
  <si>
    <t>Relaciones, Juan María de</t>
  </si>
  <si>
    <t>Juan María de Relaciones</t>
  </si>
  <si>
    <t>…uque.” (ZVnv-Times.) El Rey nuestro Señor, atendiendo á los dilatados buenos D. Bernardo Monteagudo, que era el año pasado Ministro servicios del Capitán general dé lá Real Armada D. Juan María de Relaciones exteriores de la nueva república d,el Perú, ha per Villavicencio, y á las constantes pruebas de amor y fidelidad que dido su destino, y ha publicado después lina memoria política, tiene dadas á su Real Persona, se ha servido nombrarle Director en la que inten…</t>
  </si>
  <si>
    <t>Remeto</t>
  </si>
  <si>
    <t>…do su encargo. perdamos de vista, señor , que el Gob'erno de Eot puede r.o ser el de Ss continuó la discusión pendiente, y se levó, i petición del mañana , y por consiguiente m el Sr. Remeto , ni n.nguno de ios síAn fió! -s, el art. toj de la Constitución. ñores diputados que impugnan el articulo , negara la conveniencia de El ir. Marau: El principal argumento de los que han hecho tos que en proporcionar a! Congreso su segundad mtet rengan smüv.d…</t>
  </si>
  <si>
    <t>Rendan, Josef</t>
  </si>
  <si>
    <t>Josef Rendan</t>
  </si>
  <si>
    <t>…les Regó y Pamplona, proba División de caballería.__ Comandante general el brigadier blemente á dar cuenta de la conducta que han tenido en la últi D. Santiago Wall : estado mayor D. Josef Rendan, D. Feli ma campana.”__El general Pego avisaba el 18 que era proba pe Mendicuti. ble que los facciosos portugueses, que desde Zamora iban mar Cueipos de que se compone----- Regimiento de Farnesio, rechando hacia Salamanca , penetraran en Poifr: ’.l por la par…</t>
  </si>
  <si>
    <t>Rendan, Jowf Can.do y</t>
  </si>
  <si>
    <t>Jowf Can.do y Rendan</t>
  </si>
  <si>
    <t>…es ira una c-itificacion de crédito sin ínteres importante 483 1 rs. y 5 man. de nive ai se, en cuanto lo permita la naturaleza de estos ramos, con Es vediaes vu., perteneciente á D. Jowf Can.do y Rendan , que se lia! a re principios generales que quedan indicados , y siempre bajo el centro conocida con el núm. 39,918 ,y tomada la razón de él al folio 99, común de la administración general militar. 1 b*,&gt; 3.“ inicial. La persona en cuyo poder ex sta ó s pt su…</t>
  </si>
  <si>
    <t>Rengifo, Josef María del Castillo</t>
  </si>
  <si>
    <t>Josef María del Castillo Rengifo</t>
  </si>
  <si>
    <t>…del núm. 10 del periódico tilidarey, por lo que suplico á V. S. I. se digne sacar mi despacho, el de do el Patriota español, se convocó por el Sr. alcalde primero D. Jo mi hermano D. Josef María del Castillo Rengifo y el de D. Eus sef Pío de Molina el jurado , compuesto de los Sres. D. Manuel Ga taquio Babilonia, pues somos acreedores y dignos de toda merced por llego , D. Simón González Yuste, D. Jaime Ruiz Abren , D. Joa lo muy fieles que somos a la corona de nuestro a…</t>
  </si>
  <si>
    <t>Renito</t>
  </si>
  <si>
    <t>…mitió á discusión. Jl. fallaba niu palabra, pues qne decía el acta que Ei Sr. Gómez Becerra impugnó la proposición , v í&gt;. M. elijo que no saldría de nr/iti, v el Sv. presiden- el Sr. Renito fue de la misma opinión que ei Sr. preo |H v de» mis SN. de !a diputación dijeron que había pinante, y concluyó diciendo que las Edites no de di fin qin» no saldría de ida : y siendo indispen Lian aprobar lá primer» parte de su pi oposición , v sable eon eiva…</t>
  </si>
  <si>
    <t>Rentería</t>
  </si>
  <si>
    <t>…evante, que conducen conductor general de equipajes. multitud de presos de Catan» a y Vakncia. Entre otros se cuen El segundo ayudante general gefe interino del E. Ai. = Bru ta al Sr. Rentería, ob'spo ce Lérida , y algunos clérigos y frailes. no Gómez. __Consecuente á la orcu.ar despachada nuevamente por ia dipu JJcn Juan Lasaña, grfr fdítico d.~ li prc?:-&gt;.:a de Madrid. tación provincial se van presentando los contingentes para el Hago saber : que…</t>
  </si>
  <si>
    <t>Reque, Ana</t>
  </si>
  <si>
    <t>Ana Reque</t>
  </si>
  <si>
    <t>…de SeilQfi íi'l '2 I. ayer); opinaba que por! i a aprobársela adición del Sr. Valdés, y Se leyó y quedó aprobada el acta del anterior. en su consecuencia decirse que por muerte de Doña Ana Reque El Sr. duque del Parque pidió la palabra y dijo: En la .se ra goce su hijo D. Tomas, por via de pensión durante su vida, sión del día tó aprobaron las Cortes una proposición de los se la viudedad que tiene por muerte de su mando D. Blas Salcedo. ñores Canga é Istun…</t>
  </si>
  <si>
    <t>Requena, Ana</t>
  </si>
  <si>
    <t>Ana Requena</t>
  </si>
  <si>
    <t>…ue «10 conste cuando menos de a 5 casas re A la comisión primera de Hacienda te mandó pasar una exposi unidas formando calles, í no ser que í juicio de la diputación exija ción de Doña Ana Requena., viuda de un capitán de navio, para que otra cosa la conveniencia pública. Cuando la población estuviere tan ae le conceda una pensión. diseminada que en ninguna de sus partes reúna a&lt;¡ casas, se agrégala Se dió cuenta de un oficio del Sr. secretario del Des…</t>
  </si>
  <si>
    <t>Res.o</t>
  </si>
  <si>
    <t>…mientos i; y 22 de infantería; el batallón núm. 5 de lSijj.ss Ignacio Luis MaiLáva de Mello.” de cazadores, con los que se Jes han unido del núm. 7,9, 10 y Las últimos oficios del general Res.o son con fecha de! 2y 11 : la artillería núm. 4, y la caballería núm. 4, partieron de eu I4 r.yche , y partí.'ipa que los .facciosos se van rabat:d,&gt;: ¡ Amarante ai 'mediodía doí 27 con dirección i Meza®, Frío y que habiendo, él dividido, cp tres brigada^ la*…</t>
  </si>
  <si>
    <t>Reselló</t>
  </si>
  <si>
    <t>…agradable: ni puede serle tampoco indiferen-' tado al úidtib'1- La de Villalba se ha dispersado. -, te la manera con que es recibido por todas partes, las atenciones Oel 24. -.El comandante Reselló participa desde tilla el día :l que se merece, y el verse considerado como la primera rueda haberse dirigido con 150 hombres hacia los partidos de Deza y de ¡a nslqmna política de Europa. Ya se empieza á hablar de TrasJezá, en donde supo que había levantamien…</t>
  </si>
  <si>
    <t>Resolución</t>
  </si>
  <si>
    <t>…dia desde el cual han de Por el presente edicto cito y emplazo á ios tires, diputados obligar las leyes. (Gaceta del j.) - ausentes D. Manuel Aivarez por la provincia de Zamora : Don Resolución de las Córtes sobre el modo de constituir por Rafael Casimiro Lodarcs y D. Aliguel Sánchez Casas por la de ahora lasala de tercera instancia de la audiencia territorial con la Mancha: D. Josef Apoita por la de Vizcaya: D. Domingo los ministros del tribunal Es…</t>
  </si>
  <si>
    <t>Resolución, Juan Francisco Martínez Sal</t>
  </si>
  <si>
    <t>Juan Francisco Martínez Sal Resolución</t>
  </si>
  <si>
    <t>…jército que no tomaron paite en la de duplicados en virtud de los mismos vales originales por el Go fección del conde del Abisbal. (Gaceta del 1 j.) bierno intruso, presentada por D. Juan Francisco Martínez Sal Resolución de las Córtes declarando que á los oficiales efec cedo, está comprendida en el decreto de 29 de Junio de 1822. tivos de los estados mayores de las plazas se les considere com (Gaceta del y.) prendidos en la orden de las Córtes de y de Noviembre de 1820 Resolu…</t>
  </si>
  <si>
    <t>Resurta, Jos'f de</t>
  </si>
  <si>
    <t>Jos'f de Resurta</t>
  </si>
  <si>
    <t>…igualmente que la española. El Congreso nacional lusitano no Mateu , D. Miguel Garda Ortíz, D. josef Pérez Torrova, puede ignorar esta importantísima verdad, y los portugueics co D. Jos'f de Resurta, D. Josef Dionisio de Ugarte, D. josef meterían el mas craso y mas funesto error en política, si sepa Pascual de Guillenea, D. Josef María Miranda, D. Salvador rando su causa de la de los españoles creyesen poder conservar su de Oria, D. Matías Olave, y D. Fé…</t>
  </si>
  <si>
    <t>Retamosa, Julián de</t>
  </si>
  <si>
    <t>Julián de Retamosa</t>
  </si>
  <si>
    <t>…n justa razón de desafectos al tan decantado código, se presenten desde luego al teniente general de la Real Armada han sufrido los ultrajes, dicterios y conminaciones con que las D. Julián de Retamosa, por cuyo medio se les comunicarán las autoridades constitucionales quisieron intimidarlos i no pudieron órdenes de S. A. S. conseguir su propósito; antes bien inflamaron mas y-mas su Dirección general de Correos. acendrado amor al Soberano, confiados en que…</t>
  </si>
  <si>
    <t>Reunido, Bernardo Fal</t>
  </si>
  <si>
    <t>Bernardo Fal Reunido</t>
  </si>
  <si>
    <t>…crito mandato, D. Nicolás Fernandez de Ochoa. secretario de S. M. y escribano de cámara del mismo certifica: Tribunal supremo de Justicia. Por el presente edicto cito y emplazo al Sr. D. Bernardo Fal Reunido el tribunal supremo de Justicia, á virtud de Real có, actual diputado por la provincia de Valencia, comprendido orden, ha acordado en el dia de hoy continuar el ejercicio de sus en la causa que se está siguiendo á dicho Sr. diputado y otros , que funciones en…</t>
  </si>
  <si>
    <t>Reus, Henrique de</t>
  </si>
  <si>
    <t>Henrique de Reus</t>
  </si>
  <si>
    <t>…l razonamiento de! puprini*ra clase, el señor conde de Luxbnurg , ministro de Gaviera , y el bhesta que trata la casta ministerial con tanta delicadeza, es cierta teniente general conde Henrique de Reus; 111, comieron en una mesa mente una injuria para la regencia que tiene sus ministros, y que en particular. caso de necesidad aceptaría ella misma un ministerio;.:::: Por la noche hubo hermosos fuegos artificiales sobre el Elba. En Hay una consideración que n…</t>
  </si>
  <si>
    <t>Revilla, Francisco Manuel de</t>
  </si>
  <si>
    <t>Francisco Manuel de Revilla</t>
  </si>
  <si>
    <t>…iliCuarto escuadrón de artillería 12 piezas. Artillería de batalla 8 teres , ó M ¿moría acerca d; la necesidad de reparar los danos causados id. Toral 20. por -buso del poder: por D. Francisco Manuel de Revilla. Sa venda Z’pndort!. en la librería de Soja, de Brun y de Collado. Una corrípañía al pie de guerra 160 hombres. Biografiéis de algunos célebres suicidas , traducidas del francés al A las divisiones do las distintas armas asignará el Sr. gefe de E. M. castella…</t>
  </si>
  <si>
    <t>Revilla, Rosendo</t>
  </si>
  <si>
    <t>Rosendo Revilla</t>
  </si>
  <si>
    <t>…la Coruña en la de D. Josef Martínez Cardera; en Valladolid en sus manos algunos egemplsres del decreto de Cortes en que se concede, la de D. Manuel Aparicio ; en Búrgos en la de D. Rosendo Revilla; y avisaré á V. E. de cualquier resultado. Acompaña á Bessieres el ex en Vitoria en la de D. Pedro Barrio ; en Zaragoza en la de D. Josef coronel D. Nicolás Isidro.esExcmo. Sr. secretario de Estado y del Des Sánchez; en Sarcelcr,. en la de D. Juan Francisco P…</t>
  </si>
  <si>
    <t>Rey</t>
  </si>
  <si>
    <t>…y poitádose en términos que resultaron desave títulos, y mas particulcrmente todavía el recu-rdo de las bonda nencias difíciles de cortar. des con qu- nie colmó en otro tinnpo el Sr. Rey D. Fehn-akdo Por relaciones contestes de los que escapan de Cádiz y 1* Isla vii. Me atrevo á lisonjearme de que ia Regencia hace justi¿.,a á l se sabe que los soldad s y milicianos están á media ración de mis sentimientos, y viviré eternamente agradecido á la benevo ! pan, si…</t>
  </si>
  <si>
    <t>…vivísimo fuego de la aitillería enemiga, combatieron muchas horas casi con triples fuerzas, y les obligaron á retirarse precipitadamente. Se distinguieron en el regimiento 33.0 el capitán Rey, que era el que mandaba , y dió las disposiciones mas acertadas; los tenientes Kesseler y Rey, el subteniente Selhausem, el sargento primero Erny , el furrier Eustache, y los fusileros Fíoidevaux , Pierre, Maly y Hausac. En el regimiento ai.° se distinguieron…</t>
  </si>
  <si>
    <t>…o á este medio, uuo de nuestros coherma Recórranse las historias y anales de Aragón ; desciéndase á los nos ha hecho exactamente observar que si fuese necesari':- para tiempos del Sr. Rey D. Felipe v, á la ominosa guerra con Bo- volver perjuros á los españoles;, ¡cómo Bonaparte , teniendo se naparte, y á la revolución actual, cuyas cenizas todavía humean, guramente los medios y la intención de emplear esta arma con y resultaría siempre que sus ascendien…</t>
  </si>
  <si>
    <t>…nte proyecto, tencia será tan prontamente pulverizada como V. A. S. pro hallándose favorecida su familia bajo todos aspectos. Se hará nuncie su exterminio. Para ello suplicamos al Señor Rey de los probablemente una severa pesquisa sobre asunto tan grave, y se Reyes conceda i V. A. S. la luz de su santo espíritu rara el procederá con todo el rigor de las leyes. Triste cosa es que au a cierto de su paternal benéfico Gobierno. Betanzos Juü o ig men…</t>
  </si>
  <si>
    <t>…ta el alto en nombre del Ayuntamiento á que pertenece. grado de venderles sus hijos, sí fuese necesario. Asi lo expresó ,,Castro el Leal dd Rio á 16 de Octubre de i8i3.=:Señor= el Sr. Rey D. Felipe 11. A L. R P. de V. M.“Lorenzo Antonio Calderón.=Rafael de „E1 ayuntamiento de la villa de Linares y sus leales vecinos, Luquc.rsdJenito josef Polo.1' verdaderos amantes de V. M., con toda la efusión de la sinceri dad de sus corazones, felicitan á V. M. por s…</t>
  </si>
  <si>
    <t>Rey, Antonio</t>
  </si>
  <si>
    <t>Antonio Rey</t>
  </si>
  <si>
    <t>…de de Caiatrava, en unión con el ayunta rior dice al Sr. secretario del Despacho de la Guerra lo siguiente: miento y junta nombrada por el pueblo en el día de la conmo Excmo. Sr.: D. Antonio Rey , capitán del regimiento ca ción , hacen presente á V. A. S. que el día 9 del presente mes ballería Costa de Granada , en oficio de hoy me dice lo siguien esta ciudad de Eaeza, llena del respetuoso afecto á su Monarca te: Excmo. Sr.: Hallándose la división de…</t>
  </si>
  <si>
    <t>Rey, Domingo</t>
  </si>
  <si>
    <t>Domingo Rey</t>
  </si>
  <si>
    <t>…a; se inclina a esperar que no se turba De la mitic a nac onsl voluntaria de Herrera de ia Serena. rá la paz , aunque dice que después de haberse adelantado t into ios til-raí, De D. Domingo Rey, juez de primera instancia de la ciudad y pzrtiel único medio que queda para esto es mudar todos los actuales ministros tido de Cárdena. franceses, y que el Rey use de su prerogativa de disolver la Cunara de Di De D. A varo González de la Vega. putados. Del a…</t>
  </si>
  <si>
    <t>Rey, El</t>
  </si>
  <si>
    <t>El Rey</t>
  </si>
  <si>
    <t>…818, de que no hubiese dispuesto el Go fecha 21 del corriente rae ha dirigido la Real orden qu: sigue. bierno español para la expedición de Ultramar. Undécimo: El resto » Excorio. Sr. El Rey, después de haber oido al consejo de Estado, hasta la cantidad equivalente á 37 millones de francos que por el tra se ha servido mandar, que tanto las escribanías de rentas en particular tado del año 18 se obligó í entregar la Francia , de los cuales una par…</t>
  </si>
  <si>
    <t>…vamente el ataque i los fuertes , habiendo lo de 18 23. grado costosas ventajas sobre &lt;1 delCirmen, que era el mas débil, y en &lt;1 que se reunió menos gente de la guarnición con el_comandante El Rey , á consulta del consejo de Estado, se ha servido nombrar Fábregas , de cuyo primer piso te habían apoderado; envié al batallón á D. Francisco Robles para la plaza de juez letrado del partido de San de Córdoba i atacar los 400 , los que huyeron en dirección i…</t>
  </si>
  <si>
    <t>Rey, FranJsEl</t>
  </si>
  <si>
    <t>FranJsEl Rey</t>
  </si>
  <si>
    <t>…spués de haber engrosado competente!» uto la* guarniciones de las plazas; el barón de Carondelet en Vñ.ufeARTÍCULO DE OFICIO. liche, y el primer ayudante general de estado ni,.cor D. FranJsEl Rey ha expedido el decreto siguiente: co de Fauía Figueras en la segunda división ele infantería en .'uc » Hallándose vacante el destino de secretario del Despacho de ea , habiendo llegado antes de ayer á Villar roya , al propio tiempo Hacienda, he venido en habi…</t>
  </si>
  <si>
    <t>Rey, Josef</t>
  </si>
  <si>
    <t>Josef Rey</t>
  </si>
  <si>
    <t>…a Cor.liciv: varias particularidado ya $au¡«das, y ios s¡^u¡c¡it£s non»- privaros ocl noiiibrc pucúio ¿ran«dv7 Lcíoícc» y vntuobu. \ o— bumientos : para la intendencia de Madrid á D. Josef Rey y sotros habéis sido testigo; de mis desvelos por conservar la tran .■vida; id. de Guadalajara .1 D. Pedro Alcántara Díaz de Laban- quilidad pública, la inviolabilidad de vuestras propiedades v el de duo: id. de Avila á D. Felipe Morales: id. de Soria á D. Al…</t>
  </si>
  <si>
    <t>Rey, Joséf</t>
  </si>
  <si>
    <t>Joséf Rey</t>
  </si>
  <si>
    <t>…l teniente coronel graduado D. Manuel de la 5 erra, capi su batallón: el capitán D Antonio María de Castro y tí subte tán d-Jl propio cuerpo, gtado de corone de infantería. niente D. Joséf Rey fueron depositarios del secieto y coa y*r- Al teniente D. Manuel de la Sierra se le dec ara tenientí varon espontáneamente i su éxito. Mientras tanto coutínuaban efectivo de infantería, concediéndole grado de capitán. las vistas y la correspondencia con el ge…</t>
  </si>
  <si>
    <t>Reyes, Emperadores y</t>
  </si>
  <si>
    <t>Emperadores y Reyes</t>
  </si>
  <si>
    <t>…ingo Fernandez de Angulo, uno de los editores del Espec n Parecía imposible que tn el siglo xix se reuniesen en Verona tador , por sí y á nombre de sus compañeros, denunció a! Sr. alcalde Emperadores y Reyes para arrogarse derechos , que en los tiempos de constitucional D. Francisco Crespo de Tejada el núm. i.° del Apéndice ignorancia no desconocieron los Gobiernos mas bárbaros : parecía al Zurriago , por las expresiones de la pág. 12, que miran dichos edi imposi…</t>
  </si>
  <si>
    <t>Reyes, Josef los</t>
  </si>
  <si>
    <t>Josef los Reyes</t>
  </si>
  <si>
    <t>…conservad en estas circunstan— funciones públicas D. Manuel Nuñez. __ Asistencia al consejo c as la calma y prudencia que tienen derecho á esperar de vosotros, de Sres. generales D. Josef los Reyes. y de que tantas pruebas tenéis dadas. Evitad sobre todo cuanto pu diere dirigirse á turbar la armonía que debe reinar entre los habi _ Hemos recibido periódicos de la Península---- Los de la Co tantes de esta ciudad y las tropas que la guarnecen. Uno es vues…</t>
  </si>
  <si>
    <t>…eocupaciones con las cuales es menes Reina__ Servicio de los ayudantes de plaza para la semana pró ter contemporizar, y yo dejo á su consideración y á la de la co xima—Comandancia general D. Josef los Reyes—GoLernador misión los males que esta medida podría causar. y de orden D. Antonio Warleta__ Consejo de guerra de gene El Sr. Rico: Es menester también no perder de vista, y rales D. Manuel Nuñez__ De causas D. Juan de Rojas—Tea que ias Cortes se convenzan, de…</t>
  </si>
  <si>
    <t>Reyilo</t>
  </si>
  <si>
    <t>….°del z.° can otros que lo hayan sido después del restablecimiento de la decreto: del Sr. Quiñones, contrario áhaberse admitidoá discusión Constaucion.’’ el misino proyecto; y del Sr. Reyilo, contrario á lo resuelto so Habiéndose declarado el artículo suficientemente discutido que bre la 2.a parte del artículo 2.0, y al 3.0 del decreto 2.0 dó aprobado con !a variación adoptada por el Sr. Becerra en A petición de varios señores diputados se vetó e…</t>
  </si>
  <si>
    <t>Rh.varr'</t>
  </si>
  <si>
    <t>…que to hombres de los barrios b.jcs qus tenían preparados; y supo entonces dos deseábanos; pero tro obstante, al concluir la altura dimos con al que hablan traído á Villaverde al general Rh.varr'. gunos de ellos, que sufrieron la muerte por las espadas de los que alia 6d Acompañado de D. Antonio Ordmlez y otros tres sugetos, vi íbamos: los mas ligeros pudieron atravesar un grandísimo barranco que sitó el día 20 de Junio ref-rido a! expresado g-nerel q…</t>
  </si>
  <si>
    <t>Ri</t>
  </si>
  <si>
    <t>…de Setiembre último se le dirigieron á D. Santiago Hallándose vacante la administración de esta renta en Badojoz y la. Sslanueva por el correo de Estalla con endoso á su favor por Doña Ri del casco en Madrid señalada con el núm. 17, se admiten solicitudes ta de Udi, vecina de Lodosa, los créditos siguientes : una certificación para ambas en la dirección del ramo por término de 30 dias; en con de 123 rs. dada por el Sr. contador genera! de dist…</t>
  </si>
  <si>
    <t>Ribe, Masía</t>
  </si>
  <si>
    <t>Masía Ribe</t>
  </si>
  <si>
    <t>…ad. alcabalas de Madrid: núm. 32 , media anata de mercedes: el i.° cor Desea por tanto S. M. que al mismo tiempo que se meditan me responde i la memoria fundada en dicha villa por Doña Masía Ribe dios prácticos y eficaces para estimular, ilustrar y auxiliar el ínteres ra , y los dos restantes al vínculo y patronato fundados eu la misma por individual, se empleen todos aquellos que puedan esparcir luces , dar D. Toma! Cueto. El que tenga noticia de su…</t>
  </si>
  <si>
    <t>Ribeiro</t>
  </si>
  <si>
    <t>…y 5 i peniques; y los gastos á 49.099,1 30 libras esterlinas , un shelin y y peniques. (2) Desde que los hombres se constituyeron en sociedad han tenido lian llegado ú Caracas el Sr. Ribeiro, qu mico, con algunos otros sa siempre las reformas mas útiles y necesarias al bitn genera! la oposición bios para fundar una academ’a de ciencias: todos sus compañeros son fran de la ignorancia y del ínteres particular; y he aquí el origen de las revolu cese…</t>
  </si>
  <si>
    <t>Ribera, Josef</t>
  </si>
  <si>
    <t>Josef Ribera</t>
  </si>
  <si>
    <t>…necesidades de los Retrato del Rby nuestro Señor grabado litográficamente, di tiempos, y someterse á las decisiones en que se funda la paz bujado por el pintor de cámara de S. M. D. Josef Ribera por general. el original que pintó de cuerpo entero D. Francisco Lacoma. ,,Pafa volver á la Orden de S. Juan de Jerusalen su existen Véndese á 20 rs. el ejemplar en el despacho de las obras del cia basta concederle una isla donde pueda^plantar de nuevo el Dep…</t>
  </si>
  <si>
    <t>Ribera, Juan Sánchez</t>
  </si>
  <si>
    <t>Juan Sánchez Ribera</t>
  </si>
  <si>
    <t>…Pero decir qne todos los hombres tienen los mismos ñoles , y enriquecida coto un tratado completo de pronunciación órganos, sensaciones y necesidades es un sofisma que solo ha por D. Juan Sánchez Ribera. Madrid 1823. Las circunstancias podido alucinar á nuestros pseudo-filósofos liberales; y de tal an políticas ponen hoy 4 los españoles en la precisión de aplicarse ; tecedente no es extraño se saque por ,consecuencia otro error, al conocimiento de la lengua…</t>
  </si>
  <si>
    <t>Ribera, Pedro</t>
  </si>
  <si>
    <t>Pedro Ribera</t>
  </si>
  <si>
    <t>…do de Roda, término de S. Javier, y por otros gorio el traidor D. Ignacio Manuel Pereira con el capellán que excesos que resultan de la causa. fue de la milicia activa de Monterey D. Pedro Ribera y otros — La sociedad patriótica celebró sesión extraordinaria el 1 o del tales, con la cual habia logrado entrar en esta provincia porEn- corriente con eí objeto de obsequiar al Sr. D. Joaquín Lorenzo trimo, pasando por varios pueblos, que todos se alarmaron…</t>
  </si>
  <si>
    <t>Ribero, María Fernandez de</t>
  </si>
  <si>
    <t>María Fernandez de Ribero</t>
  </si>
  <si>
    <t>…de i8jg.~ nero. Otro de 27,418 mrs., situado en la renta de tercer medio por Excmo. Sr. == Josef María Valdés. = Exsmo. Sr. secretario del Despacho 100 de Mondoftedo, en cabeza de Doña María Fernandez de Ribero. de Gracia y Justicia. Otro de 56,100 mrs;, situado en el derecho de uno por 100 d: Ma VARIEDADES. drid , en cabeza de D. Juan Félix de la Vega; Otro de 228,250 mu., JR.elación Je un desceñía verificada en el mar en la campana de los bu situado en la renta de…</t>
  </si>
  <si>
    <t>Ricar</t>
  </si>
  <si>
    <t>…El teníante general conde de España desde el cuartel gene* fecha12 del presente mes , el parte siguiente: ni del sitio de Pamplona dirige en i z. del presente; mes ai Se » El Sr. conde Ricar , Par de íEr&amp;icí» , teniente general .y co ñor secretario da Estado y de» Despacho de ia Guerra el parte mandante del bloqueo «de la pjaaKxkS. Sebastian, me dice con liguisnte: ; fecha de ayer lo que:copio, - , c., ' » Excmo. Sr.: Tengo el honor de informar á…</t>
  </si>
  <si>
    <t>Richelieu</t>
  </si>
  <si>
    <t>…nos cardenales que han manejado las riendas del Gobierno , como el cardenal de Amboisa , el cardenal Leida y aprobada el acta de La art-rrior , las Cortes overon con de Lotena, el cardenal Richelieu y el cardenal Mazarin; pero nos ad aerado , y mandaron se insertasen en el D arío ¡as siguientes lelisitaciomita que se olvide de los cardenales Dubois y Alberoni. nes por la» sesiones del 9 y 11 del pasado. Nosotros no titubeamos en declarar que un sacerdote…</t>
  </si>
  <si>
    <t>…ocimiento al Papa por la parte que ha fue el verdadero motivo de la guerra de la reforma que fomentó tomado ya relativamente á este asunto, solicitando su constarte en Alemania el cardenal Richelieu, si bien se tomó por pre cooperación con el fin de avasallar ias naciones. texto Ja religión; y cuando la Inglaterra supuso en la guerra de Art. 4.0 «Como la situación actual de España y Portueal la revolución lo peligroso de nuestros principios, ¿es de creer…</t>
  </si>
  <si>
    <t>…o en ocultar su nombre; notable ejem fue el verdadero motivo de la guerra, de la reforma que fomen plo de delicadeza que habla suficientemente por sí mismo, y es tó en Alemania el cardenal Richelieu , si bien se tomó por pre bien digno de aquel ilustrado pueblo. texto la religión; y cuando la Inglaterra supuso en la guerra de la Ministerio dt Hacienda. revolución lo peligroso de nuestros principios, ¡es de creer que la Al mismo tiempo que se sirvió el Re…</t>
  </si>
  <si>
    <t>Riclifr</t>
  </si>
  <si>
    <t>…itrios y recursos, y trabajando ayuntamiento hasta el 4 de Octubre. sin descansar hasta conseguir el objeto de su instituto. En el dia Nosografía y terapéutica quirúrgicas, por el caballero Riclifr ya se han experimentado iguales efectos, pues- hemos visto con rand: traducido s! castellano de la quinta edición , adornado la prontitud que ha proporcionado cantidad extraordinaria de sa con *0 láminas: cuatro tomos en 4.0 Se vende en la librería di cos y o…</t>
  </si>
  <si>
    <t>Rico</t>
  </si>
  <si>
    <t>…etirados; y asi en mi concepto mas i que pueda dar lugar la discusión por artículos. el artículo debe aprobarse. Ei Sr. Cano: Si hubiera una mina inagotable de oro y plata adon El Sr. Rico impugnó el artículo manifestando que estos sueldos no de se recurriese cuando fuese necesario, con mucho gusto aprobaría el guardaban ninguna proporción con las circunstancias en qus se encon dictamen; pero como todo recae sobre los pueblos, y estos no se ha…</t>
  </si>
  <si>
    <t>…guientes «silo creen conveniente las diputaciones aprobarse el proyecto. provinciales según las circunstancias.” ' El Sr. Valdés (D. Cayetano): El proyecto que sobre este mismo Ei Sr. Rico manifestó que abundaba en los mismos principios que ol o desecharon las Cortes ponía por base que estas compañías habian el Sr. preopinante, y qu: debiaexpresarse en el artículo que se crea de &gt; - ~e 40 hombres por diputado á Cortes , y en ei que se discute s…</t>
  </si>
  <si>
    <t>…ulpación! pero quisiéramos pregustar desde lo que se pu:o á discusión el voto de las Sres. Canga é Iituriz. cumio esta decidido en los U cresos etrrnos de ¡a Providencia que la El Sr. Rico se opuso á él, por cuanto fundándose todo el expediente España haya de sufrir siempre males insoportables sin que le sea per en una Real orden , que no llegó á tener el carácter de tal, era nulo mitido remediarlos! En qj¿ uu.cuio del derecho natural está esco…</t>
  </si>
  <si>
    <t>…té abundante:de numerario, no e:;¿ Del ayuntamiento constitucional y oficiales de la milicia ds Elda, tan escasa que no se puedan pagar las contribuciones en especie, y ren por el Sr. Rico. gan que pagarse en frutos. El cobro en frutos, ademas de los quebrantas Del ayuntamiento y M. N. V. de Calera, y de la M. N. V. de que por sí tiene, ocasiooa.algunos fraudes en el manejo de ellos, y &lt;ja Azv.tan , provincia de Toledo , por el Sr. Buruaga. con…</t>
  </si>
  <si>
    <t>…in de que las Cortes puedan dictar las providencias opor- que había originado la presentación de ellos. Se leyó dicha proposición, y en seguida el Sr. secretario de Fstado UUUi.Ei Sr. Rico: Los mismos sentimientos que animan at St. Ferrer, me dijo: El estado de la nación en sus relaciones con la Francia v demás po obligan á tomar la palabra en un asunto tan serio. Yo repito con S. S. que. tencias está consignado en la memoria que el secretario…</t>
  </si>
  <si>
    <t>…a del circulo de la legitimi Del ayuntamiento constitucional de la ciudad de Orihuek , presentad» dad , y hasta han de venir á destruir la misma Constitución ingles:!, para por el Sr. Rico. lo cual, si fuere necesario, nuestro ministro londonderry les propoictona- De la M. N ”.. de la ciudad de Pamplona, y de la compañía de vo íá embarcaciones á t:n de que vengan á esta isla,” luntarios de artillería y tercio de caballería de aquella ciudad, pr…</t>
  </si>
  <si>
    <t>…rales sujeción á los formularios Igualmente se declaró comprendida en el art. too , y se aprobó la si Art. to. «También darán los inspectores al secretario (M Despacho guiente del Sr. Rico: «Pido á las Cortes que hallándose Ja Naéion próxi de la Guerra , al principio del año, noticia del armamento , clasificando el ma á ser invadida por un egército extrangero, al que se unirán algunas de estado de bueno, mediano ó inútil en que se halla en cada…</t>
  </si>
  <si>
    <t>…-spu s de íiab r s;do herido de un pistoletazo. Después de pase á informe de la academia de S. Fernando. recorrer las inm diaciones en busca de alguno» otros facciosos, regresó El Sr. Rico: Aunque de algún modo estoy conforme con el señor la partida á la"cortijada ile D. Juan Pedro. El prisionero se llama Ja- preopínart , debo advertir que este asunto no ha venido á las Cortes pa s;í Mana de la Torre , vecino de Lorca. La facción se había reuni…</t>
  </si>
  <si>
    <t>…sma por viña , de una tierra ó de una heredad: tan dueño, es del terr tono varios procedimientos contra su persona. como lo es el que hoy dia compra bienes me onaks. No hay mas El Sr. Rico presentó una exposición de la milicia nacional diferencia entre uu señor territorial y un propietario que la de ¡ocal voluntaria dci lugar de Colls en Valencia, manifestando la que este es dueño de 20, 30 ó mas fanegas de tierra, al paso que acción que han te…</t>
  </si>
  <si>
    <t>…ni muchos fomentos, ni muchos la cual se mando quedar sobre la mesa. socorros; pero en el estaco en que las cosas se hallaban entonces Se leyó por primeva vez una proposición del Sr. Rico, pi era imposible hacer ncgoe.ac on ai.una con el Rey; por consi diendo á las Cortes volviesen á tomar en consideración el arreglo guiente era necesar.o negoc,ario con las Cortes (8), y negocián defin t vo del cltro, para lo cual proponía varias bases. dolo c…</t>
  </si>
  <si>
    <t>…tiembre de 1820. Aprobado. que contravengan á esta orden, y el general en gefe hará el debi Se leyeron por segunda vez las proposiciones siguientes: do cargo á sus gefes. Una del Sr. Rico proponiendo varias bases para la dotaciort 4.0 El general en gefe ha notado que en algunos cuerpos no del clero. No se admitió á discusión por 60 votos contra 42. se cuida de la limpieza de la ropa y correagc del soldado, y en Otra del mismo Sr. diputado para…</t>
  </si>
  <si>
    <t>…: me veo en la necesidad de adoptar providen presentada por la comisión. cias capaces de remediar los males que sufrimos, y que pos pre Se leyó por primera vez una proposición del Sr. Rico, pi paran , y autorizado para hacerlo aun mas allá de lo que pres diendo á las Cortes volviesen á tomar en consideración el arre criben las leyes. En este concepto, y viendo que por desgracia glo difinitivo del clero, para lo cual proponía varías bases. se en…</t>
  </si>
  <si>
    <t>…eclara para los fines que en él se indican, primera desaprobada por las Cortes en Ja sesión de anoche, y serán vendidos y aplicados al erario los bienes de todos los espa otra del Sr. Rico, para que la cantidad alzada que las Cortes ñoles que siguen al ejército francés, ó que formen las partidas de concedan al Gobierno la reparta este en las provincias guardan facciosos, sin perjuicio de la imposición de las penas en que ha do proporción con su…</t>
  </si>
  <si>
    <t>…atar y perseguir á los decidi Se leyeron por segunda vez y no fueron admitidas á discitdos por el Gobierno constitucional, debiendo este por lo que siop varias proposiciones • del Sr. Rico, relativas á la dotación resulte de aquellas expedir las órdenes correspondientes para la del clero. ocupación de todos los bienes que poseen en el territorio libre, Se leyó otra del mismo Sr. Rico, y se mandó pasar á la sin perjuicio de los procedimientos se…</t>
  </si>
  <si>
    <t>…, después de dar las gracias á la comisión por te les ha quitado la obligación que tenían antes como regulares. ner la consideración de sujetar los recursos de mu,dad interpues El Sr. Rico: He extrañado mucho algunos de los princip’os tos en los tribunales ccks.ásticos a! primer tribunal de la Nación, que he oído en esta discusión: si son ciertos podré yo admitir dijo que era necesario que la comisión hubiese tenido presente el otros que acaso…</t>
  </si>
  <si>
    <t>…e indi del Sr. Garoz, en la que proponía varias medidas en lugar de can, serán vendidos y aplicados al erario los bienes de todos los la i.* desaprobada por las Cortes; y otra del Sr. Rico para españoles que siguen al egército francés, ó que formen las par que la cantidad alzada que las Cortes concedieron al Gobierno tidas de facciosos, sin perjuicio de la imposición de las penas en la reparta este entre las provincias con proporción á su rique…</t>
  </si>
  <si>
    <t>…manifestado el Sr. Canga que este expediente tenia- se les ha quitado la obligación que renian antes como reculares. relación con un punto de-la memoria de Hacienda, manifestó El Sr. Rico: He extrañado mucho algunos de los principios «L Sr. presidente que quedaba sobreda mesa este dictamen. que he oido en esta discusión : si son ciertos, podré yo admitir La misma comisión, en vista de la instancia del*r. Josef otros que acaso no los admitirían…</t>
  </si>
  <si>
    <t>207 dos sean indemnizados ademas de ser restituidos en.sus bienes. comisión de Diplomacia sobre la memoria del Sr. secretario de El Sr. Rico: EL Sr. Isturiz me ha prevenido en las observa- - Estado, con ¡o cual levanto la sesión. ciones qae pensaba hacer : yo quisiera que se expresase terminan— ■ Or len ar Ai p.az.i cíe- :e al 2 l de Mayo. teniente que los compradores deben indemnizar, á ios dueño…</t>
  </si>
  <si>
    <t>…nútil hasta que obtenga la cédula de retiro, se le abonará por su cuerpo el código penal.” Aprobado. La misma comisión, habiendo examinado otra adido» del haber de soldado activo. Sr. Rico al proyecto sobre Ocupación de bienes á los españoles Art. 5.0 Los alcaldes y ayuntamientos proporcionarán alo que ns'd.ui en país extrangero, que decia asi: » Pudiendo suceder jamiento , raciones y bacages á los soldados inutilizados en todos que el que resi…</t>
  </si>
  <si>
    <t>…y á la de la co xima—Comandancia general D. Josef los Reyes—GoLernador misión los males que esta medida podría causar. y de orden D. Antonio Warleta__ Consejo de guerra de gene El Sr. Rico: Es menester también no perder de vista, y rales D. Manuel Nuñez__ De causas D. Juan de Rojas—Tea que ias Cortes se convenzan, de que la mayor parte de los pue tro y demas funciones públicas D. Juan Mauuel Chacón y Don blos están penetrados de que ios pósitos…</t>
  </si>
  <si>
    <t>…7 «le Muyo «le iSa.j. «juc sería cuando las tes se sirviesen declarar que los soldados «pie bajo Córtes estarían rendidas. cualquier protesto se separen de sus cuerpo, y se reú El Sr. Rico apayó en un Lodo las observacio nan á Jas partidas de guerrillas sean considerados co nes del Sr. MurG , y citó el ejemplo «le los Estados- rno desertores en tiempo de guerra, castigados como unido« do América en &lt;¡oe nirvuin j^ucro ni ei’cdo tales; sufriendo…</t>
  </si>
  <si>
    <t>…2,000 hic/1.0 para que se 1c admita en la compañía de Alabarderos, opinaba se pasase 11I Gobierno , á tin de que acceda a esta solici tud si lo tiene por conveniente. Aprobado. El Sr. Rico se opuso á la aprobación de éste dictamen, fun A la comisión secunda de Plací enda se mando pasar una ex dándose en que cuando se señalo á S. AI. la consignación de posición de Doña Encarnación Valiente , viuda de un oficial de 40 millones tue en el año 24 cu…</t>
  </si>
  <si>
    <t>…metido el sugeto á quien comprenda, y por lo mismo sión pendiente , y se discutiría el dictamen de la comisión de Ha creo que debe aprobarse. cienda sobre el resguardo militar. El Sr. Rico dijo que se oponia al artículo porque un español Se levantó la sesión. que tomase partido con los franceses en el hecho mismo de acep ARTICULO DE OFICIO. tarle era declarado traidor á ia Patria, y el artículo en discusión El Gobierno ha recibido el parte sigu…</t>
  </si>
  <si>
    <t>…si ha ó no lugar á la formación de causa, en quedó aprobada por 63 votos contra 2 la siguiente proposición cuyo caso se procederá á dar esta declaración ; y si fuese afirmati del Sr. Rico. ” En atención á las dificultades que podría acarrear va , se recogerá el escrito , sobreseyéndose en la causa. Segundo. no hallarse en esta plaza la mayoría de los Sres. diputados que com Cuando una paite legítima por el denunciado fallecido pidiese la ponen…</t>
  </si>
  <si>
    <t>…as expresio Sres. Navarro Tejeiro y Salva á dicha resolución de las Cortes. nes del Sr. Rodríguez Paterna. A mi entender ellas podían acar Se mandó insertar en el acta el voto del Sr. Rico, contrario rear funestas consecuencias. Nada tendrían de extrañas s¡ cu ellas á la resolución de las Cortes asignando 40© rs. á los ex-secreta- se dijera que no era acertada la resolución por la cual se nombró» rios del Despacho. la Regencia provisional; pero…</t>
  </si>
  <si>
    <t>…ha de calificar la propiedad, en qué ha de consistir es El Sr. Salva propuso una modificación á la proposición. ta &amp;c. para poder ser elegido diputado , esta es una ley de cir El Sr. Rico manifestó qué la aprobaba con la modificación cunstancias , que acaso podrá variarse en adelante. Por todas propuesta por el Sr. Marau. estas razones no creo sea incongruente el dictamen de la comi El Sr. Argüell es: La proposición que se discute la encuentro…</t>
  </si>
  <si>
    <t>…has y epígrafes de las medi Art. 8.° be prohíbe el disparar tiros sin objeto del servicio: das extraordinarias. el contraventor será preso y castigado según las circunstancias. El Sr. Rico manifestó que de ningún modo podían quitarse Ai r. ¡&gt;.° El consejo de guerra permanente sustanciará y fa al Gobierno en las circunstancias actuales las facultades que se le llará todos los procesos que se formen de resultas de lo preveni habian concedido, y q…</t>
  </si>
  <si>
    <t>Rico, Jot-.-f de Zayas</t>
  </si>
  <si>
    <t>Jot-.-f de Zayas Rico</t>
  </si>
  <si>
    <t>…mi componía, los mejores, porque parece que la desgracia me ha De la diputación provincial de Almería. perseguido, entre ellos mi asistente: un corneta de la 8.a, y el cabo i.° De D. Jot-.-f de Zayas Rico. Ruiz de la 1.* Heridos: Guallar, pasada una pierna , pera no de cui Ce la milicia nacional de Totana. dado: sargento Masdeu, un balazo sobre un ojo y otro en el hombro Del ayuntamiento constitucional y juez de nrimera instancia de derecho; pero va bien; sarg…</t>
  </si>
  <si>
    <t>Ricote, Antonio</t>
  </si>
  <si>
    <t>Antonio Ricote</t>
  </si>
  <si>
    <t>…el Gobierno, dando cuenta de Jos abusos !Najera: por ayudante de catnpo del general D. Manuel Vclasco que notaren,'sin entrometerse ni entorpecer las obras ni á sus di al teniente coronel D. Antonio Ricote, y á sus inmediatas órde rectores. Aprobado. nes el coronel D. Josef Andra y el teniente coroneL D. Diego Art. 120. Formarán tambiemexpediente para acordar lo que ronce. convenga sobre ei presupuesto de'siis gastos ordinarios , haciendo 3,0 El servicio de la…</t>
  </si>
  <si>
    <t>Rie</t>
  </si>
  <si>
    <t>…la patria. No nos atrevemos á dar crédito á lo que se decia en á un orden de cosas en que una nación tiene un cuerpo represen aquella ciudad acerca de Ja sorpresa efectuada por el general Rie tativo, elegido por eíla 111'sma con las formalidades mas solem go sobre el estado mayor del segundo ejerc.to, incluso el que fue nes para que sea libre su elección y que ejerce ia pote t u ieiijsu general; pero podemos asegurar que si es una patraña , se ha…</t>
  </si>
  <si>
    <t>Riego</t>
  </si>
  <si>
    <t>…hasta el día i.J de lin;ro A poco rato se suspendió esta por haber regresado la diputación. se hab:an presentado seis, unos con caballos, y otros con escopetas y Su presidente el Sr. Riego dijo: Señor, la diputación encargada de pre cananas , siendo uno de ellos Manuel Blanco, que habia sido uno ue sentar i S. M. el mensage de las Cortes ha cumplido con su misión , y los mas inmediatos á Zaldivar. S. M. la ha recibido con el mayor agrado y sati…</t>
  </si>
  <si>
    <t>…nadamiento de los serviles, que han venido á que Ayer tarde tuvimos la satisfacción de ver entrar en esta ca dar reducidos á la mas completa nulidad. En Granada es eviden pital al general Riego. Desde bien temprano habían salido á re te existe una ¡unta conspiradora , como en. todas las capitales; cibirle el gefe político, el comandante general, la milicia nacio pero esta junta conspiradora no puede en modo alguno obrar, nal de caballería, y un nume…</t>
  </si>
  <si>
    <t>…dueño se le reciba en abono de las contribuciones En medio de aclamaciones y vivas ha entrado esta tarde el que tenga que pagar; en inteligencia de que et ayuntamiento ha ilustre general Riego, á quien salieron á recibir el Sr. gefe po nombrado también por su parte maestro sillero que entienda en lítico, el Sr. comandante general y multitud de ciudadanos con la referida valuación para mayor satisfacción del dueño de las la milicia nacional de cabal…</t>
  </si>
  <si>
    <t>…l Sr. presidente suspendió la lectura mismo decreto de 28 de febrero último. Tendreislp entendido, de la memoria. y dispondréis lo necesario á su cumplimiento. = Está rubricado El Sr. Riego dijo: Señor, se va pasando el tiempo,y los fran de la Real mano. En el Real Alcázar de Sevilla á 23 de Abril ceses se acercan ¿ Madrid , y por tanto es muy interesante que se de 1823. concluyan las lecturas de Jas memorias. Se leyó en seguida la siguiente pre…</t>
  </si>
  <si>
    <t>…ota; pero la causa de la Cons mación de un proyecto de reglamento de sanidad. Aprobado. titución y la causa de la libertad es lo primero. El decoro del Se leyó una proposición del Sr. Riego, reducida-, primero, trono y el decoro del Congreso quedarían comprometidos si se á pedir á las Cortes se le permita salir acompañado de los introdujese en el mensage la cláusula que ha propuesto el señor patriotas de todas clases que quieran reunírsele para…</t>
  </si>
  <si>
    <t>…lantán Ho, Pumarejo, Sierra y Belmonte, contrario á la resolución de dose sus tres compañías de cazadores hasta el plinto donde se ha no admitirse la propos.cion hecha ayer por el Sr. Riego. lla actualmente el coronel D. Gaspar Pintado , á quien relevará A ia comisión segunda de Hacienda se mandó pasar un ex el de igual clase D. Bartolomé Amor , que mandará la vanguar pediente sobre supresión de ciertas pensiones con ia consulta de dia. La segun…</t>
  </si>
  <si>
    <t>…metódico fue protegido, por Igualmente se leyó por segunda vez, y no se adrpitió á dis una carga de la caballería, que por las circunstancias del terreno cusión la proposición del Sr. Riego y otros varios señores para no tuvo el efecto que debia esperarse: mis trozos de batallón to que se decretase la escarapela tricolor que ha de distinguir á nues maron sus posiciones; pero luego se vió que el empeño del ene tras tropas. migo era envolverme) co…</t>
  </si>
  <si>
    <t>…dolo á su libre disposición.” territoriales y solariegos los expresados señoríos, en caso que Se continuó la lectura de la memoria de Hacienda los pueblos nieguen esta calidad. El Sr. Riego dijo: Se va pasando el tiempo, y los fianceses Art. 5.° « Mientras que por semencia que cause egecutoria se acercan á Madrid ■, por tanto es muy interesante se concluya no se declare que los señoríos territoriales y solariegos no son la lectura de las maxiori…</t>
  </si>
  <si>
    <t>…que ¡a comisión respectiva disponga la formación de meses de arresto.” un proyecto de sanidad. El Sr. secretario del Despecho de la Guerra concluyó la Se leyó una proposición del Sr. Riego, reducida, primero: lectura de la memoria de su ramo, la cual pasó á ia comisión á pedir á las Cortes se le permitiese salir acompañado de los de Guerra con urgencia. patriotas de todas clases que quisiesen reunírsele, i fin de hacer Se declaró haber lugar á…</t>
  </si>
  <si>
    <t>…aró haber lugar á votar en su totalidad. Igualmente se leyó por segunda vez, y no se admitió á dis A continuación se aprobaron los artículos siguientes : cusión la proposición del Sr. Riego y otros varios Sres, para Art. i.° s&gt; Durante la guerra actual con Francia, la parte que se decretase la escarapela tricolor que habia de distinguir á del art. 9.0 del decreto de 20 de Diciembre de 1821 ,que pres nuestras tropas, leída también en la sesión ‘d…</t>
  </si>
  <si>
    <t>…onsejero de Estado. no le permitían salir de aquí , y que como individuo particular Quedó aprobado este dictamen. no tendría inconveniente en trasladarse ; pero que como Rey no El Sr. Riego pidió que inmediatamente prestasen el jura se lo permitía su conciencia. mento prevenido en la Constitución los Regentes que se habian Le hice presente á S. AI. , que su conciencia estaba salva, nombrado. pues aunque como hombre podia errar , como Alonaren co…</t>
  </si>
  <si>
    <t>…ritor público desempeñamos hoy eL mas sagrado” de Entró la comisión que acompañó á la Regencia, y su presi nuestros deberes , inculcándoos la perseverancia en tan honrosa dente el Sr. Riego dijo que la Regencia quedaba instalada , y conducta. No deis oidos á esos hombres falsos que en todas las que los aplausos y demostraciones de alegría con que habia sido circunstancias han procurado irritar vuestros ánimos para arras acompañada manifestaban q…</t>
  </si>
  <si>
    <t>…tar en el acta el voto del Sr. Sán y D. Gaspar Vigodet , también consejero de Estado. chez , contrario ai nombramiento de la Regencia Quedó aprobado este dictamen. provisional. El Sr. Riego pidió que inmediatamente prestasen Entró ¿ jurar el Sr. líigodet, nombrado indivi el juramento prevenido en la Constitución los Regeu- duo de la Regencia. tes que se habían nombrado. Se aprobó una proposición del Sr. Canga para que se El Sr. Galiauo observó q…</t>
  </si>
  <si>
    <t>…quedaron enteradas de ¡as comunica &lt;ío varios .Señores. ciones remitidas ' por el Gobierno, y que han me 'El Sr. Isturiz como de la comisión apovó ci dic diado entre este v el Sr. diputado Riego, con mo tamen de esta conIestatuid á las observaciones d« l tivo de haberle nombrado S. M. segundo del gene Sr. Ib.-ido', y maní les la tul o que la comisión estaba ral en gofe del 2. 0 ejército de op 'raciones. persuadí «la- de que para-llevar á cabo el decr…</t>
  </si>
  <si>
    <t>…Brougham. riente á las 5 de la tarde naufragó en esta costa, media legua al E. Que el heroísmo y perseverancia con que les españoles co del cabo de Sta. María el bergantín español general Riego, su ca menzaron y llevaron á cabo su gloriosa guerra contra la usurpa pitán D, Josef Pérez Muñoz , procedente de. la Habana con 45 ción del pasado dominador de la Francia, contribuyó esencial días de viaje y carga de azúcar , café , tabaco , palo campeche y m…</t>
  </si>
  <si>
    <t>…l estandarte tricolor: esto, cimiento del expresado ministerio, y que una de las medidas unido á las últimas cartas del general Mina, en que noticia la que adopte sea la de dar al general Riego el mando del ejér retirada, confirma los grandes sucesos que veremos muy pronto, cito de Andalucía, poniéndose en comunicación con el ge y favorables á la justa causa que defendemos.” neral Ballesteros para salvar toda la España meridional; pues si n Se dice…</t>
  </si>
  <si>
    <t>…1822.O Cínüz 25 de Agosto. blecimiento del régimen absoluto. La proclama de Ja llamada junta provisional de España é Indias, dada en Francia momentos El Gobierno ha sabido que ei general Riego ha tomado el anjes de la entrada de los franceses, descorrió e] velo con que mando del ejército que estaba á las órdenes del general ¿layas. Su habían encubierto estos sus alevosos designios. presencia ha aumentado el entusiasmo de las tropas á favor del Una…</t>
  </si>
  <si>
    <t>…apresados y echados á pique en las costv de Conil, que quien se ha embarcado, según se d;ce , y le ha icemplazado el conducían víveres á Cádiz. Viene entre ellos uo primo de Qui- general Riego. Este general intenta extraviar é ir.ft ;mar los áni roga , varios cficiaies y unos cuantos locales de Madrid. mos; percha producido poco ef.cto. N ngun oficial del esudo Los constitucionales han reforzado la cortadura con dos ba- mayor del general Zayas ha q…</t>
  </si>
  <si>
    <t>…fascfnamiento ó la mala fe de los enemigos del canías del pueblo de Muchamiel. s’stema constitucional se ven igualmente en sus insensatas decla Las noticias del Puerto acerca del general Riego están en maciones contra este sistema, considerado en sus efecto, políticos. contradicción con las de Sevilla, en donde nadie dudaba que las Se le ha ¡iatnado tiránico, y esta imputac'on nos parece aun mas tropas de Ballesteros habian vuelto á ponerse bajo la…</t>
  </si>
  <si>
    <t>…ciones de los habitan todo su vigor la disciplina de este ejército , si uno que su in tes de Madrid que se agolpaban para verlos en las calles por dignación contra la conducta del general Riego, ha penetrado donde transitaron. • - sus filas, y en su virtud muchos oficiales y soldados han reco nocido su extravio, y se han presentado á mis órdenes contán __Extracto de una carta escrita al General Conde Grundler por dose entre ellos los lucidos y acred…</t>
  </si>
  <si>
    <t>Riego, Rafaei del</t>
  </si>
  <si>
    <t>Rafaei del Riego</t>
  </si>
  <si>
    <t>…Bessieres. Gómez á 16 rs. en rústica. Fac—Simile, 6 exacta imitación de la exposición original es Habiendo llegado á mi noticia, que algunos individuos in crita de puño y letra de D. Rafaei del Riego la víspera de sufrir dependientes de ¡as tropas realistas de mi mando, desde mis pri el último suplicio, en que reconoce sus delitos, y pide perdón meros movimientos tomaron mi nombre para extraer cantidades á cuantos haya ofendido, publicada de orden del Rey…</t>
  </si>
  <si>
    <t>Riego, Rafael del</t>
  </si>
  <si>
    <t>Rafael del Riego</t>
  </si>
  <si>
    <t>…ue aprobaría de este biendo merecido su conducta la aprot ación de las Cortes, único galar modo el artículo , y no el que ahora se presenta. Ademas de esto, yo dón que deseaba. El general D. Rafael del Riego hizo también a las creo que el espíritu de la comisión en este artículo es el de facilitar el tropas ia ír.¡:ina oferta, exigiendo de ellas otras que se cumplieren al despacho de los negocios, y esto mismo se podrá conseguir cuanto ma momento , como lo han vi…</t>
  </si>
  <si>
    <t>…ndo saben que todos están arma terías, sitas en término de la villa de Herencia y Arenas, va dos en las montañas.” luadas en 2 57,975 rs- y 29 mrs., según el coste de cada finca n D. Rafael del Riego remite para su publicación unes do compradas antes de 1802, pertenecientes i la testamentara del cumentos relativos á su nombramiento y exoneración del man último Sr. conde marques de Perales, y se venden para pago di do en segundo del segundo ejército de ope…</t>
  </si>
  <si>
    <t>…as personas ha tentado muy Alocución dirigida á los cuerpos de la milicia nacional volunta en vano, se embarcó poco después deja quema pava la costa de*l ria de esta ciudad por el general D. Rafael del Riego. Norte, según algunos , y que aparentó ir á asuntos importantes, Milicianos voluntarios: Vuestro antiguo compañero os habla, ofreciendo volver muy pronto. os dirige su débil voz. Aquel compañero á quien entre otras dis Peruanos: poned vuestra vista sobre el c…</t>
  </si>
  <si>
    <t>…e dice con certeza, vemos muchos prepa que ha contestado en los términos siguientes: rativos para su recibimiento en esta capital, donde se trabaja sin Mijar 25 de Agosto de 182g. Sr. D. Rafael del Riego. cesar al intento. Dios quiera darnos tan gran consuelo para que He recibido su atenta pero enigmática carta, y meditado su enjuguemos las lágrimas que hemos derramado por espacio de 40 contenido , debo manifestarle: que á los que defienden la causa meses. (I…</t>
  </si>
  <si>
    <t>…aciada agitación en que pusieron á mi corazón el de Oría, provincia de'Granada, contra los restos de la facción año de 1820 sucesos que no quisiera recordar, no hallaba mas del ex—general Rafael del Riego. Hallándome de observación consuelo que recurrir ai Dios de las misericordias pari implorar en la sierra de orden de mi general D. Manuel Adame, supe su clemencia en favor de mi digna Familia y de mi pueblo, dul que 300 hombres de ambas armas de los rebeldes…</t>
  </si>
  <si>
    <t>…orte como al genio restaurador de esta Monarquía, y que en las ex ha froimmiado la sentencia siguiente: tremadas cuanto tiernas demostraciones de regocija con que le „Se condena á D. Rafael del Riego en la pena ordinaria de horca, á la que será conducido arrastrado por todas las calles del (1) „Los periodistas ingleses, dice un realista francés, no tránsito, en la confiscación de'todos sus bienes para la Cámara de S. M., y asimismo en las costas procesale…</t>
  </si>
  <si>
    <t>…o; y la actual estimación debe mi Hoy k las doce del dia se ha ejecutado la pena ordinaria de rarse como las demás que se han dado en varias obras sobre la horca en.la .persona de D. Rafael del Riego. El publico, que tan América; porque al fin no son otra cósa que unos Ensayos-, altamente ha detestado los delitos de este infeliz, ha dado bien Los cá"[culos estadísticos no pueden perfeccionarse sino gradualá! entender que sabe separar el crimen del crimina…</t>
  </si>
  <si>
    <t>…e la misma. jamas. Estamos en el otoño de 1823, y saben este hecho muchas personas imparciales y algunos médicos de los mas acreditados. Exposición que de su puño y letra escribió D. Rafael del Riego la ,,La luz de gas es muy buena de puertas afuera, y muy bri víspera de sufrir el último suplicio, y de que por orden del Rzr llante dentro de las casas, aunque en pasando de cierta distancia, nuestro Señor se ha sacado un FA.C-SIM.1LE. no se puede leer con e…</t>
  </si>
  <si>
    <t>Riera, Bárbara</t>
  </si>
  <si>
    <t>Bárbara Riera</t>
  </si>
  <si>
    <t>…aguera, Doña Dolores Frons, Doña María Arguer y Casa, Doña Jo viene de Peñamelíera, y se apodera de Llanes, y en «odas partes despe sefa Medir y Carnesoltas , Doña Francisca Grau, Doña Bárbara Riera, dazan el precioso signo de nuestras instituciones; dan íobre ellos las Doña María Cata, Doña Teresa Miser y Catá , Doña María Torras, mismas milicias , les matan 9 hombres, les hacen 3 prisioneros y les Doña Rita Jovanet, Doña Manuela Piqueras y Doña Agustin…</t>
  </si>
  <si>
    <t>Riestra, Vicente</t>
  </si>
  <si>
    <t>Vicente Riestra</t>
  </si>
  <si>
    <t>…. Ciases. JSdombrer. hasta que cargándolos enemigos con triplicadas fuerzas, me vi precisado á irme retirando al centro de la población, donde tenia Valencey....... Subteniente... D. Vicente Riestra , extraviado. colocada la mayor fuerza de Valencey en la calle mayor en co Idem.............. Soldados........ Pedro Fernandez, ídem. lumna cerrada. Idem.............. Alanuel Vilches, herido. A penas vieron los enemigos mi movimiento, me cargaron Idem.......…</t>
  </si>
  <si>
    <t>Rife, Joaquín Fuentes del</t>
  </si>
  <si>
    <t>Joaquín Fuentes del Rife</t>
  </si>
  <si>
    <t>…qne el general Arenales llegó el i.° del corriente Guevara por la de Avila: D. Manuel Pío de Arias por la de al puerto de Valparaíso. Viene con poderes del Gobierno de Li Cuenca: D. Joaquín Fuentes del Rife por la de Sevilla: D. Fé ma para pedir auxilios al de Chile. lix María Manso , D, Manuel Rulz del Rio y D. Manuel CaDespués de copiarse en el número del 7 de Mayo del mis sildo González por la de Soria: D. Antonio Ferrer y D. An ino periódico el discurso de L…</t>
  </si>
  <si>
    <t>Riiiz</t>
  </si>
  <si>
    <t>…l, torial, por la de consumos tkc. , tomaron la palabra las cuales fueron aprobadas. en pro y en contra de él varios Sres. diputado;. Alt. 2 ° El Gcbierng podrá reducir la admi El Sr. Riiiz de la Vega impugnó el dictámen, nistración de los efectos comprendidos en dicha ta manifestando, entre otras cosas, que por masque se rifa á aquellas aduanas que sea necesario según los había dicho qne se tendrían presentes los agravios progresos de! ejército…</t>
  </si>
  <si>
    <t>Rijo, Domingo Vacas</t>
  </si>
  <si>
    <t>Domingo Vacas Rijo</t>
  </si>
  <si>
    <t>…mismo idéntico que á su tiem Método de ensenar á leer á los niños desde que comienzan á par po se verá en el diario de &lt; .orles. lar : organización de las escuelas primarias: por D. Domingo Vacas Rijo. Se vende en las librerías de Sojo, Sanz , Rodríguez, Miyar, ARTICULO DE OFICIO. Montero y Esparza, donde se encontrará también de venta una demos El Gobierno ha recibido el parte siguii nte. tración de los extraordinarios electos que produce en las escuelas…</t>
  </si>
  <si>
    <t>Ril'a</t>
  </si>
  <si>
    <t>…Da cal que ie llevó la vadores , quienes cogieron un trompeta y tres prisioneros; á tr.i noticia de haberse instalado en Madrid la Regencia de España. primer ayudante de campo el coronel D. Ril'a¿l Puig-Moitó, El 16 salió S. M. de Sarskao-Ceia (¡) para ir á visitar las conde de Torrefiel, quien á las di-z de la noche se presentó, co'c :as militares. Se detendrá algunos dia^ en ciss de Mr. el habiendo recogido dos oficiales y 50 y tantos prisioneros: e…</t>
  </si>
  <si>
    <t>Rincón</t>
  </si>
  <si>
    <t>…sí bá reforzado cou 15o hombres mas. También han sal ido pira os drj- nada que hacer; que asegure vuestra marcha , vuestras provisio A'varado rao hombres cou objeto de prender al general Rincón que ton el núm. 9 se hallaba en aquel pumo para embarcarse para Goare- nes, la tranquilidad de vuestros acantonamientos, la facilidad de vues mala. Hasta este fecha nada mas sabemos. tras comunicaciones , y que sus ventajas sean prontas y decisiva» : la glori…</t>
  </si>
  <si>
    <t>Rio, Agustin del</t>
  </si>
  <si>
    <t>Agustin del Rio</t>
  </si>
  <si>
    <t>…...................................................................... nD. Miguel Oset. ¡ l,Idcm idem según el artículo 9.0....................... 8400 D. F rancisco Garoz y Zayai D. Agustin del Rio. Alféreces, capitanes. ’J D. Gerónimo Argentó IX Antonio Carcer. IX Agustin Maria de Várgas. Tenientes efectivos. 7200 D. Francisco Oset.................. Jdem teniente } Sargento primero con} D. Luis Torcellinos. . .....................Jgrado de capitán y su…</t>
  </si>
  <si>
    <t>Rio, Fermín del</t>
  </si>
  <si>
    <t>Fermín del Rio</t>
  </si>
  <si>
    <t>…de este ramo, dando solo ha pensado en disminuir vi que tenia , y.... Pero el yerro ya está hecho; cuenta de haber nombrada S. M. para contador general de la America meridional á D. Fermín del Rio y de la Vega, por muerte de D. Vi pensemos solo en remediarlo. Una procesión de santos Reyes aliados se dispone á venir á visitar los centeUC ¿-VUUíCl'J.Romero. santos lugarei de la libertad; es preciso que salgamos 3 recibirlos í ia mitad La comisión de Caso…</t>
  </si>
  <si>
    <t>…uiente de haberse nombrado tas Se aprobó e! dictamen de ¡a ccm’dnn de Hacienda sobre el nombra comisiones de las Cortes se presenten los Sres. secretarios del Despacho á miento de D. Fermín del Rio y de la Vega pira contador general de la dar cuenta del estado en que se halla ia Nación en los diversos ramos de la America meridional, con ral que no se proveyese la resulta que deje el administración publica. ascenso de este sujeto en la secretaría é que p…</t>
  </si>
  <si>
    <t>Rio, Fuentes del</t>
  </si>
  <si>
    <t>Fuentes del Rio</t>
  </si>
  <si>
    <t>…puesto que el dinero no es mas que una mercadería que se observaciones que se lian hecho en la discusión. pr.senta en una plaza con objeto de facilitar el cambio ó permuta de . El Sr. Fuentes del Rio: AI hablar de esta materia t que versa so los demas efectos. bre los intereses del clero, no puedo menos di decir que me rubo he dice que para satisfacer la dotación del clero se harán reparti rizo y me lleno de vergüenza , pues que en 24 años que he sido pár…</t>
  </si>
  <si>
    <t>…ai Gobierno para los efec gunda hora á la sala de la convención el señor ministro de Rela tos convenientes. . ciones exteriores, y leyó tres documentos, que Iiaccn-palpable la El Sr. Fuentes del Rio leyó una proposición reducida ú lo necesidad de remitir un ministro plenipotenciario á Colombia con siguiente: «Pido que las Cortes hagan efectiva la responsabilidad la mayor brevedad , y otro á Lima. Los dos primeros fueron , uno al gefe político de esta pro…</t>
  </si>
  <si>
    <t>Rio, Jaime Fuentes del</t>
  </si>
  <si>
    <t>Jaime Fuentes del Rio</t>
  </si>
  <si>
    <t>…uno cada uno de los Sres. So dios para seguir en sus iniquidades. tos, Montesinos, López del Baño, Cano", Garmendía , Apoita , Rojo, Ha entrado la goleta española Primera Ligera , capitán D. Jaime Fuentes del Rio é Infante. Roca, de la Havana , en 30 días, con azúcar, café y pimienta__Dice Ocuparon sus asientos los Sres. presidente v secretario, y las Cortes su capitán qua el 23 de Diciembre último habia salido ia fragata oyeron con agrado y acordaron se insertasen en…</t>
  </si>
  <si>
    <t>Rio, Joaquin Fuentes del</t>
  </si>
  <si>
    <t>Joaquin Fuentes del Rio</t>
  </si>
  <si>
    <t>…los 4.0 y J.° del decreto de veinte y uno de Se Guevara por la de Ávila: D. Manuel Pío de Arias por la de tiembre ele mil ochocientos doce, en que se dieron varias medidas Cuenca: D. Joaquin Fuentes del Rio por la de Sevilla : D. Fe para asegurar la confianza de la Nación. liz María Manso , D. Manuel Ruiz del Rio y D. Manuel CaArt. "10. El Gobierno dispondrá que los gefes militares y sildo González por la de Soria: D. Antonio Ferrer y D. An políticos, las diputa…</t>
  </si>
  <si>
    <t>…ón de permanente de Córtes , participando al Gobierno la instalación Guevara por ¡a de Avila: D. Manuel Pío de Arias por la de de la Diputación permanente. (Gaceta de¿ 7.) Cuenca: D. Joaquin Fuentes del Rio por la de Sevilla: D. Fé Decreto de las Córtes aboliendo el derecho de décima en las lix María Manso , D Manuel Ruiz del Rio y D. Manuel Ca- ejecuciones. ( Gaceta aei 7.) sildo González por la de Soria: D. Antonio Ferrer y D. An Resolución de las Córtes sobre…</t>
  </si>
  <si>
    <t>Rio, Josef Cepeda del</t>
  </si>
  <si>
    <t>Josef Cepeda del Rio</t>
  </si>
  <si>
    <t>…Burdeos se decia ya que D. Juan Briz , D. Julián Arias Rabanal , D. Antonio Rodríguez, S. A. R. la duquesa de Angulema suspendería su premeditado viage á es D. Marcelino Garrido , D. Josef Cepeda del Rio, D. Sancho Sanabria, ta ciudad. D. Juan Martin Carnes, D. Jacinto de las Heras, D. Francisco Caldas y Los nceocios políticos de la Alemania meridional no acaban de ada D. Pedro Duran Vera Campo , han dirigido al Rey una exposición, en tarse : se entreve sin e…</t>
  </si>
  <si>
    <t>Rio, Manuel Ruiz del</t>
  </si>
  <si>
    <t>Manuel Ruiz del Rio</t>
  </si>
  <si>
    <t>…e ele mil ochocientos doce, en que se dieron varias medidas Cuenca: D. Joaquin Fuentes del Rio por la de Sevilla : D. Fe para asegurar la confianza de la Nación. liz María Manso , D. Manuel Ruiz del Rio y D. Manuel CaArt. "10. El Gobierno dispondrá que los gefes militares y sildo González por la de Soria: D. Antonio Ferrer y D. An políticos, las diputaciones provinciales é intendentes délas provin tonio Roig por las Islas Baleares: D. Josef Sangenís, D. Juan cias ocupadas cir…</t>
  </si>
  <si>
    <t>Ripa, Miguel</t>
  </si>
  <si>
    <t>Miguel Ripa</t>
  </si>
  <si>
    <t>…verificará mediando su Antonio Ponzoa, conde de Floridablanca, D. Antonio Díaz del Mo orden y con todas las formalidades y precauciones que convengan a ral , D. Francisco Barra , D. Miguel Ripa , D. Cayetano Romero, asegurar el buen éxito de la operación en seguridad de los intercies D. Nicolás de Cano Luque y D. Julián de Fuentes. Habida la confe nacionales. rencia , declararon haber lugar á ¡a formación de causa los Sres. Huer ir. Los productos de…</t>
  </si>
  <si>
    <t>…egército D. Fernando Plaza. D. Felipe Arguelles. permanente 240 quintos, continuando las entregas con la mayor acti D. Andrés Fernandez. D. Saturnino Lozano'. vidad en estos días. D. Miguel Ripa. D. Agustín Arricia. También tiene la diputación contratados y prontos los 637 unifor D. Juan Antonio Marco. D. Bernardo de Borlas y Tarritfs- mes completos con armamento y fornituras para infantería ds línea: 55 D. Joaquín Cevallos. D. Josef Urrutia y Anatia…</t>
  </si>
  <si>
    <t>Riv, Gerónimo</t>
  </si>
  <si>
    <t>Gerónimo Riv</t>
  </si>
  <si>
    <t>…s de la compañía de Padilla y 14 milicianos d 1 m smo pu t&gt; o de VicJi, y ao caballo, de la Constitución y resguardo militar, la que de Olera, al mando del subteniente de Ziragoza D. Gerónimo Riv ra, después de haber hecho en el pueblo una brava d.fmsa, se retiró á los se vieron atacados por 600 facciosos, mandado» por el cabrcil'a Cara.o ; conventos del Carmen y Capuchinos, fortificados de antemano, drbil- y aunque este les amenazó con que pegaría fu…</t>
  </si>
  <si>
    <t>Rivas, Francisca</t>
  </si>
  <si>
    <t>Francisca Rivas</t>
  </si>
  <si>
    <t>…servicios patrióticos de Doña"' MINISTERIO DE HACIENDA. Antonia Ramírez y sus dos hermanas. Secretaria del Despacho con el sueldo del secretario , los de los dependientes, los de Doña Francisca Rivas. Doña Justa González , viuda de Don Ma los ex-secretarios, hechas ias bajas de es 88,195 merto Landáburu.1 cala , y los gastos de aquella.. ....... I&lt;432&gt;953 Los hijos de D. Sinforiano Lopcz'Alia. Contaduría mayor de Cuentas. . ................. 1.189,356 La…</t>
  </si>
  <si>
    <t>Rivas, Juan</t>
  </si>
  <si>
    <t>Juan Rivas</t>
  </si>
  <si>
    <t>…ban con insolencia trágala ferro. S. M. .conferir el consulado de Burdeos a D. Isidro Montenegro, Ved los que por último acto de su voluntad sufrema restituyen y el de Gibraltar á D. Juan Rivas. á su Cautivo la plenitud de su poder, le piden perdón y le su plican que capitule con los franceses victoriosos. A la verdad 1 Carmena 23 de Octubre.oue las revoluciones y aquellos que las emprenden se han hecho objetos bien ridículos! A las nueve de esta ma…</t>
  </si>
  <si>
    <t>Rivero, Felipe</t>
  </si>
  <si>
    <t>Felipe Rivero</t>
  </si>
  <si>
    <t>…modo horroroso, y ya muy poco adelantaron hasta por donde marchaba mas que dos compañías con el acreditado las tres ó tres y media de la tarde en que llegó V. Si, tomó el segundo comandante D. Felipe Rivero, el arrojado Espartero mando, y fueron batidos. marchó al enemigo: sus soldados solo una descarga hcieron, y car ” No me creo en necesidad de recomendar á V S. el mérito garon á la bayoneta: el teniente coronel graduado capitán de la de gefes, oficiales y tro…</t>
  </si>
  <si>
    <t>Rivero, Juan</t>
  </si>
  <si>
    <t>Juan Rivero</t>
  </si>
  <si>
    <t>…ando, oficial segundo del mi Las Cortes , á propuesta de la comisión de Leaislacion , corce li.steno de Estado, y D. Juan Anton.o Yandiola, tesorero ge dieron carta de ciudadano á D. Juan Rivero , de nación portu neral de la Nación, había tenido á bien nombrarles, ai primero gués , y-á D. Francisco Pieu, capitán del regimiento infantería secretario del Despacho de Estado, y al segundo del Despacho del ihíncipe , de nación romano. de Hacienda. Las Cor…</t>
  </si>
  <si>
    <t>Rives, Josef</t>
  </si>
  <si>
    <t>Josef Rives</t>
  </si>
  <si>
    <t>…á iSde Enero'de 1813: El Sr-'D. Ramón En su vista sé reúriió el jurado, compuesto de los señores siguientes: de Argos, magistrado honorario de la audiencia territorial de Castilla D. Josef Rives, D. Casimiro Martin , D. Jaime Ruíz y Abreue la Nueva , y juez ietrido de primera instancia en esta dicha villa: Ha- D. Andrés de Aloya Luzuriaga , D. Josef Antonio Ponzoa , el conde tiendo visto la cau:a seguida á instancia de D. Agustín Josef Mestre, ' de F…</t>
  </si>
  <si>
    <t>RivesyD, Josef</t>
  </si>
  <si>
    <t>Josef RivesyD</t>
  </si>
  <si>
    <t>…ispuse sa tes, D. Matías Pinilla , D. Manuel González del Campo,D. Manuel Me liesen tres partidas fuertes de ¡nfanv-ría y caballería con las instrucciones rino, D. Lorenzo Lambca, D. Josef RivesyD. Manuel Carnicero. Ha y ira la persecución y aprehcii'-.i-n de otos infames: igualmente procederé, bida la conferencia se declaró por unanimidad » haber lugar á la forma según los avisos que vaya adquir n. .la salida de otras por el rio Celda, ción de causa.”…</t>
  </si>
  <si>
    <t>Ro</t>
  </si>
  <si>
    <t>…lmente el que había dado la Const.tucion; lo cual era De la milicia nacional activa de la ciudad de Mahon, presentada y leimuy fácil declarar, y hacer ver que es cierto. da por ti Sr. Ro;g. El mismo periódico añade que, Según todas las probabilidad:s, el Go Del ayuntamiento constitucional, juzgado de primera ir.star.c-la y fiscal bierno francés habrá recibido á estas horas (el 18 de Febrero) al.un.is no de la Villa de Luarca, provincia de Ovi…</t>
  </si>
  <si>
    <t>…ocales instruir al Gobierno con la de Urgel y otras. ■ posible justificación acerca de los sugetos indiciados de estos delitos, El" Sr. Arguelles: Ins'stiré en lo propuesto por el Sr. Ro para qite- tenga efecto dicha ocupación , y en su caso los demás mero. Aunque no podré reconocer jamas que pueda haber una procedimientos judiciales conforme á las leyes. reunión de personas, españolas ó sean extranjeras, que arro El Sr. secretario del Despac…</t>
  </si>
  <si>
    <t>…1 Gobierno , y á los decretos tus y cuatro. Del Sr. Sánchez comisión no omitir ninguna de las circunstancias agravantes ó ai art. i.° sobre formación de tribunales especiales. Del Sr. Ro ftívolas que se encontrasen ya en el acta ya en los poderes. Que mero ai mismo artículo y al 2 P , y de los Sus. Rodríguez Pa el artículo 99 de la Constitución previ eme que- se di; á cada un di terna y Quiñones por haber admitido en la totalidad dicho pro pu…</t>
  </si>
  <si>
    <t>…esa Se declaró discutida, y se aprobó esta parte del dictamen. de los documentos á los pagadores generales, los retendrán en su Se mandó insertar en el acta el voto particular del Sr. Ro poder hasta que se presente y aproveche. dríguez Paterna, contrario á ia aprobación de la totalidad dd ex zVrt. 13. Los pagos de que trata ti articulo anterior deben ha presado dictamen. berse verificado con fondos antes existentes en poder de ¡os comi Fueron…</t>
  </si>
  <si>
    <t>Ro, Alejandro</t>
  </si>
  <si>
    <t>Alejandro Ro</t>
  </si>
  <si>
    <t>…l sorteo vitoreaban á la Constitución cuando pasaba la tropa. monstruo voraz, cuya desenfrenada ambición se alimenta en el des El rq dispuse que al amanecer saliesen los tenientes D. Alejandro Ro orden , en la anarquía y en la ruina y destrucción de Ja existencia del bles y D. Justo Moya con 80 hombres de Pontevedra y Fenol á re mundo moral, que depende del orden, de principios, leyes y reglas que correr los puntos de S. Andrés de Roade y el Castro, p…</t>
  </si>
  <si>
    <t>Ro, Anastasio</t>
  </si>
  <si>
    <t>Anastasio Ro</t>
  </si>
  <si>
    <t>…de los noticias pasó 4 Francia el año 22 á incorporarse á las divisiones regeneradores del mundo , copiamos á continuación un artículo realistas, tendrá la bondad de comunicarlo á D. Anastasio Ro que se halla en la gaceta de Lisboa, núm. 164, escrito por un dríguez, profesor de miniatura en Madrid, puerta del Sol, fren portugués, y dirigido al editor de la Estrella, donde parece te á la fuente , núm. 18, quien lo agradecerá, pues hay que co que se ins…</t>
  </si>
  <si>
    <t>Ro, Antonio</t>
  </si>
  <si>
    <t>Antonio Ro</t>
  </si>
  <si>
    <t>…ím a K. Sr. por • Originales acompafio los partís dados »i rx-mo V. petu , se alejaron demasiado de la dirección de ¡a columna, por lo que el comandan re de la provincia de Orense D. Antonio Ro&gt;-lló , i fin de que V E. los mande imprimir en el d ar o i - esa c¡u ad, y sitva de me ví precisado, en viitud de ia orden que V. S. me comunicó de ata car el puente, de hacer salir otras dos, D una de Santiago, al mando satisface on i heró c &gt; pueblo y * tod…</t>
  </si>
  <si>
    <t>…rebatallón de la M. A. de Orense y el ligero de llostalrich. nienie D. Josef María Patino y otros retirados en esta villa. Los se Tercera división , al mando del mariscal de campo D. Antonio Ro ñores oficiales y tropa del cuerpo nada me han dejado que desear, y ten, la formarán el batallón de Marina, el de Galicia , el de Ordenes lo mismo los voluntarios nacionales, que excitados con entusiasmo militares, el de milicia activada Sigüenza y los batall…</t>
  </si>
  <si>
    <t>Ro, Antonio Ranz</t>
  </si>
  <si>
    <t>Antonio Ranz Ro</t>
  </si>
  <si>
    <t>…ón de las vidas de los hombres ilustres de Plutarco, he do la gloria de mandar £ soldados valientes y patriotas bizarros. = Dios cha del original griego por el consejero de Estado D. Antonio Ranz Ro guarde á V. E. muchos años. Cuartel general de la Perdiguera 24 de pe manillos y está ya muy adelantada la impresión del 4.0, en cumplimien bre ro de iÜig.mExcmo, Sr.nzEl barón de Carondelet.mExcmo. Sr. secre to de la oferta que se hizo al principio de que no…</t>
  </si>
  <si>
    <t>Ro, Cayetano</t>
  </si>
  <si>
    <t>Cayetano Ro</t>
  </si>
  <si>
    <t>…gunos aventureros intentaron contra Puerto— res siguientes: lCico din la vela del departamento de Cartagena en 23 de Noviembre del D. Valentín Ortigosa , D. Marcos Antonio Mcnczo, D. Cayetano Ro aro ultimo con destino á cruzar en aquellas aguas, fondeó en el lirismo mero, D. Nicolás Alcrsz», D. Juan Luqui:, D. Joaquín Manrique , Don puerto ei 14 dei siguiente mes; y enterado su comandante el capúan de Juan Fernandez Casariego, D. Valentín Recio y D.…</t>
  </si>
  <si>
    <t>Ro, Conde de S.</t>
  </si>
  <si>
    <t>Conde de S. Ro</t>
  </si>
  <si>
    <t>…Esta verdad no ral de A; acón al Teniente general D. Pedro de Grimarest: Ins necesita de prueba, y nadie duda que ia marina ligera de los ca pector general de Milicias al Teniente general Conde de S. Ro balleros de Malta contuvo por espacio de 10 a,.os a ios piratas del mán : Inspector general de caballería al .Mariscal de Campo Don Africa, con menos gastos que se emplearon en ja expedición gi Diego Ballesteros; y Gobernador de Sanlúcar de Barrameda al gante…</t>
  </si>
  <si>
    <t>Ro, EraneAco de</t>
  </si>
  <si>
    <t>EraneAco de Ro</t>
  </si>
  <si>
    <t>…obre Quedaron aprobados los dictámenes que las tonvbion;-* res tilín ■ ar o- - ; aquella ciudad un alcaide constiltK'onu! : oii.n.rst pectivas presentaron sobre las solicitudes de D. EraneAco de Ro «¡ve pasase il Gobierno para que con su informe !o devolviese á jas, presbítero, D. Gregorio Fernandez, ajtistino rccoicn, Don i,!.. &gt;' orí. s. Aprobado. Juan Marina , prests tero , y ¡J. Cristóbal Vicente de Munida. Otro sobre j;i exposición de O. Rafael de…</t>
  </si>
  <si>
    <t>Ro, Félix</t>
  </si>
  <si>
    <t>Félix Ro</t>
  </si>
  <si>
    <t>…rza con la que yo mandaba , mientras el capitán de dichos culatazos, y le tuvieron atado toda la noche ccrr ua paio en la mano cazadores D. Lron Inarte y el sargento del resguardo D. Félix Ro guardando tas ovejas de qu: luce i V. fi mmc.on cu mi citado parte mero, ambos con tg hombre* cada uno, conservaban dos puntos inte de ayer , las cuale* tampoco las devolvieron. resantes. Los facciosos al principio trataron de resistirse disparando va La fuer…</t>
  </si>
  <si>
    <t>Ro, Joaquín</t>
  </si>
  <si>
    <t>Joaquín Ro</t>
  </si>
  <si>
    <t>…a el 8 del corriente á desempeñar las comisiones que se le han en comandante da la quinta división , que con algunas fuerzas ios ha dis cargado, conduciendo de trasporte al contra-almirante D. Joaquín Ro persado, y perseguido después durante todo et dia , me comunica ver dríguez de Rivera , otros individuos ds marina, y algunas piezas de balmente que son mas de 5co los que se cuentan por su parte-, de manera artillería con varios de sus pertrechos ó útiles. q…</t>
  </si>
  <si>
    <t>Ro, León</t>
  </si>
  <si>
    <t>León Ro</t>
  </si>
  <si>
    <t>…esentadas por un brigadier de los egércitos nacionales. no puede descenderse á casos particulares, á causa de que es tal la na A la segunda de Hacienda se remitió una solicitud de D. León Ro turaleza de este negocio, que con dificultad se encontrarán seis indi dríguez en nombre de la viuda del capitán del navio S. Teimo, solici viduos én un mismo é idéntico caso. Por todas estas razones la comi tando para esta la viudedad que la corresponde. sión…</t>
  </si>
  <si>
    <t>Ro, Lorenzo Calvo de</t>
  </si>
  <si>
    <t>Lorenzo Calvo de Ro</t>
  </si>
  <si>
    <t>…nsula á D. Antonio Diaz del Moral ; para la de Gracia y Justicia hahido poquísimas desgracias, que manifestaré cuando, pueda dar mas de á D. Josef Zorraquin; para la de Hacienda á D. Lorenzo Calvo de Ro talles. Según noticias siguen en Vanearlo, y tratan de volver en esta zas; para la de Guerra á D- Jcsef Torrijos, y para la de Marina á Don noche.” Ramón Roinay; y mientras elijo persona que desempeñe en propiedad la P. D. Han salido de Tortosa en dirección á…</t>
  </si>
  <si>
    <t>Ro, Manuel de</t>
  </si>
  <si>
    <t>Manuel de Ro</t>
  </si>
  <si>
    <t>…olítico de Cáceres en 30 de Muyo último de que una facción de 80 hombres, apo yada en el pueblo de Cabezuela que se compone de mas de 400 Por el correo de p del corriente remitió) D. Manuel de Ro vecinos, fue destrozada enteramente por una partida de 32 mili bredo , vecino de Madrid á D. Angel Garc:a Fernandez , de 1* cianos voluntarios de Cáceres, Casar de Cáceres y Valencia de Coruña, 10 vales de á 200 pesos no consolidados de la creación Alcántara,…</t>
  </si>
  <si>
    <t>Ro, Pedro</t>
  </si>
  <si>
    <t>Pedro Ro</t>
  </si>
  <si>
    <t>…S. MM. y drón D. Alejandro Bóveda; al ayudante de la misma arma Dan AA. de las cadenas é infame opTcsion en que están constituidos Ramón de la Torre ; á los capitanes d: cazadores D. Pedro Ro por esa horda di feroces y desapiadados vándalos, estando decidí- dríguez de Cármenes, del primcio d* Alava, y D. l’ílipe Izar-</t>
  </si>
  <si>
    <t>Ro-, Daniel</t>
  </si>
  <si>
    <t>Daniel Ro-</t>
  </si>
  <si>
    <t>…arar algunos por ci tiempo que estuvo suspenso del empleo que ejerció duran de ellos. te la dominación del gobierno intruso. Aprobado. Las Cortes concedieron carta de naturaleza á D. Daniel Ro- La misma comisión, en vista de la instancia de D. Timoteo binson , y cartas de ciudadanía á D. Manuel Antonio Perez, ori Connelli, teniente coronel de egército , para que se le continúe ginario de Africa, á D. Francisco Tarabino, á D. Juan Bautis la pensión de 1…</t>
  </si>
  <si>
    <t>Ro-, Joaquín Mana</t>
  </si>
  <si>
    <t>Joaquín Mana Ro-</t>
  </si>
  <si>
    <t>…pase aquel al Gobierno , y este á la junta protectora de libertad raciones. de imprenta. Art. ? 5. Las obras que en virtud de las leyes ante El Rey , enterado de la exposición de D. Joaquín Mana Ro- riores á la de 22 de Octubre de 1820 han sido censuradas pri may, teniente del resguardo militar de Vigo , en que pide pasarmera y segunda vez por las juntas de censura , cuya última cali en clase de soldado durante la actual guerra á uno de los regi ficación…</t>
  </si>
  <si>
    <t>Ro-o</t>
  </si>
  <si>
    <t>…punto confio por el de S. Lorenzo He Sardas . ene Se mando pasar á la comisión1 covrcspondicni&lt;? un» esputa o* el otro amenazado, y en cuya observación se hallaba e! gene ción del Sr. Ro-o, reducida a que las Corves decreten una ley ral Miians con su val.ente d:v »-on . resucito si lo intentasen a por la. cual se diva que los que cometan excesos amera lo* pat-- arrollar la audacia de lo» pérfido» invasores," t cu!.res por motivo de opiniones qu…</t>
  </si>
  <si>
    <t>Roberto</t>
  </si>
  <si>
    <t>…untarios locales de S. Sebastian y Vitoria D. Miguel de Soroa, cos y los capuchinos á unirse con los jesuítas, y quisieron partir que murió á poco rato, y el general de ingenieros D. Roberto con ellos la gloria de convertir á los chinos. iNo tardaron mucho W ilson.=Kccomcndar á V.E. á algún individuo particularmen tiempo en suscitarse fuertes dispuras entre estas diversas órdenes te seria hacer un agravio á los demás. Todos llenaron sus deberes r…</t>
  </si>
  <si>
    <t>Robledo, Josef Gabriel de</t>
  </si>
  <si>
    <t>Josef Gabriel de Robledo</t>
  </si>
  <si>
    <t>…s. Sí, amados convecinos, les dice , entre nero en ios autos formados por Doña Isabel de la Riva Roble otras cosas, » no puedo menos de dirigiros mi voz, hija del mas do y su hijo D. Josef Gabriel de Robledo para la apertura de » sencillo afecto hacia nuestro amado Rey y Señor, bien y de- unatienda en la calle de Postas, esquina á la de S. Jacinto, so n fensa y aumento de nuestro santa religión católica........; pero bre reclamación de alquileres anticipados y tr…</t>
  </si>
  <si>
    <t>Robledo, N.</t>
  </si>
  <si>
    <t>N. Robledo</t>
  </si>
  <si>
    <t>…tas los milicianos de la cuarta del segundo D. Vicente García y esperarse tanto sacrificio y tanta constancia. Madrid 3 dé Febrero de y D. Jos-f Blanco , y el agregado á la quinta D. N. Robledo. Fu-ron i8i3.=rRodrigo de Arand3. hec1 os prisioneros ry milicianos y dos cornetas de ios que escoltaban El ayuntamiento ha acordado noticiarlo al público para su inteli el convoy de la columna al mando de dicho general G Daly , y al- gencia. Madrid 11 de Feb…</t>
  </si>
  <si>
    <t>Robles</t>
  </si>
  <si>
    <t>…lar vuestra re conde de Borrageiros, igualmente que los cabecillas Cagtde y pentina trasformacion de la clase de ciudadanos pacíficos é in Pallares, reunió las tropas a¡ mando del teniente Robles y del dustriosos 4 la de guerreros impávidos, decididos á salvar á subteniente Lariba, y marcharon al puente Arc.-diago; y sabien costa de vuestra sangre el honor ofendido de esta heroica Na do que los facciosos se hallaban en S. Tirso, los atacaron , ha ción…</t>
  </si>
  <si>
    <t>Robles, Francisco</t>
  </si>
  <si>
    <t>Francisco Robles</t>
  </si>
  <si>
    <t>…s gente de la guarnición con el_comandante El Rey , á consulta del consejo de Estado, se ha servido nombrar Fábregas , de cuyo primer piso te habían apoderado; envié al batallón á D. Francisco Robles para la plaza de juez letrado del partido de San de Córdoba i atacar los 400 , los que huyeron en dirección i Besaiu, tiago de Sisamo , en Galicia. dejando .res muertos; dispuse que el batallón de Africa atravesase el pueblo, loque verificó i la bayoneta, der…</t>
  </si>
  <si>
    <t>Robles, Josef</t>
  </si>
  <si>
    <t>Josef Robles</t>
  </si>
  <si>
    <t>…de Acar- D Juan hizo Mina que le llevasen á la muralla de Barcelona, desde don Antonio Olaechea , teniente coronel graduado del de Chancha, de logró ver y seguir los movimientos. D. Josef Robles, v el capitán de dragones de lea D. Juan bau « Se habla de otros varios encuentros muy Serios ocurridos el tista Arana , como que fueron de los primeros a sembrar e: ter 19; pero aun no se han sabido los detalles. Todo lo relativo al ror y espanto en Qtiiros…</t>
  </si>
  <si>
    <t>Robles, Vicente Lago</t>
  </si>
  <si>
    <t>Vicente Lago Robles</t>
  </si>
  <si>
    <t>…oe Encargado de Negocios de Austria.” pasaportes que necesito pa--salir de España , y le renuevo la seguri dad de mi alta consideración.” =Es copia traducida. Por fallecimiento de D. Vicente Lago Robles se halla vacante una plaza de magistrado de la audiencia de Aragón, para la cualse admiten Contestación. memoriales acompañados de sus respectivos extractos de méritos por » Muy Sr. mió: He recibido la nota que V. S. me he pasado con término de 30 d.as. fecha…</t>
  </si>
  <si>
    <t>RobreBo</t>
  </si>
  <si>
    <t>…o pidan sus zo repetir y en la repres-.-nt.uion d-c U hermoti pi ¿1 de ¡a defensa de propios representantes, y que esten convencidos, asi como debéis estar Selle»!, obra del mismo Sr. RobreBo, en que se pinta m.-y ai vivo la noble if cisión de los habitantes de aquella villa ,ei: que has:; los niños lo vosotros, de que ei Gobierno desea sinceramente prepararos una Constitución que sea arreglada al espír,tu del siglo en que vivimos, y son héroes, v…</t>
  </si>
  <si>
    <t>Robredo, Manuel de</t>
  </si>
  <si>
    <t>Manuel de Robredo</t>
  </si>
  <si>
    <t>…e Atdama, endosado» en fe político lo qúc sigue : dicho dia p por D. Simón de Ibarra al citado D. Angel García, ” He dado cuenla al Rey de! oficio de V. S. fecha 30 de Ma valor de D. Manuel de Robredo: níim. 23,107 encabezado á yo último níim. 356, dando cuenta de lo acaecido en Cabezuela D. Ramón de Aneldo: núm. c 1,268 encabezado á Doña .An en 26 dei misino mes; y 5. M. se ha servicio aprobar las dispo tonia l’arandiarian , ambos cedidos por ¡barra en la…</t>
  </si>
  <si>
    <t>Roca, Joaquín</t>
  </si>
  <si>
    <t>Joaquín Roca</t>
  </si>
  <si>
    <t>…D. Félix Valdés. D. L uis Zaforteza. D. Francisco de Paula Borei. D. Francisco Brú de Salas. D. Federico Roncali. Cadetes...................... - Alféreces, 6coo D. Josef Allende. D. Joaquín Roca. D. Josef Moreno y Sopranis. D. Josef Alfaro y Sandoval. D. Pedro Eenavide............................ j Cádiz 20 ríe Julio de 1823. nr Rubricado.r= Es copia. (Si concluirá, j EN LA IMPRENTA NACIONAL.</t>
  </si>
  <si>
    <t>Roca, Josef Valla y</t>
  </si>
  <si>
    <t>Josef Valla y Roca</t>
  </si>
  <si>
    <t>…os fondos de la suscripción voluntaria, y sirva de estímulo í D. Manuel González del Campo. D. Antonio Soliva. los patriotas para continuar sus donativos en favor de la libertad é D. Josef Valla y Roca. D Ramón Queraltó. independencia de la Nacioa. D. Joaquín déla Vega y Quintana. D. Cayetano Rubio. D. Luis de Mata y Araujo. D. Bei nardo Asen jo. _ Debiendo empezarse desde luego las operaciones preliminares par.» D. Gregorio Mendivil. D. Josef Francisco Mui…</t>
  </si>
  <si>
    <t>Roca, Josef Valls y</t>
  </si>
  <si>
    <t>Josef Valls y Roca</t>
  </si>
  <si>
    <t>…países; tú acabas de dar la independencia á. Euro guientes: D. caturnir-o Lozano, D. Bernardo Asenjo, Don pa ; tu darás al mundo la libertad. . Valentín Recio, D. Manuel Zulueta, D. Josef Valls y Roca, — La diputación provincial á los ciudadanos milicianos y de D Antonio Palacios , D. Santiago Vicente Les, D. Isidro mas patriotas de la provincia de Madrid. Francés Cabañas y D. Nicolás Cano de Luque. «Españoles: El egército francés ha invadido nuestro terri…</t>
  </si>
  <si>
    <t>Rocabruna, Gaspar</t>
  </si>
  <si>
    <t>Gaspar Rocabruna</t>
  </si>
  <si>
    <t>…n presos de la causa dcí 7 de J ulio. sortes , opinaba que correspondía al cuerpo de artillería. Apro Los brigadieres D. Juan de la Porte Despierne, D. Carlos bado. conde de Aíoy, D. Gaspar Rocabruna, D. Manuel del Mazo. La comisión segunda de Hacienda , en vista de la exposición Los coroneles D. Francisco Marimon, D. Fernando Salamanca, de la viuda de un soldado del resguardo militar de Barcelona* * D. Juan Linan, D. Luis Fernando Mon, el conde la Torre.…</t>
  </si>
  <si>
    <t>Rochejacquslein</t>
  </si>
  <si>
    <t>…tajoso, el 7.0 de infantería mó parte la brigada del general Corsin , que acababa de llega; con el general Loverdo: todo parecía introducir la confusión y ligera, conducido por el general Rochejacquslein , trepó por las el espanto en Ja guarnición: las compañías de carabineros colo rocas mas escarpadas, y tomó á la bayoneta las obras de defen sa. Muy presto el enemigo, arrojado sucesivamente de todas sus cados frente de la única entrada de la fortaleza se apr…</t>
  </si>
  <si>
    <t>Rodas, Rafael de</t>
  </si>
  <si>
    <t>Rafael de Rodas</t>
  </si>
  <si>
    <t>…ía, armas, municiones y efectos de guerra. Dos dias hace esta ha remitido el oficio siguiente que copiamos: ba otro para dar la vela á Santoriá y Santander, conduciendo pertrechos D. Rafael de Rodas tiene establecida en Aranjuez una fibrica de de guerra, de que tenemos abundancia. Por todo este mes esperamos barrilla artificial que alimenta con el compasto que producen las salinas sobre 50 piezas de bronce de lodos calibres, todas sus dotaciones, y una d…</t>
  </si>
  <si>
    <t>Rodil</t>
  </si>
  <si>
    <t>…iz felicitan i S. M. por las En la tarde del 27 del mismo mes, huyendo el expresado Quirói enérgicas contentaciones dadas á las notas que pasaron los enviados de de las tropas del coronel Rodil , cayó en manos de (as que conducía el Francia , Austria, Rusia y Prusia, f manifiestan que tos individuos de brigadier Carratalá desde Córdoba con este objeto: sobre Ja misma cor este cuerpo, que en el año de j3i2 contribuyeron con sus esfuerzos á dillera de…</t>
  </si>
  <si>
    <t>Rodil, Joscf Ramón</t>
  </si>
  <si>
    <t>Joscf Ramón Rodil</t>
  </si>
  <si>
    <t>…unios ¿ nosotros para anti El mando del Gobierno de aquella capital y sus inmediacio cipar el venturoso dia en. que estrechados con unos mismos vín nes se lo han dado al Brigadier D. Joscf Ramón Rodil (Coro culos podamos exclamar alegres: viva el Dios protector de la jus nel que fue del batallón de Arequipa), señal de que el Virey Laticia: viva FjsxKtrfpo YZI idolatrado;y viva par» siempre la inal Serna piensa residir en el Cuzco. terable unión entre nosot…</t>
  </si>
  <si>
    <t>Rodil, Ramón</t>
  </si>
  <si>
    <t>Ramón Rodil</t>
  </si>
  <si>
    <t>…yan quedado completamente tranquilos Jo* partidos reunión de las tropas que venían de aquella ciudad al mando del de Parinacochas, los pueblos del de Camaná que están ai norte Sr. coronel D. Ramón Rodil; la que se verificó oportunamente de Ocoña, el de Lucanas , el de lea y el de Castro Virreina , de el 31 de Marzo, y cuyo gefe desde su reunión nada me dejo que biendo decir a V. E. que si las tropas del ejercito de Luna tu hacer. vieron ¡a gloria de conciuir…</t>
  </si>
  <si>
    <t>Rodon, Antonio</t>
  </si>
  <si>
    <t>Antonio Rodon</t>
  </si>
  <si>
    <t>…pinión ; pero de modo que te deliberación'con arreglo á la'ordenanza vigente. El a'.c&amp;lde del cuar la Rusia en este arreglo no tenga el mayor influjo en los negocios po tel cuarto D. Antonio Rodon recibirá las notas correspondientes al líticos. . . . j. ■ ■■ Cuartel segundó. — Posteriormente parece que se ha Rallado un medio de entremeter -»Todo el que denunciare Aúna ó irlas personas que pasado el termtse en los negocios de Turquía, sin atacar la legi…</t>
  </si>
  <si>
    <t>…Aprobado. impedido el que se lleven á efecto. La misma comisión presentó su dictamen sobre ei expedien El Sr. presidente anunció que mañana después de darse cuen te promovido por D. Antonio Rodon , y proponía se acordase ta de varios expedientes se discutiría el que había quedado sobre por regla general que los españoles perseguidos por su adhesión la mesa-sobre incorporación á la Nación de ios oficios de corre al sistema constitucional no han perdido…</t>
  </si>
  <si>
    <t>…de aquella isla alcanzan hasta el dia 13 de La misma comisión presentó su dictamen sobre el expedien Marzo, y con esto queda ya bien palpable la ligereza con que te promovido por D. Antonio Rodon, y proponia se acordase aquel periodista ha publicado semejante noticia. por regla general que los españoles perseguidos por su adhesión — Las ultimas noticias venidas de la Ida vana dicen que luego ai sistema constitucional no han perdido su derecho de vecin…</t>
  </si>
  <si>
    <t>Rodrigo, Leandro</t>
  </si>
  <si>
    <t>Leandro Rodrigo</t>
  </si>
  <si>
    <t>…versión sin el t:xto latino se venderá 18 rea de 30 dias, contados desde su publicación, se presenten á ios les cada teme para ios suscriptores, y á 22 para tos que no lo síndicos D. Leandro Rodrigo de la Torre y D. JVf guel Gonzá sean. El Sr. Torres Amat, después de haber hab ado en el pró lez de Zurbano, de quienes darán razón en la escribanía del logo del mérito de la versión del limo. Seto , manifiesta el mo número de D. Jacinto Gaona y Loaches, dond…</t>
  </si>
  <si>
    <t>Rodrigu, Francisco</t>
  </si>
  <si>
    <t>Francisco Rodrigu</t>
  </si>
  <si>
    <t>…teresan vivamente por el desgiaciado En su v.sta se r-tinió el jurado, compuesto de los señores siguientes: Padilla , y pocos hay que no le tributen.lágrimas, que arrancan alterna D. Francisco Rodrigu z de Guevara , D. Pedro Salnz de Baranda, tivamente ya el dolor, ya el entusiasmo , según los varios afectos que D. Márc'-s Izqui :rdo , D. M./uet de Nájera , D. Lorenzo Lambea, se apoderan del héroe. La fluidez del verso , los rasgos de historia , en I). Jua…</t>
  </si>
  <si>
    <t>Rodríguez</t>
  </si>
  <si>
    <t>…leyó y quedó aprobada el acta de la anterior, mandándose cionadas sol é.tudes para los fines expresados en ei m.-nc or.do de agregar á ella los siguientes votos particulares: del Sr. Rodríguez creto. Aprobado. Paterna, contrario á la aprobación del articulo del proyecto Continuo la discusión de las medidas propuestis por la comi sobre las medidas extraordinarias propuestas por el gobierno: del sión especial encargada de informar sobre .a, propuesta…</t>
  </si>
  <si>
    <t>…tos de caballería permaneciendo en el hasta ayer á las cuatro de la tarde, hora en constarán de cinco escuadrones de á dos compañías de á 90 caba que recibí un oficio del teniente coronel Rodríguez , á quien di Ja llos cada una. Cada compañía tendrá cuatro oficiales. Para cada comisión de venir á esta de Moguer con los objetos que expresé á regimiento habrá un teniente coronel y dos mayores: estos dos ge- V. E. en dicho parte, manifestándome desde S. Ju…</t>
  </si>
  <si>
    <t>Rodriguez</t>
  </si>
  <si>
    <t>…han escrito ahora. El Sr. Ferrer ( D. Joaquín). No puedo menos de confesar El Sr. Galiano: Yo he hablado sobre un hecho y no he sen que me han escandalizado tanto ¡as palabras del Sr. Rodriguez tado hipótesis: por lo demás si acaso me excedí en la discusión Paterna, como la conducta misma del conde de Cartagena. Aquí de las medidas diciendo que eran una dictadura necesaria , el en nada ofendemos el honor del general Morillo, porque ¿quién Congreso o…</t>
  </si>
  <si>
    <t>Rodríguez, Antonio</t>
  </si>
  <si>
    <t>Antonio Rodríguez</t>
  </si>
  <si>
    <t>…— González, D. Bernardo García Pelayo , D. Josef Francisco de ¡a Pera, virtud de la que había hecho el comercio de Burdeos se decia ya que D. Juan Briz , D. Julián Arias Rabanal , D. Antonio Rodríguez, S. A. R. la duquesa de Angulema suspendería su premeditado viage á es D. Marcelino Garrido , D. Josef Cepeda del Rio, D. Sancho Sanabria, ta ciudad. D. Juan Martin Carnes, D. Jacinto de las Heras, D. Francisco Caldas y Los nceocios políticos de la Alemania m…</t>
  </si>
  <si>
    <t>…bado A otros puerros de dar.á V. r§, la -balietitB witicia voluntaria;de esta villa ,que esta, costa para- poder’ formar un cuerpo fuerte, y~marchar al mandad», pór su comandante- D. Antonio Rodríguez y "Car ha ll al-, se ha- pprtado con tai-ardor patrio, que sed i mas hay quefren te.-del-enemigos i i Gobierno político de la provófeta‘de,Orense. «■ &lt;• - ; pedir ,: tar.to'los de caballetía como los-de thíáhrena , qué ío.. .Habiéndose' reunido-én la Moimenta…</t>
  </si>
  <si>
    <t>…memoria durará circunstanciados por el bizarro comandante de voluntarios na mientra? haya hombres libres. Vuestras espesas, vuestros padres, cionales de caballería de la Mezquita D. Antonio Rodríguez vuestros hermanos , vuestros amigos,, todos os preparan laureles y Carbaiial, por su padre D. Silvestre y otros varios; y por to cón. que adornar vuestras sienes vencedoras , y la provincia se dos ellos conformes resulta que el comandante español muerto vanag…</t>
  </si>
  <si>
    <t>Rodríguez, Antonio López</t>
  </si>
  <si>
    <t>Antonio López Rodríguez</t>
  </si>
  <si>
    <t>…sabilidad acerca de la propuesta por el Sr. Arguelles «pieja dada por varios vecinos de Carada contra su dido varios .Síes, diputados que se espresasc haber alcaide constitucional D. Antonio López Rodríguez. sido api ¡diada por unanimidad., dijo el Si'. Vargas La misma comisión opinaba que se devolviese al que él no la aprobaba. Gcdiiéruo el expediente relativo á la queja dada por El Sr. Salíalo dijo : Pido se esprrse en el acta dosel' Sumpcr contra ciertos indi…</t>
  </si>
  <si>
    <t>Rodríguez, B-rnsrdino</t>
  </si>
  <si>
    <t>B-rnsrdino Rodríguez</t>
  </si>
  <si>
    <t>…e con tal rapidez, que un Se continuó la discusión del dictamen de la comisión de Guerra solo individuo se libró: otros buques habian sufrido mucho de la mis «obre la solicitud de D. B-rnsrdino Rodríguez para que se le eximiese ma enfermedad. Las cartas de Bahia del 3 de Octubre refieren que el á su hijo cuarto del sorteo (véase la sesión de ayer), y después de una genrral Madeira ocupaba aun aquella ciudad y los fuertes que la defen breve discusión se declar…</t>
  </si>
  <si>
    <t>Rodríguez, Fernando</t>
  </si>
  <si>
    <t>Fernando Rodríguez</t>
  </si>
  <si>
    <t>…sa des cordará con dolor la péidida del capitán de dragones de la Union Don de Garcinarro, y el general O-Dily en la misma dirección desde VeLuis Seco y el cadete del mismo cuerpo D. Fernando Rodríguez: los llisca con el ob|íto de proteger la venida de las tropas del octavo dis cuerpos de estos valientes fueron deshechos á balazos y bayonetazos. trito militar y del escuadrón de Calatrava que r-gresaba de Cuenca, re n En Europa cenc-.nares ue millares de hom…</t>
  </si>
  <si>
    <t>Rodríguez, Josef</t>
  </si>
  <si>
    <t>Josef Rodríguez</t>
  </si>
  <si>
    <t>…ternales nada podían rehusar que fuese en provecho de los españoles; $). Tadeo Perez. D. Luis Peceto de Andrés. y desde entonces ha visto comprobado de mil modos que estos deseos D. Josef Rodríguez. D. Francisco López OUvarriet»., eran la voluntad general, sin la cual mal pudieran haber llevado á ca D. Arias Gonzalo de Mendoza. D. Mariano Goycoechea. bo su loable empresa una porción de hombres valientes sobre toda D. Pedro Bustes. D. Juan Rodríguez Guil…</t>
  </si>
  <si>
    <t>…su capitán Don dictamen, que contenía los artículos siguientes: Juan Fernandez Bordoe__ Goleta española Fama de Honduras, Art. i.° No habiendo cúmplalo la casa de Bernales y sobri capitán D. Josef Rodríguez , de Honduras y la Havana en 47 nos de Londres el contrato que en 14 de Enero de este abo h.zo dias, con añil, azúcar y café , á Castrisiones—Dice que ayer con el Gobierno, en consecuencia del decreto de las Corto de 4 tarde le dió caza una corbeta de guerra…</t>
  </si>
  <si>
    <t>…aus.izeFirmadoerJoscf Ruiz de Porras .sr Anrc-bado=ccnde de tímente del R-al resguardo antiguo D. Antonio de Luque,y Lobjrdo.=Sr. teniente general Caro, comandante de las tropas a D. Josef Rodríguez, comandante de una de ias paTtidas rea de S. M. Católica, en el alojamiento del Sr. Ordoñez. listas de caballería, quien con 20 de los suyos se irn-t ó á bor Cuyo contenido traducido del original se hace sab.r á todos do da uno de los faluchos, y ha continuad…</t>
  </si>
  <si>
    <t>Rodríguez, Josef Demetrio</t>
  </si>
  <si>
    <t>Josef Demetrio Rodríguez</t>
  </si>
  <si>
    <t>…o par3 que los maes- se reunió el jurad o, compuesto de los señores siguientes: tros hoja’ateros que quieran emprender esta cortstruccion presentan en Don Juan Manuel de Aréjula , D. Josef Demetrio Rodríguez, el preciso término de ocho dias, contados desde la publicación de este D. Higinio Antonio Lorenie , el conde de Floridablanca, D. Juan anur.c’o, sus proposiciones en la misma factoría, en donde por cl gcfe Antonio Marco, Di'Saturnino' Lozano , D. Tomas Torre…</t>
  </si>
  <si>
    <t>…o tiempo , como el Gobierno lo propone, los medios nías prontos, mas seguros y efectivos de Universidad central. reintegrar á los interesados en las letras todo- ~us desembolsos y D. Josef Demetrio Rodríguez, catedrático interino de bo los gastos y perjuicios que les ha inferido la mala conducta de tánica de la universidad central de esta M. II. villa, dará prin Eernales , conservándoles entre tanto la hipoteca especial y pri cipio ai curso de dicha enseñanza de…</t>
  </si>
  <si>
    <t>Rodríguez, Juan Bautista</t>
  </si>
  <si>
    <t>Juan Bautista Rodríguez</t>
  </si>
  <si>
    <t>…de la comisión de para echar mano de estos presupuestos, á fin de que unos pue Guerra. blos no sufran mas que otros, y puedan mantenerse los ejércitos, Uno sobre la exposición de D. Juan Bautista Rodríguez y y cubrirse otras obligaciones importantes del Estado. otros ayudantes de milicia activa, pidiendo se ponga en su fuerza Es indudable que el Crédito público es uno de los mejores y vigor el art. 66 .de la ley orgánica de la misma milicia , por recursos en el…</t>
  </si>
  <si>
    <t>Rodríguez, Lucas Mairene y</t>
  </si>
  <si>
    <t>Lucas Mairene y Rodríguez</t>
  </si>
  <si>
    <t>…523207 pleados de aquel Gobierno , felicitando al Congreso por sus sesio Total. i38-257z594 nes de 9 y 11 de Enero último. La comisión de Legislación, en vista de la exposición de D. Lucas Mairene y Rodríguez, manifestando el estado á que se Se declaró haber lugar á votar sobre la totalidad de este ve reducido, y pidiendo permiso para poner en vesta una cape dictamen, y habiéndose votado por partes quedó aprobado en llanía que le corresponde; opinaba que la resolu…</t>
  </si>
  <si>
    <t>Rodríguez, Nicolás</t>
  </si>
  <si>
    <t>Nicolás Rodríguez</t>
  </si>
  <si>
    <t>…dero sa at mismo tiempo con dos columnas por el centro y derecha á ia bayo servirá avisarlo á D. Gavino Blasco, calle de las Fuentes, núm. 3, neta, una á su mando y la otra al del teniente D. Nicolás Rodríguez cuarto a.”, quien dará el correspondiente hallazgo. de M-jorada , y quedándose el resto de reserva encargado al espitan Ley para el Gobierno econónnco-politico de las provincias , san T&gt;. Josef Tona ba. Asi se consiguió tomar eL pueblo, despreciando el cionad…</t>
  </si>
  <si>
    <t>Rodríguez, Santiago</t>
  </si>
  <si>
    <t>Santiago Rodríguez</t>
  </si>
  <si>
    <t>…pre en su lenguage han sido felices los tiempos en que rs. pagados de propios: se dirigirán los memoriales al regidor les ha tocado dominar á los hermanos. En la primera época los D. Santiago Rodríguez. llamaron siglo ilustrado; cayeron, y siguió el siglo de la barba En la villa de Albares, provincia de Madrid , se halla va rie. Se volvieron á levantar, y entró el siglo de las luces. Ahora cante el partido de médico, que vale 5$ rs. anuales, cobrados que ha…</t>
  </si>
  <si>
    <t>Rodríguez, Tomas Diez</t>
  </si>
  <si>
    <t>Tomas Diez Rodríguez</t>
  </si>
  <si>
    <t>…e nueva de S. Fernando , puerta de la Carne , Cestería , ala por las sf5¡onesde g y 11 de Huero último. meda Grand-; calle de la Estrellante, fueron inundadas pot la llovediza, De D. Tomas Diez Rodríguez y D. Juan García, magistrados da í.os lienzos de las murallas inmediatas a las puertas de Jerez,' Real la audiencia, de Extremadura’; presentada y ié'di'por e! Sr. Alonso. y Córdoba"'# fiíliaton, introduciéndose porc:on de agua, impidiendo De la milicia tuéiorral activa Ai Lo…</t>
  </si>
  <si>
    <t>Rodríguez, Vicente</t>
  </si>
  <si>
    <t>Vicente Rodríguez</t>
  </si>
  <si>
    <t>…28 confirman la intención de luntario de caballería D. Josef Campillo, y levemente el segun los enemigos de invadir á Gerona aquella misma noche ó á la do comandante de cazadores D. Vicente Rodríguez, el cabo se madrugada siguiente, y que el gefe político y el gobernador de gundo del mismo cuerpo D. Miguel Soriauo , el sargento prime la plaza se habían reunido en Calellacon la diputación provincial. ro de voluntarios de caballería D. Josef Rulla, y el sol…</t>
  </si>
  <si>
    <t>Rogado, Vicente</t>
  </si>
  <si>
    <t>Vicente Rogado</t>
  </si>
  <si>
    <t>…la artillería con gunda brigada de la primera división al corone! D. Joaquin Már sus carros de municiones. quez y Donallo , al teniente del batallón de milicia act'va de Ma 3.0 El capitán D. Vicente Rogado, ayudante segundo del drid D. Josef María Troncoso. El segundo ayudante general gef« E. M. , queda destinado al de este ejército. interino del E. M. Bruno Gómez, q.° Se reconocerá por ayudante del comandante general de artillería de este ejército al comandant…</t>
  </si>
  <si>
    <t>Rogelio</t>
  </si>
  <si>
    <t>…itución del tiempo se lian reducido ú una sola. Dicen que el primer mo de la Monarquía Española , Rey de las España;, á todos los que tivo de su institución fue el haber panado el conde Rogelio la las presentes vieren y entendieren , sabed: Que las Có;te$ han de ciudad de Mecina al principe Grifón , que según la tradición , an cretado lo siguiente "Las Curtes .usando de la facultad que se les daba montado en un camello; asi es que ponen á la puerta…</t>
  </si>
  <si>
    <t>Rogo</t>
  </si>
  <si>
    <t>…. en este momen generosos. Paisanos venidos ayer tarde de aquel piis aseguran to.el número de muertos que han tenido por la «apidez que hu que en efecto adelantaban las tropas del Sr. Rogo; v que en el bo en perseguirlos hasta que anocheció , habiéndoles hecho i 3 pais ocupado por la facción , se experimentaba xa unir notable prisioneros. Por nuestra parle no tengo noticia hubiese sucedido falta de víveres, á consecuencia de haberse impedido to…</t>
  </si>
  <si>
    <t>Roig</t>
  </si>
  <si>
    <t>…llevadero el que se aumentase el uso y prec.o del misión de Diputaciones provinciales acerca de la proposición del papel sellado. Con estas observaciones creo que quedará desvane Sr. Roig sobre establecimientos de un gobierno político subal cida la impresión que su señoría haya causado, impresión que era terno en Mahon; la comisión opinaba que no debía aprobarse. odiosa é infundada respecto del proyecto. La comisión de Diputaciones provinciale…</t>
  </si>
  <si>
    <t>Roíg</t>
  </si>
  <si>
    <t>…mo Sr. Ruiz do y muy envidiado de los extrangeros. Mucho mas se esfuerzan ¡as de la Vega ha convenido en la fuerza de la principal razón que razone» en favor de la proposición del Sr. Roíg si se considera se ha a'cgydo contra dicho dictamen, á pesar de que ha creído que las autoridades superiores de ia provincia de Mallorca apoyan desvanecerla con decir que las leyes nunca deben hacer tan poco la solicitud del ayuntamiento de Mahon; y no solo e…</t>
  </si>
  <si>
    <t>Roin</t>
  </si>
  <si>
    <t>…y necesidad de aumentar que puede causar en los pueblos que se hallan agoviados desde mucho tiempo hace con el enorme gravamen de las contribuciones que pa ni un solo empicado. El Sr. Roin&lt; ro: A pesar de todos cuantos argumentos se han hecho, gan. Por todas estas razones, y porque en el artículo no se fijan I» contr.buciones de los años anteriores, que puede recaudar el Gobier creo que es muy exacto lo que dice el Sr. Oliver, y por lo mismo añ…</t>
  </si>
  <si>
    <t>Rojas, Antonio</t>
  </si>
  <si>
    <t>Antonio Rojas</t>
  </si>
  <si>
    <t>…los aragoneses hubieran sido mas can el hecho. En dicha acción perdimos al teniente del batallón de Galicia tos , y tan zelosos por conservar su Constitución como lo fu-ron sirs: D. Antonio Rojas y al b'zarro cadete del mismo D. Ramón Fibro príncipes para violarla ! Si no hay mucho cuidado y una vigilancia con mas, que cayeron en manos de los facciosos. Pero según las noticias que tinua y perspicaz , siempre falta la cuerda por ei mismo punto.</t>
  </si>
  <si>
    <t>Rojas, Juan Antonio</t>
  </si>
  <si>
    <t>Juan Antonio Rojas</t>
  </si>
  <si>
    <t>…6 cuartos. ) 447 GACETA DE MADRID. JUEVES 4 DE DICIEMBRE DE 1823. Í-Ow ARTICULO DE OFICIO. D. Antonio Gómez Calderón, á D. Juan Bautista de Erro, á D. Josef García de la Torre, á D. Juan Antonio Rojas, Ca El Rey nuestro Se?7or se ha servido expedir los Reales decretos nónigo de la iglesia metropolitana de la capital de Caracas. Los siguientes: Secretarios del Despacho serán individuos del Consejo de Estado . Exigiendo el bien de mi servicio que cese el car…</t>
  </si>
  <si>
    <t>Rojas, Juan de</t>
  </si>
  <si>
    <t>Juan de Rojas</t>
  </si>
  <si>
    <t>…s que esta medida podría causar. y de orden D. Antonio Warleta__ Consejo de guerra de gene El Sr. Rico: Es menester también no perder de vista, y rales D. Manuel Nuñez__ De causas D. Juan de Rojas—Tea que ias Cortes se convenzan, de que la mayor parte de los pue tro y demas funciones públicas D. Juan Mauuel Chacón y Don blos están penetrados de que ios pósitos solo han sido útiles á dos Manuel Nuñez. ó tres familias privilegiadas, las cuales desde ahor…</t>
  </si>
  <si>
    <t>Rojas-----Teatro, Juan de</t>
  </si>
  <si>
    <t>Juan de Rojas-----Teatro</t>
  </si>
  <si>
    <t>…riguar este delito: y estad seguros ñor gobernador D. Antonio Warleta-----De orden D. Juan de que se hará severa justicia á los culpados. Confiad pues en su Manuel Chacón___Causas D. Juan de Rojas-----Teatro y demas zelo: escuchad su voz paternal, y conservad en estas circunstan— funciones públicas D. Manuel Nuñez. __ Asistencia al consejo c as la calma y prudencia que tienen derecho á esperar de vosotros, de Sres. generales D. Josef los Reyes. y de que tantas pr…</t>
  </si>
  <si>
    <t>Rojo</t>
  </si>
  <si>
    <t>…a. y en los Arcos partidas de los empleados en el ramo administrativo de la misma , presentadas / caballería; Juanito sigue hacia las Cinco Villas, y Torrija* en Pam le.das por «1 Sr. Rojo. Del ayuntamiento constitucional de Tudela , presentada y leída poc plona. Gan-.baite tiene su caballería en la ribera, aunque en muy mal estado. Se nota de algún tiempo a esta parte, y sobre todo desde queja el Sr. Infante. . De a milicia activa de Zaragoza…</t>
  </si>
  <si>
    <t>…s interesados . es de resolución que en las de igual naturaleza. cir , entre los parientes del testador y la corporac-on: que el iiSu leyeron las siguientes proposiciones: una de! Sr. Rojo, para t ¿io esté todavli pendiente, y cu: no se haya tediado sobre el;</t>
  </si>
  <si>
    <t>…Josef Antonio Sala, re siciones hechas por varios Sres. diputados presentó su dictamen sidente en la provincia de Jaén, en la cual ofrecía de donativo sobre una que se le pasó del Sr. Rojo , opinando que debia apro durante la guerra el producto de una finca de su pertenencia, cu barse ; añadiendo en su consecuencia el siguiente artículo al decre- ya exposición la presentó el Sr. Gómez (D. Manuel). . to sobre secuestros, que deberá ser el 6°: ,,…</t>
  </si>
  <si>
    <t>…odas las demas diócesis que en los anos de Uro y 11 se hubiesen da! , y que pasase ai Gobierno. Aprobado. hallado en iguales circunstancias que las de Granada, Tokio y X nombro al Sr. Rojo para la comisión- segunda de Ha Sev.ila. Aprobado. cienda en ¡Lien dei Sr. Escovedo. Varios vecinos de Avamonte acudieron al gefe pe'ótico de l.i comisión de- Casos de responsabilidad, en vista de la Sevilla por medio de apoderado para que anulase las eleccio…</t>
  </si>
  <si>
    <t>…la anterior. Monte pío del ministerio................... 589,279 A la comisión segunda de Hacienda se mandó pasar lina Monte pío por laclase de Hacienda. . 42,000 proposición del Sr. Rojo, para que se exceptúe al ayuntamiento Viudas y Temporalidades............... 116,743 de Puente de Ume del pago de algunas fanegas de sal que adeuda Viudas de la fábrica de Cristales. . 270,640 aquella corporación. Pensiones. . ................................…</t>
  </si>
  <si>
    <t>Rojo, Josef</t>
  </si>
  <si>
    <t>Josef Rojo</t>
  </si>
  <si>
    <t>…38 sacos de harina.” __En las clases de historia sagrada y ciernen :os de gramática cas h El Espectador del Al anunciar que éi 4 corrió en Cá tellana D. Guillermo Chacón, accésit D. Josef Rojo..__En ¿a diz la noticia de haberse sublevado la serranía de P.onda, se de latín D. Josef Negrete , accésit D. Manuel Arizcun.—1 n la observa que lo que parece cierto es que unos 4 ó 6 pueblos fue de aritmética D. Manuel Arizctin , accésit D. Facundo de Lara.…</t>
  </si>
  <si>
    <t>Rol, Mir.uel de Luque</t>
  </si>
  <si>
    <t>Mir.uel de Luque Rol</t>
  </si>
  <si>
    <t>…á quienes correspondían. Se suplica i la persona qu; tenga noticia de cional voluntai a de caballería de Toro__ Del cura párroco y varios estos documentos lo avise en esta corte á D. Mir.uel de Luque Rol ciudadanos de Sepúlveda__ De la M. N. V. de infantería de la villa dan , calle ancha de Peligros, núm. 9 , cuarto i.°, quien dará mas se de Albania----Del ayuntamiento , M. N. V. de ambas armas, y del ñas y el competente hallazgo. ayuntamiento de Olivenza.__D…</t>
  </si>
  <si>
    <t>Rolando, Pedro</t>
  </si>
  <si>
    <t>Pedro Rolando</t>
  </si>
  <si>
    <t>…edia de esta mañana. (Por ¿arreo extraor Valdés, á cuya inmediación seguían sus ayudantes de orde dinario. ) nes y oficiales agregados al E. M. de la división de su mando co ronel D. Pedro Rolando, capitanes D. Domingo Espinos.-?, NOTICIAS DE ULTRAMAR. D. Tiburcio Ortega, el adicto al E. M. D. Francisco Maria BATALLA DE MOQCF.GUA. Valle, y el teniente D. Josef Carrillo, quienes se ocuparon Parte Je! .SV. centra: en gefe. dignamente en su deber durante…</t>
  </si>
  <si>
    <t>Rolando, Pedro Antonio</t>
  </si>
  <si>
    <t>Pedro Antonio Rolando</t>
  </si>
  <si>
    <t>…tentaron subiendo los batallones 4 Camba, los oficiales agregados al E. M. y ayudantes de órdenes v i 1 á Ja altura de nuestra derecha , que mandé sucesivamente re del Sr. Valdés, coronel D. Pedro Antonio Rolando, capitanes forzar con tTes,compañías de Gerona , previniendo al coronel D. Domingo Espinosa, y teniente D. Josef Carrillo; mi ayudante D. Cayetano Ameller que atacase sobre la marcha; este valiente de campo teniente coronel p, Ramón Nadal, y el ayudante dé a,…</t>
  </si>
  <si>
    <t>Roldan, Josef de Cánido y</t>
  </si>
  <si>
    <t>Josef de Cánido y Roldan</t>
  </si>
  <si>
    <t>…s quedan remitió el coronel D. Francisco Colcmbo una certificación de crédito inmóviles y como embargados por el respeto : la mayor conmoción 1* de la deuda sin ínteres á favor de D. Josef de Cánido y Roldan, ex manifiesta en sus semblantes. pedida er, 2 de Octubre de 181a, señalada con el número 39,918, y D spues de haber dudado un momento, Mr. Duchet, comandanta au importe 4881 rs. y 3 mrs.; lo que ae anuncia para que si por al de los inválidos, se acerca al pr…</t>
  </si>
  <si>
    <t>Roldan, Juan</t>
  </si>
  <si>
    <t>Juan Roldan</t>
  </si>
  <si>
    <t>…ra abierta bienes del vínculo que en la villa de Fuenmayor fundó D. Diego 5acon su propia conciencia, ; hay anarquía, ó hay orden y civilización; lazar, del que es actual poseedor D. Juan Roldan, presbítero, cape Y donde te han destruido las leyes fundamentales y se ha derri llán en la misma, para que en ei término de dos años , contados des bado el edtficio social; donde son perseguidos y arrojados del cuerpo de 14 de Marzo próximo pasado, comparezc…</t>
  </si>
  <si>
    <t>Roldan, Tonbio</t>
  </si>
  <si>
    <t>Tonbio Roldan</t>
  </si>
  <si>
    <t>…ario del egército, ha tomado todas las disposiciones conve D. Juan Paz. D. Josef Escarano. nientes para que uno y otro servicio se verifique con ia brevedad que D. Manuel Ledesma. D. Tonbio Roldan. exige su importancia; y sin embargo de las dificultades que se han D. Benito Medrano. D. Francisco Rodríguez de Gue ofrecido con motivo de la coincidencia de los dos sorteos, y el de la D. Leonardo Gil de la Cuesta. vara. sexra pane de la milicia actira que…</t>
  </si>
  <si>
    <t>Roldan’, Pedro</t>
  </si>
  <si>
    <t>Pedro Roldan’</t>
  </si>
  <si>
    <t>…rancés no se caían de las bocas de todos. Las lá dríguez Corral, escribano , Ramón Duiguez , D. Gerónimo dp grimas de gozo corrían por sus mejillas, y os aseguro que algu Aguirre, D. Pedro Roldan’, D.¡ Juan Manuel de Noriega, nos de los, nuestros no tuvieron que hacerse poca violencia para Antonio García, Ventura Vibamil , Antonio Jiménez, Ma dominarse á si mismos, y no hacer otro tanto. No puede imagi nuel Fernandez Capalleja yl). Domingo .Sánchez Nei…</t>
  </si>
  <si>
    <t>Rom</t>
  </si>
  <si>
    <t>…e por lo mismo debía deque pod-rs: sostener con el decoro digno de su persona. clararse haber lujar á votar. Iiabiéndase declarado el asunto suScivnt-mecte discutido, se aprobó El Sr. Rom :o dijo que las Cortes extnord'nanas no podían discuel dictamen de ia comisión , y se levantó Ja sesión. tir este negocio, poique no habia sido remitido por el Gobierno, y NOTICIAS de ESPAÑA. por lo m smo noestabtn facultadas las Cortes para ello; y aun en el…</t>
  </si>
  <si>
    <t>…nuarán cobrando solo su licianos cuando talen Je -os provincias , no habría d incubad alguna. A es sueido ademas de las raer nes y a.ojamicnto en el tránsito.” to contestó ayer el Sr. Rom ro que sena causa de que w .produjesen ai— El Sr. Muran : De aprobar este artículo cr&gt; mi conct pto se hace iluso cunos zelos por parte de los m.lic-anos Je bcvilia, Yo cr..o que tas milicias rio todo lo demas que se previene en el decre-to, porque para mí ta…</t>
  </si>
  <si>
    <t>Roma</t>
  </si>
  <si>
    <t>…ostas al referido D. Nicolás García D.-niá. rebataba , despintaba recuerdos vivos de los pu.-l» os iibiei de Grecia y Sres. que absolvieron el ref r do impreso: D. Manuel Urbina , Don Roma , y tíc-cia á no poderse dudar: I.a Nación esp anota en lar Joaquín Dacdtya, D. Joscí Linar- s , D, Policarpo Santistcbm Morale», grandes crisis se desarrolla de un modo fuera del alcance de todo cál D. Nicolás d= Avila., menor, D. Pedro jerez, D. Juan Sánche…</t>
  </si>
  <si>
    <t>Román, Francisco Lozano</t>
  </si>
  <si>
    <t>Francisco Lozano Román</t>
  </si>
  <si>
    <t>…e de la columna rasena y Herrera , natural, y vecino por aquella su fecha de la villa de D. Jacinto Toledo, como todos los demas oficiales y tropa de que se Yunquera, mandó librar D. Francisco Lozano Román, vicario gene compone aquella, han contraido en esta jornada , en la que con gloria ral del arzobispado de Toledo , que i la sazón residía en Alcali Scc. de laa armas nacionales ha conseguido la destrucción de Jas dos gavi Copia del memorial ajustado en ios a…</t>
  </si>
  <si>
    <t>Román, Manuel S.</t>
  </si>
  <si>
    <t>Manuel S. Román</t>
  </si>
  <si>
    <t>gíi AbdiIIud s vengaría en los infelices habitantes griegos, á pesar da de Villavíciosa D. Manuel S. Román, el teniente de Yakrcev &lt;juc el desembarco no se consideraba sino como una simple lla D. Antonio Te rizan o, y el subteniente de la milicia activa de mada por aquella parte. Segorve D. Josef Verdes, como « cosa de las once de la noche, Se sabia por la vía de…</t>
  </si>
  <si>
    <t>Romanillos, Antonio Ranz</t>
  </si>
  <si>
    <t>Antonio Ranz Romanillos</t>
  </si>
  <si>
    <t>…el artículo 35 de la ley de 17 de Abril de ilustres de Plutarco, hecha del original Griego por el consejero 1821 sobre infracciones de Constitución, se declaró el punto de Estado D. Antonio Ranz Romanillos , y está muy adelan suficientemente discutido, y quedó aprobado el dictamen. tada Ja imprssion del tomo g.°, en cumplimiento de la oferta Se leyó y aprobó el dictamen de la comisión primera de Ha que se hizo al principio de que no se levantaría mano hasta dar…</t>
  </si>
  <si>
    <t>Romanillos, BenitoOrtcga</t>
  </si>
  <si>
    <t>BenitoOrtcga Romanillos</t>
  </si>
  <si>
    <t>…lará en la librería de Orea á 50 rs. en rústica y general del Rey, como subversivo y sedicioso. En su virtud se reunió el 60 en pasta. jurado, compuesto de los señores siguientes; D. BenitoOrtcga Romanillos, Práctica de vida cristiana y ejercicios de devoción : segunda edición D. Gregorio Mendivil, D. Juan Fernandez Casariego , D- Manuel Carni en un tomo en 8.°, adornado ton 1 j láminas finas. En esle nuevo ejerci cero, D. Antonio Puigblar ch , D. Pedro Alvaro D…</t>
  </si>
  <si>
    <t>Romanillos, Manuel de</t>
  </si>
  <si>
    <t>Manuel de Romanillos</t>
  </si>
  <si>
    <t>…ncia obstinada. Parece que en esta parte de la Península la Dios guarde á V. S. muchos años. Cádiz 30 de Setiembre de campiña está íw.v á ios principios. íSig.nJosef Luyando.rcSr, D. Manuel de Romanillos. Las guarniciones de las piaras s'tiadas hacen continuas salidas; ja: ciudades están bien provistas para mucho tiempo, y ios habi Con esta fecha he pasado al Excrho. Sr. comandante militar tantes pelean con mucho vaiov entre los soldados. de la provincia el o…</t>
  </si>
  <si>
    <t>Romay</t>
  </si>
  <si>
    <t>…adama , el buscar en cen está en ánimo de tomar una comandancia en otro punto de nuestra conducta pa ada un derecho para poseeros; sin embargo, la Península. Ha llegado también el general Romay, goberna recordando nuestros esfuerzos, y compar ndolos con los de una dor de Vigo, con 40 oficiales españoles y otros pasageros. Sir nación vecina, armada, como lo hemos estado nosotros, por Roberto Wilson, curado ya de su herida, había salido para Dios y po…</t>
  </si>
  <si>
    <t>Romay, Dolores Urzaiz de</t>
  </si>
  <si>
    <t>Dolores Urzaiz de Romay</t>
  </si>
  <si>
    <t>…en el dia se necesitan para esti mular con ei egcmplo, y para ponernos en estado de poder rechazar al Instrucciones militares para el servicio avanzado de campaña por el enemigo. Doña Dolores Urzaiz de Romay ha pedido á la d'putac on de brigadier D. Federico Morctti. Esta obiiu, dividida en dos partes, que Viso use digtíe concederle la gratu'tu construcción de too camisas para se publicó en Cádiz r! afio d; 18:1, mereció 1a aceptación general, los dignos reemplaz…</t>
  </si>
  <si>
    <t>Romeral, Carlos</t>
  </si>
  <si>
    <t>Carlos Romeral</t>
  </si>
  <si>
    <t>…injurioso. soluta preferencia.” Aprobada. En su vista se reunió el jurado, compuesto de los Sres. siguientes: Se leyó la siguiente proposición de los Sres. Ferrer (D. Joaquín ) y D. Carlos Romeral, D. Juan Antonio Marcos, D. Josef Rives Garmenclia: ..Pedimos á las Cortes que en atención á las circunstancias Queraltó, D. Matías Piniila, D. Zoilo Gómez Casero, D. Juan Anto en que se halla la provincia de S. Sebastian, la cual confina con Francia, nio Lóp…</t>
  </si>
  <si>
    <t>Romeral, Carlos Martin del</t>
  </si>
  <si>
    <t>Carlos Martin del Romeral</t>
  </si>
  <si>
    <t>…se crean D. Juan Isidoro Perez, D. Joaquín Manrique y Manrique, D. Josef necesarios para no privar al público de cuanto se considere interesante. Castel, D- Juan de Luque Solano , D. Carlos Martin del Romeral, A los suscriptores que esten abonados á la Gaceta de Madrid por D. Francisco Luciano Domínguez Villanueva. mas tiempo que hasta el 31 de Marzo se ccerínuará remitiéndoles esta Habida la conferencia, se declaró por unanimidad haber lugar á la hasta que empiec…</t>
  </si>
  <si>
    <t>Romero</t>
  </si>
  <si>
    <t>…&amp;c. El escuadrón de bierno esla solicitud , pata que tomando los informes convenientes ac artillería ha rec.bido ia misma orden. ceda á ella. Después de haber hablado en contra el Sr. Romero, se I3 facción que ha aparecido en nuestra marina de Levante es bas suspendió esta discusión con motivo de la llegada de las autoridades, tante numerosa, pues se han r.unido los restos de 9 ó 10 gavillas. corp-. raciones y ge fe» que debían presentarse en la…</t>
  </si>
  <si>
    <t>…que la comisión dice que en la Constitución y buen cuidado de decidir con arreglo á las leyes. tn las leyes está designada ya la autoridad que debe decidir en negocios Ha dicho el Sr. Romero que la disposición que propone la comiá 4e esta ráiura;eza, yo no puedo menos dé oponerme al dictamen que sion es anticonstitucional, porque no estacó la esf-ra de las atribucio presenta; porque ademas ds que yo no puedo convenir ni atemperar- nes que la Cons…</t>
  </si>
  <si>
    <t>…s que Para secretario fue elegido el Sr. Seoane por 65 votos de 128 , ha habia acerca del resultado del congreso de Verona , solamente se sacaba biendo tenido el Sr. Paterna 53,0! Sr. Romero 3 , y uno cada uno de en limpio lo siguiente : los Sres. Llórente, Atienza, Calderón , Sotos, Marchámalo, Infante 1.® Que respecto de la España el congreso no habia querido tomir y Galiano. parte en sus negocios, y se habia contentado con dejar á la Francia h…</t>
  </si>
  <si>
    <t>…amen que se discute no tienen fuerza en mí concepto contra generosapido á las Cortes se sirvan manifestarlo asi explícitamente^ la letalidad, i excepción de la que ha propuesto el Sr. Romero. El se- para que el Gobierno lo lleve i cabo, por ser un paso que puede con fior Infante ha demostrado que las actuales Cortes extraordinarias se ha tribuir considerablemente al desengaño de los enemigos interiores y ex llan facultadas para entender en este a…</t>
  </si>
  <si>
    <t>…hablar de la proposición del Sr. Acur- comunicarse al Gobierno esta resoiucion. sio das Neves, y dijo que dicha proposicioa era un efecto de su igno Se leyó el voto particular del Sr. Romero, en qus dlssntia del dic rancia politicer y manifestó qce su autor no solamente no se habió da tamen de la comisión en la ú’tíma parte, opinando debía comunicarse i la Diputación permanente esta resolución.do i h lectura de los publicistas, sino que ni aun ha…</t>
  </si>
  <si>
    <t>…hambre; en fin todo, este fuego de tiernos afectos gobierno económico-político de las provincias. puestos en acción por ia srnsibilidad; y estampados en los semblantes Adición del Sr. Romero al art. 98: » Pido ore á dicho artículo se de unos y de otros, presenta el espectáculo mas interesante á todos los añada: „Esto se acordará sin perjuicio de que los que quieran examinar concurrentes, y excita en sus almas una clase de emociones imposi las cue…</t>
  </si>
  <si>
    <t>…para justificar su queja. Este testimonio comprenderá los perjuicio de estar i lo que se resuelva después.” demas particulares qne señale el ayuntamiento , con audiencia verbal El Sr. Romero : Me opongo a este articulo , porque según ¿!, cuan del sindico, y que puedan contribuir á la mayor claridad del asunto. do haya disputas entre dos pueblos p;rtenecientes á diferentes provin Se entregará al interesado dentro d: los tres días siguientes á la p…</t>
  </si>
  <si>
    <t>…que es D. Josef Sánchez ( que fue ó es todavía cabo de da por el Sr. Castejon. hacheros del segundo batallón de milicia nacional voluntaria) fue Del ayuntamiento de Estepa, por el Sr. Romero. puesto en libertad por el mismo Sr. alcalde. Aun permanecía en este De los individuos que componen la dirección de Fomento general puesto S. S. cuando se presentaron de nuevo y por repetidas ocasiones del reino , por el Sr. Gatiano. algunos de los mismos hom…</t>
  </si>
  <si>
    <t>…es acre dores á Art. 54. »&gt; Resultando el fraude, dispondrán que el pueblo que la misma junta de reemplazos. ocultó alguna parte de su población, dé ei número de quintos que se Eí Sr. Romero manifestó que supuesto que el negocio de que se tra gur. la proporción del repartimiento general corresponda á la parre ocul taba estaba ya decidido por los tribunales, se hallaban las Cortes en el ca tada en estos términos: si no llegase á un entero, lo dará…</t>
  </si>
  <si>
    <t>…contrabando : esto pues De la milicia nacional de ambas atmas y reunión patriótica de es lo que deben hacer las Cortes, y de ningún modo dar lugar á él Utrera, presentadas por el Sr. Romero. con medidas de este especie. De la compañía de milicia voluntaria de infantería de Toledo , de Ademas aquí se trata de cantidades muy cortas de géneros , que de varios ciudadanos de aquella capital, y del ayuntamiento y milicia de ben habrrs: consumido ya ,…</t>
  </si>
  <si>
    <t>…cuestión , por ser. sumamente delicado el punto de ña rita , y si necesita la coop rac.on de las Caites , el ia reclamara sin la consulta. necesidad de que se lo avisemos. - - El Sr. Romero se opuso á este dictamen , opinando que el decreto He visto que los Sres. eclesiásticos que hay en el Congreso están estaba claro j y que si había alguna oscuridad en él, el legislador era divididos cas; p ,r m.ted, def.nJiendo unos que es. oportuno sostener…</t>
  </si>
  <si>
    <t>…to permanente i fines del año 21 era de ji3 hombres,_¡ conveniente. Las Cortes anterio'es decretaron un reemplazo de 73 hombres, que Ei Sr, Valdés (D. Cayetano): Me parece que el Sr. Romero no ha reunidos aquellos forman la suma de 57 ó 583 hombres. Las actuales entendido bien ¡o que Ja comisión propone- La ilación espineta, coma Cortes han acordado, en virtud de propuesta del Gobierno, un au todas las denla? del mundo, tienen establecida su fue…</t>
  </si>
  <si>
    <t>…asesinos y facinerosos se han pro El Sr. Arguelles: Creo que ya habrán quedado desvanecidas las nunciado ya como la vanguardia del egército extrangero que nos va á objeciones del Sr. Romero, ó mas bien las dudas que ha tenido sobra -invadir: esos feotas sor. los puestos avanzados , los que vienen delante eí dictamen , con lo que han dicho los Sres. preopinantes. del egército que trae toda la protección del Dios de S. Luis: jy este El Sr. Gonzále…</t>
  </si>
  <si>
    <t>…va. Del ayuntimiento constitucional de la villa de Campillo (provin acotan á su protección. Por la noche hizo iluminar el pueblo, y espar cia de Málaga), presentada y leída por el Sr. Romero. ció varias proclamas á su modo, enviando mensajeros a varios pueblas. De! secretario y demás empleados del gobierno económieo-politico Sabemos que un herrero de Lanciego fue el conductor para el Ciego, de la Corcfl*: de la milicia nacional local voluntaria d…</t>
  </si>
  <si>
    <t>…fácilescon mas puntualidad v el pago en frutos; y yo digo, ó los al contribuyente particular. frutos han de entregarlos .os contribuyentes al precio corriente del pue Ha dicho el Sr. Romero que aunque es veióad que el numerario h» blo donde los entrsgan, ó los han de entregar por un precio arbitrario. escaseado en España, por las rebajis que se han hecho en las contribuSi ios entregan al precio corriente, nada le es mas fácil al contribuyen cion…</t>
  </si>
  <si>
    <t>…ficientes . y me ztr-vrria 1 dee-r mu - estarnos en e¡ cí«- üe es correr en la forma en que se halla. * tablecer la ley d.-l ttiit.vrfium en los su idus; y pu-stoqu* r.o. vemos El Sr. Romero manifestó que los procedimientos para cobrar estas en la n-cesidad de acudir á recursos -.X’.; ¿ordinarios , no deben detenerse contribuciones son siempre gubernativos, y por consiguiente los liti ias Cortes en acordar lo que he indica 10. gios de que se habi…</t>
  </si>
  <si>
    <t>…raciones á esta ú’tima villa. De los gefes y demas empicados en la administtacion general da Sus habitantes no se las dieron; y viendo que no llegaba la columna Hacienda , por el Sr. Romero. de esta ciudad que había salido a proteger hasta Villabona un convoy Del ayuntamiento de Iiun y dei de.... por el Sr. Garmend/a. de armas y municiones, pasaron en número de aa aunados, ademas de Délos individuos de ia milicia activa de Córdoba, del ayuntaotr…</t>
  </si>
  <si>
    <t>…. Cayetano) como individuos de la comisión ¡a pidieron tam que el Gobierno español les "dió parte de las respuestas que había dado bién en pro. i las notas de la santa alianza; El Sr. Romero: Hs leído detenidamente el dictamen que se presen Ayer noche tuvo el embajador de Inglaterra una numerosa y bri ta á la delibstacion de las Cortas; y aunque me parece que respecto de llante tertulia. Entre las personas que asistieron se cuenta al Sr. duque su…</t>
  </si>
  <si>
    <t>…l-, y entonces ¿qué me cutar ios de las Cortes próximas. Me parece que con esto debería que dios ni qué garantías se reservaba 'a Nación española para en el-caso dar satisfecho el Sr. Romero, pues el caso que ha citado S. S. es muy deque aquellas d'jesrn &gt; &lt;&gt; no .es esa la reforma..que nostroi deseába diferente, y se tuvo á la vista cuando se formó la Constitución, es i mos, y sí esta otra!” Nosotros reformaríamos nuestra Constitución saber , el…</t>
  </si>
  <si>
    <t>…erá adoptar el lo previene que cuando las circunstancias lo exijan pueda el Gobierno dietsmen de la comisión. trasladarse al punto que tenga por conveniente. En primer lugar se El Sr. Romero, Todos los señores que han hablado sobre estz ar adv ierte que este artículo no esta conforme con la índole propia de las tículo se han ceñido á probar la .necesidad de que el Gobierno adopte ditsrminaciones de las Cortes: estas en sus leyes, decretos y resol…</t>
  </si>
  <si>
    <t>…o seguir sus planes el inspector y comandante de arc.Ueríai tía para que no pierda la que ella disfruta.” y. estos. quedaron arrestados. .Luegohizo reunir el cabildo;-y le dijo El Sr. Romero , individuo de la Diputación permanente, y secreta que era un plan general, que hoy debía-verificarse en la capilal y dirio de esta junta, leyó la lista de los Sres. diputados que se iiallahen mas ciudades del pasado imperio. Kl cabildo contestó que se sometí…</t>
  </si>
  <si>
    <t>…evacuado la consulta; por lo tanto creo se está en el caso de hacer lo exposición. ‘ • que en un sentido inverso se practico en Cádiz cuando se trató de trasladar . A petición del Sr. Romero se leyó el decreto de S. AI. autorizando á el Gobierno, en cuyo caso no se consultó al consejo de Estado, y si á una los secretarios del Despacho para tomar las medidas preparatorias para Jai junta de generales. tiüi.jáon. El consejo de Estado se ha tomado se…</t>
  </si>
  <si>
    <t>…e mando pasar u la coims.on de Guerra. los caudales po-lsirs, v se o.upa en dictar ¡as demos mandas conven entesSe hi/n la primera lectura de'una prcpo.-oon Sv. Rosct, reducida K1 Sr. Romero p dio se i. vece ei d,.t unen de ia .unta miniar , y s&gt;« ú pedir ;í las Cortes que alend vi.ie jas cn ciuist meéis actuales y las privacio se verificó. nes que en el d.a sufren las viudas y huérfanos que cobran pens'oncs por El Or. Areiiclles: Yo creo que las…</t>
  </si>
  <si>
    <t>…el mismo día que cumplan su empeño, si no media decreto de las miembros de la gran familia española. Cortes que pueda variar esta práctica: que á ninguna plaza de prest se haga El Sr. Romero: A pesar de que conozco al que ha dictado la propo cargo alguno por su vestuario; y que este se entregue á los reemplazos y sición que se discute, no puedo menos de observar que es inútil, por cuan voluntarios en el estado que estuviere el del regimiento. to…</t>
  </si>
  <si>
    <t>…ai servic.o de bien que esto es tn cierto modo imposible, pe » depende á_- los sucesos que se trata, de la guerra. La comisión ha tendo pr.s.r.te que s_ treta de ia m 1 c:a vo El Sr. Romero: La comisión se vió bastante embarazada al resolver luntaria de Madrid, y conoce sus importante» servicio -, que so'o pueJ.11 este punto; pero ha hecho lo posible para llenar lo' deseos de las *&amp;r remunerado- 'on el aprecio v grat.tuJ ti «tiona!, v por ¡o m's…</t>
  </si>
  <si>
    <t>…mera instancia de Montanches en e-i UníEn nlugar el Sr. González Alonso por 93 votos, habiendo te torio de Extremadura, de 5,00 rs. por una vez, y de 700 rs. y 21 mrs. nido uno el Sr. Romero, otro el Sr. Marchámalo , y 3 el Sr. Villaboa. anuales que le paga aquella villa , mientras dure la guerra con Francia, y esté En 12.0 lugar el Sr. Henriquez por 91 votos, habiendo tenido uno el ¿L en aquel destino; mandando al mismo tiempo que se le den las…</t>
  </si>
  <si>
    <t>…n la misma repugnancia en apro tos, 6 camisas, 6 pantalones de lienzo y 6 pares de medias de hilo. La barle. Aparecida 2 quintos, 4 camisas de malísima calidad, 4 pantalones de El Sr. Romero d-jo que la convs’on habla tenido presentes todas las lienzo id. y 4 pares de medias de hilo buenas. La Raya 6 cam »as, 6 pan dificultades que este negocio presentaba: pero yo veo en el comprometido talones y 6 pares de medias. Librilla 4 quintos. Totano, ix…</t>
  </si>
  <si>
    <t>…culo en la «1 que haya un comp.omuim.cmo de parte de los voluntarios para que m forma que está, sin pcrju.cio que después de llegar á beV.lia s: se viese que pueda s-.r lo que el Sr. Romero ha insinuado. el níimero de estos voluntarios, que estañen el caso de* no empinados. fuese Yo creo que este cuerpo, aunque haga strvicio, no debe ser absoluta* grande,' que en mi concepto sera de una á eos corr.pai ías, pocrá 'entrarse mente un cu. rpo del eg…</t>
  </si>
  <si>
    <t>…Satis Del misino Sr. secretario,acompañando la tarifa de queháblael.artícu- fagan las pensiones de cuenta del Estado. lo 2.0 del decreto de las Cortes de 25 de Junio iiliiftto. El Sr. Romero: No puedo menos de oponerme i este artículo en Del intendente de Barcelona, acerca deque se establezca un derecho en cuanto al mínimum que señala del socorro que se ha de dar á las familias de aquella capital sobre la sal , por haber dispuesto que el almacén…</t>
  </si>
  <si>
    <t>…n Suarez del Villar por 63 votos de -8 total, teniendo 10 reintegrado como estaba determinado respecto de todos los depósitos. D. Francisco Cre-po de T-jada y 3 D. Josrf G'ray, El Sr. Romero manifestó que este asunto no pertenecía á la comi Fl 'ir. presidente anunció que maraña después de dar cuenta de va sión que habia dado el dictamen sino á la actual de Legislación; y pi rios expedí-ntes se discutiría el p-oy esto de instrucción para el arre d…</t>
  </si>
  <si>
    <t>…sión Diplo Gefe de dia el comandante del z.° batallón de la .VL N. L. mática. de Svvitl. |). Antonio Perez Duran---- Servicio á palacio In Quedaron aprobadas dos proposiciones del Sr. Romero, la fante D. Carlos y la M. N. L. , á las ordenes del comandan una para que las diputaciones provinciales de la península remitan te accidental del Infante D. Carlos D. Joaquín González___Pa en el término de ocho d as el estado que debieron haber enviado rada…</t>
  </si>
  <si>
    <t>…e en el extracto de la sesión de ayer han alterado algunas ex el proyecto: ¡y cómo podrían negarlo si es la cosa mas clara y presiones de mi discurso. ¿vidente que puede haber? El Sr. Romero, después de manifestar que el verdadero sig He dicho, y digo , que serán millares de familias las que se nificado del art. e.° del decreto de 6 de Agosto de 1811 no po quejarán perpetuamente y con justa razón. ; Dirán no es cierto día ser otro que el que expu…</t>
  </si>
  <si>
    <t>…mul subiendo á pesar de haberse verificado la invasión. Pocos dias ha tas en las correspondientes oficinas. ce habían bajado hasta el veinte y seis y medio, y ayer licuaron al El Sr. Romero: La comisión , convencida sin duda de 1;; des treinta y cinco.__B-yt. 1 j ti ¡ir Abrí!. Esperamos en estado igualdad que presentaba la multa que se imponía en el articulo un momento á otro al lord Athenri que pasa á Sevilla___ Br1- tal como estaba ayer, prese…</t>
  </si>
  <si>
    <t>…ón de la buena ó mala fe con que se Art. ó.° No se procederá á la formación de secunda com presentan los pasados. pañía hasta que la primera tenga el completo de su fuerza , ob El Sr. Romero: No puedo aprobar de ninguna manera este servándose el mismo orden con re-pecto á la tercera , y asi suce artículo del modo que se propone , pues ademas de que parece sivamente , hasta que hava el número suficiente para formar bata odiosa la determinación que…</t>
  </si>
  <si>
    <t>…cargo de se mica de Amigos del pais de esta ciudad, felicitándolas por su lle cretario interinamente hasta el nombramiento de la persona que gada á ella, presentada y leída por el Sr. Romero. lo ha de desempeñar en propiedad. ’ El Sr. Adán pidió y obtuvo la palabra para hacer presente á El Sr. Fcrrcr (D. Joaquín) hizo presente que haciendo pocos las Cortes que haciéndose mérito en la memoria que habia leido dias que se habia leido un oficio del G…</t>
  </si>
  <si>
    <t>…s son en extremo viciadas. El Gobierno ha sido absoluto : y aunque del total 106. se dice que en el senado ha residido el poder legislativo, no era Para secretario salió electo el Sr. Romero por 78 votos del en realidad sino un senatusconsultm; y debia serlo asi, porque total 10 6. sus miembros eran nombrados por el mismo Gobierno___Este Los Sres. presidente y secretario nuevamente elegidos ocupa dia se instaló la convención preparatoria , á que…</t>
  </si>
  <si>
    <t>…cuente á la proposición del ser.os pata atender con su producto á la instrucción pública, y de una Sánchez, se realice dentro de cuarenta y ocho horas.11 (Víase la proposición de] Sr. Romero sobre Jo mismo, opinaba que no de proposición del Sr. Sánchez en la sesión del 23.} En seguida se bía accederse á dicha solicitud. leyó también esta últ’ma. El Sr. Romero i L1 objeto de ia exposición de la universidad El Sr. Zulucta: Como de la comisión de Ha…</t>
  </si>
  <si>
    <t>…ecto de señoríos, cuyos nueve primeros artículos fueron sión de diplomacia. aprobados. El mismo día hubo sesión extraordinaria para acabar Quedaron aprobadas dos proposiciones del Sr. Romero, di de leer la memoria del ministerio de Hacienda, y el Sr. presirigidas á que las diputaciones provinciales de la Península remi dente anunció para el siguiente día , á la par de otros asuntos,tan en el término de ocho dias el estado del repartimiento de la…</t>
  </si>
  <si>
    <t>…e autorice á las diputaciones provinciales para que de acuer diarlo con la medida que se propone en el ar 'ículo. do con los comandantes generales de provincia puedan proveerse Ei Sr. Romero: Ademas de los inconvenientes que ofrece el de armas del extranjero, abonando el Gobierno su importe artículo, como lo ha demostrado ya el Sr. Gómez Becerra, tiene A la comisión encargada dri reglamento político económico otro , cual es el que la expresión a,…</t>
  </si>
  <si>
    <t>…e por el dinero y por los empeños han solido hacer adiciones si creian que esta idea no estaba bien expresada. mantenerse en sus puestos: este pites es dental que ha tratado de Ei Sr. Romero: Sí no me fuesen tan conocidos el patriotis prevenir la comisión; y por lo mismo, sin engolfarme á mani mo y las luces de los Srcs. de la comisión, diria que se había tra festar otras muchas razones de conveniencia pública que existen y tado por este art'culo…</t>
  </si>
  <si>
    <t>…ta cada quince dias de los progresos de la recau L&gt;e 2 á 6 reales................ 500. dación. El Gobierno la dará á las Cortes cada mes. 6 á 9........................... 1000. El Sr. Romero: Impugno este proyecto, porque en mi en 9 á 12 .............................................2000. tender es insuficicjrte , injusto y anticonstitucional. Son insufi 12 ;i 1 5 .......................... 3000. cientes los recursos que propone Ja comisión de Hac…</t>
  </si>
  <si>
    <t>…ó electo el Sr. Bauzá por 68 votos frutos, efectos y manufacturas nacionales; pero de ningún mo del total 106. do se admitirán las que no lo sean.” Para secretario salió electo el Sr. Romero por 78 votos del Art. 4.0 » Asimismo podrán trasportarse los frutos, efectos total 106. y manufacturas nacionales y las extrangeras legítimamente in los Sres. presidente y secretarios nuevamente electos ocupa troducidas desde los puertos amenazados por las tr…</t>
  </si>
  <si>
    <t>…a que s« Medida 4.a (Víate la nota.') Aprobada. establece en el presente decreto. Aprobado. Medida 5.a (Idem.) Art. 2.a Se aplica al reintegro de este servicio la séptima parte El Sr. Romero: Yo desearla que la comisión dijese si apro de los bienes que el ciero español debe entregar á la Nación con bándose este artículo puedo hacerme cargo de las bases del pro forme á la bula de S. S. yecto ó no. El Sr. Romero: Ya indiqué esta mañana cuando se di…</t>
  </si>
  <si>
    <t>…as las riquezas del clero que bastasen por sí solas á cu dispondrán los ayuntamientos y diputaciones por mitad. brir las atenciones del Estado, sin gravar de nuevo á la Nación; El Sr. Romero: Estando por separado designada la escala de pero estoy persuadido que esta séptima parte que se señala para las cuotas con que deben contribuir ¡os individuos ó contribuyen hipoteca, está enr muy mal pie , es decir, que no bastará á tes en este servicio extr…</t>
  </si>
  <si>
    <t>…pero halló que la de consumos , ó cualquiera al Gobierno recursos efectivos para sostener la cucara. otra que tomase .presentaría las mismas ó mayores dificultades, A petición del Sr. Romero se leyeron los arts. 3.a y 339 de siendo uno de ellos el que habría que entrar en el cómputo de lo la Constitución. que cada uno gastaba para poder calcular su posibilidad. Las de El Sr. Marau: N-’nguno de los señores que han hablado sobre mas razones que ha…</t>
  </si>
  <si>
    <t>…que estos votos no hacen mas quedar peni en que no hay tal incompetencia. tencia para vivir en el siglo; pues si el caso es idéntico , ; á que esta El Sr. Somoza apoyó la idea del Sr. Romero respecto á diferencia entre secularizados y exclaustrados: Desengañémonos, que competía á las audiencias conocer de estos recursos. la secularización iniiuye solo en los efectos políticos, porque lo El Sr. Castejon manifestó que no podían aplicarse con res de…</t>
  </si>
  <si>
    <t>…da generales de los egércitos de opetaciones haga efectiva la co ción. El Gobierno la dará á las Cortes cada mes. branza de los cuantiosos atrasos de contribuciones en el menor El Sr. Romero: Impugno este proyecto, porque en mi en espacio de tiempo. Yo no sé que esto tenga nada de violento tender es insuficiente, injusto y anticonstitucional!. Son insufi ni de injusto. cientes los recursos que propone la comisión de Hacienda, por Se dice que por…</t>
  </si>
  <si>
    <t>…a su patria; y por último la inaudita y pérfida agresión de aquel sin mas discusión el dictamen que se discute. Gobierno contra el territorio español , sin previa declararen de El Sr. Romero: He sido uno de los defensores del decreto guerra , después que S. M. se habia trasladado á esta ciudad. de 8 de Febrero de este año , y por ¡o mismo r.o puedo ser teni Igualmente examina la comis en en d cho dictamen las cues do por sospechoso. Considero tan…</t>
  </si>
  <si>
    <t>…se declare si estaban com primera instancia del Puerto de Sta. Mana. primidos los de esta clase en el aumento de sueldo decretado pitra be leyó por segunda vez una proposición del Sr. Romero, lo» del eje re to, opinaba que las Costes pueden declarar que ios proponiendo una aclaración á una ley acerca de las sucesiones. ayudantes de milicia activa gocen dei misino aumento conccd.do á La comisión de Legislación en vista de una solicitud de D-n los…</t>
  </si>
  <si>
    <t>…ijf. al j£ de Mayo. te ias leyes y la conveniencia publica, según se hubia ya probado al tiempo de esta discusión. Gefe de día el comandante del segundo batallón de la milicia El Sr. Romero expuso que la comisión dejaba en pie la difi nac.onal local de Sevilla D. Antonio Perez Duran. cultad por la palabra que usaba de ¡uc.-.or hábil. Contestó tam Servicio á palacio la milicia activa y la nacional local de Se bién á la observación que se había he…</t>
  </si>
  <si>
    <t>…auxiliaren la operación con la 5.a Se establecerá un servicio extraordinario de guerra , que se valúa en 200 millones de reales en metálico, en los términosmayor eficacia (1). El Sr. Romero: En esta parte veo que no se hace mas que que aparecen en el proyecto de decreto que acompaña. Aprobada. reproducir lo que, ademas de estar ir. ndado, se considera como 5.a El importe de estos arbitrios, y de los demas que ex traordinariamente se concedan por…</t>
  </si>
  <si>
    <t>…edida tan saludable como de radican sus bienes: i.° los ayuntamientos nombraran foras la que propone el Gob'erno. teros ó sus poderhabientes en un número igual al tercio de los El Sr. Romero : lia insistido el Sr. preopinante sobre la ne vocales que compongan la junta que hace el reparto individual cesidad de que se tomen en consideración las calidades que de de las cuotas vecinales, para asegurarse de la igualdad con que se ban concurrir en los…</t>
  </si>
  <si>
    <t>…uiera otra persona que usurpe de hecho, ó se arrogue la autoridad Se pasó en seguida á discutir el art- 2.0 -del Gobierno español , incurrirán en las penas .del artículo ante . El Sr. Romero: Aunque estoy conforme con el artículo, rior , y ademas se les declara indignos del nombre español.” desearía se hiciese en él una aclaración. El artículo dice: »Los - Se procedió á discutir el dictamen déla comisión encarga españoles que después de dicha épo…</t>
  </si>
  <si>
    <t>…aba el interesado ó algún apo diendo la causa de la patria-, que es cuanto se puede desean. derado, y el Sr. Soria contestó que firmaba un Félix Megía. En cuanto á la objeción del Sr. Romero diré que aqui tam El Sr. Alonso pid 10 que se de (ase copia do la.certificación en poco se trata de la manifestación simple de una opinión ó apro el expediente y se devolviese el original al interesado. bación de un acto del Gobierno francés, sino de hechos r…</t>
  </si>
  <si>
    <t>…Constitución al su titución siempre que habia de elecciones expresa terminante uren premo tribunal de Justicia. te que tendrán en ellas voz activa y pasiva los eclesiásticos se El Sr. Romero se opuso á este dictamen , manifestando que culares; pero excluye de ellas á los regulares. Dice el Sr. pre la facultad que citaba la comisión decia únicamente ,,cor.oceV opinante que dependerá de la bula de un Pontífice el adquirir de los recursos de nulidad…</t>
  </si>
  <si>
    <t>…ndrá mo los comandantes de los puestos ó piquetes militares que se conmigo en que no hay tal incompetencia. destinarán á sostener el orden público. El Sr. Somoza apoyé la idea del Sr. Romero respecto á que 7.a La comisión militar se establecerá en el edificio de cor competía á las audiencias conocer de estos recursos. reos. Madrid 15 de Mayo de 1813. = Abisval. El Sr. Castejon manifestó que no podían aplicarse con res _En la gaceta de las Dos Sic…</t>
  </si>
  <si>
    <t>…o de Cartagena, para que se le reintegre de 4JÜ) £-tiempo , y recaer sobre los cupos la aprobación dd Congreso. reales que se le adeudan por aquel ayuntamiento de adelanto? que El Sr. Romero tomó la palabra y dijo: No puedo menos de hizo al pósito harinero, opinaba se accediese á su solicitud, &lt;ján-r decir que ni entiendo el dictamen del Gobierno ni el de la comi dolé once suertes de tierra. sión : el Gobierno parece- que dice que subsistirá este…</t>
  </si>
  <si>
    <t>…e algún tiempo vahan 1:0 r rs., hoy dia no hicieron poco mas ó menos las mismas observaciones que acaba valen mas que 21, lo cual ha aumentado la estrechez de aquellos de hacer el Sr. Romero , y hubo que aprobar casi sin examen el habitantes. Se me dirá que siendo esto asi, cómo es que la pobla repartimiento por la urgencia del tiempo. Para evitar que se re ción de Galicia se mantiene siendo como es mucha; pero, señor, pita esto propone la comisi…</t>
  </si>
  <si>
    <t>…no debe apro nes que él debe á su patria , y creo que mientras no se derogue el barse este artículo. artículo del código penal que se ha leido, es indispensable la A petición del Sr. Romero se leyó el artículo 249 del códi aprobación de este artículo, aunque con una ligera adición que go penal. que me atrevo á proponer. Puede haber un caso en que un El Sr. Isturiz: En otra época me abstendría de tomar la pa español que resida actuahneDte en Fran…</t>
  </si>
  <si>
    <t>…nso contestó: Es sobre c! valor en que se haya El Sr. presidente suspendió momentáneamente la discusión de \rendido. este asunto mientras se daba cuenta de una comunicación del El Sr. Romero: Observo en el artículo que se dice entre otras Gobierno. cosas que los agraviados serán reintegrados por las autoridades Se leyó en efecto un oficio del Sr. secretario interino del competentes: es algo inexacto el decir reintegrados, pues en ma Despacho de l…</t>
  </si>
  <si>
    <t>…administración de los productos de nas de tenerlas , como ha sucedido en la guerra de la inde estas penas. . . .. pendencia ; pero que esto estaba mnediado con aumentar su 2cío Ei Sr. Romero dijo que el art. i.° de este proyecto, qu.e era las personas encargadas de darlas, y saber bien á quien se daban. la base de los demás, era contrario al art. 245 de la Constitu Declarado el punto suficientemente discutido, quedó aproba ción , y á la ley de 9…</t>
  </si>
  <si>
    <t>…ortes podían declarar la supresión de esta Se leyó dicha propo&gt;;c:on suscrita por ¡os Sres. Sepilen , Sal pensión. va , Svoane, Alonso, Oiiver , Avellano , A i varea Gutiérrez, El Sr. Romero se opuso á este dictamen, manifestando que Montesino*, Villurucvu , Prat V otros, re::,:.va á que se nombre la concesión de esta pensión no había sido por gracia, sino por una comisión especia! para que , ovendo al Gobierno . proponga justicia , ademas que es…</t>
  </si>
  <si>
    <t>…ó sobre este pleito en 19 de Abril la Albert, viuda de D. Atanasio Alear, relativa á que las Cortes de 1816. le faciliten algún socorro en atención á los servicios de su marido El Sr. Romero dijo: El dictamen de la comisión tal como que murió de un golpe estando embarcado en la fragata de guer está mas bien parece una sentencia judicial que 110 lina aclara ra Astrolabio, opinaba que las Cortes no podían acceder á la so ción de ley, une es lo que…</t>
  </si>
  <si>
    <t>…ación. que se entienda esta resolución desde el fallecimiento de su marido. Art. i(Véase en dkha sesión de ayer.) El br. Alvarez ( f&gt;. Elias ) contestó que la comisión no creía El Sr. Romero r La comisión en este artículo qu'ere qtic pa necesarias estas cláusulas; pues si las circunstancias variaban po ra procederse á las elecciones de los militares hayan de concurrir dría esta interesada solicitarlo sin necesidad de expresarle en el todos á una…</t>
  </si>
  <si>
    <t>…echo mas que adoptar reformado lo que aquel proponía, en la tasación de costas se aumenta el valor de dicho papel. la comisión conoce con el Sr. preopinante ¡os incoitven.cnies El Sr. Romero pidió que este artículo se dfi.ctii.era des que había del aumento del valor del papel sellado; pero no en pués de los demás, para que con respecto á lo que se resolviera cuentra otra razón que dar á $. S. sino que la situ.icon del Esta sobre estos pudiera apr…</t>
  </si>
  <si>
    <t>…or el decreto de las Cortes El Sr. Canga: En cuanto á la primera observación del señor de 16 de Mayo de este ano. preopinante, la comisión se conforma con S. S. ; y en cuanto á El Sr. Romero observó.que deberia variarse la redacción de la segunda puede S. S. hacer la correspondiente adición. este artículo, suprimiendo las palabras celebrarán ameraos, y El Sr. presidente suspendió esta discusión para continuarla añadiendo al final , teje brando pa…</t>
  </si>
  <si>
    <t>3°4 podía acudir á las Cortes para la competente aclaración. La comi El Sr. Romero: Me parece que la declaración que aquí ha sión do Legislación de las anteriores Cortes, en vista de todos los ce la comisión es infructuosa por cuanto ya está acordado lo con antecedentes se conformo con el dictamen del consejo de Estado. veniente en la lev d…</t>
  </si>
  <si>
    <t>…de S. Juan y otras, y chas, fué aprobado en todas sus partes por t¡‘¡. vo el reglamento que debe regir en «Retios "estableci tos contra 53. mientos para su mejor organización. El Sr. Romero dijo «jue no alcanzaba el motivo Se mandó qnedar sobre la mesa el presupuesto que ’ habría movido á la comisión á alterar lo dis del ministerio de ia Gobernación de la Eenínstila. puesto cu el artículo 25o del Código penal , y tanto Se leyó por primera vez un…</t>
  </si>
  <si>
    <t>…i.° del Sr.'Gómez la primet a basta las palabras de todos los bienes, ( D. Manuel); otra al 5.® del Sr. Meca, y otra al desaprobándose lo restante de él y mandándose vol 9. ® del Sr. Romero. ver á la comisión. Continuó la discusión de! proyecto de leí adicio Art. 7. ° Cuando existan dos de los llamados no- nal á la de libertad de imprenta. minalmente que deben ser preferidos con arreglo ai Art. 2. ® Al que reincida publicando escritos qno artícu…</t>
  </si>
  <si>
    <t>…bre amortización de los bie viento hizo inutilizar todos Jos esfuerzos de las au nes de capellanías. toridades políticas y militares que pusieron el mayor Una sobre la adición del Sr. Romero al artícu empeño en apagar el incendio, iiabia este llegado ya lo 9 de dicho provecto que decía así : Cuando el A io mas aito de ia eminencia y se bailaba A punto patrono administrador tuviere al mismo tiempo de de comimietrse á las casas contiguas á Pera, cu…</t>
  </si>
  <si>
    <t>…uno de los confederados permitirá que sus i miles paiTrquhdrs . presentarlo por la comisión do it'ldi I ns I ornen las armas conlra los dt; otro, lii ten con cccion de o-tilo. El .Sr. Romero esposo que la comisión y la sedrá tropas e-l rimgorns á su sueldo.’' La proposición cretaría habían di.dado si esta determinaem» debíadel Lord AlGinrp para la anulación del Ilill de alis tamiento peí canguro, demuestra que la Inglaterra se correr como lev o c…</t>
  </si>
  <si>
    <t>…af este Sr. diputado se presenta lo expondrá , y hallándose estos mo (los leyó), por lo que del».a aprobarse. tivos, como dice la comisión, justos y bastantes, se dispensará Ja Ei Sr. Romero d jo que e-tc 0.aúnen era una verdadera lev, entrega del poder si las Cortes lo tienen por conveniente: ahora puesto que trataba de dar nuevas facultad; s á lo» alcaides v avunse trata solo de aprobar el acta y el poder presentado por las ra tam-cnto», y que…</t>
  </si>
  <si>
    <t>…eca , Oliver, Pumarejo , Casiejon, Falcon , bati- comprendido en las formalidades de que habla el 308. chez, Pacheco, Reillo y Ovalle. Total 75». votos. No habiendo A petición del Sr. Romero se leyeron ¡os artículos de la obtenido ninguno de dichos Sres. la mitad mas uno dei tota;, Coi;,t.tuc¡on que cita este dictamen y en segu da dijo: se procedtóá segundo escrutinio entre Jos Sres. Zulueta y Gaba Me creo obligado como d.putad&lt;3 á. hacer todos l…</t>
  </si>
  <si>
    <t>…talidad de este proyecto. malidad , pues está convencida que de no hacerlo asi quedará Art. i.° ................. paralizado cuanto acaban 'las Córtes'de aprobar en los anterio El Sr. Romero dijo que impugnaba este artículo no en el res artículos y en otros decretos anterioras. fondo, sino en la cláusula que trataba de la diputación'' permanen El Sr. Arguelles: El objeto que la comisión se propone po te, porque no tenia facultades para el objeto…</t>
  </si>
  <si>
    <t>…atacó al mismo tiempo que En la sesión de ayer, columna 3.a, línea 38 , después de ar otras' columnas intentaban, pasar por parages de muy fácil acr.eso, tículo 4“ debe decir . El Sr. Romero. EN LA IMPRENTA NACIONAL.</t>
  </si>
  <si>
    <t>…da á Jos frutos de Ultramar , ^facilitar su in en la Const’tucion fueron aprobados. Leído el articulo 9.0, tomó troducción en la Península , por cuya razón las Cortes debían ha el Sr. Romero la palabra según se dice allí. bilitar la bandera extrangera con el menor recargo posible. t-.l (j-b er nn ha reoí' ao ¿ s fd- tes s:*u&lt;rnt's. El Sr. Arguelles manifestó que el no se había propuesto el El eencral en ge fe del -ejército de opere; roñes al mini…</t>
  </si>
  <si>
    <t>…erminar,tejiente en el articulo , que nin La comisión admitió estos a, 1.culos , y ¡ub.cndc» e pasudo á la gún empleado por el Gobierno podía ser nombrado d.puiaJo a discusión, el Sr. Romero dijo que »c oponía a cite articulo pot</t>
  </si>
  <si>
    <t>…lek, y concluyó pidiendo que se aprobase el ar El Sr. Castejon manifestó que según este artículo, pasado el tículo. término que en él se señala , no se dalia audiencia ni aun á El Sr. Romero dijo, que convencido por las razones que se aquellos empleados que justificasen haber estado detenidos por habían alegado, retiraba la primera parte de su impugnación, los enemigos en una cárcel; y que ademas esta facultad era pu acerca de los empleados que t…</t>
  </si>
  <si>
    <t>…sado á la comisión un expediente pro» Después de una ligera discusión convino la comisión en sus movido con motivo de que reunidos en Córdoba los doce juece* tituir á petición del Sr. Romero en lugar de las palabras” ó cuan de hecho para calificar un escrito, siete le declararon incitador á do después de condenado el escrito por el primer jurado” las si ¡a desobedienc ia á las leyes en primer ¿vado, uno por sedicioso guientes ” ó cuando después d…</t>
  </si>
  <si>
    <t>…or lo tanto creo que las Cortes estañen el caso de de Dios guarde á V. S. muchos años. Cádiz 9 de Julio de 1823. = clarar que no ha lugar á votar sobre él. Salvador Manzanares. El Sr. Romero: He visto con admiración que se ha hablado de monjas, de frailes, de tiranos y de gastos de oficiales y em El Rey se ha servido dirigirme el decreto siguiente: pleados: no se trata de nada de esto, tratase solamente de dar un Don Fernando vn por la gracia de…</t>
  </si>
  <si>
    <t>…que eran veci PRESIDENCIA DEL SEÑOR. ZUIUETA. nos al tiempo de entrar al servicio o donde tuviesen derecho á Extrasto de !a sesión del dia Iy de Julio. v adquirir la vecindad. El Sr. Romero se opuso á la sustitución que ia comisión ha Se leyó y aprobó el acta de la anterior. cia á su dictamen , manifestando que la paite que decía " ó A la comisión primera de Hacienda se mandó pasar una ex donde tengan derecho a adquirir la vecindad" , poma dar l…</t>
  </si>
  <si>
    <t>…R. Philips, inti Se leyó y quedó sobre la mesa el dictamen de la comisión tulada almacén mensual en el número que incluye el mes de No de Libertad de imprenta sobre la adición del Sr. Romero al artí viembre de 1822 , de la cual estractaremos los pasages siguientes. culo 4.0 de Ja ley adicional á la de Libertad de imprenta. Mohamed Ali-bajá, virey de Egipto , se ha grangeado una repu El Sr. presidente anunció que mañana continuaría la discu tación…</t>
  </si>
  <si>
    <t>…a civiliza Se procedió á Ja discusión del dictamen de la comisión de li ción y la libertad personal, que les espera una muerte segura , si bertad de imprenta sobre una adición del Sr. Romero al articulo sucumbieren á los fanáticos que un ejército francés trata de esta 4.0 del proyecto sobre conservación de propiedad en las obras li blecer; sobre ellos, y convencerlos de que solamente en la victoria terarias , opinando ía comisión debía añadirse a…</t>
  </si>
  <si>
    <t>…cio de hombres buenos se tan consignadas , según lo acordado por las Cortes. Estas queda creyese conveniente. ron enteradas y acordaron que las citadas llaves se custodiasen se El Sr. Romero , después de manifestar las observaciones gún lo prevenido por Jas Cortes. del Sr. Aillon no favorecían en nada á los autores de obras, tJ*jo La comisión de Corrección de estilo presentó visadas diferen que la adición de que se trata solamente se había hecho…</t>
  </si>
  <si>
    <t>…uen sobre los bienes de los conventos suprimirlos inserto en la gaceta. tas , el derecho de visitar á esos establecimientos y otras cosas se También se aprobó otra proposición del Sr. Romero , para mejantes , jamas podia considerarse como propiedad de las que que las Cortes se sirvan recordar al Gobierno el ínlorme pedido trata la restricción 10 del art. 172 de la Constitución; por cuyo al supremo Tribunal de Justicia, relativo á una proposición…</t>
  </si>
  <si>
    <t>…astantemente discutido se votó el ar barlo, y con la misma facilidad podría yo decir que el sistema tículo por partes, quedando aprobada la primera hasta las pala propuesto por el Sr. Romero no es conforme á la Constitución. bras j.tuios de tinrjiiertiiíi inclusive: la segunda pacte hasta la Su señoría quiere que el poder judicial sea el único que pueda en palabra Constitución fue desaprobada y aprobada la tercera que tender en. toda clase de neg…</t>
  </si>
  <si>
    <t>…gados or torizar a! Gobiernopara que , atendidas las circunstancias actuales, dinarios de primera instancia. estableciese, si lo creía conveniente , un gefe político subalterno El Sr. Romero dijo que si la comisión hubiese tratado de su en Menorca , entre tanto que se instruía el expediente por haber primir absolutamente los tribunales consulares, estaría mas de se extraviado el anterior. Aprobado. acuerdo con ella que no en este dictamen; pero s…</t>
  </si>
  <si>
    <t>…tantos millones de reales, seguramente que Se halló conforme á lo acordado por las Cortes. ya lo hubiese hecho antes. Se procedió á la discusión del dictamen de la comisión de El Sr. Romero: Me limitaré solamente á impugnar los dos Guerra, sobre aprobación del batallón del General. La comisión medios que adopta la comisión para cubrir el déficit: i saber, el después de exponer varias consideraciones, opinaba que las Cor aumento que se propone en…</t>
  </si>
  <si>
    <t>…leyó y se mandó quedar sobre la mesa el dictamen de la nes que ha tenido la comisión para proponer este dictamen. El comisión primera de Hacienda sobre el pago ele e r,6pesos que Sr. Romero funda sus objeciones en que las Cortes han decreta re deben á la casa ele Rosellon hermanos y compañía de esta do ya una cantidad fija para las contribuciones territorial y de con ciudad',' por la justicia Cort que reclama esta casa, y ios muchos y sumos en q…</t>
  </si>
  <si>
    <t>…resultas de los informes que deban Jar sobre la Después de haberse opuesto á la segunda parte de este dicta supresión de cabildos v aplicación de su» bienes , se sirvan las men e! Sr. Romero , se votó por partes, v quedo aprobada la Cortes expedir desde luego un decreto pe: el que decidua supt primera hasta la» palabras (Jefatura ptJti.a. La segunda paite</t>
  </si>
  <si>
    <t>…cos y otros útiles , y no se puede dudar que en y apertura de Curtes , quedaron las' Cortes enteradas de un ella, que es la que conoce masque nosotros y que ei mismo Go ofic;o del Sr. Romero, manifestando que el estado de enfermo bierno ei país que pisamos, sus arbitrios y recursos, debe con en que se hallaba no le permitía asistir á las sesiones hasta su fiarse una gran parte de la defensa de la Isla Gud.tana. Esto su restablecimiento. puesto, y…</t>
  </si>
  <si>
    <t>573</t>
  </si>
  <si>
    <t>…as recla Ss leyó y aprobó el acta del dia anterior, y en seguida entró maciones que se ofrezcan hasta el dia 20 , haciéndose las rectifica á jurar y tomó asiento en el Congreso el Sr. Romero, diputado ciones y reclamaciones á la diputación provincial hasta el 25. Las electo por la provincia de Sevilla. entregas se harán a los ayuntamiento en dos plazos, la mitad en Se dió cuenta y quedo sobre la mesa el dictamen siguiente y los dias del 20 al 25…</t>
  </si>
  <si>
    <t>Romero, Antonio</t>
  </si>
  <si>
    <t>Antonio Romero</t>
  </si>
  <si>
    <t>…ario del primer distrito militaras ni uno solo- Esta operación se la confié al comandante del regimiento Excmo. Sr. = Según manifesté i V. E. desde Peralejos, Ja noche del de Jaén D. Antonio Romero en la nociré pasada, sacando aqu-d-os 13 salió una columna de caballería é infantería hacia Taravilla, donde soldadas mas robustos y menos cansados que llegaron á este purblo, por jas noticias que había recibido creía era el punto en que se reunía pues llevab…</t>
  </si>
  <si>
    <t>Romero, Benito</t>
  </si>
  <si>
    <t>Benito Romero</t>
  </si>
  <si>
    <t>…ue en aquella época hizo una A solicitud de D- Manuel Palacios, vecino y del comercio de esta gran sensación, había Inspirado ya á los griegos el deseo y la esperanza de corte, el Sr. D. Benito Romero, juez de primera instancia en ella, por la libertad. Hablamos de la alianza que la Emperatriz Catalina habla he su auto de 3 del presente, refrendado de J5. Pascual Seco, escribano del cho con ellos algunos años antes de Ja revolución francesa , y que tuvo ta…</t>
  </si>
  <si>
    <t>…que las Cortes se sirviesen acordar fuesen agregados á ella Juicio dt jurados. para que la ilustrasen con tus conocimiento* lo* Sres. Larramendi y El Sr. juez de primera instancia D. Benito Romero denunció ai Subercase. Sr. alcalde constitucional D. Lino Campo» un papel impreso, que em Se aprobó el dictamen de la comisión de Guerra, la cual, en vista de pieza : He aquí ¡a acusación dt un magistrado, «n concepto de inju la exposición de vatios individuo…</t>
  </si>
  <si>
    <t>…tres meses 50; y en Madrid por ano ley absolvió al impresor D. Julián Fernandez, responsable de dicho 176 rs., por seis meses 88, por tres meses 44, y por mes 16. periódico; y el Sr. D. Benito Romero , juez de primera instancia de Nota. Los tribunales, juzgados &amp;c. que en virtud de dectetos di esta M. H. vilh , mandó que fuese puesto inmediatamente en libertad, rigían hasta ahora sus providencias á la Gaceta de Madrid se servirán y declaró que este proced…</t>
  </si>
  <si>
    <t>…ue ayer le quedaron á Pereira durmieron este momento se me acaba de presentar por medio de memorial esta noche en unos bosques de la sierra. Esté vniJ. seguro de que el presbítero D. Benito Romero, y los sugetos comprendidos en en este país nada hace Pereira, pues los pueblos están en buen la adjunta lista, acogiéndose al sabio y generoso indulto concedi sentido. Las milicias nacionales han iuu contentas v entusiasma do por nuestro soberano Congreso, y…</t>
  </si>
  <si>
    <t>Romero, Cayetano</t>
  </si>
  <si>
    <t>Cayetano Romero</t>
  </si>
  <si>
    <t>…to distrito militar , con nandez Angulo , D. Zoilo Gómez Casero, D. Bernardo Asenjo, Don íecla de 9 del actual, dice entre otras cosas al Excmo. Sr. secretario Juan Isidoro Persz, D. Cayetano Romero, D. Juan Manuel de Ale da Estado y del Despacho de la Guerra So siguiente; ■» En el monten- jula, D. Juan Antonio López y D. Isidoro de Hoyos, to ile despachar el correo aesbo de recibir parte del general en gefe de Habida la conferencia , se declaró por unan…</t>
  </si>
  <si>
    <t>…de contribuciones direcias de las 12 de Octubre de 1820 , se reunió el jurado compuesto de los Sres. si provincias, con nota do los frutos que hayan recibido de cada pue guientes: D. Cayetano Romero, D. Juan Manuel de Aréjula, Don blo. Y estos presentarán á los referidos directores los recibos de los Andrés Alcon, D. Miguel Hipa , D. Casimiro Martin , D. Lorenzo encardados, para que comprobándolos con los testimonios, justificación Calvo de Hozas, D. Cel…</t>
  </si>
  <si>
    <t>Romero, Cristab.i</t>
  </si>
  <si>
    <t>Cristab.i Romero</t>
  </si>
  <si>
    <t>…gistro 4, núm. 45 , á favor dei mismo Ibañez , de 3610 rs. y 20 de estas tendrá dos brig-das compuestas de los batallones siguientes. mri,_Otro , registro 4 , núm. 40 , á favor de D. Cristab.i Romero , di Primera brigada de la pr nirra división: sy gefe interino el briga 3 90 rs. 17 mrs__Otro, registro 3 , núm. 49, del año de 1819,4 favor dier IX Vicente González Moreno. de la junta de propios de la vil a de Laguna, de 13,199 rs. y 11 y medio Primer batal…</t>
  </si>
  <si>
    <t>Romero, Félix</t>
  </si>
  <si>
    <t>Félix Romero</t>
  </si>
  <si>
    <t>continuos vivas i la Constitución. El terror de los malvados llegó i su rito cuta D. Félix Romero. Habiendo este coaducido los 8 que ya se colmo cuando las guerrillas de las columnas rompieron el fuego contra habían presentado á la plaza de la Constitución, vitoreaton todos, hasta ellos. Desde aquel momento se entregaron á una vergonzosa y desorde el mism…</t>
  </si>
  <si>
    <t>Romero, Francisco</t>
  </si>
  <si>
    <t>Francisco Romero</t>
  </si>
  <si>
    <t>…encaminar su solicitud. Si se hubiera suspendido la publicación D. Antonio Burriel, al teniente de ia M. A. de Trujdio de la gaceta de Madrid, seria lo mismo enviar dicha razón á D. Francisco Romero. la tedacc.on de la gaceta espartóla que se publica en Sevilla. Art. 2.a El general-en gefe ha visto con mucho sentimien ' A los poseedores ó administradores respectivos del patrona to que no obstante lo mandado en la orden general del egérci to de legos que…</t>
  </si>
  <si>
    <t>Romero, Luis Gómez</t>
  </si>
  <si>
    <t>Luis Gómez Romero</t>
  </si>
  <si>
    <t>…entes á cuyo frente me veo los hicieron desaparecer Artículo i.° Se conocerá por médico del cuartel general al como el humo: arrojaron al otro lado del Pirineo á los tres tira Dr. D. Luis Gómez Romero, y por cirujano interino "del bata nos que usurpaban y hadan ridicula la magestad Real: vieron un llón de milicia activa de Cuenca al profesor de ciruela médica escarmiento horroroso pero justo en un pueblo culpable, mas es D. Victoriano Torrecilla. te ejempl…</t>
  </si>
  <si>
    <t>Romero, Luisa Duran y</t>
  </si>
  <si>
    <t>Luisa Duran y Romero</t>
  </si>
  <si>
    <t>…rte del primer extracto de la ■ 00 de Segovia, D. Manuel Fernandez Tinoco , de 8594 mrs—Otro, de este dia á Mana Magdalena Mayar Clua, hija det patriota D. Va millones de Galicia, Doña Luisa Duran y Romero , de 53,134 mrs— lentín , muerto en el campo del honor. Otro, cuarto medio por too, de Cuellar , dicha priora y religiosas, de 74,013 mrs—Otro , a'cabalas de Sahagun, dicha priora y religioANUNCIOS. sis, de 5id mrs._Otro , renta general de tabaco , la comenda…</t>
  </si>
  <si>
    <t>Romero, Manuel María</t>
  </si>
  <si>
    <t>Manuel María Romero</t>
  </si>
  <si>
    <t>…a paite, dejar en el campo 12615 muertos, mayor número de heridos, y 150 prlione ros , entre los cuales se cumtan el mariscal de campo D. Santiago Wal y el comandante de escuadrón D. Manuel María Romero, El Sr. conde de Larochejaquelrtn cita y recomienda al Sr. coman dante de escuadrón Vidal , del i.° de húsares, comandante del reco nocimiento , á cuya ciencia y denuedo se debe tan fel z resultado ; al capitán Feruel, su ayudante de campo ; a) Sr. Alingry, s…</t>
  </si>
  <si>
    <t>Romigoda</t>
  </si>
  <si>
    <t>ra produce en abundancia trigo, cebada , arroz, algodón y to El 12 conforme i la orden dada por el general Romigoda especie de frutos y semillas que quieran cultivar. Los pro sa, se cantó el Te Deum en acción de gracias por la toma de ductos naturales del país son superiores a todos los demas del Cardona; el 13 tiraron algunas bombas de los fuertes, que no hicieron mal á n…</t>
  </si>
  <si>
    <t>Romo, Joscf</t>
  </si>
  <si>
    <t>Joscf Romo</t>
  </si>
  <si>
    <t>…racias al Todopoderoso, rogando al mismo tación de la villa de Budia, compuesta del Lie, D. LjandroBe* tiempo por la salud de S. M. y su Real Familia, y pronta co cerrd , abogado; D. Joscf Romo, D. Melchor Díaz, D. Al locación en su trono, del que le arrancó la traición y la perfi fonso Alonso, D, Rafael Verde y D. Fernando Bautista, pro dia ; á cuya función, previo anuncio de repique general de cam pietarios; y el primero dirijió á S. A. S. el disc…</t>
  </si>
  <si>
    <t>Romrro</t>
  </si>
  <si>
    <t>…no hallaban salida para ios frutos que te zán desvanecidas las objeciones que ha presentado el Sr. A.ían.nían recolectados, y que esto les impedia pagar el subsidio. En la ter El Sr. Romrro: Yo me lim taré á probar solamente dos cesas:cera propuesta dice el Gobierno que debiéndose cobrar en dinero lo primera que lo propuesto por la comisión no ocurre á las n-ct-sulade»que las personas particulares deban al erario, se le autorice para tran de las…</t>
  </si>
  <si>
    <t>Ron, Antonio González</t>
  </si>
  <si>
    <t>Antonio González Ron</t>
  </si>
  <si>
    <t>…ufrirá las penas del articulo anterior, y la de Cuba en Ultramar : D. Ezequiel Diez por la de Toro: quedará ademas inhabilitado para servir otro. Exceptúame los em D. Pedro Prado, D. Antonio González Ron y D. Nicolás pleados que vivan en país ocupado ó que sigan en sus destinos Gómez Villaboa por la de León: D. Fermín Alvarez Enlata con licencia expresa dd Gobierno legítimo, y las personas de que por la de Navarra: D. Josef Cano y D. Leandro Ladrón de hablan los artículos…</t>
  </si>
  <si>
    <t>…ey ejecutivo corresponde á él mismo. En ella de Cuba en Ultramar : D. Ezequiel Diez por la de Toro: observareis Igualmente "que por este motivo se suspendieron las D. Pedro Prado, D. Antonio González Ron y D. Nicolás providencias acordadas para el pronto envió de tropas en auxilio Gómez Villaboa por la de León: D. Fermín Alvurcz Enlate del Perú iScc.” por i a de Navarra: D- Josef Cano y D. Leandro Ladrón de Se asegura qne el general Arenales llegó el i.° del corriente Gue…</t>
  </si>
  <si>
    <t>…as por la pacial de Justicia. (Gaceta del g.~) de Cuba en Ultramar : D. Ezequiel Diez por la de Toro: Oficio de los Síes, secretarios de las Córtes al Gobierno par D. Pedro Prado, D. Antonio González Ron y D. Nicolás ticipándole haber cerrado estas sus sesiones. (Gaceta del 6. ) Gómez Villaboa por la de León: D. Fcrmin Aivarez Eulate Oficio de los Síes, diputados que componen la Diputación por la de Navarra: D, Josef Cano y D. Leandro Ladrón de permanente de Córtes , part…</t>
  </si>
  <si>
    <t>Roncali, Federico</t>
  </si>
  <si>
    <t>Federico Roncali</t>
  </si>
  <si>
    <t>…........... D. Josef Justiniani............................ D- Antonio Anguiano Ramos. D. Félix Valdés. D. L uis Zaforteza. D. Francisco de Paula Borei. D. Francisco Brú de Salas. D. Federico Roncali. Cadetes...................... - Alféreces, 6coo D. Josef Allende. D. Joaquín Roca. D. Josef Moreno y Sopranis. D. Josef Alfaro y Sandoval. D. Pedro Eenavide............................ j Cádiz 20 ríe Julio de 1823. nr Rubricado.r= Es copia. (Si concluirá, j…</t>
  </si>
  <si>
    <t>Ronuu</t>
  </si>
  <si>
    <t>…cular , á quien se le hace el favor de entregarle la pitales, y no quicio que' se mueran los enfermos. posesión de estos bienes. Yo soy amante de que la propiedad se A pcfc'on.det Sr. Ronuu se levo la ky i.\ tit. 14, piUdistnbuva , y creo que suced.cndo la Nación a los bienes de que sida 6/ se trata , y vendiéndolos luego , se consigue este fui. En consecuen- El Sr. Arguelles: Dos Jiilcuhades aparecen contra el ai c'a d eo que el artículo no es…</t>
  </si>
  <si>
    <t>Roo</t>
  </si>
  <si>
    <t>…en contra la pa Se discutió y aprobó un dictam-n de la comisión de Hacienda so labra vanos seño"" diputados. bre venta de géneros prohibidos. ( En otro número se insertará este El Sr. Roo.. .o: Manifestaré ¡as razones por que me opongo al dic dictamen. ) tamen de la eom.sion Especial, por ei cusí se piopone un reemplazo de K! Sr. presidente anunció que habiendo llegado la hora stfialada pa 29,973 hombres; p-ro antes nu puedo menos de decir que…</t>
  </si>
  <si>
    <t>Roque, S.</t>
  </si>
  <si>
    <t>S. Roque</t>
  </si>
  <si>
    <t>…de Alegría estiba esteblecidá en Ja calle de Stgunda brigada. Hortaliza , junto á la plazuela de Sta. Bárbara , se ha mudado á la ds Coraceros 400 caballos. Calatrava tíoo. Tota! 1D. S. Roque , esquina á la de la Luna , núm. 22, cuarto principal, en Tii corone! mas antiguo de cada brigada se encargará por ahora de donde seguirá recibiendo pensionistas , medio-pensionistas y externas. su mando, Exposición de perjuicios para la sociedad en que se de…</t>
  </si>
  <si>
    <t>Roquemaurel</t>
  </si>
  <si>
    <t>…nuestras manos, que lar los que se hallan encerrados en las plazas , tienen unas cree se dice ser la que la Reina de Portugal escribió á su hijo cuan deras las mas prodigiosas. El coronel Roquemaurel q&gt;-e se dis do este generoso defensor de los derechos de su padre se puso á tinguió en la acción del a a , ha intimado la rendic-.n inútil la cabeza de sus fieles tropas. En tan pocas lineas se halla toda mente á esta tropa, y siendo vanos todos sus esfuerzos…</t>
  </si>
  <si>
    <t>Roquemorel</t>
  </si>
  <si>
    <t>…ción de justicia á los en sangre. Estas tropas han sido mandadas y animadas por el que por sus extravíos se hallan presos ó detenidos en las cárce ejemplo de mi primer ayudante el coronel Roquemorel ( cuyo criado ha sido gravemente herido muy cerca de él), á exceples ; y teniendo en consideración el peligro á que está expuesta su saiud y la de los habitantes de la capital por lo rigoroso de ción de la columna de Sigüenza, que ha sido bizarramente con duc…</t>
  </si>
  <si>
    <t>Roqueruel, Francisco</t>
  </si>
  <si>
    <t>Francisco Roqueruel</t>
  </si>
  <si>
    <t>…ar sobre la mesa un dictamen de la comi A la comisión de Diputaciones provinciales se mandó pasar sión de Libertad de imprenta, acerca de tina proposición del se una exposición de D. Francisco Roqueruel sobre que se le rebaje ñor Cepero, para que se declare quien d.be juzgar los impresos de cierta deuda municipal que tiene. en que se injurie al cuerpo del jurado: otro de la comisión de Le A la comisión de Visita del Crédito público se pasó una ex gislación,…</t>
  </si>
  <si>
    <t>Ros, Josef</t>
  </si>
  <si>
    <t>Josef Ros</t>
  </si>
  <si>
    <t>…l esta villa----Manuel Duran Sarm cuto , natural de los Corrales__ mismo. Felipe Rivas, vecino ele esta villa. Las ventajas que se han conseguido por haber adoptada este ./«¿ríVíz—D. Josef Ros:no , vec'no de este pueblo__Don sistema, que tan imperiosamente redamaba la razón y la política, Cristóbal Rosillo, id—Andrés Rubio , id._JD. Vicente Ma no es neecsar.o expresarlas; los resultados nos convencen que de teos, natural de Algatocin, la unión de t…</t>
  </si>
  <si>
    <t>Rosaroll</t>
  </si>
  <si>
    <t>…e graduado de la Real infantería de Marina. Acusado .y convencido en público juicio de complicidad en la revolución Por el Ministerio de Gracia y Justicia se ha servido el Rey del mariscal Rosaroll, y con especialidad en la expedición que expedir ei decreto siguiente con fecha 13 del que rige. dispuso este para Reggio, la comisión le ha condenado por una La exposición que con encandelo de la Europa se ha dado ¿ nimidad á la pena de 30 años de presidio a…</t>
  </si>
  <si>
    <t>Rose, Antonio</t>
  </si>
  <si>
    <t>Antonio Rose</t>
  </si>
  <si>
    <t>…miento , que .se distin 1 art. 5.° De la presente capitulación ss extenderán cuatro guió en la casa del Trocadero, donde fue herido, y el capi ejemplares, y será ratificada por ei general D. Antonio Rose tán duMomferret, del terceto de la guardia, que entró -.1 primero lló, y firmada pordos oficiales que están á sus órdenes á las en el atrincheramiento enemigo, recibió dos bayonetazos, y fue ocho de U mañana. Se le entregas» un ejemplar , y los tres res por u…</t>
  </si>
  <si>
    <t>Rose-</t>
  </si>
  <si>
    <t>…ré Tras-dos-Monies en persecución de parte rodeada del fuego de la insurrección, ya por la de Vigo, ya por los malvados. ia de Portugal , y de haberse llevado p3ra apagarlo el Sr. general Rose- » Espero que V. E- continúe siempre con su conocida firmeza, va 116 fuerzas considerables, y con ellas algunos milicianos nacionales vo lor y pericia en scsimer el buen orden en esa provincia para triunfo luntarios que mé Hacen fa1ta. de nuestra santa causa y…</t>
  </si>
  <si>
    <t>Roseiló</t>
  </si>
  <si>
    <t>…precedente, serán depositados en el campo ocupado por las tro cuantos españoles desean de veras la felicidad de su patria , enton pas españolas, al cuidado de los oficiales que el general Roseiló ces la revolución quedará concluida, y tanto el Rey como sus tendrá nombrado con este objeto. súbditos podrán prometerse dias de tranquilidad y de ventura. Art. e&gt;.° De la presente capitulación se extenderán cuatro ejemplares, y será ratificada por el general…</t>
  </si>
  <si>
    <t>Roselló</t>
  </si>
  <si>
    <t>…e manifestaban por todos los puntos. En de infantería, caballería y artillería que componen la columna general las disposiciones se tomaron con el mayor zcictto por mandada por él general Roselló, rendirán las armas, quedarán el Sr. conde de Boidesoult; no hay palabras con que elogiar el prisioneros de guerra, y serán conducidos á Francia, escoltado» modo con que h&gt;zo ejecutar las órdenes de S. A. R. en este dia por Es tropas francesas. tan glorioso p…</t>
  </si>
  <si>
    <t>…a de los protectores y proyec daba a Talavera , porque las cosas presentaban buen aspecto ea tistas , es el valor de la moneda de cobre que ha introducido en aquella provincia. El general Roselló ha encontrado los espíritus Lima. Hacer monedas de cobre iguales á las de plata, y hacer muy animados en todos los pueblos de Galicia por donde ha que tantán el mismo valor que las de este metal, ó lo que es lo pasado mi lino : hacer que el cobre valga tanto…</t>
  </si>
  <si>
    <t>…o la de la ínfima plebe, dispuesta siempre á pe fección del conde de Cartagena , y que después trató de reur ir el dir , aunque sea su propia ruina si se lo mandan los que pagan y general Roselló, se halla en el dia reducido á algunas partidas conciertan sus gritos. sueltas que recorren algunos distritos de aquel país. Se.rn las car Seria hacer una notable injuria á S. M. el sospechar que ig tas de Orense que hemos pv'. Ucado , constaba entonces . que…</t>
  </si>
  <si>
    <t>Roselló, Antonio</t>
  </si>
  <si>
    <t>Antonio Roselló</t>
  </si>
  <si>
    <t>…erse de día, y 15 chalupa» enemi Capitulación del cuarto cuerpo del ejército español, hecha gas forzaron de veta para oponerse á su pasó? piro'y* estiba ¿ntre el mariscal de campo D. Antonio Roselló, comandanta bajo la protección del fuerte Su. Catalina &gt; cuyo ítiegó y él-del éif gefe d¿ dicho Cuerpo, y el mariscal de campo marques de brick Liloise, destacado por el contra-almirante De Rotaux, Marguérie, comandante de la brigada de la segunda división pr…</t>
  </si>
  <si>
    <t>…an usurpado el lugar de la Capitulación del cuarto cuerpo del ejército español, hecha opinión pública, obligándola á que no se atreva á levantar su voz. entre el mariscal de campo D. Antonio Roselló, comandante Pero llega el tiempo en que los pueblos se cansan, y que Jos per en gefe de dicho cuerpo, y el mariscal de campo marques de turbadores son víctimas do sus propios desaciertos; y si en aquel Marguerie, comandante de la brigada de la segunda divisió…</t>
  </si>
  <si>
    <t>Roset</t>
  </si>
  <si>
    <t>…eyes suponía los trámites de un juicio en ésta materia;/si es en ord n hecho por los Sres. preopinantes. á tos efectos espirituales ó internos, estos son independientes de toda El Sr. Roset se opuso al dictatr.rn de la comisión, manifestando declaración civil ; y cualquiera que sea la Opinión que Jos ¿urisccnsuf 01 que su aprobación producirla el aumento del contrabando, y que te tengan de dicha excomunión , si es justa y legal, obrará su efecto…</t>
  </si>
  <si>
    <t>…hecha con bastante mode Se aprobó el acta de la anterior, mandándose insertar en ella el ración ; mas con estos antecedentes se cumple lo que nuestros cálculos voto particular deí Sr. Roset, contrario á la aprobación de todos los habían ya previsto; y necesariamente debemos prepararnos ¿ escenas artículos del decreto sobre géneros prohibidos. mas funestas , cuando se nos hace traslucir de lo que puede ser capaz Se procedió á la elección de presi…</t>
  </si>
  <si>
    <t>Rosilli</t>
  </si>
  <si>
    <t>…justa de cuantas hasta ahora han afligi rer incendiar nuestros almacenes marítimos. Dueño fue de hacer do álos pueblos, es una verdad en que convienen cuantos han exa lo el contra-almirante Rosilli cuando se le forzó á entregarse; minado sin pasión su origen y los vanos pretextos con que se in pero le pareció impolítico causar un daño inútil que redundaba tenta justificarla, Pero es constante también que muchos de los tanto en perjuicio de la Francia co…</t>
  </si>
  <si>
    <t>Rosillo, Josef</t>
  </si>
  <si>
    <t>Josef Rosillo</t>
  </si>
  <si>
    <t>…ensa de ia yiila; Manuel Duran Sarmiento, natural de ios Corrales; Feli patria. pe Rivhs, vecino de esta villa. Lo que hago saber al públíco para su inteligencia. Madrid Jubrique. D. Josef Rosillo, vecino de este pueblo; Don 15 de Abril de 1823. = El gefe político el conde del Ab¡sva'. prisióbal Rosillo, id.; Andrés Rubio, id. ; D. Vicente Ma teos, natural de Aigatocin. El Excmo. Sr. comandante general conde del Ablsval ha Granada 9 de Abril. manifesta…</t>
  </si>
  <si>
    <t>Rossell</t>
  </si>
  <si>
    <t>…mpol , y su patrón asegura se sabia allí de i Puigcerdá herido en una pierna de una bala fría; hab endo oficio que el fuirte de liostalrich, distante cuatro leguas, esta muerto el teniente Rossell y un sargento cuyo nombre ignoro* ba próx mo á rendirse ; poique la guarnición carecía de agua po también dicen que han salido heridos tres oficiales franceses , y table, habiéndose corrompido la de los algibes, que hicieron que el enemigo ha tenido de 12 á 1…</t>
  </si>
  <si>
    <t>Rosseroll</t>
  </si>
  <si>
    <t>…lbao se quejaban de lo larga senrcno'a en dos pliegos y medio sobre causas de conspira mismo. El Emperador de Rusia seguía la misma conducta ultra, ción del tribunal de Mesina. Al general Rosseroll, ausente, se no permitiendo entrar en Petersburgo periódicos ingleses. Un pe 1c condenó á niticite, y á otros dos individuos: igual sentencia riodista de Londres dice que en Bilbao temen mas á los batallo se dió contra Alejo Fassulo , presente, condenando á J…</t>
  </si>
  <si>
    <t>Rotalde, Nicolás Santiago</t>
  </si>
  <si>
    <t>Nicolás Santiago Rotalde</t>
  </si>
  <si>
    <t>…ba que no habia inconvenien concedido por el art 2=° del decreto de Julio último, habia or te en que las Córtes recomendasen al Gobierno á este indivi denado que D. Blas Ostolaza, D. Nicolás Santiago Rotalde, duo, para que con arreglo á sus méritos y aptitud le coloque. D. Domingo de la Vega, D. Félix Mejía, D. Benito Morales, Aprobado. D. Leonardo Perez, D. Josef Spínola, D. Ramón Ceruti, Don Se leyó la siguiente proposición del Sr. Murfi : «Pido á Jas Ramón Sán…</t>
  </si>
  <si>
    <t>Rotaltíe, Nicolás de Santiago y</t>
  </si>
  <si>
    <t>Nicolás de Santiago y Rotaltíe</t>
  </si>
  <si>
    <t>…ia, y desde luego se presentaron como unos constitucional L&gt;. Miguel García de la Madrid la representación de too en la cordillera de Alturas que sigue hasta la Lastra; ai momento D. Nicolás de Santiago y Rotaltíe al Rey, inserta en el Pairóla, nú dispuse atacarlos, y las guerrillas de Aragón , Burgos, resguardo de mero 29, coma sediciosa en primer grado, se reunió ci jurado , com Astúrias y Pontevedra treparon por alturas casi inaccesibles despre-, puesto de los Sres.…</t>
  </si>
  <si>
    <t>Rotaux, De</t>
  </si>
  <si>
    <t>De Rotaux</t>
  </si>
  <si>
    <t>…ló, comandanta bajo la protección del fuerte Su. Catalina &gt; cuyo ítiegó y él-del éif gefe d¿ dicho Cuerpo, y el mariscal de campo marques de brick Liloise, destacado por el contra-almirante De Rotaux, Marguérie, comandante de la brigada de la segunda división precisaron á los bastimentos enemigos i alejarse con presteza» del primer cuerpo del ejército francés. Este brick, mandado por el teniente de navio Lemasand, los Articulo i.° El general D. Antonio Ro…</t>
  </si>
  <si>
    <t>Roteen</t>
  </si>
  <si>
    <t>…riosa jornada. Lo cilitar el paso, tanto desde este pueblo al de Bagá por mí parte, como que pongo en conocimiento de V. E., 4 fin de que, elevándolo al de al contrario por la del general Roteen. Creo que á ia hora presente se S. M., se sirva recomendarle'en mi nombre i los bizarros gefes, ofi hayan ya medianamente adelantado; y si una ventisca ú otro nuevo ciales y tropa que se expresan , y en particular á los que han merecido contratiempo no lo imp…</t>
  </si>
  <si>
    <t>Roten</t>
  </si>
  <si>
    <t>…eí juicio d •• irla aum-rtand &gt; suee-.ivam.-nt:, s-gun lo permitan ¡os Barcelona tie Febrero. medio» y recursos del listado. Alt. 2.” Con arreglo á lo d.-s¡.u---to en luego que el general Roten supo la toma de los fuertes de Urgel, los aits. jó y 57 del ¡decreto orgánico de ¡a armada , se p rocería iá indirigió desde Bagá á los sóida los de su d. visión la siguiente procama: nudiatamente a la reforma de su» oficiales inútiles. Art si verifi ’&gt; holda…</t>
  </si>
  <si>
    <t>…ta condición en la fórmula __El coronel D. Santiago de Migud , gobernador de la plaza de Berga, misma del juramento qué prestji-.i.t, de obedecerle si guardaba sus far da pa:te al general Roten con fecha de 26 de Febrero último de la re ros y libertades; y sí no, no: con lo cu a! se ponían á cubierto de la tirada que hizo con alguna precipitación la columna de D. Josef Cam- anarquía y del despotismo. En este punto estamos conformes con el Sr. brubí,…</t>
  </si>
  <si>
    <t>Roten, Antonio</t>
  </si>
  <si>
    <t>Antonio Roten</t>
  </si>
  <si>
    <t>…u des los egércitos de operaciones de ios distritos 6 0 y 7- i°3 brigadieres gracia é indigencia. También he dado las mas activas disposiciones D. Felipe Montes , D- Josef Manso , D. Antonio Roten y D. Maria para que inmediatamente queden enterrados los cadáveres. En los fuer no Zorraquin , el primero gefe de estado mayor del segundo egército tes ss están recibiendo los inventarios, que pasaré 3 manos de V. E de operaciones, el segundo y tercero comandantes gener…</t>
  </si>
  <si>
    <t>…do Juan Saz heridos, y muerto el caza „ Egército de operaciones del 7.0 distrito.— Excmo. Sr.= El brigadier dor Fernando Diez. La del enemigo, según las noticias que recibo, es de D. Antonio Roten , comandante de la cuarta división del egército de mi 9 muertos y mas de 30 heridos, enrre ellos el cabecilla Mirallcs en un mando, con fecha i.° del corriente me dice desde Prat de Llurar.ee lo si brazo. Este ha sido el resultado de la acción que sostuvo aye…</t>
  </si>
  <si>
    <t>Rotours, Des</t>
  </si>
  <si>
    <t>Des Rotours</t>
  </si>
  <si>
    <t>…que no teniendo que esperar ningún suceso favorable , se ha La segunda, que ss baila en et Mediterráneo, está man lla en un estado de completa desmoralización. dada por'el contra-almirante Des Rotours, y tiene orden de NOTICIAS DE ESTAÑA.guardar lá costa oriental de España, habiéndose últimsmente concentrado una parte de esta escuadra bajo las órdenes de Barcelona 6 de Mayo. Mr. de Rósame!, capitán de navio , que manda la fragata Junon, Es indudable ya que…</t>
  </si>
  <si>
    <t>Rotten</t>
  </si>
  <si>
    <t>…mados. JLas Cortes , do llaman reb'ldr.Dehese tan admirable conversión al zelo patriótico é podrán menos de congratularse al ver que este plantel se1 presenta ofre infatigable del Sr. Rotten , y á la egemplat disciplina do las.tropas ciendo-frutos opimos. •, Cuán'grató no debe ser ver los sentimientos de constitucionales. . estos jóvenes, que un día nos sucederán en estos asientos! Por tanto^su- _j Las noticias de Valenciano traen ningún» «-osa p…</t>
  </si>
  <si>
    <t>…dores, 8 caballos, varios paisanos de los pueblos ve Guerra.” cinos , y la brigada , dirigiéndome hacia Font del Fach para recibir las municiones que desde B;rga debía traernos el general Rotten. A Egército de operaciones del séptimo distrito.—-» Ex mo. Sr.: De las siete llegamoc al pueblo de Piedra, situado al pie de las montañas seando anticipar á V. E. ia noticia satisfactoria del combate glorioso, que separan la villa de B3gá y ia Cerdaña, donde…</t>
  </si>
  <si>
    <t>…zequiel Palacios, Claudio Cobeña , Ramón cés á forjar combates entre Mosen Antón y la división constitucional Rubio y Juan Hernández , acusados de haberse presentado armados y del brigadier Rotten; en los cuales ios constitucionales fueren atroja montados en gavilla y con el objeto de destruir el sistema constitucio dos, porque asi lo quiere el redactor , de Granollers y perseguidos hasta nal , se ha dado la siguiente sentencia: Montada , í dos leguas…</t>
  </si>
  <si>
    <t>…terráneo, que ba , y esta mañana ha salido para Barcelona___Tenemos en esta con cargamento de café fue conducido por otro al mismo puer á nuestro impertérrito y dignísimo patriota general Rotten, que to , ha sido declarado buena presa. __éLa goleta Altaraj , que con llegó ayer por la tarde. pabellón español salió en Enero de Nassau, fue apresada sobre Ma Cádiz 20 de Abril. tanzas por un corsario coiumbiano. El segundo ayudante de estado mayor D. Fran…</t>
  </si>
  <si>
    <t>Rotten, Antonio</t>
  </si>
  <si>
    <t>Antonio Rotten</t>
  </si>
  <si>
    <t>…adas de los muchos años.— Vich xi de Abril de 1823.—Francisco Espoz y buques de guerra en los puertos como hasta ahora se ha verifi Mina.” cado. » Excmo. Sr.: El mariscal de campo D. Antonio Rotten, ANUNCIOS. comandante general de la tercera división de este ejército, con fecha de ayer me da el parte siguiente. = El gobernador de Bcr- Por edicto de D. Josef Ruiz del Arco , alcalde x.° constitucio ga con fecha 8 del actual me dice lo que sigue: La contin…</t>
  </si>
  <si>
    <t>…imientos militares, y particular gundo del distrito de Barcelona y gobernador de aquella plaza mente por su amor decidido á la causa de la libertad. Dios guar el Marisca! de campo D. Antonio Rotten—Se habían pasado á de á V. E. muchos años. Alcira 22 de Abril de 1823. = Ex Mataró 80 franceses, y aseguraban que si avanzaba el ejercito se celentísimo Sr.nn Pablo Miranda. = Exento. Sr. ministro de la pasarían muchos mas de los de la segunda línea. Guerra.”…</t>
  </si>
  <si>
    <t>…modo la Diputación permanente tiene medios de sujetar al Gobierno: el Gobierno Se ha publicado el bando siguiente: no quiere que lo que se le ha dado ayer se le destruya hoy , por D. Antonio Rotten, mariscal de campo de los Ejércitos nacio que entonces no es Gobierno. La mayor parte de los españoles nales, comandarte general en 2.0 del distrito, y goI*rnador no necesitan estímulos para no prestar al Gobierno los auxilios interino de esta plaza. necesari…</t>
  </si>
  <si>
    <t>Rótulo, Casilda</t>
  </si>
  <si>
    <t>Casilda Rótulo</t>
  </si>
  <si>
    <t>…de too9 mrs., situada en las al de hecho referidos solo los tres últimos disintieron de la califi cabalas da la ciudad de Granada, en cabeza de García de Vera cación expresada. y Doña Casilda Rótulo._Otro de 29,710 mrs. al quitar, sitúa-, __El Sr. fiscal de imprenta, excitado por el Excmo. Sr. gefe do en el servicio y millones de la ciudad de León, con antela político da esta provincia , denunció ai Sr. a'caldc constitucio ción de les 300&amp; ducados de la…</t>
  </si>
  <si>
    <t>Rousselet</t>
  </si>
  <si>
    <t>…nemigo á apartarse pouy, edecán del general conde Bethisy; al teniente de Alontd; !a protección del fuego de dos lanchas cañoneras y de las ba moreney, su oficial de ordenanza; al capitán Rousselet, edecán rrías de la Carraca. del general príncipe de Carignan, y al teniente Brice, edecán La columna que salió á atacar el molino de Ocio, apoyada del general Goujon. por una lancha cañonera , fue recibida por la compañía de ca El coronel da estado mayor mar…</t>
  </si>
  <si>
    <t>Rovinat</t>
  </si>
  <si>
    <t>…atención por diferentes puntos , librarse asi de la persecución del Excmo. Sr. -conde del Abisbal, y levantar cuanta gentedo 6 el Sr. Marchámalo, y 2 el Sr. Neira. En 8.° lugar el Sr. Rovinat por 73 votos, habiendo tenido 5 el pudiesen, y que ellos hicieron correr esta voz para deslumbrar , lo que se guramente no es extraño, pues V. E. no ignora que este fue uno de los Sr. Marchámalo. En 9.0 lugar el Sr. Baigcs y Oliva por 78 votos, habiendo tenid…</t>
  </si>
  <si>
    <t>Rovivos</t>
  </si>
  <si>
    <t>…el E! jueves pró'.ximo 29 del corriente se verificará en esta ciu mayor desagrado, respecto á que le habia manifestado los mas dad una ascensión aereostática bajo la dirección del profesor Rovivos deseos de que se conservase la tranquilidad , y al efecto ofre- bertson, elevándose en una barquilla pendiente del globo mada cídole auxilios de su fuerza. ma Cossoul. l,o que se hace saber al público con el objeto de que A pesar de estas sólidas razones Bess…</t>
  </si>
  <si>
    <t>Royer</t>
  </si>
  <si>
    <t>…y principió á ningún enviado de Prusia al cuartel general del Duque de An trabajar con el mayor zdo para entablar el buen orden y segu gulema; pero sepan estos periodistas que el general Royer ha ridad de las personas y familias: para ello fue indispensable ase sido encargado de esta misión, y que S. E, camina hace alguno* gurar á los perturbadores , perseguir á los fugitivos de cualquie dias para su destino. ra clase y condición que sean , se han…</t>
  </si>
  <si>
    <t>Royere</t>
  </si>
  <si>
    <t>…e 500 rs., gubernativamente podia hacerlo aunque tuese mayor. loa valiente* defensores de las libertades patrias. No se sabe qué fue Despuea d* haber hecho variaa observaciones el Sr. Royere contra mu rápido, si el toque de le generala ó la iluminación general y espon el dict'imen, á las que contestó el Sr. Buey , se declaró no haber lugar tánea da todas las casas, y la concurrencia da tod&gt;s los militaros, á vot .r sobre él. milicianos y ciudadan…</t>
  </si>
  <si>
    <t>Royo, Vicente</t>
  </si>
  <si>
    <t>Vicente Royo</t>
  </si>
  <si>
    <t>…padeció en estos tres aciagos años cuanto su en completo, pasa de i$oo fojas, formada principalmente por si cono les ba sugerido; todo lo que sufrió este vecindario espe- abogado D. Vicente Royo y el escribano D. Rafael Lozano, tanzado en que Dios volvería por su causa. Ultimamente en ios enviados en comisión por la audiencia de Zaragoza, sembraron dias de pascua de Pentecostés, habiendo sido acometida la ciu la consternación, llenaron las cárceles d…</t>
  </si>
  <si>
    <t>Rozas, Francisco Sainz de</t>
  </si>
  <si>
    <t>Francisco Sainz de Rozas</t>
  </si>
  <si>
    <t>…mente y en estado de servicio dos compañías de infantería y una de D. Gonzalo Cárdenas. D. Marcos Izquierdo. caballería de cazadores constitucionales, que deberán destinarse al mo D. Francisco Sainz de Rozas. D. Francisco Luciano Domínguez mento á recorrer la provincia con el objeto que expresa el decreto ds D. Nicolás Cano de Luque- Villanueva. las Cortes de 1." de Febrero próximo pasado; y acordado S- E. que ss £&gt;. Matías Pinillt. D. Juan Antonio López. manifie…</t>
  </si>
  <si>
    <t>…D. Ramiro Gil de Gibaja y el del mé D. Tadeo Perez, D. Joaquín Lumbreras, D. Francisco &lt;!■' Accvai y dico , y á poco rato entró el general Empecinado con la fuerza de 30 Arratia , D. Francisco Sainz de Rozas, L&gt;. Joscf Valls de Roca , Doa caballos y 20 infantes, y ademas 12 voluntarios de caballería de Nava; Josef de Leglisa y Pinedo, D. Josef Asucro , D. Míreos Izquieido y y sabiendo esta noticia se estaba disponiendo para perseguirles con di D. Eugenio Perez Go…</t>
  </si>
  <si>
    <t>Rozas, Josef Sainz de</t>
  </si>
  <si>
    <t>Josef Sainz de Rozas</t>
  </si>
  <si>
    <t>humilde y adiadamente, sí, porque ist hablan siempre los españoles i D. Andrés Alcon. D. Josef Radon. su Rey, pero con una decisión heroica, * rogarle que se dignase de dar El Dr. D. Josef Sainz de Rozas. D. Nicolás Alonso. ya fin á las amarguras de sus subditos, adoptando el pació que recla D. Vicente Villanova. D. Elias Montero y Porlocarmaban su bien y sus deseos. Hízolo asi V. M., porque sus entrañas pa D. josef Asnero. . rero. ternales nada podían rehusa…</t>
  </si>
  <si>
    <t>Rrcz, Teresa</t>
  </si>
  <si>
    <t>Teresa Rrcz</t>
  </si>
  <si>
    <t>…D. Manuel Fernandez Calvo, para que se L runtecrc ot:a suma que intereses de Wurtemberg , sino de toda la Alemania constitucional. presto al egercito espa, oí del Perú y otro por Don Teresa Rrcz , sol c — SUIZA. tando una viudedad, tn atención á los sérveos ue su d.funro manco tñ nna fábrica naconal del Perú. Schjffhouse io de Febrero. A la de Instrucción pública una exposición de la dirección genera! de Todavía continúan las d scusiones entre los ca…</t>
  </si>
  <si>
    <t>Rsyne, Gerardo de</t>
  </si>
  <si>
    <t>Gerardo de Rsyne</t>
  </si>
  <si>
    <t>…de ío de Noviembre de 1815 y de haberles dado igualmente un convenio que dabt-ria ajustarse al efecto, y se asegurase su reintegro. y para el propio efecto á. M. Cristianísima al Sr. Gerardo de Rsyne” En seguida se abrió la negociación para proceder á dicho conve val, consejero de Estado, ministro plenipotenciario y enviado extraor nio, habiendo autorizado S M. debidamente personas de su confianza dinario de dicha Magestad en ¡a corte de Prusia , comendad…</t>
  </si>
  <si>
    <t>Rtiiz, Josef</t>
  </si>
  <si>
    <t>Josef Rtiiz</t>
  </si>
  <si>
    <t>…ncia. gancharse por el tiempo que solicite, y el que lo hiciese mientras dure la presente guerra podrá reengancharse en lo sucesivo por el Habiendo insistido hasta por tercera vez D. Josef Rtiiz del tiempo que le acomodare , y tendrá derecho á los premios de cons Arco , D. Vicente Diirana y D. Cesáreo María Saenz , en ne tancia establecidos antes de la ley constitutiva del ejército. Igual garse á aceptar los cargos respectivos de juez y suplentes del…</t>
  </si>
  <si>
    <t>Rtves, Josef</t>
  </si>
  <si>
    <t>Josef Rtves</t>
  </si>
  <si>
    <t>…ayadas de él; declararon por unanimidad haber lugar á la cárcel de dicha cabeza de partido, en la que se le oira y administrará jus formación de causa los sefiores jueces de hecho D. Josef Rtves, Don ticia ; apercibido que pasado sin haberlo verificado , sin mas citarle si Marcos Antonio de Mcnero, D. Gonzalo de Cárdenas, D. Juan Ma emplazarle se continuará y substanciará por su ausencia y rebeldía con nuel Aréjula, D. Juan Antonio López, D. Gaspar A…</t>
  </si>
  <si>
    <t>Ru, Francisco</t>
  </si>
  <si>
    <t>Francisco Ru</t>
  </si>
  <si>
    <t>…a en el añ» 17-9, a fin de que usando de ias facultades que ber lugar .i deliberar. Aprobado. le concede la Constitución y la ley de 24 de Marzo de 1813 Otro sobre la instancia de D. Francisco Ru:z de Alvarez, cuide de que se administre pronta justioa al interesado , y exija di pendiente de! ramo de aitillería, opinaba que pasase al Go la responsabilidad á los que hubiesen entorpecido este negocio. bierno. Aprobado', Aprobado. Otro sobre la exposición…</t>
  </si>
  <si>
    <t>Rúa, Alejandro</t>
  </si>
  <si>
    <t>Alejandro Rúa</t>
  </si>
  <si>
    <t>…omisión especial de la Cimara de los Dipu «El comandante de la tropa del 6.' regimiento de infantería de tados acerca del negocio del benemérito Mr. Manuel. En aquel infame Marina D. Alejandro Rúa, que ha llegado á esta capital convoyando escrito se vomitan las injurias mas atroces contra aquel digno represen* 63 fusiles para la milicia nacional, con fecha de 10 del corriente par tanre de la nación, y la comisión propone por último que sea borra ticipa…</t>
  </si>
  <si>
    <t>Rubín, Fernando</t>
  </si>
  <si>
    <t>Fernando Rubín</t>
  </si>
  <si>
    <t>…Agricultura , en vista'dc una exposición del Exorno. Sr. general en gefe al primer comandante de tropas 1 ¡ge— ayuntamiento de Zafra, consultando si debía repartirse una dehe r.ts D. Fernando Rubín de éelis, y por ayudantes de campo sa que se le concedió en 1448 por los motivos que expresaba, á los coroneles D. Felipe Bros, D. Ignacio Hacha y D. Do opinaba que debía repartirse. Aprobado. mingo Mateos, al teniente coronel D. Pedro Nogues, y á los ca La c…</t>
  </si>
  <si>
    <t>Rubinat</t>
  </si>
  <si>
    <t>…mo. Recayó igual resolución que sobra las demas de y tropa sobrantes del i.° y 2.0 regim entras, esta ciase. sin perjuicio de lo mandado por el Aérelo de be l.yó un oficio del Sr. diputado Rubinat, manifestando que las Cortes de 21 de Marzo de este año............ 4.014,626-13 habiendo sido robado y maltratado de resultas de la traslación de ]llj : nt. ria. las Cantes, había ido á parar á Algtctras, en donde se veía obli Sueldos del Inspector, y gastos…</t>
  </si>
  <si>
    <t>Rubio</t>
  </si>
  <si>
    <t>…._El pueblo y la mencionada ermita, y que habia salido de la ciudadela , á ayuntamiento de Zamota—Los cursantes de la universidad de Salaman 30 cazadores de Zimora mandados por el teniente Rubio, algunos de ca—La milicia de idem. El segundo balaík^» de milicia de Murcia— los cuales se adelantaron tanto que los enemigos los creyeron cortados La diputación provincial de Falencia__El apuntamiento de Guijo d: tomando varios parapetos en la altura, donde…</t>
  </si>
  <si>
    <t>Rubio, Cayetano</t>
  </si>
  <si>
    <t>Cayetano Rubio</t>
  </si>
  <si>
    <t>…Soliva. los patriotas para continuar sus donativos en favor de la libertad é D. Josef Valla y Roca. D Ramón Queraltó. independencia de la Nacioa. D. Joaquín déla Vega y Quintana. D. Cayetano Rubio. D. Luis de Mata y Araujo. D. Bei nardo Asen jo. _ Debiendo empezarse desde luego las operaciones preliminares par.» D. Gregorio Mendivil. D. Josef Francisco Muiguiru. ci pago del dividendo de 30 rs. por acción en metílico por ios años, de 1821 y 11 acordado…</t>
  </si>
  <si>
    <t>…o el acero exterminador contra esos monstruos, que tratan siguientes: D. Juan Rodríguez de Guevara , D. Antonio S0I1de robaros todo lo que hay pata vosotros de mas precioso y va , D. Cayetano Rubio, I&gt;. Josef Segundo Monde jar, D". Josef sagrado sobre la tierra: salga finalmente de vuestros pechos á la Merelo, D. Miguel de Nájcra, D. Matías Pinilla, D. Josef manera de un torrente de fuego la ira reconcentrada por tanto Sainz de Rozas, D. Aniceto Moreno.…</t>
  </si>
  <si>
    <t>…la proporción de tener á su alrededor de menos calificación los Sres. jueces de hecho D. Josef Alvarez y Cres de media legua á una otros limítrofes que carecen de facultativo, po, D. Cayetano Rubio, D. Nicolás A-onso, D, Aquilino y deparan al de Domingo Perez frecuentes apelaciones. Los pro Palomino, D. Lorenzo Lambea, D. Josef Ptrez Morales, Don fesores que teniendo la cualidad enunciada quisieren pretender el Marcelino Torio, D. Arias González de Mend…</t>
  </si>
  <si>
    <t>Rubio, Manuel</t>
  </si>
  <si>
    <t>Manuel Rubio</t>
  </si>
  <si>
    <t>…que hubiese de estar dedicado á las armas para soste- parará el perjuicio que haya lugar. a* ner la tranquilidad ó perseguir á los revolucionarios , de mis Por providencia dei Sr. teniente D. Manuel Rubio y escri „ propios bienes le señalaré lo necesario para que de nada carez banía de D. Casimiro Gómez, se llaman á los parientes y ha as can ni él ni su familia ; teniendo á mucha gloria y honor ha bientes con derecho á los bienes de Rafael Alvarez, criado que…</t>
  </si>
  <si>
    <t>…. M. un regalo semejante habían de ha»er cutí ¿tío ¡n España puerta del jardín de la propia casa. iooQ heroicos combatientes con un Nieto de S. Luis al frente? Por providencia del Sr. D. Manuel Rubio, dada por ante el Vaya que es mucha cabeza la de nuestro fabricante de consti escribano de su número D. Florentino López, se ha mandado tuciones! sacar í pública subasta por término de treinta dias, contados Los artículos 7, 8,9,10,11, 11, 84, ó habló de ello…</t>
  </si>
  <si>
    <t>…adas ) y con diputados de España i Indias, para establecer A voluntad de *u dueño, y en virtud de providencia del sólida y legítimamente cuanto conviniese al bien del reino, y que Sr. D. Manuel Rubio, y por la escribanía de D. Cristóbal de restablecido el orden y los buenos usos en que ha vivido, y con su Vicuña, se publica la subasta por 1 5 días, señalándose el últi acuerdo habian establecido los Reyes augustos predecesores de S. M., mo para el remate q…</t>
  </si>
  <si>
    <t>Rubio, Manuel Joref</t>
  </si>
  <si>
    <t>Manuel Joref Rubio</t>
  </si>
  <si>
    <t>…zando el desorden y la indisci plina, os amenazan con el robo y con el exterminio? Y voso ANUNCIOS. tros , soldados, vosotros que siempre habéis abrigado senti Por providencia del Sr. D. Manuel Joref Rubio, del con mientos de honradez, ¡qué banderas seguís? ¡ por quién preten sejo de S. M., teniente primero de corregidor di esta villa, déis pelear? ¡ Acaso srreis los viles instrumentos de unos pocos refrendada de su escribano del número D. Jacinto Gaona y deses…</t>
  </si>
  <si>
    <t>Rubio, Manuel Josef</t>
  </si>
  <si>
    <t>Manuel Josef Rubio</t>
  </si>
  <si>
    <t>…o de las luces. ANUNCIOS. Siguiendo nuestros regeneradores su acostumbrada política de embaucar al inocente pueblo español para disponer á su arbitrio En virtud de providencia del Sr. D. Manuel Josef Rubio, de la nación toda, han cteido muy á propósito inventar frases del consejo de S. M., y teniente primero de corregidor de esta pomposas é ininteligibles, que tienen sin embargo un sonido se villa, refrendada del escribano del número de la misma D. Do ductor ca…</t>
  </si>
  <si>
    <t>…do parados al saber que todos ios jóve El dia i.° de Agosto próximo de doce á una de su mañana nes hablan salido antes de dicha orden con objeto de reunirse á en ¡a habitación del Sr. D. Manuel Josef Rubio, del Consejo los cuerpos francos que se han creado; pues mas quieren servir de S. M., teniente corregidor de esta villa, está señalado para entre las filas constitucionales que no entre franceses y afrance e! remate de 235 partidas de tierras, . lúas, olív-r…</t>
  </si>
  <si>
    <t>…ste ensayo; pues cortos efectos que dejó en su cuarto,que habitaba en la casa ca prueba que su doctrina es opuesta á los principios revoluciona lle de Silva; y por providencia del Sr. D. Manuel Josef Rubio, rios , que deben ser combatidos per todo ei que sea amigo de Ja del consejo de S- M., primer teniente de corregidor de esta humanidad- Se vende en el despacho de la imprenta Real á 8 dicha villa, se ha mandado citar y emplazar, como por el pre reales en past…</t>
  </si>
  <si>
    <t>…u funesta tendencia y La torcida intención de sus gado á nuestros oidos. autores. ANUNCIOS. En las noticias de Oporto dic: que hay allí un gran descon En virtud de providencia del Sr. D. Manuel Josef Rubio, tento á causa de la conducta licenciosa de los soldados. Que se del consejo de S. M., teniente primero de corregidor de esta temia un movimiento serio. Que reinaba una indignación gene II. villa de Madrid, refrendada del escribano del número D. An ral por la…</t>
  </si>
  <si>
    <t>…é dia tendríamos con ANUNCIOS. este refresco. Por nuestra parte tuvimos de pérdida 500 muertos y doo prisioneros , entre ellos el valiente Gurre...... En este Por ‘providencia del Sr. D. Manuel Josef Rubio , del con ejército estamos muy mal, y expuestos i todas horas a perder Ja sejo de 5. Al., primer teniente corregidor de esta heióíca villa, vida: somos pocas tropas, y el ejército invasor es considerable, dada por aute el escribano del número D. Florentino Ló…</t>
  </si>
  <si>
    <t>…ara que mero de unos y otros: nuestra pérdida consiste en cuatro muer en el término perentorio de 30 dias comparezca ante el Señor tos y 1 2 heridos. (Siguen las recomendaciones.) D. Manuel Josef Rubio , y escribanía de D. Bernardo Díaz __La dolencia de Mina se agrava mas cada dia. El bloqueo de de Antoñana por sí ó por medio de procurador á usar de su Barcelona es completo por tierra. derecho en los autos que con el mismo sigue D. Juan Moreno Milans y Llov…</t>
  </si>
  <si>
    <t>…Meinsdier.” jos y privaciones, pero no en los despre.ios; y que r&gt;o to'.ctan, ANUNCrOS. cuando pretenden y quieren una cosa justa . que se ¡es niegue En virtud de providencia del Sr. D. Manuel Josef Rubio con insultos. Mas decoro m.-recia de dichos periódicos el Prín 'se cita para junta general , que ha de celebrarse ante S. S.y en su cipe generalísimo, cuyo carácter benéfico y afable tenemos ya posada el domingo cinco de Octubre próximo á las 10 de la bien co…</t>
  </si>
  <si>
    <t>…ptóxi31....................E! 41. 15* ■no Octubre. Setiembre. Eli.0 170. **. I40. El........................ Iti. ANUNCIO. El ....................... El ....................... El Sr. D. Manuel Josef Rubio , por providencia de 13 dsl IOO» &gt;9. «6. El 6........................ 12. corriente, refrendada de D. Pascual Seco , escribano del número,, El t........................... 170. £1 ¿0...................... ha señalado para junta de acreedores á los bienes del…</t>
  </si>
  <si>
    <t>…articular tenga la bondad de avisarlo por carta á D. Salvado'- Casanova,del comercio de la misma ciudad de Ceres. Valencia. Pagad tributo á los Reyes, En virtud de providencia del Sr. D. Manuel Josef Rubio, Guardad al campo sus leyes, por la escribanía de D. Manuel Megía, se llama á los parientes Premiad del pobre el sudor; y personas qae pretendan tener derecho á los bienes de D. Mar Y coronada de espigas , tin'Antonio de Huici, natura! de la ciudad de Pamplon…</t>
  </si>
  <si>
    <t>…los cuales han sido cas res á los bienes de la testamentaría del Sr. D. JosefOsorio, y en tigados por haberse presentado en el Palais-Royal con uniforme virtud de providencia del Sr. D. Manuel Josef Rubio, teniente militar, habiendo dado primero una satisfacción al dueño del de Corregidor de esta villa, refrendada del Escribano D. Manuel café. Mejía; se venden á pública subasta por término de 30 dias, con Los periódicos liberales han publicado este hecho con s…</t>
  </si>
  <si>
    <t>…na en el sorteo de hoy as. lando para ella el dia 4 de Enero del año próximo á las nueva de su mañana en la posada de S. S. N ¿meros. Premios. Administraciones. Por el juzgado del Sr. D. Manuel Josef Rubio, primer Tesiente de Corregidor, y escribanía de D. Miguel de Llama, está 1,879.... 16000 ps. fs........ .... Cádiz. radicada la testamentaría de Doña Basilisa Pinilla y Pcrez, na 4,143.... 5000.................... .... Madrid. tural que fue del lugar de Vicál…</t>
  </si>
  <si>
    <t>Rubio, Manuel Josef de</t>
  </si>
  <si>
    <t>Manuel Josef de Rubio</t>
  </si>
  <si>
    <t>…an ignorante» han supuesto á los españoles los que han dia 12 del corriente y hora de las iz del día, en la posada del querido inculcarles su mal forjada constitución con un apoyo Sr. D. Manuel Josef de Rubio, teniente de corregidor de esta tan débil y tan frívolo l muy heroica villa, EN LA IMPRENTA REAL,</t>
  </si>
  <si>
    <t>…i hubieian llegado al Callao ANUNCIOS. de Lima los navios San Telmo é Imperial Alejandro, qu: sa lieron de Cádiz en estado de irse á pique, como sucedió al pri Por providencia del Sr. D. Manuel Josef de Rubio, del mero en la altura del cabo de Hornos, perdiendo mas de yoo consejo de S. M., y teniente primero de corregidor Je esta vil'a, hombres que alli iban, y que hubiera sufrido igual suerte si no refrendada de D. Jacinto Gaona y Loeches , su escribano del nú hu…</t>
  </si>
  <si>
    <t>…en el mo, según la poca diferencia que se observa entre ellos en lati puerto del Barquero. Mondoñedo y Julio 26 de 1823. tud y longitud. ANUNCIOS. VARIEDADES. Por providencia del Sr. D. Manuel Josef de Rubio, tenien Aviso á los navegantes. te de corregidor de esta villa, y por la escribanía de D. Jacinto Don Antonio Alonso y Gutiérrez , segundo piloto parti Gaona y Loeches, se llama á los parientes é interesados á los cular, y segundo capitán del bergantín mercan…</t>
  </si>
  <si>
    <t>…el terror por todas par-a ANUNCIOS. tes, y cuyo gefe para'hacerse amigo suyo, reconociéndole coma Rey , no exigía mas sacrificio que la incomodidad personal de Por-providencia del Sr. D. Manuel Josef de Rubio, refren que fuese i su encuentro, -y estrechar una nueva y ventajosa? dada de su escribano D. Jacinto Gaona y Loeches, se ha man •lianza que mantuviese la paz en su reinp-? dado sacar, á pública subasta una casa sita en la calle alta de Se nos dirá, como tant…</t>
  </si>
  <si>
    <t>…s sagradas las han mirado con mucho respeto, y nadie puede negar ni su conducta honra da en el tiempo que han ocupado nuestra tierra hospitalaria, ni ANUNCIOS. Por providencia del Sr. D. Manuel Josef de Rubio, Teniente que su virtud ha sufrido todo género de pruebas, haciéndose su periores á la hambre, frío, desnudez, disgustos y demas desgra primero de Corregidor de está muy heroica villa, refrendada de su escribano D. Jacinto Gaona, se cita á todos los que tenga…</t>
  </si>
  <si>
    <t>Rubio, Manuel Josef del</t>
  </si>
  <si>
    <t>Manuel Josef del Rubio</t>
  </si>
  <si>
    <t>…motivos de alarma, ANUNCIOS. que era preciso destruir si no se quena ver á la Europa anegada en todos los horrores de la guerra revolucionaria, y perdidos sin Por providencia del Sr. D. Manuel Josef del Rubio, teniente recurso cuantos vehementes deseos y esfuerzos habían hecho de corregidor de esta villa, por la escribanía deD. Cristóbal Vicu ocho años á esta parte por la felicidad.ide los pueblos. Estos dos ña , y para pago de acreedores;,se ha mandado publicar p…</t>
  </si>
  <si>
    <t>Rubio, Pedro</t>
  </si>
  <si>
    <t>Pedro Rubio</t>
  </si>
  <si>
    <t>…rias veces también con infantería, llegando su diéndola en otras tres al mando de los respectivos capitanes mas tenaz empeño al extremo de reiterarlos hasta casi la playa antiguos D. Pedro Rubio, del 55 de línea; D. Diego de Prado, del río; no consiguieron otra cosa en cada uno de ellos que ele del "i(5, y D. Manuel Vanhalen , del 3 0 de voluntarios de Ma var á mayor grado el relevante mérito de nuestros bizarros gra drid. Desplegó á su frente en gue…</t>
  </si>
  <si>
    <t>Rublo, Manuel Josef</t>
  </si>
  <si>
    <t>Manuel Josef Rublo</t>
  </si>
  <si>
    <t>…dos desde esta publi de! dorado salón, que se llama augusto. Méjico no es señora, ni cación. ' ’ permitiríamos que lo fuese. La mayor parte dé sus diputados no Por providencia dél Sr. D. Manuel Josef Rublo, Teniente da son de la capital: hay europeos, los hay de otras provincias. En Corregidor, por la escribanía del número de D. Francisco Anteel poder ejecutivo no hay ni un solo mejicano. El consejo extin-t ro Casado, se. saca á pública subasta por'término de j…</t>
  </si>
  <si>
    <t>Rufrancos, Antonio</t>
  </si>
  <si>
    <t>Antonio Rufrancos</t>
  </si>
  <si>
    <t>…ngan. Tendreislo entendido, y no. = Ayuntamiento, el Alcalde noble D. Josef de Torres Linelo comunicareis á quien corresponda.=De Real orden lo comu ro. El Regidor primero Ilustre D. Antonio Rufrancos.= Cole nico á V. E. para su inteligencia y puntual cumplimiento en la gial, D. Antonio Crespo, Abad. D. Josef Salcedo, Canónigo .= parte que le toca. Dios guarde á V. E. muchos años. Córdoba 26 Universidad , el Doctor D. Cristóbal Govantes. El Doctor Don de O…</t>
  </si>
  <si>
    <t>Rui</t>
  </si>
  <si>
    <t>…acional local, promotor fiscal y juez de Mecer sus antiguas Constituciones, y establecen el poder absoluto de les primera instancia de k villa de Gergal, presentada y leída por el Sr. Rui¿ Reyes. Esta es la grande guerra actual de las naciones contra sus Reyes. de la Vega. Aquellos pretenden que el oficio de Rey deba estar sujeto á reglas; pero De la diputación provincial de Gerona , y de los empleados en la se los Reves dicen : -» Nosotros no…</t>
  </si>
  <si>
    <t>…. Arguelles: El objeto que la comisión se propone po te, porque no tenia facultades para el objeto que expresaba. día salvarse, redactando el artículo en otra forma, yen la cud El Sr. Rui¿ de la Vega1 contestó que aunque la diputación se le quitará lo que'ofrece dificultad. Haciéndolo asi lo aprobar a permanente no estuviese autorizada para verificar io que se propo yo con mucho gusto para evitar el. que se paralizasen los efectos ne, las Córt…</t>
  </si>
  <si>
    <t>…acercase el tet y Mannier, al sargento Fizchier y al cazador Hameu. En el enemigo á veinte pasos para hacerle fuego, cargaron sobre sus 3Ó.0 al coronel barón Maurin , a! teniente coronel Rui ¡eres, al jlancos con tanta intrepidez, que le precisaron á retirarse con la comandante de batallón Monistrol, á los capitanes Couté, Pemayor confusión , y le persiguieron hasie sus atrincheramientos; tit-Jean, Perrotin y Villemain ; á los tenientes de Marle…</t>
  </si>
  <si>
    <t>Rui, Antonio</t>
  </si>
  <si>
    <t>Antonio Rui</t>
  </si>
  <si>
    <t>…patria, y se opone i toda refor- se conmigo, se decid esc mas pronto la victoria. As; que llegó el ca iñi saludable; pero esta es una (acoen estúpida , que ademas de ser muy pitán D. Antonio Rui* de Guztnan con los cazadores dz la Corona, anla en jyámero, como lo ve todo el que quiere ver las cosas como fue destinado á reforzar tres compañías de S'güeiaia , que con den dado ellas son ,isiene contra sí su misma barbarie, y no está lejos el día de esfu…</t>
  </si>
  <si>
    <t>Ruie</t>
  </si>
  <si>
    <t>…ible aprobarlo mientras los se t érilo, de las cuales la primera" s;- manifestó" ayer pof el señor ñores de la comisión no hagan alguna modificación en favor de Falco, v aunque ei Sr. Ruie d. ¡a Wga ha procurado satisfacer los establecimientos de beneficencia, ¡mtiucc.un pnbl.ca, y de la , redarla &gt;c tu da; abra n sal stáccicu. Dijo ave: sv. ».*•</t>
  </si>
  <si>
    <t>Ruii, Josef</t>
  </si>
  <si>
    <t>Josef Ruii</t>
  </si>
  <si>
    <t>…de las dos judicaturas de primera instancia de la ciudad beneraérita milicia nacional voluntaria, invitan á todos sus dignos de Córdoba y su partido , vacante por fallecimiento de D. Josef Ruii compañeros y í los demas verdaderos liberales i formar una suscripción Manzano, á D. Juan María de ia Torre y Muñoz : para la del de Cíepara vestirlos, con el laudable fin cte dar un público testimonio de los za á D. Fernando María Segovia: para ía del de Cog…</t>
  </si>
  <si>
    <t>Ruiio, Juan Bautista</t>
  </si>
  <si>
    <t>Juan Bautista Ruiio</t>
  </si>
  <si>
    <t>…arcía. = D.Manuel Pró, Se mandó pasar á la comisión de Hacienda , después de decla capellán de artillería. rada comprendida en el articulo too del reglamento, una propo Empleados: comandante D. Juan Bautista Ruiio. =D. Jo sición del Sr. Albear, para que se presentasen los datos estadísti sef Eábregas , alcaide de la aduar..!. = D. Marín Vidal. cos que hubiese para el repartimiento de las contnbuc.ones direc Sabemos que son otros los deten‘dos, cuyos nombres no he ta y…</t>
  </si>
  <si>
    <t>Ruiz</t>
  </si>
  <si>
    <t>…porque ¡odas ¡as disposiciones principales parten de este frítalo o: vo nueve» leyes que salven estos inconvenientes, porque vió que era asun quisiera que el Sr. Meló, asi como ei Sr. Ruiz de ia Vega se i.mú to tnuy drn'cado, y de consiguiente que exigía mucho detenimiento, y la molestia de leer varios aitículos de! código pena! , en o.uiis es que aun de. este modo no se lograría el objeto que se deseaba. Consi necesario el jurado , tuviera la…</t>
  </si>
  <si>
    <t>…on el' por 100 consolidados, do), f , y. Cinco por too españoles (anti carácter que se les da en el artículo. guos) ói. Nuevos 55#, £ , 55. Les de Faris experimentaron una baja El Sr. Ruiz de la Vega: No puedo menos de extrañar las impug bastante considerable, alribu.da generalmente á Jaic-t rldutr.bre que naciones que se hacen i este artículo, pues está tan claro que los indi reinaba aun sobre los asuntos diplomáticos la próxíme coSíV-ccacion…</t>
  </si>
  <si>
    <t>…de S. Isidro de esta corte , presentada por el Sr. Casas. Nuestras cartas de Bayona dicen que son tantos los desertores do la Del regimiento infantería de línea de Granada, por el Sr. Ruiz do fe que van llegando, que el Gobierno francés se ha convencido en fin la Vega. de la necesidad de tomar medidas para conservar el orden , tanto mas De la audiencia territorial de Castilla la Nueva, por el Sr. Villacumio estos refugiados tienen continuas rey…</t>
  </si>
  <si>
    <t>…l Gobierno de Napoleón pasó los Píri general de ingenieros de caminos y canales del reino, presentadas por cos para no volver nunca á repasarlos, y que na se sabe si los diputa el Sr. Ruiz de la Vega. dos de la c imra , aun tos de) lado derecho, votarían con facilidad y sin Del ayuntamiento constitucional de Cabra ,del de Lucrna, milicia ttmor de exponerse a las reconvenciones de sus comitentes, un presu nacional voluntaria, y gran número de ci…</t>
  </si>
  <si>
    <t>…-, y se leyeron varias exposiciones dirigi Sepilen. das i felicitar á las Cortes por las sesiones de 9 y 11 del corriente. Da Del colegio nacional de S. Miguel de Granada , por el Sr. Ruiz de este número fueron las siguientes: de la universidad de Salamanca, pre la Vega. sentada por el Sr. Nuñez (D.Toribio), y del ayuntamiento y milicia de Del ayuntamiento constitucional y milicia nacional de Villareal, Laredo, por el mismo. provincia de Castel…</t>
  </si>
  <si>
    <t>…obre abono tle años de servicio» ,os mi cidos; y estos son i mi ver los verdaderos obstáculos que se oponen á licianos activos que les toque la suerte de soldados. la reforma. Ei .Sr. Ruiz de la Vega presentó y leyó una f.i:c:! icicii á las Cor Examinemos pot otra parte cuál es el objeto de terror, ó mejor tes por lis sesiones de! y y 11 detSq ciudadanos de Almcr.'i,y olía de</t>
  </si>
  <si>
    <t>…Art. 4.° » Los ya filiados en los batallones de la milicia activa duos de la milicia nacional de Albondon, provincia de Granada, por quedan exceptuados del presente reemplazo. el Sr. Ruiz de la Vega. Art. 5/ n Podrán ser admitidos por sustitutos todos aquellos qua De los empleados de la Hacienda pública en la ciudad de S. Se después de cumplir 17 años quieran serlo , con tal que tengan la ro bastian , por ei Sr. Prat. bustez y talla necesarias…</t>
  </si>
  <si>
    <t>…satisfecho el protegió á los españoles en Roncesvalles: que si ellos invocan &gt;1 Dios Sr. González Alonso. de S. Luis , nosotros invocaremos al que nos protegió en la batalla de El Sr. Ruiz de la Vega-. No es mi ánimo el dejar de dar los re S. Quintín; y por último si el hijo predilecto del Rey de Francia es el cursos y fuerzas que propone la comisión , solo sí quisiera que se me que viene mandando las tropas francesas, se le enseñará la casa de…</t>
  </si>
  <si>
    <t>…evisor cojtCedió-pcrmiso para cele á dicho gefe político de la formación de causa que contra ¿1 se pecha. brar el matrimonio á D. Jaime en el concepto de sor escribano público: El Sr. Ruiz de la Vega dijo: Observo que se trata de disculpar por como para este cargo se requieren 25 anos cumplidos, cschro que debió la comisión la conducta del gefe político de Cuba , fundándose s.n duda cti considerar ¿ dicho D. Jaime como mayor de.edad , v de conA…</t>
  </si>
  <si>
    <t>…drid. En cuarta votación salió electo el Sr. Arguelles por 81 votos del_ to 5990...... 1000......................... F.n Cádiz. tal 89 ; habiendo tenido 4 el Sr. Marchámalo , 2 el Sr. Ruiz de ia Vega, 7947....... 1000........................ En ídem. y uno cada uno de los Sres. Alonso, y Villaboa. i8¿5..... »ooo........................ En Sevilla. En quinta votac on salió electo el Sr. Flores Calderón , por 72 votos de 75 de total, habiendo ten…</t>
  </si>
  <si>
    <t>…tenido uno el ¿L en aquel destino; mandando al mismo tiempo que se le den las gracias Sr. Marchámalo. en su Real nombre, y que se publique por medio déla Gaceta. En 13.0 lugar el Sr. Ruiz de la Vega por 82 votos, habiendo tenido g el Sr. Marchámalo. Juit-hi de jurado. En 14.0 lucar salió electo el Sr. Soria por 96 votos, habiendo tenido El Sr. marques de Picdrablanca , como ciudadano , denunció al Sr. al dos el Sr. Marchámalo. calde constituci…</t>
  </si>
  <si>
    <t>…r pade el honor de exponer al Congreso no puedo conformarme con el cido el Sr. preopinante. proyecto'que se presenta. El Sr. Arguelles: Es preciso que confiese á las Cortes que El Sr. Ruiz de la Vega: AI tomar la palabra en defensa dei al tomar la palabra en contra de este proyecto me hado ab,oii!dictamen no puedo menos de convenir en algunas de las ideas tamente sin preparación alguna, pues no terna conocimiento de 'del Sr. preopinante. Efecti…</t>
  </si>
  <si>
    <t>…fabricas de tabaco luego que mueren, y por lo .misino pidió que el dictamen se de la Coruña, cuyo destino no había llegado a obtenerlo en pro variase en este concepto. piedad. El Sr. Ruiz de la "YLgz contesté' que la comisión no consi La comisión primera de Hacienda , en vista de una exposi deraba estos oficios como suprimidos, porque no son incompati ción del gefe político de Palencia, consultando si á consecuencia bles con la Constitución, p…</t>
  </si>
  <si>
    <t>…o al primer articulo me limitaré á hacer algunas cluye pidiendo que el .proyecto fuese admitido en su totalidad. reflexiones por ¡as cuales pueda venirse en conocimiento de que El Sr. Ruiz de la Vega: La comisión que no desea mas que la Nación tiene adquirida propiedad en algunas de ellas, que es el acierto, principalmente en unas materias tan diliciles como ia con todas aquellas en que se haya verificado el caso de que habla que se está tratan…</t>
  </si>
  <si>
    <t>…beneficencia El Sr. presidente anuncié) los asuntos que se discutirían en la y de instrucción pública, ó á lo menos no se les indemnizaba. sesión próxima, y kvaiitó la sesión. El Sr. Ruiz de la Vega contestó que estos establecimientos no podían adquirir bienes algunos por prohibirlo terminantemen Ordtn de la plaza del ijf. al j£ de Mayo. te ias leyes y la conveniencia publica, según se hubia ya probado al tiempo de esta discusión. Gefe de día…</t>
  </si>
  <si>
    <t>…orización, y por lo mismo .me’ .El Sr.. Oliver manifestó que por tratarse de una diligencia opongo al artículo. prerentiva importaba muchísimo que se evacuase con prontitud , y El Sr. Ruiz de la Vega: El argumento principal del se que podía hacerse por las autoridades políticas. ñor preopinante rueda sobre un supuesto equivocado, cuando cree; Se suspendió esta discusión. que el artículo es opuesto á la Constitución; y S. S. mismo se ha Habiéndo…</t>
  </si>
  <si>
    <t>…a el sosten de! Estado; pero ha de ser cu proporcon á su territorio español sino ;i salir del territorio cnem-co. riqueza. Según aparece del provecto la aut'gua provincia de Ga El Sr. Ruiz de la Wva manifiesto que la comisión no ten bela es la mas rica del reno , pues es ñ la que nv.o se pide: peo dí n inconveniente en tomar en cens: Je ración una aJ.c.on sobrfc voy á probar que no es asi. 1.a riqueza de una provincia la cons e tc punto.</t>
  </si>
  <si>
    <t>…usticia, creo cimientos ó intereses; Lo mismo podria decir sobre otras clases que debe aprobarse el artículo. de las que no puedo improvisar, y podria envolver este artículo en El Sr. Ruiz de la Vega: La comisión entiende que debe vo la odiosidad á muchos españoles amantes de la Constitución. tarse el artículo en estos términos » Del mismo modo se ocupa El Sr. González Alonso: En cuanto á la comparación que rán los bienes de los españoles que s…</t>
  </si>
  <si>
    <t>…testado á.las sido calificado de tal por un tribunal. De consiguiente me opon observaciones del Sr. preopinante. go al artículo por cuanto en él no se trata de un simple secues El Sr. Ruiz de la Vega: Omitiré todo lo relativo á refle tro, sino de la aplicación definitiva de los bienes de sugetos á xiones generales sobre la materia que se discute, y me concretaré quienes ni siquiera se da audiencia, pues no se celebra ninguna es únicamente á la…</t>
  </si>
  <si>
    <t>…on mucho Icen a ia mita á la posible brevedad el expediente con su informe. Nación: por lo mismo desapruebo el Jípenlo. El Sr. Galiano: El Gobierno ha manifestado ya su opinión El Sr. Ruiz de la Vega: Al exam.nar ¡o- artículos del có sobre este punto mas de una vez. , y una de kis proposiciones que digo penal que se citan se vera que las personas de que había el hacia en la memoria que se levo en el año e'2 fue que se activase articulo que se d…</t>
  </si>
  <si>
    <t>…es puedan forzar á ningún patriota á egercer la pena de muerte, por haber libertado al pueblo de la anarquía, y judicatura. haber servido á su patria ? Yo creo que no, y aunque el Sr. Ruiz . El orador leyó en seguida otra circular de la pretendida junta de la Vega ha dicho que en el hecho de admitir el destino por provisional de gobierno de España é Indias, para que sean de los franceses un individuo, debe considerársele comoque favorece hecho…</t>
  </si>
  <si>
    <t>…ntre los principios o ¡nto.'er.ar.c.a dei Gobierno ab do estos un poco mas de rigor en las penas que aquellos. soluto y la tolerancia v suavidad c.ei régimen constituc.onal; Yo El Sr. Ruiz de la Vega: Yo creo que m el Sr. Falcó ni el veo en el proyecto que se discute* una sarta de excomuniones po Sr. Infante se han hecho cargo del artículo cuando notan de Ho líticas , y mucha intolerancia; y creo que lo mejor c» dejar d ioS ja y de suave á la c…</t>
  </si>
  <si>
    <t>…misión podría res ó sucesores suyos, pues que se declara que no la hay. En Ja aclarar mas el sentido del artículo. misma forma serán reintegrados los adnvnistradores y represen El Sr. Ruiz de la Vega manifestó que efectivamente no ha tantes de la Hacienda nacional, Crédito público y municipales, bia tratado la comisión de comprender en el artículo á los que con imposición de una multa de :o por 100 á los compradores. tuviesen cargos municipales…</t>
  </si>
  <si>
    <t>…stoy conforme con el dictamen de la comisión , pues dará lugar paje del ejercito , juntamente con los carros y cargas correspon á muchas dudas. dientes al pirque de ingenieros. El Sr. Ruiz de la Vega: La impugnación que ha hecho el Los puestos de la guarnición de Madrid serán todos relevados Sr. preopinante no está verdaderamente concretada á la totalidad por el batallón núm. ió que forma parte de la guarnición; pero del dictamen , y sí podrá s…</t>
  </si>
  <si>
    <t>…leyeron ios artículos 35 y 40 en el día la cuesáon parece que se presenta bajo un nuevo ,.sp.eto. Sin embargo tan lejos estoy yo ce creer que ¡os argumentosde la Constitución. Eí Sr. Ruiz de la Vega: A ia dificultad propuesta por e! contra la conducta de! Gobierno hayan debilitado los que hace Sr. preopinante contesto dxiendo: que si esos militares están en mos los defensores del dictamen de la comisión , que al contiusu parroquia tendrán dere…</t>
  </si>
  <si>
    <t>…me. podido menos de confesar los inconvenientes que hay en que se nos cuando. Mahon es una especie de puerto franco muy concurri apruebe el dictamen que se propone; y aun el mismo Sr. Ruiz do y muy envidiado de los extrangeros. Mucho mas se esfuerzan ¡as de la Vega ha convenido en la fuerza de la principal razón que razone» en favor de la proposición del Sr. Roíg si se considera se ha a'cgydo contra dicho dictamen, á pesar de que ha creído que…</t>
  </si>
  <si>
    <t>…ecesita proponer alguna declara Gil, y la comisión de Legislación fue de parecer que debia ser ción particular. válido el nombramiento , ¡sor exigirlo asi la fe sagrada con que El Sr. Ruiz de la Vega: La misma razón de ser el caso pre deben observarse los tratados, y estar reservada la provisión de sente singularísimo indica ya suficientemente que no está rigor.»esu y otras piezas eclesiásticas á S. S. por el concordato de 1753 sámente comprend…</t>
  </si>
  <si>
    <t>…en de emplear consejeros de Estado, yo rogaría á cutado en dicha provincia las Cortes que desechasen este dictamen. Las Cortes oyeron con aprecio, y mandaron se insertase en el El Sr. Ruiz de la Vega: Cuantas razones contra el dictamen diario de sus sesiones, la felicitación que hadan á las mismas los ha presentado el Sr. preopinante me atreveré á decir que las mis batallones de M. N. L. de la liavana por las sesiones de 9 y n mas y otras mucha…</t>
  </si>
  <si>
    <t>…es de Ja secreta proponía, y haciendo ademas muy poco .honor al Congreso ocu ria de Cortes, pándolo en su discusión. Se ieyeron las exposiciones de varios dependientes de la se El Sr. Ruiz de la Vega después de manifestar que ninamia cretar a ele Ci rtcs, milicianos voluntarios de’ la de Madrid. de las razones expuestas por los Sres. preopinantes se oponían á Después de una ligera discusión se declaró no haber lugar á la letra del dictamen, sin…</t>
  </si>
  <si>
    <t>…e las casas de todos los españoles haya de estar evacuado este punto, con lo cual lograremos evitar en los casos de que se trata en el art. z.u de este proyecto.” abusos. ... ' El Sr. Ruiz de la Vega: El Sr. Arguelles ha creido que Ja El Sr. Ruiz de la Vega : El objeto de la comisión ha sido comisión debía proponer un proyecto de decreto en que se ex evitar que las autoridades se vean embarazadas. La Constitución presasen los términos y el modo…</t>
  </si>
  <si>
    <t>…que no ofreciese los inconve las siguientes palabras: y iU seis si hiciesen escala en puertas ex nientes que el presente ofrecía. trangeros. Aprobado. Después de haber apoyado el Sr. Ruiz de la Vega el dicta Quedó aprobado este dictamen. men , se convinieron' ios Srcs. de la comisión en retirarlo para La comisión de Legislación presentó su dictamen sobre la si darle otra forma. Quedó retirado. guiente proposición de los Sres. Jener , Varela y…</t>
  </si>
  <si>
    <t>…de las rentas, después de cubiertas otras atenciones, ó en alguna cho que tiene de hacer ejecutar las leyes. parte alícuota de las mismas rentas , intervendrá en su administra El Sr. Ruiz de la Vega*. Las razones que acaba de dar el ción Ja junta respectiva de beneficencia en los términos que esti señor preopinante no han hecho variar en nada mi opinión de me convenientes, para que aquella sea íntegra , cuidadosa y econó que el artículo que se…</t>
  </si>
  <si>
    <t>…rse con el dictamen de la mayoría de la comisión, de abusos, aun mayores que los que había indicado el Sr. Oliver.pues en su concepto si se aprobaba dejaria de cumplirse lo pre El Sr. Ruiz de la Vega dijo que habiendo acudido el trivenido en la Constitución. Después de una discusión entre los Sres. Santos Srtarcz , Po bunal del Consulado di esta plaza al supremo de Justic:a con sadas , Buey, Marau y Rico , quedó aprobado el dictamen de la la co…</t>
  </si>
  <si>
    <t>…Indico en seauida otro Cid, Llórente, Herrera Bustamante, Luque, Velasco, Tomas, medio pana verificar las elecciones. Aibcar, Alvarez (D. Elias) Rosct, Belmente y Ramírez Arc- El Sr. Ruiz de la Vega dijo que era imposible dictar un me llauo. dio que evitase todas las dificultades; V asi es que habían disentido Se procedió á Ja discusión del dictamen de la comisión de Le todos los Sres. preopinantes en el modo d: verificar'las elección*s gislac…</t>
  </si>
  <si>
    <t>…y males gravísimos, por lo Se prorogó la sesmn por una hora mas para dacutir el voto que no debía aprobarse. particular del Sr. Santafe,el cual se levo y estaba reducido á que El Sr. Ruiz de la Vega: Cuando la comisión se vanagloria el Gobierno pueda usar de las facultades extraordinarias qu* se le ba de haber presentado á las Cortes un dictamen que llenase los han concedido, hasta que reunidas las Curtes ordina i as de 1824 de,ros de estas ,…</t>
  </si>
  <si>
    <t>Ruiz, Francisco</t>
  </si>
  <si>
    <t>Francisco Ruiz</t>
  </si>
  <si>
    <t>…; al alférez del mismo D. Matías Vargas, y al cadete D. Josef Go- 1 =Rubricado de la Real mano. = En palacio á 16 de Diciembre de mez; al intrépido comandante de Lanceros de Rioja D. Francisco Ruiz,; 1822.=A D. Miguel López Baños. al teniente D. Fermín Laburno, y al alférez D. Antonio Sardie.’* Circular de! ministerio de la Guerra. TRIBVNAtES. Ve Los Sres. diputados secretarios de las Cortes extraordinarias con fe cha di 29 de Diciembre último me dicen…</t>
  </si>
  <si>
    <t>…mación de causa. mandante segundo del mismo D. Santiago ll.ro. En esta disposición so emprendió el ataque con la mayor bizarría, haciéndolo a la bayoneta, En la ciudad de Cádiz el capitán D. Francisco Ruiz, D. Manuel y la caballería sable en mano, arrollando cuantos enemigos encontra-on Montolo y otros oficiales que pertenecieron al egército de S. Fernando, por las caíies hasta llegar á dos posadas y casa en que estaba hospedado que mandó ?! Sr. general D. Anto…</t>
  </si>
  <si>
    <t>…les con las propiedades territoriales." Esto para A la comisión de Casos de responsabilidad se pasó una que mí es una paradoja , pues estoy persuadido de que el se: or ja dada por D. Francisco Ruiz, médico de la villa de Mira- territorial es tan dueño de su territorio como j o lo soy de una flor , contra los alcaldes y ayuntamiento de la misma por viña , de una tierra ó de una heredad: tan dueño, es del terr tono varios procedimientos contra su persona.…</t>
  </si>
  <si>
    <t>…noticias de Barcelona hasta el 2 3 de Abril. En una carta mer ayudante general D. Antonio Puig, y el segundo ayudante de aquella ciudad dicen haber entrado los franceses en España D. Francisco Ruiz. por la junquera; y que su primera operación fue atacar infruc Segundo batallón del regimiento infantería de Galicia, bata tuosamente á Figueras. La división de Milans acudió en auxilio llón de la milicia de Guadix, regimiento de caballería del Rey de la plaz…</t>
  </si>
  <si>
    <t>Ruiz, Gabriela</t>
  </si>
  <si>
    <t>Gabriela Ruiz</t>
  </si>
  <si>
    <t>…r bastante á deducir ¡a acción que crean asistirles en los autos que ■&gt; El Excmo. Sr. conde del Abisval, general en gefe del tercer egér- en dicho juzgado se siguen á instancia de Doña Gabriela Ruiz, viuda cito de operaciones, y gefe político de esta provincia, ha dirigido al de D. Bernardo Gasalla, sobre reclamación de once vales Ríales ex Gobierno el parte siguiente:_Excmo. Sr.: De los detalles circunstan traídos al mismo, y entre ellos los que van ref…</t>
  </si>
  <si>
    <t>Ruiz, Joaquín</t>
  </si>
  <si>
    <t>Joaquín Ruiz</t>
  </si>
  <si>
    <t>…res, asi como e¡ varí m &gt; 1 &gt;’ de granaderos de ^ piúnza Francisco cial de plan? mayor D. Ramón Narra;?, que se hallaba situado con Ast no. Igualmente recomiendo a V. E. al cade;; D. Joaquín Ruiz 30 hombres de! batallón de Sieiienza al cargo de su ■ h. al D. Vicenta de Zjñi.;a , jí sargento i.1' Gregorio Cartera , y--íl soldado Jo».-f Silves Mue»as en el camino de los fuertes á Ballesta, se dir.g.ó hác.a el pun tre , de la compañía de cazadores de la…</t>
  </si>
  <si>
    <t>…oro Perez, D. Antonio María Espejo, D. Julián de Fuentes, D. Gre ronel Depablo talonea su fuga. n Hoy se lia incorporado ■ ia división el destacamento que proceden gorio Mendivil, D. Joaquín Ruiz, D. Manuel Merino, D. Luis de Ma te de esa corte vinia á ias ■ nir?‘ del coronel de Farneslo Martin. Para ta Araujo y D. Sebastian Andrés, calificaron con la fórmula de absuel perseguir esta canalla es ya ;,ubc-«:u - tanta tropa, y me tomo la libertad de to e…</t>
  </si>
  <si>
    <t>Ruiz, Joaquin</t>
  </si>
  <si>
    <t>Joaquin Ruiz</t>
  </si>
  <si>
    <t>…................................. ' 75,970-27 D. Sebastian Andrés, D. Saturnino Lozano, D. Isidoro Hoyos, D. Juan; Contribución corriente del clero...... 534&gt;93^"25 Antonio López, D. Joaquin Ruiz , O. Josef Rives, D. Manuel Esteban Catalá , D. Manuel Merino y D. Lorenzo Lanrbea. Lo declararon subver Total..................... 20.201,808. .20 sivo en tercer grado D. Nicolás Heredero, y ab.uelto D. Francisco Xravesedo y el conde de Floridablanca. ~ El G…</t>
  </si>
  <si>
    <t>Ruiz, Josef</t>
  </si>
  <si>
    <t>Josef Ruiz</t>
  </si>
  <si>
    <t>…terminio de tal canalla.nes.=En el dia de ayer 30 del actual, á consecuencia de la cotnbina» Viva la Constitución y la libertad de la Nación.cion'hecha con la columna al mando del brigadier D. Josef Ruiz de «Dios guarde á V. S. muchos afios. Venus de Muniqueta 31 dePorras, comandante general de esta provincia , y con referencia á las Enero de 1IJ23.«Alejandro O-Donell.noticias que adquirí desde la villa de Durango (en la que hice noche el :9) de la dirección…</t>
  </si>
  <si>
    <t>Ruiz, Josef Magro y</t>
  </si>
  <si>
    <t>Josef Magro y Ruiz</t>
  </si>
  <si>
    <t>…le pertenece en los pueblos de Aldea dei varría : la de la Mancha :í D. Joaquin María de Errazquin: la de Fresno, Carabanchel .-Uto y Pinto, de la provincia de Madrid, Palencia á D. Josef Magro y Ruiz: la de Jas Nuevas Poblacio y en los de Torrijos y Almorox, en la de Toledo. nes de Sierra Morena y Andalucía a D. Pedro Polo de Alcocer; La Dirección lia oido sobre el particular á la Contaduría ge la de Segovia á D. Pedro Alcántara Diaz Lavandera, y la de ne…</t>
  </si>
  <si>
    <t>Ruiz, Lorenzo</t>
  </si>
  <si>
    <t>Lorenzo Ruiz</t>
  </si>
  <si>
    <t>…das las Rusias." En el Monitor de Paris del 25 de Octubre se halla un ar ANUNCIOS. tículo que hemos creído digno de nuestros lectores, y lo inser Los acreedores al abintestato del Sr. D. Lorenzo Ruiz de tamos á continuación con el mismo epígrafe, que dice asi: Robles, que fue del Consejo de S. M., y Fiscal del juzgado de Del ejército francés en España. Jos Reales cuerpos de artillería, acudirán á deducir sus crédito* ante el juzgado de D. Manuel Martin Eu…</t>
  </si>
  <si>
    <t>Ruiz, María Matea</t>
  </si>
  <si>
    <t>María Matea Ruiz</t>
  </si>
  <si>
    <t>…rdinación y dis y escribanía cartu.aria de D. Valdomero Moraieda por D. Tomas da ciplina coinciden con la prosperidad de le; imperios, y la relajación y Velasco , como heredero de Doña María Matea Ruiz , para que con abandono ds ias uoas con la decadencia y ruina de los otros. forme á lo prevenido en 1a Constitución de la Monaiquía españo Todavía existen en nuestras filas muchos de los valerosos guerreros, la , comparezca al correspondiente juicio de concil…</t>
  </si>
  <si>
    <t>Ruiz, Pedro María</t>
  </si>
  <si>
    <t>Pedro María Ruiz</t>
  </si>
  <si>
    <t>…cil es luchar con la Marlasca, que con sus conocimientos en el pais contribuyó mucho al vrrud y con el valor de hombres libres: seguid siempre la misma con logro de la acción, y á D. Pedro María Ruiz y D. Baldomcro fiarducta, manifestad igual decisión,y quedad asegúra los del triunfo. El mu-rto , que voluntai ¡ámente le acompañaron en la expedición , reco ayuntamiento desde luego aplaude el buen zclc que en general todos mendándolos por tan o muy eficazmente. thsbeii de…</t>
  </si>
  <si>
    <t>Rulla, Josef</t>
  </si>
  <si>
    <t>Josef Rulla</t>
  </si>
  <si>
    <t>…y el gobernador de gundo del mismo cuerpo D. Miguel Soriauo , el sargento prime la plaza se habían reunido en Calellacon la diputación provincial. ro de voluntarios de caballería D. Josef Rulla, y el soldado d.e la El dia 2 se sabia en Barcelona por noticias fidedignas que el propia compañía D. Josef Jorge de Dios, dignos todos del apre bizarro San Miguel, gobernador de ia fortaleza de Figueras, en cio de V. É. y consideración del Gobierno. Asimismo…</t>
  </si>
  <si>
    <t>Rullo, Juan Biutista</t>
  </si>
  <si>
    <t>Juan Biutista Rullo</t>
  </si>
  <si>
    <t>…stica Idem de la catedral: D. Valentín García y D. Manuel Pró, probidad y energía.” capellán de artillería. Los espectadores de las galerías dieron algunas ipuestras de Empleados: comandante D. Juan Biutista Rullo, D. Josef aprobación. El Sr. Canga pidió que se imprimiera dicho ais-, Fábregas, alcaide de la aduana, y D. Magín Vidal. curso, y asi se acordó. Sabemos que son otros los detenidos, cuyos nombres no he Se leyeion varios oficios relativos á la invasión de los…</t>
  </si>
  <si>
    <t>Rulz</t>
  </si>
  <si>
    <t>…» Esto no se debe á causas naturales , sino S. Al. á un principio mas consolador, pues la divina Providencia aterró las Se leyó dicha minuta de ccntestac'on, y en seguida dijo el Sr. Rulz de conciencias de ios liberales.” Ahora que hacen marchar ioo’D hombres k Vega : Aunque mi ánimo es solo hacer una ligara observación , he pedi contra la España, áicen que vienen en nombre del Dios de S. Luis, y do la palabra en contra, porque según el reglam…</t>
  </si>
  <si>
    <t>Rusia, Duker- Gabinetes de</t>
  </si>
  <si>
    <t>Duker- Gabinetes de Rusia</t>
  </si>
  <si>
    <t>…el conde de Potier , el conde de la Rochejacque- le han dirigido con ocasión de las contestaciones dadas á las notas de los lein , el conde de Mellet, el marques de Marguerye , el barón Duker- Gabinetes de Rusia, Prusia, Austria y Francia, y que se insetle en mon , Gougeon , et vizconde Sai c-H lam:, cí baion Brincan, el cunde los papeles públicos.” reManuel González del Campo. de ArhauHjouguus , el vizconde Picot de Prccaduc, el barón de Faverot, — Los ciudadanos de…</t>
  </si>
  <si>
    <t>Rusia, Josef María</t>
  </si>
  <si>
    <t>Josef María Rusia</t>
  </si>
  <si>
    <t>…rar es* nego Camposagradd, Capitán geneíal "interino de Castilla la Nueva; ciaciones para hallar un medio de satisfacer los intereses de la para esta capitanía general al Teniente general D. Josef María Rusia, sin derogar la-dignidad del Gobierno, otomano. . Garyajalt^Capilan general interino de Andalucía; para aquella Ademas de estas concesiones, la Puerta reconoce que los vacante al de igual clase D. Juan Caro, Capitán general interi .asuntos d¡e la Grecia serán…</t>
  </si>
  <si>
    <t>Russsll, John</t>
  </si>
  <si>
    <t>John Russsll</t>
  </si>
  <si>
    <t>…pa, quiero decir, Grosvenor , lord Gcsford, lord Lansdownc, lord Grey , lord la confederación germánica , cuyos ejércitos siguieron á Jos fran Erskine, lord Lynedoch, lord Nugert, lord John Russsll, lord ceses: iguales declamaciones hubo entonces sobre el estado de ar.trWilliam lUussell, lord Nonnanby, lord Ebrington , el honora quia y división de ánimos en la Península; y en el fondo, esto ble J. Abereromby , Lcicester Stanbope , J. J.ambton, miembro e…</t>
  </si>
  <si>
    <t>Ru’z</t>
  </si>
  <si>
    <t>…smo. En este concepto desaprue blecidos, y sin que por esto se entienda dispensado de lo estable bo, eí dictamen. cido ó que se establezca por las Cortes sobre la reducción del El Sr. Ru’z de la Vega: Aunque no hubiera habido motivo número de escribanos, Aprobado. L - alguno racional de duda, creo que la discusión le hubiera ocas o1 ambien opinaba la misma comisión debía concederse la', nado , pues se han hecho tales argumentos, que es indispen…</t>
  </si>
  <si>
    <t>Rvbreño</t>
  </si>
  <si>
    <t>…qué aquel que quiera distinguirse debe hallar sus ciist.ncioiics en &gt;a virtud; ! soin asi, y no de otro modo, tendré yo el placer de ver in vosotros se cantaron, y en que tuvo el Sr. Rvbreño las mas graciosa» y forcea ocurrencias en las coplas que improvisó, en los ve::cs que declamó el i la flor de la nación. Señores, os suplico anunciéis á vuestros conciuSr Vmolas con todo v! ardor del tueco patrio, V que el púb ice 1: hi i didanos de las orill…</t>
  </si>
  <si>
    <t>S'ccard</t>
  </si>
  <si>
    <t>…duque de Reggio llegó ayer tarde á esta c'udad , y le derecho á nuestra gratitud, «e prescribiesen limites a la extensión de la había precedido algunas llora» antes ei intendente general S'ccard , que Francia, y se nos exigiesen en tratados secretos condiciones humillantes viene á arreg ar el sunco, lo que es bien necesarios pues nos vemos y onetosas? ¡No pudiera haberte interpretado de este modo la resis rudeados de empleados que nos matan de hambre…</t>
  </si>
  <si>
    <t>S, Antonio</t>
  </si>
  <si>
    <t>Antonio S</t>
  </si>
  <si>
    <t>…y empuñad con denue En su vista se reunió el jurado, compuesto de los señores do el acero exterminador contra esos monstruos, que tratan siguientes: D. Juan Rodríguez de Guevara , D. Antonio S0I1de robaros todo lo que hay pata vosotros de mas precioso y va , D. Cayetano Rubio, I&gt;. Josef Segundo Monde jar, D". Josef sagrado sobre la tierra: salga finalmente de vuestros pechos á la Merelo, D. Miguel de Nájcra, D. Matías Pinilla, D. Josef manera de un…</t>
  </si>
  <si>
    <t>S, Faustino Jo- V.</t>
  </si>
  <si>
    <t>Faustino Jo- V. S</t>
  </si>
  <si>
    <t>…edia no de Aillon__ Nuestra pérdida consiste en un soldado de Lusitania che del dia de ayer emprendí el moví miento que maniftsté á muerto , el subteniente de cazadores de Granada D. Faustino Jo- V. S , y después de Ja mas penosa marcha ataque sobre ella la vita Márquez, el cabo Juan Guñago , y 3 soldados del mismo facción situada en el llo-pital. Antes de salir la luna ataqué lo* cuerpo heridos, un caballo herido y dos extraviados--- La unifor punto» mas…</t>
  </si>
  <si>
    <t>S, Josef</t>
  </si>
  <si>
    <t>Josef S</t>
  </si>
  <si>
    <t>…llo. Resulta también que(Gaceta del tí.) Oficio del ministerio en que se hace mención de las exposiciones este último , ya preso , trató de seducir í uño para que se agregara*! de D. Josef S mon ds Laigorii, director de contribuciones directas da los facciosos; y lo que es mas,'los mismos procesados pidieron que la provincia de'Soria, y de los oficiales segundo y tercero de la pro se acumularan las dos causas, reputándolas ’:na sola: y en mi juic…</t>
  </si>
  <si>
    <t>S, Juan Ro</t>
  </si>
  <si>
    <t>Juan Ro S</t>
  </si>
  <si>
    <t>…que se suponiente la ley de libertad de impr-nta nizar.do la artillería: ya hablar. salido de estos puntos 12 pieza, para para evitar ei abu.o en el caso qu: pr-senta el pape! de D. Juan Ro S, Juan Pie de Puerto y 1 1 para S. Juan de Luz. Es mucha U activi mero Ab aente. Yo como individuo de la comisión conozco que *1: dad en todo género de preparativos concernientes á :a guerra; sin ex las muchas variaciones qu: se han de hacer en ia ley ríe libe…</t>
  </si>
  <si>
    <t>S, Nuncio de S.</t>
  </si>
  <si>
    <t>Nuncio de S. S</t>
  </si>
  <si>
    <t>…llamado Noyes, herma Madrid 24 de Noviembre.no de la seductora é infame joven, como también la de otro co merciante llamado Tetsall con toda su familia. En casa de este El Excmo. Sr. Nuncio de S. S. ha dado el sábado pasado 2 2 último se ha encontrado un fusil de viento perteneciente áThur- del corriente un espléndido banquete para celebrar la exaltación tel, que podia disparar en cada tiro dos balas sin hacej ruido. al^ Sumo Pontificado de nuestro Santí…</t>
  </si>
  <si>
    <t>S, V. A.</t>
  </si>
  <si>
    <t>V. A. S</t>
  </si>
  <si>
    <t>…felicitar á V. A. S. en el dia de su instalación. con sus corazones, que sacándoles del seno vital, pondrían ¡ Aurora feliz, que nos anuncia ya muy de cerca el dichoso re A. L. P. D. V. A. S. para que los emplease en el rescate de nuestro greso de nuestro cautivo y amado Soberano! augusto y cautivo Soberano. Unicamente les qmda el dolor de ,, w A. S. acogerá sin duda con el mayor placer los testi haber visto en. la sabia proclama que ha expedido V…</t>
  </si>
  <si>
    <t>Sa, Sa.vsdor</t>
  </si>
  <si>
    <t>Sa.vsdor Sa</t>
  </si>
  <si>
    <t>…ón a esta después del descanso piec so. llón d: emigrados italianos heridos. Lus tenientes D. Gaspar Días y A poco rato de mi salida tuve noticias positivas de que ¡os f.scc.osi.s D. Sa.vsdor Sa as , un cibo y dos sro úntanos del batallón de la Igual de Misas y Targarona en número de 1500 infantes y i¿o caballos se dad lamb en h-ridos, y un sarg-nro , dos erbos y un voluntario del hallaban en esta: en consecuencia resolví atacarlos, y al cf.cio 'ue¿o…</t>
  </si>
  <si>
    <t>Sa-</t>
  </si>
  <si>
    <t>…stitucional de Pontevedra, y del secretario y pueblos, loque imposibilita el que se hagan los-págos en efectivo} puempleados cc la secretaría del gobierno político de Lugo, por el Sr. Sa- ro yo no convengo en que haya tanta escasez de metálico como^e-su ravia.De la M. L. V. de ambas armas de A.jona , por el Sr. Lillo. pone , mucho menos cuando se he reducido la contribución territorial á una mitad de lo que era aníiguatnense, y lo, mismo el di…</t>
  </si>
  <si>
    <t>Sa-, MuiLr</t>
  </si>
  <si>
    <t>MuiLr Sa-</t>
  </si>
  <si>
    <t>…n actual de nuestro ministerio es la siguiente: El princi plazar al vice-a mirante sir Graham Moore en el mando del apostade pa de Volkinski gefe del departamento de la guerra: el barón MuiLr Sa- ro del Meditcrranro. Jtomelsky ministro de la Guerra; el almirante marques de Travcrse mi E' bergantín Ringdoze, de 18 cañones, ha salido de este puerto con nistro de Marina; el conde de Nesselrode ministro de Estado; el conde de el objeto de reunirse a -a es…</t>
  </si>
  <si>
    <t>Saanatural</t>
  </si>
  <si>
    <t>…e abolió el cómputo de este año, Se declaró comprendida en el art. loo del regla y que las contribuciones y gistes se arreglasen al año mento, y Tué aprobada , una proposición del Sr. Saanatural? Ei orador recordó en seguida las cldieul!a- vedra y otros varios Señores, para que las Cortes se desAjue traía consigo el año económioo, y los moti sirviesen resolver que el Gobierno disponga que se vos que las Curtes habían tenido para quitarle, m imprímanl…</t>
  </si>
  <si>
    <t>Saavedra</t>
  </si>
  <si>
    <t>…stá resuelta á hacer los mayores sacrir lista , la pidieron en segu-da un gran número de ores. o.potados. fíelos para que no sufran deterioro ni estia libertad é independencia. El Sr. Saavedra: Aunque tedas los Sres. diputados están dispi i« La nena de Francia tiene otro carácter, y aunque propende al mis á aprobarla" minuta del m ensag?, y que por ¡o mismo no hay la mo objeto, está concebida en términos mas confusos; pero ciertamen que decir en su…</t>
  </si>
  <si>
    <t>…o que las altas potencias de Euro» lamente por un abuso del poder. pa tratan £ los españoles como ai tratasen con una nación sa vage , que Despojo de las iglesias: Mi compañero el Sr. Saavedra ha dicho no conoce sus derechos, y que nc :tbc caá! h? sido su historia. Yo ‘•:~ lo bastante. embargo encuentro en esas notas pretensiones envueltas en un estilo La casa de Austria debe recordar el tiempo de Felipe i r. ¡Y qué dire diplomático-misterioso, y e…</t>
  </si>
  <si>
    <t>…último, se manda citar al li En la 30.a votación fue electo el Sr. Fernandez Cid por 85 votos , te cenciado D. Antonio Perezde Bustos, para que en el preciso término de niendo el Sr. Saavedra uno. 2 3 dias , contados desde el en que se anuncie en la gaceta de esta corte, Se leyeron los artículos 54 y 53 de reglamento, y con arreglo á ellos comparezca, en la misma por k escribanía de Cámara del cargo de Don se precedió á hacer el sorteo de los seño…</t>
  </si>
  <si>
    <t>…sen de nosotros las naciones extrangeras que la fuerza que ha de tener, que es la base principal, la cual faita. estimulamos á que falten los ciudadanos de cada nación á los de El Sr. Saavedra: Yo respeto altamente las opiniones del se beres de sus respectivas banderas, y por lo tanto con semejante ñor preopinante; pero ame permitirá S. S. que le diga que no es decreto añadimos mucho fuego á la llama que contra nosotros posible lijar la fuerza de e…</t>
  </si>
  <si>
    <t>…terar también la amistad en que estamos con Por lo tanto me opongo á la aprobac.on de este articulo. dichas naciones. Enhorabuena que se admita á los desertores del A petición dei Sr. Saavedra se levo el informe sobre el par ejercito invasor ; pero de ningún modo respecto de los de otras ticular del gefe de estado mayor general. naciones. El Sr. Infante: La impugnación que se hace á este artrcu!o El Sr. Infante: No reproduciré las razones que se ha…</t>
  </si>
  <si>
    <t>…ntu se Jes abonará íntegro en caso que el Gobierno desapruebe iaviese el proyecto por nc creerlos convenientes á su país en la for ma en que se hallaban redactados. suspensión. El Sr. Saavedra impugnó este articulo, pues «1 su opinión se Con respecto a la aclarac.on de la ley que se dice en el ar erige por el á los goles políticos en unos verdaderos deepci.as,ticulo pueden dar las audiencias, dijo que lo creía enteiamentc pues dándoseles facultad p…</t>
  </si>
  <si>
    <t>…ionalmente á ritorio francés , y no se presenten en el español libre en el tér cada provincia. mino de seis meses. El Sr. Pcdralvez : Los repartimientos de contribuciones deben El Sr. Saavedra: Yo estov conforme con el esp'r’tu de este tener por base la igualdad posible entre los contribuyentes, de la artículo; pero no con su redacción , pues por c¡ se van á ver en cual han de cuidar escrupulosamente los representantes. En vísta angustias muchos es…</t>
  </si>
  <si>
    <t>…se entienda que esta dispps.cion faculta á Joí Habiendo llegada la diputación que habia salido á paiacio, el tribunales para, mezclarse en los asuntos piojíticos, gubernativos y: Sr. Saavedra, como presidente de ella , dijo: » E¡ Rey ha recibi económicos de los alcaldes. En cuanto a la segunda duda’.creta do á la diputación con agrado-, y ha manifestado que agradece ia que deba imponerse á los culpados las penis señaladas en el caatención de las C…</t>
  </si>
  <si>
    <t>…estado, las Coi les debian oir al Gobierno sobre este nes son lia; Lente noíoiias, hubiese propuedo un artí punto. Aprobado. culo que atacaba la libertad de imprenta; pues aun El Sr. Saavedra leyó el dictamen de la comisión que cinchos abusos podían haber dado margen á esta especial encargada de examinar las medidas propues restricción , jamás estallan autorizadas ni la comisión tas por el Gobierno para ia salvación de la patria: ni las Cortes par…</t>
  </si>
  <si>
    <t>…que concluyese el de presidente de las despacho, incurrirá en una pena doble de la asignada en cada uno Cortes. de los casos especificados, y con la misma aplicación. La propia Eí Sr. Saavedra fue también de parecer que ínterin fuete pre pena sufrirán los que en las Américas españolas imprimieren, sidente el Sr. Zulueta no debia concedérsele la licencia que se so vendieren ó introdujeren impresas en el extrangero para su ven licitaba , pues que suc…</t>
  </si>
  <si>
    <t>…ni diferentes en ote punte . la segunda en seguida de la sesión secreta; y por disposición del comisión cree que deben estas conven r con la opimon dri Go Sr. presidente ocupó el Sr. Saavedra la tribuna,, y leyó la siguien bierno de S. AI., y aprobar y apiñad r su» sentimientos. te minuta de contestación al discurso del Rey. « En cuanto a la exploración de la voluntad nac’ona: que el « Las Cortes , prontas siempre al llamamiento de V. M., se Gobie…</t>
  </si>
  <si>
    <t>…, subalternos y soldados de estos gunda en seguida de la sesión sccteta; y por disposición del se cuerpos, «orno también muchos oficiales del Estado mayor, ñor presidente ocupó el Sr. Saavedra la tribuna, y leyó el si que el conde Molitor ha puesto i La benigna consideración de guiente dictamen como minuta de contestación al discurso del S» A. R. Rey. Al salir de la Mancha Real tomó Riego la dirección dé *&gt; Señor: Las cortes, prontas siempre al lla…</t>
  </si>
  <si>
    <t>Saavedra, Antonio de</t>
  </si>
  <si>
    <t>Antonio de Saavedra</t>
  </si>
  <si>
    <t>…secuencia de la vmuuiuiiuiiiu ___, cerca duque ñor Cárlo; a de San mbajador extraordinario cerca de noticia llegada á Puigcerdá de que el gefe Realista el coronal S. M. Cena., y á D. Antonio de Saavedra, conde de la Alcii Vidal se hallaba con 500 españoles y otros tantos franceses en dia, encargado de Negocios cerca del Emperador de Rusia. Viilaloben , habiendo llegado de Dorna. Este coronel los ata có, forzándolo» á caer por la parte mas escabrosa de la mon…</t>
  </si>
  <si>
    <t>Saavedta</t>
  </si>
  <si>
    <t>…t n go. Ei indulto , que tanta amplitud lenta en las antiguas leyes , ha que infringir la ley fundamental. dado aiiora reducido por el código penal únicamente i lo preciso. Los El Sr. Saavedta: Es menester que se tenga presente que ¡os sute-reí fu- ros están restringidos por este código, rn términos que el eclesiásti de ia Constitución no podían prever que hiib.tsc español que ce nut.eco, que tantos daños ha causado , qu da reducido solo-a los caso…</t>
  </si>
  <si>
    <t>Saavrdra</t>
  </si>
  <si>
    <t>….cn de. ...„ te Descendiendo ahora á las mejoras de las disposiciones de este códi d; Mayo de 1 tí ; 1. go , basta decir en su apología que desde el primer artículo hasta el úl El Sr. Saavrdra: Me parece que un rsunto tan delicio.) como r-le, timo .-s mejor que e¡ anterior: veamos algunos de sus puntos capitales. en el cual se ataca al cuerpo representativo, p.-:¡l:n-ce á Cero &gt; :■ 1Uno de ellos es de les asilos. Prescindiendo ahora de su m ble ori…</t>
  </si>
  <si>
    <t>SABADO</t>
  </si>
  <si>
    <t>…VVv . // &gt;1*W^iivI'Ví/lií/v¡¿\ 4* í 0-11-,1 ) YA '"“.■Yír'¿!%\ YJ&gt; í/#!%&gt;&gt;-í i YA-/“h, 'I ¿y .ryj3IVT ^■&gt;vT-T^&gt;^^1-.T v7)^/♦%« A '.tcÍ‘fc*Vr «y^\ f);£‘;¿* G A C ¡ rí A D E M A DIU D. SABADO 5 DE ABRIL DE Í823. O ,«aEnn NOTICIAS EXTRANGERAS. » Pero el ministro, que tan poco Feliz ha estido en ’a elección de ios mol.vos de intervuu.ion , se valdri ac3so para apoyar a de suc -scs de INGLATERKA. ma. consideración : escu-lirmos sus pa abras: LSudres…</t>
  </si>
  <si>
    <t>Niin». 15. [ 6 cuarto».} 4 3 G A C \L T A D É M A D R I D. SABADO 14 DE JUNIO DE 1S23 . .i. , . 11 - et&lt; . *" ", ARTICULO DE OFICIO. teíigencia de ese tribunal, 7 .que disponga su pronto 7 puntual cumplimiento en la parte que le toca. Dios guarde á V. ma La Regencia de! reino durante la cautividad del Rey nucs- chos años. M…</t>
  </si>
  <si>
    <t>N.úm. 99. (6 cuartos.) i c ,, GACETA DE M AI)K I D. SABADO 18 DE OCTUBRE DE 1893.. ---- -- - ' ■ : ' ■—■ARTICULO DE OFICIO. cindario de Marchena y sti ayuntamiento',' Olvidando susjmadá* desgracias, se inunda de placer, Yiette Tagtimas de alegría, y El Rsr nuestro Señor se ha Servido dirigir al Consejo ton fe— llenos…</t>
  </si>
  <si>
    <t>Sabameff</t>
  </si>
  <si>
    <t>…lumnas, compuestas cada una de dife Hemos recibido de Vanovia tas siguientes noticias: rentes destacamentos al mando de sargentos retirados. Los soldados li ..La división rus* del general Sabameff, compuesta en gran parte cenciados estarán bajo la policía militar hasta que lleguec i sus respecde tropas ligeras, ha tomado posiciones mas concentradas en JLsara- tivos distritos. La primera columna debía salir de Perpiñan el 15 del bia. Ha adelantado una f…</t>
  </si>
  <si>
    <t>Sacramentado</t>
  </si>
  <si>
    <t>…ernal corazón de V. M., ni la civ — plaza, con las mayores demostraciones de satisfacción; postrán dad puede continuar con ojos enjutos y sin derramar nuevas dose unánimes ante el Señor Sacramentado, dándole gracias por lágrimas de amargura ; y asi pasa á decir una palabra sobre la In su inalterable providencia y tan deseado fin; observando en todos quisición , cuyo restablecimiento se solicita en tantas exposicio sus regocijos, que continuaron por tres…</t>
  </si>
  <si>
    <t>Sacz, Victor</t>
  </si>
  <si>
    <t>Victor Sacz</t>
  </si>
  <si>
    <t>…echos, que por no satisfacción. Jerez de la Frontera 4 de Octubre de i82g.=:M. El ,,molestar la atención.de.V. E. no los incluyo, y sí sien— Conde de la Puebla del Maestre.=Excmo. Sr. D. Victor Sacz. ,,do el principal, de haberles cogido un estandarte, que aun „ no he podido averiguar á qué regimiento pertenece. Su pérdida En atención á la confianza que merece al Rey nuestro Se ft en cuanto á muertos ha consistido en 12 , y entre ellos unOfiñor el Marisc…</t>
  </si>
  <si>
    <t>Saen, Josef Jorge</t>
  </si>
  <si>
    <t>Josef Jorge Saen</t>
  </si>
  <si>
    <t>…us par-, Sres. D. Cándido Crespo, D. Matías ürib-, D, Josef Pecina , D. Cistes. Tendreíslo entendido para.su cumplimiento , y dispondréis se im- tor de la Calle, D. Vicente Luco , D. Josef Jorge Saen , I). Joaquín prnia , publique y circule. = Está señalado déla mano de S. M. c=En de Francia, D. Juan Manuel Santiago , D. Francisco Javier Santa palacio á 25 de Febrero de i8z3.^=A I). Dion¡sio'Capaz.‘'’ Cruz, D. Juan Cruz Apellaniz, D. Vicente Chasco y D. J…</t>
  </si>
  <si>
    <t>Saenz</t>
  </si>
  <si>
    <t>…acertada la resolución por la cual se nombró» rios del Despacho. la Regencia provisional; pero decir que lo fue de un modo anti Se procedió á la votación sobre la proposición del Sr. Saenz constitucional , puede esto producir la desobediencia en otros casos. de Buruaga que quedó ayer pendiente. Repito que no consideramos sino las doctrinas que puedan sacarse Se declaró comprendida en el art. 100 del reglamento , y se de aquellas palabras ; porq…</t>
  </si>
  <si>
    <t>Saez, Víctor</t>
  </si>
  <si>
    <t>Víctor Saez</t>
  </si>
  <si>
    <t>…ral de Puerto-Rico, á la cual ha dado lugar la desventura bierno ingles, y es la siguiente: da suerte de aquel oficial. Se ha observado en muchos de nuestros Correspondencia entre D. Víctor Saez y el Sr. secretario oficiales de marina , que saben manejar la pluma tan bien corno Canning. la espada, y son tan ;í proposito para embajadores como para Madrid Junio 7 de 1823. = Señor: Tengo la honra de ¡re mandar escuadras. Por consiguiente cuando tengamos…</t>
  </si>
  <si>
    <t>…ede verificarse lo que Reino, y ha tenido una conferencia con el Sermo. Sr. Duque de vd. desea, y solo tendrá lugar en el campo del honor; pues mi Angulema. Le acompaña el Exento. Sr. D. Víctor Saez, primer carácter no puede permitii seguir ¡mas partido que el que ha secretario de Estado. abrazado desde que nací, que es el del Rey , y por el que con Madrid 8 de Setiembre. el mayor placer derramará toda la sangre ds sus veaassrAnto• *&gt; nio Luque. El Gobie…</t>
  </si>
  <si>
    <t>Núm.88 (¿cuartea) 3*9 GACETA EXTRAORDINARIA DE MADRID ®St MIERCOLES, I*4 BR «CTOllt DE. 1823.. ARTICULO DE OFICIO. Fl Excmo.. Sr D. Víctor Saez* primer Secretario dé Estado* comunicaá la Regencia del.Reino.&gt;.con fecha en Jerez á 26 del pasado, que en aquel día- se. había enviado, un par lamentar io. á Cádiz con proposiciones, de parte del Sermo. Sr., Duque de; Angulema,, amenazando, á la guarnición c…</t>
  </si>
  <si>
    <t>Núm. 92 ( 3 cuartos.) 34i DE MADRID DEL DOMINGO 5 DE OCTUBRE DE 1823. articulo de oficio. El Excmo. Sr. D. Víctor Saez, Secretario del Despacho de En efecto, á las 10 y 40 minutos de la mañana se vieron Estado, con fecha de f.° del corriente desde el Puerto de Santa las señales que, según habia dicho el Sr. Marques de Valmedia— María , comunica al Exento. Sr. D. Luis de Salaz…</t>
  </si>
  <si>
    <t>Saez, Victor</t>
  </si>
  <si>
    <t>Victor Saez</t>
  </si>
  <si>
    <t>…ey, dé su Soberano, dé ge para esta ciudad, llegando á las siete al Alcázar, en donde sü Padre, que á manera de,un alegre iris le anunció el tiempo los esperaban los Excmcs. Sres. D. Victor Saez, primer Societa de bonanza, disipa sus cuidados, y aun hiciera olvidar los crí— rio de Estado y del Despacho, y D. Jcsef María Carvajal, Ca menes dé sus enemigos, si estos no fueran tales", qué las profun pitán general de Andalucía, que habian anticipado su v…</t>
  </si>
  <si>
    <t>…arro triunfal, las condujeron á brazo al Real Palacio, en el cual se hallaban para recibir á SS. MM. Jíl dia 2 del corriente el Sr. Conde de Taiarú, Embajador de &gt;’ A A. eÉ Excmo. Sr. D. Víctor Saez, Consejero de Estado, S. M. Cf?m., al presentar sus credenciales al Rey nuestro Se primer Secretario de Estado y del Despacho, y Confesor del ñor en el Puerto de Sta. María dirigió á S. M. el discurso si Rey nuestro Señor; Monseñor Nuncio, con e, Sr. Cadolino…</t>
  </si>
  <si>
    <t>…el santo Evangelio despreciado, en fin, el inestima Rubricado de la Rael mano.=En Sevilla á n de Octubre de ble legado que Jesucristo nos dejó en la noche de su Cena para i8z3.=A D. Victor Saez. asegurarnos su amor y la felicidad eterna , las Hostias santas han sido pisadas. Al i alma se estremece, y no podrá volver á su tran El Capitán general de la provincia de Castilla la Vieja desdé quilidad hasta que en unión con mis hijos, con mis amados vasa…</t>
  </si>
  <si>
    <t>…o, y lo comunicareis á quien correspon- el trono. da.erEstá rubricado de la Ral mano.rrCannona 23 de Octubre „ En todo reconocen las misericordias del Señor, al que ince de 1823—A D. Víctor Saez. - ■ santemente tributan los mas rendidos holocaustos para que pros pere y colme áV M. de sus dones en beneficio de la monarquía. Extinciones dirigidas al Rey nuestro Señor.: Dios guarde la católica y Reai Persona de V.M. muchos y felices ,, Señor: el ayuntam…</t>
  </si>
  <si>
    <t>…entaron dos individuos en la iglesia de temente : todos los dias despacha , y en los de descanso dos veces, S. Botolph, en Aldersgate, para que los casaran. Luego que el Mi con el Sr. D. Victor Saez , primer Secretario de Estado y del</t>
  </si>
  <si>
    <t>…es, qatdando sujetos á cumplimienro.czdístá: rubricado de la Real mano.e=En Carmon* quintas y. reemplázos; pero si les tócasela suerte di soldados, vol á 23 de Octubre de íBzg.rcA D. Victor Saez.” verán al ejército con abono de los anos de servicio, conservan Exposiciones dirigidas ai Rei~ nuestro Señor. do siempre el derecho á los premios de constancia. a.° Los Oficiales procedentes de infantería ó ascendidos de ,,Señor: Los Gefes y Oficiales del re…</t>
  </si>
  <si>
    <t>…iales conservarán sus espidas, sus equílistas lujosamente vestidos. Los recibieron como siempre el Ex pages y caballos. Las tropas conservarán igualmente sus mochi celentísimo Sr; D. Víctor Saez, primer Secretario de Estado y las y efectos. Se les proporcionará los medios de trasporte para del Despacho, el Mariscal de campo D. Josef Ignacio Alvarez conducir sus efectos y familias. Campana , Capitán general deesta provincia de Granada, y otras 2.0 La…</t>
  </si>
  <si>
    <t>…y gritando mancebos vestidos de blanco, y por entre las filas de voluntarios Vrva el Rey. ( Diario del Alto Watt.j Realistas. A su arribo al B.eal Palacio los recibieron e! Excmo. Sr. D. Víctor Saez, primer Secretario de Estado y del Despacho, Circttlar que ha dirigido el Prefecto de la Sabría alas autoridades el limo. Sr. Obispo de Jaén y una Diputación del cabildo de de su jurisdicción con motivo del feliz éxito de i a guerra de aquella santa Iglesia ,…</t>
  </si>
  <si>
    <t>…reux pour tous, decida les Souverains ren En los dias siguientes ha tenido varias conferencias privadas itis á Vcrone, á y niettre un terme, méme par la forcé des ar con el Excmo. Sr. D. Víctor Saez, primer Secretario de Estado; mes, si l’obstination des perturbateurs de la tranquillité genérale y anoche tuvo una larga audiencia de S. Al., quien para mani rendoit cette résolution indispensable. festarle su satisfacción y aprecio, lo condecoró en el mismo…</t>
  </si>
  <si>
    <t>…ndante del mismo, lo necesario á su cumplimiento. = Rubricado de la .Real mano. Asensio de Lausagarreta.czComoCapitán mas antiguo, Clemente —En Palacio í 19 de Noviembre de i8i3~A D. Victor Saez. Bósafte.=ELCapitán mas antiguo, Juan Manuel Moro.*' Al elevar á S. M. el General Quesada la anterior exposición, Exposiciones dirigidas ai Ret nuestro Señor. felicita particularmente á S. M. en los términos mas propios y dig „Señor: Los Gefes del ejército Re…</t>
  </si>
  <si>
    <t>…el percibo de los dere rio á su cumpliiniento.rrEstá rubricado de la Real mano:=En chos de Almirantazgo en los propios términos y foíma que se Palacio á 28 de Noviembre de 1823.=A D. Victor Saez. ejecutaba antes de la época de la rebelión. Llamando muy particularmente mi soberana atención el esta El Sr. Conde de Ibangrande ha acudido á esta Dirección, ex do en que han quedado mis pueblos, y la necesidad de que las poniendo que por Real orden de 9 de…</t>
  </si>
  <si>
    <t>…o de sus andanzas, habrá prometido verificaron en nombre de ambas corporaciones- sits jr.div.d;;os ahora bajo su palabra caballeresca' no probar mas aventuras, a los Kxcmos. Sres. D. Victor Saez y D. Josct García de la T r- no ser que su locura le sugiera la idea de tentar otra salida hacia re por parte de ia de la Historia: v Rs Sres. D. Francisco Gon el Nuevo-Mtindo, donde no puede menos de inlluir su presencia zález v D. Juan Bautista Arria.’.1 por Ja F.spa" o.a :…</t>
  </si>
  <si>
    <t>Saez, Víctor Damian</t>
  </si>
  <si>
    <t>Víctor Damian Saez</t>
  </si>
  <si>
    <t>…ón la Regencia del reino los mé Irangt-ro, ha resuelto nombrar para que sirva la misma secreta ritos y servicios de D. Jossf_GaiCÍa dz la Torre, fiscal del con ría interinamente á D. Víctor Damian Saez , de cuy&lt; s conoci sejo y Cámara de Castilla, ha tenido a bien nombrarle para la mientos, ilustración ¿ íntima adh.sion á la sagrada Persona de secretaría de Estado y del Despacho de Gracia y Justicia, acor S. M. se baila bien persuadido su Alteza. T ndreislo…</t>
  </si>
  <si>
    <t>…uen::-.’. Su preceder sabio fue muy conforme con del reino, ha venido en conceder honores del coa'ejo de Estado la delicadeza y fina política que dirige sus Gabinetes, y está re á D. Víctor Damian Saez, secretario interino del Despacho de comendada por sí misma; nuestro amado Soberano , presa del Estado, en consideración á sus distinguidos servicios y constan coloso de la Europa, no se hallaba en estado de dar ó negar su te adhesión a la Real Persona de S.…</t>
  </si>
  <si>
    <t>…n expedir el decreto siguiente, con fecha n del actual. sivas en iguales términos a D. Fernando Ortafá, D. Tadeo Ca« En la amargura que aflige mi Real ánimo al contemplar lomarde, D. Víctor Damian Saez presbítero, D. Juan Bautista el cúmulo de males que el maquiavelismo sin egemplo del Go Erro, D. Josef García de la Torre, D. Luis María Salazar, D. bierno francés ha traído sobre mi Persona y familia y sobre Ja Josef de San Juan y D-Josef Aznares, que respec…</t>
  </si>
  <si>
    <t>…s Cortes, cuando ya estaban seguras de la sanción; que encargue dei de la secretaría de Estado durante la ausencia de en efecto con fecha en el Alcázar de Sevilla el día 3 de Mayo D. Víctor Damian Saez. Tendrcislo entendido , y dispondréis próximo pasado apareció la expresada sanción de esta pretendi lo correspondiente á su cumplimiento. = Está rubricado, ce: Pala da ley, compuesta de nueve artículos, si de dificil concordia, de cio 19 de Agostod# 1823. = A…</t>
  </si>
  <si>
    <t>Sagra, Joaquín de</t>
  </si>
  <si>
    <t>Joaquín de Sagra</t>
  </si>
  <si>
    <t>…n las Cortes que la pensión de óoo ducados La comisión de Hacienda, en vista de la exposición de Don concedida por decreto de Jas mismas á los monges que pasasen de Juan Domingo y D. Joaquín de Sagra, solicitando se les dé una óo años se redujesen á la mitad, esto es , 300 ducados, y á 200 á moratoria para el pago de la cantidad de rs. que adeudan ú los que no llegaren á aquella edad. Que los padres agonizantes la Hacienda nacional: la comisión opinaba qu…</t>
  </si>
  <si>
    <t>Sagredn, Josef Gil de</t>
  </si>
  <si>
    <t>Josef Gil de Sagredn</t>
  </si>
  <si>
    <t>…ias de todos los tiempos y circunstancias. Ordinario de la misa en latir, y castellano , traducido nuevamente &gt;&gt; Valencianos: Los enemigos de nuestra libertad redoblarán en es por D. Josef Gil de Sagredn , arciprestre de Alcaraz , con un peque tos momentos todos sus esfuerzos y maquinaciones para dar importan ño egerc.cio cotidiano , y entre otras varias oraciones las precisas para cia á esa facción liberticida que osó introducirse en esta hermosa pro la conf…</t>
  </si>
  <si>
    <t>Sagredo, Josef Gil de</t>
  </si>
  <si>
    <t>Josef Gil de Sagredo</t>
  </si>
  <si>
    <t>…olor que tanta celebridad ta segunda edición. Este devocionario es igual en tamaño al nue han dadu á Mr. Decroós, en la suntuosa fábrica de espejos de vo ordinario de la misa por D. Josef Gil de Sagredo, arcipreste S. Govin , en las de cristal de Mont-C'nis y de Mr. D Arti de Alcaraz, y que también se vende en la misma librería;, de gues, de donde nos vienen esas hermosas piezas lisas y talla modo que estas dos obras forman una completa colección de to das,…</t>
  </si>
  <si>
    <t>Sagredo, Joseí Gil de</t>
  </si>
  <si>
    <t>Joseí Gil de Sagredo</t>
  </si>
  <si>
    <t>…ción por la opuesta , y ya casi to Ordinario de la misa en latín y castellano , traducido nuevamente caban las puertas de la casa de la Magdalena después de haber puesto fuego por D. Joseí Gil de Sagredo , arcipreste de Alcaráz , con un egercicip á la barraca del Coll de este nombre; en su consecuencia previne á los cotidiano y oraciones para recibir dignamente los santos sacramento; oficiales D. Alanuel Alegre Monasterio y D. Josef Puig marchasen ¡i car de l…</t>
  </si>
  <si>
    <t>Sai</t>
  </si>
  <si>
    <t>…dadas á las notas de los lein , el conde de Mellet, el marques de Marguerye , el barón Duker- Gabinetes de Rusia, Prusia, Austria y Francia, y que se insetle en mon , Gougeon , et vizconde Sai c-H lam:, cí baion Brincan, el cunde los papeles públicos.” reManuel González del Campo. de ArhauHjouguus , el vizconde Picot de Prccaduc, el barón de Faverot, — Los ciudadanos de todas las corporaciones y clases que componen el barón Ruhauil de Fl-ury y el b…</t>
  </si>
  <si>
    <t>Saiavia</t>
  </si>
  <si>
    <t>…do un Congreso para arre uno, el Sr. Garmendía uno, el Sr Fetrcr (D. Joaquin ) uno, el se glar el mido de minorar &lt;1 poder é influencia de S. Martin a su vuel ñor Escobedo dos, el Sr. Saiavia uno, el Sr. Tomas uno , y el señor ta de Guayaquil.__Han despojado de su empleo á Monteagudo ,de cu Prado uno. yas infamias todo el mundo se quejaba—Se espera á un oficial del Habiéndose procedido á segundo escrutinio, resultó elegido el señor egército de Las…</t>
  </si>
  <si>
    <t>Saífidd</t>
  </si>
  <si>
    <t>…n dad y paz interióir; y que no se. permita en lo sucesivo (a en fianza en nuestras armac. trada á ningún extrangero si no presenta documentos, fehacien , Soldados: adquirís en el general Saífidd un capitán distin tes de su buena conducta, dados por las autoridades de su do guido,.que os conducirá siempre al camino de la gloria , y yo micilio, los que en caso de larga permanencia han de ser exa un. compañero apreciable por tantos títulos, digno de vue…</t>
  </si>
  <si>
    <t>Saifield, O. Pedro</t>
  </si>
  <si>
    <t>O. Pedro Saifield</t>
  </si>
  <si>
    <t>…letos, cuando, hablan de . . El. ejército reconocerá por segundo comandante general y asuntos de países extrangeros se tenga el mayor, cuidado en gefe del estado mayor al teniente general O. Pedro Saifield, el descartar todo soqúe pueda herir el honor debido -M IsS poten cual mandará en gefe siempre que se halle separado de mí. cias amigas , ú ocasionar de su parte quejas fundadas ; y que en i" Xa reputación rqu© este general se ha adquirido en su larga esto 11…</t>
  </si>
  <si>
    <t>Saint-March, Alava</t>
  </si>
  <si>
    <t>Alava Saint-March</t>
  </si>
  <si>
    <t>…bía tales sino en el Trocadero, y por consiguiente yu no eran nues entrado , porque estaba en contestaciones desde Aímusages con tros aquellos materiales vino del enemigo; y si el general Alava Saint-March para que dejase el mando. Dicho general ofreció íuc al Puerto, su misión no tuvo el motivo que el gacetero su desde Játiva dar libertad á todos los presos de Valencia asi que pone , sino otro mas justo y mas decoroso, y que hará honor á llegase , pero el 27 e…</t>
  </si>
  <si>
    <t>Saint-March, Felipe</t>
  </si>
  <si>
    <t>Felipe Saint-March</t>
  </si>
  <si>
    <t>…ue se hallan en el mis Vallarino, D. JosefBrodini, D. Juan Ignacio Cervera, Don. mo caso se Ira concedido, y del informe del Gobierno que Mauricio conde de Balbiani. Los capitanes D. Felipe Saint-March, apoya esta solicitud, es de parecer se le conceda; y se conforma D. Carlos Benbenuti . D. Josef Saint March, D. Josef Tejeiro, ba con el dictamen del Gobierno. Aprobado. D. Antonio Tejeiro, D. Josef María Doncel, D. Josef Curten. La misma comisión, en vista…</t>
  </si>
  <si>
    <t>Sainz, Felipe</t>
  </si>
  <si>
    <t>Felipe Sainz</t>
  </si>
  <si>
    <t>…aga V. M. oir Calvo y Ñuño Rasura, representados por D. Pedro Sainz Ter su voz á Navarra: no será sorda, no, no hay que temer: sus va rones, Tesorero de vuestro Real Patrimonio, y D. Felipe Sainz lientes hijos no en vano empuñaron los aceros contra la usurpa de Baranda, Contador del Duque del Infantado, que ambos por ción de Napoleón, ni últimamente contra la de las cortes, ni su lealtad y decidido amor á vuestra Real Persona fueron presos tampoco lo…</t>
  </si>
  <si>
    <t>Sainz, Lorenzo</t>
  </si>
  <si>
    <t>Lorenzo Sainz</t>
  </si>
  <si>
    <t>…iago Pcr:z que el Rey tán Navarro que se puso demente, resultan reos D. Francisco Barrio, ha admitido la renuncia que ha hecho de ia mitad de su sueldo , man arcipreste de Bíugos; D. Lorenzo Sainz, presbítero beneficiado del lu dando al mismo tiempo qua ss le dieran las gracias en su nombre. gar de Cazedo; D. Manuel Yoldi; D. Dionisio Carro; D. Isidro As(Gaceta eit! /y.) torga y Joige Crespo. Todos fueron condenados i muerte por el juez Decr. to de'las…</t>
  </si>
  <si>
    <t>…as las narices y la bo Lilío , y mas abiertamente con el que d.ctó respecto á D. Francisco ca, y detuviésemos por un momento la respiración, á fin de que con Barrio, Jorge Crespo, D. Lorenzo Sainz, 1&gt;. Dionisio Carro, D. Isi este egercicio pudiese obrar el aíro en la trompa de Eustaquio; pero esto dro Astorga y D. Manuel Yoldi , que fueron aprehendidos con armas, nada aprovechó á mi compafieto. Cuando volvimos á ponernos en mo band'tas ae rebelión , ac…</t>
  </si>
  <si>
    <t>Saírá</t>
  </si>
  <si>
    <t>…casos necesidad de nar los recursos necesarios para sostener la defensa de la Isla echar mano de la propiedad agen», y esto no le era permitido gaditana; acerca de lo cual dijo el Sr. Saírá que le parecía con al gobierno sin una expresa autorización de las cortes. Que en la teniente que las cortes ampliasen al gobierno hasta el extremo marcha común de las cosas r.o podiah dejar de surtir su efecto que proponía la comisión las facultades para ech…</t>
  </si>
  <si>
    <t>Saitiper, Francisco</t>
  </si>
  <si>
    <t>Francisco Saitiper</t>
  </si>
  <si>
    <t>…en derredor de ella los cuatro es porque era tai la intrepidez con que cargaron sobre ellos Jos cuadrones de su mando, y colocado él en el centró Ies dijo, -realistas al mando del coronel D. Francisco Saitiper, que tira que el monumento que tenían i la vista estaba destinado para dos armií, fornituras y demas, habiendo perecido infinitos. recordar á ios venideros la lealtad de la ciudad de Butdeos, de Duró el fuego de cañón y fusilería toda la larde hasta la esta c…</t>
  </si>
  <si>
    <t>Saivá</t>
  </si>
  <si>
    <t>…contado desde el dia en que se entregó el quinto en la ca creído d:b r dirigir á los españoles en las circunstancias actuales. ja.” Aprobado. Se 1 yó la siguiente proposición del Sr. Saivá: » Pido a las Art. 2.c » A este fin presentarán sin tardanza el número ó Cortes que en atención á lo crítico de las circunstancias en que números siguientes á quien toque suplir al desertor ó desertores, nos hallamos pasen un mensage á S. M., exponiéndote cuá…</t>
  </si>
  <si>
    <t>Saivedra</t>
  </si>
  <si>
    <t>…rá el perjuicio que haya lugar. En la 29.a votación quedó elegido por 85 votos el Sr. Garoz (tenien Por providencia desala segunda criminal de esta audiencia territorial do uno el Sr. Saivedra. de Castilla la Nueva, fecha 27 de Febrero último, se manda citar al li En la 30.a votación fue electo el Sr. Fernandez Cid por 85 votos , te cenciado D. Antonio Perezde Bustos, para que en el preciso término de niendo el Sr. Saavedra uno. 2 3 dias , contados…</t>
  </si>
  <si>
    <t>Saivi</t>
  </si>
  <si>
    <t>…de la junta nacional de cite rstab:~Ctm-c¡.;o medios que se debiesen adoptar á Sn de llevarlos á ef-uo. acerca de la cantidad 9 que ascienden las pensiones que tienen contra sí El Sr. Saivi manifestó que deseaba que la comisión hablase con al las encomiendas de tas órdenes militaras y ia imposibi.idad de sat ^fa guna mas extensión sobre este proyecto, pues no parecía conv-ni nte cerlas, opinaba que debía suspenderse la resolución de este expedie…</t>
  </si>
  <si>
    <t>Saivs</t>
  </si>
  <si>
    <t>…s he qu-daba en la corte ó ssliese de ella, era muy probable que la salida, chas por D. Vicente Bertrán de Lis. como había dicho, no tuviese malos resultados, aunque sena mejor El Sr. Saivs: Ai tomar la palabra en contra de! dictamen de la que estuviese S. M. enteramente sano. comisión no es mi ánimo examinar si son plausibles los cinco puntos El profesor Arríela decía que por las observaciones que había hecho qu.- abraza el proyecto de que se t…</t>
  </si>
  <si>
    <t>Sal</t>
  </si>
  <si>
    <t>…iente coronel mayor del regimiento infantería antiguos españoles fueron sin duda de mejor condición que los modernos, de Mallorca, que se halla en Valencia esperando su retiro , y D. Sal según la doctrina que quiere establecer .S. M. Cristianísima , puesto que vador María Cardona , vecino de la misma ciudad, lian presentado en fueron árbitros de constituirse según Its convino sin que nadie se lo es el depósito de caballos de requisición de pl…</t>
  </si>
  <si>
    <t>…cómodo de verificar la lotería: pero que no puede adop de loterías. tarse en España hasta que mejoren las circunstancias, haya con El Sr. Sánchez: El mal de que se ha lamentado el Sr. Sal fianza pública y grandes capitales: entre tanto es preciso ir refre va y otros señores preopinantes es un mal que deploro yo tam nando los abusos ele este ramo, asi como Jos ele todos con pru bién/; pero mientras las Cortes, movidas por consideraciones que de…</t>
  </si>
  <si>
    <t>…tales. guiente. A probado. 1. c Para soto el efecto (le qtic puedan ser pro .Se mandaron pasar ¡i la comisión tres adiciones movidos á tenientes de ingenieros los subtenientes del Sr. Sal yuto á este provecto. aspirantes que aefuabuente componen la cuarta cla Se levmno dos minólas de decreto revisadas p. se de !a academia de este cuerpo , se dispensa el re fa comi'ion de (.'orreeciou de estilo, y se hallaron glamento particular de la misma en…</t>
  </si>
  <si>
    <t>…ordina— Tampoco puedo menos de contestar á un hecho que ha cita rías y no en mezquindades de empleos. Todos sabemos que he do el Sr. Paterna , á saber, el suicidio del desgraciado general Sal mos venido á este último baluarte de la libertad para esperar un vador. Ha dicho su señoría que se degolló porque no quiso so acontecimiento extraordinario que salve nuestra independencia: si brevivir á algunos pasos que habia dado, lo cual se ha repetido est…</t>
  </si>
  <si>
    <t>Sal, Mmuol María</t>
  </si>
  <si>
    <t>Mmuol María Sal</t>
  </si>
  <si>
    <t>…urgo sg de Julio. al teniente coronel ID. Lorenzo Benitez, gefe de estado mayor El Emperador ha rega ado una sortija preciosa guarnecida de la caballería auxiliar, y á su ayudante D. Mmuol María Sal de brillantes al correo de gabinete español Da cal que ie llevó la vadores , quienes cogieron un trompeta y tres prisioneros; á tr.i noticia de haberse instalado en Madrid la Regencia de España. primer ayudante de campo el coronel D. Ril'a¿l Puig-Moitó, El 16…</t>
  </si>
  <si>
    <t>Sala, Josef Antonio</t>
  </si>
  <si>
    <t>Josef Antonio Sala</t>
  </si>
  <si>
    <t>…braltar. hechores. Aprobado. Las Cortes recibieron con agrado y mandaron pasar al Go La comisión especial encargada de informar sobre las propo bierno la exposición del presbítero D. Josef Antonio Sala, re siciones hechas por varios Sres. diputados presentó su dictamen sidente en la provincia de Jaén, en la cual ofrecía de donativo sobre una que se le pasó del Sr. Rojo , opinando que debia apro durante la guerra el producto de una finca de su pertenencia, c…</t>
  </si>
  <si>
    <t>Sala, Juan</t>
  </si>
  <si>
    <t>Juan Sala</t>
  </si>
  <si>
    <t>…Plá. los mas sagrados derechos. Beneficiados de Sta. Maria: D. Lorenzo..Mas y Dr.Bli. » Aqui volverán á experimentar que nunca transigimos con Idem del Pino: D. Francisco Cabriol, D. Juan Sala, D. Joséf la iniquidad ni con nada de cuanto pueda comprometer nuestro: Garriga, D. Francisco Sampere, D. Pedro Bernardo Ala, Don honor ni el decoro de la gran nación que ha 'puesto en nuestras Juan Pablo Ferrer, D. Narciso Viver y D. Josef Pinell. manos sus…</t>
  </si>
  <si>
    <t>…arse bajo las rui Beneficiados de Sta Marta: D. Lorenzo Mas. = Dr. B’á. nas de la patria observando la Constitución, o á triunfar con ella. Idem del Pino: D. Francisco Cabrio!, z: D. Juan Sala. = Lí Sr. Marau manifestó, que por su parte no tenia inconve D. Josef Garriga. = D. Francisco Samper.= D. Pedro Ber niente en subrurar en lugar dei término de las 48 lloras las si nardo Ala. — D. Juan Pablo Ferrer. =D. Narciso Vivar. = guientes palabras; » en…</t>
  </si>
  <si>
    <t>Sala, Pedro</t>
  </si>
  <si>
    <t>Pedro Sala</t>
  </si>
  <si>
    <t>…niente cura de Viilauue- guarnecidos ambos de rosas naturales, habiendo recaído estos premios va: cometen mil horrores en Onís, y creen de nuevo devastar todo el en los ciudadanos D. Pedro Sala y D. Antonio Pía, á quienes el se oriente de la provincia. Las milicias voluntarias de aquella jurisdicción, ñor alcalde i.° hizo comparecer en su presencia, y teniendo dichos Vivañe , Rivadesella y Llanes se reúnen, se les incorporan !aj legales sombreros en sus manos, les d…</t>
  </si>
  <si>
    <t>Salamanca</t>
  </si>
  <si>
    <t>…inación en el cuartel , ios soldados se dadera idea del estado y deseos de ia Nación, comisión es* entregar00 4 los mayores trasportes de alegría , gritando repeti tos al teniente coronel Salamanca para.que oasa-e-ú conferen das veces ¡Viva el Rey l y deseando todos ¡legase el mom-nto ciar con dicho general , y se asegurase de- ¡a, ver/iad ds-tcs noti de unirse a sus compañeros del ejército para manifestar su cons cias; en efecto, se presentó este como…</t>
  </si>
  <si>
    <t>Salamanca, Fernando</t>
  </si>
  <si>
    <t>Fernando Salamanca</t>
  </si>
  <si>
    <t>…Despierne, D. Carlos bado. conde de Aíoy, D. Gaspar Rocabruna, D. Manuel del Mazo. La comisión segunda de Hacienda , en vista de la exposición Los coroneles D. Francisco Marimon, D. Fernando Salamanca, de la viuda de un soldado del resguardo militar de Barcelona* * D. Juan Linan, D. Luis Fernando Mon, el conde la Torre. muerto en acción contra los facciosos, pidiendo se le conceda Alta. Los tenientes coroneles D. Francisco Mon , D. Francisco la misma graci…</t>
  </si>
  <si>
    <t>Salamanca, Josef</t>
  </si>
  <si>
    <t>Josef Salamanca</t>
  </si>
  <si>
    <t>…el presen! ■. Sevi aquella villa ni el intendente de la provincia D. Vicente de .¡an lla 2 de Jumo de 182 3. ;= Josef Ruiz del Arco. = joset López denes , ni el tesorero principal D. Josef Salamanca , se ha servido Rubio, secretario. EN LA IMPRENTA NACIONAL.</t>
  </si>
  <si>
    <t>Salas, Francisco Brú de</t>
  </si>
  <si>
    <t>Francisco Brú de Salas</t>
  </si>
  <si>
    <t>…oaquín de la Torre.................... D. Josef Justiniani............................ D- Antonio Anguiano Ramos. D. Félix Valdés. D. L uis Zaforteza. D. Francisco de Paula Borei. D. Francisco Brú de Salas. D. Federico Roncali. Cadetes...................... - Alféreces, 6coo D. Josef Allende. D. Joaquín Roca. D. Josef Moreno y Sopranis. D. Josef Alfaro y Sandoval. D. Pedro Eenavide............................ j Cádiz 20 ríe Julio de 1823. nr Rubricado.r= Es cop…</t>
  </si>
  <si>
    <t>Salazar, Ignacio Gómez de</t>
  </si>
  <si>
    <t>Ignacio Gómez de Salazar</t>
  </si>
  <si>
    <t>…erra.” Instrucción general para ia administración y recaudación de la ha cienda pública. Vendes; en el Despacho de la imprenta Nacional á 10 rs. Parte e¡ue se cita en el anterior. Don Ignacio Gómez de Salazar, profesor de matemáticas, y deli „ Ayer llegué al pueblo de la Fresneda, y como á tres horas después neada de la dirección hidrográfica, habilitado por la dirección gene tuve noticia de que los facciosos capitaneados por Ramón Villar ha ral de estudios para l…</t>
  </si>
  <si>
    <t>Salazar, Luis de</t>
  </si>
  <si>
    <t>Luis de Salazar</t>
  </si>
  <si>
    <t>…s de la mañana se vieron Estado, con fecha de f.° del corriente desde el Puerto de Santa las señales que, según habia dicho el Sr. Marques de Valmedia— María , comunica al Exento. Sr. D. Luis de Salazar, Secretario del no, debían anunciar la salida de SS. MM. y AA. de Cádiz, por de Marina, y habilitado para el de la de Estado, lo que sigue: que estaba decidido que desembarcasen en Puerto Real si la ma ,, Exento. Sr.: EL REY NUESTRO SEÑOR se ha servido rejada…</t>
  </si>
  <si>
    <t>Salazar, Luis María</t>
  </si>
  <si>
    <t>Luis María Salazar</t>
  </si>
  <si>
    <t>…Real ánimo al contemplar lomarde, D. Víctor Damian Saez presbítero, D. Juan Bautista el cúmulo de males que el maquiavelismo sin egemplo del Go Erro, D. Josef García de la Torre, D. Luis María Salazar, D. bierno francés ha traído sobre mi Persona y familia y sobre Ja Josef de San Juan y D-Josef Aznares, que respectivamente se Nación generosa que tengo la gloria de dirigir , nada agrava tan han titulado y se titulan secretarios de Estado y del despacho de t…</t>
  </si>
  <si>
    <t>…una turba de falsos filósofos, enemigos lo conveniente á su cumplimiento. Madrid 29 de Julio de 1823. por sistema de Dios y de los Reyes! ¡ Ahf amantes de 'a reli = Rubricado. = A D. Luis María Salazar. gión católica que han profesado , fieles al juramento que hicie ron á Fernando vii acaban de rechazar con las armas, que á su Continúan las exposiciones dirigidas á S. A.. S. la Regencia del primer grito tomaron todos los pueblos de su jurisdicc:on y co Rein…</t>
  </si>
  <si>
    <t>…de que aun vertiera lágrimas amargas, cumplimiento.“Rubricado de la Real inano.r^Palacio 2 de Di si la idea consoladora de la libertad de V. M. no las enjugara. ciembre de 1823.=A D. Luis María Salazar. „En todas situaciones, Señor, lia dirigido y dirige ardientes Otro. y fervorosos votos al Omnipotente para que prolongue dilatadí Es de absoluta necesidad para el buen régimen de esta vasta simos años la preciosa vida de V. M., como solo y único defen Monarq…</t>
  </si>
  <si>
    <t>Salazar, Salvador Garzón de</t>
  </si>
  <si>
    <t>Salvador Garzón de Salazar</t>
  </si>
  <si>
    <t>…risionera grado á dicho egército ; y reunido el jurado, compuesto de los señores L&gt;. tn número ú vr, contándose en este mímelo ei cabecilla Ikjsr , el lla Tornas López Caide.-sn , D. Salvador Garzón de Salazar, D. Francisco mado coronel Lorenzo I.abarra y otro oficia! , con 8 hombres muertos, Antonio de Fuentes, D. Pedro Antonio Carrera, D. Antonio Cana8; cabaih-s, todas las lanzas, fusiles, tercerolas y sables que quedaron dril, D. Rafael María de Gataicochea , D.…</t>
  </si>
  <si>
    <t>Salazat, Josef María</t>
  </si>
  <si>
    <t>Josef María Salazat</t>
  </si>
  <si>
    <t>…de esperar algunas Ayer llegó) la goleta colombiana El y enera! Santander, explicaciones antes de quejarnos abiertamente de sus procedi procedente de la Laguna, y trac a bordo .1 D. Josef María Salazat mientos. y á D. Leandro Palacios; el primero ministro colombiano cerca » Debe tenerse presente, contesta el comodoro Porter, que de los Estados-Unidos, y el segundo cónsul general. la ley para reprimir las piraterías se dictó en 26 de Diciembre 11 as ni ¿ton…</t>
  </si>
  <si>
    <t>Salcedo</t>
  </si>
  <si>
    <t>…media haba salido Sarasa, huyendo como acostumbran, perseguido drid 10 de Frbrero de i8r3.c=Domingo María Ruiz de ia Vega ,presi. por ¡a segunda división provisional a! mando del coronel Salcedo. En dente.=Josef Grasés, diputado sccretario.c^Jcsef Santiago de Muro, Zubiri pernocté para ciar descanso á mi columna, envié paisanos á ex diputado secretario.” Por tanto mandamos á todos los tribunales, jes. plorar el país pata ssbsr la situación de los fac…</t>
  </si>
  <si>
    <t>…Con relación á una fecha posterior i la del precedente parte corre Verona, y allí se quitaron ia máscara hipócrita con que se habían cu desde ayer la voz de haber sido atacado el coronel Salcedo en el mismo bierto hasta entonces. punto de Larrasoaña por una fuerza muy superior de facciosas tecies Trataron de invadir la Península , para cuyo fin y* tenían con mu entrados de Francia, de cuyas resultas tuvo que retirarse í Pamplona. cha anticipación un…</t>
  </si>
  <si>
    <t>…titucional. La ciudad de Bahia continuaba muy estrechamente si ña les propuso salir con honor tomando por pretesto el atacar la tiada y con grande escasez de víveres. columna del coronel Salcedo que se hallaba por aquella parte cu briendo el frente de Pamplona. El 2 5 salieron de Francia ; pa NOTICIAS DE ESPAÑA. saron por Roncesvalles, y el primer batallón que manda JuaniS, Sebastian 31 de Alarse. ío, y que consta de 900 plazas, se adelantó hasta V i…</t>
  </si>
  <si>
    <t>…Marguerie y Larrochejaqueiin se dirigieron á perseguir lieron á recibir á nuestras tropas. Es cuerpos que, habiendo salido de Orense , trataban. pasar i Otra columna al mando del coronel Salcedo, y depeiHÍ:ente Castilla por la Puebla de Sanabria. Después de mucha» marchas del mismo cuerpo, ocupaba la po&gt;icmn de Ujijar: el maT;s.-af ds dobles, en las cuales las tropas de Marguerie han manifestado campo Lcvavasscur mandó atacaría por roo hombres éeí li…</t>
  </si>
  <si>
    <t>Salcedo, Ana Requena de</t>
  </si>
  <si>
    <t>Ana Requena de Salcedo</t>
  </si>
  <si>
    <t>…infantería de Cantabria. atropellen las personas, puesto que se castiga al que atropella los La comisión segunda de Hacienda, en vista de una solicitud bienes que valen menos. de Doña Ana Requena de Salcedo, viuda del capitán de na Discutido suficientemente este artículo quedó aprobado, re vio D. Blas de Salcedo, pidiendo que en atención á haber muer dactándose la última cláusula en estos t mimos: «y cualquiera" to en campaña dicho D. Blas y 4 cuatro hijos , que…</t>
  </si>
  <si>
    <t>Salcedo, Blas</t>
  </si>
  <si>
    <t>Blas Salcedo</t>
  </si>
  <si>
    <t>…En la .se ra goce su hijo D. Tomas, por via de pensión durante su vida, sión del día tó aprobaron las Cortes una proposición de los se la viudedad que tiene por muerte de su mando D. Blas Salcedo. ñores Canga é Istunz, dirigida á que el Congreso hiciera una Aprobado. solemne declaración en favor del heroico pueblo ds .Madrid, La corrosión de Casos de responsabilidad, en vista de la que y en particular de su noble indicia, por lo que esta ha he ja dada…</t>
  </si>
  <si>
    <t>Salcedo, Blas de</t>
  </si>
  <si>
    <t>Blas de Salcedo</t>
  </si>
  <si>
    <t>…omisión adiciones. primera de Hacienda sobre una exposición de Doña Ana Re- El Sr. Ruiz de la Vega; En efecto la comisión ha tenido al quena dé Salcedo, viuda ikl capitán de navio D. Blas de Salcedo, gunas conferencias; y hallándose presente á una de ellas el Sr. se muerto en irna acción de guerra , pidiendo una pensión para man cretario riel Despacho de Gracia y Justicia ha tenido ocasicn de tener á su hijo que empieza ¡a carrera de las amias: la comisi…</t>
  </si>
  <si>
    <t>…Hacienda, en vista de una solicitud bienes que valen menos. de Doña Ana Requena de Salcedo, viuda del capitán de na Discutido suficientemente este artículo quedó aprobado, re vio D. Blas de Salcedo, pidiendo que en atención á haber muer dactándose la última cláusula en estos t mimos: «y cualquiera" to en campaña dicho D. Blas y 4 cuatro hijos , quedándole en el que por esta razón atropelle sus personas, las de sus familias; día solamente uno que ha segu…</t>
  </si>
  <si>
    <t>Salcedo, Fermín</t>
  </si>
  <si>
    <t>Fermín Salcedo</t>
  </si>
  <si>
    <t>…e en la librería de Sanz , á 2 rs. Rema ; en el mismo momento que ocurría esto en Sangüesa entraba Georgii Sigismundi Lackics juris pnblici ecclesiasticipars generalis. en Eiba el coronel D. Fermín Salcedo, que sin embargo de apresurar Los luminoso; principios que desenvuelve este autor, y la suma exacti su marcha para obligar la facción á que entrase en la montaña según tud con que establece los límites de entrambas potestades eclesiástica y tengo prevenido ,…</t>
  </si>
  <si>
    <t>…u corazón la energía y dignidad con que el le incorporó la llamada junta gubtrnativa de aquel reino. E! coronel Gobierno ha contestado á las notas diplomáticas de los Gabinetes ex D. Fermín Salcedo , venciendo las dificultades que ofrece la estación, tranjeros, y de la oferta que V. hace de contribuir durante la inva por otra no menos precipitada que hizo por entre cerros escarpados y sión con i9 rs. al año de los ¿9 que disfruta de sueldo; con 300 mas…</t>
  </si>
  <si>
    <t>…puedan retardar un congreso general de ia provin Por parte dado al comandante general de la provincia de Pam cia oriental, que deberá decidir sobre sus grandes destinos. plona por D. Fermín Salcedo, su fecha en Hurguete á 21 de — En el mismo periódico se insertan noticias de Londres, que al Marzo, hemos sabido que las tropas de su mando habían batido canzan hasta el i.° del corriente-, pero en cuanto á las políticas á la facción del cabecilla Pouso, mat…</t>
  </si>
  <si>
    <t>Salcedo, Francisco</t>
  </si>
  <si>
    <t>Francisco Salcedo</t>
  </si>
  <si>
    <t>…ierno, en que Sesión extraordinaria del dia 16. *: manifestaba haberse servido el Rey conceder la pensión de Se leyó y aprobó el acta de la anterior. dos rs. diarios á la viuda de D. Francisco Salcedo , muerto por Se leyó y mandó imprimir un dictamen de la-comisión de los facciosos de Cataluña , opinaba que no se hallaba en el caso de Legislación. ser acreedora esta viuda á semejante gracia por no haber muer La comisión Eclesiástica, en vista de la solicit…</t>
  </si>
  <si>
    <t>Salcedo, Joaquin</t>
  </si>
  <si>
    <t>Joaquin Salcedo</t>
  </si>
  <si>
    <t>…ienen no poca parte, y que tratan por todos medios Esteban Chaix.__En las ciases de bellas letras y en la de ir úsica de llamar la atención del general Zayas, á quien tanto temen, D. Joaquin Salcedo , accésit en bebas letras D. Ventura García é impedirle que organice el ejército que algún día ha de arro Loigorri, accésit en ia mús;ca D. Mariano Gil, á quien se ad jarlos de las Andalucías.” judicó un premio extraerá mano por su aplicación i varias c’ascs.…</t>
  </si>
  <si>
    <t>Salcedo, Josef</t>
  </si>
  <si>
    <t>Josef Salcedo</t>
  </si>
  <si>
    <t>…nda.=De Real orden lo comu ro. El Regidor primero Ilustre D. Antonio Rufrancos.= Cole nico á V. E. para su inteligencia y puntual cumplimiento en la gial, D. Antonio Crespo, Abad. D. Josef Salcedo, Canónigo .= parte que le toca. Dios guarde á V. E. muchos años. Córdoba 26 Universidad , el Doctor D. Cristóbal Govantes. El Doctor Don de Octubre de i8íg.c=Victor Saez.=Excmo. Sr. Secretario de Antonio Maldonado.” Estado y del Despacho de..... „Señor: Los G…</t>
  </si>
  <si>
    <t>Salcedo, Juan Antonio</t>
  </si>
  <si>
    <t>Juan Antonio Salcedo</t>
  </si>
  <si>
    <t>…que se internen en Francia , y en caso local de ambas armas de Belmonte , por el Sr. Moreno. de que ne quieran,hacerlos que se vuelvan ¿ su tierra. Del cura párroco de S- Gines , D. Juan Antonio Salcedo , y ca bildo eclesiástico de esta villa, por el Sr. Velaico. NOTICIAS DE ESPAÑA. Del ayuntamiento constitucional y milicia nacional voluntaria de Tora 8 de Enero. AUoy , por el Sr. Gisbcirt. Ayer por la noche salió de aquí una guerrilla compuesta de 14 sol De…</t>
  </si>
  <si>
    <t>Salcedo, Juan Francisco Martínez</t>
  </si>
  <si>
    <t>Juan Francisco Martínez Salcedo</t>
  </si>
  <si>
    <t>…e satisfacción al ver que la La comisión de Visita del Crédito público presentó su dicta suscripción para auxiliar á los españoles continua muy próspera men sobre la exposición de D. Juan Francisco Martínez Salcedo, mente , y todo ingles, que merece este nombre, estará persua reclamando varios vales cuyos números no se hallaban en la lista dido que la causa de España es la suya propia. que las Cortes tuvieron presente al expedir el decreto de 19 de __El Piloto, periódic…</t>
  </si>
  <si>
    <t>…ndiente de sus antepasados que vinieron á La comisión de visita del Crédito público,en vista de una so este pais á derribar uu tirano y libertar al pueblo. Mr. Brougham licitud de D. Juan Francisco Martínez Salcedo, opinaba que las prosiguió diciendo que en la cámara de los comunes , á la cual Córtcs debian declarar que los vales de que trataba, expedidos se honrraba de pertenecer, habla oido hablar de la presente cues por el Gobierno intruso, están comprendidos en el d…</t>
  </si>
  <si>
    <t>…fecha 12 del de 9 de Noviembre de [820 , por el que se concedió facultad de presente ñus me dicen lo que copio: redimir los censos, foros y demas cargas pertenecientes a! Cr»dilo D. Juan Francisco Martínez Salcedo acudió á las Cortes con público, y que gravan bienes de particulares con créditos con ín exposición de 31 de Alayo íiltimo, redamando varios vales du teres dentro de un plazo indefinido , el cual fue limitado por re plicados de los emitidos por la Tesorería g…</t>
  </si>
  <si>
    <t>Salcedo, Juan Laserna</t>
  </si>
  <si>
    <t>Juan Laserna Salcedo</t>
  </si>
  <si>
    <t>…especies antedichas se in Camerino, D. Jelix de Aguirre, Dr. D. Francisco Fernandez sertarán en la gaceta de la corte, y también se anunciará en la del Castillo, D. Juan González, D. Juan Laserna Salcedo, misma cuando una obra ha de recogerse , con arreglo á las leyes D. Segismundo Moret, D. Pedro Antonio de Aguirre, Don sobre libertad de imprenta. En este caso el Gobierno podrá ocu Juan francisco Bidot, D. Agustín de Goicoechea, D. Luis de par y archivar ó q…</t>
  </si>
  <si>
    <t>Saldamando, Antonia Ramona de</t>
  </si>
  <si>
    <t>Antonia Ramona de Saldamando</t>
  </si>
  <si>
    <t>…o de los. Reales ejércitos de S. M. Cma., y pri ha mandado convocar á junta general á los acredores de la tes mer Ayudante de Campo del Sermo. Sr. Duque de Angulema, tamentaría de Doña Antonia Ramona de Saldamando, que ha venido á cumplimentar á la Serma. Sra. Infanta Doña Alaría pende por la escribanía de provincia al cargo de D. Francisco Francisca de Asís, y expresar el sentimiento de S. A., porque Montoya, y señalado para ella el domingo 19 del presente mes sus muc…</t>
  </si>
  <si>
    <t>Saldaña, Antonio</t>
  </si>
  <si>
    <t>Antonio Saldaña</t>
  </si>
  <si>
    <t>…inas, agricultura y giros mercantiles. Toda Nota. En el dia 21 del corriente se verificó la presentación esta prosperidad la hizo desaparecer la desastrosa revolución,- del Excmo. Sr. D. Antonio Saldaña de la Gama, Conde de quedando reducidos los habitantes á la mayor miseria. En el dia Puerto Santo, Embajador extraordinario de S. M. Fidelísima, han vuelto algunos españoles á establecerse, continuando las la de que se habió en la gaceta anterior, y no en el…</t>
  </si>
  <si>
    <t>Salgado, Josef</t>
  </si>
  <si>
    <t>Josef Salgado</t>
  </si>
  <si>
    <t>…se colectasen, se entregarán al te de decreto. teniente D. Narciso León , haciéndose cargo de ellos el cap tan Art. i.° Los Médicos-Cirujanos de la Armada gozarán de de caballería D. Josef Salgado con las correspondientes reseñas; las consideraciones , divisas, alojamientos, sueldos &amp;c., que cor concluidos los plazos prevenidos, la comisión pasará un estado al respondan en su cuerpo á los que se han concenido á los Médi supremo Gobierno de los caballos…</t>
  </si>
  <si>
    <t>Sali, Gabriel</t>
  </si>
  <si>
    <t>Gabriel Sali</t>
  </si>
  <si>
    <t>…ando del cribanía, por sí ó por medio de procurador con poder bastante, trabajo diario para mantenerlos, habrían de quedar necesitadas á usar del derecho indicado por su apoderado D. Gabriel Sali en los días de fatigas. Sí, amados convecinos, les dice , entre nero en ios autos formados por Doña Isabel de la Riva Roble otras cosas, » no puedo menos de dirigiros mi voz, hija del mas do y su hijo D. Josef Gabriel de Robledo para la apertura de » sencillo…</t>
  </si>
  <si>
    <t>Salíalo</t>
  </si>
  <si>
    <t>…sido api ¡diada por unanimidad., dijo el Si'. Vargas La misma comisión opinaba que se devolviese al que él no la aprobaba. Gcdiiéruo el expediente relativo á la queja dada por El Sr. Salíalo dijo : Pido se esprrse en el acta dosel' Sumpcr contra ciertos individuos &lt;ie la Audien que solo un Señor diputado iuj hu nprobadu esta cia de Valencia. proposición. Se leyó y bailó con Forme con lo aprobado la mi El Sr. Aibrar : Yo fie aprobado la proposició…</t>
  </si>
  <si>
    <t>Salinas, Mariano</t>
  </si>
  <si>
    <t>Mariano Salinas</t>
  </si>
  <si>
    <t>…nte general de artillería de este ejército al comandante de infantería y capitán de Sevilla 6 de Mayo. de aquel cuerpo D. Joaquin de Aldecoa. CORTES. 3.0 Se reconocerá al teniente coronel D. Mariano Salinas, capitán del regimiento de la Corona, como empleado á las in tRESlDEXClA. DEL SESOR FKRRER (DOS JOAQCtX). mediatas órdenes del Excmo. Sr. comandante general de la pri mera división de infantería D. Josef de Zayas. El segundo ayu- Sesión del día 6. gencral gef…</t>
  </si>
  <si>
    <t>Salv.í</t>
  </si>
  <si>
    <t>…ador Manzanares, minis dos de las Cortes respecto de la ordenanza militar en lugar del se tro de la Gobernación de la Península , para usar de ntcd.a fir ñor Nuñez (D. Toribio) al Sr. Salv.í. ma. (Gaceta del 2/.) Se leyó una minuta de decreto visada por la comisión de Cor ILesolucion de las Cortes , disponiendo que en las elecciones rección de estilo, y se halló conforme á lo resuelto por las Cortes. populares y para los empleos municipales puede…</t>
  </si>
  <si>
    <t>Salva</t>
  </si>
  <si>
    <t>…á la grande asam Sr. Aillon, á las que contestó el Sr. Becerra, quedó aprobado. blea de las naciones civilizadas mas bien se dilataría que se aceleraría Respecto de la adición del Sr. Salva al art. 46, que decía, que con la destrucción de sus campos, la ruina de sus pueblos y la carni cuando se tratase en los ayuntamientos de negocios de algún ínteres cería de sus habitantes , porque es bien seguro que no sufrirá tran tuviesen que asistir necesa…</t>
  </si>
  <si>
    <t>…ar el cabo, y que le aseguró que vendrían ú las costas de España, era necesaria esta ad'cion. Aprobado. teniendo ya preparada la tab’azon para portería. Yo infiero que querién D-l Sr. Salva al art. 4/: » Y en esta provisión usarán los ayun dose hacer el último esfuerzo contra el Petú con los iQ hombres que tamientos de todos los medios imaginables para el acierto , convocando ha dado Bolívar á San Martin, y rezelando el mal éxito de su tentati p…</t>
  </si>
  <si>
    <t>…rlo de nuevo. De ia audiencia territorial, junta diocesana, ge fes y demás indivi Se aprobaron los artículos siguientes: duos d* la oficina del Crédito público de Valencia, por el Sr. Salva. Art. 77. » Hecha la declaración por e! ayuntamiento con respecto De los porteros, escribientes y ordenanza* de la secretaría del tribu a! minuto primer llamado de la edad ds 18 y 19 años, se procederá nal especial de Guerra y Marina. en igusíes términos con…</t>
  </si>
  <si>
    <t>…bien recientes confirman Del juez de pr me-a instancia de Valencia D. Mateo Miranda, mas mi proposición. A los Sres. arzobispo eketo de Sevilla y obispo presentada y leida por el Sr. Salva. electo de Guadix se han mgado las bulas; ¡y perqué! porque han Del ayuntamiento constitucional de la villa de Miranda de Duero, dado mas de una vez en este santuario de las lry:s mas de una prueba y de los comandantes , oficiales y sargentos del batallón de…</t>
  </si>
  <si>
    <t>…dependiente;, nio , después de haber apurado media cántara de Peralta .ofreció su me diación para con aquellos Soberanos á los que dentro de tres dias se presentada y leída por el Sr. Salva. Del ayuntimiento constitucional de la villa de Campillo (provin acotan á su protección. Por la noche hizo iluminar el pueblo, y espar cia de Málaga), presentada y leída por el Sr. Romero. ció varias proclamas á su modo, enviando mensajeros a varios pueblas.…</t>
  </si>
  <si>
    <t>…l Gobierno Del gobernador, estado mayor, oficiales de la guarnición y varios mudase su residencia , las Cortes decretan su traslación a! punto que ciudadanos de Pefiíscola, por el Sr. Salva. aquel señale , de crccrdo cotí la Diputación permanente &amp;c. De los oficiales que componen la plana mayor de Santoña, por el En cuanto í esto no puedo menos de manifestar que ia Diputación &gt;c cías acerca de esta muerta , rSr. Putnarejo. permanente pod:á t-n;r…</t>
  </si>
  <si>
    <t>…cargos delegército, también yo creo que no debe sus sesiones de g y 11 del pasado. aprobarse la proposición. ' Del ayuntamiento constitucional de la villa de Benavente (provin El Sr. Salva: Apelo al testimonio de todos los Sres. diputados, cia de Zamora). que cuando se trató de este asunto propuso el Sr. Arguelles que era Del comandante de la milicia nacional local voluntaria ds Padersi mas conveniente conceder esta autorización en términos gen…</t>
  </si>
  <si>
    <t>…de los cuales deben sacarse los te y los demás cabezas, y solo ha sido efecto su separación de un plan comque han de componer el tribunal de Cortes. En 7.0 lugar quedó eleg-do el Sr. Salva por 76 votos, habiendo teni binado para llamar la atención por diferentes puntos , librarse asi de la persecución del Excmo. Sr. -conde del Abisbal, y levantar cuanta gentedo 6 el Sr. Marchámalo, y 2 el Sr. Neira. En 8.° lugar el Sr. Rovinat por 73 votos, hab…</t>
  </si>
  <si>
    <t>…que se tra carnean tener en aquel punto de la frontera pan principio: de Abril ta ; y asi apoyo la proposición. unos a8 á 30O hombres , y para mediados del mismo ascenderá su núEl Sr. Salva: Los señores que han suscrito la proposición son de m ro hasta unos 36 á qcO. El tj da Marzo d-.hia llega: la g.iard.a masiado ilustrado; para que quitan que las ( ortss se entrometan en 'Real á Pau , pues el 6 entró en Burdeos. En Dax , Pan y Orthez, ninguna…</t>
  </si>
  <si>
    <t>…uestos; pero el motivo que he t.n.do para presentar idea del Sr. Canga , y en seguida tomó la palabra en contra el esta propos.cion ha sido el de creer que el Gobierno se bailaría Sr. Salva, el cují dijo: Cualqu.erj variación que se haca en esa tal vez en algún contiicto por falta de recursos para sost.ner la proposición tendrá una impugnación por mi paite , por cuan guerra que desgraciadamente se nos ha provocado; ahora si el Go to ademas de se…</t>
  </si>
  <si>
    <t>…arse hasta dar cuenta á las Cortes del estado de los negocios en con urgencia á la comisión de Hacienda para su examen. sus respectivas secretarías.” En seguida tomó la palabra el Sr. Salva, y dijo: Acaba de Se declaró comprendida en el artículo loo del reglamento, y repartírsenos el manifiesto que hace el Rey á los españoles con no se admitió á discusión. motivo de la injusta invasión de los franceses , y por tanto yo El Sr. Gaiiano tomo en seg…</t>
  </si>
  <si>
    <t>…cultades que ofre El Sr. Gaiiano: Parecería casi inoportuno el contestar á las ce la comunicación con las provincias vascongadas , se permita la razones que acaba de manifestar el Sr. Salva , puesto que las Cor introducción de hierro extrangero, tan necesaria para la fabrica tes no han tenido á bien tornar en consideración la proposición ción de armas. Primera lectura. que presentó antes; pero como S. S. ha reproducido sus argu A la comisión de…</t>
  </si>
  <si>
    <t>…encuentra aquella plaza y los auxi Jumblanos en M.raliores, á una legua de Lima, icón hombres lios que necesita. del Perú y Buenos-Aires en la ciudad, y la milicia, que se com El Sr. Salva: De lo que acaba de decir el Sr. secretario inte pone de todos los vecinos de 16 á 50 años: esta forma la guar rino del Despacho de la Guerra se infiere que se han enviado so nición de Lima y Callao__ El virey Laserna segu.a eu Cuzco corros á Valencia, de Los…</t>
  </si>
  <si>
    <t>…ios que las Cortes tuvieren á bien' decretar.” di comandante militar de la misma provincia D. Juan Moscoso. Se declaró haber lugar á votar sobre,la totalidad de tóté pro • *•-- El Sr. Salva presentó una exposición de la diputación, „pro-. yecto, y quedó aprobado en todos-Sus artículos. — vincial de Játiva, pidiendo á las Cortes se sirviesen tomar me La comisión primera de Hacienda, habiendo examinado la didas enérgicas para remediar el mal estad…</t>
  </si>
  <si>
    <t>…vechia: que Un buque que trae á su bordo franceses muy distin gándole no echase en olvido la situación de Valencia. guidos debe darse a la vela en Hamburgo, bajo la protección El Sr. Salva: Quisiera que el Sr. secretario del Despacho de del Rey de Suecia (Bernadote, cuñado de Josef Napoleón); y Ja Guerra dijese si antes de ahora, ó acaso antes 'e salir la que los célebres Meríin de Douai, antiguo consejero de Estado corte de Madrid, se expidier…</t>
  </si>
  <si>
    <t>…ncia , opinaba que 110 con toda preferencia pague á la milicia de Madrid los haberes debía accederse á ella. Aprobado. atrasados, y cu.de en adelante no suceda el que los haya. El Sr. Salva leyó el dictamen de la comisión de libertad de En seguida se leyó la proposición; y habiéndose declarado com- imprenta sobre la memoria presentada por Ja junta protectora; prend da en el art'culo 100 del reglamento, y declarado haber el proyecto de ley segund…</t>
  </si>
  <si>
    <t>…penal” parí trasportes expresados en Jos artículos 2.0, 3.0 y 4.0 que se hagan obviar de este modo toda dificultad. en buques españoles serán libres del 2 por too de administra Ei Sr. Salva dijo: Que era preciso expresar no solo el artícu ción, que pagarán los que ¡e verifiquen en extrangeros. Art. 7*°E1 lo 316 sino el 317 y 3 18. Gobierno establecerá las reglas convenientes para el reconocimien Se declaró el punto suficientemente discutido , y…</t>
  </si>
  <si>
    <t>…'o d«r « En la orden general de este día se dió á reconocer por ge oficinas que acompaña. Sí leyó este plan. neral en ge fe interino de este ejército al mariscal Je campo l5ort E! Sr. Salva tomo la pr’abra en contra del provecto , v d jo. Miguel López de Baños. Confieso que me pongo a temblar siempre que se trata de &lt;. tic.— » Dios guarde á V. E. muchos aáos.mCuartel general de De ñas y empleados , pites vo hubiera querido que todos L - :\&gt;:r :.…</t>
  </si>
  <si>
    <t>…pie la duda y los la mas productiva, y al mismo tiempo la mas costosa. Para edi Husmos motivos de disturbios. ficar cada extracción de ella se noces.tan una porctou de operacio El Sr. Salva opinó que no pudiéndose votar una persona á sí nes complicadas y momentáneas, que no pueden ser d.feridas ni misma debía ver el presidente, secretario y escrutadores las cé un momento, y que necesitan mucho esmero, pues la mas leve dulas al tiempo de votarse…</t>
  </si>
  <si>
    <t>…tunas. Sevilla 29 de rectores de correos: el actual saben las Cortes que hace muy po Mayo de 1823.=:Rubricado. co que ocupa este destiño; pero á pesar de esto se ha ocupado cua Ei Sr. Salva: Cada uno tiene su manía, y yo tengo Ja mía. rzo meses en este arreglo hasta que ha sido interrumpido por la Me he propuesto disminuir el furor que va cundiendo de oble- i traslación del Gobierno; y aseguro á las Cortes que las tarifas 11er destinos. Desde qu…</t>
  </si>
  <si>
    <t>que devenguen las nuevas introducciones de tabacos.” Aprobado. esta capital. La guardia nacional se ha portado granJcrneiite.,'y El Sr. Salva presentó la siguiente proposición : o Habiéndose es co,.i admirable ver que en medio de un pueblo inmenso cometido una equivocación bien conocida en el decreto de i l de todo armado, no se haya cometido ninguna atroc.dad. IcualMavo del presente año que está v…</t>
  </si>
  <si>
    <t>…s, firmamos los originales del presente convenio, y los Si trabajan poco los dependientes de la imprenta, como dice lellamos con el sello de nuestras armas en Madrid á n de Mar el Sr. Salva, puede venir este Señor á cualquier hora del día, y zo de 1823. = Firmado.=:Evaristo San Miguel. = Williain Jos encontrará bien atareados, aunque sin cobrar una mesada des A Court. de que vinieron á Sevilla, donde no esperaban ciertamente ver Ciriu ay Jel min…</t>
  </si>
  <si>
    <t>…«iwioo »m.» *i&lt;i— á 5o timos sin perjuicio de la pena señalada por fas ber lugar á vota!1 sobre la totalidad ilcl dictamen. demás calificaciones que recaigan sobre, el : vn no 1.1 Sr. Salva manifesté» entre, ot ras cosas, que la La lio conforme esta complicación de penas. En el art. comisión estaba firmemente persuadida que léjos de 4. - bailo ona repetición de la leí de ai de octubre, res} 1 injir la libertad de imprenta el artículo 6, 3 no asi…</t>
  </si>
  <si>
    <t>Salvá</t>
  </si>
  <si>
    <t>…rcito de re gniente ofrece mayores ventajas en la aplicación de serva, para qtie le halda nombrado S. M. Las Cor las penas. tes concedieron permiso á este Sr.‘diputado para des El Sr. Salvá contestó qne la comisión había tra tado de disminuir la pena, y que aunque ai mini- empeñar este encargo. Se leyó otro oficio del Sr. diputado 13. I ran- mun que proponía era mayor «pie el establecido en cisco CeniLo manifestando qne admitía la comisión el Có…</t>
  </si>
  <si>
    <t>…apro antes si fuese posible, y que para su convocación quedasen auto bar el artículo que la comisión presenta. rizados los Sres. prebidentes y secretarios, como para proveer á El Sr. Salva manifestó que la comisión se convenía en v. ri.r todo cuanto ocurriere de urgente durante el viage que iban á el artículo, en cuva forma podia aprobarse. El Sr. Galiano: La variación que acaban de hacer en el arti emprender. Se leyeron los siguientes votos pa…</t>
  </si>
  <si>
    <t>…a como la que se propone! Yo quisiera que antes que [as tores , encubridores y auxiliadores en el Código penal.” Curtes adoptaran esta medida se ocupasen mas bien de una lev de El Sr. Salva : La comisión está muy de acuerdo con las ideas policía que nos diese á conocer quienes son los hombres malos, que ha manifestado el Sr. Secretario del Despacho sobre que los quienes los buenos, quienes están en iste sentido, quienes arel cómplices de un deli…</t>
  </si>
  <si>
    <t>…ida. blicamente lis razones que ha tenido para proponer á las Cortes Se declaró el punto suficientemente discutido. estas medidas. El Gobierno se ve rodeado de enemigos-, el Go El Sr. Salva manifestó que solo se debía sujetar á votación la bierno , á pesar de la prueba de generosidad que dió la Nación es parte de disposición legislativa desde donde dice quedan antorizapañola á ia europa entera en la ley de asilo, á pesar de haber ofre dos &amp;c., p…</t>
  </si>
  <si>
    <t>…rse a calificar otros, aunque los haya en cultades los obispos de aquellos paises. La comisión opinaba que la obra. debia aprobarse. Los Sres. Velasco y Somoza presentaron voto El Sr. Salva hizo presente que la comisión variaba el artículo poniendo en vez de las palabras ” con arreglo extnctamente al ti particular. Se leyó y halló conforme con lo acordado por las Cortes tulo 3-u de la ley sobre libertad de imprenta” las siguientes, ” con una min…</t>
  </si>
  <si>
    <t>…ón como el de siempre de cuenta del contraventor. Aprobado. presidente de las Cortes , era primero que ningún otro. Art. 12. Si el que hiciese ó costease la impresión fraudulen El Sr. Salvá fue de opinión que debía expresarse en el d cla ta en el extrangero ó en la Península, no la vendiese en ella, si men que el Sr. Zulueta ejerciese el encargo de comandante del no que la remitiese á los dominios españoles de Ultramar para su primer batallón lu…</t>
  </si>
  <si>
    <t>…intendentes y demas empleados que no cumplan Después de una ligera discusión s* leyó la siguiente proposi con sus obligaciones. Y pueden as-.mismo reunir el mando políti ción del Sr. Salva. »Pido á las Cortes concedan al Sr. diputado co y militar de sus provincias como mas convenga á la causa pú Zulueta el permiso que respecto de este Sr. diputado se solicita blica; y cuando no sea posible « conveniente que se reúnan los por el ayuntamiento de…</t>
  </si>
  <si>
    <t>…gobernador do componerse esta de siete individuos, ¿us atribuciones &amp;c. absoluto: al mismo tiempo que te dirijo este eser.to te euv.o con Lado que fue este proyecto le impugnó el Sr. Salva, mani mi secundo caballerizo , un caballo ricamente enjaezado de los que festando que hacia muchos días tenia pensado hacer una proposi citan destinados para mi uso particular. Muéstrate.a fin de que yo ción para que se extinguiese la dirección general de est…</t>
  </si>
  <si>
    <t>…eos versaciones; ¡quién se atrevió á decir una sola veidad á Carlos iv de directores continuaran sin sueldo alguno. mientras tuvo á su lado al perverso Godoy! Los zelosos minis El Sr. Salva impugnó el artículo , y fue de opinión debia re tros que quisieron descubrir al Rey las profundas llagas del Es tirarse. tado fueron sacrificados á la venganza del ambicioso privado, el El Sr. Pedralvez contestó) á las varias observaciones que se cual tuvo ba…</t>
  </si>
  <si>
    <t>…nto que se deben dar es Morales y Laborde Colombia concluye muy en breve, á pesar de tas corporaciones entre si. la suma escasez en que nes hallamos de todos recursos, con espe El Sr. Salva manifestó que aunque él era opuesto á los tra cialidad de fusiles. (Carta partt -ala' tamientos, la gerarquía de estos estaba ya introducida, y era se gún la suposición del empleo que se sirve ó según el sueldo que Los periódicos de Londres que hemos recibido…</t>
  </si>
  <si>
    <t>…ba el objeto propuesto por el autor de la Estará ademas soberbiamente iluminado , y reuniendo , como re adición. unirá , toda la nobleza , la hermosura, y la elegancia de la me El Sr. Salva, como individuo de la comisión , apovó el dicta trópoli presentara un golpe de vasta tan magestuoso como bri men de esta , manifestando que la comisión reconocía el derecho llante; y si atendemos'"»! vivo interés que excita el motivo de es de propiedad en cua…</t>
  </si>
  <si>
    <t>…leyó la décimaquinta facultad y tratándose en el articulo 108 del reglamento de ofensas perso de las Cortes. nales , creo que debe sobreseerse en este asunto .teniendo entendi El Sr. Salva manifestó que por su parte retiraba la segunda do el Sr. Paterna , y sin que se ofenda su orgullo , que por mu parte de la proposición; pero los demas autores de ella no convi cho que valga su opinión , vale mas !a de la mayoría de los dipu nieron en esta sup…</t>
  </si>
  <si>
    <t>…nistros fanáticos ele Jas Tullerías. nor Sepilen, 29 el Sr. Llórente, ; el Sr. Valde» Busto», 3 el El paps'l austriaco no llalla compradores en Inglaterra , por Si. Seivato , 4 el Sr. Salva, : ei Sr Ierre: ¿ D. JoaqumN : el que es imposible que aquel Estado tenga crédito después que se Sr. Ovaíle, y uno respectivamente los Sve» Tomas . Ra e d. !a llan reducido ( con arreglo á un convenio según se dice) a tres Vega, Alaran . Galiana . Ar-uFics, A…</t>
  </si>
  <si>
    <t>…seleyó el'decreto de i.° de Enero . cional-, pero yo creo que solo lo es la base, pues el determinar de 1812. , . quién ha de calificar la propiedad, en qué ha de consistir es El Sr. Salva propuso una modificación á la proposición. ta &amp;c. para poder ser elegido diputado , esta es una ley de cir El Sr. Rico manifestó qué la aprobaba con la modificación cunstancias , que acaso podrá variarse en adelante. Por todas propuesta por el Sr. Marau. esta…</t>
  </si>
  <si>
    <t>…haberse subido el precio de los comestibles. Aprobado. La comisión segunda de Hacienda, en vista de una adición Hoy se han cerrado las sesiones de la legislatura ordinaria efe del Sr. Salva al dictamen de la misma, sobre el sueldo que de 1823 , á cuyo solemne acto han acudido SS. MM. y AA. acom berán uozar los ex-ministros, opinaba que no debian percibirlo pañados de la comitiva de costumbre , y de una brillante escolta aquellos ex-ministros que…</t>
  </si>
  <si>
    <t>…o sin una proporcionar los recursos necesarios para sostener la defensa de la expresa autorización de las Gates. Que en la marcha común dj isla Gaditana; acarea de lo cual dijo el Sr. Salva que le parecía las cosas no podian dejar de surtir su efecto las concesiones darlas conveniente que las Cortes ampliasen al Gobierno hasta el extre por las Cortes antes de ahora; pero que se trataba de un caso ex mo que proponia la comisión , las facultades p…</t>
  </si>
  <si>
    <t>Salva, Ale</t>
  </si>
  <si>
    <t>Ale Salva</t>
  </si>
  <si>
    <t>…r, ruso. Este es el departamento que la conspiración contra la Ingla Velasco y Escovedo, y uno cada uno de- los Sres. Arguelle:., terra tramada por la santa alianza ha señalado al emperador Ale Salva , Munarriz, Ruiz de la Vega, Garoz , Zulueta y Cuadra. jandro ; el cual debe empezar sus trabajos luego que Luis comple En ¡a votación para quinto individuo no hubo elección, por te su obra de sojuzgar la España, Portugal y la América del Sur. no reunir mneun…</t>
  </si>
  <si>
    <t>Salva, Vicente</t>
  </si>
  <si>
    <t>Vicente Salva</t>
  </si>
  <si>
    <t>…rios á los se nal del Consulado nacional de comercio de esta plaza , y del ñores D. Francisco de Paula de Soria, diputado por la provincia superior juzgado de Alzadas. de Granada; D. Vicente Salva , diputado por la de Valencia; Jó. Mateo Miguel Aillon, diputado por la de Sevilla, y Don Certifico, que por decreto de dicho tribunal de 27 del cor riente en autos núm. 54 de este año, que son de concurso de Gregorio Allonso , que Jo es por la de Canarias. a…</t>
  </si>
  <si>
    <t>Salvador</t>
  </si>
  <si>
    <t>…e Toro. El subteniente de id. Don en el caso de acceder á esta solicitud. Aprobado. Fantaleon Rodriguez. Paisano D. Ramón Sandoval. La misma comisión, en vista de la exposición de D. Salvador __Los quintos del batallón de nuestra milicia salieron el y para Martínez, oficial que fue de la extinguida contaduría de Valen Cartagena. cia , en la que pedia se le habilite para poder obtener destino con ■ Málaga 13 de Majo. el objeto de poder reintegrar á…</t>
  </si>
  <si>
    <t>…tugueics co D. Jos'f de Resurta, D. Josef Dionisio de Ugarte, D. josef meterían el mas craso y mas funesto error en política, si sepa Pascual de Guillenea, D. Josef María Miranda, D. Salvador rando su causa de la de los españoles creyesen poder conservar su de Oria, D. Matías Olave, y D. Félix Josef Reinoso, para ca libertad al mismo tiempo que zozobraba Is nuestra. Los intereses lificar un artículo del Constitucional de Cádiz de 26 de Febrero con…</t>
  </si>
  <si>
    <t>…dictamen ponemos el puñal en manos de que un hombre con una salud tan delicada tuviese un fin tan des unos españoles para que lo claven en el pecho de otros: esto es graciado? El general Salvador, buen español, bajó al sepulcro lo que resulta de las guerras de empteos. sin remordimiento alguno de conciencia. Por todas estas razones y otras que manifestó , dijo que no El Sr. Secretario de Gracia y Justicia: El Gobierno tomó debía aprobarse el proyecto.…</t>
  </si>
  <si>
    <t>…y po general para cv.tar las reacciones mas sangrientas.” nerse á trabajar , saliendo de ella para volver á tomar el camino. lieipuata. Asi que, Señores,'la desgraciada muerte dei general Salvador no Todo el mundo sabe que la parte mas sana del pueblo de puede verse sino como efecto del mucho trabajo y de su salud Madrid, Ja que tiene educación, probidad, luces, patriotismo, delicada. amor al orden, en fin la que constituye la base fundamenta! de Contr…</t>
  </si>
  <si>
    <t>…. el prudente y benéfico intento de aca •aveat que me habéis hecho con ios demas secreta'ios de Estado bar con la revolución en su origen, haciendo desaparecer para y del Despacho D. Salvador .Manzanares , D. Lr.mcbeo Osorio, siempre los motivos que la produjeron , que no fueron otros que í&gt; Joref María Cnlatravq, D. Juan Antonio Yandiola , Don la falta de seguridad pura la propiedad y para las personas, y ía Manuel d - la Puente y D. Francisco Fe…</t>
  </si>
  <si>
    <t>Salvador, Estanislao Sánchez</t>
  </si>
  <si>
    <t>Estanislao Sánchez Salvador</t>
  </si>
  <si>
    <t>…plan , y de la que no cabe duda se se clarado por las Cortes se formó al ex-secrctario del Despacho de la paró Bessieres, quedando mandada por el Royo, llamado Capapé. I.a Guerra D. Estanislao Sánchez Salvador , sobre infracción de Constitu división del general O-Dali dormirá hoy en Berlanga , y la he dado ción y de ley en la que se siguió contra el brigadier D. Francisco orden para dob'ar la marcee cuanto sea posible. Dios guarde á V. E. Serrano , el teniente coro…</t>
  </si>
  <si>
    <t>…y. patriotismo que ha vamente para la compra de los bienes que se expresan en el ar acreditado durante el tiempo que lo ha servido; y nombro al ticulo 2.0 inspector de infantería D. Estanislao Sánchez Salvador para que Art. 8.° Se declaran puestos en venta por su valor actual los le sustituya en la misma calidad de interino Iwsta la llevada deL dichos bienes para extinguir este servicio. propietario D. Alamino Zorraqum. Tendreislo entendido, y</t>
  </si>
  <si>
    <t>…as contribuciones ya conocidas, para proponer sobre ellas los A la1 comisión de Hacienda una exposición de la viuda de medios de cubrir el déficit á establecer otras nuevas; y las D. Estanislao Sánchez Salvador, secretario que fue del Despacho circunstancias exigen que el Congreso legitime lo que se está de la Guerra, acerca de la viudedad que la corresponde. practicando. Los ejércitos están viviendo sobre los pueblos, y no Se aprobaron varios dictámenes de la comis…</t>
  </si>
  <si>
    <t>Salvador, Ramón Sánchez</t>
  </si>
  <si>
    <t>Ramón Sánchez Salvador</t>
  </si>
  <si>
    <t>…menos de repetir lo que ha dicho el se El Gobierno ha recibido noticias oficiales de Pamplona. Se ñor secretario de la Guerra , á saber: que el Gobierno ha visto gún manifiesta el gobernador D. Ramón Sánchez Salvador, el con la mayor estrañeza el dictamen de la comisión respecto de espíritu de la guarnición era excelente, á pesar de notarse alguna la proposición dej^Sr. Marau. La proposición hecha por el se escasez de recursos pecuniarios: las intimaciones de los francese…</t>
  </si>
  <si>
    <t>…dominan á Peñíscola. Olvidados de su devastación, Capitulación de la plaza y ciudadela de Pamplona hecha en se apresuran á reconocer á V. A.-Si con los irías tiernos sentid tre el Sr. D. Ramón Sánchez Salvador, brigadier de los ejérci mientos de gratitud y veneración por la beroicídad y constancia tos nacionales, comandante general de la provincia y goberna con que se ha empeñado en la libertad y restablecimiento al tro dor de Pamplona, y el Mariscal de campo Barón…</t>
  </si>
  <si>
    <t>Salvador, Sánchez</t>
  </si>
  <si>
    <t>Sánchez Salvador</t>
  </si>
  <si>
    <t>…pez-hafios con fecha desde Sevilla de ití del corriente =-En la madrugada dei dia de ayer se ha haiiado muer cuvo estractoes como &gt;igne: ”Eslc general continuó su to cu su casa al señor Sánchez Salvador, ministro movimiento acia Sevilla después de haber tenido noti interino «le ia Guerra , el cual se halda degollado con cia de los acontecimientos tlel 11, y de la entrada de una navaja de afeitar. Es tanto mas es*.raña esta fu los franceses en Andalucía. El i…</t>
  </si>
  <si>
    <t>…o de sus compañeros, principalmente en asuntos de en acaso a! poder judicial; tidadEl orador contesto á otras observaciones hechas por el señor En dos papeles que dejó escritos el general Sánchez Salvador, Blake , y concluyó pidiendo que S. S. examinase con calma el y que yo he visto, confiesa que no tenia ni culpa ni delito por proyecto de la comisión. la que tuviese remordimientos de conciencia. Dejó de existir El Sr. Buey impugnó el proyecto porque lo creyó…</t>
  </si>
  <si>
    <t>Sálvalo</t>
  </si>
  <si>
    <t>…Diputación permanente. tre tanto faltaría al mas sagrado délos deberes, como español y como di putado de la Nación , si en este momento no esforzase mi débil voz par» Se leyó. Él Sr. Sálvalo levé) el proyecto de contestación al discurso de S. M., anunciar que la Nación se halla en el cráter de un volcan; que los momen presentado por la comisión especial nombrada al efecto. Quedo sobre Ja tos son preciosos; que está tramada una conspiración igual…</t>
  </si>
  <si>
    <t>…estino contraerá matrimonio con la Prin^sa Carolina de De la universidad de segunda y tercera enseñanza'de Barcelona, porTuviera, hija del Rey , y gemela de la princesa Amalia. el Sr. Sálvalo. El Rey de Ñapóles continúa cu esta capital. De los ciudadanos que componen el cuadro de la milicia nacícna! acti ALEMANIA. va de Fieucras, 53 de ¡inca, por el Sr. Prat. Se levo un olido del Sr. secretado del Despacho de Gracia v ju-t era, Francjort i*, de Fe…</t>
  </si>
  <si>
    <t>Salvato</t>
  </si>
  <si>
    <t>…nes; pero estas crismas las purd- tener cadqdera a quien le botado; y si no, «s un ente perjudicial. toca ¡a tuerte de soldado , y no por eso se le permite elegir cuerpo. Bueno El Sr. Salvato: Cuando veo que se trata de los heroicos milicianos que seria que cuando á un soidado se 1- destina á un reeímiento dijese : yo me se hallaron el dia y de Julio delante del símboio de nuestras libertades; he enganchado tn este, y vd. no puede disponer de mí.…</t>
  </si>
  <si>
    <t>…de Barcelona y- todas las demás, faltas de este ramo de primera necesidad; y por lo mismo desaprobó el que se man.Testase- des CAPITULO PRIMERO. agrado al citado ayuntamiento. El Sr. Salvato apoyó las razones expuestas por el Sr. Adan; De los gefes políticos superiores. añadiendo que un ayuntamiento que tan grandes sérveos tiene Art. 135. En todas las provincias habrá un gefe superior hechas ú ¡a libertad no podía menos de haber infringido la ley…</t>
  </si>
  <si>
    <t>…e han impugnado ei dictamen por el expediente que había dado ¡usar á este dictamen. su índole natural se han inclinado mas al bien que al mal. La También se leyeron á petición del Sr. Salvato los artículos Nación se encuentra en una escasez absoluta: no tiene con que 2.0 y 5.0 del decreto de 8 de Febrero d;t año pasado. dar pan á la tropa que tiene en Cádiz y en la Isla; pide dinero, Después de varias aclaraciones hechas por el Si. Zulueta, exi se…</t>
  </si>
  <si>
    <t>…fiesten pruebas, y iuego condecoraciones del Gobierno francés ó de estos traidores, que á dé cuenta al Gobierno. ■la sombra del Gobierno francés se pretenden llamar Gobierno de El Sr. Salvato dijo que podía redactarse la cláusula dé que se España, sino que se extienda á los que obtengan condecoraciones trataba en estos términos: «Los gefes pórticos y Jas autoridades de Jos Gobiernos aliados á la Francia que en adelante no reco localci realizarán l…</t>
  </si>
  <si>
    <t>…n; por cura razón crv a que e-taria mejor de Sesión del día ¿y. cir v heroica” ii otro nombre que la com s o:t irucue oportuno. Se leyó y quedó aprobada el acta de la anterior. El Sr. Salvato apovo la idea Je i Sr, Alunan-',-. Se aprobaron x-arios d.ctánrenes de la comisión de Legislación Los señores de la com.sion . después de manifestar los servi sobre dispensas de edad jpara virios objetos. cios contraídos por ¡os habitantes de \ al mea, se cor…</t>
  </si>
  <si>
    <t>…iputado su discurso, tomó la palabra el Sr. Ar pediente para que obre con arreglo á las facultades que tiene. guelles , y contestó extensamente á las objeciones que habia hecho El Sr. Salvato: La comisión ha sido nombrada para dar su el Sr. Falcó, al dictamen.. dictamen sobre este asunto , y de consiguiente encontrando cul Por las mismas razones que manifestamos en nuestro núme pabilidad como la encuentran no puede menos de dar su dicta ro de ayer…</t>
  </si>
  <si>
    <t>…smo solo que se expresase haber sido aprobada por unanimidad , dijo el se comprende á los desertores desde 30 de Abril último. Quedó ñor Vargas que él no la aprobaba. aprobado. El Sr. Salvato dijo: Pido se exprese en el acta que solo un Se declaró haber lugar i votar en la totalidad sobre el pro señor diputado no ha aprobado esta proposición. j yecto presentado por la comisión de Guerra acerca de las propo El Sr. Albear: Yo he aprobado ia proposic…</t>
  </si>
  <si>
    <t>…r unanimidad , dijo go como vió cometer al Gobierno intruso y tirano el intimo el Sí. Vargas que él no la aprobaba. y mas atroz atentado, destronando y sacando precipitadamente El Sr. Salvato dijo: Pido se exprese en el acia que solo un preso á puestro muy amado Monakca el Sr. D. Fbrn.vnixj vn, señot d putado no ha aprobado esu proposición. nuestra Sra. la virtuosa Rhina y Sres. Infantes y Esposas con El Tr. Aibt^ir; Yo hs,aprobado la proposición;…</t>
  </si>
  <si>
    <t>…utoridades que la representan la menor pane, obliguen á tomar tituya a] artículo lo propuesto por su Señoría. esta disposición. Los extiángeios que quieran hallar asilo en Espa El Sr. Salvato dijo que este artículo era contrario al 37J de ña lo hallarán siempre que se conduzcan bien; ipero cree el la Constitución , porque se establecía una revisión ó examen pre Sr. Alaran que al favor de esta ley de asilos no puedan introdu liminar que resultaba e…</t>
  </si>
  <si>
    <t>…nlorme pedido trata la restricción 10 del art. 172 de la Constitución; por cuyo al supremo Tribunal de Justicia, relativo á una proposición del motivo se opuso a este articulo. El Sr. Salvato impugnó el artículo bajo el mismo aspecto mismo Sr. diputado, pafa que las sucesiones ubmtcstato se extien que lo había hecho el Sr. Oliver , exponiendo que su última par dan hasta el 7.” grado inclusive La comisionóle Comercio habiendo examinado una adición…</t>
  </si>
  <si>
    <t>…ara Inglaterra co Para cuarto individuo quedó elegido ei Sr. Soria por 3: vo mo para los egipcios, poique Ja India correrá peligro desde el tos del total 93, habiendo tenido z6 el Sr. Salvato, 5 ei Señor momento que Constantinopla llegue á ser la capitaL del imperio Valdes (D. Dionisio), 2 cada uno de los Sres. Feirer , Oliv-.r, ruso. Este es el departamento que la conspiración contra la Ingla Velasco y Escovedo, y uno cada uno de- los Sres. Argue…</t>
  </si>
  <si>
    <t>Salvé</t>
  </si>
  <si>
    <t>…os autores de acudir á la imprenta na cerrado tale en la imprenta nacional. A fuerza de decir mucho cional. Si fuera esto cierto no existirían en el despacho y alma nada prueba el Sr. Salvé. En verano se abre el despacho para cenes de la imprenta nacional tantas obras de particulares, fuera la venta de gaceta á las siete de la mañana hasta la una; por la de otras muchas impresas en la misma , y que se venden en otras tarde desde las cuatro hasta…</t>
  </si>
  <si>
    <t>…ndieren, sabed: Que las Cortes han rección de estudios ha de subsistir ó no , punto en el cual se ha decretado lo siguiente: Las Cortes, usando de la facultad que se extraviado el Sr. Salvé: tampoco sobre si debe haber reglamento, Ies concede por la Constitución, han decretado: porque supuesta la existencia de la dirección general, es claro que Articulo i.° Se declaran corrientes para los efectos que se debe estar sujeta á algunas reglas. ñala e…</t>
  </si>
  <si>
    <t>Salví</t>
  </si>
  <si>
    <t>…por el mismo. provincia de Casteljon. De la milicia nacional local voluntaria de Leganés, por el Sr. Mo Del ayuntamiento constitucional y milicia voluntaria de Denla, reno. por el Sr. Salví. Del ayuntamiento y milicia de Rioaeco. Del intendente y demas empleados de la hacienda pública en la ciu Las Cortes las oyeron con agrado, y mandaron m insertasen en el dad de Toledo, por el Sr. Villanueva. diarioDel sefe, secretario, oficial primero y demás…</t>
  </si>
  <si>
    <t>Sama-, Benito</t>
  </si>
  <si>
    <t>Benito Sama-</t>
  </si>
  <si>
    <t>…servirá avisarlo en la casa y calle del Sacramento, rúna. 3 , cuarton 10 santos, D. Diego Bisadre , D. Gregorio Moreno del Molino, D. Jcnef Ar-as Carvajal', D. Pedro Santisteban, D. Benito Sama- bajo de la izquierda. nieto y D, Josrf de did’- . y previas lis formalidades que previene ha ■ Se halla vacante el magisterio de primeras letras del Picazo (Cuen l y di- ! heríaJ de imprenta, declararon por unanimidad absoluta ha ca 5 , con la dotación de 200…</t>
  </si>
  <si>
    <t>Samaniego, Saturnino</t>
  </si>
  <si>
    <t>Saturnino Samaniego</t>
  </si>
  <si>
    <t>…abandona á los zclos de sus amas. Si hace algún re D. Josef López Orihuehi; segundo comandante de infantería, galo á una de ellas , le da algún gusto, ó le permite ir al baño , al D. Saturnino Samaniego; teniente , D. Ramón Am.indi; subte instante quieren las demas lo mismo, y se confabulan para hacer niente, D. Lázaro I.oaiza; teniente coronel de infantería, D. To causa común. Para que luya paz se ve precisado el polígamo á mas Samper; capitán, I). Antonio…</t>
  </si>
  <si>
    <t>Sambuy, Berton de</t>
  </si>
  <si>
    <t>Berton de Sambuy</t>
  </si>
  <si>
    <t>…aña dé Nuria, donde llegaron el *3 del corriente á las netti, encargado de Negocios del Emperador de Alemania, y el tres de la tardé, pasando la noche en la ermita y cerca con Sr. conde Berton de Sambuy, también encargado de Negocios tigua. El 14 por Ja mañana dejaron esta posición ; dirigiéndose del Rey de Cerdeña. por la montaña de Erque, atravesaron con mucha precaución, y por caminos casi impracticables, á fin de no ser descubiertos; 1.1 ¿vigencia ue«---…</t>
  </si>
  <si>
    <t>Sampayo</t>
  </si>
  <si>
    <t>Gaceta de Madrid n.º 93 (extraordinaria)</t>
  </si>
  <si>
    <t>Núm. 9. C * cuartos. ]&gt; 2g GACETA EXTRAORDINARIA DE MADRID DEL LUNES 9 DE JUNIO DE 1823. ARTICULO DE OFICIO. PORTUGAL. Lisboa 28 de Mayo. El brigadier Sampayo, comandante del regimiento de infantería rúm. 23 , recibió orden del Gobierno en la madrugada del 27 para que saliese de la capital a dirigiéndose á la provincia de Beira, en donde debía reunirse al ejército de observación: lo verificó inme diatamente * y sal…</t>
  </si>
  <si>
    <t>Sampayo, Josef de Sousa</t>
  </si>
  <si>
    <t>Josef de Sousa Sampayo</t>
  </si>
  <si>
    <t>Nútn. 13... (2(i cuartos.)cuartos.) 39 GACETA EXTRAORDINARIA DE MADRID DEL JUEVES, n SE JUNIO DE 1823. NOTICIAS DE PORTUGAL RECIBIDAS DB OFICIO, V OTEAS CON CASACTEJl DE TALES. El brigadier Josef de Sousa Sampayo, comandante del regimiento de infantería ném. 23, y el coronel Dautel , comandante de de caballcría núm. 4, acompañaron á S. A. S el Sr. Infante D. Miguel á Villaftanca el día 27 del mea pasado, quien publicó luego una proclama. El general Manuel Ignacio Mart…</t>
  </si>
  <si>
    <t>Sampcr, Francisco</t>
  </si>
  <si>
    <t>Francisco Sampcr</t>
  </si>
  <si>
    <t>…tario de Estado y del Despacho de la Guerra ha y saliendo de Jijona la larde del 2 para Tibí, recibí allí parte recibido el oficio, que ccn fecha 4 dd corriente le ha dirigido del coronel D. Francisco Sampcr de que la justicia de Viliajo- ¿I comandante general interino de la provincia de Murcia, dan yosa avisaba que el enemigo amenazaba desembarco por aquella do cuenta de que el dia 27 de Julio próximo anterior se 'reci parte : previne al expresado gefe que dejan…</t>
  </si>
  <si>
    <t>Samper</t>
  </si>
  <si>
    <t>…r entiaron [os otros 36 en Valladohd. dado al general Prats, por el acierto con que comunicó sus ins La brillante conducta de estos ¡cales vasallos y defensores del. trucciones al coronel Samper, y á los gefes y oficiales y tropa Rj:v no necesita mas recomendación que la sucinta exposición que han concurrido á esta gloriosa acción, las debidas gracias de lo ocurrido. Me lisonjeo que el Gobierno no dejará en el ol en nombre de la Regencia del Reino y…</t>
  </si>
  <si>
    <t>Samper, Francisco</t>
  </si>
  <si>
    <t>Francisco Samper</t>
  </si>
  <si>
    <t>…vando la Constitución, o á triunfar con ella. Idem del Pino: D. Francisco Cabrio!, z: D. Juan Sala. = Lí Sr. Marau manifestó, que por su parte no tenia inconve D. Josef Garriga. = D. Francisco Samper.= D. Pedro Ber niente en subrurar en lugar dei término de las 48 lloras las si nardo Ala. — D. Juan Pablo Ferrer. =D. Narciso Vivar. = guientes palabras; » en ei término mas breve posible.” D. josef Pineli. Declarado el punto suficientemente discutido, se apr…</t>
  </si>
  <si>
    <t>Samper, Francisco Puig de</t>
  </si>
  <si>
    <t>Francisco Puig de Samper</t>
  </si>
  <si>
    <t>…nta genera! ds cieron sobre la villa de hadaba el día 15 del corriente. Asi que el co todas los acreedores. Para ser admitido* presentar m anc c galamente ronel gefe de la columna D. Francisco Puig de Samper tuvo noti los documentos de crédito que tengan otorgado* ñor la consis-on extin cia del movimiento de los facciosos, dispuso la ocupación de los pun guida, y los que no los tengan habrán de acreditar los suyos a juicio tos señalados á cada uno de los de su co…</t>
  </si>
  <si>
    <t>Sampere, Francisco</t>
  </si>
  <si>
    <t>Francisco Sampere</t>
  </si>
  <si>
    <t>…olverán á experimentar que nunca transigimos con Idem del Pino: D. Francisco Cabriol, D. Juan Sala, D. Joséf la iniquidad ni con nada de cuanto pueda comprometer nuestro: Garriga, D. Francisco Sampere, D. Pedro Bernardo Ala, Don honor ni el decoro de la gran nación que ha 'puesto en nuestras Juan Pablo Ferrer, D. Narciso Viver y D. Josef Pinell. manos sus destinos. Aqui verán una y otra vez disueltas sus in Idem de S. Juan: D. Pedro Bori. 1 trigas las mas…</t>
  </si>
  <si>
    <t>San</t>
  </si>
  <si>
    <t>…gar á las manos cotí ésta infame Instrucción pública. canalla. El comandante de la columna Valdés recomienda particuLár’ mente en esta acción al capitán del regimiento del Infante D. San - Hasta el dia 31 del corriente inclusive estará abierta la matrícula tiago Gutiérrez , a! alférez del mismo D. Antonio T.oresecha, al te como los años anteriores para la enseñanza que en seguida se expresa, niente de la milicia activa de Arando D. Donato Gon…</t>
  </si>
  <si>
    <t>…nduc:a , se suplica á la persona en cuyo poder teceta ; en el concepto de qua pasado el término, y no presentándose el hallaren los entregue 3 dicha Doña Rita de Udi ó al referido D. San interesado , se llevará á su debida egecucion. tiago Salanueva, que vive,calle del Duque de Alba , núm. 27, cuaito Por traslación de D. Blas Damian de la Vega á la judicatura de 3/’, y se le dará una gratificación. primera instancia de Reus ha quedado vacante…</t>
  </si>
  <si>
    <t>…stando que habiendo sido agregado á la expresada coiné, ion nes batió á las tropas columbianas del mando de Urdaneta, Cle por orden de las Cortes el teniente coronel de artillería D. San mente y Montiila. De resultas Pacz se habia retirado á Valencia, tiago Piñeiro, y creyéndolo actualmente el inspector general de abandonando á S. Carlos y todos los llanos. esta arma necesario para otro servicio, resolviesen las Cortes si El Mercurio de Chile…</t>
  </si>
  <si>
    <t>…que rallos. experimenten los invasores.__Publican los periódicos ¡a intima En Petersburgo se había establecido por orden superior una ción de Moncey á Figueras, y la respuesta del gobernador San ____ _t j_ _ .. _ . 1. _1*_' 1 ___ •cscuciil Lie ciibCisuiiZa xiiiuUd jjciia ¿kj liillUb : id puiieia amuiu ¿uaji— Miguel.__A cada -■ leguas que adelantan los invasores, thee un dado cerrar 152 fondas y hosterías de 182 que había. Aseguran periódico ingles, n…</t>
  </si>
  <si>
    <t>Sán</t>
  </si>
  <si>
    <t>…ano Valdes, diputado á Curtes, pre aplausos lie los señores diputados y espectadores sidente ; D. Gabriel de Ciscar, consejero de Estado, Se matulo insertar en el acta el voto del Sr. Sán y D. Gaspar Vigodet , también consejero de Estado. chez , contrario ai nombramiento de la Regencia Quedó aprobado este dictamen. provisional. El Sr. Riego pidió que inmediatamente prestasen Entró ¿ jurar el Sr. líigodet, nombrado indivi el juramento prevenido en la Constitución…</t>
  </si>
  <si>
    <t>…us redactores aparezcan lo que son, y se apre la misma pagaduría. cien en lo que valen; porque asi como mienten con tanta impu Todo Cádiz se acordara del papel que dejo escrito ei Sr. Sán dencia con respecto á Cádiz , todas las personas existentes en esta chez Salvador la noche fatiu en que se qu.tei la v.da : alia va la ciudad deben inferir que mienten igualmente cu nido hablan de traducción que ha hedió de el la Cotia.ana. los otros pueblos…</t>
  </si>
  <si>
    <t>San, Felipe</t>
  </si>
  <si>
    <t>Felipe San</t>
  </si>
  <si>
    <t>…tos y dito público. Al Teniente general Barón de Eróles Capitán ge plazas adyacentes, nuevamente retocado, y aumentadas Jas cor neral dél Principado de Cataluña; al de igual clase D. Felipe San taduras y fortificaciones hechas posteriormente en algunos de es Marcq para la capitanía general de Valencia, y para la de Cas tos puntos: un pliego de marca mayor: su precio 20 rs. vn. Se tilla la Vieja al de la propia clase D. Carlos O’Donell. hallará en el…</t>
  </si>
  <si>
    <t>San, Ignacio Andrea y</t>
  </si>
  <si>
    <t>Ignacio Andrea y San</t>
  </si>
  <si>
    <t>…sita en la calle'de S. Mateo de habiendo sido por la afirmativa D. Isidro Gallardo, D. Juan Evaristo esta corte, por D.A. L. Bajo el nombre modesto de geografía astronó Castellar, D. Ignacio Andrea y San» y P. Serafin Bacigalupi, y los mica se hallan incluidas en este tratado todas las teorías que compren restantes por la negativa. Barcelona 14 de Eneio de i823.z=lsidro de Ja ciencia de los astros. El objeto del autor ha sido poner á los Gallarda s Agustín Ya…</t>
  </si>
  <si>
    <t>Sán, Joaquín</t>
  </si>
  <si>
    <t>Joaquín Sán</t>
  </si>
  <si>
    <t>…bién en las en Por providéncia del Sr. D. Tadeo Ignacio Gil, Alcalde de comiendas , es un medio infalible para contener los funestos pro Casa y Corte, y escribanía de provincia de D. Joaquín Sán gresos de las tjocírinas del siglo. Asi como la Compañía de Jesús, chez, se ha vuelto á señalar de nuevo el dia 7 dei próximo que había sabido conciliar en sur colegios , una instrucción bri Enero de 1814 á las 12 de su mañana en su audiencia y escriba llante…</t>
  </si>
  <si>
    <t>San-rasgado, Juan</t>
  </si>
  <si>
    <t>Juan San-rasgado</t>
  </si>
  <si>
    <t>…vecin tenia á principios del aíld íBao (entre otras cosas en la ¡tenta dario , no puede menos de manifestar á S. A. S. que cuando da elección del comandante general de la AÍanbha D. Juan San-rasgado el velo que cubre la perfidia, aparece esta con los negros chez Cuneros, acreedor á tal honor y á otro mayor por sus dis colares de su justa abominación, entonces se redoblan los sen-' tinguidos conocimientos, virtudes y servicios): y por lo tanto timientos p…</t>
  </si>
  <si>
    <t>Saná, Manuel</t>
  </si>
  <si>
    <t>Manuel Saná</t>
  </si>
  <si>
    <t>…Gonzá También se aprobaron dos dictámenes de la comisión de Legis lez , que ha privado á la Nación de una plaza tan importante, y lación , relativos: el primero á que se conceda á D. Manuel Saná mí de recoger el fruto de un ano-de fatigas y de afanes para g-erman la dispensa de edad que solicita para administrar sus bie evitar las explosiones de tan repetidísimas maquinaciones como nes, pagando los derechos establecidos; y el 2.0 á que se exonere sie…</t>
  </si>
  <si>
    <t>Sanabria, Sancho</t>
  </si>
  <si>
    <t>Sancho Sanabria</t>
  </si>
  <si>
    <t>…. Juan Briz , D. Julián Arias Rabanal , D. Antonio Rodríguez, S. A. R. la duquesa de Angulema suspendería su premeditado viage á es D. Marcelino Garrido , D. Josef Cepeda del Rio, D. Sancho Sanabria, ta ciudad. D. Juan Martin Carnes, D. Jacinto de las Heras, D. Francisco Caldas y Los nceocios políticos de la Alemania meridional no acaban de ada D. Pedro Duran Vera Campo , han dirigido al Rey una exposición, en tarse : se entreve sin embargo que Jos Gobie…</t>
  </si>
  <si>
    <t>Sanche, Francisco de Sales</t>
  </si>
  <si>
    <t>Francisco de Sales Sanche</t>
  </si>
  <si>
    <t>…conde de Floridablanca. ~ El Gobierno ha recibido el parte siguiente. TXIBCjíALES. »»Excmo. Sr.: Para el debido conocimiento de S. M. tengo el honor Por providencia dictada por el Sr. D. Francisco de Sales Sanche»de incluir á V. E. la adjunta copia del parte que acabo de recibir del gene del Aguila, abogado del ilustre colegio de la ciudad de Málaga, alcalde ral O-Dali. Debo creer y creo que á estas horas se hallarán prisioneros, 2.0 constitucional, y juez interino de…</t>
  </si>
  <si>
    <t>Sanche, Vicente</t>
  </si>
  <si>
    <t>Vicente Sanche</t>
  </si>
  <si>
    <t>…mañana z.7 del presente desde las 11 surar la evacuación de aquella ciudad- .Ha marchado el teniente coro de ella en adelante, y por ahora.se hará únicamente en el claustro de nel D. Vicente Sanche;: Cerquera á encontrar al mariscal de campo los Basilios, actualmente parroquia de S. Ildefonso , quedando autori D. Manuel de Velasco , con los priegos que V. E. me ha dirigido zados para dirigirle, por encargo del mismo ayuntamiento , los ciuda paca él, y.u…</t>
  </si>
  <si>
    <t>Sánchez</t>
  </si>
  <si>
    <t>…ner el carácter de inamovilidad que propone ia comisión se les 63; asi qúe.no puedo aprobar este artículo. El Sr. Meca: Verdad es que sí habla mucho de economías, y yo conceda. Ei Sr. Sánchez: En cuanto a! número de oficiales que ia comisión soy el primero qus deseo se adopten cuantas son posibles; pero he vis propone estoy conforme; en cuanto á los sueldos ya se ha contestado to por desgracia qué por el deseo de economizar se originan muchos á mi…</t>
  </si>
  <si>
    <t>…nción del En el primer escrutinio no hubo elección por haber reunido 48 vo papel moneda, y no distamos de creer que pueda realizarse , porque la tos el Sr. Ruiz de Ja Vega y 47 el Sr. Sánchez, reuniendo ios restan cantidad que circula es de poca entidad, y se cuenta con unos fondos tes hasta 11 z los Sres. Ferrer (D. Joaquín), Nuñez(D. Tonbio) - Flo que pueden amortizarla. tes Calderón , Falcó, Escúdelo, Sedeño, Meiendci y Pedralvez. En este suces…</t>
  </si>
  <si>
    <t>…ras obligaciones, r.i el Gob ernó sabe esto , ; cómo ha rarse at.-nduio el estado en que se halla la Nación. venido ahora i proponer que puedan hipotecarse e»t»s mismas cantida Ei Sr. Sánchez: Aunque en lo general el Sr. Adan no ha impug nado e! dictamen de la comisión, sin emb»rgo ha hecho dos observaciodes ! ¡Qué seguridad debe inspirar esta doble hipolr-a a los acreedo res dti Estada 2 Señor, yo veo que nada de esto purd; pioiucir buen nes cont…</t>
  </si>
  <si>
    <t>…nten ven der los frutos á causa de que valen muy poco por su abundancia ; y es en el dia deseamos cubrir. te interes particular impide que los contribuyentes paguen exactamente El Sr. Sánchez: El Sr. Oliver ha reproducido los argumentos que hizo ayer: cree S. S. que no es conveniente ni á la Nación ni á loa las contribuciones en metálico. Yo convengo en que en el pago de la contribución en frutos no te pueblos el medio que la comisión ha adoptado,…</t>
  </si>
  <si>
    <t>…stra eterna ruina. ¡ Y será dos que debian componer la comisión de Poderes. posible que los nombres ilustres délos héroes de la patria sirvan para En primer lugar quedó elegido el Sr. Sánchez por 68 votos, teniendistinguir bandos y partidos; ¡Será creíble que un pueblo libre esté en do 30 el Sr. Veiasco, cuatro el Sr. Soria , cinco el Sr. Marchámalo, choque con los defensores de la misma libertad , contra el heroico ba 3 el Sr. Munarriz, y uno res…</t>
  </si>
  <si>
    <t>…ue pueda;: so Llegada la hora señalarla por S. M. , satiYi la diputación para palacio, brevenirle en lo futuro , y que entre tanto no hay necesidad de pronos y a Ja vuelta dijo el Sr. Sánchez como presidente de tila: &gt;» La diputa ticar. Una misma marera conduce siempre á un mismo resultado.” ron ha cump'ido su encargo, y lia manifestada á S. M. el sentimirn- Las obbvic oríes metálicas que al abr r ia boita estaban de 75 á -ó 10 de las Cortes por l…</t>
  </si>
  <si>
    <t>…iempo á las Qortes del. estado de nuestras relaciones con las po si lo es, no tengo inconveniente en presentarla. tencias extranjeras, tanto enemigas como las que son indiferen El Sr. Sánchez : Las indicaciones que ha hecho el Sr. Argüetes, 6 que aparecen ser amigas, puesto que aliadas no puede de lies las considero yo de la mayor importancia. Se reducen : r.° 4 cirse positiva mente que las hay. De este modo podrá el Concre saber del Gobierno si h…</t>
  </si>
  <si>
    <t>…s no hablan sabido de un Nación cuenta, y las cargas ó contribuciones que esta puede su modo oficial io que acababa de dec rsc, y que por lo misino in frir. Es pues ineficaz; y el Sr. Sánchez, como inteligente en el sista en ia lectura de las memorias. ramo de Hacienda que es su carrera , no dejará de conocer que El Sr. (Jurga: Se puede conciliar lo que desea el señor autor el Sr. secretario de Hacienda tendría que descoser y separar de su de la p…</t>
  </si>
  <si>
    <t>…rar al ritorias-, para que las comisiones que se nombraban antes para Gobierno los recursos que necesita: exa;-.;1 liarlas por separado pudiesen reunirse, á fin de proponer las El'Sr. Sánchez convino en aclarar su proposición según la . medidas legislativas necesarias, para dar acción al .Gobierno, idea del Sr. Canga , á lo.quc se opusieron los Sres. Salva y Nsiy'pone» en movimiento las fuerzas íi.icas de la nación , ente- várro Tejeiro y por últi…</t>
  </si>
  <si>
    <t>…n si la declaración de guerra á la flor Canga, no ha comprendido, como yo entiendo, la idea de Francia supone al 9.0 y ro.° distrito en estado de guerra, porque la proposición del Sr. Sánchez, reproducida ahora por el señor mi opinión es que deben declararse en este estado como rodos Marau. El Sr. Canga ha dado á entender que para que la comi los demas; y diré de paso, con la sinceridad que me es propia, sión de Hacienda pueda proponer arbitrios e…</t>
  </si>
  <si>
    <t>…ud délas facultades Itúrbide. =E1 famoso general Guerrero también ha levantado el «concedidas á los comandantes genérales de los'distritos que coestandarte contra el usurpador. El coronel Sánchez, gran favorito « mo este están declarados en estado de guerra , será fusilado en suyo, marchó contra Guerrero, quien abacercársele 1c mató de « el acto por la tropa que destinaré á éste como á los demás un pistoletazo. Dicho Guerrero está ya en Jalapa con 48…</t>
  </si>
  <si>
    <t>…to á la instrucción pública, y de una Sánchez, se realice dentro de cuarenta y ocho horas.11 (Víase la proposición de] Sr. Romero sobre Jo mismo, opinaba que no de proposición del Sr. Sánchez en la sesión del 23.} En seguida se bía accederse á dicha solicitud. leyó también esta últ’ma. El Sr. Romero i L1 objeto de ia exposición de la universidad El Sr. Zulucta: Como de la comisión de Hacienda debo ha se reduce ¡í que se suspenda interinamente la v…</t>
  </si>
  <si>
    <t>…rtidas, sea cual fuere su objeto, se presenten mañana á las dos de reserva y comandantes militares de provincia.” de Ja tarde en el alojamiento del Sr. gefe del E. M. del egérciEl Sr. Sánchez dijo que esta era la idea de la comisión , y en to , llevando los documentos con que acrediten sus respectivas seguida fue aprobada la medida con la modificación propuesta. comisiones; en inteligencia que el que no lo verifique quedará El Sr. presidente dijo…</t>
  </si>
  <si>
    <t>…y honor que á la felicidad del pueblo espa Cortes que su acuerdo de 23 de Abril, consecuente á la propo ñol; esta invasión subversiva no solo de ¡os derechos délos pue sición del Sr. Sánchez, se realice dentro de 48 horas.” blos libres, sino aun de aquellos principios por nadie controver . Quedó aprobada después de una larga discusión , poniendo tidos que aseguran la respectiva independencia de las naciones y en lugar de las 48 horas *» en el tér…</t>
  </si>
  <si>
    <t>…a nueva resolución de las Couies eon el importe lí te, poderoso y un medio eficaz de conseguir dinero de pronto. quido de los azogues, alcoboiis y plomos de su pertenencia, con El Sr. Sánchez: Me han parecido bastante fundadas las ob el sobrante de las existencias de granos y efectos que tuviere des servaciones que se lian hecho respecto al tanto por ciento que se pués de satisfecha la anualidad de ¡as vitalicias, y con ios crétitos asigna, y yo c…</t>
  </si>
  <si>
    <t>…y brida Se mandó insertar en el acta el voto del Sr. Alix , contrario das, los comandantes generales de los distritos 9° y jo.» ejerce á lo resuelto sobre la dos proposiciones del Sr. Sánchez, relativas rán las funciones de comandantes generales de las divisiones que á la introducción de granos extrangeros. los ocupan, y activarán su organización, disciplina é instrucción. El Sr. presidente anunció que mañana se discutirían los dic — Pedro Viílaca…</t>
  </si>
  <si>
    <t>…as instruyese y remitiese á las Cor nombramiento de diputados y de capitulares, promoviendo con tes. Aprobado. anticipación la convocatoria que haya de hacerse á los ciudadanos El Sr. Sánchez; En la sesión del 3 ó 4 de este mes se ocu del distrito de su mando. paron las Cortes en examinar el dictamen de la comisión de Co Art. 188. Tendrán un secretario con los escribientes que mercio acerca de la introducion de granos extranjeros; la comi sean pre…</t>
  </si>
  <si>
    <t>…ontesto consiguiente no ha podido ser nunca considerada como una Na literal del decreto de 8 de Febrero de 1823. ción suficiente para mantenerse de sus propios productos; pero, El Sr. Sánchez dijo que abundaba en los principios de los se repito, no es esta la cuestión, y procuraré contraerme á ella para ñores Surra y Arguelles; pero que no eran aplicables á estas cir que no se me objete á mí lo mismo que á Jos Sres. preopinantes. cunstancias: que…</t>
  </si>
  <si>
    <t>…estar en Figueras, y cada vez que se aproximar,, miran aquel respectiva para que asi lo verificase. Aprobado. fuerte con horror. Preguntaban dias pasudos ¿ los paisanos si era El Sr. Sánchez: En la sesión del 3 ó 4 de este mes se ocu cierto que los españoles los recibirían de paz; y estos les con paron las Cortes en examinar el dictamen de la comisión de Co testaron que no creyesen tal disparate: su miedo es inexplicable. mercio acerca de la intr…</t>
  </si>
  <si>
    <t>…corta discusión se aprobó el artículo i.°, y Stjion ordinaria dd día ij. en seguida lo fue el 2.0 Se leyó y quedó aprobada el acta de la anterior. Se aprobó también la adición del Sr. Sánchez al art. r,Q des A ¡a comisión de Hacienda se mandó pasar una consulta del pués de las palabras » expedidas en el acto de la introducción’5 pagador de marina. se añadirá; ó por hs hojas de su despacho, siendo de fecha pos Se leyó y mandó quedar sobre la mesa e…</t>
  </si>
  <si>
    <t>…es-. la discusión de este proyecto, porque ei Go CORTES. bierno va á proponer modificaciones sobre algunas leyes prohi i., bitivas. PRESIDENCIA DEL SEÍtOR ÍKRRER C D- JOAQUIN). El Sr. Sánchez dijo que por su parte no tenia inconveniente alguno , y creía que l'a comisión tampoco. Sesión del 51. El Sr. Isturiz expuso que en este caso deseaba que el Gobier no presentase lo mas pronto posihle las modificaciones pro Se leyó y quedó aprobada el acta de…</t>
  </si>
  <si>
    <t>…- rentas públicas, pendiente en el ramo mente cómodo de verificar la lotería: pero que no puede adop de loterías. tarse en España hasta que mejoren las circunstancias, haya con El Sr. Sánchez: El mal de que se ha lamentado el Sr. Sal fianza pública y grandes capitales: entre tanto es preciso ir refre va y otros señores preopinantes es un mal que deploro yo tam nando los abusos ele este ramo, asi como Jos ele todos con pru bién/; pero mientras las…</t>
  </si>
  <si>
    <t>…nrados habitantes de Lisboa, si os habéis conser putados y espectadores. vado durante tantos dias inaccesibles á las pérfidas sugestione*, Se mandó insertar en el acta el voto del Sr. Sánchez , con aunque desprovistos de todos ios medios que conservan lega!men trario al nombramiento de la Regencia provisional te la organización social, ahora cuando se aproxima el momento Entró á jurar el señor Bigodct, nombrado individuo de la de ver nuevamente' r…</t>
  </si>
  <si>
    <t>…y octava. d ’ este ministerio en los sois m tses restantes de i8a5? También retiró la comisión el artículo segundo á Mas si se trata, añidió, que sea año económico, propuesta del Señor Sánchez para presentarlo de también diré ¿por ij :é no se cumple el decreto de nuevo. las Córtes en que se abolió el cómputo de este año, Se declaró comprendida en el art. loo del regla y que las contribuciones y gistes se arreglasen al año mento, y Tué aprobada , un…</t>
  </si>
  <si>
    <t>…gundo decreto sobre las medidas extraordinarias propuestas nación , no obstante- las CórU-s conocerían que era un deber de la por c-1 Gobierno , y á los decretos tus y cuatro. Del Sr. Sánchez comisión no omitir ninguna de las circunstancias agravantes ó ai art. i.° sobre formación de tribunales especiales. Del Sr. Ro ftívolas que se encontrasen ya en el acta ya en los poderes. Que mero ai mismo artículo y al 2 P , y de los Sus. Rodríguez Pa el art…</t>
  </si>
  <si>
    <t>…uido constantes las gloriosas vado ; teniendo también á la vista en todos estos casos el decreto banderas de la nación. con carácter de ley de 28 de este tnes. Voto particular del Sr. Sánchez. 3;0 Mientras no sea evacuada de enemigos la capital de la Yo supongo al Gobierno autorizado, sin previa declaración Monarquía no se consultará ni proveerá plaza ni empleo alguno de las Cortes , para dar por vacantes casi todos los destinos , cu que el Gobier…</t>
  </si>
  <si>
    <t>…e. De consiguiente no es necesario que el decreto o tranjeros, pagando los derechos últimamente establecidos.” diga- Ultimamente el resultado es que se lyata de que en lugar de El Sr. Sánchez dijo que acababa de ver en los papeles públi esta junta directiva, cuyas facultades esenciales están dichas-en so.» cos de hoy que la D putacion piov.neial habla prologado la ad su nombre, quede reducida á ser junta inspectora ó vigiladora. misión de granos e…</t>
  </si>
  <si>
    <t>…o de la segunda, y creo que las curando alejar los abusos que pudieran cometerse en la materia. Cortes no deben aprobarla. 8.° El Gobierno concederá las condecoraciones superio El Sr. Sánchez: El Sr. Becerra está conforme en todo, me res que reconocemos en la gerarquía civil á los generales 'que nos en que los seis primeros meses del año venidero se distribu después de haber obtenido la recompensa en fincas contrajeren yan de tres en tres meses co…</t>
  </si>
  <si>
    <t>Sánchez, Alejandro</t>
  </si>
  <si>
    <t>Alejandro Sánchez</t>
  </si>
  <si>
    <t>…3 quienes resistieron vigorosamente. Francisco Espoz y M¡na—Ex:mo. Sr. secretario del Despacho de la n Al momento que observé este movimiento hice salir á mi ayu Guerra.” » dante D. Alejandro Sánchez, para que con otra compañía desalojase los ANUNCIOS. enemigos que se habian apoderado de la altura y bosque de Camarlon, lo que verificó inmediatamente, haciéndoles retirar 4 la mitad de ta La marquesa viuda de Villafranca , de acuerdo con D. Rafael de sierra…</t>
  </si>
  <si>
    <t>Sánchez, Andrés</t>
  </si>
  <si>
    <t>Andrés Sánchez</t>
  </si>
  <si>
    <t>…ad'de los coruñeses, que ción de dos compañías de milicianos realista* voluntarios, con tiene el honor da representar esta corporación. Ya tío trnien, Se su capellán el presbítero D. Andrés Sánchez, y que inccs»nte man) I dirigirá sus súplica* al Todopoderoso para qu» continúan* ñor, bajo ia podítoj» égida de V. A. 6. y de i bfillaaU y mo</t>
  </si>
  <si>
    <t>Sánchez, Felipe</t>
  </si>
  <si>
    <t>Felipe Sánchez</t>
  </si>
  <si>
    <t>…e españoles? ¿Quién puede estar envuelto Por el juzgado de primera instancia de la ciudad de Toledo en su capa yerto de frió, cuando la sangre y la cólera deben to y escribanía de D. Felipe Sánchez se subastan por 30 dias, con mar una circulación-febrina? ¿No es paia indignarse y acalo tados desde el 18 de Abril próximo pasado, una hacienda raíz rarse ver el' despotismo con que nos quieren poner bajo de los en la población y término del lugar de Nambroc…</t>
  </si>
  <si>
    <t>Sánchez, Fernando</t>
  </si>
  <si>
    <t>Fernando Sánchez</t>
  </si>
  <si>
    <t>…h-ridos , y habérseles El 14 del mes da Maya ar.ti-ior entraron las tro pac nacional-s cogido un cabillo , una corneta, algunos fus.Es y vivires, y haberse en Mair.as al mando del comandante D. Fernando Sánchez ; ci gub-r- dispersado ch: tal modo la facción que cada cab.crüa huye per su ¡.ido. nador insurgente se puso en fuga, y hecho prisionero fue pasado por Por nuestra parí: solo ha habido 4 voluntarios de la provincia heridos, las armas. Han caído en poder de lo…</t>
  </si>
  <si>
    <t>Sánchez, Francisco</t>
  </si>
  <si>
    <t>Francisco Sánchez</t>
  </si>
  <si>
    <t>…asta la sentencia definitiva , habiendo de teniente coronel D. Francisco Matali: capitán D. Pedro Mir: lotificarse ios autos que se proveyeren en los estrados de este tri ayudante D. Francisco Sánchez : teniente D. Martin Bastida: sub bunal , y de pararle estas notificaciones el perjuicio á: que "haya teniente D. Ramón l'uster: sargentos primeros Manuel Toujal y lugar. Cádiz 2 de Agosto de 1823.tr Dionisio Valdés.r= Por:su Francisco Nicolau: id. 2.0 Manuel…</t>
  </si>
  <si>
    <t>Sánchez, Francisco Miraílas y</t>
  </si>
  <si>
    <t>Francisco Miraílas y Sánchez</t>
  </si>
  <si>
    <t>…s luña para reanimar á sus prosélitos; y engañado como siempre muchas y malas heridas que tenia: por su atolondrada imaginación, ha ido á caer por fin en manoá Asimismo el Coronel D. Francisco Miraílas y Sánchez en de las tropas fieles en Aragón; porque Dios también se cansa de oficio de 8 del actual me dice-.desde el pueblo de Sariñena en sufrir á los malos. tre otras cosas, que á las seis de la tarde de dicho dia se des—, El Comandante general del cantón de Chica ,…</t>
  </si>
  <si>
    <t>Sánchez, Joaquín</t>
  </si>
  <si>
    <t>Joaquín Sánchez</t>
  </si>
  <si>
    <t>…s, medio de los papeles públicos de esta heróica villa que en dicho juz asi para montar Jos regimientos como para conducir la artillería,/ gado , y por la escribanía caitularia de D. Joaquín Sánchez, se está si que la adquisición Ce ellos por los medios ordinarios seria demasiado guiendo expediente sobre averiguación de la identidad del cadáver de un lenta y d.ficil, se ha servido resolver , que inmediatamente se proceda hombre que seextrajo ahogado de l…</t>
  </si>
  <si>
    <t>…dad se sostiene medianamente; del próximo Diciembre á las 12 de su mañana en su audiencia y pero las grandes siembras de algodón han desmerecido notable escribanía de Provincia de D. Joaquín Sánchez. mente, pudiendo asegurarse que su riqueza p &gt;r este ramo ha per Los suscriptores á las Poesías de. Horacio, traducidas en ver dido mas de un 5o por 100 anual, á causa de que la misma fal sos castellanos, con not3S y observaciones criticas por D. Javier ta de…</t>
  </si>
  <si>
    <t>…los subordinados Por providencia del Sr. D. Tadeo Ignacio Gil, Alcalde de peruanos á prestar su debido hprnenage, recibir órdenes, deman la Real casa y corte, por la escribanía de D. Joaquín Sánchez, se dar justicia, y solicitar gracias á la antigua metrópoli del Cuzco, ha señalado de nuevo el dia *9 del corriente Diciembre á las do donde desde ci año a i ha fijado su residencia el Tepíente general ce, en su audiencia y escribanía del citado, para el rem…</t>
  </si>
  <si>
    <t>Sánchez, Josef</t>
  </si>
  <si>
    <t>Josef Sánchez</t>
  </si>
  <si>
    <t>…as de salió h;rido;á los tenientes D. Julián Tamayo y D. Francisco Láza esta capital á comprar el impreso, que presentarán en esta secretaría pa ro, y á ¡os subtenientes del mismo D. Josef Sánchez, contuso también, ra extender el correspondiente títmo, que cuidarán de recoger; adviry D. Félix de Hila. El teniente ds voluntarios de Camaraza D. Fran liendo que estando impresas las plantas de estos títulos bajo diferentes cisco Pediois recibió una herida…</t>
  </si>
  <si>
    <t>…or el Sr. Oliver. puso quedase detenido el oficial, que dijo llamarse D. Santos Fidalgo, De los jueces de primera instancia de esta capital, presentada y leí y el paisano , que es D. Josef Sánchez ( que fue ó es todavía cabo de da por el Sr. Castejon. hacheros del segundo batallón de milicia nacional voluntaria) fue Del ayuntamiento de Estepa, por el Sr. Romero. puesto en libertad por el mismo Sr. alcalde. Aun permanecía en este De los individuos que c…</t>
  </si>
  <si>
    <t>Sánchez, Josefa</t>
  </si>
  <si>
    <t>Josefa Sánchez</t>
  </si>
  <si>
    <t>…e mandó pasar á la comisión primera de Legislación un oficio del amenazadas, y prescribirles las reglas de la conducta que deben observar, á Gobierno, acompañando una solicitud.de Doña Josefa Sánchez , para que fin de que contribuyan poderosamente á la defensa general; por lo cual pi su marido el ingeniero D. Ramón Bauza, residente en Rusia , pueda res do á Jas Corres se sirvan acordar que la comisión á que corresponda , oyen tituirse á su patria con todo…</t>
  </si>
  <si>
    <t>Sánchez, Juan</t>
  </si>
  <si>
    <t>Juan Sánchez</t>
  </si>
  <si>
    <t>…ín Dacdtya, D. Joscí Linar- s , D, Policarpo Santistcbm Morale», grandes crisis se desarrolla de un modo fuera del alcance de todo cál D. Nicolás d= Avila., menor, D. Pedro jerez, D. Juan Sánchez, Don eselo diplomático ; y el fucilo alicantino es el tipo del heroísmo. De es Agustín de Entrada , y D. Andr.s Florera. ta verdad respondan los cónsules extranjeros a sqs nacir net «espectivas. Sres. que lo juzgaron injurioso en segundo grado: D. Francisco C…</t>
  </si>
  <si>
    <t>Sánchez, Julián</t>
  </si>
  <si>
    <t>Julián Sánchez</t>
  </si>
  <si>
    <t>…s del cuarto regimiento nacional de Francia. artillería en número de 17 hombree , al mando del capitán del Ahora bien, &lt; será ó no será de ínteres de la Inglaterra el mismo cuerpo D. Julián Sánchez, y otra del regimiento de Bur impedir semejante revolución? Es indudable que su honor y su gos, compuesta de seis hombres, y unos 35 á 40 voluntarios prosperidad se Iwllariáfi sumamente comprometidas sino emplea nacionales, le haría la entrada mas fácil en es…</t>
  </si>
  <si>
    <t>…estros muros Ira malvados, capitaneados por tenido el sentimiento de que haya sido hedió prisionero el bri ese cabecilla Capapé, y círeyéhdó &gt;s Consternados é indecisos con gadier D. Julián Sánchez, que cayó de stt~tabaIlo, y supongo los acontecimientos anteriores, tienen la osadía de intimaros la habrán desde Vitoria continuado su marcha eo la dirección de rendición , prometiéndoosTeme; ^idamente ;no atropellar vues Búrgos. Gomo mis atenciones son vast…</t>
  </si>
  <si>
    <t>…os á todos los refugiados ó de con la noticia de que una brigada del cjircito de Ballesteros, al sertores extrangeros que existan actualmente en España, ose pre mando del valiente general D. Julián Sánchez, se encontró en senten en adelante á defender la causa de la libertad. Arnedillo con una columna del ejército francés; y a pesar de Art. g.° En cada ejército de operaciones y á la inmediación tener esta cuádruple fuerza fue atacada por nuestras tropa» con un…</t>
  </si>
  <si>
    <t>…rechos jurisdiccionales son también mu bia en aquella capital la acción de Arnedillo : pero creían haber chas las arterias de que se han valido los señores para exigirlos á muerto D. Julián Sánchez y tres coroneles tráncese». los pueblos; pero la fuerza de los siglo» ha podido mas que ellas, El correo de Castilla , que el dia ij debía haber llegado i la y en el dia es bien patiinte el origen de esta posesión, o sean de Coruña , fue sorprendido , v robad…</t>
  </si>
  <si>
    <t>…ste en la primera carga de la caballería. primvi distrito militar. A este mismo tiempo fue cargada la columna del brigadier Cumpliendo con lo prevenido en las Reales órdenes de 20 D. Julián Sánchez, que repelió al enemigo con la mayor tena de Enero de 182r , y 7 de Diciembre de 1822 , he acordado la cidad, habiendo tenido la desgracia de perder á este valiente subasta del suministro de pan, paja y cebada para las tropas de gefe, que víctima de su denued…</t>
  </si>
  <si>
    <t>…ob tros enemigos. jeto de entrar en ella antes que los rebeldes portugueses y robar Madrid 8 de Til ¡ya. ía; pero al momento se formo una pequeña columna de 40 hom Tenemos aquí á D. Julián Sánchez, á quien los franceses pu bres de milicia activa de Tuy , de algunos milicianos voluntarios sieron en libertad bajo su palabra de honor. Los facciosos le in de infantería y 30 de caballería, entre ellos, algunos cazadores á sultaron con su acostumbrada feroci…</t>
  </si>
  <si>
    <t>Sánchez, Pedro Fuentes y</t>
  </si>
  <si>
    <t>Pedro Fuentes y Sánchez</t>
  </si>
  <si>
    <t>…en esta capital con su ac mera instancia de la ciudad de Alicante y su partido, autorizada por tual título; pero solsm.-nte en los martes, jueves y sábados de la se el escribano -D. Pedro Fuentes y Sánchez, se cita, llama y emplaza á mana , y en pliego de papel común. En el mismo tamaño se publicará cuantos se crean con derecho á los bienes que han quedado existentes en Sevi la la Gaceta española, estrechando todo lo posible las márge por la muerte intestada de…</t>
  </si>
  <si>
    <t>Sánchez, Ramón</t>
  </si>
  <si>
    <t>Ramón Sánchez</t>
  </si>
  <si>
    <t>…rojados al ordinario, ai Correo de Oporta del níattes aiy de julio, El gene mar á las cercanías del puerto, á saber : ral Morillo llegó ei 2 r al puente oe 6anPayorde donde siguió Don Ramón Sánchez, Tomas Pérez Osorio, Manuel Du .batiendo á los constitucionales hasta Vigo^yr,el, aa se. le espe ran y Juan López , procedentes de Buron. / ■ ;• r . raba en Pontearlas, que dista .dos leguas d$aa}u$slia raya ; Tomas Pita , condenado á dos meses.de prisión, y…</t>
  </si>
  <si>
    <t>Sánchez, Tomas</t>
  </si>
  <si>
    <t>Tomas Sánchez</t>
  </si>
  <si>
    <t>S8fS tituc'on por el correo , francos de portea , i D. Tomas Sánchez dr' Po can en dicha oficina , aunque le procurará custodíalo? todo lo posible zo, secretarlo de la misma diputación , en el termino de i 5 dia» siguien en caso de invasión , ser n de cuenta y riesgo de lo» dueños las r sultai te» á este anuncio. Los tenedores…</t>
  </si>
  <si>
    <t>Sánchez, Vicente</t>
  </si>
  <si>
    <t>Vicente Sánchez</t>
  </si>
  <si>
    <t>…y se hallen siempre prontos para aprovechar cual Ja Cabrera con un ex-guardia deCorps que residía en esta llama quiera ocavon que Jos sucesos ie la guerra les presentaren para do D. Vicente Sánchez que iba capitaneándolos: este traidor fue volver con ¡as demus autoridades á sus puestos, y reponer Jas co muerto á cuch.liadas en e! mismo momento, y todos los demas sas en el estado debido. 2.a Que al mismo fin obliguen igualmen prisioneros con todas las ar…</t>
  </si>
  <si>
    <t>Sancho, Vicente</t>
  </si>
  <si>
    <t>Vicente Sancho</t>
  </si>
  <si>
    <t>…Francia; y el Sr. Barón de Juchereau de neral del octavo distrito y el Brigadier Gobernador de la plaza de $. Denis, Coronel, gefe de Estado mayor de la sexta división, Cartagena D. Vicente Sancho. En Cartagena el dia 3 de Noviem Comendador de la legión de Honor, caballero de S. Luis y del bre de 1823 á las siete de la tarde.znjosef María de Torrijos.= orden de la media Luna Otomana, nombrados y encargados a este Vicente Sancho.—Es copia.—El Gefe de Es…</t>
  </si>
  <si>
    <t>Sanclrez, Julián</t>
  </si>
  <si>
    <t>Julián Sanclrez</t>
  </si>
  <si>
    <t>…donde era gobirnador. Rty , batido á menudo por Ballesteros. general de brigada. Bigarret. Btanchard , gobernador de Madrid. Bona- R ynaud , prisionero cerca de Ciudad-Rodrigo por D. Julián Sanclrez pait:, alias la Irma de Ajaccio, gete de toda esta gavilla de bandidos ei 15 de Octubre de itji r. Rlcad, prisionero con Junot. Rignoux, Rocon bordados Connet, herido en la batalla de Salamanca Bonnard. bsrt. Rochambeau. Rognial. Roize , piisionero con Dupont…</t>
  </si>
  <si>
    <t>Sandatio, Antonio</t>
  </si>
  <si>
    <t>Antonio Sandatio</t>
  </si>
  <si>
    <t>…los Andrés Alcon, D. Miguel Hipa , D. Casimiro Martin , D. Lorenzo encardados, para que comprobándolos con los testimonios, justificación Calvo de Hozas, D. Celestino de Olozaga , D. Antonio Sandatio de y notas, los retengan, abonen á los pueblos su importe (incluso como Arias, D. Gonzalo de Cárdenas. va dicho el coste de la conducción.) , carguen á los encargados en las Habida la conferencia , declararon por unanimidad » haber lugar ¿ cuentas qlie han de…</t>
  </si>
  <si>
    <t>Sandino, Vicente Sánchez</t>
  </si>
  <si>
    <t>Vicente Sánchez Sandino</t>
  </si>
  <si>
    <t>…Cortes del 8 propusieron !a Josef López—Por comandante general de ingenieros á......—Por medida de aplicar los productos de las -fincas del clero á los gastos auditor, de guerra á D. Vicente Sánchez Sandino—Por vicario dé la actual guerra;;p?ro en esto se padeció equivocación , pues general á D., Miguel López de Baños.—Por ayudante de campo el Sr. Latre nes ha hecho saber que no se suscribió á esta propo^- del Excincu Sr., general en gefe el teniente coronel D.…</t>
  </si>
  <si>
    <t>Sandova, Vicrnte</t>
  </si>
  <si>
    <t>Vicrnte Sandova</t>
  </si>
  <si>
    <t>…Petersburgo de 21 de Noviembre dice que el 15 del mis mucha pérdida al repaso dei canal. El gefe de dicha arma, el coronel mo murió en aquella capital el duque de Serra Cápriola , ministro D. Vicrnte Sandova1., ha desempeñado perfectamente e»t- mando, y plenipotenciario de Kápoies. tuvo su caballo her do. La pérdida del enemigo no puede saberse fija mente por la calidad del terreno en que fue la acción , las muchas ace DIRECCION GENERAL DB LOTERÍAS NACIONALES. qu…</t>
  </si>
  <si>
    <t>Sandoval, Josef Alfaro y</t>
  </si>
  <si>
    <t>Josef Alfaro y Sandoval</t>
  </si>
  <si>
    <t>…isco de Paula Borei. D. Francisco Brú de Salas. D. Federico Roncali. Cadetes...................... - Alféreces, 6coo D. Josef Allende. D. Joaquín Roca. D. Josef Moreno y Sopranis. D. Josef Alfaro y Sandoval. D. Pedro Eenavide............................ j Cádiz 20 ríe Julio de 1823. nr Rubricado.r= Es copia. (Si concluirá, j EN LA IMPRENTA NACIONAL.</t>
  </si>
  <si>
    <t>Sandoval, Ramón</t>
  </si>
  <si>
    <t>Ramón Sandoval</t>
  </si>
  <si>
    <t>…anteriormente, opinaba que no se está pitán de M. A. D- Valentin de Toro. El subteniente de id. Don en el caso de acceder á esta solicitud. Aprobado. Fantaleon Rodriguez. Paisano D. Ramón Sandoval. La misma comisión, en vista de la exposición de D. Salvador __Los quintos del batallón de nuestra milicia salieron el y para Martínez, oficial que fue de la extinguida contaduría de Valen Cartagena. cia , en la que pedia se le habilite para poder obtener des…</t>
  </si>
  <si>
    <t>Sangenís, Josef</t>
  </si>
  <si>
    <t>Josef Sangenís</t>
  </si>
  <si>
    <t>…gefes militares y sildo González por la de Soria: D. Antonio Ferrer y D. An políticos, las diputaciones provinciales é intendentes délas provin tonio Roig por las Islas Baleares: D. Josef Sangenís, D. Juan cias ocupadas circulen con toda brevedad por ellas la presente ley. Josef Jaime y D. Manuel Lasala por la provincia de Aragón: Cádiz 18 de Junio de 1823.=: Por tanto mandamos á todos D. Josef Alcántara y D. Miguel Busutil por la de Málaga: Don los tr…</t>
  </si>
  <si>
    <t>…- ejecuciones. ( Gaceta aei 7.) sildo González por la de Soria: D. Antonio Ferrer y D. An Resolución de las Córtes sobre un expediente promovido tonio Roig por las Islas Baleares: D. Josef Sangenís, D. Juan con motivo de un juicio de jurados en Córdoba. (Gaceta Josef Jaime y D. Alanucl Lasala por la provincia de Aragón: del 8 ) D. Josef Alcántara y D. Miguel Busutil por la de Málaga: Don Resolución de las Córtes declarando que no escucharán propo Emetcr…</t>
  </si>
  <si>
    <t>Sanjuan, Josef</t>
  </si>
  <si>
    <t>Josef Sanjuan</t>
  </si>
  <si>
    <t>…omunicareis las Continúan las exposiciones dirigidas 4 S. A. S, la Regencia del órdenes correspondientes á su cumplimiento.crFsti rubricado.= Reino. Palacio 4 da Julio de a8i3.=:A D. Josef Sanjuan. » Sermo. Sr.: Encargado por mis compañeros los grandes de España franceses de recibir su adhesión individual á los princi Habiéndose ocultado diferentes papeles pertenecientes a! go¿ pios de fidelidad y amor al trono legítimo, que manifestaron bierno del Rey…</t>
  </si>
  <si>
    <t>…nage con que el Ayuntamiento d« corresponda—Está rubricado de la Real mano.rrEn Palacio á 20 Vigo expresa sus votos: reine feliz V. M.: consérvese la Real de Noviembre de 1823.ZZA D. Josef Sanjuan.” Familia en su grandeza, y será dichosa la España, como lo espera esta corporación, toda de V. AI. Vigo su Ayuntamiento de 4 de Exposiciones dirigidas al Rzr nuestro Señor. Noviembre de i823.z=Señor.=:A L. R. P. de V. M.=Dr. Pedro „ Señor: La-suerte del raci…</t>
  </si>
  <si>
    <t>…municareis á quienes corresponda para su cumplimiento.=Seiíalado de la Real mano. c=En Palacio í 24 de Noviembre de „Señor: Vuestra ciudad de Manresa, en el Principado de ;í823.=A D. Josef Sanjuan.” Cataluña, que durante Ja ominosa esclavitud de V. M. dirigió sus votos á la Regencia del Reino en los términos que manifies JEl Capitán general de las Islas Baleares D. Josef Tahemer con ta el adjunto ejemplar, no encontró límites con que expresar su . fech…</t>
  </si>
  <si>
    <t>SanjuaneEl, Manuel</t>
  </si>
  <si>
    <t>Manuel SanjuaneEl</t>
  </si>
  <si>
    <t>…o cuidado que el de preparar mi alma para Raseti, mis ayudantes de campo coronel D. Pablo de Echever dar cuenta ;í Dios de mi larga vida.” ría, tenientes coroneles D. Ramón Nadal, D. Manuel SanjuaneEl 19 á lá una y media de la mañana recibió la extrema na, y espitan D. José Maria Cid, me dirigí de frente al centro unción , y luego después perdió el habla; únicamente se advertía del enemigo. En esta marcha fueron vivamente cañoneadas las por algunos sonidos…</t>
  </si>
  <si>
    <t>Sanmar</t>
  </si>
  <si>
    <t>…recibir un pliego del Sr. general de la vanguardia teniente general vizconde Balan, en que me avisa que el 21 del corriente la bu* gada de dragones al mando del mariscal de campo vizconde Sanmar al canzó al enemigo en San Juan del Puerto: se apoderó prim-ramente de 11 piezas de artillería, de las cuales, habiendo sido habilitadas inmedia tamente dos por los mismos oficiales de dragones, sirvieron para batir las barcas, que ya estaban cargadas con otr…</t>
  </si>
  <si>
    <t>Sansebe, Ramón</t>
  </si>
  <si>
    <t>Ramón Sansebe</t>
  </si>
  <si>
    <t>…b se admitiese los. P. Josef Am“is, S. Francisco, P. Lorenzo de Valencia, capu el proyecto, la 1 continuaría siendo gobernada:arbitrariamente: chino , Josef Madalenes , escribano, D. Ramón Sansebe , D. Vicente yo deseando con ri evitar esto, ruego á las Corte* se sirvan-de González , antes Gimeno, D. Toma* Rubio, presbítero , doctor Mi clarar haber lugar á votar sobre su totalidad. guel Cortés, procurador del infantado, D. Josef Marta Criueli, Don Disc…</t>
  </si>
  <si>
    <t>Santa, Francisco Javier</t>
  </si>
  <si>
    <t>Francisco Javier Santa</t>
  </si>
  <si>
    <t>…im- tor de la Calle, D. Vicente Luco , D. Josef Jorge Saen , I). Joaquín prnia , publique y circule. = Está señalado déla mano de S. M. c=En de Francia, D. Juan Manuel Santiago , D. Francisco Javier Santa palacio á 25 de Febrero de i8z3.^=A I). Dion¡sio'Capaz.‘'’ Cruz, D. Juan Cruz Apellaniz, D. Vicente Chasco y D. Josef Andia , calificaron con la fórmula de absuelto el impreso titulado: secun El Gobierno hit recibido el parte siguiente. da conversación entre…</t>
  </si>
  <si>
    <t>Santa, Pedro Serrano</t>
  </si>
  <si>
    <t>Pedro Serrano Santa</t>
  </si>
  <si>
    <t>…r certificaciones de Vitalicios que 5: reraitian por D. Prudencio María malidades que prescriban las leyes, y cometida su distribución á deter Villoslada, vecino de e:ta corte , á D. Pedro Serrano Santa*',la, natu minadas autoridades , á ellas deberán dirigirse los que deseen obteneros. ral de Priego, prov-ncia ti : Córdoba , señaladas con los mírns. 1404, 1405 y 1406 por réditos liquidados desde el año 15 ha:ta a 20 Estamos autorizados para publicar, que de…</t>
  </si>
  <si>
    <t>Santa, Prudencio Hernández</t>
  </si>
  <si>
    <t>Prudencio Hernández Santa</t>
  </si>
  <si>
    <t>…to y yugo. gas , D. Miguel del Pino y I.opez, D. Juan José; del Cabillo, D. Ma Va se sabia la llegada del ministro m&lt;les A Confuí.(inopia , y se tías Olave , D. Clemente Zulueta , D. Prudencio Hernández Santa conc-bian esperanzas de piz, teniendo.as también los griegos de que la Cruz y D. Bernardo de la Peña Díaz , declaró por unanimidad kaht Inglaterra se interesará por ellos. Asi es que el divan estaba ya mas alar lugar á la formación de causa. EN LA IMPRENTA NA…</t>
  </si>
  <si>
    <t>…químicos. sedicioso é incitador á la desobediencia, ¡e reunió ei jurado, compues 4° Finalmente se tomó de la parte inferior de la lava, que aun to de los Sres. D Josef Brnjumrda, D. Prudencio Hernández Santa conservaba el calor del dia precedente, una sustancia salina fi.ifoime, Cruz, D. Juan Bautista Verrnurguia , D. Juan Bautista Alvaneda, dispuesta en forma de pequeñas rosas , que pudiera tenerse por una con D. Joseí María '/¡Baranda, D. Josef Juan de Pujada,…</t>
  </si>
  <si>
    <t>Santa-, Jusef</t>
  </si>
  <si>
    <t>Jusef Santa-</t>
  </si>
  <si>
    <t>…; el corone! L&gt;. Joaquín tjsrna , comandante del qu.mo dis del IV Isla , y dando un Ínteres ititin lamente ratui.r á la chía por 1« trito----Comandante general rtr ingenieros; rl brigadier D. Jusef Santa- nombras propio* de las personas que Isla desli.’snó ccn an.ivrar. a» cruz , comandante del qtnr.Io distrito. __Vicario , general interino el p rfecto». La impresión ele la historia corréela y verdadera de li‘&gt; presbítero L&gt;. A'varo Gayo1__ .Ayudantes dfl gene…</t>
  </si>
  <si>
    <t>Santa-Ana</t>
  </si>
  <si>
    <t>…aná su ocurrencias actuales, palacio los cardenales que quieren Irse á comer á él, después de Tampico 27 de Junio. haber prometido que volverán por la tarde, y ei maestro de ce El general Santa-Ana que se hallaba en San Luis de Po remonias les advierte que el que no trata de continuar lodo el tosí con un débil cuerpo de 2S) hombres, se había dec'arado tiempo que dure el cónclave, según ordenan las bulas, no se independiente del poder supremo de Méjico:…</t>
  </si>
  <si>
    <t>…TICIAS DE ULTRAMAR. Gran Bretaña ha podido dar también al Gobierno turco la seguri TtmpiíO 2 7 di Jur. e. dad de iUí disposiciones. amistosa» del emp.íauoi', y ciC *a .1101—- * El general Santa-Ana que se hallaba en San Luis de Potosí con un débil cuerpo de ;Q hombres, &amp;e había declarado indepen racion que dirige su política. diente del poder supremo de Méjico: este ha enviudo fuerzas con „ S. M. no ha variado en el modo de pensar; ha sabido con sa side…</t>
  </si>
  <si>
    <t>Santaf</t>
  </si>
  <si>
    <t>…de los casos preveni— drá Ja autoridad á quien se conceda esta facultad ? De ningún mo ‘dos por la ley; por esta razón me Opongo al artículo do pues puedo aprobar el articulo. El Sr. Santaf¿: Creo que no nos hallamos en el caso de que A petición del Sr. secretario de Gracia y Justicia se leyó ti trata el art. 306 de la Constitución para la alienación de la casa artículo 306 de la Constitución. de un español, sino de dar facultades á las autorida…</t>
  </si>
  <si>
    <t>Santafc</t>
  </si>
  <si>
    <t>…xtraordinarias, ó si no habrá se provinciales mandándose volver dictamen y voto á la comisión. siones hasta la legislatura de 1824, y por lo mismo parece una Habiendo convenido ei Sr. Santafc en retirar su voto p¿:ííprudente cautela el que los representantes de la Nación atiendan cular , se acordó asi : á lo mas seguro; porque ademas podrá suceder que el Gobierno ac Se mandó insertar en el acta el voto del Sr. Somoza, contra tual no subsista despu…</t>
  </si>
  <si>
    <t>Santafe</t>
  </si>
  <si>
    <t>…ndo 25 años de servicio podrá reurarsesin U requisito de justa cau tición del Sr. Adán, 5; aprobó el artículo en todas sus partís. sa determinada.” Se suspendió esta discusión. Ei Sr. Santafe: Cuando la comisión presentó á la deliberación de las Se mandó tener presente en la discusión una exposición de la ex Corles por primera vez este aitículo me opuse á él por los muchos tinguida junta de reemplazos sobre la pertenencia de unas filmar. perjuicio…</t>
  </si>
  <si>
    <t>…¡l Guallar. Aun Del regimiento de caballería de España, por el Sr. Becerra. 110 lo habían egecutado 20 hombres cuando empiezan á hacernos fuego De la audiencia de Sevilla, por el Sr. Santafe. desde el fuerte á las lanchas que nos aproximábamos: entonces conoci De los jueces de primera instancia de Murcia, por el Sr, Marau. mos que eramos perdidos. Después de haber recibido un fuego terrible Ei mismo Sr. diputado leyó otras que no pudieron entende…</t>
  </si>
  <si>
    <t>…al desechado El Sr. presidente anunció que mañana se discutiría el dictamen de anteriormente por las Cortes. la comisión de Guerra sobre la guardia Real de Alabarderos, y levan El Sr. Santafe contestó que la comisión se habia fundado para dar tó la sesicn á las cuatro. este dictamen en que el intendente de Cádiz, si tenia alguna queja con tra el Sr. Moreno Guerra, debía haber acudido al Congreso para que Primer distrito. (Madrid.) Véase el artícul…</t>
  </si>
  <si>
    <t>Santafé</t>
  </si>
  <si>
    <t>…endo con D; la tertulia patriótica de......, presentada por el fr. Vargas. testado que sí, tomó la palabra y dijo: que el egército portugués era Del ayuntamiento de Huesca, por el Sr. Santafé. de 'os mas respetables que se conocían en los países libres: que era De las villas de Cerveza de Rio Alhama é Hineslril'a , milicia lo cierto'que el número de bayonetas no era excesivos pero que tampoco cal y voluntaria, cabildo eclesiástico y sociedad patri…</t>
  </si>
  <si>
    <t>…................... En Zaragoza. y uno cada uno de los Sres, Vilknucva y Ruiz de la Vega. H705...... 1000........................ En Salamanca. En tercera Votac.on salió electo el Sr. Santafe, por 81 votos dtl total 695..... 1000......................... En Ferrol. 88; habiendo tenido 3 el Sr. Marchámalo, 2 el Sr. Villaboa, y uno ca- 9917...... 1000......................... En Cádiz. da tino de los Sres. Henriqtie y Soria. 3139...... 1000.........…</t>
  </si>
  <si>
    <t>…ia , ningun señor diputado ha censurado También se leyeron los artículos 2.0 y g.° de la Constitución sus palabras , y las mías sobre el nombramiento de la Regencia á p.ticion del Sr. Santafe. se han escrito ahora. El Sr. Ferrer ( D. Joaquín). No puedo menos de confesar El Sr. Galiano: Yo he hablado sobre un hecho y no he sen que me han escandalizado tanto ¡as palabras del Sr. Rodriguez tado hipótesis: por lo demás si acaso me excedí en la discusi…</t>
  </si>
  <si>
    <t>…uicio de que las Cortes puedan hacer en dicha división las recti se cierren las sesiones de la actual legislatura ordinaria. Se levo H ficaciones convenientes. voto particular del Sr. Santafe, individuo de la comisión, 'U el El Sr. Olíver contestó que de aprobarse el artículo no se se que disentía de la mayoría, opinando que debía aprobarse la pro guía ninguna consecuencia para no tomar en consideración Jas posición del Sr. Marau. rectificaciones…</t>
  </si>
  <si>
    <t>…que es comisión. taba conduciría á dudas, dificultades y males gravísimos, por lo Se prorogó la sesmn por una hora mas para dacutir el voto que no debía aprobarse. particular del Sr. Santafe,el cual se levo y estaba reducido á que El Sr. Ruiz de la Vega: Cuando la comisión se vanagloria el Gobierno pueda usar de las facultades extraordinarias qu* se le ba de haber presentado á las Cortes un dictamen que llenase los han concedido, hasta que reunid…</t>
  </si>
  <si>
    <t>Santana</t>
  </si>
  <si>
    <t>…González oe ¿.uoderarse inmediatamente del capitán general Echavstn, Uno de los nuevos artificios de que se valen actualmente para te que vive un poco mas abajo , y en seguida del gobernador Santana. El ner si pueblo en la ignorancia, y que solamente lea lo que quiere el pe mer comandante mandaba los aoo hombres restantes, y debíamos partido de la guerra , es interceptar los periódicos liberales, pues se ba apoderarnos del de Santiago eos U misma facilid…</t>
  </si>
  <si>
    <t>Santaná</t>
  </si>
  <si>
    <t>…ndes dificultades ha habido que vencer, de jico. .El 1 sobre las ir del dia se apareció, impensadamente el señor uue la Diputación os dará cuenta en cumplimiento de sus;deberes, y brigadier Santaná (fue una admiración de todo este vecindario); 15 de cuya mayor parte ya teneis noticia , porque como habéis estado reu apeo en Palaciego, y luego marchó ai cuartel de su batallón , miro. 8, nidos en extraordinarias hasta el dia de ayer , poco tiene la Diputa…</t>
  </si>
  <si>
    <t>…guerra antes de saber positiva grito de república. ............ . . mente lo que ha de querer despuK di ie victoree ; pero ; quién puede Din 11. A las siete de la tarde de hoy el Sr. Santana;haiJaan«- prever lo que-el tiempo .y-las circunstancias-permitirán exigir, y lo Atdo un expreso desde ia Soledad, que el. «¡rotie! Lobato « habla que la España y su Gobierno podrán conceder! juntado con él y hecho el juramento de república , y ambos' siguen .…</t>
  </si>
  <si>
    <t>Santana, Antonio López de</t>
  </si>
  <si>
    <t>Antonio López de Santana</t>
  </si>
  <si>
    <t>…ntigua, colocados con orden en este mu los imperios, ni padecido alteración alguna el despotismo. seo, presenta un hermoso golpe de vista, porque el último Papa „Pero el Brigadier D. Antonio López de Santana, destituido ha seguido en ésta parte él método de siis predecesores Pió vi y de nociones políticas, y anegado en su misma ambición, vive Clemente xiv.: La? gran gálerii dé: inscripciones de Pió vil'colo neciamente imbitido en el error de que va á hacerse memo…</t>
  </si>
  <si>
    <t>Santana, Josef</t>
  </si>
  <si>
    <t>Josef Santana</t>
  </si>
  <si>
    <t>…icular del Sr. Buey, contrario á la aprobación de Noviembre de 1820. Aprobado. dos dictámenes de la comisión de Libertad de imprenta , relativos Se dió cuenta de una exposición de D. Josef Santana, reli á dos adiciones hechas á la ley adicional por los señores Castejon gioso secularizado y capellán de la M. N. L. V., manifestando y botos. sus sentimientos patrióticos, padecimientos pot el sistema, y es A la comisión de Guerra se mandaron pasar una expo…</t>
  </si>
  <si>
    <t>Santhéií</t>
  </si>
  <si>
    <t>…que pronto'ex té t minarán' i los enemigos 'para atender ¿ las circuhffíncjás deludía,' ^présénjaban lós ar,ticuios si de l» indeptndénfcii y’IiB’ertad nacional. guientes: i. •El Sr. Santhéií: Él égéréito eSyráíiol de muchos sígjes á esta parte ' Art.' xi0 &gt;&gt; Qiié'éta"puanto i la primera propuesta del' Gobierno 'parees que'tieñd vincjilado el valor ,:la constancia y él sufrimiento; y si eran de parecer quepó'diS autorizársele jara gde admitiese íy…</t>
  </si>
  <si>
    <t>Santia</t>
  </si>
  <si>
    <t>…Granada; para vice-presidente el Sr. D. Me-chur Ma de varias obras. Se hallan en esta ebrita algunas notas de considerable rau, diputado por la de Valencia ; y pata secretario el Sr. D. Santia impoiíancia, como por egemplo , las qu: tratan de la cesación de jugo Muro, que lo es por la de Galicia.” nsdicion contenciosa en los ,obispo», del establecimiento de sil la pri macial en Madrid como ciudad regia f&gt; corte de reino , de la ind« pen El Rey ha e…</t>
  </si>
  <si>
    <t>…F.xcmo. Sr. secretario del Despacho de la Guerra el oücio si ción delP. Campanada. Se sabe que este, que por una rara casua guiente : Excmo. Sr.: El teniente coronel do artillería D. Santia lidad digna de tenerse presente, era dominico y filósofo, fue go Piñeiro, á quien he conüado el mando de la línea del portaz perseguido á principios del siglo xvn como incrédulo y conspi go en alternativa con D. Jaiqu.n Ddlnuu , desde el momento de rador; y q…</t>
  </si>
  <si>
    <t>Santiago</t>
  </si>
  <si>
    <t>…conservar el trono de España. Justamente Los procuradores síndicos 2.0 y 3.0 del Excmo. ayuntamiento de esta es todo su conato; conservarlo puro, árme, indestructible, y tan Cádiz D. Santiago de la Azuela y D. Juan Martínez de Gatica de íntegro como lo establece la Constitución, que le da una solidez nunciaron como sedicioso en primer grado, é incitador á ía desobedien eterna. cia en segundo , c! a.título comunicado inserto en el núm. 15 del pe s»…</t>
  </si>
  <si>
    <t>…D. Ciemenr? da María Pascual , teniente del mencionado cuerpo , y el centro al dil co Zulueta, por unanidad declaró haber lugar á la formación de causa. mandante segundo del mismo D. Santiago ll.ro. En esta disposición so emprendió el ataque con la mayor bizarría, haciéndolo a la bayoneta, En la ciudad de Cádiz el capitán D. Francisco Ruiz, D. Manuel y la caballería sable en mano, arrollando cuantos enemigos encontra-on Montolo y otros oficiales q…</t>
  </si>
  <si>
    <t>…insertando dos decretos del Rey, por los cuales se encargaba in ciones que la hayan infringido, y tomando las providencias huí terinamente el Despacho de la secretaría de Estado á D. Santiago ejecutivas para precaver la introducción de grano del extranjero, Usoz y Mocy, oficial mayor de la misma, y el de Ja Gobernación sin perjuicio dejo acordado en. la sesión, en que se trata de este de Ultramar, en la misma dase de interino, á D. Pedio Urqui- as…</t>
  </si>
  <si>
    <t>…el concur En la frente de los fieles, so de D. Francisco Perez, que lo es de Camarina de lístemelas, Que á su buen Rey aclamando que está radicado en la escribanía de provincia de D. Santiago, Fueron biavos en la lid! Manuel de Albóniga, se ha señalado para celebrar junta general Cuando hay Reyes cual Fernando, el dia 30 del actual en la posada del Sr. Alcalde de Corte Don. Hay soldados como el Cid. Tomas de Arizmendi, juez de dicho concurso , á l…</t>
  </si>
  <si>
    <t>Santiago, Ignacio de</t>
  </si>
  <si>
    <t>Ignacio de Santiago</t>
  </si>
  <si>
    <t>…los avisos que vaya adquir n. .la salida de otras por el rio Celda, ción de causa.” y pueden dirigirse por Alfambra, ó recaer á la misma tierra baja. __ Habiéndose denunciado por D. Ignacio de Santiago,á nombre de Don Juan Josef San Lorcnte, coronel del regimiento infantería de España, al » Debo manifestar á V. E. quc .cn esta hora tengo dividida en partidas fuertes para persecución el número de mas de 700 hombres, por lo que Sr. alcalde constitucional D. M…</t>
  </si>
  <si>
    <t>Santiago, Jossf Marra</t>
  </si>
  <si>
    <t>Jossf Marra Santiago</t>
  </si>
  <si>
    <t>…tos. Se mandó im danos tan decididos como vosotros; siempre seréis el primer eslabón primir. de la victoria; acordaos que las virtudes son de los libres , y la estupi El ciudadano D. Jossf Marra Santiago, qu* Obtuvo de las Cotíes el dez y las pasiones de los esclavos: sacrificadlo todo á la Nacron , todo permito de grabar la Constitución política de la Monarquía con viñe á la libertad. Constitución ó minarte sea nuestra divisa y nuestra firme tas, aprovechánd…</t>
  </si>
  <si>
    <t>Santiago, Juan Manuel</t>
  </si>
  <si>
    <t>Juan Manuel Santiago</t>
  </si>
  <si>
    <t>…imiento , y dispondréis se im- tor de la Calle, D. Vicente Luco , D. Josef Jorge Saen , I). Joaquín prnia , publique y circule. = Está señalado déla mano de S. M. c=En de Francia, D. Juan Manuel Santiago , D. Francisco Javier Santa palacio á 25 de Febrero de i8z3.^=A I). Dion¡sio'Capaz.‘'’ Cruz, D. Juan Cruz Apellaniz, D. Vicente Chasco y D. Josef Andia , calificaron con la fórmula de absuelto el impreso titulado: secun El Gobierno hit recibido el parte sigui…</t>
  </si>
  <si>
    <t>Santidad, Vaid-cs Su</t>
  </si>
  <si>
    <t>Vaid-cs Su Santidad</t>
  </si>
  <si>
    <t>…tropas que no fuesen españolas; mas como á estas nada arredra, no dudé que la victoria tendría siempre por guia Roma so de Agoste. el pabellón nacional: asi es que previne al Sr. brigadier Vaid-cs Su Santidad experimentó el dia 15 algún alivio en su penosa que con los cuerpos que conducía vanase á la izquierda, y mar situación, y lo Hcb.a á S M-.cristianísima; porque Ja, experiencia chando por terreno cubierto lo mas que fuese dable; se apodera que hizo de la cama…</t>
  </si>
  <si>
    <t>Santillan, Ramón</t>
  </si>
  <si>
    <t>Ramón Santillan</t>
  </si>
  <si>
    <t>…randa de Duero por solos 140 Infantes del Patrullas las mismas. Regimiento de Granada y una partida del de Lusitania al mando Hospital y provisiones Numancia. del bizarro teniente coronel D. Ramón Santillan; habiendo sido Teatro mañana la M. N. L. de Sevilla. el feliz resultado de esta brillante acción haber muerto á los ene Grpardia al archivo de las Cortes mañana voluntarios de migos 30 hombres, entre ellos cinco llamados oficiales; se han Madrid, con la fuerz…</t>
  </si>
  <si>
    <t>Santisteban, Pedro</t>
  </si>
  <si>
    <t>Pedro Santisteban</t>
  </si>
  <si>
    <t>…amón Ibafiez , D. Bese servirá avisarlo en la casa y calle del Sacramento, rúna. 3 , cuarton 10 santos, D. Diego Bisadre , D. Gregorio Moreno del Molino, D. Jcnef Ar-as Carvajal', D. Pedro Santisteban, D. Benito Sama- bajo de la izquierda. nieto y D, Josrf de did’- . y previas lis formalidades que previene ha ■ Se halla vacante el magisterio de primeras letras del Picazo (Cuen l y di- ! heríaJ de imprenta, declararon por unanimidad absoluta ha ca 5 , con l…</t>
  </si>
  <si>
    <t>Santiyan, Ramón de</t>
  </si>
  <si>
    <t>Ramón de Santiyan</t>
  </si>
  <si>
    <t>…ial de Soria D. Miguel Cabrera de Nevares, gefe político , presidente; emplazar á todos los que se crean con derecho á dichos bienes, para D. Victoiiano María Gallego, intendente; D. Ramón de Santiyan, que dentro del término de 30 días , comparezcan por si ó por medio diputado; D. Raimundo de Oria, diputado; D. Blas Joaquín de Cere de procurador con poder bastante á deducirle en dichos autos; con aper ceda , diputado; D. Salustiano Cabildo y Rebestido, dip…</t>
  </si>
  <si>
    <t>Santo</t>
  </si>
  <si>
    <t>…ular agrado. Después de otras ligeras observacione» que hizo sobre este artículo La comisión de Guerra, en vista ds variar adiciones al proyecto ti Sr.Olíver, á las quecontestó el Sr. Santo» Suarez, se declaró sufi sobre arreglo de medicina militar, opinaba que podía añadirae el artí cientemente discutido, y quedó aprobado. culo siguiente: » El Gobierno podrá emplear interinamente en el ser Art. a.” n Para graduar cuál es el pueblo ma* próximo d…</t>
  </si>
  <si>
    <t>Santo, Conde de Porto</t>
  </si>
  <si>
    <t>Conde de Porto Santo</t>
  </si>
  <si>
    <t>…ones militares, que han hecho famosa la guerra de la Península, tales como el 2rocadero, SantiPetñ, En atención á las particulares circunstancias que concurren Pamflona fcc. en el Sr. Conde de Porto Santo, Embajador extraordinario de A la cabeza de los valientes mutilados por la patria se ha S. M. Fidelísima, se ha servido S. M. concederle la Gran Cruz llaba el General de Latour—Maubourg, Gobernador del hospicio de la Real y distinguida orden de Carlos m. Y la…</t>
  </si>
  <si>
    <t>Santos</t>
  </si>
  <si>
    <t>…or de s« perjudicase ai desecho de tercero, el cual se deja á salvo. Se dic* la secretaria de ¡as Cortes. que muchos de los ilusos tendrán delitos anteriores al de rebelión , y Ei Sr. Santos fiuarez. leyó el proyecto sobre arreglo de gobierno que estos no se les perdonan según está el artículo; pero, señorel ar económico-político para ias piovinca. ao UlUamai , presentado por .a tículo no dice nada de esto ni puede decirlo, porque una Nuc.on que…</t>
  </si>
  <si>
    <t>Sántós</t>
  </si>
  <si>
    <t>…R- que todos zas de hierro y grandísima cantidad de municiones. El condé los habitantes de los países que ha recorrido se hallan animados Molitor tiene noticias del ge fe Realista D. Sántós. Ladrón que dél mismo entusiasmo que los demás de España , y que se le ha continúa el blóqoéó de Monzón , cubriendo al misióo tiempo presentado una diputación de la serranía' dé Ronda para mani él Cinca. Desde la llegada dé aquel general á Valencia íé hi fest…</t>
  </si>
  <si>
    <t>Santos, Juan María</t>
  </si>
  <si>
    <t>Juan María Santos</t>
  </si>
  <si>
    <t>…r otra parte aunque Jas circunstancias Gobierno para que acordase este grado. Aprobado. de hallarse ocupadas algunas provincias por el enemigo hayan im Otro sobre la exposición de D. Juan María Santos, ex-guarpedido llevar á efecto las contribuciones, el Gobierno y las Cór- dia de la Real Persona, sobre la dispensa de los siete meses y me tes deben proceder en esta materia con precaución, acordando dio que á la disolución de dicho cuerpo le faltaban para s…</t>
  </si>
  <si>
    <t>Santufe</t>
  </si>
  <si>
    <t>…de Algeciras, por el Sr. Abreu. De la diputación provincial de Huesca y dependientes de su secretaría, Guia de forasteros y estado militar para el año de 1823. Se vende en por el Sr. Santufe. «1 Despacho de la imprenta Nacional, á 16 rs. en rústica, 20 en pasta y El Sr Infante: Sin embargo de que es una cosa ya resuelta por (?i Cor 48 en tafilete. tes , tengo el honor de presentar á la» misma, una exposición de les indi La sociedad de Pekín. Trag…</t>
  </si>
  <si>
    <t>Santularia, Ramón</t>
  </si>
  <si>
    <t>Ramón Santularia</t>
  </si>
  <si>
    <t>…as y cenizas; y se dudaba escapasen con vida unos Por la adjunta copia del parte que me ha dado el ten.ente coronel »oo , que lograron salvarse bastante maltratados. Salem era uno D. Ramón Santularia, segundo comandante de la M. N. A. de de los parages mejor cultivados de la isla, y en que el café y el Aranda de Duero, se enterará V. E. de la brillante accior. y arroz probaron perfectamente.” completa derrota, que con solos 140 infartes del regimiento de…</t>
  </si>
  <si>
    <t>Sanufé</t>
  </si>
  <si>
    <t>…. Es verdad que la comisión en vez de proponer en é las modificaciones qu: de la discusión resulten necesaria:. medios seguros ha propuesto medios eventuales, como son el medio El Sr. Sanufé: Deseo con la mayor ansia ver al clero completa diezmo , primicia , derecho de estola &amp;c.; pero sin embargo siempre mente dotado ; y por lo mismo , aunque el otro proyecto que sobre es tiene el clero con que contar. Se m-jora el sistema administrativo y te as…</t>
  </si>
  <si>
    <t>Sanz, Manuel</t>
  </si>
  <si>
    <t>Manuel Sanz</t>
  </si>
  <si>
    <t>…Don cimentar para siempre con un sello indestructible los im Josef María Rameri, vecino de Fuenterrabía , por su adjunto perturbables fueros, que motiva esta reunión tan apetecida D. Manuel Sanz , del valle de Oyarzun. Para el segundo Don de todos los verdaderos españoles.” Juan Antonio Lardizabal , de la villa de Segura, y porsu adjun Al concluir este discurso, que oyó con la mayor emo to D. Juan Bautista Bcristain, de Lgzcano. Para el tercero D n c…</t>
  </si>
  <si>
    <t>Sar, Pedro Molla</t>
  </si>
  <si>
    <t>Pedro Molla Sar</t>
  </si>
  <si>
    <t>…adanos amantes de la patria van sucesivamente mani unas reglas, que en mi concepto tienen por una parte muchos vacíos, y por festando con ehcacitf los sentimientos que los animan. D. Pedro Molla Sar otra retraerán á muchos individuos beneméritos de la milicia que desean torio, de Cartagena , ha expuesto í esta diputación provincial en 22 del acompañar al Gobierno. actual, que no teniendo otros bienes que ofrecer en las aras de la patria que F.n primer lu…</t>
  </si>
  <si>
    <t>Sar.chez, Francisco</t>
  </si>
  <si>
    <t>Francisco Sar.chez</t>
  </si>
  <si>
    <t>…ey en manos de estos entusiastas tan decididos y va oficié á dicho general, y por medio de mi secretario el capiu-.-. lientes como andrajosos y sufridos; debiendo asegurar á V. E. D. Francisco Sar.chez llenrque le enteré del p'an que cUbía-’ que en el mayor foco de su acaloramiento solo atendían á acre mos seguir, poniéndonos en marcha desde nuestras'distintas po centar mas su valor , y «in jamas acordarse ni oficiales ni solda siciones á unirnos en la Vent…</t>
  </si>
  <si>
    <t>Sar.tibcñez, Josef</t>
  </si>
  <si>
    <t>Josef Sar.tibcñez</t>
  </si>
  <si>
    <t>…o de iq¿5 rs. Se suspendió esta discusión. \ A la comisión de Crédito público se mandó pasar una exposición que disfruta, ínterin duren ias actuales circunstancias, mandando al de D. Josef Sar.tibcñez, del comercio de esta corte, pidiendo se suspen mismo tiempo se publique en la gaceta un rasgo tan patriótico , y se da el art. 26 de! decreto de 29 de Junio de 1821, poniendo en su lu den a V, directamente las gracias en su Real nombre, en prueba del •precio…</t>
  </si>
  <si>
    <t>Sarabia</t>
  </si>
  <si>
    <t>…los cuerpos de milicia activa, porque ya esta ptevenido lo conveniente en Sesión del din 3. la ley orgánica. Leída y aprobada el acta de U anterior, te mandó agregir á ella el Él Sr. Sarabia : En los cuerpos de nuova creación que tengan ys veto particu ar dei Sr. Seoane, contrario ¿la aprobación del art. 1. so una ó dos sextas partes de su fuerza deberán licenciarte tus individuo» bre milicia activa. por cuartas ó quima» partes , si no resultarla…</t>
  </si>
  <si>
    <t>…los inconvenientes que he ma servido , con arreg'o á hs leyes que rigen de abono de tiempo; y coma nifestado. s.vun «su, hyes no «e ¡es ha Je abonar mas qu; la mitad del tiempo El Sr. Sarabia: Aunque resulte que los milicianos que Frvan un que hayan servido , esto es, si han estado sobre hsarmis cinco años, no año sirvan año v medio, nada importa mientras no sirvan mas de s-is se les abonarán mas qu: dos y medio, es claro que sufren en esto us año…</t>
  </si>
  <si>
    <t>…............................ 1 r nacional voluntaria de Garróbillas, por el Sr. Becerra. En Palma...................... 1 1 De la milicia nacional voluntaria de Pontevedra, por el Sr. Sarabia. En Mahon....................... 1 t Del ayuntamiento constitucional :y -vatios ciudadanos de la villa En Sanú Cruz de Tenerife....................................... 1 . 1 de Cambit, provincia de Jaén , por el Sr. Gouiez.(D. Manuel ). En Madrid.—............…</t>
  </si>
  <si>
    <t>Sarat, Evaristo</t>
  </si>
  <si>
    <t>Evaristo Sarat</t>
  </si>
  <si>
    <t>…sa de que todos se unan muy costoso el conducirlos ds la Mancha y Castilla. /: para hacer la guerra i los enemigos de la patria. La comisión ha se A la de Guerra una exposición de D. Evaristo Sarat, conuónantS guido hasta cierto punto lo que han propuesto la junta de inspecto de varias compañías francas constitucionales en persecución de faccio res y el consejo de Estado, diciendo que los oficiales de que se trata sos, pidiendo que los individuos délas…</t>
  </si>
  <si>
    <t>Saravia, Josef</t>
  </si>
  <si>
    <t>Josef Saravia</t>
  </si>
  <si>
    <t>…Brest: La tar Taberné, D. Juan García Paredes , D. Joaquín de los Ríos. de de ayer se señaló con escenas lamentables. Varios ciudadanos D. Angel Díaz del Castdlo , y los coroneles D. Josef Saravia, han tenido que quejarse de ¡a violencia ejercida en sus personas. D. Joaquín Cavaleri y D. Bruno Josef de Prad.cr Villalba. = Con desprecio de la ley fue violado el asilo de un ciudadano, y Es copia. = Leglisa. lastimado este en su ín.smn casa por la fuerza…</t>
  </si>
  <si>
    <t>Sardie.’, Antonio</t>
  </si>
  <si>
    <t>Antonio Sardie.’</t>
  </si>
  <si>
    <t>…= En palacio á 16 de Diciembre de mez; al intrépido comandante de Lanceros de Rioja D. Francisco Ruiz,; 1822.=A D. Miguel López Baños. al teniente D. Fermín Laburno, y al alférez D. Antonio Sardie.’* Circular de! ministerio de la Guerra. TRIBVNAtES. Ve Los Sres. diputados secretarios de las Cortes extraordinarias con fe cha di 29 de Diciembre último me dicen lo siguiente: Los Sres. de la sala segunda del crimen de la audiencia territorial da ” Las Cortes…</t>
  </si>
  <si>
    <t>Sargeant, Manuel</t>
  </si>
  <si>
    <t>Manuel Sargeant</t>
  </si>
  <si>
    <t>…he , y durante ella adelantaran fe político de Barcelona. mis tropas sus fuegos á porlia, habiendo conseguido el coronel Don Rafael de Seballos Escalera, coronel graduado de infan D. Manuel Sargeant ponerse con la compañía de cazadores de tería, primer comandarte del regimiento cuarto ligero de Tarra Guardias de su mando en estado de poder tomar el puente al ama gona, caballero de primera clase de la orden nacional de S. Fer necer del dia de ayer ; pero…</t>
  </si>
  <si>
    <t>Sartachaga, Domingo</t>
  </si>
  <si>
    <t>Domingo Sartachaga</t>
  </si>
  <si>
    <t>…la parte que do el jurado en 11 del corriente, Compuesto de los Sren. D. Pabla se detenga, pues la división que el general Velasco ha traído ds Ara Mateu , D. Felipe de la Puente, D. Domingo Sartachaga, D. Anto gón se halla animada de los mas ardientes deseos de sacrificarse por nio Martínez de Posada, D. Nicolás Furto, D. Juan Martínez de Cri las libertades patrias, como también la caballería de la primera divi tica, D. Juan Bautista Elejaburo, D. Francisc…</t>
  </si>
  <si>
    <t>Satinas, Antonio</t>
  </si>
  <si>
    <t>Antonio Satinas</t>
  </si>
  <si>
    <t>…ee!. franceses.) ~L — El' cónsul de Francia-en Nueva: Yorck ha comunicado al Cárdela ¿I de 1AgostosExcino. Sr. ministro da la Matina el-aviso siguiente: Nuestro comandanti militar D. Antonio Satinas, auxiliado «Se hace saber á los capitanes de navio, que á. siete, millas de una partida de voluntarios realistas , lía descubierto en eldel faro de Sandy-liook,- .en dirección .al este por nueve brazas hóspital de Antón Gtbrers un escondite ¿nasónico. D.'spue…</t>
  </si>
  <si>
    <t>Satuaniego, Mateo Sánchez</t>
  </si>
  <si>
    <t>Mateo Sánchez Satuaniego</t>
  </si>
  <si>
    <t>…iosos de 330,493, situados en el primero 2 por 100 de puertos y diezmos de se ha.¡aban eí 28 en Caíaceite, y parece se dirigían sobre Alcaniz, por la mar de Castilla, en cabeza de D. Mateo Sánchez Satuaniego y Do ña Ana María Martínez de Murga y Navarrcte, su muger: otro de ;lo qu: el barón de Carondelet, arreglándose á rnis órdenes, ha empren -dido su marcha i aquel punto, con el objeto de atacarlo» en donde los 1509, situación id., en cabeza de Doña Juana de Idiaz-z…</t>
  </si>
  <si>
    <t>Saulield</t>
  </si>
  <si>
    <t>…e que del día 9. opongo á la preposición Se aseguraba en aquella ciudad que el dia io se había pas.i.i • El Sr. Adán: Nunca mas conveniente que en las circunstan á lo» enemigos el general Saulield en el punto de Sarn.i. EN LA IMPRENTA NACIONAL.</t>
  </si>
  <si>
    <t>Sauttfe</t>
  </si>
  <si>
    <t>…arrera; asi que apruebo el articulo que propon; ia c-.un sion. buyentes para que se sJtislagaa y puedan hacer sus reclamaciones.” Kl Sr. Prado : Una de las razones qu. ha fiado ei Sr. Sauttfe no ha Aprobado. sido desvaiiec.da por el Sr. preopinante. La Nación va t ser giavada Del Sr. Somo.ra: »» Pido qu: al artículo adicional sobre facultati con muchos millones, por los mu»hos retiros que causará este silic vos se añadan !--s dos articulo» s-guier…</t>
  </si>
  <si>
    <t>Sauvidet</t>
  </si>
  <si>
    <t>…les reales para suspen campo con el intento de observar y pasearse por su campo los co da- y aun pa:a piolub r la publicación ce periódicos que tengan roneles Saenz y Arevalo , el comandante Sauvidet y el capitán de una tendencia peligiosa, d.-c;de sobre lo venidero, y castiga una artillería Reyes, pero por desconfianzas que tuvo Saenz en la infracción que aun no existe. marcha les aconsejo que se detuvieran á una vista de ellos, para » Es bien dificultos…</t>
  </si>
  <si>
    <t>Sauvivny, Ber-tier de</t>
  </si>
  <si>
    <t>Ber-tier de Sauvivny</t>
  </si>
  <si>
    <t>…Despacho de la Gobernación de la de A bignac, el conde de Armand de la 1 oyere , el conde de Saint- Península con fecha del 2 me dice: » Hago saber á los empleados de Chamans, el vizconde Ber-tier de Sauvivny , el conde de Vence, el viz esa administración el agrada con que S. M. ha ordo la felicitación qus conde de Saint Mars , el conde de Potier , el conde de la Rochejacque- le han dirigido con ocasión de las contestaciones dadas á las notas de los lein , el cond…</t>
  </si>
  <si>
    <t>Saveche, Angel</t>
  </si>
  <si>
    <t>Angel Saveche</t>
  </si>
  <si>
    <t>…en abiertas todas ias puertas y se que en efecto asi lo verificó tomando las salidas del pueblo, si patrullase con repetidas tondas, todo lo cual fue obedecido y tuando al uniente D. Angel Saveche con unos cuantos lanceros respetado en defensa del Rey nuestro Señor, á que se prestaron á la cabeza del puente, y colocando al teniente D. Josef Sendolos primeros el estado eclesiástico secular y regular, sin haber qui en el camino de la Vega, cuyos puntos r…</t>
  </si>
  <si>
    <t>Scbastiani</t>
  </si>
  <si>
    <t>…a asegura Los jóvenes de esta ciudad adictos al sistema constitiidonaF, do que al fin habia cedido; pero parece constante que las cosas no luego que supieron haber llegado aqui el general Scbastiani se Ean pasado en Galicia del mismo modo que en Navarra, pues que aprovecharon de esta ocasión para felicitarle. Con este objeto se las milicias españolas han permanecido en la plaza del Ferrol, en eligió una diputación que fue á presentarse al general. Todos…</t>
  </si>
  <si>
    <t>Scc</t>
  </si>
  <si>
    <t>…eses con Mr. de Lesscps. tería ligera , y ha quedado muy satisfecha de su buen porte. _ Aparece por esta correspondencia que el Sr. Oliveira, en A las once recibió en audiencia al general Scc.” Sigue una larga cargado de Negocios de Portugal cerca de esta corte, fue durante lista de los presentados á su corte. este verano á la casa de Mr. de Villele , con el objeto de hacerle A cuatro franceses hechos prisioneros por los invasores se les presente…</t>
  </si>
  <si>
    <t>Schell’er</t>
  </si>
  <si>
    <t>…oni r á los españoles un lie la siLiiaciou cu que se bullan a«j'iello-i paises. lince yugo que en lodos tieninos lian detestado., y «pie abura pocos dias que llegó «le! Janeiro el coronel Schell’er mi-' ijne nunca no sabrían sufrir. Parece &lt;ie las me con una comisión especial «le aquella córte del Bra didas tomadas se -reducen á beber em ¡no., .i inght- sil, para el emperador de Auítiia. Traia también car r^rra un ..uMni'-nu-a.lo en busca de fusiles y -…</t>
  </si>
  <si>
    <t>Schtil</t>
  </si>
  <si>
    <t>…la di allá de loa Parece que llega el momento de que tengamos un código, cuya re Pirineos, y las ramas de las encinas y de ios olivos se'han roto en al dacción se ha encargado at profesor Schtil, uno de los jurisconsultos gunos parages con el peso de la nieve. mas hábiles de la Suiza , y muy versado en el conocimiento de las le Pasan diariamente por el Perthus muchos españoles refugiadla qua yes francesas, que formarán una parte de las nuestras. En l…</t>
  </si>
  <si>
    <t>Scm-</t>
  </si>
  <si>
    <t>…ios de los verdaderamente realistas no queden de modo alguno valor del soldado, ni te arredra la falta de municiones y piezasoscurecidos , se ha servido acceder á la instancia del general Scm- de grueso calibre pata sitiarla, como lo verificó por espacio ds pere, en que solicita se hagan patentes en los papeles públicos qt días, que empezaron el día 8 del mismo mes con tres úni-su decidida adhesión al Rey nuestro Señor, en ocasión ch que</t>
  </si>
  <si>
    <t>Scmptr, Rafael</t>
  </si>
  <si>
    <t>Rafael Scmptr</t>
  </si>
  <si>
    <t>…® que se defendió con vi pusrto de Sta. Cruz/" sor; f'r'o tuvo que irse retirando por la superioridad de ios ene* mi jos. Advertido yo de. su apurada situación, pedí al general £1 general D. Rafael Scmptr*, con el fia de hacer un exacta Duicirmont nos auxiliase con sus coraceros; al momento mee» reconocimiento de la plaza de Alicante y la fuerza de su guar dó salir al pnmer escuadrón apoyado por el segundo, y sosteni nición, trasladó su cuartel genetal á la vi…</t>
  </si>
  <si>
    <t>Scptien</t>
  </si>
  <si>
    <t>…s como políticos del rebaja de sueldos, en el que opinaba que qo debía accederse a e,ta solicitud. de las d:sp.nsa, matrimoniales; pido a ¡as Cortes se sirvan declarar hallarse El Sr. Scptien tornó la palabra, y dúo: «No puedo lítenos de hacer suficicnte-m-ntc amenizado» ¡o, obispos para la resolución de los dos parti p.i ' rite á las Garles que estamos en el caso de que se observe ei art. Be del culares mencionados.” regí mu uto, el cual previene…</t>
  </si>
  <si>
    <t>…exposición del gefe político de Tarragona , solicitando se pro diente que ha servido cíe base para la declaración.” híba la circulación de una moneda de cobre de cuatro cuartos El Sr. Scptien: Soy de opinión que no debe aprobarse esta que se fabricó en Barcelona en tiempo de la independencia por proposición, porque no dice lo bastante, y porque no está arre los perjuicios que causa. glada al espíritu de la Constitución: esta dice en su artículo 17…</t>
  </si>
  <si>
    <t>Scquenos, Manuel Ventura</t>
  </si>
  <si>
    <t>Manuel Ventura Scquenos</t>
  </si>
  <si>
    <t>…eda, con lu adición de ¡o qile se, adelante. mismo con toda la tropa restarte de su cuerpo, y el subteniente m El infatigable teniente coronel D. Josef Viliacampa me de Pontevedra D. Manuel Ventura Scquenos; y los 15 hombres acompaña en esta ¡ornada con el capitán D. Juan Maceda , y los del resguardo á las órdenes de D. Clemente basar rat que car .ja señores oficiales de los tres cuerpos de Aragón , Pontevedra y sen mas sobre la izquierda á reconocer el flanco d…</t>
  </si>
  <si>
    <t>Scravo-</t>
  </si>
  <si>
    <t>…pios de la administración Asi es que mientras con de hallar en los archivos del Gabinete de S. James las pruebas auténti cas de los verdaderos motivos que después de la salida del Sr. Scravo- desprecio del sentido común y de la mas feliz experiencia hemos vis noíFdetuvieron como por encanto el movimiento natural de la Rusia, to restablecer en Berna los gremios y sus góticos estatutos , Basilea se y dejaron á la sola energía y patriotismo de los gr…</t>
  </si>
  <si>
    <t>Se, Al</t>
  </si>
  <si>
    <t>Al Se</t>
  </si>
  <si>
    <t>…á la éleccion de la di ciones de banco, las obras literarias , las imprentas y otros seme putación permanente de Córtes jantes. Por el contrario, es dificil seguir la opinión del Sr. Al Se levantó la sesión. bear , cuando coloca entre las rentas procedentes de bienes propios los sueldos que proceden de la riqueza nacional, en cuyo caso se NOTICIAS DE ULTRAMAR. hallan también las rentas eclesiásticas Havante 2 de Junio. Si se admitiera la propos…</t>
  </si>
  <si>
    <t>Se, Angel Ala</t>
  </si>
  <si>
    <t>Angel Ala Se</t>
  </si>
  <si>
    <t>…oma. La comisión de Istruccion pública en vista de la exjosicion tamente vendidos, y adjudicada su producto á las tropas ejecutoras. de D- Manuel María Tapia , sobre que á su hijo D. Angel Ala Se declararon estas proposiciones de primera lectura. ria se le permita permutar un año de práctica por otro de teórica La comisión de Legislación, en vista de una consulta del tri en la facultad de leyes , opinaba, de acuerdo con el Gobierno, bunal del consulad…</t>
  </si>
  <si>
    <t>Se, Antonio Ma</t>
  </si>
  <si>
    <t>Antonio Ma Se</t>
  </si>
  <si>
    <t>…n diputado, llamando en su lugar al suplente, el cual podia llebac taduría de rentas de Salamanca. . las, augustas funciones de diputado. A la comisión de Guerra una exposición de D. Antonio Ma Se/dcclaró no haber lugar á deliberar. ría Ibañez , subteniente que fue del ejército , sobre volver á él. "" Se leyó y quedo aprobada una proposición de los Sres. Alon A la comisión de Visita de tribunales se mandaron pasar los so y Moaré, pidiendo se, imprima c…</t>
  </si>
  <si>
    <t>Se, Carlos</t>
  </si>
  <si>
    <t>Carlos Se</t>
  </si>
  <si>
    <t>…650,000 Gastos de cámara de la berma. Sra. PRESIDENCIA BEL SEÑOR JESER. Doña Muría i.11 n su esposa. . . 6co,a00 JS.rtr uto Je iet sesión Je 4 Je Jttl’.o. Consignación del Infante D. Carlos Se leyó y aprobó el acia ele la anterior. Luis, hijo de S. M. la Duquesa La comisión ele Guerra , informando sobre la exposición ele de Lúea. ...................................... 72,000 Pablo Añares, sargento retírselo en clase tic disperso ¡ ¿ indivi duo cíe…</t>
  </si>
  <si>
    <t>Se, Caye</t>
  </si>
  <si>
    <t>Caye Se</t>
  </si>
  <si>
    <t>…a tomando todas las providencias necesarias para la Suarez, Llórente y dos secretarios. conservación del orden y seguridad pública. Habiendo vuelto esta de Palácio, el Sr. Valdés (D. Caye Se leyó y halló conforme con lo aprobado la minuta de de tano ), como presidente de ella, dijo: Señor: La diputación de creto sobre el nombramiento de la Regencia, revisada por la co las cortes se ha presentado á S. M.: le ha hecho presente que misión de correcc…</t>
  </si>
  <si>
    <t>Se, Demetrio</t>
  </si>
  <si>
    <t>Demetrio Se</t>
  </si>
  <si>
    <t>…el ejercito de capitán agregado al estado mayor de esta plaza, se le reconocerá reserva D. Pedro Villacainpa sobre formación de guerrillas. como destinado á las órdenes del Excmo. Sr. D. Demetrio Se leyó una proposición del Sr. González Alonso, reducid* O-Daly; y al teniente del batallón de la milicia nacional activa á que las oficinas encargadas de la liquidación de suministros he— . de Talavera D. Clemente Pavón por oficial auxiliar del estado chos en…</t>
  </si>
  <si>
    <t>Se, Dio</t>
  </si>
  <si>
    <t>Dio Se</t>
  </si>
  <si>
    <t>…lito, por desgracia mui^freeuente, Bu saña, Morí!, Sepilen, Reillo, Suarez, Vázquez, y qne nos ha conducido á la mas tertxMe situación. Blake* Alíx, Pedralvez, Garmendia , Valdós (D. Dio Se leyó y mandó imprimir mi proyecto presen nisio), Bnei, Viilavieja, Meca, y los dos Sres secre tado por la comisión Primera de Legislación sobre des tarios mas modernos. amortización v distribución de bienes de capellanías' Se ¡«probó un dictámen de la comisió…</t>
  </si>
  <si>
    <t>Se, Francisco</t>
  </si>
  <si>
    <t>Francisco Se</t>
  </si>
  <si>
    <t>…erno para que se Ov :edo----Servicio á palacio la Reina y AI. N. L. de Madrid, proceda inmediatamente á su promulgación solemne.” á ¡as órdenes del comandante interino de ia Reina D. Francisco Se dió cuenta de una exposición del regimiento de caballería Casteüo___Parada la milicia activa y Al. N. L. de Madrid; el del luíante , felicitando á las Cortes por sus sesiones dei 9 y 11 demás servicio y patrullas ¡o detallado. — Hospital y provisiones de Ener…</t>
  </si>
  <si>
    <t>Se, Francisco Fernandez</t>
  </si>
  <si>
    <t>Francisco Fernandez Se</t>
  </si>
  <si>
    <t>…an Fernandez , era de opixuon debía aprobarse io que &gt; ..i im p.liza del 1 eti a ¿te Jítetto de juay, con respecto á ellos proponía el Gobierno. Gefe de día el coronel de la Reina D. Francisco Fernandez Se leyó el dictamen de este en que proponía se les concediese Golfin—Servicio á palacio la Reina y la M.N. L. de Sevilla, á un escudo, inscribiéndose en un lado Jan ¡uncía y vattr, y en las órdenes del comandante interino de la Reina D. Francisco el otro a patri…</t>
  </si>
  <si>
    <t>Se, Isturiz la</t>
  </si>
  <si>
    <t>Isturiz la Se</t>
  </si>
  <si>
    <t>…sen de la edad facultades que Je competen y sus principales obligaciones. de 40 áñosopinaba que podia acordarse en la forma expresada El Sr, Arguelles impugnó esta proposición: el Sr. Isturiz la Se mandaron quedar sobre la mesa dos dictámenes de la coapoyó, manifestando ser desu'ma necesidad el que se determinasen níision segunda de Hacienda , el primero sobre la adición de los las reglas que señalen la línea hasta donde alcanzan las facultades Sres. Sa…</t>
  </si>
  <si>
    <t>Se, Josef María</t>
  </si>
  <si>
    <t>Josef María Se</t>
  </si>
  <si>
    <t>…icio ra. Tcndreislo entendido, y lo comunicareis á quien corresponda Navarro. para su cumplimiento. = Señalado de la Real mano.=En el Al cázar de Sevilla á 20 de Mayo de 1823. = A D. Josef María Se ha interceptado el papel que á la letra es como sigue: Calatrava. Gobierno político y militar de Ja provincia de Santander. =: Excmo. Sr.=No puedo menos de dar i. V. E. las mas expresi Habiendo D. Joaquín de Anduaga, ministro plenipotenciar'Ovas gracias po&gt;-…</t>
  </si>
  <si>
    <t>Se, Juan An</t>
  </si>
  <si>
    <t>Juan An Se</t>
  </si>
  <si>
    <t>…e tienen las Corte» acordado les dé colocación en el D. Jossf Caite 1, D. Zoilo Gómez Casero, D. Joaquín Huerta Ceegército. _ rallos, D. Luis de Mata Araujo , D. Saturnino Lozano, D. Juan An Se mandó pasar i la comisión de Guerra una propuesta remitida por tonio López, D, Joaquín de la Vega y Quintana, D. Juan Isidoro •1 Sr. secretario de este ramo, para que las Cortes acuerden lo conve Perez, D. Vicente Segurado. Habida la conferencia, se declaró p…</t>
  </si>
  <si>
    <t>Se, Julián Ta</t>
  </si>
  <si>
    <t>Julián Ta Se</t>
  </si>
  <si>
    <t>…ros conducidos por el segundo ayudanta D. Manuel Pina Espiga ocu 80,207 mis., en cabeza del prenotado contador Juan Ter de los Ríos. paron la izquierda con algunos cazadores, y el teniente D. Julián Ta Se suplica á la persona que sepa su paradero ó tenga noticia de lo» ex rrago con su compañía ligó los movimientos por el centro , separrdos presados once privilegios se sirvaavisarío á D. Andrés tranzo , agente de todos por cañadas de difícil acceso y comunicaci…</t>
  </si>
  <si>
    <t>Se, Leandro Ladrón de</t>
  </si>
  <si>
    <t>Leandro Ladrón de Se</t>
  </si>
  <si>
    <t>…icolás providencias acordadas para el pronto envió de tropas en auxilio Gómez Villaboa por la de León: D. Fermín Alvurcz Enlate del Perú iScc.” por i a de Navarra: D- Josef Cano y D. Leandro Ladrón de Se asegura qne el general Arenales llegó el i.° del corriente Guevara por la de Avila: D. Manuel Pío de Arias por la de al puerto de Valparaíso. Viene con poderes del Gobierno de Li Cuenca: D. Joaquín Fuentes del Rife por la de Sevilla: D. Fé ma para pedir auxil…</t>
  </si>
  <si>
    <t>Se, M. M.</t>
  </si>
  <si>
    <t>M. M. Se</t>
  </si>
  <si>
    <t>…egeneradores del género humano , creada Canción patriótica i las tropas realistas, compuesta para el en Cádiz en 1812 , debiendo dividirse dichas repúblicas del mo forte-piano por D. M. M. Se hallará en la imprenta de graba do siguiente: do de música, calle de Tudescos, y en las librerías de Quirós Bética-ulterior, Bética-citerior , Gallega, "Navarra, As y Villa. turiana , Lusitana-ulterior, con expresa condición de que ¡os Oración fúnebre que en…</t>
  </si>
  <si>
    <t>Se, Manuel</t>
  </si>
  <si>
    <t>Manuel Se</t>
  </si>
  <si>
    <t>…ombrat ¿D, Antonio üirrbancrs para la judicatura de primera instancia del ve calle de Embajadores , núm. 13 , cuarto principal. partido de Momb.anch , y para i: del de Almudebar á D. Manuel Se han extraviado los privilegios originales de juros siguientes: uno de 3t2,coo mrs., situado en diezmos de la mar ds Castilla, en cabe- • Agustín Millan.El Gobierna ha recibido ei parte siguiente. za de D. Juan de Isasi Idiazquez: otro de 62,500 , situación íd…</t>
  </si>
  <si>
    <t>Se, Mora</t>
  </si>
  <si>
    <t>Mora Se</t>
  </si>
  <si>
    <t>…utido , y haber lugar isla de Burros, y fondear en punta de Palma, en donde con a votar sobre el dictamen por 50 votos contra 25. cluirán su jornada y travesuras, según asegura el general Mora Se votó este por partes, y quedó aprobado en todas ellas. les en oficio de 19 del pasado, en el cual dice tenían ya á su Se continuo la discusión del reglamento para la dirección, de frente 1 5 buques bien armados. Creemos que el infatigable LaEstudios. borde ba…</t>
  </si>
  <si>
    <t>Se, Pedro</t>
  </si>
  <si>
    <t>Pedro Se</t>
  </si>
  <si>
    <t>…ido dirigirme con fecha de hoy el decreto siguiente: Habien fechas del buen desempeño del encargo cometido á la diputación. do tenido á bien acceder á las reiteradas instancias de D. Pedro Se continuó y concluyó la lectura de la memoria del Sr. se Goossens, solicitando le admita la renuncia del destino de habi cretario de la Gobernación de la Península, de la cual quedaron litado para el desempeño de la secretaría del Despacho de la enteradas las…</t>
  </si>
  <si>
    <t>Se, Ramón Mar</t>
  </si>
  <si>
    <t>Ramón Mar Se</t>
  </si>
  <si>
    <t>…as in gar de pasarse á la que detallaba el decreto de 12 de Maye» mediatas órdenes del general comandante de la secunda división de 18?. 3. de este ejército D. Demetrio O-Daly, al coronel D. Ramón Mar Se leyó dicho decreto, y en su vista se resolvió que dicho ofi tínez y Gutiérrez, y al comandante D. Joaquin de Aguirre. Se cio pasase á una comisión ele Visita que se nombraría al efecto. reconocerá por auxiliar del estado mayor de este ejército al sub Se mandé…</t>
  </si>
  <si>
    <t>Se, Romero</t>
  </si>
  <si>
    <t>Romero Se</t>
  </si>
  <si>
    <t>…sten exentos dé El br. Olívcr: Voy á impugnar este art etilo por lo que toca al plan sorteo sus ind v dúos. general del proyecto. En él se dice que un mes después de haber Ucea El Sr. Romero Se trata aquí de uno, tn'Vcirro; que por una resoludo á Sevilla se les dará la consignación propuesta ¡y por qué se lija esta cion voluntaria , por un acto g.onoro de- patriotismo »-■ han ofrecido á acom época precisa: Yo creo que sena mas conveniente variar est…</t>
  </si>
  <si>
    <t>Se, Somoza</t>
  </si>
  <si>
    <t>Somoza Se</t>
  </si>
  <si>
    <t>…uta presentaba revisada la comisión de que todus estos ramos pa asen a un imprevisto ge Corrección de estilo. neral. El Sr. Ganga pidió al Sr. presidente inquiriese A pcticien del Sr. Somoza Se leyó la facultad dé- si babia venido la imprenta nacional, y el Sr. pre cimitrrcia del art. 558 de ia Conditucio». sidente anunció qne la secretaría lo aveiiguaría. Se suspendió Ji discusión por haber entrado en; Se mandó quedar solare la mesa el dictamen de…</t>
  </si>
  <si>
    <t>Se, V. B.</t>
  </si>
  <si>
    <t>V. B. Se</t>
  </si>
  <si>
    <t>…éis.- marchó en su seguimiento , y tan pronto La amnistía del León, poema dividido en cuatro cantos pot jomo nt'tansen algunas horas , las tropas continuarán todas en la mis A. B. D. V. B. Se vende en la librería de Cruz á 5 rs., y con loados ma dir-cciun. primeros cantos de los.animales parlantes. 4 to rs. , «;¡&gt;:n .mbarpo de. que la posición que tenian los enemigos en este El tomo 8.° y j&gt;.° de las conferencias, eclesiásticas de Is.diócesis de t…</t>
  </si>
  <si>
    <t>Se-, Joaquín</t>
  </si>
  <si>
    <t>Joaquín Se-</t>
  </si>
  <si>
    <t>…eguirá que se conserve igualmente en lo .--=Lu corbeta de guerra portuguesa que ha entrado sucesivo. Todo lo que me lia parecido conveniente ayer en este, puerto lia &lt; inducido al Sr. Joaquín Se- poner en noticia de V. S. para qne lo baga saber al verino López, nuevo en .¡rgado de negocios de S. M. público ; pues con motivo de los rumores que cor Fidelísima cercado S. M. Católica. rían en esa capital y mi repentina salida, debo su poner que se habrá p…</t>
  </si>
  <si>
    <t>Sebas</t>
  </si>
  <si>
    <t>…D Sebastian Martínez Campos , sobre si está nom mente pertenecieron contestará: ha muerto en defensa de los santos fue brado visitador de la audiencia de Navarra , ó si lo ¿i otro D. Sebas ros ele la libertadj pero vive en la memoria de todos los buenos. tian Campos, que es el nombre que se inserta en el oficio que se le ha Art. &lt;5.,J «Todas los qu hayan sido inutilizados de resultas del pasado. combate de! referido diá conservarán sus sueldos…</t>
  </si>
  <si>
    <t>Sebastian</t>
  </si>
  <si>
    <t>…ue mi ber escollado con la fragata Ligera de su mando y otros buques meno presencia ya no era necesaria para las operaciones sucesivas, y regresé i res de guerra la expedición del coronel D. Sebastian de la Calzsda, esta ciudad tlcsde Montonto, después de disponer que el coronel Con- segundo gefi; del egército de Costa-firme , que se dirigía á la Laguna d« grt con su tiopa, los 80 hombres de Burgos y el resguardo de Asturias Maracaibo, se quedó la expresad…</t>
  </si>
  <si>
    <t>Secano</t>
  </si>
  <si>
    <t>…ue quede su lie circulación. primida desde el dia la Junta suprema de Sanidad, El Si-. Ganga contestó á estas observaciones. por no sei- reconocida por la Constitución ni decre El Sr. Secano hizo presente que la provincia que tos de las Cortes, v por ser perjudicial su ecsist eneia, le bahía nombrado era recargada considerablemente, A la comisión, de Gobierno interior se mandaron pues se le señalaba ahora mas contribución que la que pasar dos esp…</t>
  </si>
  <si>
    <t>Sección</t>
  </si>
  <si>
    <t>…ge Don 1823.—Antonio Ayarza. Tomas Mariño. Presbíteros : D- Justo Quirós, D. B nito Gobierno político de la provincia de Oviedo. Alonso Ablanedo, D. Antonio García Arango. Abogado Don Sección de gobierno político—Después de estar esta ciudad Josef Ramón de la Peña. Escribano D. Francisco AUarez. en bastante agitación con motivo de la entrada del traidor sil Procurador eclesiástico D. Josef María Fernandez, D. Nicolás veira en León, que obligó á la…</t>
  </si>
  <si>
    <t>Seco, Luis</t>
  </si>
  <si>
    <t>Luis Seco</t>
  </si>
  <si>
    <t>…como entre los hombre» civilizados-, y r.n so pre recordará con do]or la pérdida del capitán de dragones de mos nosotros los que podemos juzgar con mas acierto ci.- Jos mola Union D. Luis Seco y el cadete deí mismo cuerpo D. Fernan t vos de su odio y de su venganza. Se debe considerar tambo, n do Rodríguez: los cuerpos de estos valientes fueron desechos á que una tribu de tndqaenas es en cierto modo una sola familia balazos y bayonetazos. patriarca…</t>
  </si>
  <si>
    <t>Seco, Pascual</t>
  </si>
  <si>
    <t>Pascual Seco</t>
  </si>
  <si>
    <t>…....................... El ....................... El Sr. D. Manuel Josef Rubio , por providencia de 13 dsl IOO» &gt;9. «6. El 6........................ 12. corriente, refrendada de D. Pascual Seco , escribano del número,, El t........................... 170. £1 ¿0...................... ha señalado para junta de acreedores á los bienes del abintestado El II................... 7«s 5- de, D. Josef Herrero Velez *1 dia a 8 del corriente á tas nuevo 90. ...…</t>
  </si>
  <si>
    <t>Secre</t>
  </si>
  <si>
    <t>…Leída y aprobada el acta de ¡a anterior, 'dijo el Sr. Adan que horas la ley de deserciones á presencia de algún individuo de la haciéndose mérito en la memoria que había leído el Sr. Secre diputación provincial; y que la del Sr. González Alonso , que tario de Hacienda de Ja lista del repartimiento de contribucio trata de la responsabilidad que debe exigirse á los intenden nes en las provincias de la Península ¿ desearía acordasen las tes cuando…</t>
  </si>
  <si>
    <t>Secreta</t>
  </si>
  <si>
    <t>…siete de Marzo de mil ochocientos veinte y tres. — Manuel Flo puesto de los Sres. D. Luis Croja, D. Cayetano Rodríguez Moran, res Cs'deron , Presidente. = Leonardo Santos Suarez , diputado Secreta D. Josef María Villaranda, D. Felipe de la Puente, D. Segismundo rio = Manuei Llórente, Diputado secretario.” =Por tanto mandamos á Moret, D. Domingo Banceí, D. Juan Bautista Carrera, D. Juin Pe todos los tribunales y justicias, gefes, gobernadores y demás autorida rez y D. Joaquín Ma…</t>
  </si>
  <si>
    <t>Secretario</t>
  </si>
  <si>
    <t>…el general Wilson está haciendo sus preparativos para em Se leyó dicha proposición-, y habiendo tomado la palabra el barcarse con dirección á la Coruña á la cabeza de una división Sr. Secretario interino de la Guerra, dijo que el Gobierno ha de 39 hombres equipados á costa de una sociedad de liberales bía tomado las providencias mas eficaces para proporcionar á ingleses ; y que el general napolitano Guillermo Pepé y todos Valencia el socorro que nece…</t>
  </si>
  <si>
    <t>…o bien cierto que si ¡os motivos que el Go Se leyó y quedó aprobada el acta de la anterior. bierno altea hubiesen sido de otra especie, la comisión no habria Se leyó un oficio del Sr. Secretario de la guerra acompañan accedido á su petición. La comisión pues fundada en estas y otras do listas de los individuos del cuadro del batallón de milicia ac razones espera que las Curtes se sirvan aprobar esta medida inte tiva de Burgos que en la marcha de Alic…</t>
  </si>
  <si>
    <t>…do , aqui se dan dos á la direcc on eeneral Bethlemitas de la ciudad de la Havana, cuyos ejemplares remiíia de estudios uno mayor y otro menor; por lo que creia no debía el misino señor Secretario. aprolwrse este provecto. Se mandaron pasar á la comisión especial los documentos que El Sr. Pedralvez contesto que se decia que era costosa la di se habían pedido a consecuencia de orden de las Cortes á ios mi rección general de estudios, que no era útil, qu…</t>
  </si>
  <si>
    <t>…e cubriese el camino del Puerto de Santa María á las ór junta municipal de sanidad de la ciudad de San Fernando. denes del teniente coronel D. Manuel Arvilla con el resto de su El Sr. Secretario de la Gobernación de la Península mani batallón número 26 ■■ la tercera de reserva á las del comandante festó entre otras cosas la opinión que habian emitido las corpo Don Felipe Tolosana con la mayor parte de su batallón núme raciones y autoridades á las cua…</t>
  </si>
  <si>
    <t>…incurrirán en las guarde á V. E. muchos años .Málaga 22 de Agosto de 1823.= penas de losarts. 600 , 601 y 602 del código penal. Art. 19. La Exento. Sr. 22Rafael del Riego—Exorno. Sr. Secretario del Des disposición del articulo anterior no tendrá lugar siempre que se pacho de la Guerra. reimprima la obra, suprimiéndose ó variándose el pusage so Copia del parte que se cita. bre que recayó la calificación. Art. 20. Si la decisión del pri Excrno. Sr.: A las tre…</t>
  </si>
  <si>
    <t>Gaceta de Madrid n.º 793 (extraordinaria)</t>
  </si>
  <si>
    <t>N¡$m. 79.. GACETA EXTRAORDINARIA DE MADRID DEX JÍIE»COXES 17 DE SETIEMBRE DS 1823. ARTICULO DE OFICIO. Et intendenta de la Carolina dice por extraordinario al Sr. Secretario de la Querrá lo £*e,ii!snte:W' Excmo. Sr.: son las ocho de la noche--^ «yaca bá de entrar preso en esta capital el infame caudillo de la rebelión Rafael del Riego , á quien he puesto en un calabozo de la cárcel pííblicn. Se han cogido con él otros tires oficí…</t>
  </si>
  <si>
    <t>…lema; y en fin que le toca. Dios guarde &amp;c.” la vista del inmenso concurso de todás clases que esperaba ¿ SS. MM. y AA., particularmente el augusto Hijo de Francia, Elmismo Excmo. Sr. Secretario, con igual fecha, comunica con su Estado mayor, muchos Generales, y S. A. el Príncipe lo siguiente: deCarignan, conmovian el corazón, de modo que la sorpresa no „Excmo. Si.: For el extraordinario que dirigí 4 V. E. esta daba lugar á que el alma gozase de la a…</t>
  </si>
  <si>
    <t>…8 23 .na traición, sostenidas por la violencia, y productoras* del desor APD. Víctor Sao». &gt; den mas espantoso , de la anarquía mas desoladorá, y de la in digencia universal. , El Sr. Secretario d* Estado y del'Despacho con fecha i.° del ac El voto general clamó pOr;todas partes cóntra la tiránica tual ha dirigido desde el Puerto de Sta. María al Sr. Secretario constitución; clamó por la cesación dé un código' nulo en su del de Marma, habilitado para…</t>
  </si>
  <si>
    <t>…. MARTES 4 DE NOVIEMBRE DE 1823. ARTICULO DE OFICIO. 9." Como los efectos y enseres almacenados necesitan custo dia , y removerse algunas veces para evitar el deterioro, se nom El Sr. Secretario dei Despacho de Estado en papel de 29 de brará una salvaguardia de un sargento, un cabo y seis hombres Octubre último me dice desde Aldea del Rio lo que sigue: de esta guarnición. „Para que los negocios del reino no recayeran en personas ‘Tcfcíó lo qiie comun…</t>
  </si>
  <si>
    <t>…cuartos&gt; 4°S * GACETA EXTRAORDINARIA DE MADRID DEl SABADO 8 DE NOVIEMBRE DE 1823. ARTICULO DE OFICIO. El Capitán General de Valencia con fecha 5 del actual dice desde Cartagena al Sr. Secretario de la Guara lo qiie sigue: „Excmo. Sr.: Consecuente á lo que tengo avisado á V. E. sobre la en trega de esta plaza conforme á las órdenes de S. M., ha sido ocupada en’ la mañana de hoy por las tropas aliadas; y yo en el mismo acto he toma do posesión de la mi…</t>
  </si>
  <si>
    <t>…FICIO solemne acto, formaron las tropas en columna de honor, y des filaron eri mi presencia, retirándose á sus alojamientos, satisfe ¿I Rey nuestro Señor se ha servido dirigir sil Sr. Secretario del chos de haber dado un público testifnonio de su amor á la sagra Despacho de la Guerra el Real decreto siguiente: da Persona del Rey , y de las virtudes sociales y militares que , , „Teniendo presente los alivios que para abreviar el Despa- los. adornan. H…</t>
  </si>
  <si>
    <t>Secretario-</t>
  </si>
  <si>
    <t>…secretario del Despacho de la Gobernación de la Pe A la comisión de Hacienda se mandó pasar con urgencia un nínsula ocupó la tribuna , y empezó Ir lectura de la memoria oficio del Sr. Secretario- del mismo ramo, acompañando otro del del ministerio de su ramo, la que se suspendió por haber lle intendente de Cádiz,-y consultando acerca de lo que deberá ha gado la diputación. cerse con los nuevos pesos mejicanos qué ha traído una fragata Continuó la lect…</t>
  </si>
  <si>
    <t>Sedaño, Manuel</t>
  </si>
  <si>
    <t>Manuel Sedaño</t>
  </si>
  <si>
    <t>…deréis los laureles que habéis cogido en días tan arriesgados y ca 1). Vicente Escudero y Perez: id. de Palcncia á D. Jacinto Alar- lamitosos. fine.' de- Aranzana: id. de Soria á D. Manuel Sedaño: pava la «Cuartel general de la calle del Olivará i.°dc Junio de 1823. alcaidía mayor de Burgo-i á J. Josel Joaquín cíe llurraza: id. de Jorge de Aviiez Juzarte de Sousa Tabares.” ia Guardia á D- Valentín hernandez de Rueca. lii íníánic D. Aligue! había publi…</t>
  </si>
  <si>
    <t>Sedeño, Santiago</t>
  </si>
  <si>
    <t>Santiago Sedeño</t>
  </si>
  <si>
    <t>…de tres divi tos para presidente el Sr. D. Tomas Jener , diputado por la is siones de infantería, de la reserva de esta arxna y de una de caba la de Cuba; para vice-presidente el Sr. D. Santiago Sedeño, di llería, en la forma siguiente. putado por la provincia de Segovia , y para secretirio el Sr. Don Primera división.__Comandante general el brigadier Don Pedro Lillo, que lo es por.la de Jaén. Juan'-.Palarea: estado mayor, gefe interino D.......; capitán ad…</t>
  </si>
  <si>
    <t>Segcvia, Antonio María</t>
  </si>
  <si>
    <t>Antonio María Segcvia</t>
  </si>
  <si>
    <t>…tamente sobre el carril que va á la ciu á 70. Dios &amp;c. Gausin 27 de Junio de 1823.—Vicente Mateos. dad de Ronda, acompañado como de 23 hombres de Algatocin, =Sr. comisionado Regio D. Antonio María Segcvia.” é incorporándosenos 30 mas de Jubrique, emprendimos la ope ración de cortar, como lo verificamos, una columna de caballe ra O if ría perteneciente i dicho ejército y con la expresada direcc'on, En virtud de los brillantes y distinguidos méritos y servi de m…</t>
  </si>
  <si>
    <t>Segismundo</t>
  </si>
  <si>
    <t>…de los Sres. D. Luis Croja, D. Cayetano Rodríguez Moran, res Cs'deron , Presidente. = Leonardo Santos Suarez , diputado Secreta D. Josef María Villaranda, D. Felipe de la Puente, D. Segismundo rio = Manuei Llórente, Diputado secretario.” =Por tanto mandamos á Moret, D. Domingo Banceí, D. Juan Bautista Carrera, D. Juin Pe todos los tribunales y justicias, gefes, gobernadores y demás autorida rez y D. Joaquín María Goñi, por unanimidad ha declarado n…</t>
  </si>
  <si>
    <t>Segovia, Antonio María</t>
  </si>
  <si>
    <t>Antonio María Segovia</t>
  </si>
  <si>
    <t>Núm. ii&lt;&gt; (i cuartos.) 31 GACETA EXTRAORDINARIA DE MADRID DEL MARTES IO DE JUNIO DE 1823. ARTICULO DE OFICIO. /» D. Antonio María Segovia, comisionado regio de los cuatro reinos cíe Andalucía ^ comunica al Excmo. Sr. secretario de Estado y d*l Des pacho universal de Gracia y Justicia con fecha 9 de este mes el parte siguiente: » Excmo. Sr.: El día 7 i las nueve de la noche salió de esta con su…</t>
  </si>
  <si>
    <t>…ó que habiendo ia audiencia de Sevilla, compuesta de dos ministros y un escri sido d.scípulo de un colegio da cirujía y concluido allí los años bano de «¿tnara, el comisario tegio-D. Antonio María Segovia de carreta que previenen sus ordenanzas, presente el grado de y el Sr. conde de la Puebla del Maestre, una diputación del doctor en su facultad. ayuntamiento de la mñma ciudad de Sevilla , compuesta de cua ANUNCIOS. tro regidores , alguacilts y porteros. S. E…</t>
  </si>
  <si>
    <t>Segovia, Fernando María</t>
  </si>
  <si>
    <t>Fernando María Segovia</t>
  </si>
  <si>
    <t>…s liberales i formar una suscripción Manzano, á D. Juan María de ia Torre y Muñoz : para la del de Cíepara vestirlos, con el laudable fin cte dar un público testimonio de los za á D. Fernando María Segovia: para ía del de Cogolíudo á D. Juan benéficos y generosos sentimientos que abrignn en su corazón loe vence de MataGarralon; y para.la del de Sigüenza á D. Vicente de Paul dores del y de Julio y todos los buenos españoles. Madrid a a de Enero Camin. de 182?. A…</t>
  </si>
  <si>
    <t>Seguí, Rafael</t>
  </si>
  <si>
    <t>Rafael Seguí</t>
  </si>
  <si>
    <t>…cuestión qué’bte es Juan lázaro, D. Juan Francisco García « Francisco Ribas, D. Rafael del momento, y sobre lo que expondré yo mi opinion cuando las Cor Solo, Dr. Domingo Pitalua, D. Rafael Seguí, D. Josef González, tes se ocupen de ella. Se trata ahora únicamente de dar un proyectó D. Joaquín Gil , D. Pedro Boígues, abogado, Mariano Teruel, An de instrucción para el gobierno ccooómico-político de lat propináis ds drés Ferrer, P. Hurtado, D. Josef Dol…</t>
  </si>
  <si>
    <t>Segurado, Vicente</t>
  </si>
  <si>
    <t>Vicente Segurado</t>
  </si>
  <si>
    <t>…rsivo. En 16.0 el Sr. Nuñez (D. Toribio) por 79 votos, habiendo tenido En su vista se reunió el jurado , compuesto de los Sres. siguientes: dos el Sr. Cano. D. Juan Antonio López, D. Vicente Segurado, D. Zoilo Gómez En 17.0 el Sr. González Aguirre por 79 votos, habiendo tenido uno Casero , D. Juan Paz , D. Antonio Diaz del Moral, D. Francisco Cocada uno de los Sres. Valdés, Bustos y Cano. Jombo, D. Juan Manuel de Aréjula, D. Casimiro Martin, D. Joaquín En…</t>
  </si>
  <si>
    <t>…ros En su vista se reunió el jurado, compuesto de los Sres. siguientes ; Don papeles varias proclamas subversivas, habiéndose salvado solo Bessteres con Josef Demetrio Rodríguez , D. Vicente Segurado, D. Bernardo Asenjo, 30 hombres.” D. Francisco Javier Barra , D. Joaquín Huerta Cevallos, D. Juan Isidoro Ministerio de Guerra. Pérez, D. Andrés Alcon, D. Amonio del Alcázar , D. Joaquín Manri El Rey se ha servido mandar que el regimiento número 37 de infan q…</t>
  </si>
  <si>
    <t>…ón de Guerra una propuesta remitida por tonio López, D, Joaquín de la Vega y Quintana, D. Juan Isidoro •1 Sr. secretario de este ramo, para que las Cortes acuerden lo conve Perez, D. Vicente Segurado. Habida la conferencia, se declaró por niente, á fin de evitar la deserción de los quintos en los reemplazos unanimidad haber lugar á la formación de causa. que se decretan. — El Sr. fiscal de libertad de imprenta denunció al Sr. alcalde corteIgualmente lo qu…</t>
  </si>
  <si>
    <t>…ircule.=Rubricado de Ja Real mano.es D. Josef Leglisi y Pinedo. D, Miguel de Nájera. En palacio á 19 de Marzo de 18 23.=A D. Mariano Egca.” D. Marceliano Torio. El conde de Oñate. D. Vicente Segurado. D. Antonio Puiduiiés. D. Francisco Palacios. D. Manuel Zulueta. La diputación provincial de Madrid, en cumplimiento de los decre D. Joaquín Lumbreras. D. Manuel Conchillos. tos de las Cortes de 5 de Eneio y 8 de Febrero últimos, que tratan ds D. Martin de Na…</t>
  </si>
  <si>
    <t>…afectos que D. Márc'-s Izqui :rdo , D. M./uet de Nájera , D. Lorenzo Lambea, se apoderan del héroe. La fluidez del verso , los rasgos de historia , en I). Juan Rodil,-nf/Guillen , D. Vicente Segurado, D. Juan Regis que se hace un» ligera reseña de nuestros Beyes desde Carlos v, y los de Castro y D. l adeo P.-rez. altes principios de filosofía y política que brillan en toda la heroida, Jlabú!.: Ja conferencia, se decidió por unanimidad haber lugar á la la…</t>
  </si>
  <si>
    <t>Seída</t>
  </si>
  <si>
    <t>…dinaria que pueda De la oficialidad del batallón de la milicia nacional activa de Al- recompensarle de la quiebra de su bu-na fe, única base de la zsedadera coy, presentada por el Sr. Seída. política, y de la mengua de su reputación diplomática, puesto qui ma De la pagaduría é interv-ncion del ministerio de Gracia y Justicia, nifiesta ignorar el estado de Jas otras naciones. Un error de esta especie presentada por el Sr. Castejon. en asunto de t…</t>
  </si>
  <si>
    <t>Seijas</t>
  </si>
  <si>
    <t>…anizado, debía pasar á España para hacer la guerra a cura de Magadan , cuatro capitanes, un subteniente: y 4/ soldados, á los que los enemigos del sistema constitucional. Habló el Sr. Seijas en el mismo sentido, y en seguida el Sr. Serpa se les está formando sumaria con arreglo á la ley marcial. Incluvo á V. E. Maclvido sostuvo al fin de su discurso que ni el ni n idia que procediera la orden del día pava que se sirva mandarla inserUr en el diari…</t>
  </si>
  <si>
    <t>Selles, Josef</t>
  </si>
  <si>
    <t>Josef Selles</t>
  </si>
  <si>
    <t>…ere etc c. 1» , n. .1. i», -i—. oño. . 1..u ut.» al d "ais r c in cho. Aprobado. cluido , si el vecindario lo permitiere , á (uic.o de ia d putac.oa p.uOtro sobre la exoosicion de D. Josef Selles, comandante de la vuic.ai. partida de milicianos de esta capital destinada á perseguir contraban Quedó aprobado este nrlículo, poniéndose nombrados en vez de distas y malhechores. La comisión, en vista d: ios informes de los di fromuvUos , á petición del fir.…</t>
  </si>
  <si>
    <t>Semine</t>
  </si>
  <si>
    <t>…a., yproposición. Ya es tiempo de correr el velo que sobre la supresión de los pósitos de granos. oculta nuestra situación : la patria se ve en un in Se aprobó una proposición d&lt;d Sr. Semine para minente peligro; pero a «i como la representación que no se procediese a la discusión del rtqiart ¡mien nacional en otra época, y reducida á un estrecho ra- to debí contribuciones, : iti haber oido al secretario cinto, supo salvarse.y constituirse, ahora…</t>
  </si>
  <si>
    <t>Sempere</t>
  </si>
  <si>
    <t>…or la artillería france la guarnición , que hizo una salida en diferentes columt.as. Había sa, sostenida por su infantería y por la compañía de granaderos dispuesto ds antemano el general Sempere que el regimiento in de Alava. El batallón segundo de Guipúzcoa lo coioqué de re fantería de la Reina con su fuerza de 500 hombres ocupase la serva con el primero de Alava á las órdenes del brigadier ¿to- altura d« tas Balsas, manteniéndose emboscado , para q…</t>
  </si>
  <si>
    <t>…mpeones del ullracismo, acabala de netertar de la bif de tu división. esa c ta i. Esta apostas-a , que en si misma parece de poca impor El 3 del corriente debía entrar en Elche el general Sempere, tancia, es un .fenómeno que debe llamar la atención de cuantos quien parece vi«nc de Madrid á tomar el mando en jjefe de las</t>
  </si>
  <si>
    <t>Sempere, Juan</t>
  </si>
  <si>
    <t>Juan Sempere</t>
  </si>
  <si>
    <t>…, í 144 rs. en rústica y t8o en pasta. ne el tiempo anterior para su nuevo empeño; y que por lo respectivo á Se hallarán en la librería de Bailo. Historia del derecho español, por D. Juan Sempere. Cuadernos glos demás individuos que hubiesen obtenido su lic-ncia por exenciones y 6 : contienen las verdaderas causas de la ruina de la monarquía goda;que hayan cesado posteriormente, se observe lo que previene el pjrrafo Jos orígenes y vicisitudes del Gobi…</t>
  </si>
  <si>
    <t>…este establecimiento en pago de fincas y redenciones decen ■Mor-tfi.*’ io; á cuya quema se procederá cl día 7 del corriente mes en Ja plazuela de Historia del derecho español, por D. Juan Sempere, cuadernos 7.0 y las Descalzas. 8.°: contienen la conclusión del raspo histórico del Gobierno feudal; la Deuda con ínteres de distintos premios...... 40.809,616- * reacción de ¡as hermandades, gremios y cefrad as, y su influencia en k am Deuda sin ínteres....…</t>
  </si>
  <si>
    <t>Sendolos, Josef</t>
  </si>
  <si>
    <t>Josef Sendolos</t>
  </si>
  <si>
    <t>…fue obedecido y tuando al uniente D. Angel Saveche con unos cuantos lanceros respetado en defensa del Rey nuestro Señor, á que se prestaron á la cabeza del puente, y colocando al teniente D. Josef Sendolos primeros el estado eclesiástico secular y regular, sin haber qui en el camino de la Vega, cuyos puntos recorría el ayudante hecho falta en cosa alguna, antes bien tío cesaron de exhortar y £&gt;. Santiago Morillo, al mismo tiempo que verificó la sorpresa alarmar…</t>
  </si>
  <si>
    <t>Señor, Ba</t>
  </si>
  <si>
    <t>Ba Señor</t>
  </si>
  <si>
    <t>…il hablar que obrar, y muy grato poner faltas i las hostilidades de una y otra parte. Granada 4 de Agosto Jo que hacen los dema;. de 1813 =s Firmado. mEi general AloIitor..=Por el general Ba Señor, » que vemos purificados y puestos en sus destinos, ó en llesteros y con sus plenos poderes, el primer ayudante general de otros, á algunos de los que no pueden -nado por esta y la otra E. M.c=Fírmado.=Josef Guerrero de To.rres.zcEa copia confor- razón.” Noso…</t>
  </si>
  <si>
    <t>SEÑOR, PRESIDENCIA DEt</t>
  </si>
  <si>
    <t>PRESIDENCIA DEt SEÑOR</t>
  </si>
  <si>
    <t>…aría Jacmta Carrasco opinaba Sevilla ig de Mayo. que esta interesada usase de su derecho con arreglo á Las leyes. Aprobado. CORTES. Sobre ¡a exposición de D. Joset Ramón Zaldivar, capitán PRESIDENCIA DEt SEÑOR. FERSBR (DON JOAQUIN). de infantería destinado á Ultramar, opinaba que 110 podia acce Sesión del dia ig. derse á su solicitud. Aprobado. Se leyó y aprobó el acta de ia anterior. Sobre la exposición de D. Gerónimo Marchena, del comercio A la comisión de Legisl…</t>
  </si>
  <si>
    <t>Señores</t>
  </si>
  <si>
    <t>…icolás Here su presidente, rice-presidente y secrstario mas antiguo, que Jo era el dero Mayoral y D. Loienzo Lambía. Sr. D. '•*;-tin Serrano, han salido electos pira presidente el Sr. Don Señores que los declararon sediciosos: Villanueva y Rives. Francisco Javier Isturiz , diputado por la provincia de Cádiz; para vice Señores que declararon rio serlo: los restantes. presidente el Sr. D. Miguel Luis Üeptien, diputado por la de Catalu ANUNCIOS. ña , y p…</t>
  </si>
  <si>
    <t>Senosiaen, Bernardo</t>
  </si>
  <si>
    <t>Bernardo Senosiaen</t>
  </si>
  <si>
    <t>…ieta; pero como desde este pun atencion.de V- S. con respecto i los oficiales de la Corona D. Fran ió podía fácilmente contraraarohar por los Arcos, ó continuar per cisco Diiinao, D. Bernardo Senosiaen y D. A.u=t n Perez Ponse ,capí- Sta. Cruz de Campezu; suponiendo que no se arrojaría á intentar la tan , teniente y subteniente de granaderos, D. Antonio .Martin.z y salida por la Burunda, ni á internarse en ia provincia de S. S:hastian, D. Jonef Alonso, teniente y «…</t>
  </si>
  <si>
    <t>Seoane</t>
  </si>
  <si>
    <t>…del din 3. la ley orgánica. Leída y aprobada el acta de U anterior, te mandó agregir á ella el Él Sr. Sarabia : En los cuerpos de nuova creación que tengan ys veto particu ar dei Sr. Seoane, contrario ¿la aprobación del art. 1. so una ó dos sextas partes de su fuerza deberán licenciarte tus individuo» bre milicia activa. por cuartas ó quima» partes , si no resultarla que te encontrarían de in Las Cortes r.-c bieron con agrado la felicitación que…</t>
  </si>
  <si>
    <t>…r por no resolver cosa alguna de un .modo definitivo. Lagasca , Melendez y Soria. En efecto, ateniéndonos á las noticias verosímiles y probables que Para secretario fue elegido el Sr. Seoane por 65 votos de 128 , ha habia acerca del resultado del congreso de Verona , solamente se sacaba biendo tenido el Sr. Paterna 53,0! Sr. Romero 3 , y uno cada uno de en limpio lo siguiente : los Sres. Llórente, Atienza, Calderón , Sotos, Marchámalo, Infante 1.…</t>
  </si>
  <si>
    <t>…) en ellas en gefe del 6.a distrito militar, por el que se enterará de la situación la misma resolución. que pone á los de Mequinenza y sus alrededores; añadiendo yo ademas El Sr. secretario Seoane dijo que la secretaría había recibido mu i V. E. que segun el desorden que reina en aquel fuerte y población, chas exposiciones sobre lo mismo , y que las Cortes podían determinar podemos prometernos breves y felices resultados. si debían leerse íntegras. Las…</t>
  </si>
  <si>
    <t>[OI Btr?a g de Enero. D. Antonio Hermosilla. El orador leyó dicha exposición. La partid:. de cazadores de esta villa va limpiando estas cercanías El Sr. Seoane : Una comisión del batallón de jóvenes de esta capi da facciosos, y los persigue hasta los garages mas ocultos donde tratan tal me ha presentado la exposición que tendré el honor dé leer , feli de esconderse. Han sido aprehendidos varios de ellos desde el 30…</t>
  </si>
  <si>
    <t>…ranquilidad y la paz á las familias y á los pueblos. año ao. Sin embargo, mientras el sistema constitucional , que felizmente Del ayuntamiento de Olmedo, presentada y leída por el Sr. Seoane. nos rige, no acabe de mejorar las costumbres públicas, perfeccionando Ei Sr. Vaidés f D. Cayetano ) presentó á las Con... -na exposición la educación de ia clase indigente, facilitando la adquisición de la pro de', clu laJano D. Juan Gaya , del comercio de A…</t>
  </si>
  <si>
    <t>…elevarán al Gobierno (provincia. de Valladolid), y de la M. N. JL. V. de Ecija, presentadas las propuestas, representaciones y observaciones que le diríjanlos indi y leídas por el Sr. Seoane. viduos de este cuerpo , y por quien se comunicaran las órdenes "de ^'Go De la M. N. L. V. de la villa de Arés (provincia de la Coruña), bierno á todos sus subalternos. presentada y leída por el Sr.'Pumapejos. Art. 49. &gt;j Cuidará de la instrucción, subordinac…</t>
  </si>
  <si>
    <t>…turiz, cualquiera sugeto que convenga á la causa pública, hállese donde se Velasco y Oiiver para que se restableciese el máximum en los sueldos. halle. Tampoco se admitió otra del Sr. Seoane sobre que la escala de Se dice que puede abusar el Gobierno de esta medida; ;pero cómo descuento de tos sueldos sea en vez del 5 al 37 por 100 desde el 3 ha de proceder el Gobierno con menos adhesión al sistema que la al 70 per 100. que ha demostrado hasta el…</t>
  </si>
  <si>
    <t>…y porque deseo ver el porvenir favorable de facción. que ofrece el mismo discurso en todos los ramos de la administración pú Se mandó pasar á la comisión de Guerra una adición del Sr. Seoane blica ; por consiguiente yo quisiera que las Cortes tuviesen i bien mandar al art. 54 , tit. 14 de la ordenanza militar. leer las memoras de los secretarios del Despacho , ó á lo menos del de Es Se mandó) agregar al acta el voto del Sr. Meló, contrario á la d…</t>
  </si>
  <si>
    <t>…os acudan á deducirle 3 En la 27.a votación salió electo el Sr. Canga por 85 votos, habiendo los nominados juzgado y escribanía dentro de cuatro meses y 20 dias, por tenido uno el Sr. Seoane. que se ha fijado el primer edicto; apercibidos que pasados sin haberlo he En la 28.a votación fue elegido el Sr. Valdés (D. Dionisio) por 80 cho, se declarará vacante , aplicará al Crédito público, á quien están agre votos, habiendo tenido uno el Sr. Somoza.…</t>
  </si>
  <si>
    <t>…se resentirán muchas genera No se sabia en aquella fecha que los franceses hubiesen en ciones futuras. ¡ Ojala este horroroso cuadro pueda servir de es trado en Bilbao, aunque el Sr. Seoane, su digno gefe político, y carmiento en el resto del reino á los malvados que se opongan las autoridades habían salido para Santoña. al sistema constitucional que juramos guardar y defender! Segtin ¡as noticias recibidas, los facciosos y franceses muertes en…</t>
  </si>
  <si>
    <t>…á discusión en su totalidad esta razón creo que en este proyecto falta una parte esencia!, se procedió á ella. porque falta una parte que diga relación con todos ios que inter El Sr. Seoane : Sensible es cuando nos hallamos en circuns vienen en los dc-pi sitos de quintos, y sin ella no puedo aprobarlo. tancias las mas críricas que tengan las Cortes que perder un tiem El Sr. Becerra: Las impugnaciones que se han hecho hasta po precioso en discuti…</t>
  </si>
  <si>
    <t>…ctamen de ia cio de las Cortes á 30 de Mayo de 1823.2sJ11.rn de Sonsa Pinto- comisión. de Magallanes, prcsidente.i=Eruncisco Boto Pimentd , diputado Despules de haberlo apoyado el Sr. Seoane, se declaró el asun secrctario.ee;Antonio Vicente de Carvalho de Sousa, diputado to suficientemente discutido, Y no hubo lucar á votar sobre el. secretario. A la comisión, de Legislación se mando pasar un oficio del NOTICIAS DE ESPAÑA. Sr. secretario de la Gu…</t>
  </si>
  <si>
    <t>Seoane, Antonio</t>
  </si>
  <si>
    <t>Antonio Seoane</t>
  </si>
  <si>
    <t>…iere la guerra ; lo que desea su pueblo cerdotes en los papeles públicos. ts la paz. »• Se le dice que no vengando las injurias de Fernando v/t está com El gefe político de Bilbao D. Antonio Seoane ha asegurado al Rey prometido t-1 honor de su corona. Su abuelo Luis xiv no vengó in constitucional que nada le quedará que sacnfi.ar. Le ha suplicado s; jurias harto mas sangrientas; y cuando se trata de dign.Gsd , Luis xiv tirva admitir la renuncia que desd…</t>
  </si>
  <si>
    <t>Seoane, Antonio de</t>
  </si>
  <si>
    <t>Antonio de Seoane</t>
  </si>
  <si>
    <t>…ivisión volante de ógo hombres muy cuales serán endo»abies. valientes y muy entusiasmados por ia Constituc.on. Decima. Esto» billetes seradm.tiran en su totalidad er. el pa El br. coronel D. Antonio de Seoane que ha dirigido estas go de las sigu.entcs contribuciones. cartas desde Gibraltar , dice con fecha 19 del corriente, que Pa i.A Casa» y patente» dc»de i 0’ de Jubo de 182 3. larea con su división se había reunido el 7 de Agosto .1 las tropas 2.1 Extraordinari…</t>
  </si>
  <si>
    <t>Seoane, Mateo</t>
  </si>
  <si>
    <t>Mateo Seoane</t>
  </si>
  <si>
    <t>…cia de Cádiz; para vice Señores que declararon rio serlo: los restantes. presidente el Sr. D. Miguel Luis Üeptien, diputado por la de Catalu ANUNCIOS. ña , y para secretario elSri D. Mateo Seoane, que lo es por la de Valladoücí.” Habiéndosz suprimido la universidad de Alcalá, 3. M. se ha ser vido comisionar 3 D. Joaquín Lumbreras para que entienda entre otros Dirección general de papel sellado y penas de Cámara. objetos en el de liquidación general de…</t>
  </si>
  <si>
    <t>Seoar.e</t>
  </si>
  <si>
    <t>…sorteo a todos los mi— uno el Sr. Villaboa dei total, que fue 70. Fcianos; pero esto es demasiado seno y demasiado trascendental , y ha teni En la tercera votador, saüu electo el Sr. Seoar.e por 8- voto», que era do que limitarse á la gracia de que h.i hablado anteriormente, esto es, que el total. cualquiera de lo', milicianos de que lvabla este articulo que ic toque la suer En la cuarta votación lo fue el Sr. Alava por SS votos, del total qus te…</t>
  </si>
  <si>
    <t>Seoenc, Joaquín</t>
  </si>
  <si>
    <t>Joaquín Seoenc</t>
  </si>
  <si>
    <t>…e, un sargento , 3 ¿Rbos, 25 soldados de varios cuerpos, y á los alcaldes de aquella villa, acogiéndose al indulto, la facción que y tí presidiario! confinados a Ceuta. Pasaderos. D. Joaquín Seoenc, espitan graduada de teniente coronel, con su esposa y na asistente,mandaba D. Miguel da Céspedes-, compuesta da 35 hombres dií caba D. Juan Redondo, primer cirujano de la armada; Fr. Francisco Jimé llería j siete de á pie, incluso el gefe. nez; Doña Antonia…</t>
  </si>
  <si>
    <t>Sepane</t>
  </si>
  <si>
    <t>…vana, y sobre la supresión de los arbitrios destinados á la reparación del muelle y otras obras de pú pósitos de granos. blica de utilidad. Aprobado. Se aprobó una proposición del Sr. Sepane para que no se Se mandó quedar sobre la mesa el dictamen de la comisión procediese á la discusión del repartimiento de las contribuciones de Casos de responsabilidad acerca de la queja dada por varios ve sin haber oido al secretario del Despacho de Hacienda,…</t>
  </si>
  <si>
    <t>Sepe</t>
  </si>
  <si>
    <t>…scurso que pronunció un deseo de conc-der este perdón, y les arredra solo el resultado. Yo en la Cámara de los Pares el príncipe Falleirand, cuyo nombre es bien solo responderé al Sr. Sepe en , cuyo corazón veo mas, atemorizado. conocido en los fastos de la revolución francesa. Excusado es decir que Cuando yo vea que falta en el corazón de los españoles la gene- este discurso tiene toda la majestad y toda la fuerza, que acompasan tosidací y mag…</t>
  </si>
  <si>
    <t>Sepilen</t>
  </si>
  <si>
    <t>….................................-................. 1 t el Sr. Montesinos. En Ceuta...................................... 1 1 Del ayuntamiento constitucional de Tarragona, por el Sr. Sepilen. En Sevilla............................... ........................... -....... 1 r Del administrador principal de correos de Cicerei y de la milicia En Badajoz................................................ 1 r nacional voluntaria de Garróbillas, por el Sr.…</t>
  </si>
  <si>
    <t>…atar al atrevi un Bessieres, un Misas y tantos otro.. Nada mas que ia memoria pa-- do qus osa atacarla. saverá de que pagaron sus crímenes en un cadalso-CLCttas y ciertas per - El Sr. Sepilen : Por el dictamen que se discutí se traía d; conceder sonas ; y por el contrario, perdóneseles , ¡que sucederá; ¡que-mémorr»- una amnistía á ¡os cabezas ds los facciosos, es decir, que se les-concede quedará; La mas .grata, la mas sublime ,xl testimonio mas/a…</t>
  </si>
  <si>
    <t>Seprien</t>
  </si>
  <si>
    <t>…luz para saber cuál habla sido de ios señores Munaniz, Infante y Marchámalo. la suprema voluntad de los diplomáticos de Verona, Todo cuanto sa Para vice-presidente fue elegido el Sr. Seprien por 69 votos de 1 3 r, bíanlos era por meras conjeturas y sospechas; y si en estas había ver habiendo tenido el Sr. Meló 48 votos: 5 el Sr. Calderón: 2 el Sr. To dad, seguramente que no era necesario andar centenares de leguas para mas , y uno cada uno de los…</t>
  </si>
  <si>
    <t>Sept.en</t>
  </si>
  <si>
    <t>…as Cortes que hoy mismo se Manso y Cuevas, contrario á ia decisión de no comprenderse tu el articulo dé cumplimiento al contenido de la ley.” roo del reglamento !a proposición del Sr. Sept.en. En seguida se declaró no estar comprendida dicha proposición en el La comisión de Godizo de procedimientos militares manifestó) io útil articulo roo del reglamento, y si ser primera lectura. que seria continuase agregado a ella ei capitán de artillería D. Sa…</t>
  </si>
  <si>
    <t>Séptico</t>
  </si>
  <si>
    <t>…ntes de la Puna eí 27 de Julio. Dice Rey que acto se conformen los que acaban de discordar.” Aprobado. antes de salir del Callao !e hizo el director general Cruz arreglar para Del Sr. Séptico al art. 43: Después de la palabra suficiente se aña ambos buques , que estaban ya esperando, el repuesto necesario para dirá sin justificarla en manera alguna.'' La comisión opinaba que no montar el cabo, y que le aseguró que vendrían ú las costas de España,…</t>
  </si>
  <si>
    <t>Septien</t>
  </si>
  <si>
    <t>…os la muerte de dos sol De los gefes, oficiales y tropa del batallón de milicia nacional activa dados de Toledo , tres mas heridos del mismo, igual númaro de caza de Játiva por el Sr. Septien. dores de Calatayud y dos oficiales de las milicias activas de Fugo yt ¡ De los individuos que componen el quintod apartamento de artillería. de esta ciudad. £1 enemigo en seguida , coronando todos ios castillos y* O De los ciudadanos militares empleados en l…</t>
  </si>
  <si>
    <t>…ño! septien se ha extendido á algo mas, y quiere que se hable 3 la jan que se adopte la medida propuesta. Nación, lo cual se hace todos ios dias, como ha dicho el Sr. Infante, Él Sr. Septien ha dicho que antes de tomar esta medida seria con sin necesidad de ningún manifiesto; pues á la verdad seria muy ex veniente hablar á la Nación ; yo ciertamente no me opondré i que se traño que *n circunstancias criticas, ames de entrar en la discusión le hab…</t>
  </si>
  <si>
    <t>…Ademas de los medios constitucionaw les que tienes para proceder con acierto en cualesquiera circunstanseguridad de las Cortes. En cuanto á la objeción que ha hecho al artículo el Sr. Septien de n cías, las Cortes creen conveniente que consultes sobre este punto á una que es inútil é inoportuna esta medida, ya ha contestado el Sr. Marau. « junta de militares.” Yo no me opondría á que se diese un manifiesto á la Nación, exponien Ademas, señores, si…</t>
  </si>
  <si>
    <t>…se trataba de pasar este asunto á una co carro de la esclavitud é ignominia los mismos que derraniiion misión. tanta sangre por la libertad , extendidas por este hermo.o suelo El Sr. Septien manifestó que el que representaba no se que esas hordas de bandidos, oprobio de la humanidad y tenor del jaba de um providencia tomada por la autoridad militar, sino viagero y ciudadano pacífico, diseminados por los pueblos y ca por Ja civil. seríos una porci…</t>
  </si>
  <si>
    <t>…a muy posterior, y preguntó á la secretaría si le constaba la le mera parte del artículo hasta donde dice » decididos por la Cons gitimidad de ella. titución” y quedó aprobada. El Sr. Septien se opuso á que la secretaría diese esta contes Se abrió la discusión sobre la segunda parte modificada por tación , porque no se han usado nunca en las Cortes preguntas de la comisión en estos términos: »Los gefes políticos y las demas esta especie. autoridad…</t>
  </si>
  <si>
    <t>…sunto suficientemente discutido , y quedo apro vicio de su religión v en razón e. su eced sexagenaria, opinaba bado el dictamen. que podía acccderse A.esta soí.c.utd. ApicMido. El Sr. Septien : La heroica villa de Madrid , siempre fecunda La comisión de Alarma opinaba no poma acccderse al perdón en sucesos, acaba de dará la Nación un día de gloria en el 20 de de cierta cantidad, que solicitaba Peña Rose. -Adán. Ap:ciado.</t>
  </si>
  <si>
    <t>…mo tiempo con lo duro y critico Se mande) quedar sobre la mesa el siguiente dictamen de la de las c.rcunstanclas. comisión de Comercio sobre la proposición de los Sres. Varóla, El Sr. Septien habY) en contra d.l art;cu!o por conAlc-rar!# Santos Suarez y Fcrrer, presentada en la sesión del 25 del mes inútil, pues en su concepto se perdía eonseau.r el ni sino tu: por último. nied.o de !a facultad i :d que conc.de la Consfituc.on al Rey. La comisión…</t>
  </si>
  <si>
    <t>…antes exami do en este bando, que se publicará con las formalidades preveni nase la comisión cuales eran estas. das, fijándose en los parages acostumbrados para que nadie pueda El Sr. Septien: En primer iugar la cuestión que se ha susci alegar ignorancia. tado es inútil, y en segundo me parece imprudente. Se prueba Barcelona ti de Julio de iSag.nxAntonio Rollen. que es inútil, porque en todos los decretos expedidos por las Cor les dando facultades…</t>
  </si>
  <si>
    <t>…or decreto de Jas Cortes. Furriel. Habiéndose votado otra vez el dictamen de la comisión de __Con arreglo al tratado de préstamo de 6 de Noviembre de Hacienda sobre la adición del Sr. Septien al dictamen de la mis 1820, y al convenio Subsiguiente de j 5 de Diciembre del mis ma acerca del sueldo de los ex-secretarios, cuya votación había mo, ajustados ambos entre la casa de Ardoin, Hubard y com quedado empatada, lo fue otra vez por 46 votos contra…</t>
  </si>
  <si>
    <t>Sepúlveda</t>
  </si>
  <si>
    <t>…iendo una La misma com:s&lt;on opinaba se accediese á la solicitud Je enmienda. Doña Josefa Pérez sobre concesión de la viudedad que la corres El Sr. Derramado dijo que hallándose el general Sepúlveda pondía por muerte de su marido. Aprobado. dentro del edificio de las Cortes seria bueno fuese introducido La comisión de Casos de responsabilidad, en vista ¿le! volu en la sala, á fin de que oyéndole se pud.ese votar con mayor co minoso expediente promovido p…</t>
  </si>
  <si>
    <t>…idas en la ordenanza de Ja Al. N. L. el c-io.n debia tener por el mas fiel defensor de sus derechos. Habla Gobierno remunerará los servicios de estos cuerpos, incluso» ¡os mos deJ brigadier Sepúlveda esc. graden y sueldos y el abono de servicio como las demás tropas: Las últ.mas sesiones de las Cortes de Portugal son interesan que i.uaimente se declare á estos cuerpos d mismo derecr.o tísimas; pero 110 podemos hov decir cuanto queramos, y con que á los mi…</t>
  </si>
  <si>
    <t>…ue la Consti- tiese una requisición en forma de estos objetos si los creía nece tuc'on ¡es conhere ea momentos de peligro acaban de nombrar sarios , en lo que quedamos acordes. al general Sepúlveda comandante de las fuerzas de la capital , en &gt; « Hice observar por un destacamento de la guardó de poli cargándole la dcLnsa y seguridad de ella, mientras V. M. resuelve cía la direcc.on que llevaban lo, dos cuerpos disidentes, y con sobre el presente rn.nsag…</t>
  </si>
  <si>
    <t>…uno, señores diputados y el concurso de las galerías repitiendo conti cuyo total era de 2760: el cómo y cuando se empezó á descon nuos y enérgicos vivas.) fiar de la traición del general Sepúlveda, y el modo con que es El Sr. Serpa Pinto dijo que en esta ocasión era necesario que capó de las manos de la milicia nacional, debiéndolo á la gene el Congreso mostrase su firmeza, y diase la mayor publicidad á rosidad del general en gefe y de otro ciudadano:…</t>
  </si>
  <si>
    <t>Sepúlveda, Ildefonso</t>
  </si>
  <si>
    <t>Ildefonso Sepúlveda</t>
  </si>
  <si>
    <t>…á S. Sebastian. El parlamentario prescribe la Constitución de la Monarquía. Ella lia recaído en d de este general fue recibido á fusilazos. Nuestras tropas se apode presbítero Dr. D. Ildefonso Sepúlveda , cura párroco del pueblo raron de las alturas que dominan al castillo, adonde precisa de la Moca, eclesiástico que goza de la mayor y mas general opi ron á la guarnición á volverse. La impaciencia por pelear era tal nión por sus virtudes y sobresalientes cua…</t>
  </si>
  <si>
    <t>Sequeira, Fernando</t>
  </si>
  <si>
    <t>Fernando Sequeira</t>
  </si>
  <si>
    <t>…no ve en ellas mas que D. Francisco Martínez ; capitanes, D. Manuel de Yanez , D. Ni unas esclavas que le aman en la apariencia, y le aborrecen en rea colás de Llano; subteniente, D. Fernando Sequeira. San Fer lidad. En vano cada una de estas mugeres le asegura c n las ma nando 20 de Agosto de 1B 2 3. = Bartolomé Gutiérrez Acu fu. yores veras que le ama mas que las otras; en vano se esmeran á porlia cuando entra en el harem en prepararle la pipa y las chi…</t>
  </si>
  <si>
    <t>Sequeircs, Josef Ramón</t>
  </si>
  <si>
    <t>Josef Ramón Sequeircs</t>
  </si>
  <si>
    <t>…visaron por su flan objeto de exigir una contribución, y en esta misma tarde te han co izquierdo la tropa que iba mandando el capitán de la milicia acti marchado. va de Pontevedra D. Josef Ramón Sequeircs, quz bajó por la misma Barcelona a6 dt Alario. cuesta de Leginde, en donde encontró parte de la facción , á quien hi Primer distrito de operaciones.=Estado mayor.=Orden general del zo fuego y puso en desorden , dirigiéndose aquella hacia la parroquia 20 de Ma…</t>
  </si>
  <si>
    <t>Sequeiros, Josef Ramón</t>
  </si>
  <si>
    <t>Josef Ramón Sequeiros</t>
  </si>
  <si>
    <t>…rés Pardo, para auxiliarla contra los facciosos. ( Se dice que ha entrado ya efec que con una pequeña partida trataba de incorporarse con la que rstí á tivamente. ) Lt orden. » de D. Josef Ramón Sequeiros en el distrito de Ventosa; — Un periódico de esta capital publicó ayer lo siguiente : pro noticioso de que hab.a sido batido por la facción de toda la Un correo extraordinario que salió de París el 2a de Marzo llegó L ira , y obligado a retirarse í Lalin y ab…</t>
  </si>
  <si>
    <t>…del batallón de la Corona, del de Toledo , del de Mallorca, del 14 de Marzo de 1823.= Antonio Muñ¡z.” del i-° de Cantabria y los batallones ligeros de Tarragona y Barcelona. Y el capitán D. Josef Ramón Sequeiros coa aquella fecha y des Los comandantes generales de las tres primeras divisiones continua* de la misma villa me dice lo siguiente: rin encargado» como hasta aqut , y con arreglo al ait. 7.l.t. 3. , tra « Consecuente al oficio de V. i&gt;. fecha de ayer, que rec…</t>
  </si>
  <si>
    <t>Sequera</t>
  </si>
  <si>
    <t>…ortarse con decoro, y de respetar U justicia. De les individuos del tercer escuadrón de artillería, presentada por También nos amenaza el conde de Fojlgary con la pubbcacíon de el Sr. Sequera. su nota por todas las naciones de Europa ; mas no habrá podido me De los individuos de la secretaría del consejo di Estado, por Ic re nos de quedar sorprendido al ver que nuestro Gobierno se ha antici lativo á Gracia y Justicia, Gobernación y Propuestas. pad…</t>
  </si>
  <si>
    <t>Ser</t>
  </si>
  <si>
    <t>…o deL tamaño y letra igual, al antiguo diario de capital. aquella capital: surperíluo será advertir el estilo y el giro que si. Volvió á sostener su opinión el Sr. Puto Moniz y el Sr. Ser gue este periodista ; bastará, para conocerlo saber que publica unos pa Machado habló en los términos siguientes: pomposos versos á la entrada del duque de Angulema. Ei Sr. Serpa Machado: La serenidad de mi espíritu, nacida He aqui un rasgo moral de este nuev…</t>
  </si>
  <si>
    <t>Serna, La</t>
  </si>
  <si>
    <t>La Serna</t>
  </si>
  <si>
    <t>…parte. No era posible conseguir esta sin un grande sacrificio; murieron en Con respecto ! "los- tribunales eclesiásticos es preciso no perder de ella y en la acción del puente el comandante La Serna, tres oficiales, ^ista qiie hasta acfai'han egercido mucho despotismo; y yo he visto un sargento primero graduado de subteniente , £ 1 segundo de granade muchas de las tropelías en que han incurrido, y pudiera citarlas. El ros , un cabo y 14 soldados; y fuero…</t>
  </si>
  <si>
    <t>…do menos ce manifestar á V- E. que el brizad,cr Lic cedente del Perú, con pliegos r«uy important.» de¡ Sr. cap.i.m hera ve ha conducido en esta ooniurt con lodo el vaha \ dcci'.oa general La Serna para el Gobierno espaiioi. Habiéndose dirigido á que ¡..i:,- acreditado. Las tropas que tenia a su» 1 .rcieno , que Calais para pasar á Inglaterra, y desde allí á ióp.'.ñ.i , cuando es con»:»t«ari en el batallan de B.u Lastro a la», ordene» de va vvmaataba ya…</t>
  </si>
  <si>
    <t>Serp</t>
  </si>
  <si>
    <t>…l corriente. ■ los ministros &lt;F* Hacienda y Guerra, y al empezar la discusión soDe les gefes y oficiales del cuerpo nacional ds Ingenieros destina- brs el presupussto de gurrra el Sr. Serp3 Pinto píd&lt;o que el ministro •dos al n':® distrito militar. - d; este ramo manifestase qué número de hombres debí ría componer el Di varios ciudadanos-dé Bstanzos. egército que se necesitaba pira que las Cartes pudieran decretarlo con De los empleados en la f…</t>
  </si>
  <si>
    <t>Serpa</t>
  </si>
  <si>
    <t>…ra a cura de Magadan , cuatro capitanes, un subteniente: y 4/ soldados, á los que los enemigos del sistema constitucional. Habló el Sr. Seijas en el mismo sentido, y en seguida el Sr. Serpa se les está formando sumaria con arreglo á la ley marcial. Incluvo á V. E. Maclvido sostuvo al fin de su discurso que ni el ni n idia que procediera la orden del día pava que se sirva mandarla inserUr en el diario de esa de buena fe podía dudar de que la agre…</t>
  </si>
  <si>
    <t>…o., porque dob que el cene;vai puiVtd.t bC • MÍ laba en ei ed , ÍH no lodos serian cr.mínales. tés V que p.eL1 so lo cn&gt;,'íaNv »; p.el .i' ia U él 1 í &gt;L 2 1 oí va 0 s t V.C*' 1.1 Sr. Serpa l’uUu h zo algunas reflexiones en apoyo dei J.c- i.icsa se enterase de su ccu.te.i. io. be 1c cus.., a em...: . v e.</t>
  </si>
  <si>
    <t>Serraeapriola</t>
  </si>
  <si>
    <t>…quedase libre de austríacos aquella isla dentro de pocñUempo. Al del Despacho á entregar el discurso, que S. M. hubiera querido tener la difunto ministro napolitano en Petersburgo Sr. Serraeapriola retmnasatisfacción de pronunciar. za el Sr. Avalos, marques del Vasto. El Sr. secretario de ia Gobernación de la Península entregó al Sr. pre Los periódicos ingleses desmienten la noticia que algunos hablan pro sidente dicho discurso. pagado de haber vuelto l…</t>
  </si>
  <si>
    <t>Serrano</t>
  </si>
  <si>
    <t>…rido. Solo tengo el sen Al monte pió de oficinas por timiento de tenerle que manifestar por de pronto haber sido herido cuenta de atrasos.......................... 246,182-2 2. el brigadier Serrano en la mano derecha , practicando un reconocimien A davolucion de depósitos............ 1,500. to con el teniente coronel D. Juan Vizel, del cuerpo de artillería , í Imprevisto ser.eral. fin de colocar una batería muy inmediata al fuerte; pero no ha s do A imp…</t>
  </si>
  <si>
    <t>…obligación especial de cada pueblo •riz; para la de Diplomacia a! mismo Sr. ísturiz ; para la de Poderes al el pago de las dotaciones ó asignaciones hechas á los párrocos coadjuto Sr. Serrano, y para la de Guerra al Sr. Alonso, todos en lugar del se res , beneficiados , fábricas parroquiales y establecimientos de beneficen ñor presidente y vi&lt;-?-presider.te. cia é instrucción del mismo pueblo, como también la cuota que te lu El Sr presidente anunc…</t>
  </si>
  <si>
    <t>…Romero por 85 votos, ha Manrique y Manrique. biendo tenido uno el Sr. Isturiz. Habida la conferencia, se declaró por unanimidad haber lugar i la En la 19.* votación fue electo ei Sr. Serrano por 90 votos, habiendo formación de causa. tenido uno el Sr. Suarez. En la 20.a votación fue elegido el Sr. Villanueva por 91 votos, ha TRIBUNALES. biendo tenido dos el Sr. Marchámalo. En la 2 i.a votación salió electo el St. Navarro Tejciro por 89 votos, En…</t>
  </si>
  <si>
    <t>Serrano, Jos-f Antonio</t>
  </si>
  <si>
    <t>Jos-f Antonio Serrano</t>
  </si>
  <si>
    <t>…arte al Gobierno que una pequeña par ción, sita en el piso bajo de la cusa lonja de esta ciudad. tida de infantería y caballería , al mando del teniente de és Por fallecimiento de D. Jos-f Antonio Serrano está vacante ta arma D. Josef Antonio Foja, ha deshecho una facción que una plaza de mag,tirado de la audiencia de Extremadura, l.os recorria los pueblos del marquesado de Moya, haciendo vamos pretcnd.entes que se consideren con los requisitos necesarios, pre…</t>
  </si>
  <si>
    <t>Serrano, Pedro</t>
  </si>
  <si>
    <t>Pedro Serrano</t>
  </si>
  <si>
    <t>…tenecientes á los capitales de dichos vitali cios señaladas con los núms. 1003 , 1004, 1005 y 1006 , también del Contonea la lista de las felicitaciones dirigidas á S. M. referido D. Pedro Serrano como padre y administrador de sus hijos, Del ayunt. miento constitucional de la Coruña—De la milicia na á quienes correspondían. Se suplica i la persona qu; tenga noticia de cional voluntai a de caballería de Toro__ Del cura párroco y varios estos documentos…</t>
  </si>
  <si>
    <t>Serrano, Ramón Freire y</t>
  </si>
  <si>
    <t>Ramón Freire y Serrano</t>
  </si>
  <si>
    <t>…casti que designasen las asambleas de Santiago, Concepción y Coquim llo de Belen. bo , y un poder ejecutivo, que por otra acta se puso en el maris Agosto 13 de 1823. cal de campo D. Ramón Freire y Serrano. » Al Sr. conde de Pálmela, ministro secretario del Despacho El Verdadero amigo del país cita un manifiesto formado por de Negocios extrangeros de Portugal. la junta gubernativa al desnudarse del mando, que no ha llegado » Excmo. Sr.: Doy con sentimiento un p…</t>
  </si>
  <si>
    <t>Serrano, Tomas Juan</t>
  </si>
  <si>
    <t>Tomas Juan Serrano</t>
  </si>
  <si>
    <t>…io. Murcia 27 de Abril de 182 g.cczPedro Chacón.” por la causa pública, y no se distingue poco en esto el presbítero _Se ha reimpreso la representación de esta sociedad patriótica D. Tomas Juan Serrano y otros. á las Cortes , pidiendo que los obispos españoles sean reintegrados ___Se está reimprimiendo aquí la preciosa obrita de D. Joaquín en sus derechos. Lorenzo Viilanueva , cuyo título es: v Mi despedida de la curia __En los puertos de España han sido de…</t>
  </si>
  <si>
    <t>Serrano, Vicente</t>
  </si>
  <si>
    <t>Vicente Serrano</t>
  </si>
  <si>
    <t>…compañando a! general francés que manda en Se medades agudas; enseñando por la tarde las crónicas el profesor villa , que vihoá ver al Sr. duque : á ia puerta de ia casa destinada D. Vicente Serrano. El que quiera matricularse de alumno ds ‘ La escuela acudirá á la calle de Alcalá, encima del hospitalÍara alojamiento de S. E., que lo fue en casa de D. Josif María lodiigurr Romero, predicador de S. M.; recibió a S. E. el cle Real del Buen-Suceso , cuarto…</t>
  </si>
  <si>
    <t>Serrano-</t>
  </si>
  <si>
    <t>…d de Teruel ,por y vastas posesiones. el Sr. López Cueva». » Es probable (dicen) se declaren estas comarcas independientes, De la milicia nacionat de Castellón de la Piaña, por el Sr. Serrano-. de hecho aun cuando vengan las fuerzas navales i Lima ; pues de en De la milicia voluntaria del Ferrol, y de un número Éoniiderable viarlas á llegar aqui con felicidad hay alguna diferencia, por no con de ciudadanos de la Coruña, por el Sr. Pumarejo. tarse c…</t>
  </si>
  <si>
    <t>Serta-.g, Ramón del Diát y</t>
  </si>
  <si>
    <t>Ramón del Diát y Serta-.g</t>
  </si>
  <si>
    <t>…do de atender Las Cortes recibieron con particular agrado, y mandaren se pasase en las actuales circunstancias á la manutención de ia dignísima Ci&lt;ss al Gobierno una exposición de D. Ramón del Diát y Serta-.g, presi del clero y á las urgencias de) Estado. dente del consulado de Málaga, pidiéndose le admitiesen en el servi Ultimamente, no puedo menos de dar las gracias á la comisión cio nacional militar sus dos hijos D. Manuel y D. Rzn.;-.; , uno de 16 por lo gener…</t>
  </si>
  <si>
    <t>Servicio, Antonio Perez Duran----</t>
  </si>
  <si>
    <t>Antonio Perez Duran---- Servicio</t>
  </si>
  <si>
    <t>…e habia dicho el Sr. secreta Gefe de dia por atrasado el comandante del segundo batallón rio de Hacienda, dijo que la comisión no habia adoptado el siste de ia M. N. L. de Sevilla D. Antonio Perez Duran---- Servicio ma de presíamistas, porque ¡o consideraba injusto en las actuales á palacio la Reina y M. N. L. de Madrid, á las órdenes del se circunstancias, como ya lo habia manifestado á S. S. gundo comandante de la milicia activa D. Domingo Surga---El Sr. Cano dijo que…</t>
  </si>
  <si>
    <t>Sesé, Josef Alfonso Clavero y</t>
  </si>
  <si>
    <t>Josef Alfonso Clavero y Sesé</t>
  </si>
  <si>
    <t>…e empezarán á contarse de las cuatro vinculaciones que fundaron D. Francisco Henriquez de desde i.° de Octubre deiSri (como se anunció en la gaceta de Gobier Estrada y ZúBiga, Fr. D. Josef Alfonso Clavero y Sesé, D. Pedro de no de 14 de dicho mes de Octubre),y concluye el 31 de Marzo de Peñalver, presbítero, y el Dr. D. Juan de Peñalver , comparecerán 823 , en Sevilla á Doña Gertrudis de Soto, calle Cadenas, núm. 7, por sí ó por sus apoderados en el juzgado de primer…</t>
  </si>
  <si>
    <t>Sestea, Tomas</t>
  </si>
  <si>
    <t>Tomas Sestea</t>
  </si>
  <si>
    <t>…er ayudante, á la fuerza de Navarra que se ha El comandante del bergantín goleta Diligente el teniente de llaba á ia izquierda en una altura atacada por cuatro columnas de fragata D. Tomas Sestea desde el puerto de ia Coruña en 19 para que siguiese el movimiento de la de mi mando. Desgracia del actual da parte de su llegada allí, procedente del de S. Se damente no llegó dicho ordenanza, seguti me ha manifestado su bastian, donde se hallaba al aproxima…</t>
  </si>
  <si>
    <t>Sevilla</t>
  </si>
  <si>
    <t>…ndo nos invadió en. 1808 con el mismo objeto que cito de operaciones con el cuartel general y oficinas. Desde el mo ahora. mento en que dicho general recibió Jas instrucciones del general Sevilla 70 de Mayo. en gefe de este ejército se nota la mayor actividad , y todo se po CORTES. ne en movimiento, con lo que r&gt;o d idamos que se reanimará el espíritu público, pues todos están convencidos de la necesidad que PRESIDENCIA DEL SEÑOR FERRER (DON JOAQUIN).…</t>
  </si>
  <si>
    <t>…pas inglesas dé Gi— D-'l Constitucional de Mátala hasta ti braltar, Malta y Corfú, después de permanecer algunos dias en Consecuente, dice este periódico, á la circular del Excmo. Sr. Sevilla. general en gefe del ejército de reserva salió ayer para Carmona el diputado de esta provincia D. Esteban de Alba. En aquella Extracto de noticias extrangeras sacadas de los periódicos in ciudad se deben reunir los ocho representantes del p.° y io.° dis glese…</t>
  </si>
  <si>
    <t>Sevillano, Angel García de</t>
  </si>
  <si>
    <t>Angel García de Sevillano</t>
  </si>
  <si>
    <t>…Excmo. Sr. general en gefe, igualmente lo hará el Aprobado. comandante general de artillería. La misma comisión , en vista de la exposición de Doña N. Art. 2.0 El segundo ayudante general D. Angel García de Sevillano, hermana que fue de un gobernador de Santander, so Borunda permanecerá en esta capital encargado de la sección de licitando una pensión sobre espolios, opinaba que la Nación no estado mayor que queda para despachar todo lo perteneciente á se halla en citado d…</t>
  </si>
  <si>
    <t>Se’, Ildefonso</t>
  </si>
  <si>
    <t>Ildefonso Se’</t>
  </si>
  <si>
    <t>«Ene! presante día 25 de-Febrero sí han comí, luido las Cortes Ai. N. A. de Teruel D. Ildefonso Se’ .res__ F.t segundo tenienra de de la N icion española de los añas rlc i3r2 y 1 í¿ 3 t-n 'd secundo la guardia Real graduado de teniente cotonci D. Francisco Velarrle período de su legislatura ordinaria ; y iian elegido paia su presidente al Secretario del gen…</t>
  </si>
  <si>
    <t>Sichi, Francisco</t>
  </si>
  <si>
    <t>Francisco Sichi</t>
  </si>
  <si>
    <t>…ndo una exposición de D. Francisco Ramón Quinto, rechinando el que paseen las iglesias, empezando por los diezmos, y acabando por lo reintegro de las cantidades que se prestaron á D. Francisco Sichi, cón que produce el decir mbas y cantar el requiero sul de España en Túnez, Se mandó pasase á la comisión de Hacienda. Los iros. Valdés Bustos y Prado deshicieron algunas equivocacio Continuó la discusión del dictamen de la comisión de Visita de nes , en que…</t>
  </si>
  <si>
    <t>Sicnz, Francisco</t>
  </si>
  <si>
    <t>Francisco Sicnz</t>
  </si>
  <si>
    <t>…os, no debia accederse á esta solicitud. La misma comisión en vista de la exposición de Doña An Habiendo manifestado el Sr. Canga que este expediente tenia tonia Apodaca, viuda dé D. Francisco Sicnz, solicitando una relación con un punto de la memoria de Hacienda, manifestó el pens'on , y teniendo presente el informe del Gobierno , opinaba Sr. presidente que quedaba sobre la mesa este dictamen. no debia accedcrsc á esta solicitud. Aprobado. La misma comi…</t>
  </si>
  <si>
    <t>Siena</t>
  </si>
  <si>
    <t>…artillería. presentat preposiciones de recursos aislados para atender 4 las _Se,habia tenido por perdida en un naufragio á la fragata es pañola La Veloz Mariana, perteneciente al señor Siena, de! obligaciones del día. Se leyó la siguiepté proposición del Sr. Sánchez: » Habien comercio de Cádiz ; pero se acaba de saber hallarse detenida por do Sido violado el sagrado del territorio español por las tropas los franceses en la Martinica. El valor del…</t>
  </si>
  <si>
    <t>Siena, Víctor</t>
  </si>
  <si>
    <t>Víctor Siena</t>
  </si>
  <si>
    <t>…acar á la facción portuguesa, que se halla en Mansilla y ñor: El comandante de la columna volante del primer distrito en León . según Jas noticias que he tenido se han salvado los D. Víctor Siena me dice en íó del actual io que sigue: Exce fusiles que habia en aquella capital. lentísimo Sr.: Conforme á lo que tenia hecho presente á V. E. « El general Do-Rego y yo quedaremos esta noche á una ó con fecha del 14 continué el movimiento á cortar la facción…</t>
  </si>
  <si>
    <t>Siendo, Luis del Cor</t>
  </si>
  <si>
    <t>Luis del Cor Siendo</t>
  </si>
  <si>
    <t>…dias com Por la noche hubo iluminación general-. La sociedad liberal filan parezca al efecto en dicho juzgado y escribanía. trópica estuvo concurridísima. El digno ge Te político D. Luis del Cor Siendo pasados los dos primeros términos del anuncio hecho en lo» ral y otros ciudadanos ocuparon la tribiinn', y arengaron al pueblo de periódicos, llamando y emplazando ¿ todo» los que se consideren con dd modo propio de hombres libres. Muchos ciudadanos, concluid…</t>
  </si>
  <si>
    <t>Sier, Víctor</t>
  </si>
  <si>
    <t>Víctor Sier</t>
  </si>
  <si>
    <t>…el Ablsval, comandante general del primer distrito mi dos á las demas potencias, para su inteligencia y cumplimiento, han litar , y gefe político de esta provincia, ha recibido de D. Víctor Sier agriado de tal modo á esa misma familia europea, que quieren sujetar á ra , comandante de una de ias columnas volantes de este primer distrisus medidas, que la santa alianza , su principio monárquico, su incom toen persecución de facciosos, el parte siguiente…</t>
  </si>
  <si>
    <t>Sierra</t>
  </si>
  <si>
    <t>…las vuelven Se había tenido por perdida cu un naufragio á la fragata espa contra ellos, sin tener mas medios que su incansable valor , sos ñola La Velos. Mariana, perteneciente al señor Sierra, del co tenido por la profunda indignación que les inspira la bárbara mercio de Cádiz; pero se acaba de saber hallarse detenida por Opresión de que por espado de tanto tiempo fueron víctimas. los franceses en la Martinica. El valor del cargamento de este Los…</t>
  </si>
  <si>
    <t>…n para reprobar el ataque atroz cometido con D. Justo Machado, id, . ............................ 5° tra España, no solo por la Francia sino también por todos los des. El teniente coronel Sierra............................ 5 potas ligados en la Santa Alianza. Tengo mucha satisfacción en El teniente coronel Cueto............... . . . . 5 dirigir la palabra á una asamblea que representa todo el pueblo libre de Inglaterra, pues que no habrá un solo homb…</t>
  </si>
  <si>
    <t>Sierra, Alonso</t>
  </si>
  <si>
    <t>Alonso Sierra</t>
  </si>
  <si>
    <t>…mañana, para que no pase de Torija, lo egecuta- continué á Tafallo , desde donde hice marchar á Lárraga &gt;nci lé asi saliendo á las dos de esta tarde-=Todas las tropas siguen en el D. Alonso Sierra con su regimiento de Valencey y el ligero de B»¡mejor orden , y es admirable el entusiasmo y constancia de todos; len , asi para cubrir aquel punto como para aproximar mas tropas á pero particularmente de la milicia nacional local que marcha por pri las del'm…</t>
  </si>
  <si>
    <t>Sierra, Alonso Luis de</t>
  </si>
  <si>
    <t>Alonso Luis de Sierra</t>
  </si>
  <si>
    <t>…ecretarías del Despacho, Gefes y Ofi ta, condecorado con las órdenes de S. Fernando y S. Hermene cíales de la extinguida milicia nacional voluntaría; prohibiéndo gildo y oirás-, y D. Alonso Luis de Sierra, coronel del regi les para siempre la entrada, en la corte y sitios Reales al radio miento de Valenqey, condecorado con muchas órdenes milita—, de quince leguas. Esta Soberana determinación es la voluntad de res, Gobernador en segunde de la plaza y del castil…</t>
  </si>
  <si>
    <t>Sierra, Josef María</t>
  </si>
  <si>
    <t>Josef María Sierra</t>
  </si>
  <si>
    <t>…l juzgado del Sr. juez de partido de la ciudad de Carmona Don do vil quede en libertad para dar á sus pueblos ins.a liciones que no Blas Josef de Martos, y presencia del escribano D. Josef María Sierra, pueden recibir sino de él solo , para desvanecer asi la i f¡mandas in se siguen autos, que tuvieron principio en 24 de Julio de 1822 á ins quietudes de la Francia. tancia de D, Juau Méndez, vecino de Tosina, sobre la partición ¡Y no pudiéramos nosotros exigi…</t>
  </si>
  <si>
    <t>Sierra, Víctor</t>
  </si>
  <si>
    <t>Víctor Sierra</t>
  </si>
  <si>
    <t>….=Joaquin Fcrri, alcalde citarte .=; viáx.mo » Asimismo recomienda Steger el zelo, valor y actividad del digno Alcon erjosef García, regidores.crtDe orden dei ilustre ayuntamiento comandante D. Víctor Sierra y su columna, pues apenas oyó los tiros constitucionai=ialvador de Alagon , secretario. de la suya se puso á escape con ia caballería , llegando al pueblo á AI siguiente dia 30 el ayuntamiento publicó el aviso siguiente. = tiempo que se estaba concluyendo la…</t>
  </si>
  <si>
    <t>Sierra, Victor</t>
  </si>
  <si>
    <t>Victor Sierra</t>
  </si>
  <si>
    <t>…en el continente indiano. los cabecillas Pelayo y Batanero, según verá V. E. por el im Este proyecto, concebido cuando se hizo la expedición á Egipto, preso del parte que me dióel comandante D. Victor Sierra. indicado otra vez por el mismo Pablo, y seguido recientemente y En el puente de Auñon ha sido rechazada la facción de Bes- en circunstancias muy diversas, parece haber dado un nuevo gra ticres por las tropas de Cuenca, causándoles 23 muertos. do de autoridad…</t>
  </si>
  <si>
    <t>…nzan hasta el 29! que con lecha 1.° del actual me ha dado el comandante" de caba de Marzo inclusive, y no contienen noticias de la mayor trascen llería en persecución de facciosos D. Víctor Sierra, resulta que dencia. Continúan los preparativos militares, la agitación en mu el teniente D. Manuel Diaga y el alfer ez D. Ramón Franco , del chos puntos de la Francia, las causas contra los que han dado regimiento de Calatrava, con dos pequeñas guerrillas de…</t>
  </si>
  <si>
    <t>…n. Si aquella oíicina estuviese fuera columna de caballería del regimiento de Alcántara, al mando del distrito del batallón , se presentará el quinto en el pueblo des del teniente coronel D. Victor Sierra , algunos pocos del escua tinado p ra ia residencia de la plana mayor, donde se le filiará drón de cazadores á que da nombre esta capital/principiado á por el individuo del cuerpo que hubiere allí para este objeto. Ar formar por disposición de la diputación p…</t>
  </si>
  <si>
    <t>Sierra, Wenceslao</t>
  </si>
  <si>
    <t>Wenceslao Sierra</t>
  </si>
  <si>
    <t>…. . 3°considero como el baluarte de la libertad de Inglaterra, y espero D. Teófilo Bouligni, segundo secretario. 5que mientras aquella exista y se celebren jumas como la presente, D. Wenceslao Sierra , id............................ Slos amigos de la libertad no tendrán nada que temer, Mr. Denntan se presentó después, y dijo : Vengo á propo D. Antanio Caballero, id. - .................. . S ner una resolución para reprobar el ataque atroz cometido con D.…</t>
  </si>
  <si>
    <t>Sigiiei.za, Juan Corona y</t>
  </si>
  <si>
    <t>Juan Corona y Sigiiei.za</t>
  </si>
  <si>
    <t>…s en él , como para caer sobre el Hunco derecho del el mayor zelo y eficacia en esta gloriosa ¡ornada los comandantes de la enemigo , como lo verificó en unión del primer ayudante D. Juan Corona y Sigiiei.za D. Pedn Gustino y D. Hablo Baciga'.upi , añadien Obregon del batallón de Sieíienzu , que mandaba su compañía de eaza- do ene nuevo ir.árito i los muchos que tienen contraídos. deres de cien hombres. Esta tropa y laque ib» con Narvaez *e encan ,,Ví:,js venes he hecho mención…</t>
  </si>
  <si>
    <t>Siintjiktr</t>
  </si>
  <si>
    <t>…posteridad llegue á la negra página donde te de los dignos oficiales y demas individuos deque hzi-e mérito el esté escrita la nueva invasión de los franceses .que parece cierto se comandante Siintjiktr» en su citado parte» X)ios guarde n \'r. verificó por Irun el dia 7 del corriente sin previa declaración de muchos años. Burgos 8 de Abril de io23.=-Exceientisimo Sr. guerra, se estremecerá de horror, y concebirá el odio y el despre =: Carlos Espinosa. =cExcm…</t>
  </si>
  <si>
    <t>Silíceo</t>
  </si>
  <si>
    <t>…ana tenia por acérrimos defenso Emperador.” res a los mas de los prelados del reino , al frente de los cuales se Es muy extraño que un Monarca capaz de penetrarse de es hallaba el cardenal Silíceo, arzobispo de Toledo, que habia sido tas verdades y de escr.bir semejante carta, se condujese después preceptor dei Rey, y por tanto se estableció entre ellos y el por princip.os diametral mente opuestos, como veremos, con Papa una correspondencia regular y m…</t>
  </si>
  <si>
    <t>SilosMoreno, Fr Domingo de</t>
  </si>
  <si>
    <t>Fr Domingo de SilosMoreno</t>
  </si>
  <si>
    <t>…brigadier Palarea, cuatro coroneles, iris t nientes se celrbróm sa de pontifical con sermón por el ilustrísimo señor coroneles, 144 oficiales de todas graduaciones y 1164 soldados D. Fr Domingo de SilosMoreno, obispo de Canaten, con asis se han entregado prisioneros de'guerra, les que serán conducidos tencia del ayuntamiento, cab Idos y comunidades eclesiásticas, y á h rancia. del cuerpo uniformado y armado de voluntarios realistas con su Se han aprehendido ademas…</t>
  </si>
  <si>
    <t>Silva, Josef de</t>
  </si>
  <si>
    <t>Josef de Silva</t>
  </si>
  <si>
    <t>…eado ningún tra- g;;m derrota. bijo , y con este motivo recomiendo á" Ar. E. la muy 'patriótica Todo el asunto coróte puc* ahora en ver c- uro te ha de cor V espontánea oferta'que D. Josef de Silva, alférez" dél bata rer el velo sobre esta csccr.a . y para esto consideremos la - tu tllón de ai 1 Uleros orientales, hizo' ,á todos los cuerpos' de esta cion respectiva de los que‘represe-, ton en Tila. Ei p. •.La m.iit.o., •xinm.cion de una ración de vino'y…</t>
  </si>
  <si>
    <t>Silveira</t>
  </si>
  <si>
    <t>…de la provincia de Salamanca ha expuesto á ía Reino. Regencia del Reino que la división Rea.ista portuguesa al man n Sermo Sr. , El ayuntamiento de la M. N. y M. L. ciudad do del general Silveira, conde de Amarante, penetro en aque de Plasencia , á par que se felicita felicitando á V. A. por su lla provincia causando gastos de consideración, y que algunos feliz acuerdo de erección de una policía general en el reir,o, que pueblos se han presentado recl…</t>
  </si>
  <si>
    <t>Silveira, Cordeiro da</t>
  </si>
  <si>
    <t>Cordeiro da Silveira</t>
  </si>
  <si>
    <t>…e exponen es el En la sesión extraordinaria de Cortes dei dia 13 se leyó por segunda mayor de iodos y el mas inevitable; que la Península ha de triunfar cf vez una proposición del Sr. Cordeiro da Silveira, para que se diua ul Go perecer; que la Francia conoce las miras y la pérfida tendencia del ultrabierno que ajuste un tratado con España, á fin de que se entreguen mu cismo , y no abrirá con sus prop as mano» el sepulcro de su disertad y de tuamente los indiv…</t>
  </si>
  <si>
    <t>Silveira, Juan de</t>
  </si>
  <si>
    <t>Juan de Silveira</t>
  </si>
  <si>
    <t>…pitán general de la provincia del Minlio el general Gaspar Tejcira Lacerda : de la provincia de Beira Alta el general Bernardo de Silveira Pinto: de la pro vincia de Beira Bija el general Juan de Silveira: del reino de los Algaibes el general Antonio de Silveira Pinto: de ia provincia de Alentejo el general conde de Barbazena: de la provincia de Extremadura el general Francisco de Paula Leite: gobernador de la plaza de Almeida el general Manuel Pinto de Silvei…</t>
  </si>
  <si>
    <t>Silveira, Manuel Pinto de</t>
  </si>
  <si>
    <t>Manuel Pinto de Silveira</t>
  </si>
  <si>
    <t>…Silveira Pinto: de ia provincia de Alentejo el general conde de Barbazena: de la provincia de Extremadura el general Francisco de Paula Leite: gobernador de la plaza de Almeida el general Manuel Pinto de Silveira: presidente y gobernador del consejo de Justicia de Oporto el consejero Andrés Pinto de Sousa. La fuerza armada, llamada tercera línea, que comprende todos los hombres, de cual quiera graduación que sean, desde la edad de *6 años hasta la de 60 , cuya fuerza…</t>
  </si>
  <si>
    <t>Silvestre</t>
  </si>
  <si>
    <t>…ras espesas, vuestros padres, cionales de caballería de la Mezquita D. Antonio Rodríguez vuestros hermanos , vuestros amigos,, todos os preparan laureles y Carbaiial, por su padre D. Silvestre y otros varios; y por to cón. que adornar vuestras sienes vencedoras , y la provincia se dos ellos conformes resulta que el comandante español muerto vanagloria de haber enviado un verdadero socorro á ios heróidos fue D. Bernardo Miranda, el cual tenia la ins…</t>
  </si>
  <si>
    <t>Simal</t>
  </si>
  <si>
    <t>…a adquirir todavía ción de las Górtes. Estas quedaron enteradas. apesar de nuestros esfuerzos.) Se continuó la discusión pendiente. El Sr. presidente anunció qne mañana después El Sr. Simal impugnó los discursos de los Sres. del despacho se discutirían los asuntos señalados, y Gomcz-Uecerra y González Alonso; y apoyando el del levantó la sesión. Sr. Canga, se propuso demostrar Ja necesidad de conservar rl ministerio de la Gobernación, cmicluvand…</t>
  </si>
  <si>
    <t>Simón</t>
  </si>
  <si>
    <t>…hasta mi última agonía en toda la provin D. Sebastian Andrés. cia que el Gobierno se ba dignado fiar á mis desvelos. La provincia Señores que disintieron: D. Josef Antonio Ponzoa, D. Simón continúa en la mas completa tranquilidad. Dios guarde á V- E. mu González Yuste y D. Francisco Luciano Domínguez Vilíanuevi. chos anos. Soria 15 de Marzo de 1833—Excmo. Sr.tcrMiguel Cabre TJU SUMALES. ra de Nevares.czcExcmo. Sr. secretario de Estado y dei Des…</t>
  </si>
  <si>
    <t>Sin, Grasés</t>
  </si>
  <si>
    <t>Grasés Sin</t>
  </si>
  <si>
    <t>…as Asimismo se leyó y aprobó el acta de ia sesión extraordinaria da tos , y que aprenderán á ítr mas prudentes en lo venidero. 27 de Ocluiste último , por haber manifestado el Sr. secretario Grasés Sin embargo, no decimos que en el ultimátum no se hayan propues que no seria regular esperar que hubiese otra sesión extraordinaria para to modificaciones á la Constitución; al contrario, estas proposiciones aprobarla, supuesto que había trascurrido ya unto tiemp…</t>
  </si>
  <si>
    <t>Siria</t>
  </si>
  <si>
    <t>…ealidad no ha egércitos nacionales. Aprobado. bían variado; por lo cual creía no debia aprobarse la proposición. La misma comisión opinaba que no debia admitirse la adición del El Sr. Siria: En asuntos de esta naturaleza debemos proceder con Sr. Alvear para que se e-tabteciese un hospital militar en ñantoiia. la mayor precaución; y medidas como la de que se trata deben quedar Aprobado. derogadas desde el momento en que Jas Cortes se disuelvan ,…</t>
  </si>
  <si>
    <t>Sistemes, Joaquín</t>
  </si>
  <si>
    <t>Joaquín Sistemes</t>
  </si>
  <si>
    <t>…so á la persuasión de que nuestra sanca religión re gas, D. Juan Miguel Pa-z de la Cadena, D. Diego Marta Va- prueba ias venganzas, y de que seria ofender a! Rby en su mas ditlos, D. Joaquín Sistemes, D. Francisco Qucvedo y Bueno y. apreciable prerogativa el tomarse la justicia por su mino , y pri D. Josef Salvador López del Pan; para la de fiscal militar al var á S. M. del derecho de castigar á los que hayan delinquido. mariscal de campo D. Antonio Benav…</t>
  </si>
  <si>
    <t>Smith, Dionisio A.</t>
  </si>
  <si>
    <t>Dionisio A. Smith</t>
  </si>
  <si>
    <t>…India ha alterado su salud; y rara vez suce fuertes á nombre de la nación mejicana, al interes de 6 por de que esta mudanza no les restablezca prontamente. 100 , proporcionado por D. Dionisio A. Smith , negociante de »j S. A. R., al mismo tiempo que manda se dé publicidad Baltimore, y contraído por D. Agustín de Itúrbide; el supremo á estos sentimientos, se halla animado del mas vivo deseo da tribunal ha decretado y decreta lo -siguiente. hacer la felicida…</t>
  </si>
  <si>
    <t>So</t>
  </si>
  <si>
    <t>…toda brevedad el acuerdo del presente decreto.” Aprobado. putaciones provinciales apruebe los arbitrios que se juzguen opor - La misma cotnision á consecuencia de una adición del Sr. So tunos para atender á Jos gastos que ocasionare ia manutención d*moza opinaba que las Cortes podían servirse aprobar el siguien te articulo, que deberá ser sexto cíe! decreto que trata de los fun los soldados inutilizados en cada una de las provincias. Art. 8.…</t>
  </si>
  <si>
    <t>SO, Estanislao Sal</t>
  </si>
  <si>
    <t>Estanislao Sal SO</t>
  </si>
  <si>
    <t>…sponda pava su hombres. cumphni.ento. — Está rubricado de la Rea! mano. := En ei AiDe los He CHH-z hasta el 6 ¡tic úsese—El 5 quedaban al cazar de Sevilla á 5 de Jumo de 1823. = A D. Estanislao Sal SO. distante los dos navios franceses—El KuUutergewr.il pu vador. blica las siguientes noticias comunicadas por la correspondencia particular. Los súbditos de S. M. que se crean con derecho á reclamar Veracniz Morzo iS.__Itúrbide , por fascinar y hacer creer ind…</t>
  </si>
  <si>
    <t>So, Josef María de</t>
  </si>
  <si>
    <t>Josef María de So</t>
  </si>
  <si>
    <t>…y desmoralizados. guiente : para S. Sebastian fue nombrado D. Benito de Echague Nada debe arredrarles de esta empresa; y añadiendo un nuevo por diputado general, y por su adjunto D. Josef María de So timbre á la lealtad con que en los fastos de la historia se han roa y Sozoa. Fara Tolosa D. Josef Manuel de Barranechea , y distinguido los generosos guipuzcoanos, no dudo redoblarán sus por adjunto D. Manuel Joaquín Ayestaran. Para Azpeitia Don esfuerzos par…</t>
  </si>
  <si>
    <t>Soberano, Nuestra Rey y</t>
  </si>
  <si>
    <t>Nuestra Rey y Soberano</t>
  </si>
  <si>
    <t>…mucho para deslumbrarlos de las proezas de duque de Tamames; el marques de Bélgida; el conde de Revilla- sus predecesores. gigedo ; el conde de Miranda; el duque del Infantado; el duque Nuestra Rey y Soberano, tenor y amo, se halla desposeído de Montemar; por el conde de Gaxcier y la condesa Humanes, de su corona,y separado de su trono, y nuestras antiguas leyes el marques de Valverde; la condesa de Rosa; el conde Fuentes; mandan que todos los vasallos, sin distin…</t>
  </si>
  <si>
    <t>Sobreira, Jacobo</t>
  </si>
  <si>
    <t>Jacobo Sobreira</t>
  </si>
  <si>
    <t>…de la desconfianza. En esto daremos al mundo una luntarios nacionales D. Francisco Porras, D. Joaquín nueva nueva de cordura y de valor; y nos granjea Canuda . D. Vicente Losada, D. Jacobo Sobreira , D. remos el aprecio del mundo entero. Mauro Migueles, D. José de Puga y D. Joaquín Can dil, tod os de Santiago, silenciando la conducta de ARTÍCULO DE OFICIO. mis oficiales y tropa, cuya subordinación y afan pa Las Cortes, habiendo exáminado la propuesta de…</t>
  </si>
  <si>
    <t>Sobrevida, Pedro</t>
  </si>
  <si>
    <t>Pedro Sobrevida</t>
  </si>
  <si>
    <t>…ón y Puente, casa sita en la calle alta de los Reyes, r.úin. 11 de la matiz. 284, los dos Alonsos Rodriguez y Orosco, fita. Teresa , S. Juan de que esta en lo antiguo perteneció á D. Pedro Sobrevida, y la Cruz, el V. Avila, Rívadeneira &amp;c. Habia después el tra después fue adjudicada ai D. Nicolás Ortiz, sucesor de su di ductor de la singular actividad con que de 10 ó 12 años á esta funta muger Doña Josefa Rebina, con la carga y responsabilidad parte se h…</t>
  </si>
  <si>
    <t>Sobrevilla, Josef de</t>
  </si>
  <si>
    <t>Josef de Sobrevilla</t>
  </si>
  <si>
    <t>…todo la manera con que han tra testamentarios de D. Nicolás de O tiz, se cita, llama y empla ducido la mayor parte de los versos de ia sagrada Escritura ea za á los acreedores de D. Josef de Sobrevilla y demas intere sus tratados de piedad los sabios escritores españoles dei siglo sados á la cantidad de 48,559 rs. de capital, impuestos sobre una xvi, en especial los tres V. V. Luises, Granada, León y Puente, casa sita en la calle alta de los Reyes, r.úin. 1…</t>
  </si>
  <si>
    <t>Soinoque</t>
  </si>
  <si>
    <t>…A la comisión encargada dri reglamento político económico otro , cual es el que la expresión a,s, on^eptuu-o no se sabe sobre de las provincias de Ultramar se paso una adición del Sr. Soinoque recae; de modo que está tan general, que podría suceder que za al art. 143 del mismo proyecto. recayese hasta sobre la conducta privada de un individuo ; yen fin También se declaro ser primera lectura la que se din á una podría recaer esta calificación sobre…</t>
  </si>
  <si>
    <t>Soinosa</t>
  </si>
  <si>
    <t>…se 1'ovuie una estadística. Se declaró primera lectora la qm* se hizo á una Se declaró el pimío solicienleniente discutido. proposición det Sr. Canga para que se autorice al Go El Sr. Soinosa pulió la palabra para rectilicar bierno para proveer las vacantes que resulte» por.las, algunos hpebos, v manifestó que babia padecido una emplead»* que debiend» seguir al Gobierno la han equivocación el Sr. Canga cuando dij» que la Dipu abandonado. tación pr…</t>
  </si>
  <si>
    <t>Sola, Antonio</t>
  </si>
  <si>
    <t>Antonio Sola</t>
  </si>
  <si>
    <t>…rio Bimof D. Juan Antonio Loredo , D. Josef de la Cámaro , D. Manuel Ra El espíritu público cada día va mas en aumento; y pocos son los mos, D. Juan Orcullo , D. Josef Fernandez , D. Antonio Sola , Pon que se manifiestan indiferentes. Los partidos liberales se van aumentan Vicente y D. Avustin Eguia , D Juan Vicente Allomo , D. N re ,0 do cada día mas, y los serviles conocen su impotencia; pues aun cuan Camacho y D. Ramón Zamorano. Este l uque salió e…</t>
  </si>
  <si>
    <t>Sola, Estanislao</t>
  </si>
  <si>
    <t>Estanislao Sola</t>
  </si>
  <si>
    <t>…a nera! L. G. &gt;uchet en Mantua el afio 7.0 de la república francesa; tra impresión de estas obras le han conducido á dar algunas noticias in ducido a! cpstelbno el año 1813 por el brigadier D. Estanislao Sola teresantes relativamente al Estado de la impreDta entre los chinos. Nos no , y dada á luz por un amigo suyo ¡. un tomo en 8.° Se bailará i 10 creernos obligados á reunirlas con las que insertamos en el temo g." de n. rn pasta y 8 en rústica en la librería de…</t>
  </si>
  <si>
    <t>Solana, Antonio</t>
  </si>
  <si>
    <t>Antonio Solana</t>
  </si>
  <si>
    <t>…estampía de ia cade Mi7'i , denunciado como subversivo y sedicioso: en cuya consecuencia la yor frente i la casa del'conde ríe Onate ; en la librería de Barco y de ley absolvió á D. Antonio Solana, responsable de dichos números; y de Esparza ,48 rs. iluminadas y á 4 en negro: se está grabando otra el Sr. -juez de primera instancia D. Martin de Pineda mandó se le al que representa la plaza de la Constitución, la que s' publicará i' la zase la prisión qu…</t>
  </si>
  <si>
    <t>Solano, D Ramón</t>
  </si>
  <si>
    <t>D Ramón Solano</t>
  </si>
  <si>
    <t>…, y con la cito de .[Amblas , 4 id. id. Ó4.__Defensa «canónica y política del fuerza de unos 130 hombres compuesta de Valencey á las orde mismo autor , 1 tomo, 10. nes deí coronel comandante D Ramón Solano; Asturias á la de nota. En la gaceta del lunes , col A 5.*, línea 46, donde dice su cap tan D Pedro Cenarruza; y Alcañiz, á las de su cap’tin Vstiacos, léase Ostiacos ; línea 47 donde diccVby, léase Oby ,y el teniente coronel D. Mariano Calafell, me dirigí ha…</t>
  </si>
  <si>
    <t>Solano, Gabriel</t>
  </si>
  <si>
    <t>Gabriel Solano</t>
  </si>
  <si>
    <t>…gloriosa acción ios 30 cazadores de montaña con 4 piezas de artillería , al cargo del oportunos y bien dirigidos fuegos de nuestra artillería, que con el capitán &lt;fc dicho cuerpo D. Gabriel Solano; recibidas las órde muvor acierto hizo caer c:. medio de una columna que estaba en nes c ¡1utn1ccior.es de V. S., y siendo los principales objetos el el camino real algunas granadas , y lo propio en la era de una llamar la atención del enemigo, y paralizar el…</t>
  </si>
  <si>
    <t>Solé</t>
  </si>
  <si>
    <t>…mas elevado del alto de Valdivia ,no me obligara á y murió cubierto de gloria, quedando con el mando del cuerpo acelerar el repliegue, como lo luce, mandando al geíe de F,. M. el comandante Solé. que con las tres compañías de Gerona que se hallaban en Zabaya, El brigadier Valdés ataca con denuedo al Rio déla Plata, al y la caballería marchase inmediatamente sobre aquel alto, á fin mismo tiempo que otras dos compañías de Gerona enfilan con sus de ocup…</t>
  </si>
  <si>
    <t>…oda su ciencia en esta materia se reduce á saber destaqué sobre aquella á los cazadores montados mandados por el que en las guerras de opinión y de partidos el soldado que se deja comandante Solé: se me reunió el brigadier Valdés con el tercer vencer pasa por traidor, y tiene que sufrir todas las penas y hu escuadrón de la Union , y poco díspues viendo la caballería enemiga millaciones con que se castiga este delito, y que el hombre co sobre ella los…</t>
  </si>
  <si>
    <t>Solé, Francisco</t>
  </si>
  <si>
    <t>Francisco Solé</t>
  </si>
  <si>
    <t>…frecían las cargas de los almacenes de los niente coronelD. Feliciano Asin y Gamarra, comandante del cuerpos, equipajes y ganado , resolví esperar los enemigos en Ya 2.0 escuadrón D. Francisco Solé, y supernumerario D. Joaquín cango, y defender proporcionalmer-te Jas posiciones que ofre Lira marcharon sobre la legión peruana , y á pesar del terrible cían alguna ventaja sobre el cambio. A las nueve y media ya se* fuego que sufrieron de este batallón, y d…</t>
  </si>
  <si>
    <t>Soler, Francisco</t>
  </si>
  <si>
    <t>Francisco Soler</t>
  </si>
  <si>
    <t>…an. buciones y subsidios acordados por las Cortes para el servicio de Teniente, D. Manuel Terreros. un ano-* Ja una se recaudará en dos trimestres , que vencerán el Subtenientes , D. Francisco Soler y D. Joscf Morcillo. primero en íin de Setiembre, y el segundo en 31 de Diciembre El caballero cadete del. batallón del General, D. Francisco de! presente aiio: la otra mitad se aplicará al primer ano civil, que Sánchez. empezará en 1de limio de 1824, cobrándose también por u'i-…</t>
  </si>
  <si>
    <t>Soler, Ramón</t>
  </si>
  <si>
    <t>Ramón Soler</t>
  </si>
  <si>
    <t>…s muy hinchados y condolidos; mas su bastantes con 3000 para el sitio, el cual cada día se estrecha mas. barbarie nunca cesa , y lo prueba la muerte que por sí mismo ejecutó en el cura D. Ramón Soler. El mismo día salió con su Partí 27 de Junio. tropa á dormir á Sta. Coloma. Los milicianos de esta ciudad les El general Tromeiin va á salir para León á fin de tomar hicieron una fuerte descarga de fusilería, creyendo que era una par tres regimientos de infan…</t>
  </si>
  <si>
    <t>Solí, Josef Ramón de</t>
  </si>
  <si>
    <t>Josef Ramón de Solí</t>
  </si>
  <si>
    <t>…bre- el uso del • ij.i... .i 9 .te Muyo. papel sellado, comunicada por el E. Al. general en 24 de Abril. El martes se publicó en esta ciudad , por acuerdo del ayun 3.a Al teniente coronel D. Josef Ramón de Solí» se le re tamiento , el manifiesto de S. AI. con la mayor solemnidad. Se conocerá como destinado á ias ordenes dei gefe de ia primera bri distribuyeron en el acto 2¿) ejemp.ar-.s de este interesante docu gada de la segunda d.visión de infantería, v ai subten.…</t>
  </si>
  <si>
    <t>Solis, Luis María</t>
  </si>
  <si>
    <t>Luis María Solis</t>
  </si>
  <si>
    <t>…rác un libro ó cuaderno donde ex A la comisión de Visita dei Ciédito púb'.ce se mando pasar una tiendan ¡os «cu rdos del ayuntamiento. El í.bio s.-rá ce pap.l dei se exposición de D. Luis María Solis , para que se hagan ai.-nna» aclara llo cuarto , compuesto de pheg» s cnt' ros, er-cu. dsíttaó. s ce ;i;--co en ciones á un decreto de las Corl s , y entre ellas sobre ¡a época en que cinco, unos dentro de otios, pura que numéreles io, io» suetsivadebe entrar…</t>
  </si>
  <si>
    <t>Soliva, Antonio</t>
  </si>
  <si>
    <t>Antonio Soliva</t>
  </si>
  <si>
    <t>…lud ñaron desde Mayo de 1806 hasta su extinción , acudan con los docu de todos nosotros, y á cuya cabeza colocamos la dignidad real y la fe mentos justificativos de sus créditos á D. Antonio Soliva, gefe de sec licidad de la dinastía reinante. Pues todo esto se expondría á riesgo coa ción de la dirección general de estudios, en el término de 15 di-as, con csu guerra funesta , y acaso también nuestra independencia nacional. tados desde este anuncio; y de…</t>
  </si>
  <si>
    <t>…. Este pequeño Mayo de 1806 hasta su extinción, acudan con los documentos justificati compendio , que con tanta brevedad y claridad da á primera vista á cono vos de sus créditos á D. Antonio Soliva, gefe de sección de la dirección cer los verdaderos resultados de k quím’ca moderna, será de suma utili general de Estudios en el término de 30 días, contados desde este anun dad para los profesores de medicina, cirugía y farmacia. Se hallará en ca cio , que…</t>
  </si>
  <si>
    <t>…o para que se entere de la inversión que D. Aquilino Palomino. D. Ramón Llord. se da á los fondos de la suscripción voluntaria, y sirva de estímulo í D. Manuel González del Campo. D. Antonio Soliva. los patriotas para continuar sus donativos en favor de la libertad é D. Josef Valla y Roca. D Ramón Queraltó. independencia de la Nacioa. D. Joaquín déla Vega y Quintana. D. Cayetano Rubio. D. Luis de Mata y Araujo. D. Bei nardo Asen jo. _ Debiendo empezarse…</t>
  </si>
  <si>
    <t>Sollozo, Antonio Fermín</t>
  </si>
  <si>
    <t>Antonio Fermín Sollozo</t>
  </si>
  <si>
    <t>…reunida. el valle de Caro! hasta Portvendre». si La serenidad y conocimientos con que se han comportado los ofi En el departamento de íAríge. ciales de las compañías de cazadores D. Antonio Fermín Sollozo y Don El 4.°de línea ,coronel Mr. D’Haul Poul, 1863. El 13 ídem ,co Ramón Santos Gómez , de granaderos D. Alejandro Rúa y D. Tomas ronel Mr. Maquin , 1800. Estos dos cuerpos están repartidos por desta Regalado, y de fusileros D, Román Ayata y D. Josef Vicente de Faz c…</t>
  </si>
  <si>
    <t>Solo, Quesada</t>
  </si>
  <si>
    <t>Quesada Solo</t>
  </si>
  <si>
    <t>…asi no sabemos ni podemos decir por ahora sino lo que es pieron e&gt; fuego, rep'tiendo viva Riego y la tropa de Ballesteros. público. Los cazadores Realistas de la división dei Sr. general Quesada Solo n~s resta que advertir para satisfacción de Jos buenos les hicieron de frente una descarga y otra por la espalda; sien españoles que el Gobierno no so:o ha mandado que ro se per do el resu'tado haber quedado muettos en el acto 31 soldados donen medios ni dili…</t>
  </si>
  <si>
    <t>Solos</t>
  </si>
  <si>
    <t>…ar en solicitud de dispensa de edad para ser escribano. Cortes 1 egastn á Sevilla se procediese i La elección de la junta para que Se leyeron por primera vez dos pioposicíones dei Sr. Solos, relati de ningún mudo se entorpeciese el curso del Crédito públic' . regido vas a la doracion riel clero. por las disposiciones del mencionado decreto. Se procedió á la discus:on del dictamen de la comisión de Guer El sr. .Surrá, como de la comisión, contest…</t>
  </si>
  <si>
    <t>Somera, Lorenzo</t>
  </si>
  <si>
    <t>Lorenzo Somera</t>
  </si>
  <si>
    <t>…estuvo media .hora; y se matchó á reunir con ona Josef de Zayas, comandante de la primera división de este división de 4© hombres, que traía á marchas dobles con direc egército, á D. Lorenzo Somera, capitán de la M. N. A. de ción á Valencia. . Madrid , y al capitán D; Vicente Valcarcel; y empicados á sus Por otro parte del gefe político de Alicante del 18 del cor inmediatas órdenes al córónel D. Andrés Arango; at subte riente resulta que Valencia seguia…</t>
  </si>
  <si>
    <t>…DEl SEÑOR FLORES CALDERON.rán por ayudantes de campo del Excmo. Sr. teniente general Don Josef de Zayas , comandante de la primera división de este ejér Si.'hn Jd .Sia 59. cito, á D. Lorenzo Somera , capitán de ia M. N. A. de Madrid, Se abrió á las diez y medía , y se leyó el acta ele,la anterior, y al capitán D. Vicente Valcareel; y empleados á sus inmedia quedando aprobada. tas órdenes al coronel D. Andrés A rango, al subteniente D. Jo El Sr. Becerra…</t>
  </si>
  <si>
    <t>Sommcrset</t>
  </si>
  <si>
    <t>…todos los facultativos español, el Sr. Jabat, y entre otras personas asistieron á él el duque reunidos en número impar en U diputación provincial practiquen los de Wellington y el lord Sommcrset. reconocimientos de los males que imposibiliten los quintos para el ser EL 27 de Diciembre estaban en Viena las obligaciones metálicas i vicio militar, sean visibles, crónicos ó de otra especie: que los que esta 82^ , y las acciones del banco á 93G. El 24 pas…</t>
  </si>
  <si>
    <t>Sommerset</t>
  </si>
  <si>
    <t>…is En Londres se desmentía ya el rumor del caMmiento del Rey con ta á los Alduides, dejando la columna próxima á ellos, me adelanté á la marquesa de Cuningham. El Yiid dice que el lord Sommerset viene verme con el alcalde ó gele de la fuerza armada, á fin de que me per é Madrid encargado de procurar que nuestro Gobierno no rompa la* mitiese el paso á la columna; nías al liegar 2 dicho pueblo me vi *e*rnegociaciones con Francia, aunque se susciten alg…</t>
  </si>
  <si>
    <t>Sommerset, Fitz Roy</t>
  </si>
  <si>
    <t>Fitz Roy Sommerset</t>
  </si>
  <si>
    <t>no para ser un aliado Util i la Inglaterra y contener á la Rusia: «Sica que orden que contenga los cinco attículos qi.e expresa , relativos al modo lord Fitz Roy Sommerset va á salir inmediatamente para Madrid con de determinar 1- Inutilidad de los reemplazos que tengan defectos visi una comisión extraordinaria, y que con el mismo objeto viene también bles ó enfermedades internas. Enterado 3. M., y para que se evite lodo á la P…</t>
  </si>
  <si>
    <t>Somo.ra</t>
  </si>
  <si>
    <t>…an hacer sus reclamaciones.” Kl Sr. Prado : Una de las razones qu. ha fiado ei Sr. Sauttfe no ha Aprobado. sido desvaiiec.da por el Sr. preopinante. La Nación va t ser giavada Del Sr. Somo.ra: »» Pido qu: al artículo adicional sobre facultati con muchos millones, por los mu»hos retiros que causará este silic vos se añadan !--s dos articulo» s-guier.les : io ; y ademas el que entre á setv r, por egemp.o, a ios iS ó t8 años, 1." n La oh ¡.ilición im…</t>
  </si>
  <si>
    <t>Somoaa</t>
  </si>
  <si>
    <t>…ido no puede menos de mirarse como muy criminal la conducta de en que habian impugnado el artículo. los individuos que admitan empleos ó destinos por los franceses, A petición del Sr. Somoaa se leyeron los artículos 273 y ya sean individuos del antiguo consejo, inquisidores ó .magistra 274 de la Constitución. j , dos cesantes; y el Sr. preopinante no podrá menos; repito, de El. Sr. González Alonso hizo algunas explicaciones sobre los convenir en…</t>
  </si>
  <si>
    <t>Somoza</t>
  </si>
  <si>
    <t>…osos los negocios guberna d« instrucción pata el arreglo económico-político de las provincias tivos Pero si esto tuviese alguna fuerza, quedaria desvanecida con la una adición del Sr. Somoza , y otra de los Sres. Isturiz y Zulueta. lectura de la consulta del Gobierno sobre este mismo asunto,en la Se procedió á la discusión del dictamen de la comisión de Código qu: se ve la imparcialidad del tribunal supremo de Justicia, diciendo de procedimientos…</t>
  </si>
  <si>
    <t>…ca pase í la Se mandó pasar i la comisión de Gobierno económico-político de secretaría del Istambol-cfíendi (teniente general de la policía) las lis las provincias una adición del Sr. Somoza al artículo 20Ó del proyecto tas de todos los cristianos residentes en Constantinopla. Desde enton de la mísrna. ces las familias cristianas se hallan á las puertas de la muerte, y sabe El Sr. Presidente anunció que mañana se discutiría el dictamen da mos que…</t>
  </si>
  <si>
    <t>…cada , y aqui esta ya casi decidido que la entrada en España se era admisible el proyecto de la comisión. hata con este último objeto, y se espeia que la Rusia accederá i ello. El Sr. Somoza: La comisión Eclesiástica está en una posición ven De cualquiera modo la España debe estar dispuesta a resistir á sus ene tajosísima, dígase lo que se qu.íra, porque tiene en su apoyo la ver migos, no perdiendo nunca de vista que estas miserables gentes están…</t>
  </si>
  <si>
    <t>…rlo he En la 28.a votación fue elegido el Sr. Valdés (D. Dionisio) por 80 cho, se declarará vacante , aplicará al Crédito público, á quien están agre votos, habiendo tenido uno el Sr. Somoza. gadas esta clase de fincas, y les parará el perjuicio que haya lugar. En la 29.a votación quedó elegido por 85 votos el Sr. Garoz (tenien Por providencia desala segunda criminal de esta audiencia territorial do uno el Sr. Saivedra. de Castilla la Nueva, fech…</t>
  </si>
  <si>
    <t>…el artículo 3.a, procediendo en Se suspendió «su discusión , y se mandó pasar i ia comisión una esta parte con la delicadeza y economía que corresponden. Ait. ó.° Las adición del Sr. Somoza para que las casas de beneficencia sean dirigí» diputaciones provinciales obrarán en la ejecución de este decreto bajo das por las hermanas de la caridad de S. Vicente Paul, y se suspendió el concepto de juntas auxiliares de la defensa nacional, y de consigui…</t>
  </si>
  <si>
    <t>…provisional y condicional de la garantía concedida en tura. aquel tiempo por el Gabinete de 5. Pctcrsburco.(J&gt; continuara.') Se leyó y quedó aprobada la s'guiente proposición del señor Somoza: *&gt; Entre otras medidas acordadas por las Cortes á pro (8) Es imperdonable la ignorancia que el Sr. diplomático puesta del Rey declararon los delitos de consp.ración afectos á raso manifiesta en su expresión de nrgoii.tr con ¿as Corsés, pues responsabilidad p…</t>
  </si>
  <si>
    <t>…opone-, ¡y quién podrá ser la persona También se declaro Ser primera lectura la que se hizo á otra íjue lo dé sir.o aquella cuyo empleo produzca confianza en el Go propos.cion del Sr. Somoza , para que se suspendan por ahora bierno i No se traía pues aquí de otra cosa que de presentar al ¡as disposiciones del art. s.° de la ley orgán.ca de la Al. N. L. Gobierno un medio de deshacer aquellos errores en que haya caí respecto de los ordenados in sac…</t>
  </si>
  <si>
    <t>…ria adoptar el medio de cargar á las otras contribuciones Se declaró el asunto suficientemente discutido. para sacar el servicio extraordinario que se necesita! al fin ; 1,0 re El Sr. Somoza para votar: Rogaría á los señores de la comi sultaría mas proporción y mas equidad en un reparto! Yo. creo sión se sirviesen añadir que si la séptima parte no era suficiente se que sí, y que se debe adoptar cualquiera de estos medios antes ñalasen la sexta: s…</t>
  </si>
  <si>
    <t>…nmigo mita su situación , porque estos votos no hacen mas quedar peni en que no hay tal incompetencia. tencia para vivir en el siglo; pues si el caso es idéntico , ; á que esta El Sr. Somoza apoyó la idea del Sr. Romero respecto á diferencia entre secularizados y exclaustrados: Desengañémonos, que competía á las audiencias conocer de estos recursos. la secularización iniiuye solo en los efectos políticos, porque lo El Sr. Castejon manifestó que n…</t>
  </si>
  <si>
    <t>…desvanecida, y creo que convendrá mo los comandantes de los puestos ó piquetes militares que se conmigo en que no hay tal incompetencia. destinarán á sostener el orden público. El Sr. Somoza apoyé la idea del Sr. Romero respecto á que 7.a La comisión militar se establecerá en el edificio de cor competía á las audiencias conocer de estos recursos. reos. Madrid 15 de Mayo de 1813. = Abisval. El Sr. Castejon manifestó que no podían aplicarse con res…</t>
  </si>
  <si>
    <t>…litados para obtener el encargo de dipu Se mando pasar á ia comisión de Visita del Crédito público tadlas provinciales, debiendo cesar luego que entren en el careo una adición dei Sr. Somoza al art. g.° del proyecto presentado lie diputado provincial. Aprobado. por la misma sobre la recaudación y administración de los bie A la comisión primera de Hacienda se mandó pasar una adi nes del clero secular y fabricas de iglesia, a fui de que se añada ci…</t>
  </si>
  <si>
    <t>…rmar el cómputo de Se aprobó el artículo t.° (Véase la sesión de ayer.) Jos votos. Se leyó cí 2(Véase dicha sesión.) bil Sr. Becerra fue de parecer que no había motivo de duda, El Sr. Somoza dijo: Me causa verdaderamente escándalo que y que por lo mismo no debía aprobarse este dictamen , porque de para solo las r ticinas de la córtese necesiten 208 empleados tu h, contrario solo se loaraba aumentar el volumen de los tomos de este ramo. Movido por…</t>
  </si>
  <si>
    <t>…uficientemente discutido, y quedó aprobado el dictamen"de.la nave del Estado. Comisión. El Sr. Galiano: Como el Sr. secretario del Despacho ha in Se leyó la siguiente, adición del Sr. Somoza: » Pido ,á las Cor vocado Ja salud de la patria, debo decir, que yo no sentaré otra tes que Ja dispensa otorgada á los consejeros de Estado sea exten medida que la salud de la patria, que es conservar idéntica la siva á los Sres. militares individuos de las m…</t>
  </si>
  <si>
    <t>…pondencia del las siguientes partidas. Gobierno la ele este v la cid publuo. As. se acordó. Consignación Jel Rey...........................40.000,000 Se aprobo una proposición Jet Sr. Somoza , relativa al modo Gastos de cámara de la Reyin. . . 640,000 de llevar a electo ¡o depuesto en el art. 5.° del decreto de 1 A de Consignación del Sermo. Sr, Infante Noviembre ultimo, sobre a que los del tos de consp.rae.en: ..¡la D. Alarlos...................…</t>
  </si>
  <si>
    <t>…n mucho sentimiento mió no puedo conformarme con el el Sr. Alonso, 4 el Sr. Escobedo, 2 el Sr. Munarriz, otros 1 dictamen de la comisión en la suspensión que propone del articu el Sr. Somoza, y uno cada uno de los Sres. lsturiz , Cuadra, To lo 306 déla Constitución, porque no creo que su tenor está más , Sotos , Meca , Oliver, Pumarejo , Casiejon, Falcon , bati- comprendido en las formalidades de que habla el 308. chez, Pacheco, Reillo y Ovalle.…</t>
  </si>
  <si>
    <t>…sesión del siendo esta íh Opinión del Gobierno, las Cortes no debían dete 15 de Abril de 1822.) nerse en aprobarle. Art. 23. Si pendiente el juicio se fugase el autor ó editor, El Sr. Somoza hizo presente que impugnaba el dictamen por siendo persona abonada conforme al artículo 6.° de esta ley , será considerarlo muy mezquino, pues estaba (irmemente persuadido juzgado en ausencia y rebeldía con arreglo al capítulo 8.° del tí que para los países d…</t>
  </si>
  <si>
    <t>…nación de decido, y en efecto vemos todos que ha venido á Cádiz. Por lo estas es anticonstitucional. demas no hallándose expresado el mpdo de proceder en este caso, A petición del Sr. Somoza se leyó la décimaquinta facultad y tratándose en el articulo 108 del reglamento de ofensas perso de las Cortes. nales , creo que debe sobreseerse en este asunto .teniendo entendi El Sr. Salva manifestó que por su parte retiraba la segunda do el Sr. Paterna ,…</t>
  </si>
  <si>
    <t>…la el que los representantes de la Nación atiendan cular , se acordó asi : á lo mas seguro; porque ademas podrá suceder que el Gobierno ac Se mandó insertar en el acta el voto del Sr. Somoza, contra tual no subsista después de cerradas las sesiones. La comisión no rio á la aprobación del dictamen de la comisión de Legislación lia tratado de envolver con este dictamen en un caos ni á las Cor sobre la proposición del Sr. Albear. tes ni al Gobierno,…</t>
  </si>
  <si>
    <t>SomozaEi</t>
  </si>
  <si>
    <t>…a adición, que pase á ción : » Teniendo presente esta comisión que á fines de la última la comisión de Hacitnda. legislatura ordinaria presentó un proyecto sobre el.modo de lle El Sr. SomozaEi tribunal de Espolies y Vacantes está supri var á efecto la supresión de vinculaciones, el cual quedo sobre la mido en ia parte contenciosa por la Constitución: también lo es mesa al cerrarse sus sesiones; pide á las Cortes se sirvan mandar ta en la parte admi…</t>
  </si>
  <si>
    <t>Son</t>
  </si>
  <si>
    <t>…solo El Sr, Canga pidió que estas medidas se plisasen al Gobierno por simples extranjeros, sino por extranjeros que están perci conforme se fuesen aprobando , á lo que contestó el Sr. Son* biendo asignaciones pagadas por la Nación española. El Gobernó, que la secretaría cuidaría de que se hiciese asi. repito, está viendo a muchos de estos conspirar contra el siste Se procedió á la discusión del segundo proyecto que presen ma, y lo sabe nc&gt; por…</t>
  </si>
  <si>
    <t>Sona</t>
  </si>
  <si>
    <t>…archivo la milicia nacional local de Ma por La .violencia de un Gobierno extranjero.” drid P arada todos los cuerpos según lo detallado: patrullas las Después de haber hablado eL Sr. Sona tomó ¡a palabra ei m smas._.Hospital y provisiones la m. Licia act v.i----Ala: ana Sr. Arguelles. La extensión de su discurso, y ia importancia de debe celebrarse consejo de guerra ordinario en las casas y ba',o la presentarle con toda exact.tud, no nos permi…</t>
  </si>
  <si>
    <t>Songeour</t>
  </si>
  <si>
    <t>…rellen en lo sucesivo los sectarios sus enemigos, y cu tillería y de ingenieros existente en la plaza. ! ya pronta reposición en el dia es tan urgente y necesaria como Art. 15. El Sr. Songeour, Sub-intendente militar de una ÍO file su establecimiento en el reinado de los Sres. Reyes Don parte, vD.Rafael Cornejo, comisario de guerra de la otra, ha Fernando y Doña Isabel los Católicos, por las frecuentes aposrán igualmente el inventario de.los cajone…</t>
  </si>
  <si>
    <t>Sonroza</t>
  </si>
  <si>
    <t>…staba circunscrita la Para secretario resultó elegido el Sr. Navarro Tejeiro por 56 proposición del Sr. Navarro Tejeiro, sino también el artículo 308 votos, habiendo obtenido 4 et Sr. Sonroza, 4 el Sr. Cano, 3 el de la Constitución. Pueden suspenderse formalidades para el ar Sr. Melendez, 3 el Sr. Buruaga , 3 el Sr. Pedralvez, y uno cada resto de los delincuentes, pero no formalidades posteriores al ar uno de los Sres. Belmontc , Posadas, Varela,…</t>
  </si>
  <si>
    <t>Sopranis, Josef Moreno y</t>
  </si>
  <si>
    <t>Josef Moreno y Sopranis</t>
  </si>
  <si>
    <t>…D. L uis Zaforteza. D. Francisco de Paula Borei. D. Francisco Brú de Salas. D. Federico Roncali. Cadetes...................... - Alféreces, 6coo D. Josef Allende. D. Joaquín Roca. D. Josef Moreno y Sopranis. D. Josef Alfaro y Sandoval. D. Pedro Eenavide............................ j Cádiz 20 ríe Julio de 1823. nr Rubricado.r= Es copia. (Si concluirá, j EN LA IMPRENTA NACIONAL.</t>
  </si>
  <si>
    <t>Sorgos</t>
  </si>
  <si>
    <t>…ho, menos prontos p-na reunimos cuando le parezca á la Diputación Alberto Curios de Meneses , Dr. Francisco Javier de Soma Qim per■maneóte, como dice el final de la ind.cicion del Sr. Sorgos toga, secretario; Basilio Alberto de Soiba Pinto, secreuiio; Carneiro; ¡pero la época mas oportuna de ceder es hoy, es ma Antonio Vicente de Carvalho y Sousa, secretario; Frano.íco ñana , ó cuando! Fisto es lo que no puedo asegurar, pues esta es Bolto Pimente…</t>
  </si>
  <si>
    <t>Soria</t>
  </si>
  <si>
    <t>…uedado hab t.intrs actua'es; porque es b'en sabido, y la historia publicará que pendiente en la sesión de ayer. i aquellas mximas vergonzosas están reconcentradas en vi ./on de El Sr. Soria; Tengo el hohor de pertenecer á la comisan cuyo dic un corlo número de individuos, que son por decirlo asi el lunar de tamen se discute:comisión que por mas que se diga ;e encu :ntra en una nu-'stro siglo. posición bastante desventajosa. Se ha supuesto por to…</t>
  </si>
  <si>
    <t>…no haber lugar i votar: Surra , VaM-es ÍD. Ca La primera n flexión que i consecuencia de este ¡andamento ha he yetano), Arguelles , Cuadra, Alvear, Taboada, Alava, I err-r cho ei Sr. Soria está reducida á que sendo e! jurado la base del códi AntoniO, luíante, Bustos, Alvarcz (D. Elias), Rosa , Tcrr , i rugo penal, es el mavor Ue ios despropósitos poderle en egccuc on. jdlo, Meló , Roig , Merced , Bauza , Garmerdla , iningas, G u /-óz Este ar.-u…</t>
  </si>
  <si>
    <t>…................ 1 vincia de Málaga, por el Sr. Olivar. &lt; Ea Santander................................................................. I Del comandante de armas de Alhamí, por el Sr. Soria. Hospitales de segunda clase. Del ayuntamiento constitucional y milicia nacional voluntaria de En el Peñón de la Gotneta................................... t ambas artnus de Valencia de Alcántara. En Melilla,.................. 1 De la milicia nacional volunta…</t>
  </si>
  <si>
    <t>…s Cortes la recibieron * Muchas veces, dijo, se cometen insultos que no han sido provocados. Lis mismas ventajas de nuestra propia situación pudieran ser causa Be con agrado. “ Ei Sr. Soria leyó el dictamen de la com sien especial nombrada []U2 la tnvidis excitas? á algunas naciones á invadirnos. Una actitud de- para entender en el proyecto de amnistía propuesta por el Gobierno , y bd y una adhesión manifiesta i la paz és una provocación seguta…</t>
  </si>
  <si>
    <t>…irvan para En primer lugar quedó elegido el Sr. Sánchez por 68 votos, teniendistinguir bandos y partidos; ¡Será creíble que un pueblo libre esté en do 30 el Sr. Veiasco, cuatro el Sr. Soria , cinco el Sr. Marchámalo, choque con los defensores de la misma libertad , contra el heroico ba 3 el Sr. Munarriz, y uno respectivamente los Sres. Soberon y Tomas. tallón de San Marcial, que fue el primero que se pronunció por la Total ia. Constitución, y qu…</t>
  </si>
  <si>
    <t>…que previenen las leves creo que debe exigirse la responsabilidad al gefe político de qu.eu se. trata. que se han citado, y para autorizar Ja celebración del matrimonio que té El Sr. Soria: .Los mismos argumentos dd. Sr. preopinante nos seivirát» le peda debió hacerse presentar la fe ele bautismo del contraven!:, único para defender el dictamen de ¡a comisión: en efecto á proporción qu. ¡as modo de saber su edad. Fuese escribano o no el interes…</t>
  </si>
  <si>
    <t>…ámalo y 2 el Sr. Sotos. En io.° lugar quedó elegido ei Sr. Ramírez Arcllano por 79 vo El Rey se ha icrvido admitir la oferta que ha hecho D. Antonio Basi tos, habiendo tenido 3 el Sr. Soria. lio García"del Arco, juez de primera instancia de Montanches en e-i UníEn nlugar el Sr. González Alonso por 93 votos, habiendo te torio de Extremadura, de 5,00 rs. por una vez, y de 700 rs. y 21 mrs. nido uno el Sr. Romero, otro el Sr. Marchámalo , y 3 el Sr…</t>
  </si>
  <si>
    <t>…el orador que lo qus fa’taba en Es D. josef María Turlan , acerca del estado actual de la sa ud de M. paña eran capitales, con los cuales se harían multitud de obras de pú El "ir. secretario Soria dijo: El papel que acompaña el Sr secr.taiio blica utilidad , que la llevarían á igual grado de riqueza que á las pri d-‘ Despacho de Gracia y Justicia es un papel s.mple, sin saberse a so maras naciones de Europa. licitud de qué persona se ha dado, qué leído…</t>
  </si>
  <si>
    <t>…causa de no Lí misma comisión opinaba debia pasarse á informe del Gobierno haber dado cuenta de ella. la solicitud de D. Juan San Martin sobre pago de cicttcs créditos pro El fir. secretario Soria r Los secretarios no han recibido s:m jante cedentes de un préstamo. Apiobado. representación, y si la hubesen recibido no ñauñau ornu.du dar aumta La misma comisión opinaba que debia acctderse i la solicitud del de ella sin perdida de momento. brigadier D. F…</t>
  </si>
  <si>
    <t>…s Cortes al hacerlo usaron de una de sus fa — Documento.) adicionales á los que se presentaron en el Parla cultades. mento relativos á las negociaciones del Congreso de Verona. El Sr. Soria: Después de convenir con el Sr. Romero en que líe paña. Núm. 1 ° Extracto de la minuta confidencial del se variase el final del articulo expresando »en caso de que el in Vizconde Castlereagh sobre los negocios de España, comunicada mediato sucesor del actual…</t>
  </si>
  <si>
    <t>…e les entreguen los bienes si se hallan defen EL Sr. Canga preguntó si firmaba el interesado ó algún apo diendo la causa de la patria-, que es cuanto se puede desean. derado, y el Sr. Soria contestó que firmaba un Félix Megía. En cuanto á la objeción del Sr. Romero diré que aqui tam El Sr. Alonso pid 10 que se de (ase copia do la.certificación en poco se trata de la manifestación simple de una opinión ó apro el expediente y se devolviese el orig…</t>
  </si>
  <si>
    <t>…n de que-se trata bino solamente que da desvanecida completamente la objeción del Sr. Prado. se hará «sta aplicación. El Sr. Castejon: Sino estoy equivocado me parece que el ar El Sr. Soria: El artículo que se discute no ataca en manera tículo 6.a del decreto de 29 de Junio de 812 no solo habla del alguna los principios constitucionales ni los de notoria justicia, an secuestro de bienes, sino también de la aplicación de estos á las te» se confor…</t>
  </si>
  <si>
    <t>…de Gefe de día el segundo comandante de la milicia activa Don los perjuicios que sufran , y ademas pagar la multa. Domingo Surga.__Servicio á palacio la milicia activa y la na El Sr. Soria: Las impugnaciones que se han hecho han sido' cional local de Sevilla , á las órdenes del comandante del primer satisfechas ya con algunas aclaraciones que se han dado. En cuan batallón de la milicia nacional local de Sevilla D. Manuel Zapa to al pleito en qu…</t>
  </si>
  <si>
    <t>…ncias, ve que sien, pues no puede hacerse o. modamenlc. de otra marera. si no es lisonjera, tampoco es .indecorosa. Obligada a una guerra Se declaro comprendida la proposición del Sr. Soria en el en propia defensa , sin haberla provocado , ni rehuido con igno artículo loo del reglamento , y quedo aprobada con ia adición minia., cuenta con los esfuerzos de sus hijos, y cotí la fuerza mo expresada por el Sr. Canga. ral que debe darle el empeño que…</t>
  </si>
  <si>
    <t>…asunto, la co sesión. misión se conviene en añadir que se entiende este dictamen sin perjuicio de las providencias que el Gobierno haya tomado para Discurso pronunciado per el Sr. diputado Soria en la sesión que se haga efectiva la responsabilidad en toda su extensión. del 2 j. El Sr. Adan: No ; . blaré ahora de la conducta del conde del Señores, si he pedido la palabra en contra de este dicta Abisbal; pero no pu é menos de manifestar , que si bien p…</t>
  </si>
  <si>
    <t>…821 un go y compañero el Sr. Becerra, preciso es que en esta parte no oportuno , aunque frívolo pvetesto, para formar su coreen sani me desentienda absolutamente de ios deseos del Sr. Soria. Debo tario: digo frivolo, señores , porque como la cornis.on asesina también hacer presente que la comisión por falta de documentos en ninguna de las anteriores ¿pocas fue menos temible aquella propios del Gobierno español se ve en una posición muy delica ep…</t>
  </si>
  <si>
    <t>…palabra será la de sostener ;i todo trance to y rezelo al delicado punto , á cuyo examen me ha invitado el unidas la independencia v la libertad. . . . (¡?jv,?j ict cip!iiti&lt;os'). Sr. Soria. Hablo de un documento notable, indicado nonrna!— Vuelvo á mi propósito. Si le interesaba á la Francia y á la Euro mente por S. S. De él aparece que deseoso el gobierno infles de pa. conservar verdaderamente ia tranquilidad que ya han compro contribuir por al…</t>
  </si>
  <si>
    <t>…causa criminal no debia seguirse sino como de de sueldo; era de opinión de que podían concedérsele 10 pesos oficio. de aumento al prest de que disfrutaba como gracia personal. El Sr. Soria fue de opinión de que el Crédito público deb a Aprobado. pagar estos derechos puesto que tuvo abieito el cain.no para de Continúe') la discusión sobre establecer un gefe político sub nunciar el crimen , y denunciado se hubiera seguido criminalmen alterno en e…</t>
  </si>
  <si>
    <t>…nes v se 4f Para la instrucción pública. . . . 5.22&gt;.0(73 4 guardoso para m;ñaua el continuar esta disbusio». 5. Psifa el fomento de la agricultura Ei Sr. Gome?. (11. Manuel) y-el Sr. Soria hicieron y artes. . ............................. . 290.916 ot J a- iibsr r» aciones. 6. Para la beneficencia y salud pública 7.000, ooof ] 1 Ni . Valdes (1), Cayetano): He quoridorecordar tas •r; Para caminos v Canales............... 6.000, ooó paluhi.is que…</t>
  </si>
  <si>
    <t>…o, en mi concepto, no debe te ni la aprobación de las medidas que se vean precisados á tomar: nerse generosidad. por consiguióte , tqué harta un gefe político con un extranjero El Sr. Soria: Yo renunciaría la palabra si no viese la resistencia respecto del cual supiese que conspiraba y minaba contra el siste que ha opuesto el Sr. Castejon al articulo; y yo pregunto ¡ignora ma: , Se contentará con-echarle de la plaza hasta que pueda con el Sr. Ca…</t>
  </si>
  <si>
    <t>…amen de la misma para que la terce prorojn ht actual por una hora mas para continuar Ja discusión ra medida pasase á la comisión de Legislación; y habiendo ex pendiente. puesto el Sr. Soria que esta habia presentado u&amp; proyecto acerca An. .:.° En los distritos en que no esté expedita dicha co del extremo que abrazaba dicha medida, la comisión retiro su municación con el Gobierno, pueden los generales en gefe res dictamen. pectivos suspender y re…</t>
  </si>
  <si>
    <t>…ministerio obra bien , como lo creo, hará lo Fia sentado la doctrina ei Sr. Rodriguez Paterna , de que co que debe. mo diputado puede exponer su opinión libremente; pero permí El Sr. Soria: Yo creo muy bien que eL Gobierno no dejará tanme Jas Cortes que observe que si esta doctrina se adoptara con de tomar cuantas providencias crea conducentes; pero al mismo la latitud que ha expresado el Sr. preopinante , resultarían males tiempo veo la necesi…</t>
  </si>
  <si>
    <t>…enemigos. El buen éxito de vato , 3 el Sr. Arguelles y uno ei Sr. Stirrá. la causa de los griegos es casi tan importante para Inglaterra co Para cuarto individuo quedó elegido ei Sr. Soria por 3: vo mo para los egipcios, poique Ja India correrá peligro desde el tos del total 93, habiendo tenido z6 el Sr. Salvato, 5 ei Señor momento que Constantinopla llegue á ser la capitaL del imperio Valdes (D. Dionisio), 2 cada uno de los Sres. Feirer , Oliv…</t>
  </si>
  <si>
    <t>…Herrera, Bus- flanco ó una imprevisión , es indispensable que la junta se halle tamante , Domencch y Montesinos. autorizada del modo mas amplio pira que adopte cuantas medi El Sr. secretario Soria leyó también los arts. 77 y 78 del das estén á su alcance con la velocidad necesaria. reglamento interior de Cortes , y el Sr. presidente expuso que El Sr. Galiano se opuso á la idea propuesta por el Sr. A¡conforme á la facultad que dichos artículos concedían…</t>
  </si>
  <si>
    <t>Soria, Francisco de Paula de</t>
  </si>
  <si>
    <t>Francisco de Paula de Soria</t>
  </si>
  <si>
    <t>…Fuentes, teniente de escribano mayor del tribu Aguirre, que lo es por la de Sevilla; y para secretarios á los se nal del Consulado nacional de comercio de esta plaza , y del ñores D. Francisco de Paula de Soria, diputado por la provincia superior juzgado de Alzadas. de Granada; D. Vicente Salva , diputado por la de Valencia; Jó. Mateo Miguel Aillon, diputado por la de Sevilla, y Don Certifico, que por decreto de dicho tribunal de 27 del cor riente en autos núm. 54 d…</t>
  </si>
  <si>
    <t>Soria, Manuel de</t>
  </si>
  <si>
    <t>Manuel de Soria</t>
  </si>
  <si>
    <t>…s franceses no lian hecho Segunda brigada. La mandará el brigadier D. Francisco Pla- mas que una prueba,y en ella se han llevado un nuevo desengaño. sencia. E. M. segundo ayudante general D. Manuel de Soria, los Extracto de noticias de los periódicos de Cádiz del ella 7. segundos ayudantes D. Ramón. González y D. Rafael Marín, Se ha publicado de oficio la siguiente noticia, comunicada des los adictos D. Josef González , D. Diego Galvez y D. Salvador de Algeciras…</t>
  </si>
  <si>
    <t>…e donde se estre do. Se hallará á 4 rs- en rústica en la librería de Dávila, calle lle y anonade la raza impía que loca y temerariamente preten de Carretas, y en Toledo en casa de Don Manuel de Soria y dió sojuzgarla. Sin embargo, ya han abandonado aquel lengua- Cantero. ge insolente y amenazador con que de continuo insultaban a los Mota. En la gaceta anterior, pág. 344, col. j.3, artículo de que siguen el partido de la justicia y de la humanidad, porque…</t>
  </si>
  <si>
    <t>Soria, Sícreurip</t>
  </si>
  <si>
    <t>Sícreurip Soria</t>
  </si>
  <si>
    <t>…era BusUmante, Do-i ras, por mórnéE foi:» fprovtcliando un descuido, un flanco, ó iwnflch y ^ootww*. í! , -.tío-;. una imprevisión, es índispensable qne Ir juma se halle autori Él Sr. Sícreurip Soria leyó tiipbleik los. attículo* 77 y j-4 zada dél modo mas ámplio para que adopte cuantíamedidas es dfljeglamsntq interior de&amp;ciíUs,.yel Sr. presidente expuso tén á ata alcance con la velocidad nrcésaria, que conforme 4 J* facultad - que dichos, artículos conce…</t>
  </si>
  <si>
    <t>Soria.dijo</t>
  </si>
  <si>
    <t>…oyando lo expuesto darán sujetas á las reglas siguientes: Primera: El Crédito público por el Sr. Romero. se asegurará de si el sugeto á quien perteneciere el crédito era ve El Sr. secretario Soria.dijo que le era doloroso hacer presen cino ó hacendado del pueblo en la época que se supone haber he te á las Cortes, en contestación á lo expuesto por un Sr. diputa cho el suministro. Segunda: Si sus posibilidades le permitían des do , que la secretaría no presen…</t>
  </si>
  <si>
    <t>Soriauo, Miguel</t>
  </si>
  <si>
    <t>Miguel Soriauo</t>
  </si>
  <si>
    <t>…Gerona aquella misma noche ó á la do comandante de cazadores D. Vicente Rodríguez, el cabo se madrugada siguiente, y que el gefe político y el gobernador de gundo del mismo cuerpo D. Miguel Soriauo , el sargento prime la plaza se habían reunido en Calellacon la diputación provincial. ro de voluntarios de caballería D. Josef Rulla, y el soldado d.e la El dia 2 se sabia en Barcelona por noticias fidedignas que el propia compañía D. Josef Jorge de Dios, di…</t>
  </si>
  <si>
    <t>Sorna, Jorge de Avillez Juzarte de</t>
  </si>
  <si>
    <t>Jorge de Avillez Juzarte de Sorna</t>
  </si>
  <si>
    <t>…a lev que prcscr be oue íu-óa los» Mu la sesión del 28 nombraron las Coi te» extraordinarias dccut-vs se hayarí de conuin'car á los pueblos por jvxd 0 c’c 'os al d piando á Cortes general Jorge de Avillez Juzarte de Sorna petes pA¡'Meo» , :*O se entienda dur.mte í.ís 3vtua!v&gt; c lai'AT re as Tavuris comandante en gefe del ejército. En la misma sesión se con lo» reiat vos .1 ia» contribi¡c'or-es , lo&gt; cuvi'c1' se v\u,.u levo el parte siguiente: » A las nueve de la mañana ¡lego e…</t>
  </si>
  <si>
    <t>Soroa, Miguel de</t>
  </si>
  <si>
    <t>Miguel de Soroa</t>
  </si>
  <si>
    <t>…cristiano. comandante del batallón de Granada D. Marcelino Orna, el de A principios del siglo &gt;;vn fueron los dominicos , los francis voluntarios locales de S. Sebastian y Vitoria D. Miguel de Soroa, cos y los capuchinos á unirse con los jesuítas, y quisieron partir que murió á poco rato, y el general de ingenieros D. Roberto con ellos la gloria de convertir á los chinos. iNo tardaron mucho W ilson.=Kccomcndar á V.E. á algún individuo particularmen tiemp…</t>
  </si>
  <si>
    <t>Sosa, Francisco Gutiérrez</t>
  </si>
  <si>
    <t>Francisco Gutiérrez Sosa</t>
  </si>
  <si>
    <t>…o é esta noticia. Isturiz , se suspendió Ja discusión de este asunto; y se levantó la cesión. Orden de ¡a plaza del 19 al 20 dt Mayo. Los magistrados de la audiencia de Valladolid D. Francisco Gutiérrez Sosa, D. Angel Govantes , D. Agu-tin Rodríguez Gefe de dia el coronel de Ja Reina D. Francisco Fernandez Bahamonde, D. Josef Alaría Vecino y D. Cayetano Aluñiz, y Golfín. _ Servicio á palacio la milicia activa y la nacional local Jos fiscales D. Miguel Cornejo y D…</t>
  </si>
  <si>
    <t>Sosa, Luis de</t>
  </si>
  <si>
    <t>Luis de Sosa</t>
  </si>
  <si>
    <t>.98 El coronel retirado D. Luis de Sosa, administrador que fue , Desdé este momento ha mirado siempre el Emperador tan nulas del Excusado en el partido de Mansilla, diócesis de León, ha he de hecho como de derecho una garantía y un reconocimiento escho cesión durante la guerra actual de Ja tercera…</t>
  </si>
  <si>
    <t>Sotcmayor, Rafael</t>
  </si>
  <si>
    <t>Rafael Sotcmayor</t>
  </si>
  <si>
    <t>…protectores. Y g." delinea, tres soldados del mismo cuerpo y otro del de Bor- vosotros, patriotas , inflamaos de un nuevo valor , porque la Pro bon: heridos gravemente el alférez D. Rafael Sotcmayor , y otro videncia siempre estuvo de paite de la ¡u-Tic.a, y p.i.a voadvuvar soldado también de caballería de España , y no de cu.dado el al los designios de aquella, vo cuento Con vucvito* cs!usr/o» v vir férez del regimiento de Sagunío y cuaimd.inte de mis o…</t>
  </si>
  <si>
    <t>Sotelcs, Aotonió</t>
  </si>
  <si>
    <t>Aotonió Sotelcs</t>
  </si>
  <si>
    <t>…nte i su éxito. Mientras tanto coutínuaban efectivo de infantería, concediéndole grado de capitán. las vistas y la correspondencia con el general Chambo has A D. Francisco ¿loan y D. Aotonió Sotelcs, tenientes del ta ponerse perfectamente de acuerdo sobre los medios de Já eje mismo cuerpo , el grado de capitán. cución"; pero nunca pudo ser tanta la reserva, que no excitas; la Al subteniente D. Josef Rey se le declara el empleo ds desconfianza y los rezel…</t>
  </si>
  <si>
    <t>Sotelo, Bartolomé</t>
  </si>
  <si>
    <t>Bartolomé Sotelo</t>
  </si>
  <si>
    <t>…e Justes la segunda brigada , y la columna gan los individuos del batallón de su mando, y las fornituras de la izquierda debía apostarse aquel mismo dia en Villa Pauca a! teniente coronel D. Bartolomé Sotelo, encargado de la direc de Aguiar. . ¡ r ción de los vestuarios en la casa del conde de bástago , y ojala Añade ademas el general Regó que se ha mejorado el espí pudiese V. S. al mismo tiempo trasmitirles con las armas los ritu público con la toma de Pezo da R…</t>
  </si>
  <si>
    <t>Soto, Gertrudis de</t>
  </si>
  <si>
    <t>Gertrudis de Soto</t>
  </si>
  <si>
    <t>…nso Clavero y Sesé, D. Pedro de no de 14 de dicho mes de Octubre),y concluye el 31 de Marzo de Peñalver, presbítero, y el Dr. D. Juan de Peñalver , comparecerán 823 , en Sevilla á Doña Gertrudis de Soto, calle Cadenas, núm. 7, por sí ó por sus apoderados en el juzgado de primera instancia de Gua- colación de S. Andrés , albacea, tenedora de bienes y acreedores de dalajara, y por conducto de la escribanía de D. Juan Sanz Celada , den dicho señor, previniendo…</t>
  </si>
  <si>
    <t>Soto, Juan</t>
  </si>
  <si>
    <t>Juan Soto</t>
  </si>
  <si>
    <t>…el D. Cirios Uiman; y nombrar gob.mador militar y políti lugar en su generosa ro :moria.=Firmado.=cDe Martignac. co del Puerto de Santa María al brigadier de los Reales ejér citos D. Juan Soto. La Regencia del reino. Continúan las exposiciones dirigidas á S. Á■ S. la Regencia del Al Sr. de Martignac, consejero de Estado de S. M. Cma., Reino, vice- presidente de la Cámara de los diputados, comisario civil cerca de S. A. R. ei Príncipe generalísimo.…</t>
  </si>
  <si>
    <t>Sotomayor, Agustín Alvarez de</t>
  </si>
  <si>
    <t>Agustín Alvarez de Sotomayor</t>
  </si>
  <si>
    <t>…aria de Valdemoro, presentad* y leída por mera opinión: y esta circunstancia no debe despreciarse. el Sr. Oiiver. Queda la nota rusa; y aunque las expresiones que contiene sean De D. Agustín Alvarez de Sotomayor, vecino de Puente Genis, muy miradas (i) , es no obstante la mas decisiva. El conde de Nesscl- por el Sr. Moreno. zode pone en paralelo á los partidarios de la Constitución y á ¡os in Del ayuntamiento constitucional de la villa de Aranda y milicia surgentes d…</t>
  </si>
  <si>
    <t>Sotomayor, Pedro de</t>
  </si>
  <si>
    <t>Pedro de Sotomayor</t>
  </si>
  <si>
    <t>…os gastos que se emplearon en ja expedición gi Diego Ballesteros; y Gobernador de Sanlúcar de Barrameda al gantesca y casi inútil del lord Lxmouth contra .-argel. No hay Brigadier D. Pedro de Sotomayor. marino, cuya carrera haya comenzado antes de la dispersión de ia Orden de Malta, que no eche menos hoy la institución hospita En atención á los méritos y servicios de D. Josef de Echevar laria, cuyo objeto era la libertad de los mares y ia seguridad del ría,…</t>
  </si>
  <si>
    <t>Sotos</t>
  </si>
  <si>
    <t>…tes de lá capital.-, por Lo misino no miedo conformarme cen ;d¡fivui'i»d en aprobarle. La comisión no puede señalar les cupos , como ia última parte del artículo. . . ha-pedido el Sr. Sotos, porque no tiene los datos para eíio : ei Gobier E.l br. Gom:z ( L&gt;. Manuel); No d.ré qu; no haya alguna obscuri no es quien hace los repartimientos de hombres y de dinero , y las dad en artículo; pero en mi concepto no es tanta como la que se Cbttes los apru…</t>
  </si>
  <si>
    <t>…o de la milicia na drillas de la fe que se suponía habian de conquistar la España sin dis cional activa. parar un tiro, añade: » Entre todas estas cosas ninguna es mas ridicula El Sr. Sotos impugnó este proyecto, no porque fuese de opinión que el empréstito de la regencia. contraria á lo que la comisión proponía, sino porque debían expresarse » Mr. Ouvrard está ya de vuelta de su viage i Verona: todavi'3 no muchas cosas que no lo estaban, y porq…</t>
  </si>
  <si>
    <t>…Jey de 26 de Abril de tbzj ha ocurrido oportu Después de haber hecho varíes observaciones sobre el artículo el namente a la substanciación de las causas de conspiran.or.; y aunque Sr. Sotos, ú las que contestó el Sr. Bccerrá, quedó aprobado. no es de su inspección entrar en esta materia , lo indica únicamcutr en Art. 144. -&gt; Cuando esta no se halle reunida se liará el despacho mayor apoyo del cumplimiento de las ofertas de V. M., lan arregla por…</t>
  </si>
  <si>
    <t>…ada diputación sostuviese su derecho, y ventilasen en gubernativos y económicos deban despacharse gratis. tre ias dos la disputa hasta ponerse de acuerdo ; pot la Cual no podía El Sr. Sotos: Antiguamente el juicio de excepción precedía al sor aprobar el artículo. teo ; pero en vista de Tos obstáculos, y aun perjuicios que este mé El fir Pedra'-vez: La comisión establece en este an'Ca-O que si lle todo ocasionaba, se acotdó que el sorteo se hicie…</t>
  </si>
  <si>
    <t>…stancias, y que no tengan hijos con proporciones para man te del Arzobispo, presentada por el Sr. Escovedo. tenerlos.” Aprobado. De la milicia nacional voluntaria de Yecla, por el Sr. Sotos. La comisión retiró el artículo 76 para presentarlo de nuevo. De ia audiencia territorial, junta diocesana, ge fes y demás indivi Se aprobaron los artículos siguientes: duos d* la oficina del Crédito público de Valencia, por el Sr. Salva. Art. 77. » Hecha la…</t>
  </si>
  <si>
    <t>…la Baúeza. Por el Trafalgar , procedente de Montevideo en 68 dias, sabemos De la milicia N. V. de líírcen3. que el general Lecor, que se declaró por el Emperador del Brasil, se El Sr. Sotos leyó las siguientes bases para el arreglo en la parte mantenía en Jas inmediaciones de aquella ciudad con la caballería y al económica del clero español. guna tropa que le estaba adicta. Las europeas, que estaban dentro , as Base i.1 Todas las dotaciones de l…</t>
  </si>
  <si>
    <t>…Sr. Marchámalo. En 9.0 lugar el Sr. Baigcs y Oliva por 78 votos, habiendo tenido planes que seguían nuestras partidas en la guerra de la independencia.” a el Sr. Marchámalo y 2 el Sr. Sotos. En io.° lugar quedó elegido ei Sr. Ramírez Arcllano por 79 vo El Rey se ha icrvido admitir la oferta que ha hecho D. Antonio Basi tos, habiendo tenido 3 el Sr. Soria. lio García"del Arco, juez de primera instancia de Montanches en e-i UníEn nlugar el Sr. Gon…</t>
  </si>
  <si>
    <t>…harán todo lo posi_ dos de comercio, - ” “ g - ■ . , ble para dar cumplimiento á iaS disposiciones de la ley. Del secretario del Despacho de Hacienda, -acompañando la tarifa de El Sr. Sotos: Si mi propuesta fuese concebida en el modo como el los sueldos que se necesitan para los dependientes de Ja lúbrica de sal de Sr. Infante ha dicho, seguramente que tendría los inconvenientes que S. S. S. Fernando. ha expuesto; pero mi propuesta está reducida…</t>
  </si>
  <si>
    <t>…el Sr. Surta, relativa á los milicianos nacio aquella» naciones que corten sus telac ones amistosas con la España y su Go nales que hayan de acompañar al Gobierno, una adición dei Sr. Sotos al ar bierno constitucional. Art. a.° Igualmente se le autoriza para apurar Je! ticulo g.° de aquel dictamen para que al final de ¿1 se avada ; »&gt; abonándo beneficio del decreto de ir de Enero da sil ir sobre el comercio de la isla se á los pueblos de los ton…</t>
  </si>
  <si>
    <t>…tilo presentó U minuta de decreto La comisión de Guerra opinaba que debía admitirse ia siguiente sobre las facultades extraordinarias concedidas a las diputaciones pro adición del Sr. Sotos al art. g.° del decreto sobre los milicianos volun vinciales de las provincias amenazadas ó invadidas, y se deciaro estar tarios que tengan que abandonar los pueblos invadios, que decía asi. conforme con lo resuelto por las Cortes. » Abonándoseles en cuenca á…</t>
  </si>
  <si>
    <t>…las libertadea patrias y el Sr. secretario de Hacienda, por la prosperidad de los pueblos, dirigió el dia. 5 del corriente una Se hizo la segunda lectura de las proposiciones del Sr. Sotos , leídas alocución á los habitantes.de la provincia, y la extendió en lengua por primera vez en la sesión del 17 de este mes, que son como sigue: catalana con el objeto de que lodos pudieran aprovecharse de las re «Pido á las Cortes se sirvan acordar: i.° Que…</t>
  </si>
  <si>
    <t>…y que quedó pen El Sr, Marau, como de la comisión , se hizo cargo de los diente en la sesión de ayer. . i ' ' - argumentos expuestos en la sesión de ayer por el Sr. Erado: d:,o El Sr. Sotos: Me levanto ¡í impugnar este proyecto, porque en primer lugar, que el argumento hecho por este Sr. diputado creo que en él se perjud.ca notablemente á los derechos de. la Na deque la cita que había hecho el Sr. Olivei era ura instiucción , pues esta , según é…</t>
  </si>
  <si>
    <t>…o reco localci realizarán la ocupación, dando cuerna ¿1 Gobierno Ac.” nociesen el Gobierno constitucional de España. El Sr. Romero: Yo aprobaría este artículo sino fuera por la El Sr. Sotos: La comisión declara indigno del nombre espa generalidad con que está concebida la cláusula que principia.- «y</t>
  </si>
  <si>
    <t>…al La comison presentó redactado el art. 4.0 en esta forma: guno de los hijos, padres o hermanos se hallen dec.” «Pasado el térro no señalado en el articulo anterior , y no pre El Sr. Sotos: No tengo dificultad en aprobar la primera par sentándose los españoles residentes en el terr.tor.o francés, u no te de este artículo; pero me parece que necesita aleo mayor acla habiendo obtenido licencia en ios term.nos que en el se expresa, se ración. Se d…</t>
  </si>
  <si>
    <t>…be bajo su inmediata protección á los sol dados que en-ht actual guerra se inutilizaren en su defensa, tantoAlonso y otros Sres. diputados. La comisión, en vista de la adición del Sr. Sotos al artícu en el servicio de mar como en el de tierra, sean naturales de Jas lo 2.° del proyecto que trata de los españoles que usen condeco provincias de la Monarquía española, ó extrangeros admitidos al raciones extrañaras, que decia asi: » Que á Ja declarac…</t>
  </si>
  <si>
    <t>…ta. fundaciones perpetuas cuya fundación sea fvosterior á A la comisión de libertad de imprenta se mandó ia-'fecha de 28 de abril de *789 en riñe se dicto ia pasar una adición del Sr. Sotos al artículo primero leí del tít. 17 del lili. 10 de la Novísima Recopila de la misma leí adicional. ción , v para la cual no se haya obtenido Real licen Se procedió á la discusión del reglamento de far cia antes de la publicación de la Constitución, se macia…</t>
  </si>
  <si>
    <t>…aron reunidas hasta las siete de la tarde dal A la comisión de libertad de imprenta se mandó pasar una dia 12 , en que les señores secretarios recibieron un oficio del adición del Sr. Sotos al art. 6.a del proyecto de la misma. ministro interino del Despacho de la Gobernación de la Penín Continuó la discusión del proyecto de lev adicional á la d* sula, el cual participaba que á las seis y media de aquella misma libertad de imprenta presentado po…</t>
  </si>
  <si>
    <t>…aprobaba que tuviese alguno la dirección general de Estudios, era de lebrinas. de á 18. opinión fuese el de Alteza. Los rebeldes ocuparon por 15 dias la provincia de Coro, mas El Sr. Sotos manifestó que la comisión no tenia empeño nin al presentarse el coronel Lorenzo con 800 hombres la abando guno en sostener que la dirección tuviese este ó el otro trata naron huyendo precipitadamente por el camino de Carora. miento; pero que la comisión no po…</t>
  </si>
  <si>
    <t>…de lo que el General Morillo ha no se comprendiesen en esta disposición las ciencias médicas. bía propuesto en la junta que reunió, y cuyos sugetos deseaba Habiendo manifestado el Sr. Sotos que la comisión se con se expresasen. formaba con esta observación , se declaró haber Jugar á votar so El Sr. Muro dijo que advertía también no hacerse mención bre el dictamen por 49 votos contra 40 , y quedó aprobado. de los empleados del ejercito como comis…</t>
  </si>
  <si>
    <t>…eniente; y por tanto me parece no debe haber dificul das ellas. tad ninguna en aprobar, el dictamen. Se leyeron varias minutas de decreto , y. se hallaron conformes A petición del Sr. Sotos se leyó el decreto de 13 de Mavo con lo aprobado. de S21. Se continuó la discusión pendiente del. informe de la comi -El Sr. Ferrer (D. Joaquín ): Me es tanto mas sensible en sión de Ultramar. J : trar en esta discusión, cuanto que me ligan con la América mu…</t>
  </si>
  <si>
    <t>Sousa, Carballo y</t>
  </si>
  <si>
    <t>Carballo y Sousa</t>
  </si>
  <si>
    <t>…se aprobó después de algunas ligeras re ción del Sr. diputado D Manuel Bertrán de L s . fecha 14 de flexiones. Mayo desde Vaiencia, en la cual manifestaba á las Cortes que El Sr. secretario Carballo y Sousa dió cuenta de un oficio estando disponiéndose para venir con las Cortes á esta ciudad tuvo que había recibido del ministro de la Justicia, en que le partici noticia de las circunstancias apuradas en que se hallaba la ciudad paba que S. M. había salido ayer at…</t>
  </si>
  <si>
    <t>Sousa, Carvaljio y</t>
  </si>
  <si>
    <t>Carvaljio y Sousa</t>
  </si>
  <si>
    <t>…el Sr. secretario Queiroga, quedó ción que elevó una súplica al Rey para que volviese i ia corte, aprobada. no pudiendo obtener de S. AI. otra respuesta que la de referirse Ei Sr. secretario Carvaljio y Sousa dió cuenta de los oficios á la proclama que había dirigido ya al ministro de Hacienda. siguientes. Otro oficio de la diputación permanente, en que manda co Ilusivísimo y Excelentísimo Señor : paso á las manos de V. E. municar á las Cortes la correspondencia q…</t>
  </si>
  <si>
    <t>Sousa, Jostf Luis de</t>
  </si>
  <si>
    <t>Jostf Luis de Sousa</t>
  </si>
  <si>
    <t>…rdo que nos hace entrar en grandes dudas; sin em traordinario y ministro plenijKitenciario cerca de S. M. Br tánica bargo el periodista ingles lo da á luz, diciendo » se nos ha re D. Jostf Luis de Sousa ; y hasta que este ministro llegue á Londres mitido en francés el siguiente documento diplomático, por un ha sido nombrado encargado de negocio* en aquella córte Rafael corresponsal, que nos asegura tener fundamento para creer que de la Cruz Guerreiro. EN LA…</t>
  </si>
  <si>
    <t>Souti, Czrialvo y</t>
  </si>
  <si>
    <t>Czrialvo y Souti</t>
  </si>
  <si>
    <t>…da un parte (rA-jir ■'* p.t, rt ¡ x y . tw hablan oido con particular satisfacción la contestación deS. AL /rinin.i tj ), y otro en que se trata de la fuga d» algunos soldado*; El Sr. Czrialvo y Souti dió cuenta de haber recibido en de los facciosos.</t>
  </si>
  <si>
    <t>Sozoeta, Juan Antonio de</t>
  </si>
  <si>
    <t>Juan Antonio de Sozoeta</t>
  </si>
  <si>
    <t>…er yo el órgano, por el cual llegue á noti Primeras actas 6 deliberaciones de la junta deGuipitzcoa. cia de V. A. S. la felicitación que la hace todo este correji- » El licenciado D. Juan Antonio de Sozoeta , abogado de los miento pleno por su instalación, y la ciega obediencia que Reales consejos, escribano numeral de la villa de Tolosa, y se ofrecen á cuantas providencias emanen de V. A. S., bendicien cretario interino que ha sido de las juntas y diputaciones…</t>
  </si>
  <si>
    <t>Spina</t>
  </si>
  <si>
    <t>…o esto se conoce y cada dia se au muchas audiencias con su Santidad ; y se cree que han tenido por ob menta mas la incerlidumbre. jeto las comunicaciones hechas al Congreso por el cardenal Spina, apo Si examinamos en seguida la situación del Austria , hallaremos que yadas por el Emperador Alejandro, y las del duque de Montmorency i no es menos delicada , pues aunque es fuerte en cuanto á su autoridad, que no ti- ne traba alguna , es débil por la inco…</t>
  </si>
  <si>
    <t>Spínola, Josef</t>
  </si>
  <si>
    <t>Josef Spínola</t>
  </si>
  <si>
    <t>…, D. Nicolás Santiago Rotalde, duo, para que con arreglo á sus méritos y aptitud le coloque. D. Domingo de la Vega, D. Félix Mejía, D. Benito Morales, Aprobado. D. Leonardo Perez, D. Josef Spínola, D. Ramón Ceruti, Don Se leyó la siguiente proposición del Sr. Murfi : «Pido á Jas Ramón Sánchez y D. Bonifacio Castillo sean detenidos y trasla Córtes se sirvan habilitar el puerto de Arrecife en la Isla de dados á las Islas Canarias; y que D. Josef Moreno G…</t>
  </si>
  <si>
    <t>Spma</t>
  </si>
  <si>
    <t>…lería núm. 7 y por su vida; sin embargo no se resuelve á separarse de los nego artiller a montada: esta división fue á Ovelha y sus inmediaciones cios; pero si empeora su mal , eí cardenal Spma le reemplazará. para dirigirse á Víllarca! , y forma el centro. El prelado Sr. Bernetti, gobernador y director general de la Las fuerzas, al mando del brigadier Correa , pasaron el 59 el poiic'a , habiendo acudido á apaciguar una riña entre un gendar- Tamega…</t>
  </si>
  <si>
    <t>Spuig, Josef</t>
  </si>
  <si>
    <t>Josef Spuig</t>
  </si>
  <si>
    <t>…cortarle,y obligarle pronto i retirarse: le asaltos consecutivos. Cita con elogio el general Molitor al go persigue sin parar por toda la costa hasta dentro de Asturias. bernador D. Josef Spuig, teniente coronel; al comandante de n El día 12 el gefe Realista D. Ramón Chambo se apode artillería el coronel D. Antonio Buk; al comandante de la ciu ró del castillo de Tortosa; y espera en pocos días hacerse dueño dad D. Manuel Montesinos; al teniente de R…</t>
  </si>
  <si>
    <t>Sqria</t>
  </si>
  <si>
    <t>…idad, porque daríamos.un ejem sen hecho todas las proclamas en aquel matrimonio: y habiendo -destaco plo que podía sernos funesto : en efecto, ¡hemos de castigar á un gefe polí el Sr. Sqria que,soio resultaba haberse publicado una y suprimido ias de tico por el hecho de haber impuesto una pena al que halló vertiendo ex más ,-continuó cl Sr. Martí diciendo que resultando del expediente no' ha presiones subversivas y contrarias á k unión de su pro…</t>
  </si>
  <si>
    <t>Sr</t>
  </si>
  <si>
    <t>…veto activo íes políticos para los efectos oportunos. ni pasivo en las elecciones parroomuíes ñ cuvo d cii nv. n d\o el La comisión de Legislación , en vista de la exposición del conde Sr. presidente se discutiría mañana), y otro de la comidon se de Casablanca , en que pide la correspondiente autorización para gunda de Hacienda acerca de la concesión de una pensión de 2 poder vender la mitad de sus bienes , por las razones que expo rs. diarios…</t>
  </si>
  <si>
    <t>…ia la «ontribuciones, y trastornar ei Gobierno del Rey nu stro Se- de un tiro, avanzasen todos por el frente del pueblo. En efecto, fiorfque Dios guarde) , dispuse con acuerdo del comandante Sr. Excmo., no sé qué fue primero, si hacer la señal ó estar de las armas, saliese una partida del cuadro de la rnmcia pro apoderados del pueblo por las tres divisiones con las voces en vincial y otra de milicianos realistas de ios que estoy organi cantadoras de…</t>
  </si>
  <si>
    <t>Sr, Domingo Surga---El</t>
  </si>
  <si>
    <t>Domingo Surga---El Sr</t>
  </si>
  <si>
    <t>…ba injusto en las actuales á palacio la Reina y M. N. L. de Madrid, á las órdenes del se circunstancias, como ya lo habia manifestado á S. S. gundo comandante de la milicia activa D. Domingo Surga---El Sr. Cano dijo que era necesario que la autorización que se Parada la milicia activa y M. N. L. de Madrid: el demas servi concedía al Gobierno por esta medida , para que pudiese valerse cio y patrullas lo detallado__Guardia al Congreso y archivo la del auxilio de…</t>
  </si>
  <si>
    <t>Sr, El</t>
  </si>
  <si>
    <t>El Sr</t>
  </si>
  <si>
    <t>…in Lisboa 31 ile Diciembre. terrumpirla. Recayó la moma resolución que en la anterior. Concluye la caían de Corles del 2*. Se mandó pasar á la comisión de Guerra una exposición de Don El Sr. Freire después de haber hablado en favor del dictamen de la Agustín Mar'inez, vecino de-Falencia, pidiendo se hiciese una amplia-' comisión, se opuso i que se señalase dotación alguna i la Relea para cion á Ja ley de reemplazos. su subsistencia . dii-.imrto…</t>
  </si>
  <si>
    <t>…ciones, ni el fanatismo relig-oso puedan rocu caria M. R. nuncio. de haber procedido como lo ha hecho en esta materia. Concluida la lectura de estos documento», tomó la palabra el señor El Sr. Infante: Quisiera hacer una pregusta al Gobierno, reducida secretario de Gracia y Justicia, y dijo: í saber si en el nombramiento del &gt;r, Vulanueva ha omitido alguna El Gobierno, al expeler ai nuncio de S. S. como diplomático, ha formalidad con respecto al S…</t>
  </si>
  <si>
    <t>…e los franceses, y que aquel te trada en aquel puerto de un quechemarin el ip del corriente, nia ya despachada la consulta. procedente del de Santander, del cual salió el 11, cuyo capitán El Sr. Canga dijo que para ahorrar tiempo serla conveniente declara : Que el día anterior al ds su salida á las 5 de la tarde el empezar por leer ias memorias de los ministerios, dando fondearon en el puerto de su procedencia un bergantín goleta de principio por la…</t>
  </si>
  <si>
    <t>…nido noticia las Cortes de que se hubiese derogado este decreto, dos con el objeto de poder irse enterando de ellas. rogaba al Sr. presidente y secretarios lo hiciesen presente al señor El Sr. Canga, como individuo de la comisión de Hacienda, secretario de Marina por si era una equivocación. Asi se acordó. contestó que justamente en esta misma noche se iba a reunir la Se procedió á la discusión del dictamen de la comisión pri comisión para tratar…</t>
  </si>
  <si>
    <t>…sesión. vertirán mejor. Por todas estas razones debe apiojarse el dic Orden di la f iaza drl 7 al H de Junio de / Hir. tamen. Gefe de día el seguno comandante de la milicia activa Don El Sr. Gómez Becerra: Yo no me opongo á que se supri Domingo Surga._Servicio á Palacio la Reina y Ja milicia na man los pósitos: he indicado que hay un medio de hacerlo sin cional local de Sevilla, á las óirdenes del teniente coronel mayor decirlo, que debería desp…</t>
  </si>
  <si>
    <t>…onges y Se declaró comprendida esta proposición en el art. 100 del secularizados. reglamento, y quedó admitida á discusión. A 1“ misma comisión se mandó pasar otra proposición del Sr. El Sr. Adán; Yo creo que la proposición es superabundante, Isturiz , reducida á que mientras esté vigente el decreto de 10 de porque desde luego ha empezado el Gobierno á proceder de he ¡Mayo último sobre que se pongan á disposición del Gobierno to cho contra aquel…</t>
  </si>
  <si>
    <t>…o lugar á vez habré caido también yo en el lazo que nos prepara nuestro votar sobre la proposición por 48 votos contra 45. excesivo zelo. Ayer fuimos todos testigos de que dijo el señor El Sr. presidente señaló los asuntos que se discutirían en la se Paterna que obedeciendo la resolución del Congreso vina á esta sión próxima y levantó esta. ciudad; por consiguiente el Sr. Rodriguez Paterna aun no con siderando acertada la resolución de nombrarse u…</t>
  </si>
  <si>
    <t>…cumpli tario de Estado y del Despacho el decreto siguiente: miento. : Teniendo en consideración que por la declaración hecha en 8 de Octubre de 1765 resolvió mi augusto Abuelo el Señor Don El Sr. Secretario de Estado -y del Despacho de Marina me Carlos iu se titulase Infante Duque de Partata su sobrino Don dice con fecha de ró del corriente lo que sigue; Habiendo dado Fernando, como lo habia sido la Archiduquesa Doña María cuenta á S. M. de una consu…</t>
  </si>
  <si>
    <t>Sr, Josef</t>
  </si>
  <si>
    <t>Josef Sr</t>
  </si>
  <si>
    <t>…l decreto sobre señoríos, y El Gobierno ha recibido el parte siguiente. que S. M. la habia recibida con su natural agrado; á lo que el Con fecha de 15 del actual en Alcira me dice D. Josef Sr. presidente contestó que las Cortes quedaban enteradas y satis Martin, coronel del regimiento de caballería de Españ ’o si fechas de la exactitud con que la diputación habia cumplido su guiente : Anoche acampé en las inmediaciones de Torre . : esta encargo. m…</t>
  </si>
  <si>
    <t>…rte. habra sufrido á estas horas igual suerte—Dios guarde á V. E. mu Habiéndose declarado el artículo bastante discutido dijo el chos años. =zLérida 13 de Junio de 1873.-= Exento. Sr. Josef Sr. Sánchez, que asi como en el dictamen anterior había disentido Cruz Mullcr—Excrno. Sr. Secretario de Estado y del Despacho de la comisión, tenia la satisfacción de convenir con ella en los de la Gobernación de la Península. dos artículos que se habían propues…</t>
  </si>
  <si>
    <t>Sr, Nicolás Bra Ei</t>
  </si>
  <si>
    <t>Nicolás Bra Ei Sr</t>
  </si>
  <si>
    <t>…iente al Gobierno para que determinase ¡o el 2 r de Abril, y contienen la caida de Itúrbide, la reinstalación que creyese conveniente. del congreso de Méjico, y el nombramiento de D. Nicolás Bra Ei Sr. Llgasca: Veo con muchísimo placer que ninguno de vo , D. Guadalupe Victoria y D. Pedro Celestino Negrete para los Stes. preopinantes ha negado el principas luminoso v consola ejercer el poder ejecutivo, dor para la humanidad en que estriba el dictamen de la…</t>
  </si>
  <si>
    <t>Srcs, Los</t>
  </si>
  <si>
    <t>Los Srcs</t>
  </si>
  <si>
    <t>…con to. Dios &amp;c. Cuirtel general d-e S, Fernando 6 de Setiembre de mano inerte por las Cortes al Gobierno pira lEvur.o» a cueto. loag.ssExcnio. Sr—Antoni j Burrie!.=E.ccmo. se..or secretario Los Srcs. Oiiver, L'errer (D. Joaquín), Canga y Marau , es de Estado y del Despacho de la Gua ra. forzaron las ideas ya indicadas de que el Gobierno tenia medio de cubrir las atenciones urgentes, echando mano de todos los arbitrios Concluye el decreto Real s abre la d…</t>
  </si>
  <si>
    <t>Sres</t>
  </si>
  <si>
    <t>…e cienda sobre mejoras en las rentas públicas. ■alumnos. Aprobado. La comisión presentó su dictamen sobre las adiciones de lo» Li misma comisión, con presencia de cuanto expone el juez Sres. González Alonso y Oliver al rirt. g.'J del dictamen aceita de p-imera instancia de jerez de la Frontera D. Francisco Ja del papel sellado, e! cual quedó aprobido. vier burga, para que se aclare si está ó ho líbre de! reemplazo El Sr. presidente cejo que se i…</t>
  </si>
  <si>
    <t>Sres, Vega In-</t>
  </si>
  <si>
    <t>Vega In- Sres</t>
  </si>
  <si>
    <t>…o y Ccrmz (Ib Alan .i,: Red unos á añadiendo que era tanto mas necesario bacer men las Cortes se sirvan resolver que los dircursos de lo; eé ;&gt; literal de usías palabras, manto el Sr. Vega In- Sres. diputados en la sesión permanente del ii al 12 í.mzi.n babia querido interpretarlas cuando pidió se se inserten íntegros ó en estrado, espresand* en esta cn\i.i.-e un segundo rnensage al lie i. (So levó) caso los nombres".de Jos qnp hablaron en pro y en . El…</t>
  </si>
  <si>
    <t>Srgo-, Antonio María</t>
  </si>
  <si>
    <t>Antonio María Srgo-</t>
  </si>
  <si>
    <t>…te: el Emperador clero y reverenda comunidad capuchina , que firmamos , la plau fue conducido al 1 i, y visitado inmediatamente por los mejores sible noticia, que ha comunicado el Sr. D. Antonio María Srgo- cirujanos de la ciudad, quienes declararon que la herida no t¿uvía, comisionado regio de los cuatro reinos de Andalucía, de la diia consecuencias desagradables. ( Le Regulateur. ) instalación de la real Regencia del Reino, que dignamente com Idem u de Julio.…</t>
  </si>
  <si>
    <t>Srubrecargadas, Santos</t>
  </si>
  <si>
    <t>Santos Srubrecargadas</t>
  </si>
  <si>
    <t>…vido ' Se leyó y se acordó que quedase sobre la mesa el dictamen de de tipo para imponerle, y por lo mismo no se pueden suponer So la comisión de Comercio sobre la proposición del Sr. Santos Srubrecargadas con aquel subsidio. rez para que se habiliten ei puerto de jagua en ia costa dei El orador hizo otras reflexiones para manifestar que no era Sur de Itl Isla de Cuba, y el surgidero de Sigua la Grande en la aereo lo que proponia la comisión, y que habria ingre…</t>
  </si>
  <si>
    <t>SS, Fabian Miranda y Sier</t>
  </si>
  <si>
    <t>Fabian Miranda y Sier SS</t>
  </si>
  <si>
    <t>…ecindario habla capas pluviales; asistiendo como preste, á pesar de su avanzada salido á recibir í los Augustos viageros;. y luego que llegaron edad, el dignísinio y virtuoso Dean D. Fabian Miranda y Sier SS. MM. á alguna distancia del pueblo,.les quitaron las muías ra, antiguo colegial mayor, y asi fueron en procesión hasta la del coche, y lo llevaron á brazo hasta el Real Palacio, en donde capilla mayor, en la cual ccupó el Rey su silla con reclinatorio como to…</t>
  </si>
  <si>
    <t>Ssussay</t>
  </si>
  <si>
    <t>…ar era viva, el resplandor __También se dice que han sido arrestados muchos oficiales superiores, del sol muy bri: ante, de modo que yo podia leer y escribir con mu entre otros el coronel Ssussay, y que se le ha quitado el mando al ge cha facilidad. Mr. Bvd vió millares de peces , langostas y otros habi neral Molítor, Lo que hay de cierto es que el público está en la mayor tantes del mar que huian al acercarse la campana; y nosotros por nues ansiedad,…</t>
  </si>
  <si>
    <t>St</t>
  </si>
  <si>
    <t>…e mañana se continuaría la dis y causó muchísimo daño á los franceses, especialmente al regi cusión pendiente, se discutirian varios dictámenes de la comisión miento 23 , y que el general St. Hilaire perdió su equipage. Con Especial sobre las proposiciones del Sr. González Alonso, y el tinuaremos publicando algunas otras particularidades. dé la comisión de Comercio sobre introducción de géneros ex— ARTICULO DE OFICIO.trangeros, y se leería la mem…</t>
  </si>
  <si>
    <t>…A. S., suplicando sean atendidos para que llegue tel general del ejército. pronto ei venturoso día en que pueda exclamar tranquilo y ale » Ballestero* ha sido batido el 25 por el general St. Chagre. ¡Ti riunfó la religión, triunfó Fernando, triunfó I* leal tnand , que so lamento tenia 400 caballos: Ballesteros tenia tad t apañóla sobre los impotentes conatos y pérfidas maquina 1200; el enemigo ha esperado ia carga con bastante valor; pero ciones…</t>
  </si>
  <si>
    <t>Sta</t>
  </si>
  <si>
    <t>…. Mapor mas tiempo el tumulto, el desorden, la falta de decoro &amp;c. &amp;.c. nu-[ á su casa vicloreándole con ei mayo- entusiasmo. El primer diz, E! periódico ingles el Sun dice que el Sr. Sta. María , embajador aunque estas d-mc-itraciones no fueron tan expresivas, s: cerraron las de la llamada república de Colombia , - fue preso de orden del usurpa verjas ¿e las Tu ierías. El segundo día ia multitud se agolpó desde dor y tirano Itutbide ; este úl…</t>
  </si>
  <si>
    <t>Sta, Josef</t>
  </si>
  <si>
    <t>Josef Sta</t>
  </si>
  <si>
    <t>…del terreno de las salinas , y llegado del mariscal de campo D. Demetrio O—Daly , y su vanguardia basta la casa de Villanueva, rompió y sostuvo un vivo fuego con á Jas órdenes del coronel D. Josef Sta. Cruz , comandante de tra los enemigos, hasta que se la mando retirar. El coionel aquel puesto Golfin ejecutó esta operación con el mayor orden y serenidad De la columna del camino real se destacó otra desde el por cuando vio que lo hacían ks tropas de! Troca…</t>
  </si>
  <si>
    <t>Sta, Mardictinos de</t>
  </si>
  <si>
    <t>Mardictinos de Sta</t>
  </si>
  <si>
    <t>…ciudad y se preparaba para atacarlas le enviaron un par amentarlo con de su cotnaica: R stablec do el antiquísimo monasterio de bene proposiciones, que no fueron admitidas por el general Mardictinos de Sta. Mana la Reai, respetado por ias vicisitudes de querye. ocho siglos, y suprimido por el • andalisino revolucionario, se Habiendo habido nuevas conferencias, ’os generales Roselló cantó en su igles.a un solemne Te Deum en acción de gracias, y y Vigo, el brigad…</t>
  </si>
  <si>
    <t>Stanhope</t>
  </si>
  <si>
    <t>…apa Los condes Morley, Mayo y Stanhope pronunciaron varios discursos. riencias, está muy lejos de abandonar toda esperanza de ver concluirse El conde de Liverpool, respondiendo al lord Stanhope sóbrelos nego las negociaciones por medio de una composición; y mientras baya alio cios interiores de la Inglaterra, y al marques de Lansdown sobre el de na probabilidad de que se conservará la paz , conviene á la dignidad y la intervención , dijo: El noble m…</t>
  </si>
  <si>
    <t>Steger, Antonio</t>
  </si>
  <si>
    <t>Antonio Steger</t>
  </si>
  <si>
    <t>…rlo verificado, sin mas ci ciosos en Valdearenas resulta que et comandante del segundo batallón tarles ni emplazarle te procederá á lo que corresponda, y les parará el de Mal’orca D. Antonio Steger con la fuerza de dos capitanes, seis su perjuicio que haya lugar. balternos y íoo hombres, entre ellos too reclutas, se arrojó , acompa ANUNCIOS. ñado del gefe político de Guadalajata, al amanecer de dicho dia sobre el Se ha extraviado el privilegio original…</t>
  </si>
  <si>
    <t>Steigner</t>
  </si>
  <si>
    <t>…s mas que i:r africa pero no pasó mucho tiempo sin que se ajustara el convenio entre su mi- no (1): cede en la llanura; pero resiste detrás de cualquiera pared v de ¡ r.istro y el coronel Steigner , quien sin poderes de su Gobierno se arrogó sm espaldón igualmente que detrás de una muralla. Con el todo sit o se I el derecho de hacer por sí solo una capitulación militar, bajo su simple concluye sobre la brecha, ó bien con el último pedazo de pan. Zarago…</t>
  </si>
  <si>
    <t>Stevens</t>
  </si>
  <si>
    <t>…erra toda esperanza de Constitución. i? Sabemos por el capitán Gardncr que se halla en NuevaBerdford, y ha llegado de las Islas de Sandwich , que el bergan ALEMANIA. tín Poarl, su capitán Stevens , había arribado á dicho punto cin Augsbusyo l ~ de Jnrdc. co u.as antes que Garduer dejase la costa de Noroeste, habiéndo El siguiente documento de oficio , aunque de fecha atrasada, le intimado salir de allí el oficial ruso que manda en Norfolk- prueba inco…</t>
  </si>
  <si>
    <t>Stiarcz, Santos</t>
  </si>
  <si>
    <t>Santos Stiarcz</t>
  </si>
  <si>
    <t>…y bastantes a juicio de las Cortes, dispensarle de Extracto de la sesión del ¡tía 3 de Julio. « esta formalidad. Le ida y aprobada el acta de la anterior , se mandaron agregar El Sr. Santos Stiarcz dijo que siendo los podere’s una mera á ella ¡os votos particulares de los Sres. López del Baño y Caste- formalidad debían admitirse ambos diputados supuesto que cons jon, á lo resuelto sobre el art. i.° del proyecto de tribunales es taba la elección en el ac…</t>
  </si>
  <si>
    <t>Stirrá</t>
  </si>
  <si>
    <t>…egurado por la parte votos de 109 , habiendo tenido 38 ei Sr. Zuiu.ta, 4 el Sr. baide Europa contra sus mas poderosos enemigos. El buen éxito de vato , 3 el Sr. Arguelles y uno ei Sr. Stirrá. la causa de los griegos es casi tan importante para Inglaterra co Para cuarto individuo quedó elegido ei Sr. Soria por 3: vo mo para los egipcios, poique Ja India correrá peligro desde el tos del total 93, habiendo tenido z6 el Sr. Salvato, 5 ei Señor moment…</t>
  </si>
  <si>
    <t>Stoane</t>
  </si>
  <si>
    <t>…e las Cortes para no obligar á los No se sabia á aquella fecha que los franceses hubiesen en que no lleguen á la edad de 20 años ó que pasen da Jos 45 í trado ec Bilbao, aunque el Sr. Stoane , su digno gefe político, que se inscriban en la milicia, el ayuntamiento con el mas vi y las autoridades habían salido para Santoña. vo ínteres por la conservación de nuestras libertades, y en nom Según las noticias recibidas, los facciosos y franceses muer…</t>
  </si>
  <si>
    <t>Stranford</t>
  </si>
  <si>
    <t>…de considerarse Nápoli de Rumania como el Cádiz de egecucienes hacen decir á k&gt;*a griegos: &gt;a Los turcos se despedazan entre los gruges. sí mismos; Dios se halla con nosotros.” Ei lord Stranford sale hoy de Zante para Constantinopla. Hi esta do poco tiempo en esta isla; pero en sus conversaciones part.vuiares b» FRUSTA. hab!ado mucho en favor de los griegos. El Gobierno ingles ha recoiio- Berl-n 33 de Ene*o. cido definitivamente el bloqueo, y ha perm…</t>
  </si>
  <si>
    <t>Strang</t>
  </si>
  <si>
    <t>…de los griegos, otro ingles ss dice que negocia en nombre de su dadera felicidad, apenas recobrado de la horrenda sorpresa que Gobierno para reconciliar á estos con la Puerta. El lord Strang produjo en su altivo pecho la villanía ejercida en la sagrada Per ford dice que no tiene ninguna parte en esta negociaciort-: el 25 sona de su Rey y Señor por esa raza execrable , que cubierta de de Mayo mandó pasar al Gobierno turco una nota muy enérgi abomi…</t>
  </si>
  <si>
    <t>Strange-</t>
  </si>
  <si>
    <t>…ero algunas de estas noticias, no merecen mucha fe. S/¡ ase-1 to feliz de su protección. S. A. R. llegó á las diez en punto, y gura que se han ajustado nuevos;, tratados entre, el lord Strange- fue recibido por el Arzobispo, que en pocas palabras le manifes ford y el Reis-effendi, y que estos tratados son favorables á los tó la gratitud y felicitación del clero de París. El Príncipe fue griegos. Dicen que no han tenido efecto siqa_-.cuan.do el lord…</t>
  </si>
  <si>
    <t>Strangford</t>
  </si>
  <si>
    <t>…extirpar consecuencias de una guerra de exterminio. Es pues notorio, según la radicalmente y sin sacudimientos las instituciones que se oponían al conducta que se ha observado en lord Strangford y en lord Maitland, desarrollo de nuestra industria. gobernador de las islas Jónicas, que la Inglaterra se oponía coa todo tNGLATBXa^. su influjo y poder á una intervención armada de la Rusia, y que de acuerdo con el Austria se había comprometido con la Puest…</t>
  </si>
  <si>
    <t>…ados que aumentar el número de los infelices que Petersburgo tienen por objeto dar mayor fuerza a la com.s.on que vienen á buscar uri asilo en nuestro país. el embajador británico lord Strangford ha ido á evacuar a Constann- No hay cosa tan incierta como que el partido político del mi nopla en aombf* ¿el eongreio de Verona, porque no es posible, aten nisterio francés se mantiene en candelera i pesar del triunfo que acaban dida ¡a m»1» «stacion, que pu…</t>
  </si>
  <si>
    <t>…do El Gobierno austríaco ha recibido de su cónsul en las Islas Jónicas restituir á un Borlon cautivo el hermoso derecho de dar á sus pucb' . ¡a pormenores bastante curiosos sobre lord Strangford, cuyo viagese ha retar felicidad y la Fbertad (movimiento de adhesión ¿ Ja-derecha), y* cozqu-'sdado extraordinariamente. Este embajador británico tuvo en Zante una lar tar de este modo, sirv.endo á ¡a humanidad, esa paz saludable y preciosa ga conferencia co…</t>
  </si>
  <si>
    <t>…inot, ge fe del E. M. amenazas. Resolvió pues el alto tribunal de los Monarcas del Ti 14 salió de Paris el mariscal Víctor, acompañado del general Norte enviar al ministro ingles, lord Strangford, con nuevas Coftlosquet. Se decía en Paris que d nombramiento del general instrucciones á Constantinopla, sin que haya podido traslucirse Guilleminot de mayor general del ejército habia sido revocado, cual es el ú’tinto uitimuum que llevaba. Los turcos supier…</t>
  </si>
  <si>
    <t>…explicable cuando se considera Parece que en el Divan se acordó no resolver cosa alguna an el notorio apuro en que se halla la Puerta para proporcionarles la tes de la llegada del lord Strangford , porque se esperaba poder subsistencia. Los frecuentes excesos que cometen las tropas man dar entonces algunas explicaciones de oficio acerca de la situación dadas por el gran Visir podrían hacer creer aun á los indiferentes en que la Puerta se consideraba á…</t>
  </si>
  <si>
    <t>…y el nuevo orden de cosas establecido en excitado un profundo sentimiento , aunque no mucha sorpresa. los principados. Tales son las proposiciones de mas importancia que ha hecho lord Strangford , uor las cuales se ve claramente, FRAVCrA. que en cuanto á los griegos se deje . la Puerta en plena libertad. París a y de Marzo. El noble iord ha procurado inclinar al reis-effendi á que se dé Se asegura que ayer sábado se reunió cierto número de dipu á la…</t>
  </si>
  <si>
    <t>…uido sobre el Bidasoa, conforme i las Ór Las cartas de Constantinopla manifiestan que ha decaído denes de S. A. R, el Sermo, Sr. duque de Angulema, se con-, mucho la influencia de lord Strangford en las discusiones con cluyó el dia 19, es decir, en 30 dias después de comenzado. él reis-effendi relativas á la navegación del mar Negro. El mi Ejecución tan rápida prueba cuál haya sido la actividad de los nistro turco rehusó admitir cuantas proposiciones…</t>
  </si>
  <si>
    <t>…orme á los intereses de su rei no, y á lo» derechos que se le han asegurado en Ios -tratados. »»Sermo. Sr.t Si pueblo de Fuencarral, que jamas cedió i n Los progresos sucesivos de lord Strangford en la negociación ctro alguno de la Monarquía española en amor y lealtad á su que tiene i su cargo, el testimonio de ios hechos, y Ja ejecución Rey, veneración f respeto i (a religión santa de sus mayores, rigurosa de las órdenes de la Puerta para la evacuaci…</t>
  </si>
  <si>
    <t>…e Verona estoibo el v.age proyectado. Se di „He recibido la carta que V. E- se ha servido dirigirme por ce que el que va á emprender ahora , sera el último, habiéndose conducto de lord Strangford, y me lie apresurado á presentarla al acabado casi del todo las fortificaciones. (Vpririñr.) Emperador. S. M. I. me manda contestar en los términos si — Las noticias de Mi-jico venidas por Ja Nu.va-Orleans y Charguientes : l«s-Town son relativas á que esta tr…</t>
  </si>
  <si>
    <t>…a forma de es mayor que nunca la desconfianza que tiene el Divan de los Gobierno, sea la que fuere , podria traer muy funestos resultados, ministros europeos, y principalmente del lord Strangford. Este y resultados de mas extensión acaso de lo que se cree. Conocemos no ha podido conseguir declaración alguna por escrito en el asun bien nuestro carácter nacional , y nuestra vasta correspondencia to de la restitución de los navios rusos, y se ha visto ob…</t>
  </si>
  <si>
    <t>…iajantes el riesgo que corren en estos parages. clavitud mas ominosa ha obligado á ocultar en sus corazones por Odesa l¿ de Setiembre. He aquí los cuatro puntos principales qne el lord Strangford *1 horroroso espacio de tres años. .A'1 historia de esta desgraciada época presenta a Marchena ha alcanzado del diván por medio de sus enérgicas declara como objeto de las iras de los satélites de la revolución, qqe han ciones. oprimido á V, M., y el ayuntami…</t>
  </si>
  <si>
    <t>Strangfort</t>
  </si>
  <si>
    <t>…us individuos, y toda la corpo de los consulados están conformes en que de día en día se d.smv— ración junta , procurará ganar constantemente, por medio de una nuye el influjo del lord Strangfort. actitud firme y tranquila , la estimación de los extranjeros, y la fiel Las mudanzas que se han verificado en San Petersburco han adhesión de sus propios subditos , sin dejarse engañar por ias negras causado gran sensación en Constantinopla, sin embargo de q…</t>
  </si>
  <si>
    <t>Strangfott</t>
  </si>
  <si>
    <t>…(7 cuarto».) 13 GACETA DE MADRID. SABADO 4 DE ENERO DE 1823. 0 O 4 NOTICIAS EXTRANGERAS. tenemos motivos para creer que este es el verdadero objeto de la comi INCIATSKKA. sión del lord Strangfott, del conde de Lutzow y de ¡os climas minis Lúv.Jrcs // Je Difí'emhe. tros qu; han pasado á Constantinopia. bu proyecto es inducir á ia Puer No* prometemos quu el duque de WelHngton aprovechará la pri ta á que tcrm.ne prontamente la guerra con ios griegos, hac…</t>
  </si>
  <si>
    <t>Strogonoff</t>
  </si>
  <si>
    <t>…lar sobre las ruinas humeantes de no se eligen entre sus compatricios y hermanos de religión-, y el misma Atenas , de Corinto y de Argos el estandarte de la Opresión y de la barba embajador Strogonoff toma con eficacia su partido en Constantinopla. Esto rie. Aun después de las degollaciones de Constantinopla y de Smirna , y bastaba para infundirles grandes esperanzas, Mr.to mas cuanto tenían en C1 aun de la espantosa catástrofe de icio, nos ponderaba el Ob…</t>
  </si>
  <si>
    <t>Strogonoff, Barón de</t>
  </si>
  <si>
    <t>Barón de Strogonoff</t>
  </si>
  <si>
    <t>…n los Voluntarios Realistas. El concurso de perso Embajador cerca del Emperador Francisco. nas de ambos sexos y de todas calidades ha sido extraordinario, __Han llegado á Paris el Sr. Barón de Strogonoff, Consejero de manera que hasta una pequeña altura que domina ei paseo de privado actual, y Ministro Plenipotenciario de S. M. el Empe Atocha estaba coronada de un numeroso gentío; y tanto en este rador de Rusia, y el Sr. Barón Ernst do IsserdofF, Consejero y…</t>
  </si>
  <si>
    <t>Struntfoi'd</t>
  </si>
  <si>
    <t>…av.ri4.ust tados á los jenízaros , á los griegos y á los persas: en lo exterior a la Ru existía: el oficial primero man.festó que de hecho ex st:a , y que »1 lé, ] a 11c. ada del lord Struntfoi'd acabara de decidir la gran cu—l.on de, la . había entregado por el Sr. Reillo, con la adv rtencia de que a con- guerra. En las costas de 1 urqu a se están temiendo desembáleos de los grie :rva»e v empaquetase para darse cuenta en Sevilla, y no aquí en .Ma to,…</t>
  </si>
  <si>
    <t>Stuart</t>
  </si>
  <si>
    <t>…te la justicia de nuestra revolución. No mo Gobierno frunces se vió embarazado cuando por el propio quede quien ignore que tanto el Gobierno de S. M. como noso lord Weilincton, el lord Stuart y los demas ministros ingleses tros hemos hecho cuanto ha estado de nuestra parte para alejar de se miró esta cond'cion como contraria al derecho universal de Ja Nación los desastres de una guerra que en manera alguna pro las naciones, y trató de interpretar…</t>
  </si>
  <si>
    <t>…a , dicen ios volverá brillando con la gloria de bab:r rjstab cido el a i-r y papeles de su misión. el trono, gloría la mas djgna d« un corazón generoso. (L’Oriídem 9. fiame. ) El caballero Stuart, embajador extraordinario de la Gratí __Los preparativos de bombardeo han traido el espmo hasta la Bretaña, ha presentado hoy al Rey, antes de misa, en audien calle de Thibautodé: par.ee tem.-n los liberales que a gun ca,co cia particular, la caita de su Sobe…</t>
  </si>
  <si>
    <t>Stutetheim</t>
  </si>
  <si>
    <t>…porfia y sin distinción de perso Nápoles, dirigiéndose por Saltzburgo é lnsptuck. ’ nas , sexos1 ni edades, no ha perdonado sacrificio pata racionar El cuerpo de tropas de Mr. el barón Stutetheim , que en la las tropas, y acreditar.á los generales Sampere y Prats y demas primavera desocupó las Dos Sicilias, y.cuya .rstansion en Lomindividuos del ejército realista en su continuo tránsito y en las bardíá ha dado tanto que hablar á los libérales' de Parí…</t>
  </si>
  <si>
    <t>Stutterheim</t>
  </si>
  <si>
    <t>…os, y no permite permanezcan en la A pesar de cuanto se ha dicho en varios papeles, relativa Corte los que son vecinos de ella ! Y si la Regencia ha aprobado mente ai ejército del general Stutterheim, que salió de Ñapóles todos estos artículos cuando nada se habia estipulado acerca de ia en la primavera última, y se haíia desde entonces acantonado en la necesidad de su aprobación, &lt;no es esto por su parte retroceder Toscana y las Legaciones , esto es, de…</t>
  </si>
  <si>
    <t>Stvangford</t>
  </si>
  <si>
    <t>…eptúan que es el ma nión de las personas mas instruidas de Viena en la marcha de yor de todos haber salido líbre del poder de los usurpadores de negocios en Constantinopla, que el lord Stvangford no ha podi la autoridad Real. Con mas razón y exactitud que en otro tiem do por último conseguir del reís—eíFendi mas que promesas po se puede decir hoy: Dios, que vela sobre las criaturas, no •verbales, que á la verdad serian muy satisfactorias si se cumplie…</t>
  </si>
  <si>
    <t>Sua-, Santos</t>
  </si>
  <si>
    <t>Santos Sua-</t>
  </si>
  <si>
    <t>…gún colegio. ( Gaceta del /y.) que se acababa de aprobar sobre elecciones. Decreto de las Curtes sobre la forma en que los militares de Se leyó por primera vez una proposición del Sr. Santos Sua- ben prestar su voto en las elecciones de diputados á Cortes. ( Ga rez, relativa á que la comisión de Legislación presente medios pa ceta del i£. ) ra suplir en la legislatura próxima la falta de diputados que pue Decreto de Jas Cortes sobre el tiempo en que n…</t>
  </si>
  <si>
    <t>Sua-, Sr.ntqs</t>
  </si>
  <si>
    <t>Sr.ntqs Sua-</t>
  </si>
  <si>
    <t>…a prokinóA Toiré, Nuñez ( D. Toribio), Tomas y Eagasca. 110 podrá menos de respetarlo. Este lenguaz; no es ei de una cec..'.ra Hn la votación para primer secretario fue elegido e! Sr. Sr.ntqs Sua- ción de guerra , y el rrtir.M sus ligaciones r.o es un seto de hostilidad. rtz por 111 votos de! total 113; habiendo tenido r el ;r. Ti.ires, 2 el La Francia , animada de los mismos sentimientos , ha ubrade después Sr. N;¡ -, y uno caca uno de los bres. Benit…</t>
  </si>
  <si>
    <t>Sua.ez</t>
  </si>
  <si>
    <t>…es el artículo de nin puede comprometer la tranquilidad pública; pero no es este ba gún modo debe aprobarse. je el aspecto que debe verse., Aqui se trata de evitar perjuicios y El Sr. Sua.ez: Que el Gobierno puede ser sorprendido, y que</t>
  </si>
  <si>
    <t>Suangford</t>
  </si>
  <si>
    <t>…, muy favorable á la conservación de la paz. «o volverá i Kremenczack.; parece quiere aguardarse i la contestación Idem 9. de la Puerta acate» 4c lu proposiciones que debe hacerle lord Suangford. Uno de nuestros mas acreditado» periódico» trae el artículo siguiente: Publicamos hoy un documento que se esperaba con impaciencia , y ITALIA. M la circular que las tres potencias reunidas en Verona han enviado Zíorjiíi 1 r de Brciemire. á sus ministros cerc…</t>
  </si>
  <si>
    <t>Suarez</t>
  </si>
  <si>
    <t>…. Isturiz. Habida la conferencia, se declaró por unanimidad haber lugar i la En la 19.* votación fue electo ei Sr. Serrano por 90 votos, habiendo formación de causa. tenido uno el Sr. Suarez. En la 20.a votación fue elegido el Sr. Villanueva por 91 votos, ha TRIBUNALES. biendo tenido dos el Sr. Marchámalo. En la 2 i.a votación salió electo el St. Navarro Tejciro por 89 votos, En el juzgado de primera instancia y de la Hacienda pública de esta hab…</t>
  </si>
  <si>
    <t>…ecretado» por tas Corte», ique En la octava votación lo fue el Sr. Moure por 83 voto» , teniendo ur.t» “'líeos quedan después: Nenguno. Propone [a conus.on en este ait.^ulo que cí Sr. Suarez. d individuo que le loque la suerte de soldado puede continuar en ia mil.cía Iin la novena votación lo fue el Sr. lXe; por 8t voto», que era el 1 r seis meses, abonándosele como s: estuviese en el cgercit'n en primer total. h¡. ir no emienda qué es aqui la mi…</t>
  </si>
  <si>
    <t>…Se declaró el punto suficientemente discutido; y iiab’éndose ya establecidos ó se establezcan. En primer lugar, yo no puedo votado el art’culo con la modificación propuesta por el Sr. Suarez, menos de mirar como ilegal el acuerdo de que se trata en el ar no se aprobó, y se mando volver á la comisión. tículo respecto de las diputaciones provinciales; acuerdo que na Art. 158. Siempre que alguna persona justamente descon die podrá negar que es enter…</t>
  </si>
  <si>
    <t>…bisbal, que en mi concepto ha S: leyó por segunda vez, y se mandó pasar á la comisión de de ser un estímulo para el honor español. Aprovechándose pues Ultramar, la proposición del Sr. Suarez, relativa á facilitar el estos momentos, dese el grito de alarmad la Nac^r. española. comercio en la isla de Cuba , y fomentar su población. Yo creo que estamos en este caso. En el dia 14 de Febrero pedí A la misma comisión se mandó pasar una adición de ios á…</t>
  </si>
  <si>
    <t>…sobre ¡os poderes presentados hubieren presentado en Cádiz hasta el 30 de Junio &amp;c. ; ” expuso por el Sr. Otermin. en seguida que debía prorogarse el término que señala la comi El Sr. Suarez: Dos son los principales defectos por jos cua sión porque si no esta ley tendría un efecto retroactivo , y pichó' les opina la comisión no deben aprobarse los poderes de que se por último que se redujese á una recomendación la parte de! dic trata, Uno por no…</t>
  </si>
  <si>
    <t>398 fio:- Meca, 24 el Sr. Alvarez (D. Elias), 5 el Sr. Neira, 3 el carlo ya que se dejaba al "Crédito público sin fondos con que ha Sr. Posada, 2 el Sr. Suarez, 2 el Sr. Varela, y uno respectiva cerlo. Este medio lo encuentro en el dictamen que se discute, y mente los Sres. González Aguirre , Septien, Beltran de Lis, es al mismo tiempo el mas conveniente, por lo que creo debe Alonso, Adanero , Serrano y I.uque: no h…</t>
  </si>
  <si>
    <t>Suarez, Diego</t>
  </si>
  <si>
    <t>Diego Suarez</t>
  </si>
  <si>
    <t>…roto, D. Gabriel Fernandez y En testimonio de lo cual , nos los infrascritos plenipotencia D. J uan Brunenque. rios , en virtud de nuestros plenos poderes respectivos , liemos fir D. Diego Suarez la declaró por incitadora i perturbar la mado el presente articulo separado , y Le hemos sellado con el tranquilidad pública. . sello de nuestras armas. Madrid 5 de Julio de 1814.=: (L. S.) En consecuencia quedó calificada de sediciosa en tercer grado, •w j Z…</t>
  </si>
  <si>
    <t>Suarez, Manuel</t>
  </si>
  <si>
    <t>Manuel Suarez</t>
  </si>
  <si>
    <t>…ilicia nacional de Villafranca de infantería y los volun aguada, víveres , artillería y cureñage, sin que por esto bajase el agua tarios de caballería de la Coruña D. Josef Pita , D. Manuel Suarez, derioixi2 pulgadas , se La situó en la ensenada de losCocos, después D. Ramón Cid, D Félix Perez y D. Andrés Vales y Ponferrada se ha de haber sido reconocida por una junta de peritos, con el fin de evítat hecho acreedora al reconocimiento nacional. Como asi…</t>
  </si>
  <si>
    <t>Suarez, Marta Josefa</t>
  </si>
  <si>
    <t>Marta Josefa Suarez</t>
  </si>
  <si>
    <t>…este inconveniente. para que se le conceda una pensión respecto á haberse inutilizado en el El sr Várela contestó que el artículo dn cuestión no se oponía al servicio ; y otro por Doña Marta Josefa Suarez, testamentaria de un de la ley fundamental; pues, como era notorio, en América habiapo deán que fue de Ciudad-Rodrigo , para que se la exima del pago de blaciones de mil almas diseminadas de tal manera , que de una casa á ii£&gt; rs. en que el Estado resulta acr…</t>
  </si>
  <si>
    <t>Suarez, Miguel Lago y</t>
  </si>
  <si>
    <t>Miguel Lago y Suarez</t>
  </si>
  <si>
    <t>…dido sobre el cumplimiento de la orden relativa á la reunión de dia concedérsele. Aprobado. los individuos de la junta directiva del Crédito público, y mani Sobre la exposición de D. Miguel Lago y Suarez; opinaba festando haber comunicado Ja orden para el efecto con fecha de debia llevarse á efecto lo acordado por el Gobierno en Diciem 12 de Abril, y renovádola posteriormente. bre de 1821 sobre este asunto. Aprobado. La comisión de Guerra, en vista del plan p…</t>
  </si>
  <si>
    <t>Suarez, Santos</t>
  </si>
  <si>
    <t>Santos Suarez</t>
  </si>
  <si>
    <t>…erales para la Península que no son aplicables á Ultramar ; hizo'presente, que muchas veces en la Pede ayer.) nínsula, á la vista de las Cortes, no se llevaban á efecto las dis El Sr. Santos Suarez manifestó las razones de conveniencia posiciones de estas , como había sucedido en el reemplazo delpública que resultaban á los paises de Ultramar de la aprobación ejército, en que algunas provincias no han llenado su cupo; y quede este art culo , añadiendo q…</t>
  </si>
  <si>
    <t>…nuestros auxilios. Si el espíritu de resistencia se hubie vo no era necesaria ia declaración que se solicitaba. se desenvuelto con toda su fuerza, la confianza que esto hubiera El Sr. Santos Suarez se opuso á la aprobación de este dicta dado á las personas acaudaladas relativamente á la estabilidad de men, manifestando que r,o podia resolverse sin infringir el artí Ja Constitución hubiera proporcionado á las Cortes la facilidad culo 140 de la Constituci…</t>
  </si>
  <si>
    <t>…artículos que tratan de las personas que han de formar la diputación permanente, y también se leyó el veto El Sr. Isturiz dijo que impugnaba el dictamen por prematu particular del Sr. Santos Suarez, en el que manifestaba no poder ro, y porque creía necesario se diese una nueva forma á los tri bunales de comercio, puesto que en ellos se cometían toda claseconformarse con el dictamen de la mayoría de la comisión, de abusos, aun mayores que los que había i…</t>
  </si>
  <si>
    <t>…es bien sabido que estos co ren el servicio de la guerra en los ejércitos ó en las plazas sitiadas misionados deben dar cuenta al Gobierno, y este á las Cortes. por el enemigo. El Sr. Santos Suarez después de manifestar Ja situación des Se levantó la sesión. ventajosa en que se hallaba, y de protesrqr que aunque natural v representante de una de las provincias de América solo le mo Extracto de ia sesión ordinaria del dia 3 de Agosto. vían el bien y pros…</t>
  </si>
  <si>
    <t>…ejemplos antiguos tenemos uno moderno en la independencia de ¡os Gobiernos de América con los tratados. los Estados-Unidos. Aquel estado siempre dijo: entraremos en ne Ha dicho el Sr. Santos Suarez que era un medio decoroso gociaciones si se reconoce por base de ellas la independencia, para la Nación el que el Gobierno señalase un punto neutral qua non : dijeron aquellos estados que habiendo declarado su in para los necocios; pero yo creo al contraído q…</t>
  </si>
  <si>
    <t>Suarez, Vicente</t>
  </si>
  <si>
    <t>Vicente Suarez</t>
  </si>
  <si>
    <t>…posición de D. N. ZaEl teniente D- Gregorio López de Boneville. los subtenientes vala , para que se le continúe el pago de la pensión de 4© reales D. Sancho Conejo, D. Mateo Baca, D. Vicente Suarez. El ca que se le habia concedido anteriormente, opinaba que no se está pitán de M. A. D- Valentin de Toro. El subteniente de id. Don en el caso de acceder á esta solicitud. Aprobado. Fantaleon Rodriguez. Paisano D. Ramón Sandoval. La misma comisión, en vista…</t>
  </si>
  <si>
    <t>Suatez, Santos</t>
  </si>
  <si>
    <t>Santos Suatez</t>
  </si>
  <si>
    <t>…eta de aver , articulo de Ja sesión de Cortes se subiese hasta un oclto por ciento el derecho que se expresaba. se omitió expresar que lo, artículos 5.0, 6 ", 7.“ v 8.° del pro El Sr. Santos Suatez manifestó que era necesario adoptar un yecto sobre suspensión de algunas de las formalidades prescritas medio para dar salida á Jos frutos de Ultramar , ^facilitar su in en la Const’tucion fueron aprobados. Leído el articulo 9.0, tomó troducción en la Penínsu…</t>
  </si>
  <si>
    <t>Suchet</t>
  </si>
  <si>
    <t>…se dirigirán al mismo; en la inteligencia da que las det yo tengo motivos para creer , se terminaron adoptando el plan presen plazas se proveerán dentro de dos meses. tado por el mariscal Suchet. El ayuntamiento constitucional de Pozo-Blanco, provincia de Cór » Parece que este plan te reduce á aumentar el egército de observa doba , ha acordado conferir por oposición y en propiedad la plan di ción en términos que conste de 100B hombres. Este procurará…</t>
  </si>
  <si>
    <t>…s cojidas últimamente al llamado ejército persó esta gavilla dejando 12 muertos en el campo. constitucional; y también las llares de la ciudad de Valencia que fueron entregadas al general Suchet; con cuyo plausible mo París aj de Junto. tivo mediaron ios oficios siguientes: Esta mañana á las once ha recibido S. M. en audiencia par Ejército de los Pirineos—Madrid 29 de Junio de 18ij. ticular á Mr. el barón de Mareuil, ministro de Francia en los Estado…</t>
  </si>
  <si>
    <t>Suelto, Josef García</t>
  </si>
  <si>
    <t>Josef García Suelto</t>
  </si>
  <si>
    <t>…s de este criminal y san pueblo el 28 del pasado por haber interceptado Ja corresponden griento conventículo , Vergniaux, subió á ¡a tribuna y dijo: cia de Madrid á Murcia, fueron D. Josef García Suelto , gra »» Parece que el plan de nuestros enemigos es venir sobre Pa- duado de teniente coronel, con olios cinco oficiales, y el ¡argén-tis; láncense lucra todos los hombres amasados de un limo to Miguel Meco , que murió en la refriega , pertenecientes tocio* c…</t>
  </si>
  <si>
    <t>Suelves, Juan de</t>
  </si>
  <si>
    <t>Juan de Suelves</t>
  </si>
  <si>
    <t>…nstancia de los patriotas americanos pude mas que la disciplina y y el último de 93,750 mrs. y cabeza de D. Gonzalo de ia Vega, en valor de las tropas inglesas. la misma renta.._A D. Juan de Suelves y de Monssrrat, marques de Si volvemos los ojos i la Francia hallaremos otro asombroso egem Timarit, se le han extraviado en tiempo de la invasión al privilegio plo de lo que puede es amor á la libertad. Esta nación, entregada ente de un juro situado en ta re…</t>
  </si>
  <si>
    <t>Sunu</t>
  </si>
  <si>
    <t>…on los artículos 134 y 135 á favor de los propios y arbitrios de los pueblos, sin que puedan de la Constitución. conceder perdón por sí; pero cuando alguno solicitare gracia de Ei Sr. Sunu: Me parece que el Sr. Buey estará satisfecho con esta 11 uu raleza, instruirán expediente para remitirlo á la resolu decir que el proyecto qi^aqui se trata no es proyecto de ley; ción del Gobierno si la deuda 110 pasa de 600 du^p|&gt;jr ó á las pero antes. de ha…</t>
  </si>
  <si>
    <t>Supe</t>
  </si>
  <si>
    <t>…tario.” puerto de Guaimas y S. Blas en el mar del Sur, quitando al de Europa mas de un millón de duros anual. jY quién separa ya El dia 34 del corriente se publicó por mandado del Sr. Supe los sonorenos de este comercio’ El les ahorra los derechos de rintendente general de Vigilancia pública del reino el bando siguiente: acuñación, porgué los comerciantes extrangeros reciben el oro Deseando por todos los medios posibles que á los muchos en past…</t>
  </si>
  <si>
    <t>Surca, Dominvo</t>
  </si>
  <si>
    <t>Dominvo Surca</t>
  </si>
  <si>
    <t>…coarta ni ha coartado hasta ahora mi libertad. Nade ha de la Madrid, á las órdenes del segundo comandante de la M. A. do todavía de respetar mi autoridad tea!. No de s o do a esa* D. Dominvo Surca__ Congreso y archivo la milicia N. L. de calumnias alevosas con que se pretende apartaros de vue&gt;n os debe Madnd__ Parada todo» ios cuerpos según lo detallado—Patrullas res y de vuestra fidelidad: quien os arrastra ai pe; rovo desea 1 s mismas. __ Hosp'tal )…</t>
  </si>
  <si>
    <t>Surga, Domingo</t>
  </si>
  <si>
    <t>Domingo Surga</t>
  </si>
  <si>
    <t>…e: Habiendo concluido D. Francisco Fernandez Gaseo la lectu Gefe de día el segundo comandante de la milicia activa ra de la memoria concerniente á Ja secretaría del Despacho de la D. Domingo Surga__ Servicio á palacio la milicia activa y mili Gobernación de la Península, que tenia á su cargo, lie venido en cia nacional local de Sevilla á las órdenes del coronel de la mili habilitar á D. Francisco Javier Pinilla, oficial mayor de la mis cia activa D. Ag…</t>
  </si>
  <si>
    <t>…agregado al estado mayor de ia plaza de Madrid Don Gefe de día el segundo comandante de la milicia activa de Rafael Paredes, y al comandante de batallón retirado D- Benito Sevilla D. Domingo Surga.__Servicio á palacio la Reina y mi Villuela__ El estado mayor general del ejército ip compondrá» licia nacional local de Madrid á las órdenes del comandarte inte por ahora el primer ayudante general D. Josef de Hezcta, Iqs rino de la Reina D. Francisco Casto!…</t>
  </si>
  <si>
    <t>Suris, Juan Bautista</t>
  </si>
  <si>
    <t>Juan Bautista Suris</t>
  </si>
  <si>
    <t>…importe de los pagos. Nota de la carga que conduce el bergantín español nombrado En el 2.0 y 3.0 las pagadores generales solicitarán de la teso Cc’ntar.ri.i , su capitán y maestre D. Juan Bautista Suris , que rería genera! ias libranzas competentes á cargo de las respectivas procedente de la Havana acaba de fondear en este puerto, ha tesorerías de provincia, y remitiéndolas á los comisionados ó pa biendo sido convoyado por la corbeta de guerra nacional la ¿…</t>
  </si>
  <si>
    <t>Surmani</t>
  </si>
  <si>
    <t>…riesen paso haita Case h- que ocupaban, retir ndose á la parte de -amalas. Nuestra pérdida con tersol y Coll de Posas, conseguí llegar a S. Fslíu de Cudinas al nicd. - siste en el teniente Surmani , tres sargentos y s.-is voluntarios del bata dia, de donde salí con dirección a esta después del descanso piec so. llón d: emigrados italianos heridos. Lus tenientes D. Gaspar Días y A poco rato de mi salida tuve noticias positivas de que ¡os f.scc.osi.s D.…</t>
  </si>
  <si>
    <t>Surra</t>
  </si>
  <si>
    <t>…de vista que pesin sobre muchas finca» A petición del Sr. Prado se leyeron igualmente los arts. 20 y 28. del clero , ademas de la indemniz3C:on de los partícipes legos , muchas Ei Sr. Surra: Por el art. 25 que se acaba de leer, y por el 5.° del cargas que minoran sus productos líquidos. Asi que, siendo evidente decreto de iy de junio se ve qu: ia comisión de Visita está autoriza que no alcanzan el medio diezmo y primicia para los objetos á qu; e…</t>
  </si>
  <si>
    <t>Surrá</t>
  </si>
  <si>
    <t>…a apoyar el dictamen de la comisión; pero no estoy biera pasado á la sanción Rea!. Se trata cuesta instrucción de que el cle de acuerdo con mucha parte de lo que ha manifestado el Sr. Surrá , por ro deje los bienes que en ¡a actualidad posee. Para apoyar esto se repite que el Crédito púbiico ha tenido en sus manos las armas suficientes para que el clero siempre ha tenido grandes riquezas, que quiere conservar que muchos amasen el sistema constit…</t>
  </si>
  <si>
    <t>…s. diputados, según lo acord* pur la* Havana 26 de Noviembre. Aquí entran y salen buques de guerra mismas. ingleses, lo que contribuye á ahuyentar á los piratas de estas aguas. El Sr. Surra obtuvo la palabra y dijo: Hoy es uno de los días que En Puerto-Rico descubrió el general Latorre una conspiración de in reputo por mas felices de mi vida; lo primero porque tengo el distin teligencia con la canalla de Sto. Domingo, y cuyo principal fómes se g…</t>
  </si>
  <si>
    <t>…rado recobrar á costa de imponderables fa Leído este dictamen , pidieron la palabra varios Sres. diputado!. tigas todas las caridades y efectos robados. En Segorve fueron convo El Sr. Surrá : En los años anteriores al restablecimiento de la Constitu cadas por público pregón las personas que habían sido saqueadas en el ción se concedieron algunos privilegios, entre ellos uno i la compañía barranco de Arguines, y reintegradas casi enteramente de s…</t>
  </si>
  <si>
    <t>…las maniobras de los agio se han sostenido con vigor , y se han forr.ificsdo mucho n.as c&gt;n e! retistas. gimen constitucional. El Gobierno tiene en el día todos los mi l o, de El Sr. Surra contestó que la comisión no había querido dar su pare transigir y decidir por sí sobre este negoc o cod respecto t 1.1 c-r.a ro cer en el estado de la cuestión , por ser. sumamente delicado el punto de ña rita , y si necesita la coop rac.on de las Caites , el…</t>
  </si>
  <si>
    <t>…as que exian las materias de que se ocupe á 1as auto Continuóse la discusión sobre las minas de Almadén. ridades provinciales y municipales , quienes lo suministrarán por loque El Sr. Surra: EISr. Becerra ha incurrido en algunas equivocaciones: en vilo se interesa el bi-n del servicio militar nacional. aquí nos; trata de terrenos de grande extensión ni de dominio particu Art. 8.° n D.-cretario el reemplazo anual del egército permanente, lar , ir…</t>
  </si>
  <si>
    <t>…iamente el efecto opinaba que las Cortes d-bian acceder á esta propuesta de! Gobiern-; que se d-sea. deb.rndo este presentar en los presupuestos -le 13 lecislatu-.i iurr.ed. na El Sr. Surrá: I.a explicación que acaba de dar el Sr. secr'tario de los medios le cubr r las obtenciones qus quedan desatendida» por ia Hacienda al artículo desvanece todas las objeciones que se han h-clio á autorización que ahora s; le coucecr. él, y por lo mismo no me d…</t>
  </si>
  <si>
    <t>…ario de la au Se nombró para la comisión especial nombrada á consecuencia de 1.1 diencia territorial de Castilla la Vieja , juez de primera instancia de esta M. il. proporción del Sr. Surrá acerca de los nniícianos voluntarios que quieran villa de Madrid, y del conocimiento de los autos formados con motivo seguir ai Gobierno, á tos Sres. Váleles (D. Cayetano), Canga, Castejon, de haberse denunciado en concepto de vacante por no tener dueño conoc…</t>
  </si>
  <si>
    <t>…á la que ha manifestado ei Si. preopinante, segu mera lectura.” ramente hubiera sido impugnado su dictamen. En alguna otra ocasión Igualmente se leyó la siguiente proposición del Sr. Surra: ». Pido á las he dicho como opinión mía particular que el inconveniente que S. S. ha Cortes se sirvan autorizar al Gobierno para que de los individuos solteros expuesto es inconveniente de todos los Gobiernos constituc.onales. Los que existen en los cuatro b…</t>
  </si>
  <si>
    <t>…firma la abonará D. Miguel Ponte y aun D. N. Tol, que de la comisión especial nombrada para examinarla segunda parte de la me ha visto en su casa.=Es cop'i—Amur.” proposición dél Sr. Surrá respecto de los individuos de la milicia nacional Nota. Entre doce y una del dia de I10V han entrado en Zaragoza Jo* local ile Madrid que acompañen al Gobierno. prisioneros-que expresa el pinte anterior sin novedad alguna. En su consecuencia se leyó) dicho di…</t>
  </si>
  <si>
    <t>…o v grat.tuJ ti «tiona!, v por ¡o m'smr» ::i Cortes. creído que seria hacerla poco favor si tratase al ora de la remen.: ir , n El Sr. Marau no ha observado que la proposición del Sr. Surrá era de este nuevo serv.cío áa queque tmtm rene-rosamenterenerowmente sese ofreceorre relativa á la recompensa que en tiempo oportuno se debía dar á los mili es el primer prem o , y su suerte la de to ia, lo» ana unte da la libertad. cianos que se decidiesen á…</t>
  </si>
  <si>
    <t>…ión del dictamen de la comisión especial encanta veer de víveres al egército de los Pirineos. : Apostemos á que dentro de 15 da de cxam.nar la segunda parte de la proposición de-¡ Sr. Surrá, relati dias será falso el discurso de Luis xvm y la nota al conde La Gardet Ca va á ios m-hc.anos voluntarios de esta corte que acompañen al Gobierno, mino de esto llevan las cosas, aunque Ja fistrella dice que el duque de An y sobre el cual se declaró en la…</t>
  </si>
  <si>
    <t>…os indi El br. RomeroT El Sr. preopinante está en un supuesto cquYocado. El viduos á que se refiere.” art. g.° habla de aquellas personas que todavía no se han comprometido en Del Sr. Surra: » 1.* Los oficiales retirados que gocen sueldo v sirvan ei sctviC o de que trata el anterior. S. S. ha dicho que no es un beneficio en la milicia naciqnal voluntaria, y se incorporasen á los nuevos batallo el que se concede al miliciano que sin estar comprom…</t>
  </si>
  <si>
    <t>…sto t¡ , que los pagase: el clero no ha cumplido ; y por consiguiente ra Ferrer ( D. Joaquín ) y Oliver. yo entiendo qne los partícipes Legos dtben también entrar á percibir de El Sr. Surrá dijo: siempre que se ha tocado esta discusión del estos bienes prediales. medio diezmo he pedido ia palabra, y hasta hoy no me ha tocado Otra de las bases que propone la comisión es la de la administra por desgracia hablar sobre ella. Ahora trataré de impugna…</t>
  </si>
  <si>
    <t>…e el voto part.cular que presentamos: tan d;ficil es acer n Tor todas estas razones desapruebo el proyecto de lev.” tar cu todo io que tiene retacion con ia dotación del clero. Al Sr. Surra es al primero á quien le ha tocado impugnar el vo NOTICIAS DE ESPAÑA. to partxular, y en su discurso ha venido S. S. i. querer probar que Málaga i-° de Marzo. el proyecto actual adolecs.de un defecto esencial, a saber, que destruSi por una parte tenemos el se…</t>
  </si>
  <si>
    <t>…artículo sino los restantes, porque todos ellos quitan la es y hasta el papel hubiera tomado vá!6r. peranza de hacer propietarios nuevos pagando con las fincas á los Hit dicho el Sr. Surra que s-, hrri interesado machas personas acreedores del Estado. Ha supuesto ei Sr. Alonso que se han he en favor de! sistema porque se las Fra fitchó propétar ás: pero si cho ventas escandalosas; pero todas las que se han hecho han sido se han interesado á 20,…</t>
  </si>
  <si>
    <t>…le sacar al clero estos nes expresados para extinguir este servicio. bienes : por lo tanto desapruebo el dictamen. 12. El que solicite cualquiera de dichas fincas se presentará El Sr. Surra : EL Sr. preopinante ha considerado este proyec ante el alcalde del pueblo donde aquella radique, manifestando to como anticonstitucional , como ineficaz, y como injusto: pro estar pronto á pagar con lo» documentos expresados el total va curaré desvanecer los…</t>
  </si>
  <si>
    <t>…lo por es por Ja casa como un simple mercader que busca un sitio concur tar poco especificado en el artículo. rido para dar valor á sus efectos. Hay otras muchas circunstancias EL Sr. Surra; No es fácil contestar á todos los argumentos que influyen en esta desigualdad: una de ellas es también Ja cir que se han hecho por los señores que le han impugnado; mas sin cunstancia de población , que produce una subida ó baja en los al embargo debo decir…</t>
  </si>
  <si>
    <t>…anunció que mañana se continuaria la dis otros no podrá llevarse á efecto en el término que se señala. cusión de los asuntos pendientes, y levantó la sesión pública á las Dice el Sr. Surra que las contribuciones pueden repartirse en tres y media, quedándose las Cortes en secreta. el término prefijado, porque ya están hechos los padrones y re Orden de ¡a plaza del Ig al 16 de Mayo. partimientos y no habrá mas que rectificarlos: Esto hasta cierto…</t>
  </si>
  <si>
    <t>…ia cho de Hacienda ó la del Crédito - público que costaba á ja Na proposición debe aprobarse. ción muchos millones. Discutido suficientemente este asunto se añadió á la proposi El Sr. Surrá contestó'que el establecimiento de que se trata ción de los señores autores de ella la cláusula siguiente : r&gt; ovendo ba era un tamo enteramente diferente de los que habia citado el al Consejo de Estadoy puesta á votación quedo desaprobada Sr. preopinante, y…</t>
  </si>
  <si>
    <t>…A propuesta de los Sres, Gómez ( D. Manuel) y Cortés re El Sr. Aibear en nombre de la comisión admitió esta idea. dactó la comisión el art. 5.0 en estos términos: «En la misma El Sr. Surra expuso que todo era poco para premiar servicios pena y prevención incurrirán los eclesiásticos seculares y regula y personas corno las de que se trataba, y que las Cortes no de res, y otra cualesquiera corporación, persona ó funcionario pú bían limitarse á co…</t>
  </si>
  <si>
    <t>…debía haber lugar a créditos en el modo que expresaba ,\5p.Ma'.&gt;a , conté; m udosc con votar sobre el dictamen. ei dictamen cid comisionada especial dei Crédito publico que no El Sr. Surrá, después de haber pedido se leyese el informe podía acccderse á esta solicitud. Aprobado. del comisionado especial, el cual fue leído, hizo presente que es La comisión de Visita del Crédito p.,b!!co, habiendo exami ta pensión ora gratuita , y por consiguiente…</t>
  </si>
  <si>
    <t>…plir ios 30 de servi CORTES. cio en rentas , por otros que tenia en el servicio de las armas; opinaba se accediese á ello. Aprobado. TRElIDfVCIA DEL SEÑOR FERRER (DON JOAQUIN). El Sr. Surrá leyó el dictamen de la comisión de Hacienda so Sction del día 26'. bre el presupuesto de gastos de este ramo. Se mandó imprimir. Se leyó y quedó aprobada el acta de la anterior, mandándo El Sr. Becerra pidió la palabra, y manifestó que en el af o se agregar á…</t>
  </si>
  <si>
    <t>…, abierto tenia el camino con solo acudir á un Quedó sobre la mesa el dictamen de la comisión de Ultra tribunal. mar sobre la división del territorio de la isla de Puerto-Rico. El Sr. Surrá hizo presente que en su opinión se caminaba La misma comisión, atendiendo á la solicitud de D. Manuel bajo un principio falso , pues el Crédito público no entraba en deN., piloto de la armada nacional, con destino á América, para el litigio por sí, sino como…</t>
  </si>
  <si>
    <t>…tros. de D. Ignacio Martínez solicitando la legitimación de una hija Leído este dictamen hizo algunas observaciones sobre él el suya. Sr. Gómez ( D. Manuel), á las que cou'-stó el Sr. Surrá. La comisión de Visita del Crédito público, en vista de la ex Se declaró haber lugar á votar sobre su totalidad , y quedaron posición de D. Juan Antonio Giménez Perez de Arellano, opi aprobados los tres artículos que coníenia. naba se podia acceder á su solic…</t>
  </si>
  <si>
    <t>…el ministerio de la. Gobernaaon de agraciársela con la ;pcrisian ,d^trcs reates diariós ,;cottforme,á los Ja Península. . -. . . decretos5de1 liuCa'rti:s.-Apíób«uio. . ..t.-. b EI Sr. Surrá lcyó el dictamen de la comisión de Hacienda so .:¡consulta del-.consejo bre las dificultades que han ocurrido en la cobran» de la contri - ^jLa comision.dc,Guerra.,rxnj.vista de una de Estado sobré el modo:de atender ú los.oGcialcs procedentes de bución de .p…</t>
  </si>
  <si>
    <t>…a bahía, v abrirla pa posición; y puesta á votación quedó desaprobada. ra todos los extranjeros \ y asi que todas las sabias Se mandó pa-ar á Ja comisión Primera de Ha teorías del Sr. Surrá, las cuales eran mui ciertas, y cienda la prapenicia» siguiente del Sr. Canga : "Con reconocía eran mui buenas para otra época ; per» arreglo al art. 102 de la Constitución, pido ¿ las bo para la actual en que solo se trataba de salvar La Cortes se sirvan dec…</t>
  </si>
  <si>
    <t>…los tienes temporales miso para pi ar ai ejército como capitán de artille de las iglesias, .}' sus productos pónganse en cajaría . coir-ldcrárdolc como supernumerario y con de El Sr. Surrá después «le manifestar los motivos recho á los aseemos, opinaba «pie las Cortes podían que tin o la comisión de Visita pera estemler la ¡nsacceder á la primera parte, y que en' cuanto á la se truccionde que se trata, esposo tino apesar de lpicunda debia «tirs…</t>
  </si>
  <si>
    <t>…d deia tropa^n). Buenos apovos se ha aquellos deleznen.** Aprobado. echado la república de Lima. "\a hemos publicado sucesivamente la misma coriiiszon , en vista de la adición del Sr. Surrá al las operaciones que han precedido á este memorable suceso ; el art...... del reglamento de cirugía militar, opinaba debía redac cual reunido ú los demás de aquel continente, .1 ¡os igualmente tarse dicho artículo en esta forma: »Cuando ocurran algunas glor…</t>
  </si>
  <si>
    <t>…itar la bandera extrangera para facilitar Busaca, Pedralvez , Taboada , Gisbeit, Yaldes Bustos y los dos la introducción de frutos ultramarinos. Sres. secretarios mas modernos. El Sr. Surra expuso que no sabia como la comisión había podi El Sr. presidente anuncio que maraña se discurrían los dictá do desconocer el golpe mortal que se da á la marina nacional con menes que habían quedado sobre la mesa, y levanto la sesión. la aprobación de este ar…</t>
  </si>
  <si>
    <t>…raudes con obras é impresos de españoles americanos. ceder .el permiso de que se trataba , cuando habia el ejemplar ckl Art- 13. Siendo en todos los casos expresados la usurpación Sr. Surrá que sin ninguna autorización habia estado desempeñan de la propiedad un crimen de hurto, se declara ne tenca- lugar do en varias ocasiones el empleo de Comandante de uno de le^ éa ellos el juicio de conciliación, que «1 art. 282 á» la Constitu batallones de J…</t>
  </si>
  <si>
    <t>…nga contestó que se trataba de los secularizados que que debia aprobarse el artículo.habían quedado en pais libre. El Sr. secretario de la Gobernación de la Península manifestó El Sr. Surrá apoyó el dictamen de la comisión, y en segui que el objeto de este artículo no era otro que el de dar mas am da se declaró el punto suficientemente discutido. plitud al 101 del reglamento de instrucción pública , para que el Se acordó que se suspendiese la vo…</t>
  </si>
  <si>
    <t>…ando de También se propone que se suprimí la contribución directa el panes tan cterogéneas no puede ser aprobado. en las provwcias, es decir, que el Crédito público como propie El Sr. Surrá. He observado que las impugnaciones sobre tario ias satisfaga en ellas; pero las Cortes han determinado que rsie proyecto 110 se han reducido á la totalidad de él, y sí ii el Crédito público pague las contribuciones como los dunas pro impugnar algunos artícul…</t>
  </si>
  <si>
    <t>…algunas preguntas Lis Síes. Sanch.cz y Florea Cal traslación de estos á los domingos. . . A la comisión de Guerra se mando pasar una proposición del derón , á las que contesto el Sr. Surrá, se sprobo el articulo por Sr. Adan sobre que el regimiento de zapadores, minadores y pon qc votos cor.tiá -f 1 • toneros tenga en todas sus partes la organización del ejército. La comisión ret.ro le restante del dictamen.</t>
  </si>
  <si>
    <t>…ieme á las Cortes que se sirvan declarar bene- que no se habia extractado coa exactitud en los periódicos. méritos de la patria á los gefes políticos , militares y demás perro- El Sr. Surrá deshizo otras equivocaciones que dijo haber pa ñas que se hallaren en igual caso, tomando el Gobierno las npti- decido el Sr. Oliver. cias convenientes.” Se mandó pasar á la comisión de Guerra. A petición de varios señores diputados se preguntó si el asun La…</t>
  </si>
  <si>
    <t>…CIA DEL SEÑOR ZU LLETA. seguido en Vietia un resultado de sus esfuerzos mucho mas feliz Concluye la leiicn de! a. v extraordinario de lo que podía esperarse, y la Santa Alianza El Sr. Surrá dijo que por lo que resultaba cíe este expediente, e^fá amenazada de un golpe mortal. la junta de Sanidad no habia emitido su opinión, y que el Gobierno Ea determinación que se dice haber tomado los españoles de lo hacia de un modo contrario al dictamen. Que…</t>
  </si>
  <si>
    <t>Surrú, Pedro</t>
  </si>
  <si>
    <t>Pedro Surrú</t>
  </si>
  <si>
    <t>…el Flores Calderón , Presidente. 2= Leo Gefe de día el comandante del a.° batallen de !j mi’.c.a lo nardo Santos Suarez , diputado secretario.^ Francisco de Paula de cal de Madrid D. Pedro Surrú. Soria , diputado secretario.m Por tanto mandamos á todos los tri Servicio á palacio la milicia actVa v batallen de la bunales , justicias , gefes, gobernadores y demas autoridades, asi nal local de Sevilla , á la» &lt;ird»nos del coronel primer comandan civiles…</t>
  </si>
  <si>
    <t>Surta</t>
  </si>
  <si>
    <t>…s ’m: opongo al dictamen Contrayéndome ahora á la cuestión principal que me propuse tocar de la comisión. en este asunto , dité que aquí falta una base esencialísima , sobre la El Sr. Surta: Muchas impugnaciones se han hecho al dictamen de cual debe girar el dictamen de la comisión. ¿ Por qué el Gobierno ho las comisiones reunidas; peio el Sr. Oliver, sobre todos, ha sido el que ha presentado economías en los sueldos ? ; Por qué no ha presentado…</t>
  </si>
  <si>
    <t>…Pe Se mandó pasar á la comisión que habu dado su dictamen sobre la se nínsula e islas adyacentes de los buques v efectos extrangeros propios de gunda parte- de la proposición del Sr. Surta, relativa á los milicianos nacio aquella» naciones que corten sus telac ones amistosas con la España y su Go nales que hayan de acompañar al Gobierno, una adición dei Sr. Sotos al ar bierno constitucional. Art. a.° Igualmente se le autoriza para apurar Je! ti…</t>
  </si>
  <si>
    <t>…erechos de depósitos , y del medio minarse de la (acuitad que sigue. por ioo de consulado que han pagado Lista ahora. A las comisiones reunidas de Hacienda y Legislación se man El Sr. Surta se opuso á este dicunac n , manifestando que lo dó pasar una consulta del colector general de espolios y vacantes que debe procurarse es evitar toda introducción de «eneros cvacerca de lo que deberá hacer en caso de que sea invadida la ca trangeros , pues de…</t>
  </si>
  <si>
    <t>Surtí</t>
  </si>
  <si>
    <t>En la tercera voüílon fue electo el Sr. Surtí por 59 roto», siendo íl Diario de Comercio , que, según cartas de Odesa, las diferencias de el total 85. la Rusia con la Turquía están i punto de zanjarse. El Sr. presidente anunció que mañana , después de dir cuenta de &gt;» En las sesiones ¿iel r.J y 3 se disc…</t>
  </si>
  <si>
    <t>Sus, V. A. S.</t>
  </si>
  <si>
    <t>V. A. S. Sus</t>
  </si>
  <si>
    <t>…ha tenido orden de salir inmediatamente da del que depende la felicidad del remo. Ubrique y Julio 20 Constantinopla , como que no representa ya mas que á una asam de 1823 =A L. P. D. V. A. S. Sus fieles vasallos.” (Siguen las blea de rebeldes. ( Gaceta de Augsburgo.) firmas'). POLONIA. n Sermo. Sr.: El ayuntamiento de esta M. N. L. y patrióti Brest-Lithewki 10 de Julia ca ciudad de Montoro, que acaba de instalarse con arreglo á las Aqui se hallan much…</t>
  </si>
  <si>
    <t>Sutrá</t>
  </si>
  <si>
    <t>…visto entrar y salir de Logroño al general Tornjos con una exigido el clero de España. división compuesta de excelentes tropas, tanto en lo físico como en lo También ha hablado el Sr. Sutrá acerca del precio ds ¡os grane», moral: las continuas marchas y fatigas no han debilitado su cuerpo, y lo cual era un obstáculo para admitir lo que proponemos en nuestro voto particular; pero las consecuencias que S. S. ha sacado de este arhan fortificado su…</t>
  </si>
  <si>
    <t>Sutton</t>
  </si>
  <si>
    <t>…sir Roberto Wilson, los tenedores actuales de fincas nacionales, y se daria un golpe que ha sido trasportado por el paquete de la misma nación mortal al Crédito público. Sttaumer, capitán Sutton, procedente de Londres. - Habiéndose pasado á discutir este dictamen, y hablado en ,,Este ilustre general, tan conocido en Europa por su amor á pro los Sres. Isturiz y Surrá, y en contra los Sres. Alonso y la libertad, viene á España, no solo á ofrecer sus se…</t>
  </si>
  <si>
    <t>Svrungford</t>
  </si>
  <si>
    <t>…n este co Tas notic as que tenemos de Constantinópla no son mas li- mandancia general consta que ya no existen las face onos de Abum, «ínjeras, pues parece que el ministro ingles, lord Svrungford, ha Musa y Sanjurjo, habiéndose. vuelto unos á sus casas , y otros aco tenido un recibimiento mucho menos favorable uc lo que gene— giéndose al indulto , como lo ha hecho Abuin y otro» varío»; y se rinjentc se esperstba. «¿gura que los demás piensan seguir el…</t>
  </si>
  <si>
    <t>T, Antonio</t>
  </si>
  <si>
    <t>Antonio T</t>
  </si>
  <si>
    <t>…Lár’ mente en esta acción al capitán del regimiento del Infante D. San - Hasta el dia 31 del corriente inclusive estará abierta la matrícula tiago Gutiérrez , a! alférez del mismo D. Antonio T.oresecha, al te como los años anteriores para la enseñanza que en seguida se expresa, niente de la milicia activa de Arando D. Donato González, ayudante siendo la primera lección el primero de l'Vi--ero próximo. suyo, al teniente de la misma D. M :lino Fernand…</t>
  </si>
  <si>
    <t>T, Juan Antonio</t>
  </si>
  <si>
    <t>Juan Antonio T</t>
  </si>
  <si>
    <t>…lique y les en ¿efe de los ejércitos, ó por los comandantes militares de circule. = Rubricado de la Real mano. — En el alcázar de Sevi los distritos. lla á 19 de Mayo de 1823.=: A D. Juan Antonio T endióla. Art. 6.a El Gobierno expedirá por la tesorería general, y los rem.tirá á las diputaciones provinciales, hatebuonos al porta Condescendiendo con las repetidas instancias del teniente ge dor, que se entregarán al contribuyente en el acto del pago , á l…</t>
  </si>
  <si>
    <t>T, Mauricio Alberl y</t>
  </si>
  <si>
    <t>Mauricio Alberl y T</t>
  </si>
  <si>
    <t>…s , podrán tomar En la ídem: Los infrascritos jueces de hecho , habiendo examinado una tintura de los principio» generales , y conocer las divisiones y pun la denuncia firmada por D. Mauricio Alberl y T rradss en nombre tos principales del globo con el auxilio de un bu:n atlas. Este es el propio y en el de marido de Doña Do'or-s Albcri , y el artículo co tercer tomo de los elementos de matemáticas puras y mixtas del mis municado que acusa inserto en el n Ind…</t>
  </si>
  <si>
    <t>T-jada, Francisco Cre-po de</t>
  </si>
  <si>
    <t>Francisco Cre-po de T-jada</t>
  </si>
  <si>
    <t>…ue un decomiso, y de consiguiente debía ser D. Joaquín Suarez del Villar por 63 votos de -8 total, teniendo 10 reintegrado como estaba determinado respecto de todos los depósitos. D. Francisco Cre-po de T-jada y 3 D. Josrf G'ray, El Sr. Romero manifestó que este asunto no pertenecía á la comi Fl 'ir. presidente anunció que maraña después de dar cuenta de va sión que habia dado el dictamen sino á la actual de Legislación; y pi rios expedí-ntes se discutiría el p-oy…</t>
  </si>
  <si>
    <t>Ta, Francisco</t>
  </si>
  <si>
    <t>Francisco Ta</t>
  </si>
  <si>
    <t>…Calomatde.” que hubiere en la jnisma provincia, y, si perteneciesen á algu na de as paitidas levantadas antes de la citada fecha , serán in Con fecha da 27 del actúa' me comunica D. Francisco Ta corporados en la. sjpya respectiva, siempre que estuviesen filia deo de Calomarde, secretario del Rey nuestro Señor, con eger- dos,¡y no estando en este caso, y no quisiesen continuar volun cicio de decretos, y habilitado pata autorizar el acto solemne de tar…</t>
  </si>
  <si>
    <t>Ta, Honorario de</t>
  </si>
  <si>
    <t>Honorario de Ta</t>
  </si>
  <si>
    <t>…Viena encor.traria datos para rectificar su opinión sobre este punto, y sobre las demas calumnias con que se complace en desacreditar la santa F.l Sr. D. Martin de Pineda y Lara, magistrado Honorario de Ta au causa de España. Todos los Estados de U desventurada Italia, dice diencia territorial de Castilla la Nueva , y juez de primera instancia en aquel periódico , se salvaron por la actividad del Gabinete de Austria esta M. II. vtllade Madrid, en providencia de…</t>
  </si>
  <si>
    <t>Ta, Migqel</t>
  </si>
  <si>
    <t>Migqel Ta</t>
  </si>
  <si>
    <t>…ideo de Dkitmbte. . Frqyí^ejas del Rio de la FlaHa sido nombrado comandante general interino del nove — Montevideo.—.Viva I3 patrja, ^te pueblo argentino ba no distrito el Exorno. Sr. D. Migqel Ta^on, comandante ge despedazado ya las cadenas qúe lo jigaban al Brasil por declara neral de, esta provincia j gobernador de esta plaza , y se le ha ción solunhs de su heroico cabildo, y se ocupa en allanar los prevenido que designe para que le sustituya en est…</t>
  </si>
  <si>
    <t>Tabérnér, Josef</t>
  </si>
  <si>
    <t>Josef Tabérnér</t>
  </si>
  <si>
    <t>…yo. Los resultados sort distin ya anteriormente había partido para Mallorca con. igual objeto' tos de los que se publicaron en los Ensayos políticas sobre Mé el de la misma clase D. Josef Tabérnér. jico el añb 1809; porque en esta época no se habian calculado masque ios países habitados, sin comprender las regiones de El Rey nuestro Señor se ha dignado admitir el donativo de siertas abandonadas á las tribus salvages indígenas: En el dia. sé a89 rs. , q…</t>
  </si>
  <si>
    <t>Taberner, Josef</t>
  </si>
  <si>
    <t>Josef Taberner</t>
  </si>
  <si>
    <t>…ga á todos en amor á V. Al. y á su Real Casa. co de Mallorca con la plausible noticia oficial que comunica el Motril en sil'Ayuntamiento 16 de Octubre de 1823. czSeñorrr Brigadier D. Josef Taberner, con fecha del ■?, de que en el día P. A. L. R. P. de V. M. = El Conde de Ibeagh.=Antonio Gar anterior habia sido reconocido en aquella Isla el Gobierno abso cía de . v;c-mtara.=joscf Ignacio Ruiz Campos.zrRafael Ruiz de luto de S. M., como manifiesta la copi…</t>
  </si>
  <si>
    <t>…s, Justicias, Ayunta ges notables- mientos, tropas y demas habitantes de las mismas, obedezcan ,,No se pretende negar que fue contra la noluntad, de Fee— las órdenes que les diese D. Josef Taberner, Brigadier de mis ícando el que se le arrastrase de Sevilla í Cádiz. Los diputados se Reales ejércitos, á quien he renido á bien nombrar Capitán ge vieron precisados á hacer el camino á sus expensas '(1). neral interino de las mismas islas: que asi es mi volu…</t>
  </si>
  <si>
    <t>Taboad.t, Francisco</t>
  </si>
  <si>
    <t>Francisco Taboad.t</t>
  </si>
  <si>
    <t>…diario de esa de buena fe podía dudar de que la agresión de España era simultáneamen ciudad. Dios guarde á V. E. muchos años. Lugo 23 de Febrero de 1823,0= Antonio Quiroga.mExcmo. Sr. D. Francisco Taboad.t. te contra Portugal; pero que bien se considerase este principio como una declaración de guerra, la cual según la Constitución correspondía al Go Orden general del 22 dt Febrero de s8oy. bierno, bien como una disposición legislativa, era siempre extraña al de…</t>
  </si>
  <si>
    <t>Taboada</t>
  </si>
  <si>
    <t>…sta circular, y en los ocho ■ riña para que se les atienda en el pago de sus grandes atrasos, la siguientes entregarán su importe en la tesorería principal de ren cual presentó el Sr. Taboada. tas de k capital, sin excusa alguna, bajo la responsabilidad .de Se mandaron pasar á la comisión de Legislación dos adiciones apremio militar, y sucesivamente las demas penas que establee# de ios Sres. Aillon y Zulueta al dictamen aprobado sobre el pago . la…</t>
  </si>
  <si>
    <t>Taboada, Antonio</t>
  </si>
  <si>
    <t>Antonio Taboada</t>
  </si>
  <si>
    <t>…dicha representa dos alojamientos, á pesar del corto término y tiempo que había ción de S. Sebastian dar satisfacción á sus representados, pro tenido para ello. Inmediatamente el Sr. D. Antonio Taboada, poniendo á la junta que con vista del fuero, cuya observancia del consejo de S. M. en. el Real de Navarra, y corregidor de deseaba, y de las circunstancias, se sirviese resolver si debta se esta misma, provincia, con cuya asistencia se celebró ia junta, guir…</t>
  </si>
  <si>
    <t>Taboada, Antonio de</t>
  </si>
  <si>
    <t>Antonio de Taboada</t>
  </si>
  <si>
    <t>…á nombre de esta provincia bajo el régimen cons de 18 J3.=:Lieenciado D. Juan Antonio de oozoeta. titucional ú los llamados diputados en cortes, igualmente que el Discurso que el Sr. D. Antonio de Taboada, del consejo de nombramiento hecho de ¡os individuos de ¡a titulada diputación S. M. en el Real y supremo de Navarra, y corregidor de ia provincial; y que ademas para dar un testimonio irrefragable de M. N. y M. L. provincia de Guipúzcoa, pronunció en la aper…</t>
  </si>
  <si>
    <t>Taboada, Juan</t>
  </si>
  <si>
    <t>Juan Taboada</t>
  </si>
  <si>
    <t>…opinaba que las Cortes podían servirse decía: ar La comis:on de Jmtruccon pública, en vista de la exposición que no es necesario el juicio de conciliación para llevar á efecto de D. Juan Taboada , c.ted.át co interino de derecho español en las sentencias de los árbitros. Aprobado. Ja universidad de Santiago, man.(estando que habiendo hecho opo Cont inuó ¡a discusión sobre el modo de suceder en los bienes sición en 1819 á la cátedra de leyes de hi mis…</t>
  </si>
  <si>
    <t>Tad, Francisco</t>
  </si>
  <si>
    <t>Francisco Tad</t>
  </si>
  <si>
    <t>…n sus dos manos en el mismo libro braron por secretario al que lo es del Rey nuestro Señor con de los Santos Evangelios, pronunciaron tn voz bien perceptible egercicio de decretos D. Francisco Tad;o de Calomardí y Re- el anterior juramento prestado por el Excmo Sr. duque Presi tascon, caballero pensionado de la Real y distinguida orden dente, repitiendo tas mismas é idénticas palabras que S. E. ha española de Cirios 111, comendador y ministro secretari…</t>
  </si>
  <si>
    <t>Tahemer, Josef</t>
  </si>
  <si>
    <t>Josef Tahemer</t>
  </si>
  <si>
    <t>…sef Sanjuan.” Cataluña, que durante Ja ominosa esclavitud de V. M. dirigió sus votos á la Regencia del Reino en los términos que manifies JEl Capitán general de las Islas Baleares D. Josef Tahemer con ta el adjunto ejemplar, no encontró límites con que expresar su . fecha 14 del corriente dirige al Sr. Secretario del Descacho de la' regocijo en el momento que supo la libertad de V M. y su Real . Guerra el parte que sigue: " Familia: por suceso tan port…</t>
  </si>
  <si>
    <t>Tahoada</t>
  </si>
  <si>
    <t>…s se adquirieron un to por oficio recibido del de Arzúa que el faccioso ladrón Feas nombre inmortal en el orbe. Sí, h ¡ios predilectos de la patita, intentaba pasar allá, envió al teniente Tahoada con 22 hom -vosotros vais a renovar sus magnánimas acciones en el siglo bres, estableciéndose la columna en Metlid. Dice que en esta presente. Marchad, corred denodados al combate, y no vaciléis villa y en los ayuntamientos de su derecha, incluso el carmino,…</t>
  </si>
  <si>
    <t>Taiarú, Conde de</t>
  </si>
  <si>
    <t>Conde de Taiarú</t>
  </si>
  <si>
    <t>…ugustas Madrid ij de Octubre.Personas un magnífico carro triunfal, las condujeron á brazo al Real Palacio, en el cual se hallaban para recibir á SS. MM. Jíl dia 2 del corriente el Sr. Conde de Taiarú, Embajador de &gt;’ A A. eÉ Excmo. Sr. D. Víctor Saez, Consejero de Estado, S. M. Cf?m., al presentar sus credenciales al Rey nuestro Se primer Secretario de Estado y del Despacho, y Confesor del ñor en el Puerto de Sta. María dirigió á S. M. el discurso si Rey…</t>
  </si>
  <si>
    <t>Taiarú, Marques de</t>
  </si>
  <si>
    <t>Marques de Taiarú</t>
  </si>
  <si>
    <t>…Despacho, y Confesor del ñor en el Puerto de Sta. María dirigió á S. M. el discurso si Rey nuestro Señor; Monseñor Nuncio, con e, Sr. Cadolino, su guiente : Secretario; el Excmo. Sr. Marques de Taiarú, Embajador de ,,Señor: Los votos del Rey mi amo se han colmado va' Francia, con.uno de sus Secretarios, el caballero Vielcastel; los V. Al. se halla vuelto al amor de sus pueblos; la España ve Srcsi Conde Bruneti, Enviado extraordinario' y Ministro pleni rest…</t>
  </si>
  <si>
    <t>Talará, Marques de</t>
  </si>
  <si>
    <t>Marques de Talará</t>
  </si>
  <si>
    <t>…ómbrés, cuyas decantadas luces hári venido ! parar eñ A la una de la tarde fue presentado á SS. MM. y AA. el trasladar a Una piedra el culto debido al Hacedor y Gobernador Excmo.' Sr. Marques de Talará, Embajador de-Sé M. Cma:'¿ér— de los cielos, de la tierra y Cuanto en ellos se &amp;ótttie«e. : ca del Rsy nuestro Señor, y mereció de todos ia mas lisonjera Mas'el que sufre los peligros de una largá tempestad, no de acogida, no solo por el augusto Soberano, á q…</t>
  </si>
  <si>
    <t>Talarn</t>
  </si>
  <si>
    <t>…20 y 1821 , y sobre el modo de evitar « Los prisioneros hechos en Almonacid ascienden á 500 hombres , con la guerra externa y acabar la interna, guardando ilesa la Constitución el coronel Talarn, del Priorato, la tesorería, y la mayor parte de los equi de 1812. Se hallará de venta á 4 rs. en la calle de los Jardines en casa pares. Dios guarde á V. E. muchos años. Cariñena. 1.° de Marzo de de D. 'lomas Moore, núm. 8 , cuarto principal. 1823—Excmo. Sr.…</t>
  </si>
  <si>
    <t>Tales</t>
  </si>
  <si>
    <t>…y si se digna ténga la piedad de recibir el sincero homenage que Tú solo haces olvidar tres años de amarguras y de opresión. Villafranca (representada por los de su ayuntamiento y cura Tales son, Sermo. Sr., los sentimientos del júbilo mas extra párroco, que han sufrido cruelísimos sentimientos) ofrece a ordinario con que el ayuntamiento realista de esta viila tiene V- A. S. con sus vidas, con sus haciendas, y si fuese po»ib e, el honor de felici…</t>
  </si>
  <si>
    <t>Tallin, Pedro</t>
  </si>
  <si>
    <t>Pedro Tallin</t>
  </si>
  <si>
    <t>…padecimientos y persecuciones suicidas del Infantado , 'liaron de Eróles , Conde de España , y al Mariscal durante la pasada época de anarquía; he vendo en concceerie la de Campo D. Pedro Tallin , y para Secretario al brigadier Don Gran Cruz de la orden Americana de Isabel la Católica. Ten— Carlos de Ulman , por la confianza que me merecen por su acri dreisla entendido, y dispondréis lo necesario ¡i su cumplimiento. soladacolada lealtadlealtad yv con…</t>
  </si>
  <si>
    <t>Tamariz, Mariano</t>
  </si>
  <si>
    <t>Mariano Tamariz</t>
  </si>
  <si>
    <t>…se dini, Orfini, reservándose otros 11 &lt;n (tetare. hallará á las nueve de la mañana en las tasas del presidente , que vive en la ÍRavcta, núm. 4, y concluido este se retirará á su D. Mariano Tamariz, oficial de la secretaría de la coman cuartel. Leglisa. dancia general del undécimo distrito, con fecha de 29 de Mar?0 de este año ha cedido en obsequio de la Hacienda pública, y con nota. En la gaceta de ayer, col. 3.a, donde dice Paró 16 &lt;i* destino á las o…</t>
  </si>
  <si>
    <t>Tamayo, Julián</t>
  </si>
  <si>
    <t>Julián Tamayo</t>
  </si>
  <si>
    <t>…ucho mas en la defensa con tonas sus fuerzas disponibles atacar á !ai do» compañías , ene i la» de sus derechos. Y no se quieran etisañar con ia faka supos.cion de que órdenes del teniente D. Julián Tamayo, tenia de observación en Ir. al no &gt;« este el modo de pensar de la mayoría de la Nación, poique no tura de la derecha. Al momento volé en su íuxíFc c n el resto del ba ie pasará un so o dia en que no tengan un desengaño. tallón que dispuse en ta ofensiva desd…</t>
  </si>
  <si>
    <t>…diatamente oficial faccioso; al id ayudante de Sigüenza D. Manuel Peña Espioa que por sí ó per med.o de apoderado á la administración de estancadas de salió h;rido;á los tenientes D. Julián Tamayo y D. Francisco Láza esta capital á comprar el impreso, que presentarán en esta secretaría pa ro, y á ¡os subtenientes del mismo D. Josef Sánchez, contuso también, ra extender el correspondiente títmo, que cuidarán de recoger; adviry D. Félix de Hila. El teniente ds voluntarios d…</t>
  </si>
  <si>
    <t>Tañamao, Vicente</t>
  </si>
  <si>
    <t>Vicente Tañamao</t>
  </si>
  <si>
    <t>…ministrar este sus Aprobado. ¡enes; opinaba que podía accederse á su solicitud. Aprobado. Las Cortes , á petición de la comisión de Instrucción pública, Otro sobre ia solicitud de D. Vicente Tañamao, platero de acordaron que pasasen á la dirección de estudios para que infor me las siguientes exposiciones: de D. Francisco de Paula, Mar Barcelona; opinaba que podía accederse á su solicitud. Aprobado. tínez , vecino dé Granada, pidiendo á las Cortes una ayu…</t>
  </si>
  <si>
    <t>Tapia, Eugenio</t>
  </si>
  <si>
    <t>Eugenio Tapia</t>
  </si>
  <si>
    <t>…eresado dei pa loponeso , y atrajo á los desfiladeros de la Beoda á Mehemed-Ba- radero de dichos equipages. já, quien después de la muerte de Churschid habia tomado pro Poesías de D. Eugenio Tapia, individuo de número de U visionalmente el mando en gefe. Academia española__ Si hubiera de hacerse un elogio proporcio _ Aprovechando las ventajas que le ofrecía la localidad, consi nado al mérito de estas poesías, era necesario extenderse demasia guió Odise…</t>
  </si>
  <si>
    <t>Tapia, Manuel María</t>
  </si>
  <si>
    <t>Manuel María Tapia</t>
  </si>
  <si>
    <t>…los Sres. de la comisión en mani A la comisión de Instrucción pública se mandaron pasar dos festar lo injusto del dictamen, no podían decir que cuando se dió exposiciones, una de D. Manuel María Tapia en solicitud de per el decreto por el cual el Crédito público había de auxiliar á la Te muta de anos de estudio para su hijo, y otra del director del ob sorería nacional, se dijese que esta quedaba en obligación de pa servatorio astronómico de S. Fernando, so…</t>
  </si>
  <si>
    <t>Tarabino, Francisco</t>
  </si>
  <si>
    <t>Francisco Tarabino</t>
  </si>
  <si>
    <t>…de la instancia de D. Timoteo binson , y cartas de ciudadanía á D. Manuel Antonio Perez, ori Connelli, teniente coronel de egército , para que se le continúe ginario de Africa, á D. Francisco Tarabino, á D. Juan Bautis la pensión de 100 ducados que se asignó á su tío Fr. Tomas ta Mastorano y á D. Josef Marzoni. Connelli por autor de un diccionario anglo-español, cuyo pro Se aprobó el dictamen de la comisión de Diputaciones pro ducto cedió al erario, opinab…</t>
  </si>
  <si>
    <t>Taravilla, Manuel Diez</t>
  </si>
  <si>
    <t>Manuel Diez Taravilla</t>
  </si>
  <si>
    <t>…acontecimiento es de lo mas plausible , y hace Gefe de día el comandante de escuadrón de caballería de Nu- ver cuanto se puede sacar de ciertos pueblos que desde muy anti znancia D. Manuel Diez Taravilla__Servicio á palacio el Infan guo están ministrando pruebas de acendrada lealtad__ El gober te D. Carlos y la milicia nacionaL local á las órdenes del coman nador insurgente de Sta. Marta se embarcó pava Jamaica, y los dante interino de la Reina D. Manuel Fría…</t>
  </si>
  <si>
    <t>Tarritfs-, Bernardo de Borlas y</t>
  </si>
  <si>
    <t>Bernardo de Borlas y Tarritfs-</t>
  </si>
  <si>
    <t>…s Fernandez. D. Saturnino Lozano'. vidad en estos días. D. Miguel Ripa. D. Agustín Arricia. También tiene la diputación contratados y prontos los 637 unifor D. Juan Antonio Marco. D. Bernardo de Borlas y Tarritfs- mes completos con armamento y fornituras para infantería ds línea: 55 D. Joaquín Cevallos. D. Josef Urrutia y Anatia. para caballería también de línea: 66 para idem ligera: 13 para artilfrI&gt;. Josef Brull. D. Juan Muguiro. lía , y otros 13 para zapadores, que…</t>
  </si>
  <si>
    <t>Tasara, Pablo María</t>
  </si>
  <si>
    <t>Pablo María Tasara</t>
  </si>
  <si>
    <t>…ero ignora sin duda que Alma, do Reso, y todos los hom La comisión de Instrucción pública, en vista de !j solicitud bres del mundo que aprecian su dignidad , no cometerán jamas de D. Pablo María Tasara, cursante de leyes, sobre permuta de la bajeza de recurrir á ia clemencia infame de unos monstruos cursos, opinaba que podia accederse á su solicitud , sujetándose al á los cuales están decididos á exterminar o á perecer en esta de examen prevenido en la orde…</t>
  </si>
  <si>
    <t>Tasco, Ve</t>
  </si>
  <si>
    <t>Ve Tasco</t>
  </si>
  <si>
    <t>ií al clero al estado de indie-ncíc? No , »efior:» : lo» ministros de la re El Sr. Ve Tasco ha impugnado solo alguno» artículo» del proyecto; ligión tienen un derecho par;. que se les ponga ¿ cubierto de sus nece- pero en realidad no ha impugnado su totalidad. S. S. principió por ridades t y yo tiemblo cuando considero que se trata da adoptar una co…</t>
  </si>
  <si>
    <t>Tatanco, Manuel</t>
  </si>
  <si>
    <t>Manuel Tatanco</t>
  </si>
  <si>
    <t>…tidad alzada, que se que los tenga ó sepa de su paradero , los entregará ó avisaré en la obligó ¿ pagar el Gobernó francés, quedó transigido el asunto de re- tienda de curtido» de D. Manuel Tatanco , calle de Toledo, jumo ai clamacion*» contra la Francia &amp;c. arco de la plaza de la Constitución , que se le agradecerá. EN LA IMPRENTA NACIONAL.</t>
  </si>
  <si>
    <t>Tato</t>
  </si>
  <si>
    <t>…fenómenos análogos en nuestra Es do en una precipitada fuga por los montes, mandando replegar al ex paña, ocurrimos para su aclaración, si no á fuentes extrangeras, á ori presado teniente Tato á la columna de mi mando, que se hallaba co ginales de nuestro suelo; en efecto, los enemigos declarados de la li locada en una elevada altura tomada á los facciosos. bertad y la patria tiemblan al ver un pueblo decidido en el sosten de « Recomendar i V. S. á…</t>
  </si>
  <si>
    <t>Taulin</t>
  </si>
  <si>
    <t>…lo. Kl general Birge y la brigada Aehard siguieron la misma La reserva consistía en dos barbones del 3.0 de línea del dirección. El general Montgardé marchó con su división por el general Taulin. , camino real. El resultado de la acción fue desalojar al enemigo ■ El ataque'fue muy decidido tn. todos los puntos; pero el de todas sus posiciones, persiguiéndolo hasta tiro de fusil de sus «Ufínigo-fue recibido con valor y rechazado, obligándole á reducto…</t>
  </si>
  <si>
    <t>Tcjeiro, Navarro</t>
  </si>
  <si>
    <t>Navarro Tcjeiro</t>
  </si>
  <si>
    <t>…supresión temporal de aquella autoridad para impedir lo» a los :¡¡líenlos g.°, 4.0, ó.° y 7.0 de la misma ley. resultados de su mala conducta: Esta es pues la idea de la comi Del Sr. Navarro Tcjeiro, contrario al art cuio - ° sión. La conducta de las autoridades civiles puede ser hasta ahora Del Sr. A’.ix , contrario á todos y cada uno de los artículos plausible ; pero podrá no serlo en adelante. de la misma ley ; y del Sr. Perez de Aleca , contrario á l…</t>
  </si>
  <si>
    <t>Te, Antonio</t>
  </si>
  <si>
    <t>Antonio Te</t>
  </si>
  <si>
    <t>…s vengaría en los infelices habitantes griegos, á pesar da de Villavíciosa D. Manuel S. Román, el teniente de Yakrcev &lt;juc el desembarco no se consideraba sino como una simple lla D. Antonio Te rizan o, y el subteniente de la milicia activa de mada por aquella parte. Segorve D. Josef Verdes, como « cosa de las once de la noche, Se sabia por la vía de Trieste que la guarnición turca de Co- hora en que llegaban á la segunda venta que está sobre la izq…</t>
  </si>
  <si>
    <t>Te, Juan de Morales y</t>
  </si>
  <si>
    <t>Juan de Morales y Te</t>
  </si>
  <si>
    <t>…esta discu- Es singular el rasgo patriótico que ha manifestado Doña Josefa lioa, volved á la de los reo millones, olvidad si es pos.ble todo lo Diez de la Cortina, viuda dql limo. Sr. D. Juan de Morales y Te&gt;vdv| que ha pasado , y unios al ínteres general de la nación. Pido queso pa- vecina de la villa de .Marchena, la que teniendo ya otro hijo sirviendo ae á la discusión señalada para boy. en el egérclto permanente , ofrece el único que le quedaba , llamado Se p…</t>
  </si>
  <si>
    <t>Tegui, Juan Mana</t>
  </si>
  <si>
    <t>Juan Mana Tegui</t>
  </si>
  <si>
    <t>…o del distrito’señalado a cada una de aquellas &gt;e ha »ubClérigos y frailes: E¡ obispo de Léridu.rsEl cinonigo de id, dividido el ejército de mi mando , formaran v rcuvtirán lo mi» D. Juan Mana Tegui,=CapeU.m de id. D. Juan Rodríguez C¡- breve que sea posible al Estado mayor del mismo lista» circuí» fuenics. lanciada» en que se expíese:</t>
  </si>
  <si>
    <t>Teguí, Juan María</t>
  </si>
  <si>
    <t>Juan María Teguí</t>
  </si>
  <si>
    <t>…Sr. presidente, después de leída el acta de la sesión óltiClérigos y frailes: El obispo de.Lérida , el canónigo de id. ma, tomó la palabra, y pronunció un discurso sobre el estado D. Juan María Teguí, capellán dsríd..D. Juan Rodríguez Ci- de la nación, en el.que dijo entre otras cosas lo siguiente: fuentes. » Aquí es donde esperamos impávidos propuestas que nunca Criados del obispo: Julián Cabioli, Domingo Corvado, han hecho, pero que fingen hacer para se…</t>
  </si>
  <si>
    <t>Tejada, Francisco Crespo de</t>
  </si>
  <si>
    <t>Francisco Crespo de Tejada</t>
  </si>
  <si>
    <t>…xix se reuniesen en Verona tador , por sí y á nombre de sus compañeros, denunció a! Sr. alcalde Emperadores y Reyes para arrogarse derechos , que en los tiempos de constitucional D. Francisco Crespo de Tejada el núm. i.° del Apéndice ignorancia no desconocieron los Gobiernos mas bárbaros : parecía al Zurriago , por las expresiones de la pág. 12, que miran dichos edi imposible que en notas pasadas por Gobiernos que se dicen cultos, tores como calumniosas é injurios…</t>
  </si>
  <si>
    <t>…14.0 lucar salió electo el Sr. Soria por 96 votos, habiendo tenido El Sr. marques de Picdrablanca , como ciudadano , denunció al Sr. al dos el Sr. Marchámalo. calde constitucional D. Francisco Crespo de Tejada el suplemento al nu En 1 $.° lugar el Sr. Bartolomé por 82 votos, que era el total. mero 7 del Procurador general, en concepto de subversivo. En 16.0 el Sr. Nuñez (D. Toribio) por 79 votos, habiendo tenido En su vista se reunió el jurado , compuesto de los Sr…</t>
  </si>
  <si>
    <t>…es. Tendreislo entendido para su cumplimien El Sr. fiscal de imprenta denunció al Sr. alcalde constitucional to, y dispondréis se imprima , publique y circule. = Está rubricado de D. Francisco Crespo de Tejada el suplemento al número 8 del Procu la Rea! mano.= En palacio á diez y nueve de Marzo de mil ochocien rador general dei Rey, en concepto dé subversivo en primer grado. tos veinte y tres. = A D. Francisco Fernandez Gaseo. En su vista se reunió el jurado, compu…</t>
  </si>
  <si>
    <t>…nte con todo el rigor de las leyes militares , cual y del Despacho uc Hacienda, he venido en nombrar para que la quiera desorden que pueda alterar en lo mas mínimo la tran sirva á D. Francisco Crespo de Tejada, sugeto en quien cor.curquilidad pública. ren las circunstancias de crédito, patriotismo y actitud. TcndreisLa rigorosa disciplina que haré observar á las tropas de mi lo entendido, y dispondréis lo necesario á su cumplimiento. mando será el mejor garante de…</t>
  </si>
  <si>
    <t>Tejada, Matías Perez de</t>
  </si>
  <si>
    <t>Matías Perez de Tejada</t>
  </si>
  <si>
    <t>…r rite d:a que le publiquemos íntegro, lo verificaremos en ehptóxi• nt. níiíneru. Por providencia de! Sr. alcalde constitucional D. Miguel García de la Madrid se cita y emplaza 4 D. Matías Perez de Tejada y D. Josef DIRECCION GENERAL DE LOTERIAS NACIONALES. Lima, para que por sí ó por medio de personas autorizadas con poder Noticia de los pueblos donde han cabido los premios mayores de bastante , asociados de un hombre bueno, comparezcan en su audiencia, s lotería moderna nacional…</t>
  </si>
  <si>
    <t>Tejada, Matías Pérez de</t>
  </si>
  <si>
    <t>Matías Pérez de Tejada</t>
  </si>
  <si>
    <t>…e algu ante el escribano del número y de su juzgado D. Florentino Lop-z Baio, na exposxion , debe dejarse sobre la mise , luego queda al cuidado del pre se cita, llama y emplaza á D. Matías Pérez de Tejada y D. Josef de Id- I sidente el pasarla á la secretará de la C .mura, di bien io hacerse la explicu- iría, para que en el preciso y perentorio término de seis días, contaros I c on de ella en la primera s.s on pública qu: haya después de esta comuni desde la publicación de este…</t>
  </si>
  <si>
    <t>Tejciro, Navarro</t>
  </si>
  <si>
    <t>Navarro Tejciro</t>
  </si>
  <si>
    <t>…guiente que este enervada la acción del Gobierno que todos sabía cho al dictamen , que creo debe aprobarse. debe ser vigorosa y expedita. La autoridad militar no es suficiente El Sr. Navarro Tejciro: Los señores de la comisión no han para llenar los vacíos que resultan de esta situación, y mucho me. podido menos de confesar los inconvenientes que hay en que se nos cuando. Mahon es una especie de puerto franco muy concurri apruebe el dictamen que se propo…</t>
  </si>
  <si>
    <t>Tejeira, Josef</t>
  </si>
  <si>
    <t>Josef Tejeira</t>
  </si>
  <si>
    <t>…azas, cada batallón de cazadores ycads regimiento de ca ballería de 400 , y cada regimiento de artillería de 600 , tendríamos Sr. Escudero. , , El Sr. López del Bafio leyó otra de D. Josef Tejeira , teniente del una fuerza suficiente para asegurar la tranquilidad interior del remo y regimiento caballería déla Reina , segunda de coraceios, en la cual par» oponerse á los invasores de la Península, si acaso había quien ofrecía a! mismo tiempo levantar una…</t>
  </si>
  <si>
    <t>Tejeiro</t>
  </si>
  <si>
    <t>…ormas sobre reformas. Hizo en se Del rector y claustro de la universidad de Valencia , presentada por guida varias reflexiones sobre el asunto , diciendo que lo establecido por el Sr. Tejeiro, la comisión pugnaba con lo resuelto en varios'concilios generales y par Del juez de primera instancia del juzgado primero de Málaga y ticulares; y después de haberse extendido en sus observaciones, con cursantes de la universidad de Granada , por el Sr. Oíiv…</t>
  </si>
  <si>
    <t>…visionalmente á los gefes po- La comisión de Legislación presentó un proyecto de decreto lít cos, intendentes y demas empleados que no cumplan con sus acerca de la proposición del Sr. Tejeiro, para que se declarase obligaciones-, y pueden asimismo reunir el mando político y mi haber llegado el caso de que trata el artículo 308 de la Constitu litar de sus provincias como mas convenga á la causa pública, ción: y se inando imprimir junto con el voto…</t>
  </si>
  <si>
    <t>Tejeiro, Antonio</t>
  </si>
  <si>
    <t>Antonio Tejeiro</t>
  </si>
  <si>
    <t>…nt-March, apoya esta solicitud, es de parecer se le conceda; y se conforma D. Carlos Benbenuti . D. Josef Saint March, D. Josef Tejeiro, ba con el dictamen del Gobierno. Aprobado. D. Antonio Tejeiro, D. Josef María Doncel, D. Josef Curten. La misma comisión, en vista de la exposición de D. N. ZaEl teniente D- Gregorio López de Boneville. los subtenientes vala , para que se le continúe el pago de la pensión de 4© reales D. Sancho Conejo, D. Mateo Baca, D.…</t>
  </si>
  <si>
    <t>Tejeiro, Josef</t>
  </si>
  <si>
    <t>Josef Tejeiro</t>
  </si>
  <si>
    <t>…o que Mauricio conde de Balbiani. Los capitanes D. Felipe Saint-March, apoya esta solicitud, es de parecer se le conceda; y se conforma D. Carlos Benbenuti . D. Josef Saint March, D. Josef Tejeiro, ba con el dictamen del Gobierno. Aprobado. D. Antonio Tejeiro, D. Josef María Doncel, D. Josef Curten. La misma comisión, en vista de la exposición de D. N. ZaEl teniente D- Gregorio López de Boneville. los subtenientes vala , para que se le continúe el pago…</t>
  </si>
  <si>
    <t>Tejeiro, Navarra</t>
  </si>
  <si>
    <t>Navarra Tejeiro</t>
  </si>
  <si>
    <t>…voy á manifestar los obstáculos que hacen que se» dictamen de la comisión de Legislación sobre Ja proposición del inútil la suspensión de algunas de ¡as formalidades de que se tra Sr. Navarra Tejeiro relativa á la suspensión de algunas de las ta. Dice la comisión que se suspenda el artículo :9o , que fije formalidades prescritas en la Constitución. un tiempo para recibir la declaración del arrestado, pero este ar Alt. i.° La suspensión de alguna de las fo…</t>
  </si>
  <si>
    <t>Tejeiro, Navarro</t>
  </si>
  <si>
    <t>Navarro Tejeiro</t>
  </si>
  <si>
    <t>…ado á aquella dría que volverse atras por no poder hacer aguada ni surtirse de plaza anteriormente á esta época. víveres, ni tampoco podría encontrar caballerías y otros medios El Sr. Navarro Tejeiro: Es su per dúo manifestar á las Cor de trasporte, y ademas tenían muchos enfermos. Las trepéis expetes la necesidad imperiosa que hay de socorrer á Valencia. Yo d.Clonarías ascendía á unos qU hombres en 40 trasportes , escol estoy bien persuadido que el Gobie…</t>
  </si>
  <si>
    <t>…os que se hubieren suministrado an lo siguiente: ,,Se han recibido noticias positivas de que Josef tes de aquella época. Napoleón se ha embarcado en los Estados—Unidos de Améri El Sr. Navarro Tejeiro , después de manifestar que estaba ca para el continente europeo, y que sus hermanos Lucia bien persuadido de que el Gobierno habria tomado las provi- no, príncipe de Canino; Luis, ex-R.ey úq ííoiaudz, y Ge denciasposibles, dijo que solo había pedido la palab…</t>
  </si>
  <si>
    <t>…pm gozaren Jas elecciones los acuerdo con e¡ Excmo. apuntamiento, se proveerán de todos lo* derechos de tales. bagages necesar.os , sin que los gefes pidan uno soio mas de los El Sr. Navarro Tejeiro: He tomado la palabra en contra de detallados por ia orden del ejército. «te dictamen porque me parece que no comprende todos los ca En ca-ra de marcha ninguna mujer podrá marchar con c¡ ba sos marcados en la Constitución para que no baya dudas en las gaje de…</t>
  </si>
  <si>
    <t>…o También ha dicho S. S. que la comisión beneficia por este cios que deben extenderse eri cada uno de clíoí. provecto á la clase industrial sobre la agrícola; pero debe tenerse £1 Sr. Navarro Tejeiro: Después de convenir coi; la idea de presente que todos los actos de la clase agrícola están reducidos á la comisión opuso la dificultad de que acaso se imposibilitaría lle uno ó á dos, y que ios de la clase industrial se multiplican hasta var á cabo aquella…</t>
  </si>
  <si>
    <t>…ue no guarda proporción con lo dispuesto En este 2.0 escrutinio tuvo 49 votos el Sr. Ldlo, 18 el señor en el anterior , ni tampoco la hay en que paguen lo mismo los Zulueta, 18 el Sr. Navarro Tejeiro, y 21 el Sr. Diez. Total 121; ciudadanos por un pleito que interesa en io ó 12O rs. que por mas no habiendo reunido ninguno de estos Sres. la mitad mas otro de eoo ó óoo. Por lo tanto yo deseo que no se apruebe uno del toial, se procedió á tercer escrutinio e…</t>
  </si>
  <si>
    <t>…n este dia. nes de este establecimiento muchos monges mendigan el sustento-, nern yo dejo á las Cortes el juicio sobre estas acriminaciones. Números. Premios. Ad» inistracwn's. El Sr. Navarro Tejeiro desea muy bien que no se haga se parada esta contribución, y yo no tendría inconveniente en con 8006., 10,000 Ps. fs. Madrid. venir con la idea de S. S. si los demás señores de la comisión se 4»43- 5°°°.............. Sevilla. aviniesen á ello. Por lo demas ¡q…</t>
  </si>
  <si>
    <t>…a corporación serán relati Se acordó que pasase esta adición a la comisión. vas á guerra, y de consiguiente será preciso conservarlos alli. Pe Se mandó agregar al acta el voto del Sr. Navarro Tejeiro, ro la comisión , viendo que el Gobierno le presenta como medio contrario á la autorización concedida al Gobierno para que pue único el de poder emplear en el ejercito algunos consejeros de da emplear á los consejeros de Estado en destinos militares. Estado,…</t>
  </si>
  <si>
    <t>…ó por par tación de las Cortes que bahía de felicitarle por su tes y quedó aprobada en todas ellas la siguiente pro feliz arribo á esta ciudad; y el segundo del Secre posición del Sr. Navarro Tejeiro ; Siendo tan críti tario del despacho de Marina, haciendo presente que cas como estraordinarins las circunstancias que nos ¿ virtud del fallecimiento del mariscal de eampo D. rodean, que puede decirse que la Patria está en el Estanislao Sánchez Salvador, habí…</t>
  </si>
  <si>
    <t>…mandó pa Después de nna discusión entre los Sres. Comea sar ó la comisión especial encargada de examinar las (T). Manuel j Kuiz de la Vega , Gómez Becerra , Ai’onproposiciones del Sr. Navarro Tejeiro, otra del Sr. zo, Garoz, Olivcry Oj.ro. v en laque se propu Canga para que se autoré/ñ al Gobierno para pro sieron varias modificaciones al artículo, suspendió el veer las vacantes que resultaren de los empleados ¿ir. presidente su discusión. que debiendo seg…</t>
  </si>
  <si>
    <t>…ri les que podria causar el artículo en cuestión si se ginal en poder del impresor. (Ls con corta diferencia aprobase. lo que se a pro lió en la sesión del 5 de abril de 1822.) El Sr. Navarro Tejeiro en apoyo del artículo di Api obado.” jo, que cuantos Sres. diputados le habían impugnado Art. ti. 3 ;, El impresor será responsable, ademas no habían podido menos de confesar lo misino que de dos casos determinados por el artículo 27 de la lei el Sr. Marau á…</t>
  </si>
  <si>
    <t>…o. ^ Después de algunas otras ligeras observaciones hechas' por el Santa Alianza,habiendocangeado antes sus respectivos plenos po deres, han convenido en los artículos siguientes: Sr. Navarro Tejeiro, á que contestó el Sr. Arguelles, se declaró el punto suficientemente discutido y quedó aprobado el artículo. Artículo x.° a? Las Altas Partes contratantes, plenamente con vencidas de que el sistema del Gobierno representativo es tan in Art. 6.° Aprobado. com…</t>
  </si>
  <si>
    <t>…optar medida alguna con respecto . a este asunto , pues se Ja libertad de estos, por cuya razcn debia aprobarse. que los individuos que habían hecho Ja exposición estaban en la El Sr. Navarro Tejeiro impugno también este d.etanu't: por absoluta libertad de elegir ó irse á reunir en sus filas, ó conti creer que no había necesidad ninguna de establecer la ley que se nuar desempeñando sus destinos como dependientes de Ja secreta proponía, y haciendo ademas m…</t>
  </si>
  <si>
    <t>…e las Cóvtés no están en el caso de aprobarlas. La comisión Pacheco y Gavoz. no solamente ha traspasado los limites á que estaba circunscrita la Para secretario resultó elegido el Sr. Navarro Tejeiro por 56 proposición del Sr. Navarro Tejeiro, sino también el artículo 308 votos, habiendo obtenido 4 et Sr. Sonroza, 4 el Sr. Cano, 3 el de la Constitución. Pueden suspenderse formalidades para el ar Sr. Melendez, 3 el Sr. Buruaga , 3 el Sr. Pedralvez, y uno c…</t>
  </si>
  <si>
    <t>…emprendedores renuncien á esta expedición; sien- Igualmente se mando pasar a la misma comisión otra ad-cion alo la principal c.iusa la inseguridad de la bandera. As: que esto del Sr. Navarro Tejeiro del misino articulo para que se compren se salva con lo que propone la convsion. lista no quiere que ten dan en el los delitos de tobos v hurtos. gan efecto estas disposiciones para siempre sino durante la guerra. Se nando pasar 4 la misma comisión una propos…</t>
  </si>
  <si>
    <t>Tejeiro, Secretario</t>
  </si>
  <si>
    <t>Secretario Tejeiro</t>
  </si>
  <si>
    <t>…os de necesidad de él, porque está en las facultades del Gobierno to— seos del Sr. Canga. do Jo que tn él se establece. Ei Gobierno proveyó á la venida de los empleados , y res El Sr. Secretario Tejeiro leyó la ley que habia citado el Se pecto del ministerio de mi cargo puedo decir que no solo ha ve ñor Marau, que es de 4 de Junio último. nido el archivo sino tambienun cúmulo de expedientes, y los em El Sr. Secretario de Gracia y Justicia preguntó si estaba…</t>
  </si>
  <si>
    <t>Tejida, Francisco Crespo de</t>
  </si>
  <si>
    <t>Francisco Crespo de Tejida</t>
  </si>
  <si>
    <t>…ni desaprobar las sentencias judiciales. cial de la administración y recaudación á D. Joaquín Suarez del Vi El Sr. Canga dijo que la aprehensión de esta cantidad parecía mas llar, D. Francisco Crespo de Tejida y D. Josef Garay; y fue elcg;do una aspecie de depósito que un decomiso, y de consiguiente debía ser D. Joaquín Suarez del Villar por 63 votos de -8 total, teniendo 10 reintegrado como estaba determinado respecto de todos los depósitos. D. Francisco Cre-po de T-jada y 3 D. Jo…</t>
  </si>
  <si>
    <t>Telles</t>
  </si>
  <si>
    <t>…ectas en ia resolución valdrá mas que los jueces de derecho tengan una escala de penas pro de este asunto. porcionadas á los delitos, como las que se establecen en el código pe El Sr. Telles tomó la palabra; y habiendo observado en el princi nal , y no la confusión de las antiguas! pio de su discurso que había un gran rumor en las galerías , dijo que si La comisión de Código de procedimientos presfniará á su tiunpo se pretandia amedrentarle era i…</t>
  </si>
  <si>
    <t>Tellez, D Pedro Alcántara</t>
  </si>
  <si>
    <t>D Pedro Alcántara Tellez</t>
  </si>
  <si>
    <t>…sta el oportuno cachorrillo. , A instancia de los síndicos de la masa común de acreedores 6.° Todo el que animado de pura sangre española quiera alis á la testamentaría del Excmo. Sr. D Pedro Alcántara Tellez, tarse en estas gloriosas compañías ha de contar que va á hacer la Duque que fue de Osuna, y de la quiebra de la casa de giro titu guerra á muerte; pero si falleciese en la demanda, antes y des lada Pedro Girón é Hijo, ha mandado el Sr. Auditor de Guerra pués…</t>
  </si>
  <si>
    <t>Temes, Bemardino de</t>
  </si>
  <si>
    <t>Bemardino de Temes</t>
  </si>
  <si>
    <t>…ron otra vez á tentativas sobre nes á ios empicados jubilados, con el fin de proceder aquel esta esta por la parte de Sotclo de Montes. Fueron escarmentadas, y blecimiento á la de D. Bemardino de Temes; y en su vista, con me prometo que Jo serán mas y mas cada día. formes con el dictamen del contador gtneral de la distribución, «En medio de todas las ocurrencias referidas esta provincia se han servido las mismas Cortes declarar , que los largos años de goza…</t>
  </si>
  <si>
    <t>Temes, Btrnardino de</t>
  </si>
  <si>
    <t>Btrnardino de Temes</t>
  </si>
  <si>
    <t>…s guarde ¿ V. S. muchos años. Orense 5 de Abril de de treinta, contados desde que el interesado hubiese empezado á 1823. = Pedro Boado Sanch.cz.” servir con Real nombramiento; J á D. Btrnardino de Temes se Murcia 12 de Abrí’. ie declaran los 408 rs. que propone el Gobierno. De orden de Habiendo sabido el alcalde i.° constitucional de Ceheguin , que las mismas lo comunicamos á V. E. con devolución del expe 200 facciosos se hallaban situados en el Campillo de…</t>
  </si>
  <si>
    <t>Temple, Josef Znpuertas de S. Juan y</t>
  </si>
  <si>
    <t>Josef Znpuertas de S. Juan y Temple</t>
  </si>
  <si>
    <t>…gada, en ra que le son los servicios importantes que se hacen á la Nación, zón de que no quedaban otros puntos por donde salir que las declaran benemérito de la Patria al teniente general D. Josef Znpuertas de S. Juan y Temple, y aun estas estaban dominadas por yas y demás gefes, oficiales y soldados que componían ta brigada las baterías de los cuarteles que se hallaban en poder de aque que salvó á Madrid de las calamidades que le amenazaban en el llos : mas considerando que ya no…</t>
  </si>
  <si>
    <t>Tendreislo</t>
  </si>
  <si>
    <t>…ral D. Pedro Agustín dej Échavarri; y. promover á Tenientes huela, de Pamplona , de Urgel, de Ceuta, de Málaga Y de Soóona. generales á los Mariscales de Campo D. Pedro Grimarest, Don Tendreislo entendido, y dispondréis lo necesario á xu cumpii- Gregorio Laguna y D-Vicente de Quesadá. Tendreislo entendido, miento.2=Rubricado de la Real mano.=En Palacio á 14 de Di y dispondréis lo conveniente á su cumplimiento —Señalado "de la. Real mano. En Palacio á…</t>
  </si>
  <si>
    <t>Teneis, Duque de Angulema</t>
  </si>
  <si>
    <t>Duque de Angulema Teneis</t>
  </si>
  <si>
    <t>…rcados en Mongat NOTICIAS DE ESPAÑA. Sevilla xo de Octubre. No hay novedad en la importante salud de SS. MM. y AA. - Figueras iy.de Setiembre. Esta mañana á las lo entró el Sermo. Sr. Duque de Angulema Teneis mucha.razón en decir qiié los franceses son siempre entre vivas y gritos de afecto y de gratitud, no habiendo sido franceses; pero lo mas precioso es que hoy son todos realistas. posible hacerle ios honores como quería S. M., porque anticipó Desdc'el domingo…</t>
  </si>
  <si>
    <t>Teniente</t>
  </si>
  <si>
    <t>…mistad é interes del Emperador vuestro Amo. Concluido el besamanos se presentó á S. M. en audiencia pú ,, La parte que ha tomado S. M. I. y sus augustos Aliados en blica el Excmo. Sr. Teniente general Pozzo di Borgo, Embaja la redención de la España, ha abreviado sus desastres. dor extraordinario del Emperador de Rusia; y dirigió á S. M. ,, El interes que el Emperador vuestro Amo manifiesta por la el siguiente discurso: felicidad de mis pueblos, no…</t>
  </si>
  <si>
    <t>…plear muchas hojas de papel, que nos distraerían del Madrid 1£ de Diciembre. principal aáljéta que nos proponemos en dar ahora una indicación El viérnes 12 del corriente el Excmo. Sr. Teniente general ligera , aunque exacta , de la conducta , ineptitud y fines conoci Pozzo-di-Borgo, Embajador extraordinario del Emperador de dos de su autor, para precaver en lo posible á los pueblos incau Rusia, se despidió de S. M. en audiencia pública, habiendo si…</t>
  </si>
  <si>
    <t>Teodoro, Carlos</t>
  </si>
  <si>
    <t>Carlos Teodoro</t>
  </si>
  <si>
    <t>…elo, Anejen rJejsdp las últimas casas, y, nuestros fcúsare^ llegaban á Jas- pri Salgado y'Manuel García, ladrones. . meras, cuando todos los habitantes se precipitaron' delante de D. Carlos Teodoro &lt;3il y D. Josyf Aragón, tenientes; cor .nosotros: hombres, mugeres, niúo.s cstaban.de, rodillas;, y;nos róñeles. , „ tendían ios .brazos. Lo qu; os digo, mi general ¿ es á :ía letra. Don Timoteo Larrea, D. Pedro -Saioz, Josef Fernandez, Ellos nos rodeaban , n…</t>
  </si>
  <si>
    <t>Teodoro, D</t>
  </si>
  <si>
    <t>D Teodoro</t>
  </si>
  <si>
    <t>…stitución, chó de su orden con el coronel Casano , y se mantuvo á su lado para que se le conceda el destino de corredor que antes tenia, hasta estar muy cerca de los franceses. El brigadier D Teodoro opinaba que podía accederse á lo que este interesado solicita. Galvez Cañedo permaneció en el centro de la finca de baterías Aprobado. con el mando de ellas y de la columna que quedó en aquel pun Se procedió á la discusión del dictamen de la comisión de to. L…</t>
  </si>
  <si>
    <t>Ter, Gonzalo</t>
  </si>
  <si>
    <t>Gonzalo Ter</t>
  </si>
  <si>
    <t>…razgo , de 248,500 mrs. : otro situado en las rentas de los diezmos á del ecército de mi mando con fecha de ayer desde Calviña me dice lo la mar de Castilla , en cab-zt del propio D. Gonzalo Ter de los Ai os y que á la tetra copio-. — El comand-.rte de la milicia nacional activa de su-esores, de 150$ mrs : otro situido tn las salinas de Cuenca, en ca Sigüenza con esta lecha me dice lo que copio: =Sabedores los facciosos beza del propio Ter de los Río…</t>
  </si>
  <si>
    <t>Ter, Pedro Sainz</t>
  </si>
  <si>
    <t>Pedro Sainz Ter</t>
  </si>
  <si>
    <t>…o; y si por cuyo suelo tuvieron asiento los primeros Jueces de Castilla Lain. desgracia se viese otra vez combatido su trono, haga V. M. oir Calvo y Ñuño Rasura, representados por D. Pedro Sainz Ter su voz á Navarra: no será sorda, no, no hay que temer: sus va rones, Tesorero de vuestro Real Patrimonio, y D. Felipe Sainz lientes hijos no en vano empuñaron los aceros contra la usurpa de Baranda, Contador del Duque del Infantado, que ambos por ción de Napo…</t>
  </si>
  <si>
    <t>Teran, Josef María de</t>
  </si>
  <si>
    <t>Josef María de Teran</t>
  </si>
  <si>
    <t>…Peñas, el teniente de ¡d:m cial de esta capital desde la Calzada de Calatrava los comandantes de la Don Manuel Villavicencio, el capitán de egército D. Nicolás Llanocolumna móvil D. Josef María de Teran y D. Luis Pinango , sabemos que entre nueve y diez de Ja mañana del mismo día se presento a estos y su asistente, un sargento , 3 ¿Rbos, 25 soldados de varios cuerpos, y á los alcaldes de aquella villa, acogiéndose al indulto, la facción que y tí presidiario! confinados a Ceut…</t>
  </si>
  <si>
    <t>Termes, Cayetano</t>
  </si>
  <si>
    <t>Cayetano Termes</t>
  </si>
  <si>
    <t>…endado con fecha mucho inas atrasada que el exterminada por el destacamento de voluntarios de Arairon que tiempo que necesitó en su navegación , y este pasaporte se me re manda el teniente D. Cayetano Termes , en unión con los vo mitirá para acordar lo conveniente, permaneciendo detenida la luntarios nacionales de caballería de la Mezquita , y Jos cazado persona hasta mi resolución. 4.a Los cap-rancs de barco o patro res y escuadrones de caballería portugueses nú…</t>
  </si>
  <si>
    <t>Termillier</t>
  </si>
  <si>
    <t>…to , y Caballería en lugar de la que se dirigió á Bayona. Dos regimien es regular tomen sin perder un momento disposiciones análogas á las tos de dragones. Cazadores de la Vendée, coronel Termillier. Idem de Ja Charcrti, ídem Coutier. Húsares de Haut-Rhin , ídem d'Astorg. de sus enemigos. » Nuestro comercio está consternado, y todas las cartas de Burdeos, La fuerza total de estos regimientos se calcula en 2S) hombres, y de Pju , de ToSosa , de Nimcs, de…</t>
  </si>
  <si>
    <t>Terrero, Antonio Josef</t>
  </si>
  <si>
    <t>Antonio Josef Terrero</t>
  </si>
  <si>
    <t>…hallase inserto en él palabra por Sucramper, D. Vicente González, D- Josef Guerrero, D. Jopalabra, y sera ratificado; y las ratificaciones se cangearán en e! ccí Lopéz de Castro, D. Antonio Josef Terrero, D. Alonso término de 40 dias, ó antes si fuere posible. Calvo y Pantoja, D. Josef Maroto, D. Gabriel Fernandez y En testimonio de lo cual , nos los infrascritos plenipotencia D. J uan Brunenque. rios , en virtud de nuestros plenos poderes respectivos , liemo…</t>
  </si>
  <si>
    <t>Terreros, Manuel</t>
  </si>
  <si>
    <t>Manuel Terreros</t>
  </si>
  <si>
    <t>…Pedro Mir y D. Antonio García próximo pisado se distribuirán en tíos mitades las rentas, contri Liñan. buciones y subsidios acordados por las Cortes para el servicio de Teniente, D. Manuel Terreros. un ano-* Ja una se recaudará en dos trimestres , que vencerán el Subtenientes , D. Francisco Soler y D. Joscf Morcillo. primero en íin de Setiembre, y el segundo en 31 de Diciembre El caballero cadete del. batallón del General, D. Francisco de! presente aiio…</t>
  </si>
  <si>
    <t>Teson.iía, Josef Gutiér</t>
  </si>
  <si>
    <t>Josef Gutiér Teson.iía</t>
  </si>
  <si>
    <t>…ndáburu.1 cala , y los gastos de aquella.. ....... I&lt;432&gt;953 Los hijos de D. Sinforiano Lopcz'Alia. Contaduría mayor de Cuentas. . ................. 1.189,356 La viuda é hijos del Sr. D. Josef Gutiér Teson.iía general............................................ 1.204,884 Contaduría general de Valores....................... 407,845 rez de Teran.............................................. J Contaduría general de la Distribución. . . . 652,320 Í&gt;8&gt;i9$ Contadurías ge…</t>
  </si>
  <si>
    <t>Thió, Pablo</t>
  </si>
  <si>
    <t>Pablo Thió</t>
  </si>
  <si>
    <t>…nuestro Indicador, para anunciar á nues fantes, y c caballos de la M. N. V- de B.anes, al cargo de su obs.al tros lectores que las partidas de foragidos que se han dejado ver últi D. Pablo Thió. A las tres de la mañana del día de hay llegue i las mamente en las cercanías de Berga y de Sobona van á ser perseguidas inmediaciones del pueblo , desde donde dispuse que el alférez D. Fran y exterminadas muy en breve, verificándose asi lo que teníamos ante…</t>
  </si>
  <si>
    <t>…anciones , pi es voluntarios de mi mando , y 40 infantes y 5 caballos de Ja M. N. S. A. dicen que aborrece mortalmente toda especie de verses' V. de Blanes, al cargo de su oficial D. Pablo Thió. -A las tres desde-que en Burdeos le jugaron la pieza de meterle dentro de dé-la mañana del dia de hoy llegué á las inmediaciones del pue una servilleta 1a famosa canción de ios Misiona o: de Berenrusr. blo , desde donde dispuse que el alférez D. Francisco Ca…</t>
  </si>
  <si>
    <t>Tholose</t>
  </si>
  <si>
    <t>…el resultado de los movimientos del do el honor de nuestras armas; citando en particular al general cuarto cuerpo en estos últimos días ha sido muy ventajoso; marques de Vence, al coronel Tholose , gefe de estado meyer pues que ha impedido el que Mina ganase las montañas como de la quinta división , al coronel Hurel; del 6.a de infantería pretendía, y ha tenido que retroceder por el camino que va á ligera, al conde de Bcaumont, coronel del 18 de cazad…</t>
  </si>
  <si>
    <t>Ti</t>
  </si>
  <si>
    <t>…rios, y que todos aquellos hombres tan favorable á los constitucic 'Ves; porque estos con el privile públicos. ' gio esclusivo que han gozado en tres años de hablar y escribir, El general Ti. Luis Balanzat al general Plasmad. lograron engañar á la Europa entera hasta cierto punto; pero » Mi estimado Plasencia: He leído al general y al ministro ahora conocerá que deb;:a rebajárseles muchos , muchos de este Salvador la carta de V* Celebramos verle…</t>
  </si>
  <si>
    <t>Ti, Ana María</t>
  </si>
  <si>
    <t>Ana María Ti</t>
  </si>
  <si>
    <t>…o de Juan Pablo Lavafí», de 94,822 mrs—Otro , reñía general de pes dicha renta , dicha priora y religiosas, de 38,728 mrs__ Otro, alcacados , en la de D. Diego l-ernauaez Tinoco y Doña Ana María Ti balai de Jaén , Diego de Segura , dé 8500 mrs__ Otro , salinas de Za noco , su mugir, de 140,091 mrs—Otro , diezmo» de la mar de Cas mora , D. Diego Melend.z y Pedio Alvarez de Campos , ds 53.548 tilla, monasterio de Sta. Isabel, recoletas de Madrid, de 47,50…</t>
  </si>
  <si>
    <t>Tíber, Josef</t>
  </si>
  <si>
    <t>Josef Tíber</t>
  </si>
  <si>
    <t>…paises sula , y con la llegada á este puerto de la escuadra del Rey de de Europa, y los derechos de recepción de 4® caballeros inscri Francia, que conduce á su bordo al Brigadier D. Josef Tíber— tos .componiendo 12 millones á razón de 3S) francos por cada ner, Capitán general interino de estas islas, nombrado por S. M., admisión. sabemos el resultado positivo de aquellas: en efecto, él mismo ha —Dos individuos de las llamadas cortes, refugiados en I…</t>
  </si>
  <si>
    <t>Timoteo</t>
  </si>
  <si>
    <t>…ejerció duran de ellos. te la dominación del gobierno intruso. Aprobado. Las Cortes concedieron carta de naturaleza á D. Daniel Ro- La misma comisión, en vista de la instancia de D. Timoteo binson , y cartas de ciudadanía á D. Manuel Antonio Perez, ori Connelli, teniente coronel de egército , para que se le continúe ginario de Africa, á D. Francisco Tarabino, á D. Juan Bautis la pensión de 100 ducados que se asignó á su tío Fr. Tomas ta Mastoran…</t>
  </si>
  <si>
    <t>…15 y 16 dtj La de Hacienda era de parecer que podia continuarse el paco decreto de 27 de Enero de 18?;; ocupándose las Cortes inme de la pensión de 200 ducados que fue concedida i D. Timoteo diatamente en el examen de dicho negocio. Connelli, teniente coronel retirado , por los méritos de su difunto So declaró comprendida en el art. 100 del reglamento; y tío el P. Fr. Tomas Connelli, autor de un diccionario español. después de admitid* á discusió…</t>
  </si>
  <si>
    <t>Timur</t>
  </si>
  <si>
    <t>…de ¡a Real mano.2= En Cádiz á 1 2 de Agosto de 1823. nada menos que iyooo mugeres y 700 hombres. Esta descen 1 de Real orden lo comunico á V. S. pira su intelievncla y dencia del emperador Timur en linea recta ó trasversal no pare cumplimiento , y que con el mismo ti ti lo óreme á quien corres cerá excesiva á los que consideren que desde principios del si ponda. D os guarde á V. S. muchos años. Cádiz 14 de Agosto glo xiv hasta nuestros días, los serr…</t>
  </si>
  <si>
    <t>Tinoco, Manuel Fernandez</t>
  </si>
  <si>
    <t>Manuel Fernandez Tinoco</t>
  </si>
  <si>
    <t>…muerto en defensa de la jus dicha priora y re igiosas, de 330,842 mrs._,Qtro, tercero medio por ta causa de le N clon, cupo en la suerte del primer extracto de la ■ 00 de Segovia, D. Manuel Fernandez Tinoco , de 8594 mrs—Otro, de este dia á Mana Magdalena Mayar Clua, hija det patriota D. Va millones de Galicia, Doña Luisa Duran y Romero , de 53,134 mrs— lentín , muerto en el campo del honor. Otro, cuarto medio por too, de Cuellar , dicha priora y religiosas, de…</t>
  </si>
  <si>
    <t>Tinoco, Sebastian</t>
  </si>
  <si>
    <t>Sebastian Tinoco</t>
  </si>
  <si>
    <t>…ogiéndose S. M. se ha servido nombrar por gobernador interino de á la amnistía decretada por las Cortes. esta plaza al brigadier D. Josef López, subinspector del tercer A/g.itecin—D. Sebastian Tinoco, vecino de este pueblo. _ departamento de artillería , con quien deberán ertenderse desde Manuel Sánchez, sargento i.° de la M. A. de Córdoba___4la— mañana los cuerpos de la guarnición y demas individuos milita nu&gt;i,t—Juan Bautista Serrano, vecino de este pue…</t>
  </si>
  <si>
    <t>…ciosos, capitaneados por Quijada, lo verificaron antes de ayer en se á la amnistía decretada por las Cortes. dicha ciudáu, donde pidieron jQ raciones. Hoy ha salido de Aigatocin. D. Sebastian Tinoco, vecino de este pueblo; Ma esta el quinto escuadrón de artillería con ocho piezas y un gran nuel oar.chcz, sargento segundo de la milicia activa de Córdo número de carros con pertrechos y familias de los patriotas que ba---- Alameda. Juan Bautista Serrano, ve…</t>
  </si>
  <si>
    <t>…n Becerra y Sebastian Fajardo su sobrino.de ex-general Villacampa, me dirijí i la plaza de Gatosin, donde Igualeja; y D. Antonio Morales , de Pujerra , se han singulari encontré á D. Sebastian Tinoco, ds aquella vecindad, que traia zado, manifestando valor, serenidad y dirección durante lo como prisioneros dos soldados y dando todos la voz de viva la mas arduo del fuego , y respecto de los vecinos de sus pueblos relijion y el Rey, y disparado varios tiros…</t>
  </si>
  <si>
    <t>Tinrac, N.</t>
  </si>
  <si>
    <t>N. Tinrac</t>
  </si>
  <si>
    <t>…hacer lo posible por su parte para perder a un patriota, carta de ciudadano á D. Antonio Lodikeni, y de naturaleza á y luego porque los demas jueces no sean tan malvados como el, D. N. Tinrac , soldado que fue del regimiento Suizo número 4, ó por otra causa , no consiga su objeto. Castigúese pues á los que y actualmente del de infantería de Cantabria. atropellen las personas, puesto que se castiga al que atropella los La comisión segunda de Hacien…</t>
  </si>
  <si>
    <t>Tir</t>
  </si>
  <si>
    <t>…la rendición de la columna mandada per Rose» Al mismo tiempo bájaba'por el rió S. -Pedro un equipáge lió y Patorea en Castilla. de puente preparado bajo la dirección del teniente general Tir» : Boletín g\. ..... - ; let, comandante general'de artillería del ejército, con ei fin Apenas llegó S. A. R. delante de Cádiz resolvió tomar el de establecer la comunicación sobre el canal de la cortadura , y Trocadero, posición que los sitiados pretendieron…</t>
  </si>
  <si>
    <t>Tirlet</t>
  </si>
  <si>
    <t>…ro era et guto general por su unión á la cipe de Hohenlohe, el conde Curial, el vizconde Roussel de Hurbal, metrópoli , como también que había entrado di el puerto de-su salid* el vizconde Tirlet : el conde Guilleminot, el conde Bourck , el viz una fragata con bandera americana cargada de toda ciase de p- rtrechoi conde Castex , el vizconde Domon , el conde de Autichamp , el barón de guerra, apresada por un corsario armado en dicha isla; dando final D…</t>
  </si>
  <si>
    <t>…e general vizconde Obeit. División de caballería el teniente general que si la Francia se empeñaba en ía agresión contra la España, el r suivizconde Castex. Artillería el teniente general Tirlet. Ingenieros el te tado seria incierto, y podía llegar á un extremo imprev.sto , en cuyo caso todo el éxito seria de cuenta y ri.sgc de la Francia, que es decirniente general Dode. Segundo cuerpo. El prnícipe de Hohenlohe comandante en gefe, en buen portugués…</t>
  </si>
  <si>
    <t>…yr en el bai de este por el ministro de la Guerra en el empleo de mayor general le di rabio y Virginia, que era la pieza que se representaba, cuando del egército , la remoción del general Tirlet del mando de la artillería se dió) el grito general de: no queremos ver á ese hombre , agarradle. Al en el mismo egército, que también se anuncia como c erta, la prisión á dia siguiente se daba el baile de Almav.va y llosina ó&gt; el Barbero He dos leguas de Par…</t>
  </si>
  <si>
    <t>Tirlot</t>
  </si>
  <si>
    <t>…aber perdido nuestras dos colum tino de mayo: general del ejercito; también han removido del nas como 400 hombres, entre ellos 15 oficiales y 2 gefes. La mando de la artillería al general Tirlot: se anuncia como cierta facción ha tenido cuando menos igual pérdida, á pesar de su tri Ja prisión del general Piat y toda su ohciahdad á dos leguas de ple fuerza. Sin embargo los cinco batallones se han quedado so P.ms, saliendo para el ejercito de los Pirin…</t>
  </si>
  <si>
    <t>Tiscar, Carlos</t>
  </si>
  <si>
    <t>Carlos Tiscar</t>
  </si>
  <si>
    <t>…no pupilo de un hombre grande que habría reinado mente el comandante de la primera y teniente de fragata de la en su nombre, y habría hecho de su propia autoridad Jas varia armada D. Carlos Tiscar: ocurrencias que me han sido otro tan ciones necesarias. to mas sensibles cuanto no son de las originadas por los enemi Cromuel , corno ya hemos dicho, tardó mucho tiempo en gos. Se lo manifiesto todo á V. S. para que se sirva elevarlo al llegar á su extraord…</t>
  </si>
  <si>
    <t>Tlenriquez, Francisco</t>
  </si>
  <si>
    <t>Francisco Tlenriquez</t>
  </si>
  <si>
    <t>…la de nas que proporcionalmente señala el código penal. la Mancha: D. Josef Apoita por la de Vizcaya: D. Domingo Art. 9." Cualquiera que á la sombra del ejército invasor ó Cortés, D. Francisco Tlenriquez, D. Josef Alcalde y D. Ra de las partidas de facciosos solicite, acepte, sirva ó continúe sir món Lamas y Melendez por la de Galicia: D. Josef Cuevas poc viendo algún destino, sufrirá las penas del articulo anterior, y la de Cuba en Ultramar : D. Ezequiel Die…</t>
  </si>
  <si>
    <t>To</t>
  </si>
  <si>
    <t>…e elegido el Sr. Seprien por 69 votos de 1 3 r, bíanlos era por meras conjeturas y sospechas; y si en estas había ver habiendo tenido el Sr. Meló 48 votos: 5 el Sr. Calderón: 2 el Sr. To dad, seguramente que no era necesario andar centenares de leguas para mas , y uno cada uno de los Sres. Buey , Alcántara, Infante, Bauza, acabar por no resolver cosa alguna de un .modo definitivo. Lagasca , Melendez y Soria. En efecto, ateniéndonos á las noti…</t>
  </si>
  <si>
    <t>…crrer (D- Joaquín), Isturiz, Saavedra y Murti. que se halla no puede elegir los medios; y ó tiene que sacudir el yugo de íddig s. Sres. Agu-tre, Vüianueva, Tejeiro, Adiotr, Nuñez (D. To~ un partido que solo ha contribuido á elevarle para dominar en su nombre, ribio) , Baíges y .Alonso. ó abandonar el timón de los negocios. Ni se le permitirá hacer la guerra, Salud pública. Si si. López del Baño, Montesinos. A’nx , So.:.-./, ai conservar la p…</t>
  </si>
  <si>
    <t>…Abril entró en este puerto el paquete ingles, nombrado tiuque de se sirvan declarar que el Gobierno de S. M. procedió de un mo .Ktnt, capitán .Cotesuvosth , y desembarcó en él al Sr. D. To do digno de'la Nación, á cuyo frente se halla , y que la guerra mas Jodd-Wilson, agente de paquetes británicos, para estable que sostiene contra la injusta y pérfida-úlgresion del Gobierno cerse aquí con el carácter de tal; pues que los paquetes que nave fian…</t>
  </si>
  <si>
    <t>…Saturnino Samaniego; teniente , D. Ramón Am.indi; subte instante quieren las demas lo mismo, y se confabulan para hacer niente, D. Lázaro I.oaiza; teniente coronel de infantería, D. To causa común. Para que luya paz se ve precisado el polígamo á mas Samper; capitán, I). Antonio García Luían; Teniente, mandar como un déspota, y entonces ya no ve en ellas mas que D. Francisco Martínez ; capitanes, D. Manuel de Yanez , D. Ni unas esclavas que…</t>
  </si>
  <si>
    <t>Tobar, Joaquín Biak y</t>
  </si>
  <si>
    <t>Joaquín Biak y Tobar</t>
  </si>
  <si>
    <t>…A'aidé» Lustos , que lo general D. Martin González ds A4er.cF.aca , d espitan de ¡a M. N. ¿¡¡ es por la de Astürias , y para.secretarios á ios que firman , que son Don de Segoyia D. Joaquín Biak y Tobar—El subteniente de artillería Leonardo bantos buarez por ¡a ds Cubi, D- Manuel Llórente por D. l'cdro González de Menclmca----F»tado mayor : gefe de estado ma. la de Galicia , D. Dominjo Eulogio de la Torre par la da Vizcaya, yor el brigadier D. Felipe Montes.…</t>
  </si>
  <si>
    <t>Tociencia, Josef</t>
  </si>
  <si>
    <t>Josef Tociencia</t>
  </si>
  <si>
    <t>…n El resultado de esta brillante acción ha sido quedar prisio cargado muchas parroquias vacantes á eclesiásticos de cuya sufi neros el secretario del gefe político d-* esta ciudad D. Josef Tociencia y demás cualidades que recomiendan los sagrados caro yos, un capitán, un teniente, dos subtenientes , tres sargentos, nes no constaba á los respectivos ordinarios, deiando por otra 17 voluntarios naci:nales de esta ciudad, 10 granaderos provin parte al cuidad…</t>
  </si>
  <si>
    <t>Toires, Juan Bautista</t>
  </si>
  <si>
    <t>Juan Bautista Toires</t>
  </si>
  <si>
    <t>…comunicarme , cu de Zumalacaricgui , individuo del tribunal supremo de Justicia , Don yas bases son los movimientos que me pioponga hacer , cubriendo esta Josef Zorraqujn, iriem, D. Juan Bautista Toires, comerciante , D. Jo- parte de la provincia delante de la capital. En la fuerza de infantería sef Martínez y García , magistrado de la audiencia territorial , que son y caballería no ha ocurrido novedad de alta ni baja desde anoohé.as los primmos que se han c…</t>
  </si>
  <si>
    <t>Tojeiro, Navarro</t>
  </si>
  <si>
    <t>Navarro Tojeiro</t>
  </si>
  <si>
    <t>….- San-Marcial y egcmplarcs y que por lo mismo no debia aprobarse el M. JV. V. : su jej'e el primer comandante de Sanártico lo.. Marcial.— Parada : San-Aiarcialy M. A. — Kondas El Sr. Navarro Tojeiro contestó que el artículo y contra-rondas.- M. JV. V-— Capitán de hospital y tenia dos objetos : primero fijar quú es lo que debia provisiones : Princesa. entenderse por publicación para que no ocurrieran las dificultades que basta aquí, y segundo prevenir á l…</t>
  </si>
  <si>
    <t>Tol, N.</t>
  </si>
  <si>
    <t>N. Tol</t>
  </si>
  <si>
    <t>…s 28 de Febrero de 1813—En nombre del coronel Arana.=Fabil El Sr. presidente anunció que sé procedía á la discusión del díctame* Asesio—Esta firma la abonará D. Miguel Ponte y aun D. N. Tol, que de la comisión especial nombrada para examinarla segunda parte de la me ha visto en su casa.=Es cop'i—Amur.” proposición dél Sr. Surrá respecto de los individuos de la milicia nacional Nota. Entre doce y una del dia de I10V han entrado en Zaragoza Jo* lo…</t>
  </si>
  <si>
    <t>Toledo, Fernando Alvarez de</t>
  </si>
  <si>
    <t>Fernando Alvarez de Toledo</t>
  </si>
  <si>
    <t>…o él mismo akur.os hombres graves y doctos, no solamente ha parecido que al borde del precipicio. esta tentativa seria un abuso de la fuerza que el soberano Pontí El duque de Alba D. Fernando Alvarez de Toledo (que fice tiene á su disposición , sin inas motivo que la pas.on y el cuando menos era de tan recia condición como Paulo iv) salió odio que ciertamente no hemos provocado, sino también que no de su vireinato , y ocupó los estados de la Santa Sede hasta Jas es…</t>
  </si>
  <si>
    <t>Toledo, Fernando Josef de</t>
  </si>
  <si>
    <t>Fernando Josef de Toledo</t>
  </si>
  <si>
    <t>…ldo del haber y demas brar para una plaza de magistrado de la audiencia de A. agón , vacante prest que les corresponda con arreglo á los arts. 162 y 164 de la orde por renuncia de D. Fernando Josef de Toledo , á D. Gregorio Barrainanza. coa , juez de primera instancia del partido ds Talavera de la Reina: 6.a » Los que quieran separarse del servicio de esta milicia podrán para la plaza de juez letrado del partido de Ayora á D.Miguel Navarhacerlo conforme á su orde…</t>
  </si>
  <si>
    <t>Toledo, Jacinto</t>
  </si>
  <si>
    <t>Jacinto Toledo</t>
  </si>
  <si>
    <t>…ginales que á instancia de D. Josef de'Tadistinguido mérito, que tanto el capitán comandante de la columna rasena y Herrera , natural, y vecino por aquella su fecha de la villa de D. Jacinto Toledo, como todos los demas oficiales y tropa de que se Yunquera, mandó librar D. Francisco Lozano Román, vicario gene compone aquella, han contraido en esta jornada , en la que con gloria ral del arzobispado de Toledo , que i la sazón residía en Alcali Scc. de laa…</t>
  </si>
  <si>
    <t>Tolosana, Felipe</t>
  </si>
  <si>
    <t>Felipe Tolosana</t>
  </si>
  <si>
    <t>…nte: Las Córtes habiendo examinado las medidas ximación al rio de Santi Pctri , luce que el comandante del tu ra. extraordinarias propuestas por S. M. con fecha 23 de Junio pró 10 D. Felipe Tolosana , acompañado dei adicto D. .losef An ximo pasado , han aprobado lo siguiente. Todos los espai oles drés , con parte del n.° 10 y Hopa del 3." voluntarios de Ma indignos de este nombre , que por notoriedad ó por datos indrid verificase una diversión , pasando…</t>
  </si>
  <si>
    <t>…Secretario de la Gobernación de la Península mani batallón número 26 ■■ la tercera de reserva á las del comandante festó entre otras cosas la opinión que habian emitido las corpo Don Felipe Tolosana con la mayor parte de su batallón núme raciones y autoridades á las cuales se habia consultado sobre es ro 10 de linea, y otra del de San Marcial: la cuarta quedó en el te punto: que el Gobierno no perdía de vista las razones que se Trocadero á las ordenes de…</t>
  </si>
  <si>
    <t>Toma</t>
  </si>
  <si>
    <t>…ular, ilustrar y auxiliar el ínteres ra , y los dos restantes al vínculo y patronato fundados eu la misma por individual, se empleen todos aquellos que puedan esparcir luces , dar D. Toma! Cueto. El que tenga noticia de su paradero se sirvirá comu i conocer los bienes que producen ó preparan las leyes y disposiciones nicarla en «sta corte i D. Bernabé López, calle de la Puebla Vieja, adoptadas, y contribuir al aumento y mejora de la riqueza pú…</t>
  </si>
  <si>
    <t>…percibimiento quede no realizarse, sin mas4citarte n¡emplazarle sen*' ralla me salió a recibir con el ayuntamiento gr¿r parte de este último rá el curso debido i la soliciti d del D. Toma* de Valasca, y le P***' puebio, colmándola* d« vivas, prodigándolas á la Constitución , y re- rá el perjuicio que haya lugar. EN LA IMPRENTA NACIONAL.</t>
  </si>
  <si>
    <t>…ernada:arbitrariamente: chino , Josef Madalenes , escribano, D. Ramón Sansebe , D. Vicente yo deseando con ri evitar esto, ruego á las Corte* se sirvan-de González , antes Gimeno, D. Toma* Rubio, presbítero , doctor Mi clarar haber lugar á votar sobre su totalidad. guel Cortés, procurador del infantado, D. Josef Marta Criueli, Don Discutido suficientemente este asunto , se declaró haber lugar ¡Tro N. Pafiigp. - • ta! sobte la totalidad de 1 pr…</t>
  </si>
  <si>
    <t>…teniendo ya otro hijo sirviendo ae á la discusión señalada para boy. en el egérclto permanente , ofrece el único que le quedaba , llamado Se pide de nuevo que se citrre la sesión. D. Toma», equipado i sus expensas , v solicitando del G-.b'erno por Mr. Sebastiani reprueba ta injusticia de la Cámara ; le indigna el conducto de este señor comandante general D. Ramón de Vitlalba m lilenc.o y la indiferencia que afectan los ministros , y pide que s…</t>
  </si>
  <si>
    <t>Tomas</t>
  </si>
  <si>
    <t>…juzgado de primera instanc.a de1 Sr. D. Ramón de Argos épocas y en todas las naciones la observancia de la subordinación y dis y escribanía cartu.aria de D. Valdomero Moraieda por D. Tomas da ciplina coinciden con la prosperidad de le; imperios, y la relajación y Velasco , como heredero de Doña María Matea Ruiz , para que con abandono ds ias uoas con la decadencia y ruina de los otros. forme á lo prevenido en 1a Constitución de la Monaiquía esp…</t>
  </si>
  <si>
    <t>…abían vestido sus tripulaciones, León, por el Sr. O!¡ver. los unos á la turca y los otros a la griega. El h. jiote á cuyo bordo De la villa de Galera, provincia de Granada, por el Sr. Tomas. iban los marineros vestidos á la turca aparent.i huir del otro , y se Del g.fe político de la Ccmuña , por al Sr. balv-. retiró directamente hac a el buque del capud-.n-bajá que lo llamaba; Del regimiento de caballería ds la costa de Granada, por el Sr. Na p…</t>
  </si>
  <si>
    <t>…arre uno, el Sr. Garmendía uno, el Sr Fetrcr (D. Joaquin ) uno, el se glar el mido de minorar &lt;1 poder é influencia de S. Martin a su vuel ñor Escobedo dos, el Sr. Saiavia uno, el Sr. Tomas uno , y el señor ta de Guayaquil.__Han despojado de su empleo á Monteagudo ,de cu Prado uno. yas infamias todo el mundo se quejaba—Se espera á un oficial del Habiéndose procedido á segundo escrutinio, resultó elegido el señor egército de Laserna , y se.supone…</t>
  </si>
  <si>
    <t>…guiente que se ha pasado al Da D. Fernando Gutiérrez Miera, oficial retirado residente,en.Santan gobierno político á las tres y media de esta tarde: der, presentada y leída por el Sr. Tomas; y déla milicia nacional voluntaria &gt;&gt; A las dos de la tarde hemos hecho 600 prisioneros en Almonacid de la vdla de Sonseca, presentada y leída por el Sr. Valijs(D.Dionisio). de la Sierra r hasta las cuatro hemos estado cargando los fusiles &amp;c., y tan Se leyó…</t>
  </si>
  <si>
    <t>…leyó y quedó aprobada el acta del anterior. en su consecuencia decirse que por muerte de Doña Ana Reque El Sr. duque del Parque pidió la palabra y dijo: En la .se ra goce su hijo D. Tomas, por via de pensión durante su vida, sión del día tó aprobaron las Cortes una proposición de los se la viudedad que tiene por muerte de su mando D. Blas Salcedo. ñores Canga é Istunz, dirigida á que el Congreso hiciera una Aprobado. solemne declaración en fav…</t>
  </si>
  <si>
    <t>…ra evitar medidas que no son ni conformes al espíritu Para vice-presidente resultó elegido en primer escrutinio el de la Constitución, ni tienen fundamento de utilidad pública. Si Sr. Tomas por te, votos, habiendo tenido 13 el Sr. Somoza, 8 yo probase que son de rodo punco inút les estas medidas y que el Sr. Alonso, 3 el SivSoberon , 2 el Sr. Munarriz; 2 el Sr..... . nos esponen á .gravísimos inconvenientes ,creo que habré probado y tino respect…</t>
  </si>
  <si>
    <t>…u «bandera en el Rev¿nge, se ha con Pedro Toribio, del bataiion núm. 34 de línea. ducido nuevamente á Chatham desde Portsmouth, adonde se ha Gefe de día para mañana. — El teniente coronel D. Tomas bía llevado para esperar que los buques diesen la vuelta. González del batallón de línea núm. 34. __De todos los parages donde tiene algún influjo el primer mi Cubrirá mañana el servicio la primera brigada de infantería. nistro de Francia , M. de Villele, se…</t>
  </si>
  <si>
    <t>…e por corriente , dado en el expediente número 155 de 1812, que es mi parte ni tengo ni he tenido otro, cuidado que el que puede uno de los incidentes del concurso de acreedores á D. Tomas producir un incendie.” Lo que tengo el honor de manifestará O-Gorman, se manda citar y emplazar á cualquiera de ellos y V. E. para su debido conocimiento, y con el objeto de qüe se demas personas que se consideren con derecho á contradecir la fijen las ¡deas…</t>
  </si>
  <si>
    <t>…con la mayor precipita su.destmo al Teniente* Coronel de artilleris D. Pedro Valdés y ción: en las. furias de, su exaltada cólera convocó los soldados al Teniente de la.misma arma D. Tomas. Reqúéna*, tan solamen "ue pudo dé.su regimiento; y sin otra' precaución , plan ó ine- te, poique no quisieron adherirse á su descabellado plan! De esta j.da* no digdmos política, pero ni aun de aquellas que dicta la manera proteje SantanaJa seguridad individ…</t>
  </si>
  <si>
    <t>Tomas, Nicasio</t>
  </si>
  <si>
    <t>Nicasio Tomas</t>
  </si>
  <si>
    <t>…e «idos , | aia presidí nte el se raponda—Cádiz 4 de Julio de 1823—Salvador Manzanares ñor D. Pedro Juan de Zulueta, d pura !o por la provincia d-- Cá diz; para vice-prcsiderte el Sr. D. Nicasio Tomas , diputado por No habiendo seguido al Gobierno en su traslación de Sevilla la provincia de Granada , y pura si ere cario el Sr. D. Vicente á Cádiz ni dado cuenta después de sus personas los oficiales de la Navarro Tejeiro, que lo es por la de Valencia. secret…</t>
  </si>
  <si>
    <t>Tonb'o</t>
  </si>
  <si>
    <t>…Olí ver , Alix, Abreu , Ruiz de la Vega , GPiano , Saave- El Sr. secretario de ia Gobernación de la Península : El deseo que dra, Salvato, Latre, Jimsncz, Santafé, Lagasca, Ñuñez (D. Tonb'o), han manifestado los s.ñoris preopinantes de acceder á ia ampliación de Romero , Pacheco , Aguirre , Sangenis , López Cuevas, Lasaía , Gis- dos días que pide.S. M. está subordinado á otro deseo aun mayor , cual es bert, Meca, Escovedo , Arellano , Sequera ,…</t>
  </si>
  <si>
    <t>Tonbio</t>
  </si>
  <si>
    <t>…Ruiz de Ja Vega y 47 el Sr. Sánchez, reuniendo ios restan cantidad que circula es de poca entidad, y se cuenta con unos fondos tes hasta 11 z los Sres. Ferrer (D. Joaquín), Nuñez(D. Tonbio) - Flo que pueden amortizarla. tes Calderón , Falcó, Escúdelo, Sedeño, Meiendci y Pedralvez. En este suceso, como en lodos los de igual clase comunmente, ya Habiéndose procedido á segundo escrutinio entre los Srcs. Ruiz de se persuadirá vmd. de que padece la…</t>
  </si>
  <si>
    <t>Topete, Juan BjuiísU</t>
  </si>
  <si>
    <t>Juan BjuiísU Topete</t>
  </si>
  <si>
    <t>…ta del nom misma renta y cabeza del mismo interesado, de 197,800 mrs. : otrobrado Emperador el patriotismo y firmeza del comandante del aposta dero de Marina el capitán de fragata D. Juan BjuiísU Topete , al cual en «'cabalas de yerbas del campo de Calatrava, en cabeza de Melchor Rodríguez, de 26,506 mrs,.- otro en la misma renta y cabeza de Peno perdonan arbitrio para atraerle á sí, ofreciéndote todo cuanto es capaz de lisonjear á un hombre, no tan bien est…</t>
  </si>
  <si>
    <t>Tor, Jcsef</t>
  </si>
  <si>
    <t>Jcsef Tor</t>
  </si>
  <si>
    <t>…gefe político de ta provincia de Cuenca en 18 de este mes mt fin de Junio próximo venidero, para que pueda por este medio avender traslada el siguiente parte que le ha dirigido el brigadier D. Jcsef Tor 4 los gastos que deben causar las fuerzas de mar y tierra últimamente res, comandante de la columna que salió de aquella capital en persecu aumentadas. Madrid 12 de Febrero de iS23.cs Domingo María Ruiz ción de facciosos. déla Vega, presidente. == Dionisio Va…</t>
  </si>
  <si>
    <t>Tor, Josef</t>
  </si>
  <si>
    <t>Josef Tor</t>
  </si>
  <si>
    <t>…la elección de un inverventor entre los Sres. D. Ma incluios, y hacer que estallen conspiraciones, Por otra parte se trata sa nuel Velasco, teniente de infantería de Fernando 7.0, D. Josef Tor lo de que cese ahora esta autorización, y pasados estos nueve días de recilla , capitán del resguardo militar , y D. Manuel Valdés, oficial intervalo de las actuales Cortes á las próximas , si el Gobierno necesi retirado, quedando elegido D. Manuel Velasco po…</t>
  </si>
  <si>
    <t>Tor-.no, Conde da</t>
  </si>
  <si>
    <t>Conde da Tor-.no</t>
  </si>
  <si>
    <t>…pues se trataba de un acto en sideración las Cortes pasad .s los atentados cometidos contra las perso que se atacrhri la inviolabilidad de los diputados, sin la cual no po nas del Sr. Conde da Tor-.no y D. Francisco Martina? de la Rosa; se ma haber representación nacional. acordó 4 petición del Sr. Eerrer(D. Joaquín) que fuese nominal la vo Ei Sr. Arguelles: Sí alguna divergencia puede haber en las opinio tación sobre si habia de pasar ó no á una comisión especial la exposi nes…</t>
  </si>
  <si>
    <t>Tor.bio</t>
  </si>
  <si>
    <t>…e D. Salvador del Moral, solici ga , Saavedra , Oliver , Salvato , Garoz , Atier.za , A guiñe , tando se dé por nula la capitalización que hizo de su haber , y se Santafe, "Nudez (D. Tor.bio), Pacheco, Munarn'z, Jencr. le restituya al goce de los 200 rs. que mensualmente disfrutaba; Suarez , Alonso, Septien , Gisbert, Sequera, Bartolomé , VeOpinaba que en atención á lo que este interesado exponía podía lasco, Sedeño, Villavieja , Latre, Mclendez,…</t>
  </si>
  <si>
    <t>Tora, Ramón Martí de</t>
  </si>
  <si>
    <t>Ramón Martí de Tora</t>
  </si>
  <si>
    <t>…he del 14 ÍRESIDENCrA DEL SEÑOR FLORES CALDERON........................ al 15 del actual. Paisanos: Pedro Marcerau, D. Gerónimo Vidal, D. N. Extracto de la sesión del sr, Olivier, D. Ramón Martí de Tora , Pedro Ribes, El Sr. presidente, después de leída el acta de la sesión óltiClérigos y frailes: El obispo de.Lérida , el canónigo de id. ma, tomó la palabra, y pronunció un discurso sobre el estado D. Juan María Teguí, capellán dsríd..D. Juan Rodríguez Ci- de…</t>
  </si>
  <si>
    <t>Toral, Juan Arguelles</t>
  </si>
  <si>
    <t>Juan Arguelles Toral</t>
  </si>
  <si>
    <t>…itorial de Ascúrias,se ba servido S. M. nombrar para las siguientes Rull.ocFrancisco Javier de Achfitegui.ee;Juan Manuel Ramírez Atana. plazas de subalternos del propio tribunal i D. Juan Arguelles Toral seV c nte Bouch el. r: Ambrosio de Aceña. =Gaspar de Aguilera.” para la de archiva .0: á D. Francisco Fernandez Tunan para la de can ¿Que alma puede haber tan insensible á ios dulces afectos de la ge- ciller y registrador; y para una de portero de la misma au…</t>
  </si>
  <si>
    <t>Torcellinos, Luis</t>
  </si>
  <si>
    <t>Luis Torcellinos</t>
  </si>
  <si>
    <t>…apitanes. ’J D. Gerónimo Argentó IX Antonio Carcer. IX Agustin Maria de Várgas. Tenientes efectivos. 7200 D. Francisco Oset.................. Jdem teniente } Sargento primero con} D. Luis Torcellinos. . .....................Jgrado de capitán y sueldos Teniente supernumerario, según el art. 13. 6840 Idc teniente........................... ) D. Juan Ruiz Apodaca.................... Cadetes........................../ ,Cadctes cl a.r,ícul° 11' se8undl P^J-Con…</t>
  </si>
  <si>
    <t>Torfi</t>
  </si>
  <si>
    <t>…aula, se acerca á verle la cu- —Tenemos á la vista copia de un parte que dirigía al Gobier jj riosidad mezclada de cierto terror ; «al era el interes que ins- no revolucionario el general Torfi jos,'fecho en Cartagena el 10 »; piraba en Magdcburgo el verdugo Carnot.'’ del-corriente, en que ( modo constitutionali') le comunica que el dia 7 se presentaron algunas tropas del ejército libertador de. NOTICIAS DE ESPAÑA. lante de aquella plaza , llegando…</t>
  </si>
  <si>
    <t>Tori</t>
  </si>
  <si>
    <t>…riz , Jtn-r , Varrla , Adán , At ,nzj , Latre, nterm se formalizan y apru ban definit vaments ios s-íiaiamientos , los Lapuerta , Sant.íe , La,-asea , Pacheco , Rom -rc , N-JÚez ( D. Tori1 rrocos disfrutaran una ierta igual i lá que han percib do en el ínti b o), Aguirre , ijuir.onss, G- b rt , Lasi'a , V:ta,co, Futt.trs del mo quinquenio ; sobre lo cual ha dicho muy b en el Sr. .cotos , que es Rio , Cast-jon, San.-.mis, Valen, D 2 , Ktilio y…</t>
  </si>
  <si>
    <t>Toribi</t>
  </si>
  <si>
    <t>…as que para mudai caballos á ia A la cornis ón secunda de H.ic.cndu se mandaron pasar un expéd: rt¿ puerta misma déla ciudad, convidó al Sr. W anecnhcim, su ministro promovido por D. Toribi. Antón.o Calvo, adran strácor de un aduana cerca de la Dieta, para que pasase á rianuu á comer con S, M, El crédito en el Perú , sobcTando el reintegro de una suma qu pr.stó í la &lt;• uarni— que yo/u este ministro, tan d.stmguido por su vasta erudición como por…</t>
  </si>
  <si>
    <t>Toribie</t>
  </si>
  <si>
    <t>…el Sr. Alonso, 3 el SivSoberon , 2 el Sr. Munarriz; 2 el Sr..... . nos esponen á .gravísimos inconvenientes ,creo que habré probado y tino respectivamente los Sres. Reillo, Nuñez (D. Toribie), que las Cóvtés no están en el caso de aprobarlas. La comisión Pacheco y Gavoz. no solamente ha traspasado los limites á que estaba circunscrita la Para secretario resultó elegido el Sr. Navarro Tejeiro por 56 proposición del Sr. Navarro Tejeiro, sino tambié…</t>
  </si>
  <si>
    <t>Toribio</t>
  </si>
  <si>
    <t>…e caballería de Far- podía presentarse en las Cortes sino con el objeto de exigir responsa bísío. bilidad á los que la hubiesen merecido; pero no resultando del expe El Sr. Nuñez (D. Toribio) leyó otra de 1 alcalde constitucional diente méritos bastantes para exigirla, las Cortes tenían que fallar sobre de Piedrahita. lo principal del asunto del modo que proponía la comisión. Que no El Sr. secretario Valdés leyó otra del ayuntamiento constitucion…</t>
  </si>
  <si>
    <t>…a mesa , y decreto de las Cortes de 23 de Diciembre de 182a. que señalaría die para su discusión. Art. y.0 » Para facilitar las propuestas, tanto de antigüedad como El Sr. Nufiez (D. Toribio) ocupó la tribuna, y leyó por primera de elección, el primer médico formará la correspondiente hoja de ser vez el proyecto de código de procedimientos criminales, presentado por vicio á todos los individuos del cuerpo de sus diferentes clases, con ar la comis…</t>
  </si>
  <si>
    <t>…ien sabido el objeto por qué esta se y gobierno político de Salamanca, presentada y leída por el Sr. Nufiet concedió. Las Coites al dar esta autorización, conocieron la necesidad (D. Toribio). de que se diesen por el Gobierno ciertos encargos ó comisiones á mi El Sr. presidente anunció que mañana debían concurrir los señor» litares que por sus talentos aplicados oportunamente i los mandos diputados en trage de ceremonia á las 1 x en punto, y leva…</t>
  </si>
  <si>
    <t>…el denodado Padilla! ¡Inclito Riego! ambos ñores Rojo, Fernandez Cid , Ruiz de la Vega, Nuñez Faícon , Nuñez héroes, ambos modelos de virtud y patriotismo: que vuestros caros nom (D. Toribio ) y Tomas. Total y t. bres solo sirvan para fortificarnos en nuestros votos de Constitución ó En quinto lugar quedó elegido el Sr. Lillo por 63 votos, teniendo muerte. Gaditanos: sin unión no puede sostenerse la libertad , y sin li y el Sr. Valdés Bustos, 3 e…</t>
  </si>
  <si>
    <t>…esí revolucionario , y Sr. Pedr.iivez , 3 el hr. Pacheco, y uno cada uno de los Srer. Falcó, puede desaprobarlo una política superficial: peto una política prokinóA Toiré, Nuñez ( D. Toribio), Tomas y Eagasca. 110 podrá menos de respetarlo. Este lenguaz; no es ei de una cec..'.ra Hn la votación para primer secretario fue elegido e! Sr. Sr.ntqs Sua- ción de guerra , y el rrtir.M sus ligaciones r.o es un seto de hostilidad. rtz por 111 votos de! to…</t>
  </si>
  <si>
    <t>…hab-endo -.-bdo u« o¡-, o c t, Vega Infanzón, Ücner, Robinar y Abrcu. bierno sobre la ucee».dad y la cor.eenicnc.a &gt;u f. as.i.i, ou ■ v ’ . ¿jet oí ¡vi edetiáiticos. Sres. Nuñez y D. Toribio ) , Valdés, Bustos, ro, iüOLUpaí:ansio una courulia del con-ejo de hit.de , » ... e. »e</t>
  </si>
  <si>
    <t>…respo de Tejada el suplemento al nu En 1 $.° lugar el Sr. Bartolomé por 82 votos, que era el total. mero 7 del Procurador general, en concepto de subversivo. En 16.0 el Sr. Nuñez (D. Toribio) por 79 votos, habiendo tenido En su vista se reunió el jurado , compuesto de los Sres. siguientes: dos el Sr. Cano. D. Juan Antonio López, D. Vicente Segurado, D. Zoilo Gómez En 17.0 el Sr. González Aguirre por 79 votos, habiendo tenido uno Casero , D. Juan…</t>
  </si>
  <si>
    <t>…infelices labradores, á quienes se Oliver, Serrano, Ruiz de la Vega, Abrcu , Santafe, Romero, Í es ha obligado á pagar por ios señores el valor de la tercera par Lagasca , Nuñez (D. Toribio), Pacheco, Varela, Meiendez, te do los frutos que recolectaban. Dichas prest uñones ¿isciiil"- Afonzo , Sequera , Bartolomé , Velasco , Sedeño , Villa vieja, jna mucho á las que los dueños de señoríos de ¡a Rusia hacen pa Cano, Guevara , Fuentes del Rio, Atie…</t>
  </si>
  <si>
    <t>…rar aquellas leyes bajo do, Salvato , Olí ver , Serrano, Ruiz de ia Vega, Abreu, San- cuyos auspicios habíais conservado mi trono, defendido su in tafe , Romero , Lagasca , Ñoñez (D. Toribio) , Pacheco, Vá dependencia, y arrojado á los enemigos del territorio. Estas le rela, Meiendez, Afonzo, Sequera, Bartolomé, Velasco, Se yes habían sido aplaudidas y reconocidas en Europa por las deño, Villavieja, Cano, Guevara, Fuentes del Rio, Atienza, mismas…</t>
  </si>
  <si>
    <t>…causa de algún obstáculo que no ha esta lo Er..' Afonzo, Florez Calderón, Valdés Bustos, Ruiz de ia Ve en su mano remover; yo responderé a esto: :;:an adquirido o tur ga, Nuiiez (D. Toribio), Buruaga y Castejon. los bienes de que se trata: Si no ¡os han adquirido no deben ad Se cor.t.nuo la discusión pendiente. quirirlos, porque la iey eiiee, que desde añora en adelante no Ei ñr. Prado: Convengo muy gustoso en que hallándose co pueden adquirir b…</t>
  </si>
  <si>
    <t>…do siempre la disculpa de los ciudadanos ga, Velasco, Abren, Gómez (D. Manuel), Atienza, Latre, débiles , de los malos patriotas , porque á ningún buen ciudadano Santafe , Nuñez ( D. Toribio ), Pacheco, Munarriz , Jencr, se ¡e hace fuerza. Yo estoy seguro de que en la guerra pasada de Santos Suavez, Lasala, López Cuevas, Bartolomé, Sedeño, Es— la independencia no hicieron fuerza á nadie los franceses; y asi si covedo, Saavedra , Vi 11 avieja, Sal…</t>
  </si>
  <si>
    <t>…r. Dice: Ale he opuesto á la totalidad del proyecto que 11 cada uno de los Sres. Falcó y Alcántara , 3 el Sr. Nuñez se discute, poique estoy persuadido de que es un equivalente d (D. Toribio), 2 cada uno de Jos Sres. Tomas , Pedralvez, Reh d&gt;.l derecho de registro; y para convencerse de ello basta solo el ilo , Ovalle y Sánchez, y uno los Sres. Latre, Ximenez , Cuevas cotejar ambos, y se verá la identidad de sus artículos y hasta el y Lasala. ord…</t>
  </si>
  <si>
    <t>…ma.=:Lr vclisa, Habiéndose opuesto á este dictamen el Sr. Trujulo, el señor presidente suspendió esta discusión. Se mandaron agregar a! acta dos votos, el primero del señor Nuñez (D. Toribio), contrario á la aprobación del dictamen acer Las noticias de Talavera de la Reina hasta el 36 del pasado ca de 110 admitir en Galicia mas que un 5 por 100 de las con inclusive dicen lo siguiente: tribuciones en calderilla; y el segundo del Sr. .Romero contra…</t>
  </si>
  <si>
    <t>…punto suficientemente disentido-, y habiéndose preguntado si ha Saavedra, Sierra, Alonso, Adán, Gómez Becerra, Nuñez bia lugar á votar sobre el dictamen , resultó empatada la vota(D. Toribio), Moreno, Surrá, Pacheco , Ovalle , Sotos , Sán clon por 41 votos contra 41 , y en su consecuencia la suspendió chez, Donrenech, Serrano, Buey, y dos Sres. secretarios. el Sr. presidente. La comisión de Corrección de cst.lo presentó revisadas va El mismo Sr.…</t>
  </si>
  <si>
    <t>…paso á situarme entre sus b.ivouetas. Abren, Garó/., Üiiver , Riuz de la Vega, Aticn/a, González ¡ Inconcebible y ominosa libertad, cuya única base es la deshonra Acuirre , Nuñez (D. Toribio), Munarriz , Escudero, Salva, Sep- de entregarse á discreción en manos de sus agresores! ticn, Melendez , Varela, González (D. Manuel), Rodríguez «Proveed pues, Sres. diputados, á las necesidades de la Patria, Paterna, Larrea, Layasen, Viliavieja, Ramírez Are…</t>
  </si>
  <si>
    <t>…pata su recaudación , con dicho recargo en el citado dia 8. Sairato, Olirer, Lillo, Navarro Tejeiro, Galiana y Nufiez Desorden de S. M, lo comunico i V. E. para su cumplimiento. (D. Toribio.) ' * Dios, guarde "£ V. E. muchos años. Cádiz 6 de Setiembre de &gt; A la misma comisión se mandó pasar el último parlé presen 1813.=Juan'Antonio Yandioia.rxSr. Presidente y vocales de ii tado en la sesión secreta por el Sr. D". Cayetano' Vaidés, en .qué 'Diput…</t>
  </si>
  <si>
    <t>Toriblo</t>
  </si>
  <si>
    <t>…onvertidos. brados los Sres. Isturiz, Arguelles, Eerrer (D. Joaquín , Salvato, Generalmente hablando los cristianos de Egipto, sean de la lilio, Navarro Tejeiro , Galiano y Nuñez (D. Toriblo). secta que fueren, son tan ignorantes y supersticiosos como sus se A la misma comisión se mando pasar el último parte pre ñores; pues toda su religión consiste en la observancia servil de sentado en ¡a sesión secreta por D. Cayetano Valdés, en que el las cer…</t>
  </si>
  <si>
    <t>ToriLio</t>
  </si>
  <si>
    <t>…bian haber sido de algún peso en una cues no), Quillones, Castejon, Romero, Benito, Calderón y Nuii.z tión que tan ligada está con los intereses del comercio y de la industria, y (D. ToriLio), que han compuesto dicha Diputación, se habían hecho ten embargo tampoco se han tomado en consideración sus adiciones. ■creedores i la gratitud nacional, y que podían declararlo asi para dar un testimonio público del aprecio que le merecen estos individuos.…</t>
  </si>
  <si>
    <t>Torio, Marceliano</t>
  </si>
  <si>
    <t>Marceliano Torio</t>
  </si>
  <si>
    <t>…o Aracda. dréis se imprima, publique y circule.=Rubricado de Ja Real mano.es D. Josef Leglisi y Pinedo. D, Miguel de Nájera. En palacio á 19 de Marzo de 18 23.=A D. Mariano Egca.” D. Marceliano Torio. El conde de Oñate. D. Vicente Segurado. D. Antonio Puiduiiés. D. Francisco Palacios. D. Manuel Zulueta. La diputación provincial de Madrid, en cumplimiento de los decre D. Joaquín Lumbreras. D. Manuel Conchillos. tos de las Cortes de 5 de Eneio y 8 de Febrer…</t>
  </si>
  <si>
    <t>Tornas</t>
  </si>
  <si>
    <t>…del furor imano de dh partido que nada ha suplica á la pJrsona en cuyo poder se hallen se sírva entregarlos en aprendido en el libro de la experiencia. ( Se continuara.) Madrid á D. Tornas d: Villafañe , oficial de la dirección general de __La Gaceta de Erancia det i9 de Enero en articulo de Madrid con correos; en Valladolid al marques de Villasante, yen Salamanca i fecha del to dice : D. Francisco Trespalacios. ’&gt; La cs-cna que ayer se represe…</t>
  </si>
  <si>
    <t>Torner</t>
  </si>
  <si>
    <t>…ré mas , este imperio, que es lá suma de la'triple facultad legislativa, ‘itliáaá el de la comisión. ¡'adietaría y coercitiva , le reconocen en la Iglesia los autores católicos E! Sr. Torner en apoyo de ;¡; voto particular manifestó que las mas anticurialistas, y los Mcshesra , Blnghant y otros protestantes ó re Cortes estaban en ei caso di examinar la cuestión de ai la justicia y !a formados de primera nota. conveniencia pública exigían proteger…</t>
  </si>
  <si>
    <t>Tornjos</t>
  </si>
  <si>
    <t>…ecesidades, es decir, clásicas: yo puedo decir quj Logroño 3 de Marzo. en algún tiempo ha pasado de loo millones de duros al año lo que hi Hemos visto entrar y salir de Logroño al general Tornjos con una exigido el clero de España. división compuesta de excelentes tropas, tanto en lo físico como en lo También ha hablado el Sr. Sutrá acerca del precio ds ¡os grane», moral: las continuas marchas y fatigas no han debilitado su cuerpo, y lo cual era un ob…</t>
  </si>
  <si>
    <t>Toro, Josef Rodríguez de</t>
  </si>
  <si>
    <t>Josef Rodríguez de Toro</t>
  </si>
  <si>
    <t>…la primera carga que dió fup la Barra.” ' suficiente para introducir el terror pánico á los rebeldes, y todavía siguen en su persecución en dirección del Rio Hacha, sin perder de D. Josef Rodríguez de Toro, coronel retirado en esta corte, ha víala sus restos, que ascenderán á unos 5o hombres da caballería é in hecho donación de todos sus sueldos en beneficio de la patria por el fantería , y no dudo vendrán á nuestras manos , porque tengo cometido tiempo que dur…</t>
  </si>
  <si>
    <t>Toro, Manuel Fuentes</t>
  </si>
  <si>
    <t>Manuel Fuentes Toro</t>
  </si>
  <si>
    <t>…n lla M.ralles y derrota de su cav-iia. fantería de Asturias de su mando, el batallón de zapadores , al Gob ernó poi tico de ¡a provincia de Barcelona.__Ciudada mando del teniente coronel D. Manuel Fuentes Toro, las com nos—En este mismo instante acabo de recibir el parte que me pañías de cazadores de los batallones de Guardias y Castilla, y un dirige el alcalde primero constitucional de Igualada con ¡a pro escuadrón de caballería de España de linca, siguiendo el re…</t>
  </si>
  <si>
    <t>Torras, María</t>
  </si>
  <si>
    <t>María Torras</t>
  </si>
  <si>
    <t>…a Medir y Carnesoltas , Doña Francisca Grau, Doña Bárbara Riera, dazan el precioso signo de nuestras instituciones; dan íobre ellos las Doña María Cata, Doña Teresa Miser y Catá , Doña María Torras, mismas milicias , les matan 9 hombres, les hacen 3 prisioneros y les Doña Rita Jovanet, Doña Manuela Piqueras y Doña Agustina Pir. cogen 13 cabillos, sin que en todos estos encuentros y en tan diversos Después de varios vivas á la Constitución, se dió la sop…</t>
  </si>
  <si>
    <t>Torre</t>
  </si>
  <si>
    <t>…a división del general sentes vieren y entendieren, sabed: Que las Cortes extraordinarias han O-Dali. decretado lo siguiente: » Las Cortes extraordinarias, convocadas en vir » F.I brigadier Torre», que según he manifestado á V.E. desde Mo tud de excitación del Rey por la Diputación permanente en 6 de Se lina, quedó encargado de perseguir la parte de ia facción qu: se dirigía tiembre del año próximo pasado, é instaladas en 3 de Octubre del mis hacia el…</t>
  </si>
  <si>
    <t>…n cuanto á que á lo menos la mitad Se nombró para reemplazar al Sr. Muro en la comisión se-, de la renta proceda de bienes raíces. El citado art. 92 solamente gunda de Hacienda al Sr. Torre. exige que los bienes sean propios, y nadie dirá que únicamente El Sr. presidente designó los asuntos que se discutirían en La podemos tener propiedad sobre bienes raíces, ni negará que son sesión próxima, y anunció que pasado mañana conforme á lo de la clase…</t>
  </si>
  <si>
    <t>Torre-</t>
  </si>
  <si>
    <t>…tado acontecimiento, porque el mariscal no tenia intención de darla hasta el 26. Desde 1481 á 1498 sien »la guarnición de Barcelona no cesa de hacer salidas, las cua do inquisidor general Torre- les Litigan ¿ nuestra tropa , y la tienen en una alarma continua. quemada.................................. 10320 6840 97571 El servicio es muy penoso y ocasiona muchas enfermedades. Se Desde 1498 Justa 1507 han establecido hospitales en Perpiñan y en Ceret.…</t>
  </si>
  <si>
    <t>Torrecilla, Victoriano</t>
  </si>
  <si>
    <t>Victoriano Torrecilla</t>
  </si>
  <si>
    <t>…surpaban y hadan ridicula la magestad Real: vieron un llón de milicia activa de Cuenca al profesor de ciruela médica escarmiento horroroso pero justo en un pueblo culpable, mas es D. Victoriano Torrecilla. te ejemplo ha sido único en vuestra provincia , y los demas pue 2.0 El quinto escuadrón de artillería saldrá mañana á re blos lian sido admiradores asi del valor y constancia como de la unirse con las cuatro piezas que tiene la primera división; la disciplin…</t>
  </si>
  <si>
    <t>…a no debía El Sr. Isturiz se opuso á este* dictamen; y habiéndole conteshaber lugar á resolver sobre ello. Aprobado. bado el Sr. Oliver , quedó aprobado. Otro sobre la sohcitud de D. Victoriano Torrecilla, opinan La comisión de Casos de responsabilidad , en vista de k ex do que á pesar de su aplicación y patriotismo creía no deber posición de D. Pedro Sánchez Trapero, en que pedia se decretase concedérsele la gracia que solicitaba por ser perjudicial al bien k…</t>
  </si>
  <si>
    <t>Torres</t>
  </si>
  <si>
    <t>…os, y no he tenido mas cance hasta exterminarlo. La columna procedente de la provincia de tiempo que para darle parte muy ligeramente de los acontecimientos Teruel, mandada por el brigadier Torres, debe reunirse hoy á dicho de esta capital. Ahora no puedo hacerlo tampoco con aquel detmi- comandante general, también los escuadrones de Almansa que vienen miento que exige un negocio de esta naturaleza , y mucho mas cuando de Madrid, y una partida que depe…</t>
  </si>
  <si>
    <t>…el haber introducido activa , y de los empleados de la Hacienda pública en Bilbao, presen esta novedad! Resultados muy desgraciados; pues hombres tan doctos tadas y ¡eidas por el Sr. Torres. como católicos, y que por consiguiente no ignoraban cual era tu auto De los gefes, oficiales y demas individuos del batallón de la mili ridad en todo el lleno que les concedió Jesucristo, no pudieron ser cia activa de Jam , presentada y leioa por el Sr. Lill…</t>
  </si>
  <si>
    <t>…imo. 1 200 poco mas ó menos , y por ta otra parte unos i5). Inmediatamente Art. 3“ n Habiéndote de cobrar en dinero lo que las persona# que recibí los avisos positivos di orden at brigadier Torres que con ia particulares deban hasta el referido tiempo , »e autoriza al Gobierno división del octavo distrito, aumentada con el batallón del Infante para transigir acerca de las cantidades , según las circunstancias de la D- Antonio, se hallaba hacia Tragacet…</t>
  </si>
  <si>
    <t>…publique y circule.zbEstá rubricado de la Real mano.cnEn pa c onales 10 caballos, 85 fusiles con sus bayonetas, 40 sables y una caja lacio á no de Febrero de 1823. de guerra. » El brigadier Torres recomienda muy particularmente a! coman El Rey ha expedido el decreto siguiente r dante Romero y demas gefes y oficiales que fueron á la expedición, Don Fernando vtt por la gracia de Dios y por la Constitución de no menos que í la tropa; pues á pesar del gran…</t>
  </si>
  <si>
    <t>…lla á la cabeza de 40 caballos, y el secundo acaso habra sato y hacer con ellos una justicia severa. A las cuadrillas de la fe se les hacia alcanzado por la victoriosa columna del brigadier Torres. creer que muy pronto serian puestas bajo el mando de generales tranccscs. « El coronel de Pablo con 1200hombres del ejercito del -;.0 distrito se El 10salió la llamada regencia en coche al encuentro de Orlada, que débil halla a! frente ó flanco de la facción…</t>
  </si>
  <si>
    <t>…iente1 y ia discusión do perc y otros cabecillas. ordenanzas, y levantó la sesión á las dos. El conde del Abisbal participa igualmente desde Agreda con fecha dd propio dia, que el brigadier Torres apresó al cabecilla Pulseador, y ade Hemos recibido periódicos de 3a Comía, que alcanzan hasta el jó de mas otros 4c facciosos de su partida, y 6 ú 8 caballos. En el número de Febrero, de S. Sebastian hasta el 24 , y de Valencia hasta el i.° de Marzo, mañana…</t>
  </si>
  <si>
    <t>….m not.r-as, pues solo en Calig entraron de completar su destrucción , ayudado por la división de O-Daly—El 53. La nuestra solo ha sido de dos valientes nt.bc.anos y un pitrtou he brigadier Torres con techa 21 del pasado desde Calamocha me dice lo que ridos , aunque no de consideración: pud endo ase-.turr.r a V. S. que laza manifiesta la copia del parte que tengo el honor de acompañar á V. E. El rla á la justicia si recomendase a alguno en partcular. l…</t>
  </si>
  <si>
    <t>…milas , cuatro t-rgas de municiones, armas, ropa y otros efecics. sueldo superior a su cíase continuarán en los mismos goces y sueldos De Teruel con f.cha del 7 comunicaban que el brigadier Torres , á pe que basta aquí. sar de estar casi impedido , había atacado en Caúadavrlüda at faccioso Art. 19. « Los capellanes y cirujanos , entre tanto que el Gobier L.on , que llevaba prh.:oneios é los voluntarios de Zaragoza. Turres no no los destina , conservara…</t>
  </si>
  <si>
    <t>…staros nuestro profundo y eterno reconocimiento. el pueble de Cañá de Bellida , en el que presentándose repentina Unidos de todo corazón y de hecho con la heroica España, mente el brigadier Torres con la columna de su mando al ano sirviéndonos de guia el pendón victorioso de Ausrerüz, contri checer del 28 de febrero , y atacando á la ficción , logramos fu buiremos a desconcertar la guerra impía que se ha declarado á la garnos en aquella confusión; y to…</t>
  </si>
  <si>
    <t>Torres, Domingo de</t>
  </si>
  <si>
    <t>Domingo de Torres</t>
  </si>
  <si>
    <t>…es una j ... . , . denominación adecuada i su objeto , asi como al de reserva que hade ^ juicios t jura os. organizarse en-, «1 primer distrito , h 1 unido á bien resolver: 1El Eí Sr. D. Domingo de Torres . tesorero general de la Nación jubiegército.de operaciones, del 7.* distrito militar, á las órdenes del te- lado , denunció al Sr. alcalde constitucional 1&gt;. francisco Crespo de niente geperal D. Francisco rispoz y Mina, se denominará primer Tejada un artícu…</t>
  </si>
  <si>
    <t>Torres, Francisco</t>
  </si>
  <si>
    <t>Francisco Torres</t>
  </si>
  <si>
    <t>…clase D. Alonso Sierra, y aquel" gefe férez D. Antonio Calatrava se colocase con .0 soldados en una ca'le, m? repitió los partes (por haberse extraviado los primeros) de las ac el capitán D. Francisco Torres con 20 en la plaza , mandándole echar ciones que sostuvo el 7 sobre el puente y pueblo de M.iniain, y en ia pie á tierra á unos 1; hombres con el alférez Lagunero , para de este mañana del mismo dia 9 en Estella. El 10 y 1 r permanecí en Estella modo hacerlos…</t>
  </si>
  <si>
    <t>Torres, Hilario</t>
  </si>
  <si>
    <t>Hilario Torres</t>
  </si>
  <si>
    <t>…e: prcop íiantv se ri-.ta, D. Antonio Hernández Morejou , D. V.crnte Sanano: y el de rian sin duda magnánimas; pero que de ningún modo podía adrn vne l«s tres profesores de cámara D. Hilario Torres, D. Agustín Frutos y su proyecto. P01 último manifestó el orador que lo qus fa’taba en Es D. josef María Turlan , acerca del estado actual de la sa ud de M. paña eran capitales, con los cuales se harían multitud de obras de pú El "ir. secretario Soria dijo: E…</t>
  </si>
  <si>
    <t>Torres, Hilario de</t>
  </si>
  <si>
    <t>Hilario de Torres</t>
  </si>
  <si>
    <t>…s Reales ejér París ¿ de Octubre. citos á D. Salvio Illa y D. Agustín Josef Mestre; no !p Se ha cantado en la metrópoli y en todas las iglesias un Te- asimismo para Proto-Médico a D. Hilario de Torres, r- segun Z&gt;rum en acción de gracias por la elección del nuevo Papa, que do Médico de Cámara. .ha tomado el nombre de León xn. .__El Gobernador de Pamplona habla conseguido que saliesen El Cardenal Presbítero, que el Sacro Colegio acaba de colo de la ciudad d…</t>
  </si>
  <si>
    <t>Torres, Joscf de</t>
  </si>
  <si>
    <t>Joscf de Torres</t>
  </si>
  <si>
    <t>…i.otros podéis Jar á __El comandante de batallón D. Segundo Ulibarri salió de Calamocha la patria d.as de gozo, de calma y de orgullo nacional, borrando con la por disposición del brigadier D. Joscf de Torres con una columna de 300 sanare de los enemigos las señales de horror con que el fatalismo se ha infantes y 22 caballos en'persecución de facciosos, y e-r. su marcha ha he distinguido hasta ahora. La religión-, la humanidad y los vínculos sociales cho varios pr…</t>
  </si>
  <si>
    <t>Torres, Marceliano Torio y</t>
  </si>
  <si>
    <t>Marceliano Torio y Torres</t>
  </si>
  <si>
    <t>…arifazgo mayor de Sevilla de 1010 rs. 2 mrs. sef Merelo, D. Francisco López O.avarrieta, D. Faustino Fer de renta en cabeza de Juan de Aumada___Otro en cabeza de nandez Huidobro , D. Marceliano Torio y Torres y D. Ma Doña María Ortiz de Rivadeneira de 24,146 de renta, situados nuel Ledesma. en el servicio y montazgo de los ganados dei reino. _ Otro de Habida la conferencia , se declaró per unanimidad haber lu 22,684 mrs., situados en el primer : por 100 de las alcabalas gar á…</t>
  </si>
  <si>
    <t>…ctor general del arma en que sirva, expresando el Palacios, D. Domingo García, D. Francisco del Acebal y Arnombre de Ja persona 6 personas á cuyo favor hace la asignación, ratla , D. Marceliano Torio y Torres y D. Pelayo Zorrilla, han cantidad mensual de esta, putbio y provincia en que desea que la calificado por unanimidad con la fórmula de .1 bateíta el artículo cobre, y fecha en que ha de principiar á percibirla; en el concep inserto en el periódico titulado « Ei Noticioso’' de 28…</t>
  </si>
  <si>
    <t>Torresano, Tomas</t>
  </si>
  <si>
    <t>Tomas Torresano</t>
  </si>
  <si>
    <t>…n Sevilla, é igualmente que en to Hered.ro Mayoral, D. Juan Paz , D. Manuel Carnicero , D. Valentin das las principales administraciones de correos, de las de partido y es Recio y D. Tomas Torresano, calificaron con la fórmula de absueltos tafetas, á los precios siguientes: los períodos del número 5.0 del periódico titulado el Patriota cipa’ Suscripción á la Gaceta española de Sevilla. Por alio 400 ts., por tío!, desde donde dice «el ciudadano Rotalde se…</t>
  </si>
  <si>
    <t>Torresar.o, Tomas</t>
  </si>
  <si>
    <t>Tomas Torresar.o</t>
  </si>
  <si>
    <t>…e este D. Higinio Antonio Lorenie , el conde de Floridablanca, D. Juan anur.c’o, sus proposiciones en la misma factoría, en donde por cl gcfe Antonio Marco, Di'Saturnino' Lozano , D. Tomas Torresar.o , D. Mu de ella se les ciará noticia del dia en que haya de celebratse el remate nuel Carnicero y D. Lorenzo Latnbea. de ia empresí,-y las condiciones con que deba verificarse.-............ Habida la conferencia , sj declaró por unanimidad « habit logar á la…</t>
  </si>
  <si>
    <t>Torrezno, Tomas</t>
  </si>
  <si>
    <t>Tomas Torrezno</t>
  </si>
  <si>
    <t>…as. En esle nuevo ejerci cero, D. Antonio Puigblar ch , D. Pedro Alvaro Delgado , D, Cayetano cio cotidiano se han recopilado todas las mas principales oraciones , por lo Romero , D. Tomas Torrezno v D. Juan Cortés. que es uno de los mas completos devocionarios que hasta ahora se han Habida la conferencia se decidió por ocho votos «haber lugar á la for publicado por reunir en un solo volumen lo mas necesario para el uso de mación de causa habiendo disen…</t>
  </si>
  <si>
    <t>Torrijas</t>
  </si>
  <si>
    <t>…nciudadanos, cuya gratitud por tamaño beneficio será eterna. De otro modo Cartagena 14 de Agosto. preparaos á recibir en castigo de vuestra indiferencia la execración Proclama del general Torrijas á los amantes de ¡a libertad. y las maldiciones de cuantos sean víctimas funestas de vuestro Si conserváis honradez, si estimáis en algo vuestro nombre, abandono , y de la rapacidad consiguiente de los enemigos ¿ quie y si sois capaces de conservar la dignida…</t>
  </si>
  <si>
    <t>Torrijas, Josef María</t>
  </si>
  <si>
    <t>Josef María Torrijas</t>
  </si>
  <si>
    <t>…iente oposición de todo vendedor, estabaos invita á cumplir vuestro conciudadano que ha jurado morir ó ya exasperadisima. Que S. Martin después de haberse cercioradoser libre.=:El general Josef María Torrijas. del odio con que el pueblo le mira (como autor de los niales que le afligen) , y desengañádese por tamo de que no seria elegido Málaga 2j. soberano del Perú , como por terceras personas ha tentado muy Alocución dirigida á los cuerpos de la milicia nacional v…</t>
  </si>
  <si>
    <t>Torrijos</t>
  </si>
  <si>
    <t>i8 saber: Excmo. Sr.: Los últimos partes que he recibido confirman ti » Lo que traslado í V. S. para su conocimiento; debiendo añadir . noi'cia de haber entrado él general Torrijos en Pamplona el 21 í las que he sido testigo ocular de cuanto manifiesta Bacigaiupi, y que este llueve de la noche. El cabecilla Juanita con 40 caballos y poo de in benemérito y digno gefe (siü o oda por üciicatiezO anule en el au-efantería muy derrotados entr…</t>
  </si>
  <si>
    <t>…ado nuevamente de estar al frente de una Nación vieron en 17 del mismo las tropas nacionales del bloqueo de les fuer por tamos motivos distinguida. tes de la Seo de Urgel; a.J del general Torrijos desde su cuartel gene u Ei sentimiento del honor y de la independencia nacional, graba ral de Urroz en 29 de Diciembre, detallando las operaciones de los dos tan profundamente en los pechos españoles, me ofrecen la mas se dias anteriores, y haciendo saber que…</t>
  </si>
  <si>
    <t>…3 de Pablo al egércíto de Torrijos. forjar, corno era de esperar, tres ó cuatro docenas de calumnias contra Boletín del 2j: Cuevillas entró en Alfaro, impuso 12S) rs. de multa el general Torrijos, de quien asegura que en un pueblo, que nadie por la aprehensión de Noviembre, y repasó el Ebro , quedándose ayer cita ( qiCon ne designe pas), le tiraron seis fusilazos, y que eí general tarde en Milagro. Arana salió de los Arcos, y se dirgia á Lodosa; pero…</t>
  </si>
  <si>
    <t>…perder G mis Se han rce.b.do cartas de Girta.en.i fechas el 16 , &gt;’ en ellas mo ¡os que ie corresponden como a estado independiente; que se dice hab-r entrado en aquella p.aza el general Torrijos con una las Ci rtes no tienen poderes para hac.rias en ia actúa..cad , ni división de 6¿) i ombres, s.n contar las tropas de cabaiier a. La los tendrán jamas para escuchar sobre este punto Jas p¡xt -na.or.es plaza quejaba ab.ist, cala , y ei je a eral se prep…</t>
  </si>
  <si>
    <t>…:Va!entin Verást gu:.=Ped:o Andrés de Z»baia.e=Va- haber capitulado: lo cual no concuerda ccn loque dice la pro lentin Fernandez BerrU'CO.= Manuel de Aramiia. sr Jacinto clama del general Torrijos, de que dimos noticia en nuestro nú Ochoa de Retana. =rFrancisco Josef de Garay.” mero anterior: y la tercera, que d general Molitor se ha dejado engañar con la aparente sumisüai de Ballesteros. A la verdad Madrid o.) de Agosto. que este no es jircto que haga…</t>
  </si>
  <si>
    <t>…ndo mis órdenes, y portándose que vinieron á socorrerle otros dos sargentos de su arma. Por es con valor: también trabajó con igual esmero el capitán graduado ta acción bizarra el general Torrijos le premió justa y oportuna D. Juan Miras Peralta, ayudante de la misma brigada ; el cape mente en el mismo día con el grado de sargento 2.0 con paga. llán de las compañías de Alcañiz contrajo el particular mérito tic De- este modo se excita ia virtuosa emulac…</t>
  </si>
  <si>
    <t>…las ha distin servar la pureza de la religión entre nosotros, que el del restable guido. cimiento de un inst tuto tan contrario al espíritu del evangelio: El comandante Bazan y el general Torrijos tenían á raya á ;No t ene la iglesia sus leg tmos pastores encargados por el mis los enemigos que andan por aquellas inmediaciones, y pocos dias mo Jesucristo de la conservación de su grey: antes había derrotado el primero una facción numerosa en las cer La p…</t>
  </si>
  <si>
    <t>…r haber recobrado á su an celona seguia animada del mejor espíritu. También se asegura que tiguo Soberano, también le fue preciso comprar esta d.cha con son iguales los deseos del general Torrijos. nuevos sacrificios. En efecto se ve que Joaquín -Murat en el año Alicante se halla en el mejor estado de defensa , con muni de 18 15 no s ci&gt; del pueblo mas que 16 m i oríes de ducados , y ciones de guerra y boca para muchos meses. que el Rey herrando en el…</t>
  </si>
  <si>
    <t>Torrijos, Josef</t>
  </si>
  <si>
    <t>Josef Torrijos</t>
  </si>
  <si>
    <t>…en dinero ó como concierten entre sí los in Josef Joaquín Mariátegui, D. Manuel Muñoz, D. Lorenzo teresados , entregándose al dueño el capital redimido, ó dejándo- Calvo de Rozas, D. Josef Torrijos y D. B.amon Romay, he dolo á su libre disposición. venido en revocar , como por el presente revoco, los expresados El Sr, secretario del Despacho de Hacienda continuó la lec decretos y nombramientos de secretarios del Despacho hechos en tura de la memoria del ministe…</t>
  </si>
  <si>
    <t>Torrijos, Josef María</t>
  </si>
  <si>
    <t>Josef María Torrijos</t>
  </si>
  <si>
    <t>…es no quiere ceder á la fuerza de la opinión realista , esta opinión da honor de anunciar á V. E. en mi anterior, he tenido el placer de re rá con él en tierra. cibir el parte del general D. Josef María Torrijos, q„ á la letra dice La misma asegura que Mr. Ouvrard va á enviar á la regencia urge- asi: Constante en mi resolución de no dejar descansar al enemigo en lina to millones de francos y 249 fusiles. La Estrella acusa al duque donde quiera que huya, emprendí mi m…</t>
  </si>
  <si>
    <t>…las órdenes Keaies de S. Luis y de la torizado por S. E. el Conde Molitor.rrAprobado por nosotros el legión de Honor, caballero del Mérito militar Wurtemberg, ca Mariscal de campo D. Josef María Torrijos, Comandante ge ballerizo del Rey de Francia; y el Sr. Barón de Juchereau de neral del octavo distrito y el Brigadier Gobernador de la plaza de $. Denis, Coronel, gefe de Estado mayor de la sexta división, Cartagena D. Vicente Sancho. En Cartagena el dia 3 de…</t>
  </si>
  <si>
    <t>Torroba, Josef Perez</t>
  </si>
  <si>
    <t>Josef Perez Torroba</t>
  </si>
  <si>
    <t>…de la rifer da milicia tendrán Joaquín María Goñi, D. Juan Bautista Carrera , D. Josef María la los mismos haberes que en sus respectivas provincias esten señalados á los Arroyo, D. Josef Perez Torroba, D. Ramón Míguez y D. Francisco de iguales clases de las compañías creadas en virtud del d creto de tas Antonio Larraza, por unanimidad declaró haber tugar á la forma Cortes de i.° de Febrero último. Art. 3." A las madres ancianas, muge- ción de causa res , h…</t>
  </si>
  <si>
    <t>Torsí, Ramón Martí de</t>
  </si>
  <si>
    <t>Ramón Martí de Torsí</t>
  </si>
  <si>
    <t>…acuerdo con ¡o» respcct vos generales de ¡as cucó o "Paisanos: Pedro Marcerau.ssD. Gerónimo Vidal.tsD. N. divisiones en que por el último arregle), v para que puedan ope Olivier.—D. Ramón Martí de Torsí.=Pcdro Rlbes. rar dentro del distrito’señalado a cada una de aquellas &gt;e ha »ubClérigos y frailes: E¡ obispo de Léridu.rsEl cinonigo de id, dividido el ejército de mi mando , formaran v rcuvtirán lo mi» D. Juan Mana Tegui,=CapeU.m de id. D. Juan Rodríguez C¡-…</t>
  </si>
  <si>
    <t>Tortbio</t>
  </si>
  <si>
    <t>…minación que le inspiran á las Cortes ios visitadores de las audiencias á ios Sres. Becerra, las acciones, el lenguage y las doctrinas de los invasores. Aguirre, Castejon , Nuñez (D. Tortbio), Domenech , Aivarez A.si lo ha hecho V. M. en palabras enérgicas, cuyo sen (Q. Elias) y Marchámalo. tido no es dable tergiversar; palabras verdaderamente propias Se levantó la sesión. de un Rey, las .cuales al paso que influirán en la gloria de •— EL Rey, de…</t>
  </si>
  <si>
    <t>Total, Ruiz de</t>
  </si>
  <si>
    <t>Ruiz de Total</t>
  </si>
  <si>
    <t>…i..! (o constitucional y milicia nacional de Andnjar, Aumento pata lo» litorales y íront.rizos. prrscntjdas por e¡ Sr. Vargas. , * 3 5,7 ciudadanos de la ciudad de Granada, por el Sr. Ruiz de Total..................... 16 30 óo b Vega, Del ayuntamiento de Criv-ra del Rio Aihama , provincúade Logro- Después de a’gunas ligeras obs-rvac'oncs hechas por el Sr. B n’to, l’ni por el Sr. Adan. á las que contestó el Sr. Infante, qu.dó aprobado el articulo , y lo…</t>
  </si>
  <si>
    <t>Totre</t>
  </si>
  <si>
    <t>…ntecimientos pueden impedirla. Pero si En la votación para terc-r secretario quedó elegido en primer es un Gobierno como el Gobierno actual de Francia, que nadie podrá crutinio el Sr. Totre por j 17 votos de 1 zj de total ; teniendo tres -1 acusar de fa to de penetración , ni de correr locamente en busca de aven Si. Soria, y uno cada uno de los Sres. Apoila. Homero , Navarro Te turas , m de depender de bajas consider cienes secundarias, se decid…</t>
  </si>
  <si>
    <t>Tour, Eoissac-la</t>
  </si>
  <si>
    <t>Eoissac-la Tour</t>
  </si>
  <si>
    <t>…atamente sobre el enemigo ternó en las montañas, ocupando á Quesada , Pozo-Alcon y y le destrozó. Un teniente coronel, 3 oficiales y 10 ginett*.que Cazorla: tiene delante de sí al general Eoissac-la Tour, que mar daron en el campo de batalla atravesados de lanzas ; se hicieron chó cqn todas sus tropas á Baeza y Villacarrillo; y como pudie 15 prisioneros , y otros 30 ginetes bien montados con un ofi ra suceder que intentase volver al reino de Murcia , el conde…</t>
  </si>
  <si>
    <t>Tournei, César</t>
  </si>
  <si>
    <t>César Tournei</t>
  </si>
  <si>
    <t>…Valladoiid para con sus fuegos proteger este pa- jillo.__El batallón de la M. N. V. de Mahon. jo;y en seguida atravesaron á nado ias otras dos mitades de Sagunto, .mandadas por el capitán D. César Tournei, que mandaba la reserva, tribunales. y el alférez D. Ignacio Chinchilla, pasando yo al mismo tiempo con el _ Por providencia del Sr. D. Angel Fernandez de los Ríos, ministre alférez D. Andrés Gómez. Pisar la orilla -la primera mitad , y cargar togado honorari…</t>
  </si>
  <si>
    <t>Toussaint</t>
  </si>
  <si>
    <t>…Je EstaJo. Aimond , el barón Bruny, el barón Bonnemains, el conde Grundler, Por renuncia que ha hecho D. Josef Matías Cablera de la judica el barón Gressot, el vizconde Vallin, el vizconde Toussaint , ei viz tura de primera instancia del partido de S. Julián de Poulo ha queda conde Pedeport , el vizconde jamin, el vizconde Vasserot , el barón do vacante esta plaza, y para su provisión se admiten memoriales po( Berge , el barón Ordonneau ,’el conde de Mey…</t>
  </si>
  <si>
    <t>Toxibio</t>
  </si>
  <si>
    <t>…advenir que el Go rela , Jener, Santos Suarez, Abreu, Oliver, Saavedra , Galiano, bierno ¡es ha recibido de oficio. Aticnza , Pacheco , Salva , Fuentes del Río , Santafe , Nufiez (D. Toxibio), I.aga-ca, Jumes, Gisbert, Escobedo, Bartolomé, Sedeño, Ve- Los señores comandantes de la M. N. L. V. de infantería y caballe lisco, V.Bavieji , Casi, jan, Latre , Melendez, Florez Calderón, Ló ría que salió de esta Capital en persecución de los facciosos qu…</t>
  </si>
  <si>
    <t>Tr</t>
  </si>
  <si>
    <t>…d la votación para sexto individuo tuvo ei Sr. Valdes Píobilitar á los franceses á que ocupen de nuevo aquel país , pues ge tos 32 votos; el Sr. Velasco 2; ; el Sr. Salvato 29; el Sr. Tr¡neralmente se cree que un sugeto visible lia tomado prestado mi rerq; 2 cada uno de tos Sres. Canga , Pacíaco v Tonta»; v 1. ;c»llón y medio del banco de Inglaterra, con cuya cantidad ha nego pcctiv.imente los Sres. Gómez (D, Manuel) , Scptlcn . Te ¡viro ciad…</t>
  </si>
  <si>
    <t>Tr-sun, Domingo</t>
  </si>
  <si>
    <t>Domingo Tr-sun</t>
  </si>
  <si>
    <t>…tallones di infantería y asi me á medio día estábamos en el Carmen , distante dos leguas y medía dí opongo al d.c! iti&gt;'-n de la comisión. I-a , donde se hadaba el general erem.go D. Domingo Tr-sun con ¡os El Sr. Vaiaes (L&gt;. v.iaye:ano ) : lie tomado la palabra pira deshacer b tallones núms. uno y lies del Perú , dos de : .h,le, pranad ros del una equivocación, &lt;;n que rn,; parece han incurrido Jos ir. s. preopinan Perú; y depeo^íss lamt'-.en de esta d.…</t>
  </si>
  <si>
    <t>Trapero, Pedro Sánchez</t>
  </si>
  <si>
    <t>Pedro Sánchez Trapero</t>
  </si>
  <si>
    <t>…resuelto que se publique ea artículo oficial para cgemplo de . blda &gt;■ conferencia, se decidió por unanimidad haber lugar a ¡a forma -jj e!0,t de causa. os uituS ciu a anos. . ^ — Don Pedro Sánchez Trapero denunció al Sr. alcalde constitucional, Debiéndose construir para el servicio de la factoría principal de D. Lirio Campos un'artículo inserto en el núm. 6.a del Piocurador tabacos de esta corte 40S) botes de lata de la cabida de á media libra general del Rey,…</t>
  </si>
  <si>
    <t>…porte , y expi la formación de causa.” dan á los pueblos para su resguardo certificaciones ¡orinales en sustitu ción de les cartas de pago que reciben cuando pagan en metálico, re D. Pedro Sánchez Trapero y D. Josef Sánchez Ballesteros denun mitiendo un duplicado de estas certificaciones á la dirección general ciaron al primer alcalde constitucional D. Lino Campos , un testimo de directas para que abone su importe á las contribuciones de cada pro nio inserto en el número 6.“ del…</t>
  </si>
  <si>
    <t>…uento respectivo. 4.0 Las asignaciones se pa ha remitido.” y concluye «aunque sea para saludarlo,” denun garán por las tesorerías de provincia, á excepción de las en que ciado por D. Pedro Sánchez Trapero , la ley absuelve á D. Isi residan las oficinas del distrito, en virtud de cartas-órdenes del doro Perez responsable de dicho artículo; y en su consecuencia pagador militar, como previene el art. 74 del reglamento inte mandó se alzase la caución ó fianza que…</t>
  </si>
  <si>
    <t>…la sohcitud de D. Victoriano Torrecilla, opinan La comisión de Casos de responsabilidad , en vista de k ex do que á pesar de su aplicación y patriotismo creía no deber posición de D. Pedro Sánchez Trapero, en que pedia se decretase concedérsele la gracia que solicitaba por ser perjudicial al bien k formación de causa al juez de primera instancia de Madrid público. Aprobado. D. Josef Martínez Moscoso por los procedimientos que con el Otro sobre la exposición de…</t>
  </si>
  <si>
    <t>Trapero, Pedro StnJiez</t>
  </si>
  <si>
    <t>Pedro StnJiez Trapero</t>
  </si>
  <si>
    <t>…do por el ayuntamiento de La comis-on de Casos de responsabilidad, habiendo tomado Li/'i.t, partido de Talayera; opinaba pasase al Gobierno para en consideración la in-t ¡nci,i de D. Pedro StnJiez Trapero , en que hiciese cumplir ei decreto de las Cortes de d de Juno de la que se queja de virios-procedimientos úel juez de primera ins«i;:, y existir la responsabilidad a quien hubiese. Ut Mr. Apiolando. taiic .i de Madrid D. Jo.eí Mart.nez Mos.o.o, c-;n motivo d…</t>
  </si>
  <si>
    <t>Traverso, JostT Anselmo</t>
  </si>
  <si>
    <t>JostT Anselmo Traverso</t>
  </si>
  <si>
    <t>…estran el verdadero objeto y los me cir pasaron el límite ; pero en particular los oficiales de plana mayor, dios que se adoptaban para asegurar el éxito de la empresa. ( Se conti teniente D. JostT Anselmo Traverso y alférez D. Félix Ttibas , ei de nuará.') igual clase de caballería de) Infante D. Joaquín García , y el cabo de ANUNCIOS, mis ordenanzas Juan Lasala, los que recomiendo a V. E. Lo que co En la librería de Sanz se ballaiA de venta la música mas moderna munic…</t>
  </si>
  <si>
    <t>Travesedo, Francisco</t>
  </si>
  <si>
    <t>Francisco Travesedo</t>
  </si>
  <si>
    <t>…fuerza. Una nación poco numerosa, pobre y de Hoyos , D. Nicolás Cano de Luqui, D. Joaquín Manrique y Man rústica fue la primera que dió á ia Europa un egemplo asombroso de rique , D. Francisco Travesedo y D. Juan Pablo Pascual. lo que puede en ios hombres este prestigio de la libertad, que parece Habida la conferencia, s« declaró no haber lugar, habiendo disen que engrandece las almas, dilata los entendimientos, llena de valor tido los Sres. D. Pedro Alvaro Delgado, D. Antonio Puig…</t>
  </si>
  <si>
    <t>…grado. ocho del dia , ó antes si era posible. En su vista se reunió el jurado, compuesto de lo» Sres. siguientes: El Sr. presidente anunció que mañana se discutiría el dictamen ds D. Francisco Travesedo, Di Isidoro de Hoyos, )&gt;. Antonio Re la comisión de Guerra sobre el modo de poner en armonía la organiza gas, D. Pedro Matute , D. .losef Luis de Amandi, D. M.nuel Car ción ide la milicia activa con la del egército permanente; se continuaría nicero, D. Casimi…</t>
  </si>
  <si>
    <t>Tremolín</t>
  </si>
  <si>
    <t>…veniente el mariscal perseguir al enemigo en su ntirada, que con toda seguridad podia hacer hacia Tarragona, se volvió el 31 FRANCIA. á Igualada, en donde ha dejado la brigada del general Tremolín,, París 1 ¿ de Agosto reforzándola con un regimiento que debe ocupar á Igualada y á De Bayona escriben con fecha del 9, que en las cercanías de Viiiafranca , y dando orden á dicho general de atrincherarse , y Madrid hay algunas partidas de constitucionales, l…</t>
  </si>
  <si>
    <t>Trepau</t>
  </si>
  <si>
    <t>…cia y Granada. cibió dos balazos y.dos heridas de bayoneta. Siendo muy digna El general vizconde de Foissac-Latour, comandante en gefa de de elogio la conducta que ha observado el Sr. Trepau, coronel, una columna de operaciones, tendrá el mando superior de ios de este, regimiento... -. y. minos de Córdoba y Jaén, Finalmente el teniente general conde » El comandante.de batallón Baraguey d'Hilliers del 9.0 re de Bourdessoulies, comandante en gefe d…</t>
  </si>
  <si>
    <t>Tres</t>
  </si>
  <si>
    <t>…con esperanzas igualmente falaces que infundadas, y respon la premura del tiempo no me permite extenderme. diendo con insultos á los parlamentarios, que se les liabian envia » P. D. Tres batallones franceses ocupan ya la ciudadela; la do varias vece* para atraerlos por la fuerza de la convicción y del guarnición saldrá pasado mañana *9 para ser conducidos prisio propio interes al reconocimiento de la autoridad del Rey nues neros de guerra a F…</t>
  </si>
  <si>
    <t>Trespalacios, Francisco</t>
  </si>
  <si>
    <t>Francisco Trespalacios</t>
  </si>
  <si>
    <t>…al de la dirección general de __La Gaceta de Erancia det i9 de Enero en articulo de Madrid con correos; en Valladolid al marques de Villasante, yen Salamanca i fecha del to dice : D. Francisco Trespalacios. ’&gt; La cs-cna que ayer se representó en las Cortes no ha tenido efec Continúa el catálogo de esta imprenta cVaetonal.__Rigual, egerto sino en io intenor del salón ; entre los habitantes de la capital so cicio cotidiano , en 8.“, á 2 y rs. en papel y 5 en past…</t>
  </si>
  <si>
    <t>Trias, Manuel</t>
  </si>
  <si>
    <t>Manuel Trias</t>
  </si>
  <si>
    <t>…umbres: y algún dia reunidos todos ’cional local de Sevilla , á las óvdenes det teniente coronel mavor diréis á vuestros respect vos opresores , no somos vuestro patri de la Re na D. Manuel Trias___Parada milicia nacional (ocal monio, regidnos por las leyes que nosotros establezcamos, ó si de Madrid , y la de la misma dase de Sevilla: y el demas serví-* no, usando de nuestro indisputable derecho, os sustituiremos otros cío y patrullas lo detallado—Hos…</t>
  </si>
  <si>
    <t>Tricoso</t>
  </si>
  <si>
    <t>…s. Prado , Buey , Falcó y Fuentes del Rio presenta y no me valgo de mas frases , pues las ¡uzgo hoy excusadas. ron la siguiente proposición : « Habiéndose creado por el decreto Ei Sr. Tricoso fue del mismo parecer. de zg de Junio último una junta auxiliar de 3 ó&gt; y eclesiásticos El Sr. Margiochi opino en sentido contrario , diciendo que para ayudar al Gobierno en lo relativo al clero, pedirnos á las la primera cosa que debía hacerse era saber cual…</t>
  </si>
  <si>
    <t>Trigo</t>
  </si>
  <si>
    <t>…cción que son indispensables para la imposición y clasifica imprudentemente habia echado sobre su reputación literaria. ción de l«s penas que en el mismo código se establecen.” El Sr. Trigo.*o pronunció un largo y profundo discurso, manifes El Sr. Becerra, como de la comisión, pidió se leyesen las consultas tando el cúmulo de razones que habia para que este asunto te mirase con del tribunal supremo, y asi se verificó. la mayor circunspección, pu…</t>
  </si>
  <si>
    <t>Trigoso</t>
  </si>
  <si>
    <t>…al decre n Soldados : Habéis terminado felizmente la campaña de Buron, com portándoos en ella como dignos defensores de una Nación libre: los ene y. acaso perjudicial. inútil to , Sr. Trigoso El aprobó los principios establecidos; pero se opuso i su migos de la patria se acabarán de convencer de que á vosotros solo os es da do vencer ó morir, divisa que podéis conservar con gloria , pues la habei» aplicación. El ministro de la Guerra tomó la palabra,…</t>
  </si>
  <si>
    <t>El Sr. Trigoso leyó un dictamen de la comisión ele Seguridad de pretextos sagrados, y Imí tense á pretender intempestivas é ¡le y Defensa pública, manifestando la necesidad deque se nombra gales modificaciones en la Comt tucton, que 110 pueden ser decre se un general en gef…</t>
  </si>
  <si>
    <t>Tristam</t>
  </si>
  <si>
    <t>…texto de religión les han del famoso batallón de Santerre y de las canciones guillotinarías, inducido al error, y obligado á abrazar un partido que no es el __Habiendo saqueado el cura Tristam una casa de campo ni ias suyo, nos vemos obligados á echar una mirada de piedad sobre cercanías deManresa, al tiempo de empaquetar el botín empe estos hombres: su desnudez, su miseria nos espanta: no obstan zaron sus compañeros á hablar sobre los mandamientos…</t>
  </si>
  <si>
    <t>TrisUní</t>
  </si>
  <si>
    <t>…ejércitos franceses! ! ! ley de Dios, y como unos digesen que eran ocho , y ctros los Considerad vosotros mismos si un soldado, cualquiera que sea hiciesen ascender á catorce , el cura TrisUní declaró que él ao su opinión, puede marchar con tales banderas y con semejante contaba sino tres: libras, sueldos y dineros. He aquí la verda vanguardia. dera y única religión de ¡os facciosos. Si Mina es político y astuto, ¡a causa se decidirá en poco Fonoll…</t>
  </si>
  <si>
    <t>Trivir.o, Policarpo</t>
  </si>
  <si>
    <t>Policarpo Trivir.o</t>
  </si>
  <si>
    <t>…ra es la cuchilla de la ley, entregado al infame Pantisco un oficio que coger los mejores para trasportar tropas á algún puerto del S.: r dirigía yo al capitán de dragones del Rey D. Policarpo Trivir.o á la salida del Thessalian se hallaba en parte levantado.__Él indicándole una combinación, quitó) el dia 11 esta gloria en los congreso del Perú ha decretado que el imperio se denomine i¿;llanos de Valle-hermoso á los valientes de S. Marcial, resguardo públic…</t>
  </si>
  <si>
    <t>Tromclín</t>
  </si>
  <si>
    <t>…os visto de Andalucía con fechas de 28 y gene raímente se cree que marcha por Mombtaqc hicia el cam de'. Agosto úitimó, .parece que habían salido de Málaga 200 po de Tarragona. El general Tromclín y el barón de Eróle* le hombres del batallón de Galicia y escuadrón de caballería del siguen de cerca. Mi "objeto es atacarle en el campo de Tarrago Rey para recorrer.,^, robar* los pueblos' inmediatos ;-pero' que na, acelerar su sumisión, 6 precisarle á ence…</t>
  </si>
  <si>
    <t>Trome</t>
  </si>
  <si>
    <t>…sin nías moti y acercádose á Mantesa, hubo de dejar el barón de Eróles su vo que haber sido en mvencuentro rechazados sus miqueletcs, posición de Caiaf para reunirse en Manresa al general Trome__En la estación en que. naturaínceoie gustan los baños, un lin. Aqui supieron que el enemigóse dirigía sobre el puente muchacho,nadando cogió npñosamcnte un pez, y se sale cor de Cabria na , donde fus atacado sobre ia marcha el 14 de Agos riendo lieno de vani…</t>
  </si>
  <si>
    <t>Tromeiin</t>
  </si>
  <si>
    <t>…rueba la muerte que por sí mismo ejecutó en el cura D. Ramón Soler. El mismo día salió con su Partí 27 de Junio. tropa á dormir á Sta. Coloma. Los milicianos de esta ciudad les El general Tromeiin va á salir para León á fin de tomar hicieron una fuerte descarga de fusilería, creyendo que era una par tres regimientos de infantería de á tres batallones,y bajando por tida de la división del barón de Eróles, y les hirieron algunos; el Ródano hasta Aviñon,…</t>
  </si>
  <si>
    <t>…os que pudieron se dirigió el mismo dia sobro Mombuy,. sin encontrar ai enemi salir , ó han parecido ó han sido hechos prisioneros por un des go. La de la derecha , mandada por el general Tromeiin, com tacamento nuestro de ao caballos, perteneciente al 18° de caza, puesta del 16.a y del óo.° de linda, el 6.a de cazadorescy'd# dores, y por algunos oficiales y ordenanzas del estado mayor dt una batería de artillería, marchó sobre igualada, y tampoco Ja d…</t>
  </si>
  <si>
    <t>Tromelin</t>
  </si>
  <si>
    <t>…al supremo, defensa del Dos batallones del 6o.0 de línea, que acababan de llegar al señor Escriba á favor drl arrendador de la pesca, conclusión dél campo de batalla, los formó el general Tromelin en columna» sr ñor abogado general Fritó de Fenny ; en fin, sentencia: dél cerradas, é hizo atacar por sus dos flancos la posición ocupada tribunal supremo quéáiiu a.la del superior. Ya tenemos á nues por el enemigo. tro nadador precisado a pagar por su barbo…</t>
  </si>
  <si>
    <t>Tromeüh</t>
  </si>
  <si>
    <t>…ra pe avanzadas enemigas en San-Genis, delante de la.famosa posición riódica. de Jorba. ; ' % ' __Un parte telegráfico ahuncia que la'fragata Cíteles, que con „ Al primer aviso ei general Tromeüh fue en persona con duce á Lisboa al Sr. barort Hyde. de Nauville, embajador de el regimiento 16.°, el 6 a de cazadores y'dos piezas de artillería S. M., ha Salido el 31 de Julio último y que el mismo dú die i reconocer positivamente la situación del enemigo,…</t>
  </si>
  <si>
    <t>Troncoso, Josef María</t>
  </si>
  <si>
    <t>Josef María Troncoso</t>
  </si>
  <si>
    <t>…n al corone! D. Joaquin Már sus carros de municiones. quez y Donallo , al teniente del batallón de milicia act'va de Ma 3.0 El capitán D. Vicente Rogado, ayudante segundo del drid D. Josef María Troncoso. El segundo ayudante general gef« E. M. , queda destinado al de este ejército. interino del E. M. Bruno Gómez, q.° Se reconocerá por ayudante del comandante general de artillería de este ejército al comandante de infantería y capitán de Sevilla 6 de Mayo. de…</t>
  </si>
  <si>
    <t>Trótam</t>
  </si>
  <si>
    <t>…n oído con agrado , y que se inser: 3»sn en el ner las de voluntarios de Padilla, !a facción de Mirailes evacuó a Co- diario. pons, retirándose á Vcci«»a, donde se reunió á la del cura Trótam, y La comisión de Poderes, en vista del expediente remitido por ¡a andan vagando sin dirección 5¡a. La fuerza total se regula de reo á tíoo diputación permanente , relativo al fallecimiento del Sr. diputado por hembras , muertos de hambre, y entran cu los pue…</t>
  </si>
  <si>
    <t>Truj.llo</t>
  </si>
  <si>
    <t>…forma De la Al . N. V. de k ciudad de Almagro y de la sociedad patriótica que se manifieste, y cualquiera que sea el objeto que se proponga. Llaman de k misma, presentadas por el Sr. Truj.llo. inconsiderada y c rnninal ia insurrección de ia Grecia , clv la ‘Grecia, que Del resguardo militar de la provincia de Barcelona, presentada por el profesa como ellos- la misma religión.... ¡Qué congregación de santos! Por Sr. Canga. íin declaran qne ¡a insur…</t>
  </si>
  <si>
    <t>Trujillo</t>
  </si>
  <si>
    <t>…a milicia activa de *¡. Clemente Posteriormente se acaba de sabir que ¡os genízaros y el pue sobre lo mismo. blo ..después de haber pedido che nuevo 1a muerte de Halel--ft';ndi El Sr. Trujillo leyó otra de los catedráticos de la escuela especial (á quien «1 Sullari h;zo pasar al Alia luego que empezó la insurrección) de la ciencia de curar de esta corte sobre lo mismo. *e han dirigido en tropel a1- palacio del favorito desgraciado; han der Se leyó…</t>
  </si>
  <si>
    <t>…o de llevarla i efecto. Citó los srti. 347 y gimiento de Guardias constitucionales residentes en esta corte. 353 de la Constitución, deduciendo de ellos que no pudiéndose hacer El Sr. Trujillo dijo que presentaba con particular satisfacción los ningún pago por la tesorería general sino en virtud de decreto de las votos de 400 jóvenes a'umnos de la escuela especial déla ciencia da Coi tes, era precisoque estas lodiesen en el caso presente para el cu…</t>
  </si>
  <si>
    <t>…on la protección de las lanchas, decían: vamos a ellos cano el posiciones. dia ib. Las lanchas, á pesar de no estar muy llena Ja marea, Se leyó por segunda vez una proposición del Sr. Trujillo , re hicieron los mayores esfuerzos para colocarse en frente del moli lativa á que concluida esta guerra se licencie á la tercera parte del no , lo que verificaron sin hacer caso del fuego que hacia el ene ejército nacional, en atención á las pruebas de heroí…</t>
  </si>
  <si>
    <t>Trujillo, Juan María</t>
  </si>
  <si>
    <t>Juan María Trujillo</t>
  </si>
  <si>
    <t>…e la mesa este dictamen. no debia accedcrsc á esta solicitud. Aprobado. La misma comisión, en vista de la solicitud de D. Manuel La misma comisión, en vista de las exposiciones de D. Juan María Trujillo, en que pide se le pague una deuda que tiene con N. y D. Santiago Alvarez, ayudantes de la milicia activa de tra el Estado, era de opinión no debia accederse á esta solicitud Orense y Monterey, pidiendo ser comprendidos en el decreto por los apuros del Estado…</t>
  </si>
  <si>
    <t>Trujólo</t>
  </si>
  <si>
    <t>…ico, intendente y diputados de la junta supletoria del rida isla , consta de la fragata Seringapatam, ui» bergantín y un cúter. reemplazo de Ciudad-Real, presentada y leida por el Sr. Trujólo. El Gobierno de ios Estados-Un idos se propone tomar eficaces me Del seminario conciliar de Segorve , presentada por el Sr. Gil de didas para el exterminio de los piratas, de que tan graves daños se Orduíia. han estado siguiendo á su comercio y marina. De la…</t>
  </si>
  <si>
    <t>…exi o-eron con agrado,,y mandaron pasase al Gobierno, giese por base las aplicaciones tópicas ó la operación manual.” Al mismo se mando pasar el proyecto presentado por e! clu- Ei Sr. Trujólo hablo en contra de este dictamen; y Jos señe&lt;ji.lau.-i D. Manuel Campo sobre formación de un batallón con res Seoane y Pcdralvez en pío , y en seguida se suspendió esta ti «ubre de beneficencia militar. discusión. •La comisión de Legislación, en vista de una…</t>
  </si>
  <si>
    <t>Trujólo, Antonio</t>
  </si>
  <si>
    <t>Antonio Trujólo</t>
  </si>
  <si>
    <t>…que S. M. habia habilitado establecerá en Madrid ; su primera brigada , compuesta de los interinamente para Ja secretaría de Hacienda al oficial mayor de batallones de ¡nfanter'a D. Antonio Trujólo, y batallón del Ge ella D. Manuel Cortés y Aragón. neral , se acantonará también en Madrid , encargándose de su man Las Cortes oyeran con agrado lina exposición del alcalde do el brigadier D. Antonio Furriel. Quedan agregados provisio constitucional de la Car…</t>
  </si>
  <si>
    <t>Trujulo</t>
  </si>
  <si>
    <t>…minos que y media la M. N. de Madrid.__Función de caballos esta tarde á expresaba. las cuatro r. un cabo y 6 soldados de la Rema.=:Lr vclisa, Habiéndose opuesto á este dictamen el Sr. Trujulo, el señor presidente suspendió esta discusión. Se mandaron agregar a! acta dos votos, el primero del señor Nuñez (D. Toribio), contrario á la aprobación del dictamen acer Las noticias de Talavera de la Reina hasta el 36 del pasado ca de 110 admitir en Galicia…</t>
  </si>
  <si>
    <t>Tschudi, Ragetan de</t>
  </si>
  <si>
    <t>Ragetan de Tschudi</t>
  </si>
  <si>
    <t>…parar los españoles á los afri Hay en este negocio una particularidad que apenas podrá creerse, y canos, es efecto de lo mal que nos conocen y de que no saben sino super es que el barón Ragetan de Tschudi, cuya familia tenia en otro tiem ficialmente nuestra historia. Es cierto que la dilatada guerra con los sarra po dos regimientos suizos al servicio del Rey de Ñapóles, ha sido capaz de cenos prueba la constancia de los españoles, en la cual tuvo sin duda mu r…</t>
  </si>
  <si>
    <t>Tstuiiz</t>
  </si>
  <si>
    <t>…eto lar á una nu;ra contribución por las dificultades y retrasos que traerla la extinción de la deuda pública ; pero de ningún modo contrario a ia «a cobranza. Cousi 1 iuc.Oíí. El Sr. Tstuiiz: He tomada la palabra sobre este asunto solo para El otro medio que propone ¡a comisión es que el Gobierno pueda man Citar el fatal resultado que tendían los pedidos del Gobierno si no tomar cantidades anticipadas á cuenta de las contribuciones; pero esto se…</t>
  </si>
  <si>
    <t>Tsturiz</t>
  </si>
  <si>
    <t>…abajos con sus luces y co A la de Diputaciones provinciales una solicitud de! ayuntamiento nocimientos. de Alczan (Logroño) , y otra d-.l de Pamplona , solicitando se íes conce Ei Sr. Tsturiz se opuso á este dictamen, fundándose en que siendo da permiso para enajenar algunas fincas ds sus propio» á fin de atender á la junta directiva una parte esencial del decreto de a 2 de Jumo , si esta objetos de común utilidad. junta quedaba disuelta, quedaría…</t>
  </si>
  <si>
    <t>…solicitaba D. Mariano Tiburcio de Castro, caiga una resolución terminante de las Corte» para ev.ur las du miliciano voluntario de esta ciudad. Aprobado. das que pueden ocurrir. El Sr. Tsturiz leyó el dictamen de la convsion de Hacienda Entrando en lo principal de la cuest.on d.r-e que solo cr. tres sobre el presupuesto de Estado. Se mandó imprimir puntos habla la Canst.tuciou dei modo de proceder en los La comisión de Visita del Crédito público ,…</t>
  </si>
  <si>
    <t>…s, pues ni en su concepto se necesitaba esta es ces, que era lo que el gobierno habia solicitado de las cortes. pecie de confirmación , ni era decoroso el que los decretos ó re El Sr. Tsturiz contestó, que ia comisión no pudo ni debió soluciones de las corles hubiesen de ser renovados para su ob hacer otra cosa que ampliar las facultades al gobierno para que usase de cuantos arbitrio» estuviesen i su alcance, y que puesto servancia.</t>
  </si>
  <si>
    <t>Ttavesedo, Francisco</t>
  </si>
  <si>
    <t>Francisco Ttavesedo</t>
  </si>
  <si>
    <t>…, dilata los entendimientos, llena de valor tido los Sres. D. Pedro Alvaro Delgado, D. Antonio Puigblanch y los corazones , inspira un amor sublime á la patria, hace fáciles todos D. Francisco Ttavesedo. los sacrificios; en una palabra , parece que da un nuevo ser á los mor tales , y los luce superiores i su misma naturaleza. ANUNCIOS. Esta milagrosa transformación se vió palpablemente en el pueblo A D. Alonso Guzman de Villoría, vecino de U cindad de Valen…</t>
  </si>
  <si>
    <t>Ttibas, Félix</t>
  </si>
  <si>
    <t>Félix Ttibas</t>
  </si>
  <si>
    <t>…on el límite ; pero en particular los oficiales de plana mayor, dios que se adoptaban para asegurar el éxito de la empresa. ( Se conti teniente D. JostT Anselmo Traverso y alférez D. Félix Ttibas , ei de nuará.') igual clase de caballería de) Infante D. Joaquín García , y el cabo de ANUNCIOS, mis ordenanzas Juan Lasala, los que recomiendo a V. E. Lo que co En la librería de Sanz se ballaiA de venta la música mas moderna munico á V. E. para que se sirv…</t>
  </si>
  <si>
    <t>Tu, Antonio</t>
  </si>
  <si>
    <t>Antonio Tu</t>
  </si>
  <si>
    <t>…esto de los Sres. siguientes: D. Joaquín Manrique y Manrique, __ El si..y ha tenido á bien resolver que desde luego se encargue del f?'/U,anT^1:l"uel de Arejula, D. Manuel Merino, D. Antonio Tu,g«s:,do mayor general de los egércitos el mariscal de campo D. Antonio bli*"cb' D-Marcos Antonio de Menczo, D. Cayetano Romero , Don Rcmon Zarco del Valle , á quien S. M. ha tenido á bien nombrar in- cárd-ws Trai'eSed° * D' LorCnzo Galv0 de Kozas V D' Gonzalo…</t>
  </si>
  <si>
    <t>Tucez</t>
  </si>
  <si>
    <t>…an de peste : en las efectos correspondientes. provincias de Bona V Pavano se disfrutaba también de perfecta salud— Consulado general de las Espafias en Hamburgo. —Traducción de ' D. Tucez con fecha 5 de Octubre avisan haberse descubierto una cons una publicación hecha p.-r la diputación del comeicio de Hamburgo.cz piración que d'.b-a estallar el gr , y á cuyo frente se hallaba el tesorero E! comercio, considerando Ies grandes perjuicios que re…</t>
  </si>
  <si>
    <t>Tumis</t>
  </si>
  <si>
    <t>…Constitución! ¡ Gloria y honor i los defensores de la pa dacia de hacer frente á las parejas de ia darechu de la gutrril'a que mandaba el capitán del segundo voluntario; de Aragón D. Tumis de tria, tropas y milicia naciooai de este segunuo distrito! «Comandancia gen-ral dei segundo d-strito militar _ Id Fiemo. Prado; esta y la del teniente dei mismo cuerpo D. Franc.sco Gomrz cargaron inmediatamente sobre ellos, y persiguiéndolos por mas de un S…</t>
  </si>
  <si>
    <t>Tunan, Francisco Fernandez</t>
  </si>
  <si>
    <t>Francisco Fernandez Tunan</t>
  </si>
  <si>
    <t>…Manuel Ramírez Atana. plazas de subalternos del propio tribunal i D. Juan Arguelles Toral seV c nte Bouch el. r: Ambrosio de Aceña. =Gaspar de Aguilera.” para la de archiva .0: á D. Francisco Fernandez Tunan para la de can ¿Que alma puede haber tan insensible á ios dulces afectos de la ge- ciller y registrador; y para una de portero de la misma audiencia á nrt j. ijd y de la bentficencia que no se enternezca al leer este rasgo D. Santos Carriles. incompatible de…</t>
  </si>
  <si>
    <t>Tuñon, Benito</t>
  </si>
  <si>
    <t>Benito Tuñon</t>
  </si>
  <si>
    <t>…de. debía accederse á ella. Aprobado. Zayas, á los tenientes D. Antonio Carballido y D. Agustin Mi La misma opinaba que debia declararse no haber lugar á de ró , y al subteniente D. Benito Tuñon , y por ayudante de órde- liberar sobre Ja solicitud del marques de la Torre, vecino de denes del E. M. de este ejército al subteniente D. Rafael Hu Murcia, relativa á que se determinase si estaba comprendida et* mara. la ley de vinculaciones una casa de camp…</t>
  </si>
  <si>
    <t>Turbia, Juan Antonio</t>
  </si>
  <si>
    <t>Juan Antonio Turbia</t>
  </si>
  <si>
    <t>…n con fecha 12 de Enero que Cochrana tados á Cortes y de diputados provinciales. Aprobado. iba á dar la vela para Rio-Janeiro para tomar el mando de las Otra sobre la solicitud de D. Juan Antonio Turbia, vecino escuadras del Brasil que le había ofrecido este gobierno. Aun de un pueblo de Vizcaya; opinaba no debía accederse á ella. que las propuestas que se le hicieron no eran muy ventajosas, sa Aprobado. continuó negociando, y se decidió todo. Otro sobre la…</t>
  </si>
  <si>
    <t>Turrrs</t>
  </si>
  <si>
    <t>…les que la abruman. Vizcaya y Gui maná , á pesar de su lej.nía dci ejército, ha hecho igual -nsurpúzcoa van peor cada dia; mas en cambio Cataluña y Aragón reccion el bien conocido capitán Turrrs, y campea ya hasta la van perfectamente,y las noticias de Valencia no son tan malas vista de aquella capital con mas de 500 hombres, .tespuis de como las del correo pasado. Lo que importa es que entren los haber ocupado á Rio-Caribes; siendo tal el cuidado qu…</t>
  </si>
  <si>
    <t>Tylcr</t>
  </si>
  <si>
    <t>…ga Arguelles , uno de los individuos de aque.ia resp.labre vidence Patriot” contesta en los términos siguientes: asamblea, se atrevió á llamar traidor á su compaña o ei Señor » Al capitán Tylcr, que trajo de Honduras el documento de Alava: pero á este no le sentó bien la chanza , e .nmediaiamenu que se trata, encargó á su consignatario darle en este país toda la se lo hizo entender al Sr. Canea arrimándole una Luíetaej que le publicidad que fuese po…</t>
  </si>
  <si>
    <t>Tz-iia, Manuel María</t>
  </si>
  <si>
    <t>Manuel María Tz-iia</t>
  </si>
  <si>
    <t>…ores, que el rior. Resultando vacante una plaza de taquígrafo de ja redacción del Gobierno se encuentra sin los fondos que decretaron las Cottes, y diario, y habiéndola solicitado D. Manuel María Tz-iia , la comisión sin facultades pan atender ¿ las grandes necesidades. Sensible y escan ha tenido á bien torrar los informes correspondientes , de los cuales daloso es que el primer tercio de contribución directa que venció «rq resu'ta idóneo para desempeñar est…</t>
  </si>
  <si>
    <t>U, Miguel</t>
  </si>
  <si>
    <t>Miguel U</t>
  </si>
  <si>
    <t>…de Besieres, habiéndosele anido en clase de volunta curso que lleven. Este registro tendrá un índ ce alfabético.” Aprobado. rios el bizarro teniente de guardias c::r..í¡tuc¡onaIe* D. Miguel U.quia Se aprobiron in seguida los siguientes artículos del anterior pro y el de igual clase de Lusitania D. Mariano López. yecto de Ja comisión. n Instruido dicho secretario de Ja dirección de los facciosos, caminó Art. sr. » Extenderán cuantas órdenes deban ex…</t>
  </si>
  <si>
    <t>Ü-Dcnell</t>
  </si>
  <si>
    <t>…: gracias á su general conde de Boutk y á su llegaron i la» inmediaciones de Zamora, se han unido á las tro tan digno como brillante ejército ,qué mas piadoso que los pre pas del conde Ü-Dcnell, capitán general de Castilla la Vieja, tendióos libertadores del género humano, ha sabido, en unión y han reconocido á ia Regencia de España. Este refuerzo de ca con el Sr. conde de Cartagena y los buenos militares de su ejér fo') iría podra servir de mucha u…</t>
  </si>
  <si>
    <t>Ua-deron, Antonio Gómez</t>
  </si>
  <si>
    <t>Antonio Gómez Ua-deron</t>
  </si>
  <si>
    <t>…a noche , designando para celebrar En seguida el Excmo. Sr. duque de Montemar, el limo. Se sus sesiones uno de los departamentos del Real Palacio de S. M., ñor obispo de Osma y el Sr. D. Antonio Gómez Ua-deron, y para que autorizase acto tan célebre como memorable nom-- puestos también de pie y con sus dos manos en el mismo libro braron por secretario al que lo es del Rey nuestro Señor con de los Santos Evangelios, pronunciaron tn voz bien perceptible egercicio de…</t>
  </si>
  <si>
    <t>Ualiano</t>
  </si>
  <si>
    <t>…r lo me tiene por con» emente la traslación. jor: las Corles pondrán á Y. JE en el camino real.'' Tomó de»pues la palabra el Sr. Indiano , v e.qu fíe eslefulni í;i proposición del Sr. Ualiano, y Llegó ya la crisis que debía estar j've'i-t.i Incc mu-</t>
  </si>
  <si>
    <t>Uay</t>
  </si>
  <si>
    <t>…da por S. M. para no ve y vo’vió a continuar hasta que regr so la moma , cuyo pirsidente el rificar la salida de esta corte hasta el dia :c, bajo la condición expresada ir. VaMés (D. Uay -laou) d jo 1 brñor , ¡a diputa.ion &lt;5- las Cortes ha por el Sr. secretario de ia Gobernación di la Península. pasado á verá . M err nombre de las mismas, y le ha manifestado Igualmente acordaion la&gt; Corles que volviese al momento i pa qu: estas quedaban en s…</t>
  </si>
  <si>
    <t>Ucer, Monck de</t>
  </si>
  <si>
    <t>Monck de Ucer</t>
  </si>
  <si>
    <t>…us dos flancos la posición ocupada tribunal supremo quéáiiu a.la del superior. Ya tenemos á nues por el enemigo. tro nadador precisado a pagar por su barbo todas las costas del El coronel Monck de Ucer marchó í Ja cabeza de un;» de proceso incoado y seguido muchos meses. estas columnas, y al frente de Ja otra el teniente coronel MagHitamos bien persuadidos de que los tribunales deben riguro nan. Estos esfuerzos fueron coronados con un éxito feliz. For samen…</t>
  </si>
  <si>
    <t>Üchoa, Nicolás Fernandez de</t>
  </si>
  <si>
    <t>Nicolás Fernandez de Üchoa</t>
  </si>
  <si>
    <t>…mariscales de campo á aquellos coroneles que por diz 10 de Agosto de 1823, =: Dionisio Valdés. = l’or sumansu adhesión decidida á Ja causa de la Patria, conocimientos, valor dato D. Nicolás Fernandez de Üchoa. y otras eminentes cualidades sean, acreedores á este ascenso, y que puedan con tal carácter obtener mandos y cargos en las piováli jVoto. En la gaceta de ayer, col. / *, lín. 31 , donde d ce cas v eiéieitys de operaciones, han aprobado lo siguiente: I.el.inr…</t>
  </si>
  <si>
    <t>Udi, Rita de</t>
  </si>
  <si>
    <t>Rita de Udi</t>
  </si>
  <si>
    <t>…n la ga do el correo que los conduc:a , se suplica á la persona en cuyo poder teceta ; en el concepto de qua pasado el término, y no presentándose el hallaren los entregue 3 dicha Doña Rita de Udi ó al referido D. San interesado , se llevará á su debida egecucion. tiago Salanueva, que vive,calle del Duque de Alba , núm. 27, cuaito Por traslación de D. Blas Damian de la Vega á la judicatura de 3/’, y se le dará una gratificación. primera instancia de Re…</t>
  </si>
  <si>
    <t>UenriqiieOdonell</t>
  </si>
  <si>
    <t>…ser te momento no pudo ni debió llamarse pueblo libre. Tal era víctima consagrada al triunfo de la iniquidad. • • el estado de violencia y de opresión en que ias agitaciones de __Don UenriqiieOdonell , conde del Abisval, general en gefe los partidos tenían á sus habitantes; mas ya desapareció cual del tercer egército de operaciones, comandante general del pri humo todo motivo de desunión. Sí, amigo mió, triunfó la vir mer distrito militar, y gefe político…</t>
  </si>
  <si>
    <t>Uentinck, William</t>
  </si>
  <si>
    <t>William Uentinck</t>
  </si>
  <si>
    <t>…uarnición y demás individuos militares que corriente, para una suscrieion nacional para auxiliar existan en ella. —Alose oto. al valeroso pueblo español. Presidirá el Sr. general, lord William Uentinck, comandante en jefe de las En el suplemento al Semanario patriótico de Yi- fuerzas británicas ea el Mediterráneo. Se dará psingo del jueves icj de junio se dicelo siguiente: cipio á las i2 en punto, y la comisión espera con No podemos menos de anunciar por su…</t>
  </si>
  <si>
    <t>Üeptien, Miguel Luis</t>
  </si>
  <si>
    <t>Miguel Luis Üeptien</t>
  </si>
  <si>
    <t>…declararon sediciosos: Villanueva y Rives. Francisco Javier Isturiz , diputado por la provincia de Cádiz; para vice Señores que declararon rio serlo: los restantes. presidente el Sr. D. Miguel Luis Üeptien, diputado por la de Catalu ANUNCIOS. ña , y para secretario elSri D. Mateo Seoane, que lo es por la de Valladoücí.” Habiéndosz suprimido la universidad de Alcalá, 3. M. se ha ser vido comisionar 3 D. Joaquín Lumbreras para que entienda entre otros Dirección g…</t>
  </si>
  <si>
    <t>Ugarte, Josef Dionisio de</t>
  </si>
  <si>
    <t>Josef Dionisio de Ugarte</t>
  </si>
  <si>
    <t>…pañola. El Congreso nacional lusitano no Mateu , D. Miguel Garda Ortíz, D. josef Pérez Torrova, puede ignorar esta importantísima verdad, y los portugueics co D. Jos'f de Resurta, D. Josef Dionisio de Ugarte, D. josef meterían el mas craso y mas funesto error en política, si sepa Pascual de Guillenea, D. Josef María Miranda, D. Salvador rando su causa de la de los españoles creyesen poder conservar su de Oria, D. Matías Olave, y D. Félix Josef Reinoso, para ca li…</t>
  </si>
  <si>
    <t>Uiman, Cirios</t>
  </si>
  <si>
    <t>Cirios Uiman</t>
  </si>
  <si>
    <t>…felicitaré siempre de las relaciones que mi misión me del reino promover á brigadier de los Reales ejercitas ai coro ha proporcionado con V. E., y le suplico me conserve algún nel D. Cirios Uiman; y nombrar gob.mador militar y políti lugar en su generosa ro :moria.=Firmado.=cDe Martignac. co del Puerto de Santa María al brigadier de los Reales ejér citos D. Juan Soto. La Regencia del reino. Continúan las exposiciones dirigidas á S. Á■ S. la Regencia d…</t>
  </si>
  <si>
    <t>Ulibarri, Segundo</t>
  </si>
  <si>
    <t>Segundo Ulibarri</t>
  </si>
  <si>
    <t>suerte después de haberla compldec'do y reprobado. Voi.otros podéis Jar á __El comandante de batallón D. Segundo Ulibarri salió de Calamocha la patria d.as de gozo, de calma y de orgullo nacional, borrando con la por disposición del brigadier D. Joscf de Torres con una columna de 300 sanare de los enemigos las señales de horror con que el fatalismo se ha infantes y 22 caballos e…</t>
  </si>
  <si>
    <t>…mo le dirigí desde Muniesa, pasé á ejecutar la hombres. quinta al pueblo de Huesa, apoyándome en la columna del te Escriben de Perpiñan que en Canet y en otro pueblo habían niente coronel D. Segundo Ulibarri, que se hallaba en Oliete y representado enérgicamente contra los facciosos que tenían alo ■Estercuel, pueblos dos leguas distantes de aquel , y en la compa jados , por los excesos que cometían , y que el Gobierno se ha ñía de cazadores del Infante D. Antonio…</t>
  </si>
  <si>
    <t>Üliver</t>
  </si>
  <si>
    <t>…las Cortes en favor de los extranzeros, y iá que ducta de aquellas autoridades que la han traspasado. pueden derogar en las circunstancias actuales. En cuanto á la obseivacion del Sr. Üliver, cree el Gobierno La Nácion española ha dado un asilo á los extranjeros, y los que hay un gran inconveniente en circunscribir esta facultad á so españoles no te Iiau encontrado en Francia, pues el gobierno Iránlo el Gobierno , pues no se debe perder de vista…</t>
  </si>
  <si>
    <t>Ulloa, Antonio María</t>
  </si>
  <si>
    <t>Antonio María Ulloa</t>
  </si>
  <si>
    <t>…or en la corte; y los tres médicos mayores y tres consultores sión deVisita.de tribunales. restantes se distribuiría en las capitales de los distritos militares a.J, Se concedió á D. Antonio María Ulloa, conde de Adanero, el per 5.0, 7.0, 8 9.0 y r 1, ó donde el Gobierno tenga por conveniente. miso que solicitaba para trasladarse á su patria al fin de restablecer su Art. 3.0 n Los ayudantes , primeros y segundos empleados en los salud. hospitales militares d…</t>
  </si>
  <si>
    <t>Ulman, Cirios</t>
  </si>
  <si>
    <t>Cirios Ulman</t>
  </si>
  <si>
    <t>…s leguas de Murcia, Nactes. &gt; estaba proyectado el infame asesinato del benemérito brigadier » Ei 26 de Agosto, á cosa de las tres de la tarde , el calor vi délos Reales ejércitos D. Cirios Ulman, gobernador militar y vo y súbito de la atmosfera señaló uña borrasca, qué s’í dirigta político dé Orihuela, y comisionado regio del reino de Murcia. del sud oeste sobre el pueblo de Boncourt ( cantón d’Anet ): Con noticias que tuvo el Sr. comisipnado. de.la…</t>
  </si>
  <si>
    <t>Ultramar, Secretario de</t>
  </si>
  <si>
    <t>Secretario de Ultramar</t>
  </si>
  <si>
    <t>…2.0 Se aplica al reintegro de este servicio la séptima la modificación propuesta. v parte de los bienes que el clero español debe entregar á la Na Se suspendió esta discusión. El Sr. Secretario de Ultramar concluyó la lectura de su me ción conforme á la bula de S. S. moria, la que se mandó pasar a'la comisión de Ultramar. Después de una larga discusión quedó aprobado en los tér Se mandó quedar sobre la mesa; el dictamen de la comisión minos siguientes: „Se apli…</t>
  </si>
  <si>
    <t>Un'o, Domingo</t>
  </si>
  <si>
    <t>Domingo Un'o</t>
  </si>
  <si>
    <t>…ientes. » Primer egérciio de operaciones,__Excmo. Sr.: El comandante de la 5.a división el coronel D. Manuel Gurisa,con fecha 14 del corrien Continúa el informe de la causa centra D. Domingo Un'o. te desde Camprodon, me dice lo que á la letra copio. A consecuencia Jorge Crespo fue condenado á muerte por el juez de prmera insde la orden de V. E. emprendí la maicha desde la villa de Ripolí á t-ncia , y ia audiencia le conmutó esta pena en ro anos de pre…</t>
  </si>
  <si>
    <t>Un, Ma</t>
  </si>
  <si>
    <t>Ma Un</t>
  </si>
  <si>
    <t>…n honor cuerpo de Artillería, benemérito de la Patria, todos tres nom y con gloria á la causa de la Religión y del Trono. brados y autorizados con plenos poderes al efecto p &gt;r el Sr. Ma Un cargo como este es muy importante á la España y á 1a. riscal de Campo D. Josef María Torrijos, Comandante general Europa, para que no se haya interesado nuestro deseo en averi del octavo distrito miliiar, y el Sr. Brigadier D. Vicente e,an guar su conducta po…</t>
  </si>
  <si>
    <t>Uñarte, Isidoro</t>
  </si>
  <si>
    <t>Isidoro Uñarte</t>
  </si>
  <si>
    <t>…Brest por haber publicado riscal de campo D. Joaquín Virues; los brigadieres marques de una proclama el 31 de Marzo de resultas de lo ocurrido en aque las Cuevas, D. Ramón Bernad, D. Isidoro Uñarte, D. josef lla ciudad. Su te—,r es como sigue: «Habitantes de Brest: La tar Taberné, D. Juan García Paredes , D. Joaquín de los Ríos. de de ayer se señaló con escenas lamentables. Varios ciudadanos D. Angel Díaz del Castdlo , y los coroneles D. Josef Saravia,…</t>
  </si>
  <si>
    <t>…de Alcarraz, para la Habana y Costa-firme el Teniente Coronel D.Isidro Ba con fecha de i.° del actual, me remite el extracto de una carta ñada, y el 26 para Canarias el Brigadier D. Isidoro Uñarte,</t>
  </si>
  <si>
    <t>Unta, Josef de</t>
  </si>
  <si>
    <t>Josef de Unta</t>
  </si>
  <si>
    <t>…íiñó para las y.de.J&amp;tzo de¡xBáo» . .• j. .... . conquistas sucesivas, Y porló' mi*p»oque coñcx%qué el sistema constitucional lo érá de una desÓrganiza.cipñ coinpktá^, se Valió ;• D. Josef de Unta &amp;c., Ministro de Real Hacienda' hteríni de él como mas i propósito para lograr, los; Enes quejse projoy de esta plaza. - ■ q" ; &lt;' aja!,. 7,porque,.no por otro medio pudó hacerse lugar entre hómbres de poca reflexión y sagacidad. Pero ño erá solb la cons . Ha…</t>
  </si>
  <si>
    <t>Urbina, Manuel</t>
  </si>
  <si>
    <t>Manuel Urbina</t>
  </si>
  <si>
    <t>…uerra tendrán, ar costas al referido D. Nicolás García D.-niá. rebataba , despintaba recuerdos vivos de los pu.-l» os iibiei de Grecia y Sres. que absolvieron el ref r do impreso: D. Manuel Urbina , Don Roma , y tíc-cia á no poderse dudar: I.a Nación esp anota en lar Joaquín Dacdtya, D. Joscí Linar- s , D, Policarpo Santistcbm Morale», grandes crisis se desarrolla de un modo fuera del alcance de todo cál D. Nicolás d= Avila., menor, D. Pedro jerez, D.…</t>
  </si>
  <si>
    <t>Urdininea</t>
  </si>
  <si>
    <t>…obernador: Anoche los del orden han avanzado á los Da también noticia de un auxilio que acababa de proporcio puestos de los Gramajos, y han saqueado todas las casas y viola nar al coronel Urdininea , al que deben seguir otros mas. Con do mugeres; han dejado a las gentes como para pedir limosna. sistía este en tres cargas de municiones de canon, dos piezas de Vacas lian robado 79 cabezas, y bueyes 2c; de modo que no artillería, dos gualderas , dos armone…</t>
  </si>
  <si>
    <t>Urefectos, Joaquín</t>
  </si>
  <si>
    <t>Joaquín Urefectos</t>
  </si>
  <si>
    <t>…uel de la Puente. mer batallón de la M. N. L. V. de la Hilvana han pue to á Lo que de Real orden traslado á V. para su inteligencia y disposición del Gobierno de S. M. por mano de D. Joaquín Urefectos convenientes. Dios guarde á V. muchos años. Cádiz 18 tetegui para los gastos de la presenta guerra , disponiendo al mis de Agosto de i823.=Maimel de la Puente. mo tiempo que en su Real nombre se den las gracias ,í tan be neméritos españoles por su generoso de…</t>
  </si>
  <si>
    <t>Ureta, Josef de</t>
  </si>
  <si>
    <t>Josef de Ureta</t>
  </si>
  <si>
    <t>…Mayo de 1823. = El gefe político superior, Juan prodigioso sobre Arnedillo, en donde se incorporaron con el Lasaña. resto de la división. El combate fue tenaz, y en él sufrieron __D. Josef de Ureta, comisario ordenador honorario, y efec los franceses una considerable pérdida, habiendo sido muerto tivo de guerra de los egéicitos nacionales, condecorado con va el coronel del regimiento francés titulado húsares del baje Rhin rias cruces de distinción, y ge…</t>
  </si>
  <si>
    <t>Urillas, Antonio</t>
  </si>
  <si>
    <t>Antonio Urillas</t>
  </si>
  <si>
    <t>…tillo de Tortosa; y espera en pocos días hacerse dueño dad D. Manuel Montesinos; al teniente de Rey D. Manuel de toda (a plaza. Esto ha sido de la mayor importancia pan Vidal, y á D. Antonio Urillas, gefe de batallón , comandante nuestras relaciones con Cataluña. de las tropas. » Cuartel general de Madrid 18 de Junio de i8ig.=:Por or » El dia 13 á las nueve de la mafiana el conde de Molitor, den de S. A. R.=E1 mayor general conde de GuíUeminot.'*1 EN LA…</t>
  </si>
  <si>
    <t>Urny, Josef Alaría</t>
  </si>
  <si>
    <t>Josef Alaría Urny</t>
  </si>
  <si>
    <t>…on con nue vinciales, habiendo recaido en los individuos D. D;eco Pizarro, vo ardor todos los puestos que el enemigo había vuelto á ocupar, D. Josef Domínguez , cura del Arrovibo, D. Josef Alaría Urny le rechazaron completamente. mas, los tres en clase de propietarios, y D. Josef Marcelino » Después de una hora de descanso emprendió el enemigo ha Geigel como suplente. Esta elección ha merecido también ¡a cer una salida con tres batallones socorridos por un…</t>
  </si>
  <si>
    <t>Urqui-, Pedio</t>
  </si>
  <si>
    <t>Pedio Urqui-</t>
  </si>
  <si>
    <t>…ero, Usoz y Mocy, oficial mayor de la misma, y el de Ja Gobernación sin perjuicio dejo acordado en. la sesión, en que se trata de este de Ultramar, en la misma dase de interino, á D. Pedio Urqui- asunto. .</t>
  </si>
  <si>
    <t>Urqui-, Pedro</t>
  </si>
  <si>
    <t>Pedro Urqui-</t>
  </si>
  <si>
    <t>…n bernación de Ultramar , que tenia á su cargo, he venido en habi suscrito: este tomo contiene muchos artículos del mayor Ínteres, litar para el despacho de los negocios de ella á D. Pedro Urqui- entre ellos se distinguen , como ton , fisiología, flegmasía, feto, naona, oficial mayor de la misma. Tendreislo entendido , y dis fístula, fibra, firnosis, fingidas (enfermedades) , física méd.ca, pondréis lo necesario á su cumplimiento. En el Alcázar de Sev…</t>
  </si>
  <si>
    <t>Urquinaona, Pedro</t>
  </si>
  <si>
    <t>Pedro Urquinaona</t>
  </si>
  <si>
    <t>…y el de la talets, inedia hora de Figueras en la carretera. El faccioso Eró Gobernación de Ultramar, en la misma clase de interino , ¿ les con sus gavillas hizo noche en Vilanan. D. Pedro Urquinaona, oficial mayor de la misma, en virtud Dia 2J, Eróles ocupó el pueblo de Aviñonet y sus posicio de haber concluido D. Josef Manuel Vadillo la lectura de la nes con unos 69 hombres, según dicen ellos mismos; mas por memoria concerniente á la secretaría del Desp…</t>
  </si>
  <si>
    <t>…ionar á las familias de los cera el Despacho del ministerio de Estado. (Ga.ei.i dei y.') fes y oficiales que estén en campaña, el alivio de percibir en ¡os Olro ídem habilitando á D. Pedro Urquinaona para el Despa pa¡a_ts en que residan la parte de haberes que estos Jes señalen. cho de la Gobernación de Ultramar. ( G.treta de id.') (V-‘ ta a.-i 2 de ia.) Decreto de las Cortes suprimiendo el juzgado especial de es- De cato tic S. M. admitiendo la renuncia…</t>
  </si>
  <si>
    <t>Urrutia, Tomas de</t>
  </si>
  <si>
    <t>Tomas de Urrutia</t>
  </si>
  <si>
    <t>…liquidaciones hechas á los individuos Viton, D. Francisco Colon, D. Josef Manuel Aranalde, Don que se presentan, á recogerlos con los resguardos correspondientes, Miguel Mayora y D. Tomas de Urrutia, .para que compongan aunque pertenezcan á sugetos que se hallan en pueblos ocupados interinamente la junta directiva del Crédito público, que estable por los enemigos, ó suspender la entrega hasta averiguar si aque ce el decreto de a 2 de Junio del año próxim…</t>
  </si>
  <si>
    <t>Usarralde, Joaquín de</t>
  </si>
  <si>
    <t>Joaquín de Usarralde</t>
  </si>
  <si>
    <t>…s.f Paul , D. Juan de Fuentes y D. Josef Miría Retostólo; ANUNCIOS. dspues de t.-nida la la conferencia de estilo, por unanimidad ha decla rado haber lugar día formación de causa. D. Joaquín de Usarralde, vecino de la villa de Tolosa , en la provin cia de S. Sebastian , remitió con fecha 17 de Diciembre de 1822 í VARIEDADES. D. Josef Pablo de Emparanza , de Madrid , dos inscripciones de la deu Extracto de las observaciones sobre la laza de! Vesuvio , hechas e…</t>
  </si>
  <si>
    <t>Usoz, Santiago</t>
  </si>
  <si>
    <t>Santiago Usoz</t>
  </si>
  <si>
    <t>…si ere cario el Sr. D. Vicente á Cádiz ni dado cuenta después de sus personas los oficiales de la Navarro Tejeiro, que lo es por la de Valencia. secretaría del Despacho de Estado D. Santiago Usoz, D. Maria no Carnerero, D. Andrés Villalba y D. Josef Parada, ha teni El Rey ha expedido los decretos siguientes: do á bien S. M. exonerarlos de sus respectivos empleos. Cádiz D. Fernando vti por la gracia de Dios y por la Constitución 30 de Junio de 1823. de…</t>
  </si>
  <si>
    <t>Usuera, Marcelo Fulgencio</t>
  </si>
  <si>
    <t>Marcelo Fulgencio Usuera</t>
  </si>
  <si>
    <t>…ue ellos conceden al siglo pre Los profesores que quieran optar á ellas acudirán por sí ó p»r sente , sirve para que los hombres conozcan mejor el fin ¿ que medio de procurador al secretario D. Marcelo Fulgencio Usuera, los quieren conducir con el título falso ds regeneradores, y los que vive en el arco de S. Gines, quien, les enterara de las demás aborrezcan y traten de exterminarlos. circunstancias. Mas estaba reservado á la España el ser el teatro de sus mas Calendario ó…</t>
  </si>
  <si>
    <t>Üuarez, Juan Antonio</t>
  </si>
  <si>
    <t>Juan Antonio Üuarez</t>
  </si>
  <si>
    <t>…de ia causa pú cuerpo , y da 95 del segundo batallón de Mallorca á las órdenes- del blica de la Nación. Por etlo, y porque faltan otras medidas coactivas intrépido capiun graduado D. Juan Antonio Üuarez, marchó formado para saber si «e cumple en toda su extensión el decreto de las Cortes de por m tades á paso redoblado , yendo yo á su cabeza á buscar al ena 27 de Junio de 1812 sobre el uso del papel sellado, se creen necesarios migo á los toques de diana y f…</t>
  </si>
  <si>
    <t>V'aldés</t>
  </si>
  <si>
    <t>…desde la ¡nvas.on los felicísimos vante , otras dos han dado fondo á la boca de la Caleta, próxima madrileños. á Santi-Petri ha fondeado una goleta, y en la playa de Santa Que el general V'aldés no es hombre que preside diversiones María lo hizo igualmente un quechemariu que largó gallardete, de iteres, ni que atropella el pueblo á culatazos, sino que se sin duda como en señal de traer correspondencia. 'i apa en cosas mas senas; como podrán atestigua…</t>
  </si>
  <si>
    <t>V'cente, Antonio</t>
  </si>
  <si>
    <t>Antonio V'cente</t>
  </si>
  <si>
    <t>…enttrado muy profunda de dcc. Cuartel general de la Calzada de las Necesidad?, ;i 28 de mente su corazón , y que usaría de su autoridad como padre y Mayo de 18:3. = limo, v Excmo. Sr. Antonio V'cente de romo Rey para atraerlo ¡i su deber.” Caivalho y Sousa. Bernardo Correa de Castro Sepe ¡veda.» Las Cortes resolvieron que se insertare en el acta que las Cor- Se leyó en seguida un parte (rA-jir ■'* p.t, rt ¡ x y . tw hablan oido con particular satisfacción…</t>
  </si>
  <si>
    <t>V, D</t>
  </si>
  <si>
    <t>D V</t>
  </si>
  <si>
    <t>…que no tienen valer vara proporcionarse por D. Mateo Ramirez, los Sres. oficiales de E. M. tenientes coro medio de una aplicación constante....... neles D. Andrés Garda Camba, nii secretario D V.cente Ga- Para juzgar del carácter moral de itv. «aii~*..-r» americanos es nn, D. Antonro García , cap tan D. Ramón Gascón y teniente preciso considerar ios principios de su conducta. Se !&lt;s cree pro D- Mariano Herreros; y m.s ayudantes de campo coronel Don pe…</t>
  </si>
  <si>
    <t>V, J. de</t>
  </si>
  <si>
    <t>J. de V</t>
  </si>
  <si>
    <t>…erca de dichas por el Sr. Martini, arzobispo de Florencia, en su iglesia S. M. Cma. no mirará con indiferencia el que se denigre tan im metropolitana f traducidas del italiano por D. J. de V.: un pudentemente ai Gobierno español, y que reclamará ante los tomo en 4.“ en pasta á 18 «.—Explicación del Sto. sacramento tribunales contra un abuso tan escandalosa de la libertad de de la Eucaristía como sacrificio, con los misterios, ritos y cere imprenta…</t>
  </si>
  <si>
    <t>Va</t>
  </si>
  <si>
    <t>…e le N clon, cupo en la suerte del primer extracto de la ■ 00 de Segovia, D. Manuel Fernandez Tinoco , de 8594 mrs—Otro, de este dia á Mana Magdalena Mayar Clua, hija det patriota D. Va millones de Galicia, Doña Luisa Duran y Romero , de 53,134 mrs— lentín , muerto en el campo del honor. Otro, cuarto medio por too, de Cuellar , dicha priora y religiosas, de 74,013 mrs—Otro , a'cabalas de Sahagun, dicha priora y religioANUNCIOS. sis, de 5id m…</t>
  </si>
  <si>
    <t>…. López El Gobi -no h.1 recibido los partes siguientes. Baños. El Gobierno ha recioido del Sr. comandante general del primer Se mandó pasar á la comisión de Marina una adición del Sr. Va distrito el siguiente parte : reta al art. s.° del dictamen sobre tripulaciones de buques. n Excmo Sr.: Anoche tuve aviso en Guadalajara por las patrullas El Sr. presidente anunció que mañana se haría la elección de visita de la gran guardia del camino de Tor…</t>
  </si>
  <si>
    <t>…ados de luiH el 28 de D ciembie, y varios bo &lt;t nes y proc amas de Costafirnie, Francia, Austria, Rusia y Prusia, y manifiestan que los individuos de 'lu • .e ir io publicando. El general Va. Ana habia proclamado un go este cuerpo que en el año de i8ta contribuyeron con sus esfuerzos í bierno rcpubl cano en diferentes puntos de Nueva España. •ostrarz h independencia de la Nación , los renovarán,si necesario fue H ernus recib do periódicos de .ata…</t>
  </si>
  <si>
    <t>…paña, serian las mas pesadas que han oprimido jamas á Arunjuez, en la que manifestaba no poderse poner en cam no pueblo alguno: y que lejos de hallar moderación en nuestros el Sr. diputado Va puerta por hallarse enfermo en aquel sitio. vencedores, sólo hallaríamos tiranía, arrogancia, violencias, ra Las Cortes quedaron enterada».</t>
  </si>
  <si>
    <t>Va'.d-is</t>
  </si>
  <si>
    <t>…ige y en su regreso. emplearlos el Gobierno en los Pirineos o en Francia. Según la actaraoon Por ultime , el ie.cer caso es cuando el individuo que acompañe alGob.cr- hecha por el Sr. Va'.d-is, no se entiende asi. Después de pasudo un mes en jno quiera seguir en servicio activa, A este tampoco se le perjudica, por aquel punto , quedan los milicianos en libertad de volver a cominear del cuanto se le alx&gt; na un año de estudios per cada año de servici…</t>
  </si>
  <si>
    <t>Va'c, Baltasar</t>
  </si>
  <si>
    <t>Baltasar Va'c</t>
  </si>
  <si>
    <t>…uridad de ia noche y abogo del pueblo. En la ciudad de Cádiz et cr mandante del batallón ligero ds S. Mar &gt;, A :r.i il.gad» ;i la plaza se me presentaron varios mdividuot del cial D. Baltasar Va'c;rce denunció en 15 del pasado el periódico lísyuntamiento y algunos otros vecinos , ios que con la mayor pronti tu’ado el Azirale núm. i&lt;5 en los folios 10 y jiS, acusándolo d: in tud proporcionaron a la tropa un refresco de pan y vino. Por mi parto jurioso,…</t>
  </si>
  <si>
    <t>Va, Antonio</t>
  </si>
  <si>
    <t>Antonio Va</t>
  </si>
  <si>
    <t>…a que proponga recursos con que defender la Capuchinos : P. Manuel de la Non. =P. josef de Barcelona. patria. Si no lo hace, ó muestra dificultades que entorpezcan el Presb.teros: D. Antonio Va!parda. — I). Lorenzo No vellos ndo~Ur Ies s de salvación , las Cortos tu-nen i:&gt; pu'-r- Can&lt; meo de Sta. Ana: D. Antonio Ibcrn. — Párroco de lC:bes ta para exigirle la responsabilidad. Este pues es el único medio, D. Josef Mescíans. aunque no soy amigo de ame…</t>
  </si>
  <si>
    <t>Vá, Domingo Ortiz de</t>
  </si>
  <si>
    <t>Domingo Ortiz de Vá</t>
  </si>
  <si>
    <t>…hasta serto en el Diario Gaditano, núm. 74 6, de 11 del mismo mes; f el 15 de Febreio, los de Genova hasta el 4 del corriente &amp;c. Apenas reunido el jurado , compuesto de los Sres. D. Domingo Ortiz de Vá te encuentra m ellos cosa aiguna que interese , pues aquilio» países no llate , D. Juan Bautista Vea Muren a , D. Lope Manuel de Luen ofrec-n mas que apatía e indiferencia , abatimiento y yugo. gas , D. Miguel del Pino y I.opez, D. Juan José; del Cabillo, D.…</t>
  </si>
  <si>
    <t>Va, Gerónimo</t>
  </si>
  <si>
    <t>Gerónimo Va</t>
  </si>
  <si>
    <t>…r.terac al Excmo. stñor lir.y ¡i,, r ico. Por gaceta extraordinaria se han publicado los documentos N.ím. 37. Excmo. Sr.: Por ¡os adjuntos oficios núms. 8 y 10 siguientes: del Sr. brigadier D. Gerónimo Va des, vuá V. E. ti movi EL Excmo. Sr. virey acaba de recibir del Sr. general en ge- miento que hacen los enemigos sobre .Moqutgua; y por r i parte fe D. Jostf Canterac el paite siguiente: del Sr. coronel de Gerona D. llayaano Amelar se alterará Excmo. Sr.: Ei…</t>
  </si>
  <si>
    <t>Va, Ma</t>
  </si>
  <si>
    <t>Ma Va</t>
  </si>
  <si>
    <t>…e , D. Juan Bautista Vea Muren a , D. Lope Manuel de Luen ofrec-n mas que apatía e indiferencia , abatimiento y yugo. gas , D. Miguel del Pino y I.opez, D. Juan José; del Cabillo, D. Ma Va se sabia la llegada del ministro m&lt;les A Confuí.(inopia , y se tías Olave , D. Clemente Zulueta , D. Prudencio Hernández Santa conc-bian esperanzas de piz, teniendo.as también los griegos de que la Cruz y D. Bernardo de la Peña Díaz , declaró por unanimidad k…</t>
  </si>
  <si>
    <t>Va, Manuel López de Salceda</t>
  </si>
  <si>
    <t>Manuel López de Salceda Va</t>
  </si>
  <si>
    <t>…los españoles. ¡ Qué agradecimiento I ¡Cuan peñado en esta renta se mudaron á los -millones del reino de Galicia, magnífico y propio de la generosidad de los ultrasl en cabeza de D. Manuel López de Salceda Va partid» de-pe^igd rtus. (8) Nosotros volveremos á establece esta conversación dentro de 1 Piezas científicas. ,. políticas, económicas , comerdHléi' y artística» algún tiempo, y enire tanto trataremos de buscar nuevos documentos do .la academia de los amantes…</t>
  </si>
  <si>
    <t>Va, Ramón García</t>
  </si>
  <si>
    <t>Ramón García Va</t>
  </si>
  <si>
    <t>…5 de Agosto á Gador, carrera de servicios , los padecimientos por su lealtad al Ruy donde halló un parlamentario del brigadier Guenduleia, co nu stro Señor, y los conocimientos de D. Ramón García Va*- mandante de un destacamento'de las tropas de ILiego en el dis Hado!id, administrador general de la contribución general de la trito de Almería: las proposiciones de este oficial , que no habia provincia de Extremadura, ha venido en nombrarle director,ge- de…</t>
  </si>
  <si>
    <t>Va-, Diego Marta</t>
  </si>
  <si>
    <t>Diego Marta Va-</t>
  </si>
  <si>
    <t>…tema , cedió dó 1). Josef ds Ansa; para las de togados á D. Guillermo de Var cil y virtuoso á la persuasión de que nuestra sanca religión re gas, D. Juan Miguel Pa-z de la Cadena, D. Diego Marta Va- prueba ias venganzas, y de que seria ofender a! Rby en su mas ditlos, D. Joaquín Sistemes, D. Francisco Qucvedo y Bueno y. apreciable prerogativa el tomarse la justicia por su mino , y pri D. Josef Salvador López del Pan; para la de fiscal militar al var á S.…</t>
  </si>
  <si>
    <t>Va-, Leonardo</t>
  </si>
  <si>
    <t>Leonardo Va-</t>
  </si>
  <si>
    <t>…las diputaciones están en pectivos hogares; quedando para cubrir estos puntos, y seguir la movimiento para recoger desperdigados. persecución de los facciosos dispersos el espitan D. Leonardo Va-* Tal ha sido el resultado de la facción que acababa de formar lledor con ios 70 de S. Marcial y Jo*. -20 caballos del resguardo se, y que ha desaparecido en su mismo nacimiento por la activi militar. Dios guarde á V. S. muchos aros. Guipe á las doce de dad y…</t>
  </si>
  <si>
    <t>Va-gas</t>
  </si>
  <si>
    <t>…de una bricas que (2 Nación tenga destinadas para la elaboración de estol finca tan productiva como esta. efectos , como por las que se construyesen ó recibiesen de particular» El Sr. Va-gas dijo que ti la comisión s; hubiese limitado í propo para el egército. ner qu; se suspendieran ios rf etes d;l decreto de 29 de Junio sobre Art. 12. » Si alguno de los efectos que quedan mfncicnndos se repartimientos de terrenos baldío» y de propio» hasta que…</t>
  </si>
  <si>
    <t>Va.dés</t>
  </si>
  <si>
    <t>…Sr. Adan. á las que contestó el Sr. Infante, qu.dó aprobado el articulo , y lo* D I ayuntamiento constitucional y milicia nacional local de la vi- siguientes. D d; Laral , por el Sr. Va.dés D. Cayetano). Art. 6.° n Se procederá desde luego i la formación de este estado Di la milicia nacional local de ambas armas , juez de primera ins- mayor, y los oficiales que le pertenezcan ó hayan prrt-njc do, y qtrieiwcia, ayuntamiento constitucional , una porción de ci…</t>
  </si>
  <si>
    <t>Va.des</t>
  </si>
  <si>
    <t>…ucionales. total se proeedm a tercer escrutinio entre los Sres Valdo v Gon Desde el año de 1808 ha expendido la Inglaterra mas de cien zález Alonso, quedando por nitimo elegido el Sr. Va.des ( De ti millones de libras esterlinas para limpiar la España de franceses, Dionisio) por j8 votos de 90. y de algunos años a esta parte está suministrando caudales para ha Ed la votación para sexto individuo tuvo ei Sr. Valdes Píobilitar á los franceses á que…</t>
  </si>
  <si>
    <t>Vacaro, Antonio</t>
  </si>
  <si>
    <t>Antonio Vacaro</t>
  </si>
  <si>
    <t>…ante dirigirán los memoriales al secre ta, de 36, y bergantín Aquiles, de 20; cuyo mando en ge fe ha conferido tario de ayuntamiento constitucional de dicha villa. S. M. al contra-almirante D. Antonio Vacaro, que atbolará su insig Se han extraviado los privilegios originales de un juro sobre millo nia en el Asia, y el de la Arttura al capitán de fragata D. Francisco nes de Toledo de 737,500 rnrs., en cab-za de Doña An 1 María Espinóla Topete. Centurión , y en el…</t>
  </si>
  <si>
    <t>Vadilio, Jasef Manuel</t>
  </si>
  <si>
    <t>Jasef Manuel Vadilio</t>
  </si>
  <si>
    <t>…rio tal en que se perdieron sus predecesores. de la Gobernación de la Península, en que les participaba el « A esta ansia frenética de mandarlo y dominarlo todo, y nombramiento de D. Jasef Manuel Vadilio para desempeñar in á la escandalosa agresión que acaba de hacer el Gobierno fran terinamente la secretaría del Despacho de Estado hasta que leye cés pata conseguirlo, sirven de razón ó de disculpa unes cuan se su memoria como ministro de Ja Gobernación de Ult…</t>
  </si>
  <si>
    <t>Vadilio, Josef Manuel</t>
  </si>
  <si>
    <t>Josef Manuel Vadilio</t>
  </si>
  <si>
    <t>…idad nuestro Rey constitucional y su Real ha hecho de su destino el Sr. secretario de la Gobernación de Ul familia , y á cubierto de todo insulto en el alcázar sagrado é in tramar D. Josef Manuel Vadilio, había tenido á bien nombrar violable, que nuestros pechos sabrán siempre proporcionarle : re para desempeñarle á D. Manuel Muñoz, ayudante general del peler la fuerza con la fuerza esnuestro deber principal. estado mayor. No es solo nuestra libertad, la que…</t>
  </si>
  <si>
    <t>Vadillo, Joscf Manuel</t>
  </si>
  <si>
    <t>Joscf Manuel Vadillo</t>
  </si>
  <si>
    <t>…larcon, miliciano nacional de Madrid, y profe El Rey ha expedido los decretos siguientes: sor de matemáticas puras , que ha sustituido la cátedra de dichas ■&gt;■&gt; Habiendo concluido D. Joscf Manuel Vadillo la lectura de ciencias por espacio de cuatro años en la academia de Nobles ar la memoria relativa al ministerio de la Gobernación de Ultra tes, llamada de S. Fernando, en Madrid, establece su academia mar que tenia á su cargo, y cesado por lo mismo en el desp…</t>
  </si>
  <si>
    <t>Vadillo, Josef Manuel</t>
  </si>
  <si>
    <t>Josef Manuel Vadillo</t>
  </si>
  <si>
    <t>…o. Todo Jo que traslado yo á V. S. para dose vacante el destino de secretario del Despacho de Estado ha su satisfacción y de todos ios amantes de la libertad. bía nombrado S. M. á D. Josef Manuel Vadillo para desem «Dios guarde á V. S. muchos años. Alicante 17 de Abril peñarlo interinamente , y hasta tanto que lea su memoria como de i82 q.=:Cailos de la Cruz Pujalte.=Sr. gefe superior político secretario de la Gobernación de Ultramar. de la provincia de Murci…</t>
  </si>
  <si>
    <t>…do de la por la tarde de las tres á las seis, Real mano. = AD- Felipe Bcnicio Navarro.” ANUNCIOS. Los suscriptores á la traducción del Diccionario de ciencias » Habiendo concluido D. Josef Manuel Vadillo la lectura de médicas acudirán á recoger el lomo xv á la librería de Hidalgo y la memoria concerniente á la secretaría del Despacho de la Go compañía , y en las provincias á los puntos donde se hubieren bernación de Ultramar , que tenia á su cargo, he venido…</t>
  </si>
  <si>
    <t>…samparar estas gcfaturas subalternas se ne naona, oficial mayor de la misma, cj 1 tiritó efe haber .ce-ncln:— cesitan las mismas circunstancias que para las principales, debien do D. Josef Manuel Vadillo la lectu "S de la memoria concer do verificarse para su establecimiento, que instruido expediente niente á la secretaría del Despacho de 'a Gobernación de Uitra-rpor la respectiva diputación sobre su conveniencia 6 necesidad mar que tenia á su cargo, y cesado…</t>
  </si>
  <si>
    <t>…¿ les con sus gavillas hizo noche en Vilanan. D. Pedro Urquinaona, oficial mayor de la misma, en virtud Dia 2J, Eróles ocupó el pueblo de Aviñonet y sus posicio de haber concluido D. Josef Manuel Vadillo la lectura de la nes con unos 69 hombres, según dicen ellos mismos; mas por memoria concerniente á la secretaría del Despacho de la Go «tros datos consta no pasan de 3,500. bernación de Ultramar que tenia á su cargo, y cesado por lo Los franceses en el dia oc…</t>
  </si>
  <si>
    <t>Vahíos</t>
  </si>
  <si>
    <t>…palabras, no porque dudasen las Cor nación debía' Península en ci año próesimó iq.5o8,55o tes &lt;1.. su realidad riño para mayor solemnidad- y vs. q iris., á saber efectivamente el señor Vahíos vía diputación recti 1 Rara la secretaría dól despacho . i.Spr.n^o 4 ficaron las palabras de S. M. ron la espresion de que 3:-Para el gobierno político de las no saldría de Sevilla. ’ provincias....................... ... 6.$'j¡4.3Qó' 2t El Sr. Laliuno pidió…</t>
  </si>
  <si>
    <t>Vahíos, Cayetano</t>
  </si>
  <si>
    <t>Cayetano Vahíos</t>
  </si>
  <si>
    <t>…tico v militar de Cádiz, pudia remediarse esto, y por lo cual el Gobierno ha y general en guie de la Armada nacional al tenien bía encargado varias veces á las Diputaciones pro te general Don Cayetano Vahíos ; para iiop -etor ge vinciales su formación, la cual habla quedado para neral de artillería é ingenieros al teniente g- nerd'Q. lizarla en virtud di! las actuales circunstancias; no Miguel de Alava; y para segundo general el*-L ejerci quedando otro recurso en…</t>
  </si>
  <si>
    <t>Vaiaes</t>
  </si>
  <si>
    <t>…me á medio día estábamos en el Carmen , distante dos leguas y medía dí opongo al d.c! iti&gt;'-n de la comisión. I-a , donde se hadaba el general erem.go D. Domingo Tr-sun con ¡os El Sr. Vaiaes (L&gt;. v.iaye:ano ) : lie tomado la palabra pira deshacer b tallones núms. uno y lies del Perú , dos de : .h,le, pranad ros del una equivocación, &lt;;n que rn,; parece han incurrido Jos ir. s. preopinan Perú; y depeo^íss lamt'-.en de esta d.visión los lanceros' d…</t>
  </si>
  <si>
    <t>Vaid</t>
  </si>
  <si>
    <t>…, 3.0 de dragones manera que se hizo en la gaceta extraordinaria núm. 29, y sobre de la Union , granaderos de la Guard a y dragones de Arequ pa, ello escribe oficialmente el mismo Sr. Vaid s lo que sigue: .al mando del comandante D. Franc seo Soa: y i pesar de que »&gt; Excmo. Sr. r~€iuando escribí á V. E. confidencialmente forcé cuanto me fue posible la marcha , no pude iterar a Canilla el 20 de Enero desde los altos de Torata participndole el fe…</t>
  </si>
  <si>
    <t>Vaidés</t>
  </si>
  <si>
    <t>…sistema constitucional , que felizmente Del ayuntamiento de Olmedo, presentada y leída por el Sr. Seoane. nos rige, no acabe de mejorar las costumbres públicas, perfeccionando Ei Sr. Vaidés f D. Cayetano ) presentó á las Con... -na exposición la educación de ia clase indigente, facilitando la adquisición de la pro de', clu laJano D. Juan Gaya , del comercio de Alicante , en que pi piedad, asegurando su libre y pleno goza , y fomentando el amor a…</t>
  </si>
  <si>
    <t>…ntarios que quieran perder el carácter de taita, y can;, nes de las Cortes cuando salen de.sus provincias. biar cíe posición con tanta facilidad ; pao creo que serán muy pocos. El”Sr. Vaidés ( D. Cayetano) • En esta discusión se ha olvidado la Se ha dicho que es preciso que los voluntar os que fuesen á b^v.lla és parte esencial de ella; á saber, que á nadie se compromete i acompañar eL ten bajo la absoluta dependencia del Gobierno; pero tengase p…</t>
  </si>
  <si>
    <t>…osa , el artículo está bien claro, y muchas gún beneíic.o se hace á los mJ.voiuos de que se Tr-ta. objeciones que se han opuesto están desvanecidas cor, solo su lectura; tal es El Sr. Vaidés (IX Cayetano.): Por este articulo se permite al m Jicamo ¡a duda que lia ocurrido sobre lo que quiere decir el aóuno del tiempo de vo.ununo qu; le tocase la suerte d; soldado ante» de concluir el niazo campaña , pues todo el mundo sabe que el tiempo de campañ…</t>
  </si>
  <si>
    <t>…ste expediente debia volver al Gobierno para que sos solicite , acepte ó sirva algún mando ó empleo militar. lo resolviese con arreglo á la ley orgánica del ejército. Aprobado. El Sr. Vaidés (D. Cayetano} , después de haber expuesto la Art. 4.0 Los regidores perpetuos y los colegiales mayores situación á que se vería reducido el interesado cuando sucediese que pretendan los destinos que servían en los ayuntamientos per la muerte de su madre , que…</t>
  </si>
  <si>
    <t>Vaídés</t>
  </si>
  <si>
    <t>…en oue ha siempre que se atrevieron á acercarse, y despreciando altamente parecido conveniente establecerlas. á aquellos , que faltos de valor y de constancia, abandonaron con El Sr. Vaídés (D. Cayetano) expuso que le era indi infamia nuestras filas. Los militares todos no podrán menos de ferente lo público« secreto de la materia; pero que opinaba que conocer el mérito de estas marchas; y los conocedores del ter la junta no necesitaba semejante…</t>
  </si>
  <si>
    <t>…acia; pídesela humilde y fervorosamente, que no te celeros del Rey, y los ha puesto en una situación muy crítica. la negará ,yque tu Javier desde la mansión de lo* justos, adon El gobernador Vaidés dió un convite al duque de Guiehe, de por ¡a misericordia de Dios y de su Madre redentora nues * que asistió Riego, que ba escapado de Málaga después de ha tra confia pasar, te ayudará mas que lo pudiera, hacer en el ber asesinado, saqueado y atropellado ds m…</t>
  </si>
  <si>
    <t>…oncepto dé que de lo contrario, quedaban-rotas todas las negociaciones, volviendo las cosas al curso ordinario. - " REALES LOTERIAS. Igualmente pasó á la comisión la respuesta del Sr. Vaidés* En la extracción de la Real lotería primitiva celebrada en I» reducida 4 que habiendo dado parte al Gobierno, quien tuvo por tarde de este dia han salido tos números siguientes: oportuno convocar cortes extraordinarias , no le seria posible con *'4&gt; 9&gt; *7&gt; 9…</t>
  </si>
  <si>
    <t>Vaidés, Secretario</t>
  </si>
  <si>
    <t>Secretario Vaidés</t>
  </si>
  <si>
    <t>…s lo pidiesen , buscaría en las cortes extraordina medio de las mayores calamidades y desgracias.” rias el puerto de salvación para ta nave del E«tado. Una exposi Acto continuo el Sr. Secretario Vaidés £D. Dionisio.) leyó ción que mi Gobierno os presentará, de orden mia, patentizará la sesión de la diputación permanente de la noche del 5 del que la nave del Estado está á punto de naufragar no concur corriente, en la que estaba inserto el oficio dei Rey y ei…</t>
  </si>
  <si>
    <t>Vaier.t</t>
  </si>
  <si>
    <t>…a mayoría. Sin embargo, para .no su costa, y tl'BUs otros maciiii eX-celent-s p:iir;otJs , entre los cuñes sotros es todavía muy dudoso que dicha miyoria no adopte la pouiica está D. Vaier.t n Viuire, qu- fue el póns-m en prrsur sus c.e.co v.ipac ¡tica At Mr. de Vitlele. Es menester tener presente que hasta hay un h.r tes h jos para servir en la milicia volunta: a. £1 ayuntamiento et gran número de realistas que propenden á !a paz, y que el apoyo…</t>
  </si>
  <si>
    <t>Vaiiñani, Pablo</t>
  </si>
  <si>
    <t>Pablo Vaiiñani</t>
  </si>
  <si>
    <t>…sta secu.r.,n ios bat monas io , 26 y M. A. de Cuenca de guerra ordinario en la» casas y bajo la presidencia del coronel con los escuadrones de Alcántara V Almanta, formando la pu D. Pablo Vaiiñani, teniente de Rey inter.no de esta plaza, p. ntera brigada de la primera d.v.s.on. ra juzgar á Manuel Blanco , soldado del regimiento infantería de Cuando se incorporen ios zapadores y les cuadros de M. A. la Princesa , acusado de haber herido á dos del de inf…</t>
  </si>
  <si>
    <t>VaiJés, Francisco</t>
  </si>
  <si>
    <t>Francisco VaiJés</t>
  </si>
  <si>
    <t>…delicias de uno délos pal bidos, d.bian encontrar precisam nt; á Merino; y últimamente he ies mas amenos de la Andalucía. La traducción está escrita con dispu-sto que el t.niente coronel D. Francisco VaiJés con 140 infan una pureza y elegancia no muy común en los tiempos presentes , y ¡os tes y do caballos salga hoy mismo á atacar al Ro¡o de Valdcrasiy versos que se hallan esparcidos por toda la obra son del célebre y ma combinado asi e! p'an de ataque, aguardab…</t>
  </si>
  <si>
    <t>VailadoKd, Ramón</t>
  </si>
  <si>
    <t>Ramón VailadoKd</t>
  </si>
  <si>
    <t>…r que es oportuna la medida de renovar las Camaras Atendiendo á los méritos y servicios de D. Ramón Anto en su totalidad, y seguir haciendo otro tanto de siete en siete nio Pico y D. Ramón VailadoKd, ha venido S. M. en confir años. Lüs realistas franceses están divididos en este punto, porque marles eu sus empleos ds Directores generales dtíl Crédito público. unos ven en semejante medida un medio para dar alguna tranqui lidad á la Francia, que todos los…</t>
  </si>
  <si>
    <t>Val</t>
  </si>
  <si>
    <t>…ión liecha de ellos en el juzgado de prinsera iosguerra abierta el uno con el otro , que raro era el día que no hubiese tancia del Sr. D- Ramón de Argos y escribanía cárlularia de D. Val* muertes 6 heridas:.ni las autoridades políticas , ni las militares pudie domero Moraleda por D. Tontas de Velasco, como heredero de DoK* ron nunca evitarlas: ,tos archivos de las secretarías del Despacho son María Matea Ruiz , para que conforme i lo prevenid…</t>
  </si>
  <si>
    <t>…ponia ahora la co desempeño de este ramo es preciso estar enterados á fondo de las misión , curo dictamen aprobaba. operaciones del mismo. Todo el inundo sabe que en el antiguo El Sr. Val des (I). Cayetano) dijo que el reglamento de Cor sistema de Gobierno la lotería era la olla de los pobres, pues.no tes no era ninguna ley, sino un reglamento particular para las habia ministro que no tratase.de colocar en ella á sus amigos; de mismas Cortes:…</t>
  </si>
  <si>
    <t>…irle la Comandan la forma acostumbrada &amp;c. cia general de la provincia de Tuy. Por providencia del Sr. D. Mariano Rufino González, Alcalde de la Real Casa y Corte, y escribanía de D. Val■ Al p resentarse el Csnsejo uc Castilla á besar la mana á S. M, le domero Moraleda, se hace saber á todos los que se crean dirigió su Decano la siguiente arenga: con derecho á los bienes de D. Felipe Sierra Pambley , vecino que fue de esta corte, que su testa…</t>
  </si>
  <si>
    <t>Val, Clemente del</t>
  </si>
  <si>
    <t>Clemente del Val</t>
  </si>
  <si>
    <t>…a es independiente de he en la de Villanueva, Logroño en la de Brieva, Vitoria en la de cho? Si le queda todavía alguna duda, que haga un parangón en 3?arrio, Santander en casa de D. Clemente del Val* EN LA IMPRENTA REAL.</t>
  </si>
  <si>
    <t>Val, N.</t>
  </si>
  <si>
    <t>N. Val</t>
  </si>
  <si>
    <t>…antería ligera, paba; la misma posición hizo Granada para principiar su retira compuestos de los individuos que expresa pertenecientes á la ex da: el Príncipe de infantería con su comandante D. N. Val cár tinguida guardia Real de infantería. cel hizo retirar la columna que tenia al frente; pero cargada por Otro idem, Ídem, mandando dar una nueva forma á ios cuer fuerzas muy superiores que envolvia Jas posiciones siguió la reti pos de infantería del ejércit…</t>
  </si>
  <si>
    <t>Val-, Baltasar</t>
  </si>
  <si>
    <t>Baltasar Val-</t>
  </si>
  <si>
    <t>núm. 67; y «unido el jurado , compuesto de los Sres. D. Baltasar Val- brió algo de ella cuando temió que les cómplices la hubiesen declarado. carce, D. Gerónimo Maitnez Enrile, D. josef María de Ansa , Don ( Se continuará.') Martin Fernandez Elias, D. Segismundo Moret, D. Juan Bautista Al- Aviso de la imprenta nacional. vareda,…</t>
  </si>
  <si>
    <t>Val-, Francisco Juárez</t>
  </si>
  <si>
    <t>Francisco Juárez Val-</t>
  </si>
  <si>
    <t>…ntiene los Santos eoan. Dionisio PerezGü'rra, D. Francisco Vcrgara , D. Francisco ¿elios y los Hechos de los Afistoles, esta ya impreso, y puede García, D. Jaime Fabregucs Boisar, D. Francisco Juárez Val- servir como de maestra para los que gusten suscribirse al tomo dés, D. Santiago Fontaines , D. Josef Antonio Jiménez, Don 2.1, que se está imprimiendo, y contendrá lo restante del Nue Pedro Angel de Zt bala, Doña Rosa Joaquina y Dona Pascua vo Testamento, y a…</t>
  </si>
  <si>
    <t>Val-, Luis</t>
  </si>
  <si>
    <t>Luis Val-</t>
  </si>
  <si>
    <t>…frmas.) afectuosas atenciones de todos los Príncipes de la familia impe rial hácia este Monarca le han obligado á ceder sin dificultad « Señores de la Regencia de España é Indias: D. Luis Val- á las instancias que le han hecho En Viena ha corrido el ru dés y Verdugo, diputado interino del común de esta ciudad, mor de que se hacia una nueva distribución en las tropas aus con los exponentes vecinos leales á su Rey , adictos á la reli tríacas que se h…</t>
  </si>
  <si>
    <t>Valadia, Pablo</t>
  </si>
  <si>
    <t>Pablo Valadia</t>
  </si>
  <si>
    <t>…tiempo que consideraba suficiente para resolverse en un punto tan sencillo; yen fin se dispuso que uno de loí ANUNCIOS. mismos comisionados, acompañado del oficial de plana mayor D. Pablo Valadia, pasase en esta madrugada á avistarse con el cabecilla Capapé para En 13 de Junio de 1799 d¡ó D. Manuel Sixto Espinosa carta de pa hacerle entender mi resolución, y que solo durante este corto intervalo go en favor de los Cinco Gremios de Madrid por la cantid…</t>
  </si>
  <si>
    <t>Valcarce, Baltasar</t>
  </si>
  <si>
    <t>Baltasar Valcarce</t>
  </si>
  <si>
    <t>…l mando d*l capitán del batallón grado; y reunido ei jurado, compuesto de los señores D. Leonardo M. N. A. de Cuenca D. Juan Palacio, scsttnido por 30 caballos de Miguel Camerino, D. Baltasar Valcarce, D. Juan Francisco Vielot, Alcántara, mancados por su capitán. La izquierda, ccn La compañía de D. Antonio Puga, D. Pedro Ruiz de Lolzaga, D. Nicolás de Iraola cazadores y 20 caballos de los mismos cuerpos, ai cargo de D. Cirilo D. Josef Pascual ds Guillenca,…</t>
  </si>
  <si>
    <t>Valcarcel, Félix</t>
  </si>
  <si>
    <t>Félix Valcarcel</t>
  </si>
  <si>
    <t>…jo hombres que componían el asignada á la casa de beneficencia. batallón del Príncipe, mandados por su bizarro comandante Don • Las Cortes quedaron enteradas de un oficio del Sr. diputado Félix Valcarcel, rechazaban ya con el valor con que se habían D. Manuel Casildo González, en que las manifestaba hallarse conducido en toda la acción á una de las dos columnas gruesas que convaleciendo de la enfermedad que habia padecido , y que tan tenían la audacia de ir s…</t>
  </si>
  <si>
    <t>Valcarcel, Rafael</t>
  </si>
  <si>
    <t>Rafael Valcarcel</t>
  </si>
  <si>
    <t>…l Peguera.............. Capitán......................... Coronel, primer comandante......................... 24000 Primer teniente. . . S 1 cni’cnte coronel, primer comandante su- D. Rafael Valcarcel............ ............ipernumerario............................................................. 16000 D. Francisco Goñí.............. Alféreces...................... Capitanes supernumerarios.............................. 7200 D Andrés Romero Valdés. Tomas…</t>
  </si>
  <si>
    <t>ValcarcJ, Luis</t>
  </si>
  <si>
    <t>Luis ValcarcJ</t>
  </si>
  <si>
    <t>…o horas, y a fines del mismo paso pedientes de asignación de suertes á D. Pedro Pérez López , ca otro con igual priesa, por io cual se suponía que llevasen pliegos pitán retirado, D. Luis ValcarcJ , teniente ídem, D. Domin de la mayor importancia. Por el mismo tiempo habian sido lla go Romero, D. Felipe lta,D. Diego Martínez y D. Pedro mados á Petersburgo el gran duque. Constantino y los generales Antonio Valcarcel, todos retirados. de los ejércitos de…</t>
  </si>
  <si>
    <t>Valcareel, Vicente</t>
  </si>
  <si>
    <t>Vicente Valcareel</t>
  </si>
  <si>
    <t>…rimera división de este ejér Si.'hn Jd .Sia 59. cito, á D. Lorenzo Somera , capitán de ia M. N. A. de Madrid, Se abrió á las diez y medía , y se leyó el acta ele,la anterior, y al capitán D. Vicente Valcareel; y empleados á sus inmedia quedando aprobada. tas órdenes al coronel D. Andrés A rango, al subteniente D. Jo El Sr. Becerra manifestó , que según el acta un oficio del vi sef de Zayas á D. Antonio Masoni, teniente de la M. N. A. sitador ele la audiencia de Se…</t>
  </si>
  <si>
    <t>Vald.s, Gerónimo</t>
  </si>
  <si>
    <t>Gerónimo Vald.s</t>
  </si>
  <si>
    <t>…nocer la fuerza encanga s.tuadi en Locum creíble , y no les acompañan $0 hombres reunidos. ba,’y lo que debía practicar caso que lucra muy superior , : de El Sr. mariscal de campo D. Gerónimo Vald.s comunico al la Rinconoda á las cuatro Je la tarde del 13 del que r ge con .as Excmo. Sr. virey confidencialmente el brillante acontecimiento compañías t.a, 2.a y 4.a del bata.km de m mando y c neo mi de Toñita el 19 de Enero. S. E. tuvo á bien publicarlo de l…</t>
  </si>
  <si>
    <t>Valdcs</t>
  </si>
  <si>
    <t>…la representación nacional está obligada á guardar y ha ramente desenvuelta la idea de mi proposición. cer guardar la Constitución política de la Monarquía española; pero i ’jí El Sr. Valdcs (D. Cayetano): El Sr. Becerra quiere que se admita Cortes extraordinarias, cuando aprobáronla segunda parte de este juramento, á los milicianos donde se presenten; pero debe S. S. hacerse cargo que si no les fue posible señalar los medios con que los diputado…</t>
  </si>
  <si>
    <t>…Ja cia concedida er_ ¿1 á todos los que contribuyeron a la salvación mesa Jiajta la última hora. de aquella ciudad. Se procedió á la discusión en su totalidad del siguiente pro EL Sr. Valdcs (D. Cayetano) contestó que la comisión no yecto de la comisión.primera de Hacienda sobre las penas de cá podia separarse del encargó que las Cortes;le habían hecho. ■' , mara» • El Sr.-Grases se opuso á este artículo , manifestando que exis i.°' La inmediata…</t>
  </si>
  <si>
    <t>Valde</t>
  </si>
  <si>
    <t>…e la santa alianza lia puesto al cargo de los En la votación para séptimo individuo tuvo 34 votos el »cministros fanáticos ele Jas Tullerías. nor Sepilen, 29 el Sr. Llórente, ; el Sr. Valde» Busto», 3 el El paps'l austriaco no llalla compradores en Inglaterra , por Si. Seivato , 4 el Sr. Salva, : ei Sr Ierre: ¿ D. JoaqumN : el que es imposible que aquel Estado tenga crédito después que se Sr. Ovaíle, y uno respectivamente los Sve» Tomas . Ra e d…</t>
  </si>
  <si>
    <t>Valdéa</t>
  </si>
  <si>
    <t>…al pueblo y al ayuntamiento, mandó tocar las campanas, y i nombre de los Soberanos de Francia, Austria ,Prusia y Rusia decla en la ciudad de S. Fernando, presentada y leída por el Sr. Valdéa ró la cu-rra á Castilla; se brbieron sendos tragos; y el mismo Gorgo- ( D. Cayetano ). Del administrador de correos de Valencia y demas dependiente;, nio , después de haber apurado media cántara de Peralta .ofreció su me diación para con aquellos Soberanos á…</t>
  </si>
  <si>
    <t>Valdemoro, Felipe López</t>
  </si>
  <si>
    <t>Felipe López Valdemoro</t>
  </si>
  <si>
    <t>…r para la audiencia de Mallor se sin ellas. ca entre los Sres. D. Joaquín de Latorce, D. Josef Urrutia y Asía- El Sr. García del Barrio ha organizado una compañía de volunta tía y D. Felipe López Valdemoro, cuyos sugetos estaban propuestoi rios, los cuales han sido armados por el ayuntamiento. Los alumnos de por la comisión, quedando elegido ei Sr. Latorre por 60 votos de 9r. la universidad central han formado un batallón , cuyo mando han da La comisión de Haci…</t>
  </si>
  <si>
    <t>Valdemoros, Valentín Parres</t>
  </si>
  <si>
    <t>Valentín Parres Valdemoros</t>
  </si>
  <si>
    <t>…de la Barcena. := Sr. coman ió leguas de distancia, se volvió atras. El 26 y 27 debían volver dante general interino deí 8.° distrito militar. se las tropas portuguesas á su pais. Don Valentín Parres Valdemoros, capitán del batallón de la OrJtv J¿ la plaza del 8 al 9 de Mayo. milicia activa de Málaga, ha presentado un crédito de 3387 reales Gefe de día el coronel de la Reina D. Francisco Fernandez de haberes que ha dejado de percibir en el año 19, rogando al Golfín_…</t>
  </si>
  <si>
    <t>Valdepeñas</t>
  </si>
  <si>
    <t>…otencias cristianas, para aterrar al débil Gobierno de ConsTales son, Señor, los sentimientos del ayuntamiento y pueblo de tantinopla. Se asegura que esta palabra tendrá lugar. El lord Valdepeñas, que expresados sin frases ni sublimes teorías , tiene Stranqford debe pasar ademas á Czernowitz, para convenir en el honor de elevar á V. M. por medio de esta exposición, y la declaración definitiva de las potencias, y en las bases sobre las queda rogando á…</t>
  </si>
  <si>
    <t>Valdés</t>
  </si>
  <si>
    <t>…cae sobre los pueblos, y estos no se ha traba el Estado, y con los muchos acreedores que pesaban sobreé!. llan en disposición de sufrir muchos gravámenes , la justicia exige se El Sr. Valdés (D. Cayetano): Este artículo debe aprobarse , porque hagan cuantas reformas sean necesarias para irlos descargando dM peso no debe perderse de v.sta que los oficiales de la secretaría de Cortes no de las contribuciones; reforma que dcb.n sufrir los sueíd s d:…</t>
  </si>
  <si>
    <t>…e artículo , porque en ¿1 no se especifica desde qué época de que previene el art. v.° de este proyecto. berá obligar este’ decreto , 'lo cnal causara muchos perjuicios, pues , Él Sr. Valdés ( D. Cayetano )'• El proyecto en su totalidad no es muchos individuos en las provincias te casan de biiena fe sin tener no mas que una cons:, nencíz de Lo que las Coi tes acoidaron ia otra vez ticia de ios decretos sobre el reemplazo , mucho mas en las provin…</t>
  </si>
  <si>
    <t>…-u furibundo ultracismo, por su odio i las instituciones liberales, rece que no debe aprobarse este artículo. por su profunda aversión á todo Gobierno que no sra el absoluto,/ El Sr. Valdés ( D. Cayetano): La comisión en este punto no ha muy particularmente por los dicterios y por las calumnias que ha vomi tratado de formar un sistema ni ha podido hacer alteración ninguna en tado contra el Gobierno español y contra las Cortes. Este periódico lo…</t>
  </si>
  <si>
    <t>…les toca la suerte otra vez , se les abonará todo perjuicio, y por lo misino no debe aprobarse esté artículo. el tiempo que hubiesen servido, sea año y medio , dos años y medio El Sr. Valdés £D. Cayetano) : En este artículo no se altera de nin-</t>
  </si>
  <si>
    <t>…lo les perjudica y no debe daba un poder muy grande sobre eí egecutivo, poder que está fuera del círculo de sus atribuciones : ds consiguiente , desentrañando las fa aprobarse. El Sr. Valdés (D. Cayetano): El Sr. preopinante no se ha hecho cultades del supremo tribunal de Justicia, vemos que no le competen las que la comisión le quiere dar por este dictamen , que, como he di- cargó dr&lt; abono de tiempo que aquí se hace á los milicianos activos. Se…</t>
  </si>
  <si>
    <t>…ar defensores las que ahora tiene; pero yo puedo asegurar á tas Cortes que lo que el suyos. cieio quiere es que se le dé Jo necesario para su precisa subsistencia, y Ha sentado el Sr. Valdés (Buntos) que aqui se hacia un despojo ds que esta se les asegure como es regular. Por tanto mi cpinion es que Jo que pertenece al clero; prro ;dónde está el despojo! ¡consiste por debe aprobarse la proposición á que se refiere el dictamen. ventura este en que…</t>
  </si>
  <si>
    <t>…secr.'.ti del arreglo sobre gobierno económico-político de las provincias, infor rios dí ayuntamiento, ó los que hagan sus veces.” madas por ¡a comisión, y quedaron aprobadas. El Sr. Valdés (D. Cayetano): Por lo que se dice en este artículo re Continuó la discusión del proyecto de ordenanzas para el reemplazo sulta que se va á crear un ayuntamiento nuevo, puesto que se exige por del ejército. él hayan de concurrir á est s sesiones el cura párroc…</t>
  </si>
  <si>
    <t>…rían en España ; pero la vigilancia de los periódicos y la unanimidad de pasar A la comisión de Liquidación. los patriotas españoles inutilizaron por muebu tiempo este plan. El El Sr. Valdés (D. Cayetano) manifestó que sobre los artículos da partido de la guerra en Francia , irritado de tanta dilación , quería este dictamen podría haber alguna discusión ¡ pero que sobre la totali obrar con mas prontitud, y tanto mayor cuanto la revolución de los…</t>
  </si>
  <si>
    <t>…atención; y asi soy de parecer que deba de caballería” las siguientes «silo creen conveniente las diputaciones aprobarse el proyecto. provinciales según las circunstancias.” ' El Sr. Valdés (D. Cayetano): El proyecto que sobre este mismo Ei Sr. Rico manifestó que abundaba en los mismos principios que ol o desecharon las Cortes ponía por base que estas compañías habian el Sr. preopinante, y qu: debiaexpresarse en el artículo que se crea de &gt; - ~e…</t>
  </si>
  <si>
    <t>…ustituir á la palabra testimonio la d : certificado. Tampoco le halla en mozo ei dia 1/ de Enero del año. que el certificado comprenda los particulares que señale el ayuntamien El Sr. Valdés (D. Cayetano) Impugnó el artícuto, man Estando to , el síndico y la parte interesada; pero en lo que no puede conve que daría lujar á much3s dudas y d.spulas, siendo muy itnpfop o ade nir es en que te exijan derecho» por estos documentos, porque de cual mas e…</t>
  </si>
  <si>
    <t>…del mismo obj-to. NOTICIAS D B ESPAÑA. El Sr. Canga leyó otra d± los individuos que componen la conta duría general de distribución de la Hacienda nacional. Cádiz re Je Entro. El Sr. Valdés (D. Cayetano) leyó otra de los vocales de la unta Total Je los navios V Jemas enCtarnuionet ./»e han entrado en esta ba del almirantazgo ; y tas Cortes resolvieron sobre cada una de d ebas ex hía en t 'da el año pnívimo pasado Je rúa a. posiciones que las hab…</t>
  </si>
  <si>
    <t>…e constitucional diente méritos bastantes para exigirla, las Cortes tenían que fallar sobre de Piedrahita. lo principal del asunto del modo que proponía la comisión. Que no El Sr. secretario Valdés leyó otra del ayuntamiento constitucional, podía esto ser de otra manera por cuanto existían tres sentencias con cura párroco y milicia da ambas arma* je la villa de Alcorcon. formes en favor de los interesados, y las Cortes no podían anularlas Otra del admin…</t>
  </si>
  <si>
    <t>…cuatro. los principios pérfidos con que han sido alucinados, y los mismos re sortes con que la s-duccion los ha sacado del centro de sus familias Ñuta. En la sesión del 17 leyó el Sr. Valdés ( D. Dionisio) un» para hacer guerra contra las leyes de su pa's , contra si Rey, contra sus exposición de los oficiales y demas dependientes de la secretaría de la compatriotas y contra sus propios intereses. Gobernación de la Península, en la que felicitaba…</t>
  </si>
  <si>
    <t>…se sirva poner en noticia de S. M.=Dios guarde á V. E, Del departamento de marina de Cartagena , presentada por el muchos años. Garcinario 2 de Febrero de 1823. = Excmo. Sr. seEI Sr. Valdés (_ D. Cayet.no). conde del Abisbal.xsExtmo. Si. secretario de Estado y del Despache El Sr. presidente anunció que mañana se dhcatiria el dictamen de de la Guerra." la comisión de Visita del Crédito público sobre mi',.as de Almadén y el arreglo de la secretarí…</t>
  </si>
  <si>
    <t>…do en caja 22,700. El Gobierno no ha podido El Sr. Romero deshizo una equivocación que dijo haber padecido hacer que en las provincias ya citadas se haya llenado enteramente el el Sr. Valdés. cupo , porque el último medio qua podía emplearse para esto era el de Ei Sr. secrttario de la Guerra -, Según la base tomada por el señor los apremios militares , que no se han podido egecutar por hallarse la Romero debía constar el CaCredo en el día de 903…</t>
  </si>
  <si>
    <t>…tario , continuarla la discusión de lo* Después de haber hecho varias observaciones el Sr. Jaimes , á que asuntos pendientes , y levantó la sesión á las cinco y media. contestó el Sr. Valdés ( D. Cayetano), quedó aprobado el artículo 4.0 __El discurso de S. M. Luis xvm acaba de manifestarnos que el Ptevia una ligera discusión entre ios Sres. Bel da y Oliver, queda partido guerrero de los ultras ha conseguido el triunfo que tanto desea» ron aproba…</t>
  </si>
  <si>
    <t>…nto de Montevideo, en el supuesto de hallarse DeL cuerpo nacional de attillerta de marina del departamento de las dos cortes de Madrid y Lisboa en la mejor armonía.” Cádiz, por el Sr. Valdés (D. Cayetano). __£on fecha del 26 de Diciembre avisan de Nueva-Yorck haberse Del ayuntamiento constitucional , M. N. V., sociedad pitriótict¿ ■ probado en el senado un bilí relativo al exterminio de los piratas, y y varios ciudadanos de Tarifa, presentada y l…</t>
  </si>
  <si>
    <t>…cuatro compañías de la voluntaria de esta capital. Baja establecidos en la Constitución este artículo. -: este aspecto permanecimos én él expresado pueblo todó el día r» , coa El Sr. Valdés (D Cayetano): La comisión fia recibido un ataqué -fas-precauciones qué'son'propias cuando el enemigo se halla próximo; inesperado por haber propuesto en este artículo que el Gobierno oi y'después de haber-tenido dosf alarmas en el trascurso dé'la noche, f ga…</t>
  </si>
  <si>
    <t>…y peligrosas de unos pocos han encadenado i fa.enorme mayoría honra de la celebración Je esta ¡unta. da y pacífica. Respetad pues este país destrozado : estos restos de propie El Sr. Valdés ( D. Cayetano ), presidente de la Diputación per dades qué venís á conservar: estas vidas tatt'ap'reciables como desgraciamanente , pronunció el siguiente discurso: di *. Soldados , subordinación, disciplina, valor y constancia: ved aquí ” Señores diputados:…</t>
  </si>
  <si>
    <t>VaLdes</t>
  </si>
  <si>
    <t>…la orden de 23 de Junio de til 2 2. que lo harían; pero esto no puede ser. Por las razones que ha expuesto eí El Sr. Adan: Es tan sagrada la obligación que van á contraer las Cor Sr. VaLdes, y por las que yo he dado , creo que el dictamen pu;de apro te» con los milicianos voluntarios que sigan al Gobierno, que deben cuidar barse, admitiéndose sin embargo las ad.c.ones á que puede dar lugar. de no faltar en lo mas mínimo en el cumplimiento de ell…</t>
  </si>
  <si>
    <t>…ibanía dentro de cuatro meses y 20 dias, por tenido uno el Sr. Seoane. que se ha fijado el primer edicto; apercibidos que pasados sin haberlo he En la 28.a votación fue elegido el Sr. Valdés (D. Dionisio) por 80 cho, se declarará vacante , aplicará al Crédito público, á quien están agre votos, habiendo tenido uno el Sr. Somoza. gadas esta clase de fincas, y les parará el perjuicio que haya lugar. En la 29.a votación quedó elegido por 85 votos el…</t>
  </si>
  <si>
    <t>…ble número de Habiendo vuelto la diputación que había llevad» í S, M. la con mutuos , mas de t3 prisioneros , banderas , cajas de guerra , toda la testación de las Cortes, dijo el Sr. Valdés ( D. Cayetano), como pre artiü ría, s.mim.'nto , pertrechos y municiones de boca y guerra. Dis sidente de ella: » La diputación cumpliendo con su encargo ha hecho pérsense enhorabuena sin ser batidas, como el resultado sea siempre presente á S. M. que podría…</t>
  </si>
  <si>
    <t>…a especie de injusticia contra ciertos y de nales de Vigo, Salamanca , S. Roque y Ov:-do. terminados individuos. la comisión de Hacienda, habiendo tomado en consideración la so El Sr. Valdés (D.Cayetano) : Yo me conformo con la idea prin licitud de la superiora y hermanas hijas de caridad de S. Vicente de cipal del artículo; pero creo que no debe adoptarse en los términos en Paul de esta corte, solicitando la asignación de algún socorro para su q…</t>
  </si>
  <si>
    <t>…en las Cortes aprobar este tido á este por el de Gracia y Justicia , en el que decis que S. M. ha dictamen. bía llegado ayer ú las 8 de la noche al sitio de Aranjuez, sin haber El Sr. Valdés f D. Cayetano) manifestó que él no tendría incon sufrido la menor alteración en su importante salud. Las Cortes queda veniente en aprobar la propuesta del ayuntamiento de Barcelona para ron enteradas. que se formase aquella plaza pública ; pero que si lo tení…</t>
  </si>
  <si>
    <t>…dos después de las Según noticias fidedignas, que acabamos de recibir , ha sido 10 de la noche , lo verificarán en lo sucesivo los domingos á derrotado nuevamente en Aranda por el comandante Valdés el las 12 de la mañana, cerrándose para el efecto el recibo de la faccioso Bessieres, que continuaba sus Correrías por aquel país. No correspondicncia una hora antes. dudamos que los esfuerzos y la continua vigilancia de nuestras tropas, y su digno gefe el co…</t>
  </si>
  <si>
    <t>Valdes</t>
  </si>
  <si>
    <t>…a comisión de Poderes tn vista de los presentados por Don mandantes de las provincias para que fuesen reconocidas.Josef Mar a González, diputarlo electo por la provincia de Gra El Sr. Valdes (D. Cayetano ): Y’o creo que es necesario quenada , op:naba debían aprobarse. Aprobado. las partidas de guerrillas hagan el servicio público con la mayor La cornis ón de Diputaciones provinciales, en vista de la exregularidad pos.ble: creo indispensables los…</t>
  </si>
  <si>
    <t>…nveniente se leerá primero la El Sr. Ojero hizo algunas observaciones en contra de este ar memoria, á ia cual acompaña un legajo de documentos, y des tículo, á las que contesto el Sr. Valdes ( L&gt;. Cayetano) ; y en se pués se leerá la adición. guida se aprobó, añadiéndose después de ia palabra » circuns El Sr. presidente contestó que podía el Sr. secretario de Ha tancias y carecer de pasaportes. cienda leer su memoria. Art. 6.° Aprobado. En efecto…</t>
  </si>
  <si>
    <t>…ltad no se desvanece. Otro de los inconvenientes que ofrece general, y que la hablan los de todas las naciones. el dictamen es c! medio que en él se propone para conocer si los El Sr. Valdés ( D. Cayetano) : Fie tomado la palabra no pa pasados se pasan de buena ó mala fe; el medio se reduce á que ra oponerme á que haya una legión extrangera, porque como ha se forme una comisión de 3 individuos extrangeros que hagan dicho el Sr. Canga las circunst…</t>
  </si>
  <si>
    <t>…ente para formar bata odiosa la determinación que contiene , me parece al m.smo tiem llón. po que servirá de obstáculo ¡i las facultades de los comandantes Habiendo manifestado el Sr. Valdés (D. Cavetano) que se generales. Yo creo que en este punto debe estarse mas á los infor ria mas conveniente el decir que se procediese a L formación de mes del comandante general, por ser persona á quien mas que na segunda compaña cuando la primera tuviese dos…</t>
  </si>
  <si>
    <t>…, se aprobó. premiando la virtud y el mérito: siempre sereis voluntarios, 'y no Se leyó el art. s.° soldados: formaré de vosotros legiones de patriotas constitucio A propuesta del Sr. Valdés (D. Cayetano) le encabezó la nales , y vuestro haber por el tiempo que estéis sobre las armas comisión de este modo »los capitanes generales en gefe de los os será religiosamente pagado en los mismos términos que lo pre ejércitos de operaciones y de reserva &amp;…</t>
  </si>
  <si>
    <t>to para el examen de farmacia, opinaba que no era atendible es El Sr. Valdés (D. Cayetano) propuso se suprimiese en 0 ar ta solicitud. Aprobado. tículo ia palabra . é c to poique una persona puede estar defen La misma comisión opinaba debía pasar al Gobierno una ex diendo la causa de la Nación s.n i.aliarse en e-i ejercito. posición d…</t>
  </si>
  <si>
    <t>…s, positivo que en Vaiiadoiid se ha: establecido la chancillena. En loterías &amp;c. Aprobado. Vitoria no han tenido inconveniente en hacer público-que las La comisión á propuesta del Sr. Valdés (D. Cayetano) mo gentes de los pueblos abandonan sus hogares , y han dado un de dificó el art. 3.0 en estos términos: » Las diputaciones provincia creto llamando á los fugados. La- famosa proclama- de los nue les harán el repartimiento á Jos pueblos, y los ay…</t>
  </si>
  <si>
    <t>…ideas , y las Coi tes deben api ci sen ser forzadlos á desempeñarlos contra teda su voluntad; ni liar el artículo. tampoco pílcelo convenir en que se imponga una milita tan mez El Sr. Valdés (D. Cavetano ) : 1 le pedido !a palabra solo pa quina á un hombre que recaba sueldo del enemigo, pu.s no po ra exiliar explicación.s sobre el s.o’! dn del aírenlo; porque un drá decirse que ha sido obligado a servir un destino; y asi creo moheo o un catedráti…</t>
  </si>
  <si>
    <t>…ón sobre la exposición de Doña -Ana Requena, viuda del capitán de navio D. lilas Salcedo (véase ia sesión de SeilQfi íi'l '2 I. ayer); opinaba que por! i a aprobársela adición del Sr. Valdés, y Se leyó y quedó aprobada el acta del anterior. en su consecuencia decirse que por muerte de Doña Ana Reque El Sr. duque del Parque pidió la palabra y dijo: En la .se ra goce su hijo D. Tomas, por via de pensión durante su vida, sión del día tó aprobaron la…</t>
  </si>
  <si>
    <t>…as que como esta habría que conceder i.° Al efecto se le pasarán por los tribunales y jueces iossi se aprobase. avisos de las multas que impongan, según previene el art. to del El Sr. Valdés ( D. Cayetano ) contestó que aunque'erá cier decreto de 28 de Jumo de 1822, sin perjuicio de darse un du to existia la orden de S. Fernando , también lo era el que estaba plicado al intendente de la-provincia.’ determinada para ciertos casos, en los cuales no…</t>
  </si>
  <si>
    <t>…l género al extrangera y de la que haya salido de nuestros puertos eon-desli- reclamante. Aprobado. no al extrangero. Art. 18. Los buques y las bestias-de trasporte y los demas El Sr. Valdés (D. Cayetano) se opuso á la primera parte efectos del dueño y capitán ó arriero, y no otros bienes algunos, del art culo , porque en España , particularmente en Galicia , se se declaran responsables al pago de la multa. Aprobado. necesita de sal extrangera po…</t>
  </si>
  <si>
    <t>…é Ibiza, y la exposición del ayuntamiento consti cipales que ha tenido la comisión para proponer este dictamen. tucional de Ciudadeia, capital de Menorca , para que no se acce El Sr. Valdés (D. Cayetano): Conozco mucho la isla ds da á la petición del de Mahon. Igualmente habla examinado la Menorca, pues que me he visto allí bloqueado en la balda por consulta hecha al consejo de Estado, la cual produjo do, parece— Sos enemigos , y hallo tan neces…</t>
  </si>
  <si>
    <t>…efe político sub nunciar el crimen , y denunciado se hubiera seguido criminalmen alterno en e! puerto de Mahon. te ; por cuya razón creta que el dictamen de ia comisión era jus El Sr. Valdés (D. Dionisio) : Todos los S''es, diputados que tísimo , y que no podía menos de aprobarse. han usado de la palabra convienen en que en tiempo de calina Se declaro el asunto suficientemente discutido. no se necesita gefe político subalterno en las islas Balear…</t>
  </si>
  <si>
    <t>…on los Sres. Arguelles y Oliver. Se su encargo. Salió en efecto dicha diputación. declaró el punto suficientemente discutido, hubo lugar á votar Habiendo vuelto esta de palacio el Sr. Valdes ( D. Cayeta sobre la proposición , y quedó aprobada. no como presidente de ella dijo: Señor, la diputación de las Cor Igualmente se aprobó la siguiente proposición del mismo tes se ha presentado á S. M. Le ha hecho presente que las Cortes Sr. Galiano. «Pido á…</t>
  </si>
  <si>
    <t>…abilitase para formar Debiendo continuar la publicad--n de la Gaceta un í columna patriótica. So ae riló , á propuesta del Española en esta capital desde el i&lt;) d i corriente, se -señor Valdes (I*. DioiitJo) que pasase á la comisión suplica d los hábil,in'es de esta tiua-id y demos per de Guerra eon urgencia. sonas que hicieren heihn sitscri ion dia Gaceta qitc Quedé) aprobada otra proposición que presentó el se sirvan concurrir al puesto del Sol e…</t>
  </si>
  <si>
    <t>…s, continuaba tomando todas las providencias necesarias para la Suarez, Llórente y dos secretarios. conservación del orden y seguridad pública. Habiendo vuelto esta de Palácio, el Sr. Valdés (D. Caye Se leyó y halló conforme con lo aprobado la minuta de de tano ), como presidente de ella, dijo: Señor: La diputación de creto sobre el nombramiento de la Regencia, revisada por la co las cortes se ha presentado á S. M.: le ha hecho presente que misió…</t>
  </si>
  <si>
    <t>…ngrati de apuro en que' se hallaban los disidentes del Perú á consecuencia tud tan negra, desdijeran siempre de los hombres mas ínfimos de las victorias del general Canterac y del coronel Valdes , apuros cíe i.» plebe , cuanto mas de proceres de Ciis-iií. PLsx desdice que les obligaban á echar mano de aquellos rigurosos decretos, y igualmente y se hace tan increíble como absurdo que personas á valerse de todos los medios que les inspiraba la desesper…</t>
  </si>
  <si>
    <t>…eyeron las observaciones que se hadan sobre algu ba la conocida utilidad común que prescribía la Consunción. nos de los artículos de dicho decreto, y el Sr. presidente dijo que El Sr. Valdés (D. Dionisio) contestó que desde luego se las Cintos quedaban enteradas, y que se archivase. conocía la utilidad común que resultaba de quitar á los patronos Se Jetó por primera vez una proposición del Sr. Larrea, re los derechos personales y pecuniarios que…</t>
  </si>
  <si>
    <t>…en Sevilla tomaron la medida que se dice al ren presentar al malvado con toda la odiosidad de que es dignoacercarse Jas tropas francesas, y no habiendo otro medio, hicie Y el Sr. diputado Valdés añade haberse cortado la corresponden ron lo que dictaba la necesidad. Entregar á los franceses la per cia con Morillo, haberse declarado en contra de este por su infa sona del Rey y la Real familia, hubiese sido el mayor de los mia atroz la milicia nacional…</t>
  </si>
  <si>
    <t>…mpiezan á abrir los ojos sobre uno del total. Lo1- votos estaban divididos en esta forma; 2: el los peligros á que están expuestos nuestros intereses en la Ameri Sr. Cuadra; 26 el Sr. Valdes ( D. Dionisio); 18 el Sr. Gon ca del Sur, y á su consecuencia se ha mandado salir para el mar zález Alonso; 3 cada uno délos Sres. Ruiz de la Vega , Scptlcn, Pacifico un buque de línea, y se enviará muy en breve á la Ja Ovalle y Fcrrer ( D. J oaquin); ; cada…</t>
  </si>
  <si>
    <t>…és de haber observado todas las formali la libertad de la Nación. dades prescritas por la Constitución, han decretado lo siguiente: Fue conducido el extrangero á la habitación del Sr. Valdés Las audiencias de Ultramar que entiendan en los recursos de nuli en un coche que se habia dispuesto al intento, y le acompañaba dad que se intenten contra las sentencias de segunda ó tercera ins un gentío inmenso que se habia juntado de todas partes, y repetía ta…</t>
  </si>
  <si>
    <t>…dos de ellos v batallón y una de las mitades que mandaba el teniente D. Josef del convencimiento que para adquirir la seguridad es necesario María Sola: estos valientes, unidos al coronel Valdés sobre el ofrecer los esfuerzos individuales que formen el conjunto de los pueblo, atacaron A sus órdenes las alturas de retaguardia, posición que han de oponerse para afianzar aquella , concurrirán todos extraordinariamente fuerte que estaba defendida por mas…</t>
  </si>
  <si>
    <t>…dulce y tranquilidad inalterable en me do al efecto. dio de las mayores calamidades y desgracias. El Sr. presidente contestó quedar las Cortes enteradas de la Acto continuo el Sr. secretario Valdés (D. Dionisio) leyó exactitud con que la diputación había desempeñado su encargo, y la sesión de la Diputación permanente de la noche del g del cor previniendo que á las seis seria la apertura de las Curtes levantó» riente , en la que estaba inserto el oficio…</t>
  </si>
  <si>
    <t>…lgunas oraciones. ciaciones, volviendo las cosas al curso ordinario. Los j.tioc/C.is en Abisinia : misiones Je los católicos a asnel Igualmente pasó á la comisión la respuesta del Sr. Valdés, país. reducida á que habiendo dado parte al Gobierno, quien tuvo por Ei Habesch ó Abisinia, situado como á unas (Jo jornadas del oportuno convocar Cortes extraordinarias, no le seria posible Cairo, es im laberinto de valles y de colinas, recado de fuentes co…</t>
  </si>
  <si>
    <t>…estar conforme con algunos arts. del tít. 8.° necesaria en los casos de una defensa. de ¡a ordenanza militar ya publicada, singularmente con el 5.0, El Sr. Oliver , contestando al Sr. Valdes, dijo que en su dis tp , 32 y 4», pudiendo producir resultados opuestos á la patrió curso no se tocaba una soia razón que probase no deber admit rse tica idea que se propusieron las Córtes, y dar lugar á competen la proposición del Sr. Canga, pues serian opor…</t>
  </si>
  <si>
    <t>…rresponde, y que la pro tierro se quedaron en el Habesch , fueron castigados con el últi posición debe aprobarse. mo suplicio. Tres frailes franciscos que pasaron allá i princi El Sr. Valdés para aclarar un hecho expuso , que en el año de pios del siglo xvni tuvieron igual suerte. Los Abisinios toleran á 10 hubo una junta que se creó á sí misma, y que posterior mente los paganos, á los musulmanes y á los judíos; pero no uustan de hubo otra análog…</t>
  </si>
  <si>
    <t>…lterará Excmo. Sr.: Ei 19 á ias tres Je la tarde llegué á las inme V E. del bizarro comportania to de este d e 10 gefe , de tus co diaciones de Torcía á t empo que la división del brigadier Valdes nocimientos militares, y del valor y disciplina que d »t n u.n á se estaba batiendo con toda la fuerza enemiga, que fue arrollada sus oficiales y tropa, que en número de 400 hombres se La L ron ccn pérdida de mucha consideración, aunque se retiró en orden cor…</t>
  </si>
  <si>
    <t>…para tomar en flanco con sus fuegos al batallón de Gerona, como para apro algunas disposiciones , é Instruir pie personalmente de la situación vechar un momento oportuno: el mismo Sr. Valdés bajó con del enemigo, contra el que.desym-el amanecer- hallé que el briga dos compañías de Gerona mandadas por el 2,° comandante Don dier Valdés con su división tonta empeñada una viva acción, cu Domingo Echezánaga; el centro también lo efectuó por su yo por…</t>
  </si>
  <si>
    <t>…h el puerto de el Sr. brigadier D. Juan Antonio Monet. Llegados á Jejua y Ñipóles , y ha desembarcado después de.un viage feliz en Mono- inedia de iMoquegua me adelanté con el Sr. brigadier Valdés pa siglio , juntamente con la duquesa de Flor id ¡a, donde ha encon ra reconocer el enemigo: este ocupaba una posición extraordina trado S. M. la duquesa de Calabria y á toda la Real familia. El riamente fuerte; sil derecha en dirección de unas alturas escarp…</t>
  </si>
  <si>
    <t>…prisioneros y reunir los despojos tes hablillas, conocen hasta donde raya la perfidia de nuestros del enemigo. enemigos, y sin meterse en discusiones políticas se atienen única El brigadier Valdés siguió por el camino de la Rinconada mente á que el honor es antes que la vida, y que la suprema y con los batallones Gerona y centro, y los escuadrones tercero única ley para un soldado es defender á toda costa el puesto cu de dragones de la Union y el prime…</t>
  </si>
  <si>
    <t>Valdés, Cayetano</t>
  </si>
  <si>
    <t>Cayetano Valdés</t>
  </si>
  <si>
    <t>…e desorden que tantas veces adopten medidas enérgicas en las circunstancias actuales. ha ocasionado la desgracia de otros pueblo* , abriendo una ancha Se leyó un oficio del Hxcmo. Sr. D. Cayetano Valdés, pre puerta á la ambición, á la venganza y á las persecuciones. sidente de la Regencia provisional del reino , en que participa á El estado de civilización á que han llegado los hombres n* las Cortes haberse instalado aquella á las once de esta noche en permi…</t>
  </si>
  <si>
    <t>Valdes, Cayetano</t>
  </si>
  <si>
    <t>Cayetano Valdes</t>
  </si>
  <si>
    <t>…om trillo el Sr. comandante militar de la provincia go bre tina Regencia provisional, compuesta fiel Sr. di bernador de la plaza entregó las llaves de cuta ai Reí/ putado ;i notes D. Cayetano Valdes , presidente ; del y el Sr. D. Redro de La Puente, alea Lie constitucio Sr. D. Gabriel Ciscar, consejero tic listado; y del nal de Cádiz, dirigió á S. Ai la alocución siguiente: Sr. U. Gaspar Vigodet, también consejero de Esta ..Señor : El Ayuntamiento consti…</t>
  </si>
  <si>
    <t>…e se resolviese á salir de Sevilla con su Real que ia Regencia fuese compuesta de tres individuos; debiendo Familia, el Gobierno y las cortes. en su concepto nombrarse á los Sres. D. Cayetano Valdés, di Concluido el discurso del Sr. Galiano, se leyó una proposi putado á cortes, presidente; D. Gabriel de Ciscar, consejero de ción del mismo Sr. diputado , reducida á que se nombrase una Estado, y D. Gaspar de Vigodet, también consejero de Es diputación que…</t>
  </si>
  <si>
    <t>…compuesta de tres Salió la Regencia para palacio, acompañada déla indiv ¡dúos , debiendo en su concepto nombrarse á los diputación de las Cortes entre los infinitos viras y Sres. Don Cayetano Valdes, diputado á Curtes, pre aplausos lie los señores diputados y espectadores sidente ; D. Gabriel de Ciscar, consejero de Estado, Se matulo insertar en el acta el voto del Sr. Sán y D. Gaspar Vigodet , también consejero de Estado. chez , contrario ai nombramient…</t>
  </si>
  <si>
    <t>…arios públicos en la misma designados. Decreto de las Cortes declarando beneméritos de la patria en __A pesar del destrozo que sufrieron en Sevilla todos los efec grado eminente á D. Cayetano Valdés, D. Gabriel Ciscar y tos de la dirección general de Loterías cuando en ig de Junio íi&gt;. Gaspar de Vigodet, individuos de la Regencia provisional. último alzaron la cabeza en aquella ciudad el fanatismo, la estu (Guret , del 1 j. j pidez y la peí lidia, el Gob…</t>
  </si>
  <si>
    <t>…upersticiosos como sus se A la misma comisión se mando pasar el último parte pre ñores; pues toda su religión consiste en la observancia servil de sentado en ¡a sesión secreta por D. Cayetano Valdés, en que el las ceremonias que les han trasmitido sus antepasados por tradi conde de Bordesoult, comandante en gefe del cuerpo de tropas ción. Tienen una gran, veneración á un antiguo sícomoro de francesas en la linea , le maniiiesta que no habiendo sido satis…</t>
  </si>
  <si>
    <t>…que el ejérci deó á S. M. gritando viva e- J\ -r sin el aditamento de ton.'fitu- to frunces se apoderará de Cádiz al instante que lo intente, ó ciona!. Aiarinf se con esta noticia D. Cayetano Valdés, que se que el Gobierno de S. M. escuchará proposiciones que puedan hallaba presidiendo gravemente una diversión de títeres, y acu comprometa en lo nvis mínimo la segundad de la sagrada perso diendo enfurecido dispersó la gente á culatazos. No hubo mas na del…</t>
  </si>
  <si>
    <t>…s y holocaustos por la redención de su llorado Rey. oficiales que ios mandaban, por el Comandante general de mar ,,Reciba V. M. el parabién de su imperial ciudad, y dígne y tierra D. Cayetano Valdés;, y como este desapareció casi in se V. M. tender sus Reales brazos á 200 almas, que esperan mediatamente después, asi como su Mayor general D. Dionisio gozar de la augusta presencia de su Rey deseado dentro de su Capaz, me fueron devueltos los oficios que di…</t>
  </si>
  <si>
    <t>Valdés, D- Cayetano</t>
  </si>
  <si>
    <t>D- Cayetano Valdés</t>
  </si>
  <si>
    <t>…bre; y en Alemania no debe darla el Príncipe.” ncr en práctica para llegar á sus fines. Uno de wíes medies fus seducir á algunos polacos desnaturalizados i que desertaran de la El Sr. D- Cayetano Valdés, gefe superior político de esta causa de su patria y se hicieran una gloria de su propio crimen. EL plaza, ha publicado un bando en que después de hacer mención ejército moscovita entró como libertador , mas convirtióse pron de los artículos de las nuevas ord…</t>
  </si>
  <si>
    <t>Valdes, Dionisio</t>
  </si>
  <si>
    <t>Dionisio Valdes</t>
  </si>
  <si>
    <t>…embajador portugu.s ha r-'Cibido orden de salir de te : i.° Formarán el tribunal de Cortes en la sata priir. ra instancia Paris luego que los franceses entren en E-paúa. los Sres. D. Dionisio Valdes, diputado por la pioi'iio» ci- AD.i-id; » Ei 17 á la noche se recibió en I.óndirs el discurso de Chateau D. Joaquín García Dom;n:c!i, por ia de Váleme..1, D. l is:., s.j F.ns briand. Fn ia Cámara de tos Comunes d-l 18, Mr.Canning,interpelado Garoz, por la de…</t>
  </si>
  <si>
    <t>Valdés, Dionisio</t>
  </si>
  <si>
    <t>Dionisio Valdés</t>
  </si>
  <si>
    <t>…do el mundo civilizado no hallará una patriótico en la gaceta y periódicos. persona que apoye sus asertos, si se exceptúan aquellas de que ar TRIBUNAL DE CORTES. riba lie hablado. Don Dionisio Valdés, diputado á Cortes por la provincia de Ruego á V. E- que como buen militar se limite á hacernos Toledo, y presidente del tribunal de estas deque el infras la guerra cumpliendo con sus deberes, sin indicarnos de un modo crito secretario de S. M. y escribano de…</t>
  </si>
  <si>
    <t>…u facultad á lo que francisco Javier Isturiz, por la de Cádiz; D. Francisco de P.n.'a se previene á los de medicina en los alternos 36 , 37, 38 , 39, de Soria , por la de Granada; D. Dionisio Valdes, por la de 40 v 42 del mismo capítulo. Art. 16. Los cirujanos mayores Madrid; D. Antonio Martínez de Vckbco, por la de Burros, tambán igualmente respecto de su profesión y súbddos las obliga y D. Manuel Llórente, por la de Galicia; y para suplentes á los cion…</t>
  </si>
  <si>
    <t>…rdinaria de este dia. notificarse los autos que se proveyeren en los estrados de este tri TRIBUNAL DJi Ct RTES. bunal , y de pararles estas notificaciones el perjuicio á que liara Don Dionisio Valdés, diputado á Córtcs por la provincia de Ma lugar. Cádiz i de Agosto de 1823. = Dionisio Valdés. — Por su drid, y presidente de] tribunal de estas , de que el infrascrito mandato, D. Nicolás Fernandez de Ochoa. secretario de S. M. y escribano de cámara del mism…</t>
  </si>
  <si>
    <t>…to i.° Manuel Vaillo: corneta Francisco Perez: cabo i.° Domingo Fernandez: soldados Samlalio Martínez, T&amp;IBUXAt DE CORTES. Francisco Sierra, Miguel Ibañcz, Antonio Moreno, Antonio Don Dionisio Valdés, diputado;! Cortes por la provincia de Ma Ruiz, Sebastian Legran, Josef Padilla, Josef Porras, Manuel drid, y presidente del tribunal de estas , de que el infrascrito Barranco, Francisco Marin, Francisco Naranjo, Manuel Reina, secretario de S. M. y escribano…</t>
  </si>
  <si>
    <t>…z 2 2 abandone cobardemente su puesto, se declara indigno de la con de Julio de 1823.= Manuel de la Puente. fianza nacional, y quedará inhabilitado para obtener destinos públicos. Don Dionisio Valdés, diputado á Cortes por la provincia de Art. 8.° Los individuos da las diputaciones provinciales ó de Madrid, presidente del tribunal de ellas, de que el insfrascrilos ayuntamientos constitucionales que acepten empleo con sueldo to secretarlo deS M. y escriban…</t>
  </si>
  <si>
    <t>…ó se arrogue la sus destinos. autoridad del Gobierno español, incurrirán en las penas del artí Tribunal de Córtes. culo anterior , y ademas se les declara indignos del nombre espa D. Dionisio Valdés, diputado á Córtes por la provincia de Ma ñol , y quedarán sujetos á las demás penas que impone el art. -4 drid , y presidente del tribunal de estas, de que el infrascrito del Código penal. Art. 3.0 El Gobierno dispondrá que los gefls secretario de S. M., y e…</t>
  </si>
  <si>
    <t>Váldés, Dionisio</t>
  </si>
  <si>
    <t>Dionisio Váldés</t>
  </si>
  <si>
    <t>…res al 7 de i82 3. = Manzunares. de Marzo de 1820 , y después de declarar sobre su palabra que Tribunal de Cífrtes. la soberanía de la Nación es un absurdo, protestan no reconocer D. Dionisio Váldés, diputado á Cortes por la provincia de Ma como legítimo mas que el Gobierno y las leyes que emanen de drid , y presidente dei tribunal de estas , de que el infrascrito S. M. cuando se vea ya libre del cautiverio en que le suponen. secretario de S. M., y escri…</t>
  </si>
  <si>
    <t>…abilidad. de V, F,—Wilson, Ai observar que sin establecerse el Gobierno central, el gefe que Tribunal de Córtes. se titulaba general de una provincia independiente de hec/io, tras Don Dionisio Valdés, diputado á Córtes por la provincia de ladaba allí las tropas de Santiago: al notar que se removían co Madrid , presidente del tribunal de ellas, de que el ¡nsfrasenmandantes, se nombraban otros, sin consulta de la juma, y aun to secretario dcS.M. y escribano…</t>
  </si>
  <si>
    <t>…de 1823. = Manzanares. Ultramar. - ua» Decreto de las Córtes prohibiendo en las. Islas de Cuba y Tribunal de Córtes. Puerto-Rico la introducción de toda 'persona de color ékc. (Ga Don Dionisio Valdés, diputado á Córtes por la provincia de ceta del jr.) Madrid , presidente del tribunal de ellas, deque el insfrascrito Gracia y Justicia. secretario de S. M., y escribano de cámara del mismo , certifica: Decreto de las Cortes sobre el dia desde el cual han de…</t>
  </si>
  <si>
    <t>Valdés, Félix</t>
  </si>
  <si>
    <t>Félix Valdés</t>
  </si>
  <si>
    <t>…. Alféreces tenigntes. . . Tenientes. 6840 D. Rafael Aguilar. D- Joaquín de la Torre.................... D. Josef Justiniani............................ D- Antonio Anguiano Ramos. D. Félix Valdés. D. L uis Zaforteza. D. Francisco de Paula Borei. D. Francisco Brú de Salas. D. Federico Roncali. Cadetes...................... - Alféreces, 6coo D. Josef Allende. D. Joaquín Roca. D. Josef Moreno y Sopranis. D. Josef Alfaro y Sandoval. D. Pedro Eenavide.....…</t>
  </si>
  <si>
    <t>Valdés, Francisco</t>
  </si>
  <si>
    <t>Francisco Valdés</t>
  </si>
  <si>
    <t>…objeto de su muy disminuida y en retirada ; y aun se creía que este cabecilla se vol predilección y cariño, permanecerán ¡uaücrables ,á pesar de todos los viese á Francia: 3.“ del comandante Don Francisco Valdés con fe esfuerzos de sus mas encarnizados enemigos &lt; Y cómo pudiera yo con cha del 13 , quien comunica al comandante general del cuarto distrito cebir la menor duda de una verdad , para mí eterna, A vista de la efu- haber hecho un reconocimiento sobre el puebl…</t>
  </si>
  <si>
    <t>…s , á pesar de ha mente en aquella villa el día 5 del actual jx&gt;r 100 caballos y 90 llarse en la sierra inmediata, donde permanecieron ocultos. infantes, al mando de ios coroneles D. Francisco Valdés y Don Cádiz. 15 de Abril. Bartolomé Amor. El fruto de esta feliz jornada ha sido hacer En el diario mercantil del 12 se ha publicado lo siguiente: 200 facciosos prisioneros, 65 heridos y mas de 20 muertos. El En el suplemento al Redactor del miércoles 9 del corriente cab…</t>
  </si>
  <si>
    <t>Valdés, Gerónimo</t>
  </si>
  <si>
    <t>Gerónimo Valdés</t>
  </si>
  <si>
    <t>…eles graduados D. Pedro Asnar y D. Pedro Peña, D. Juan Antonio Monet, D. Josef Carrataiá y el gefe del Esta desalojaron con gallardía sobre la marcha. Hice venir el resto do M. G. D. Gerónimo Valdés, marchasen rápidamente á Bede infantería, caballería y artillería que quedaba en Late, y ha llavista por Santa Cruz , abriendo camino entre el mar y la Mar. biendo pasado por dos portachuelos las alturas de Monterico, dalena: se ejecutó diestramente este movi…</t>
  </si>
  <si>
    <t>…congreso iutopeo, de otra asamblea de los tiranos marché en aquella noche con ei gefe del E. M G. del ejerc.to que despedazan la Europa, y de sus ministros y sata!.tes, el cual el coronel D. Gerónimo Valdés, ios comandantes de división el ha de celebrarse en. V.cua el mes de Octubre Se dice que el es brigadier D. Juan Antonio Monet ; coronel D. Joscf Carra tala, tado que presentan las cosas de España ha inspirado este proyecto. y ia infantería por el camino de l…</t>
  </si>
  <si>
    <t>…tiene que hacer e! servicio de armas, seria muy loable bajo las órdenes de los dignos coroneles D. Josef Carratalá y que los buenos ciudadanos ele S. Fernando la ayudasen en traba D. Gerónimo Valdés, distinguiéndose extraordinariamente la jos tan interesantes. Con este objeto me dirijo A V. S. manifes mitad de granaderos de la guardia, mandada por el esforzado tándole que meprometo que los vecinos de está ciudad , cuya teniente D. Antonio Jurado, que car…</t>
  </si>
  <si>
    <t>…Dios guarde á V. S. muchos a nos.en Jos extrungeros que habían cooperado contra ellos, y no el mal Torata 17 de Enero de 1823—Cayetano Amcller.= Sr. briga estado del mercado. dier D. Gerónimo Valdés, comandante general de la división de la Costa. Uno de los motivos que lian alegado nuestros enemigos para NOTICIAS DE LA PENINSULA. invadir la Península ha sido el deseo que afectaban tener de que nuestras posesiones ultramarinas se conservasen unidas á la m…</t>
  </si>
  <si>
    <t>Valdés, Josef Mensndez</t>
  </si>
  <si>
    <t>Josef Mensndez Valdés</t>
  </si>
  <si>
    <t>…Patencia ó Búrgos; pero dudo que logren pasar sin encon Francisco Heredia. Teniente D. Marcos Gutiérrez. Subtenien trarse con las tropas nacionales que puede haber por aquellos te D. Josef Mensndez Valdés. Vicario castrense D. Juan puntos.=í;r. gefe político de la Coruña. Miet CastaSon. Canónigos: D. Juan Camino, D. Manuel Bin- Dios guarde á V. S. muchos años. León 24 de Abril de ioi. Vicario de $. Pelayo D. Manuel Coelio. Ex-monge Don 1823.—Antonio Ayarza. To…</t>
  </si>
  <si>
    <t>Valdés, Manuel</t>
  </si>
  <si>
    <t>Manuel Valdés</t>
  </si>
  <si>
    <t>…uel Velasco, teniente de infantería de Fernando 7.0, D. Josef Tor lo de que cese ahora esta autorización, y pasados estos nueve días de recilla , capitán del resguardo militar , y D. Manuel Valdés, oficial intervalo de las actuales Cortes á las próximas , si el Gobierno necesi retirado, quedando elegido D. Manuel Velasco por 68 votos de 1x8. ta otra vez de esta autorización la pedirá A las Cortes; y asi yo ruego Se procedió á la elección de un visitado…</t>
  </si>
  <si>
    <t>Valdés, P- Gerónimo</t>
  </si>
  <si>
    <t>P- Gerónimo Valdés</t>
  </si>
  <si>
    <t>…not cias remitidas al Gobierno por Mr. de Mont- festado á V. E. que las activas y bien calculadas disposiciones del morency-Laval dan pocas esperanzas. El ministro de Negocios Sr. brigadier P- Gerónimo Valdés, comandante genera! déla extrangeros ha escrito á $. Erna. Monseñor el cardenal.aizobispo división de la Costa y provincia de Arequipa1, y la privación que de Toiosa, para comunicarle oficialmente que el servicio del por ellas sufrió el enemigo de recursos' p…</t>
  </si>
  <si>
    <t>Valdés, Pedro</t>
  </si>
  <si>
    <t>Pedro Valdés</t>
  </si>
  <si>
    <t>…provi un déspota que sin . formalidad alguna judicial desterró sin' saber’ dencia , marchó de Jalapa á Veracru? con la mayor precipita su.destmo al Teniente* Coronel de artilleris D. Pedro Valdés y ción: en las. furias de, su exaltada cólera convocó los soldados al Teniente de la.misma arma D. Tomas. Reqúéna*, tan solamen "ue pudo dé.su regimiento; y sin otra' precaución , plan ó ine- te, poique no quisieron adherirse á su descabellado plan! De esta j…</t>
  </si>
  <si>
    <t>Valdésó, Dionisio</t>
  </si>
  <si>
    <t>Dionisio Valdésó</t>
  </si>
  <si>
    <t>…elección, y por antigüedad bajo Tas mismas reglas, y en iguales términos que se practica en la T1IKUNAT. DF. CORTES. "infantería permanente, quedando en su consecuencia derogados Don Dionisio Valdésó ■"U.'do &gt; Cortes por la provine"? de los arts. 69 y 70 del decreto orgánico, como igualmente se dero Madrid,)’ presídate del tribunal de estas, de que el infras ga el art. 71 del mismo decreto. crito secretario de a.-vi. y eso ibano de cámara dei m.sino c Art…</t>
  </si>
  <si>
    <t>Valdome-</t>
  </si>
  <si>
    <t>…s lec bre del año próximo pasado, hacen saber que su testamentaría tora se sirvan avisarle cualquiera equivocación que observen, se halla radicada en la escribanía de ptovincia de D. Valdome- para poder corregirla en la fe de erratas que pondrá al fin de U to Mora leda, para que los que ss crean con algún derecho con Bil^ia, y sujeta su versión y notas á ia corrección de ia üe::ta tra su caudal acudan á dicha escribanía á usar de él hasta fin igle…</t>
  </si>
  <si>
    <t>Valdts</t>
  </si>
  <si>
    <t>Teníamos escrito esto, entíbelo afortunadamente lia llegado á rio de S. Antón, formando Asturias la guerrilla de la derecha', nuestras manos el parte que da el coronel Valdts al general Tot- Alcañiz la izquierda, y \ o por el centro con Valencey-. iueco rijos, que con mucho gusto publicamos á continuación. que V. S. me dió nuevas órdenes á la llegada de dicho barrio, le ocupé y encontré al enemigo , que estalla en la noria y casas…</t>
  </si>
  <si>
    <t>Váleles.’, Cayetano</t>
  </si>
  <si>
    <t>Cayetano Váleles.’</t>
  </si>
  <si>
    <t>…se supo, á un destacamento que se diripia ;í Tíl Cádiz t.° de Octubre de 182g.rrExcmo. Sr.= Manuel de Latrc. dela se le mando que á toda prisa tomase pos.cion en A lluro. = Excmo. Sr. D. Cayetano Váleles.’3 __ Pocos dias há que hizo quiebra un corredor de cambios por Y habiendo recibido á él la siguiente contestación : cuatro ó cir.co millones. El dia 12 declaró otro su quiebra, «Tanto por lo que me manifiesta V. S. en su oficio de hoy, que asc'cnde poco mas o…</t>
  </si>
  <si>
    <t>Valencia</t>
  </si>
  <si>
    <t>…Braco. del Infante D. Antonio, Oviedo y 50 caballos de Vil:..viciosa; y ademas una columna de voluntarios de aquella provincia. Gobierno superior político—El comisionado en Játiva Don Valencia sigue bien: hov se ove mucho cañoneo.” Francisco Paula de Hoyos con fecha 21 del actual á las 8 de la Lo que traslado á V. S. para su inteligencia: manifestándole noche me dice lo siguiente. al propio tiempo que muy en breve se deberán medir nuestras Por el S…</t>
  </si>
  <si>
    <t>Valencia, Mo</t>
  </si>
  <si>
    <t>Mo Valencia</t>
  </si>
  <si>
    <t>…á la segu ridad de un pgérc.to, como los gefes de día pata' las observaciones y Cádiz....................-.............- 7O0 preguntas que deben hacera los comandantes de ellos,El brigadier Mo Valencia.................................. 2,200 retti ha hecho con la traducción de esta obra un servicio á la Nación Islas Baleares.......................... 300 por la facilidad de poderse llevar i campaña, por el orden, sencillez y Santander.................. ....…</t>
  </si>
  <si>
    <t>Valentin</t>
  </si>
  <si>
    <t>….:ra, D- Antonio Gamonal, D. Francisco Barra, D. Nicolás de esta capital, como en la misma en Sevilla, é igualmente que en to Hered.ro Mayoral, D. Juan Paz , D. Manuel Carnicero , D. Valentin das las principales administraciones de correos, de las de partido y es Recio y D. Tomas Torresano, calificaron con la fórmula de absueltos tafetas, á los precios siguientes: los períodos del número 5.0 del periódico titulado el Patriota cipa’ Suscripción á l…</t>
  </si>
  <si>
    <t>VaLiéi</t>
  </si>
  <si>
    <t>…sobre Locumba al Se nte.—Excmo. Sr. virey del Perú. ñor Coronel primer comandante Je Gerona D Ciy taño Ame— 11er con tres compañías de su batallón, y c n;o m tudas de caba El S'. brigadier VaLiéi al Excmo- Sr. virey. lla ú , y con ínstrucc oríes de internarse ba»u la si.i ra , asi que Moque?ua 22 Je Enero .ij 18sj. Mi amado general: Ya los enemigos en fuerzas superiores lo cirgir.ru : rn c»! 1 operación a que se reestá concluida la oferta que hice á V…</t>
  </si>
  <si>
    <t>Valiente, Encarnación</t>
  </si>
  <si>
    <t>Encarnación Valiente</t>
  </si>
  <si>
    <t>…co se opuso á la aprobación de éste dictamen, fun A la comisión secunda de Plací enda se mando pasar una ex dándose en que cuando se señalo á S. AI. la consignación de posición de Doña Encarnación Valiente , viuda de un oficial de 40 millones tue en el año 24 cuando la situación de España artillería, pidiendo se le abone la viudedad que le corresponde. era mucho mas lisonjera. La comisión especial, encargada de la formación del pro El Sr. Canea contestó que las…</t>
  </si>
  <si>
    <t>Valiente, Francisco</t>
  </si>
  <si>
    <t>Francisco Valiente</t>
  </si>
  <si>
    <t>…irviesen declarar que los cuerpos ayudantes generales D. Francisco Jaramillo y D. Francisco Oca de la M. N. L. están autorizados por el art. 65 de su reglamento, ña, y los adictos D. Francisco Valiente y D. Miguel Camparon. y por la ley de 17 de Abril de 1821 para perseguir los ladro Interin se ponen estos cuerpos en disposición de operar, y se or nes y malhechores, y para formar el consejo de guerra. ganizan de un modo análogo á este objeto, las divisiones y brida Se mandó ins…</t>
  </si>
  <si>
    <t>Valiente, Josef Musso y</t>
  </si>
  <si>
    <t>Josef Musso y Valiente</t>
  </si>
  <si>
    <t>…nemigo á i* cuartos en rústica—Oración gratulatoria al Rey por haber juradíjíí’ á la carrera de media hora por la llanura, sin embargo de estar cubier la Constitución, escrita por D. Josef Musso y Valiente , y premiadii :'¡ ta de nieve, distinguiéndose extraordinariamente en esta acción los ca por la academia en t8ao : un cuaderno en 4.0 á 5 rs. en rústica E4.4 detes de Logroño y Borbon D. Rufino Gil y D. Josef Gómez. el mismo despacho se venden las obras publi…</t>
  </si>
  <si>
    <t>Valijs</t>
  </si>
  <si>
    <t>…ada y leída por el Sr. Tomas; y déla milicia nacional voluntaria &gt;&gt; A las dos de la tarde hemos hecho 600 prisioneros en Almonacid de la vdla de Sonseca, presentada y leída por el Sr. Valijs(D.Dionisio). de la Sierra r hasta las cuatro hemos estado cargando los fusiles &amp;c., y tan Se leyó y se mandó quedar sobre la mesa el dictamen' de ja comisión pronto como hemos hecho la marcha se han presentado el Royo Capapé de Guerra acerca de la exposición…</t>
  </si>
  <si>
    <t>Valiñani, Pablo</t>
  </si>
  <si>
    <t>Pablo Valiñani</t>
  </si>
  <si>
    <t>…de comisario los batallones de la de artillería. Reina y milicia activa de Sevilla, á la que asistirá como inter Segunda brigada: La mandará interinamente el gefe mas an ventor el coronel D. Pablo Valiñani , teniente de Rey interino tiguo de los cuerpos que la componen, que lo es en la actualidad de esta plaza; y al efecto á las cinco y media de la tarde se ha el brigadier D. Teodoro Calvez. llarán Jos expresados batallones formados en la alameda interior Estad…</t>
  </si>
  <si>
    <t>…lo' se impone pena de 50 por roo de multa y bajo la presidencia del coronel teniente de Rey interino de esta á los que han comprado fincas de la Hacienda pública, siendo asi plaza D. Pablo Valiñani, para juzgar ájuan Fernandez , soldado que según creo la mente de la comisión ha sido y debe ser la de la tercera compafra del batallón de la milicia activa de Sevilla,, de que paguen igual pena los que compren bienes de particula acusado, de robo y abandono…</t>
  </si>
  <si>
    <t>Valladar</t>
  </si>
  <si>
    <t>…Tarragona, en el que según se asegura , el general Manso se restados de orden del nuevo Gobierno. El 4.0 regimiento pide se ha-puesto al frente de una guerrilla. le restituya á su coronel Valladar, y no quiere marchar sin él al Ayer llegaron á Perpiiian 3 1 prisioneros, entre los que ha frente: lo mismo sucede con el r.° y 13.° , que también quieren bía nueve muchachos de 14 a .15 años que eran parte de la tripu á sus coroneles: y porque no se ha acced…</t>
  </si>
  <si>
    <t>Valladolid, Arrial de</t>
  </si>
  <si>
    <t>Arrial de Valladolid</t>
  </si>
  <si>
    <t>…ruego Se procedió á la elección de un visitador para la audiencia territo á estas tengan á bien aprobar la proposición. Declarado el punto suficientemente discutido , pr„p,&lt;t" el Sr. Arrial de Valladolid. La comisión de Visita de tribunales proponía ¿ D. Felipe Martínez de Moretin ,á D. Andrés García del Corral, y á guelles que se añadiese á la proposición la siguiente clausula: » Subsis tiendo los nombramientos que para varias comisione:- ; hechos elD. Josef…</t>
  </si>
  <si>
    <t>Valle, Antonio Rcmoa Zarco del</t>
  </si>
  <si>
    <t>Antonio Rcmoa Zarco del Valle</t>
  </si>
  <si>
    <t>…Art. d.° Del mismo modo se suspende la formalidad de dería. También sabemos á no dudarlo que el mariscal de campo proveer auto motivado de la que se trata en el artículo 293 ; pe D. Antonio Rcmoa Zarco del Valle , segundo general de este ro el Juez que ordene el arresto, ó á cuya disposición se penga ejército, que se halla en esta ciudad, ha dado las disposiciones mas el arrestado, pasará al alcaide de la cárcel orden escrita y firma rigorosas para castigar los facci…</t>
  </si>
  <si>
    <t>Valle, Manuel del</t>
  </si>
  <si>
    <t>Manuel del Valle</t>
  </si>
  <si>
    <t>…inúe interinamente en aquel Consejo Real que la Regencia del Reino habia conferido' la administración de este vínculo, ratificando la fianza que se al Marques de Lazan. otorgó por D. Manuel del Valle su marido; y á fin de que este expediente tenga la debida sustanciacion, cítese y emplácese á En atención ai mérito, distinguidos servicios y constante D. Francisco María de Neve, vecino de Méjico, sus herederos adhesión al Rey nuestro Señor del Mariscal de c…</t>
  </si>
  <si>
    <t>Valle, Rcmon Zarco del</t>
  </si>
  <si>
    <t>Rcmon Zarco del Valle</t>
  </si>
  <si>
    <t>…:l"uel de Arejula, D. Manuel Merino, D. Antonio Tu,g«s:,do mayor general de los egércitos el mariscal de campo D. Antonio bli*"cb' D-Marcos Antonio de Menczo, D. Cayetano Romero , Don Rcmon Zarco del Valle , á quien S. M. ha tenido á bien nombrar in- cárd-ws Trai'eSed° * D' LorCnzo Galv0 de Kozas V D' Gonzalo da __Ll ciudadano D. Juan Agustín de figuren , miliciano local volttn- _ “a.bldl Ia conferencia, resulto haber lugar a lafonnaam ae causa ta:.o de caballe…</t>
  </si>
  <si>
    <t>Valle, Zarco del</t>
  </si>
  <si>
    <t>Zarco del Valle</t>
  </si>
  <si>
    <t>…nuestros arsenales, debían por su propio ínteres nos atropellan nos darán malos ratos. Sevilla 5-~L. Baianiat.**sostener el desorden, único elemento en que les es dado vivir y El general Zarco del Valle al mismo general Plasencia. prosperar; asi es, que como tales cosmopolitas nada dejan en Sevilla 4 de Junio de 182.j. » Amado amigo: Penétre*# ninguna parte mas que la memoria de sus .crímenes; seguirían á V. de que todos los planes del Gobierno penden de sab…</t>
  </si>
  <si>
    <t>Vallejo, Pascual</t>
  </si>
  <si>
    <t>Pascual Vallejo</t>
  </si>
  <si>
    <t>…a plaza de médico ti El Rey nuestro Seno* ha tenido á bien, nombrar su Embaja tular , con la dótacion de 300 ducados anuales, sin perjuicio de dor en lá corte de Ñapóles al Excmo. Sr. D. Pascual Vallejo, pedir aumento, según los rendimientos de propios de que se pa Ministro honorario del Consejo de Estadó, y su Ministro pleni ga puntualmente: y ademas tiene los derechos que le correspon potenciario en la corle de Berlín. Para este destino al Marques dan per…</t>
  </si>
  <si>
    <t>Vallesa, Sebastian Fernandez</t>
  </si>
  <si>
    <t>Sebastian Fernandez Vallesa</t>
  </si>
  <si>
    <t>…erno sabe muy bien que tiene es-r en el primero que el Rey había tenido á bien admitir la dimi ta obligación, y creo que no deje de cumplirla. Se dice que aho sión que había hecho D. Sebastian Fernandez Vallesa del minis ra que da cuenta á las Cortes de haberse hecho esta declaración, terio de Gracia y Justicia; yen el segundo que S. M. habia nom es cuando debe remitir los documentos; pero esto no es exacto. brado para el ministerio de ¡a Goberuac.on de la Península…</t>
  </si>
  <si>
    <t>Vallesfros, Francisco</t>
  </si>
  <si>
    <t>Francisco Vallesfros</t>
  </si>
  <si>
    <t>…eterno de egército que operan en los distritos militares g.u y ó.J formarán de que el hombre constituido en sociedad tiene derecho de miiar por uno solo á las órdenes del teniente general D. Francisco Vallesfros, á su conservación. quien S. M. ha tenido á bien conferir el mando de él , en virtud de la La N.cion española, invadida por un conquistador, y privada por autorización que las Cortes han concedido para que el Gobierno pueda Ja astucia y por la fuerza de la pe…</t>
  </si>
  <si>
    <t>Vallin</t>
  </si>
  <si>
    <t>…e la Roche- Consejo Je EstaJo. Aimond , el barón Bruny, el barón Bonnemains, el conde Grundler, Por renuncia que ha hecho D. Josef Matías Cablera de la judica el barón Gressot, el vizconde Vallin, el vizconde Toussaint , ei viz tura de primera instancia del partido de S. Julián de Poulo ha queda conde Pedeport , el vizconde jamin, el vizconde Vasserot , el barón do vacante esta plaza, y para su provisión se admiten memoriales po( Berge , el barón Ordo…</t>
  </si>
  <si>
    <t>…l 10 y del 19 de tiradores los cargaron con intrepi hemos tenido algunos hombres heridos, pero ninguno de peligro’. dez , y matándole? un gran número les hicieron bastantes pri El general Vallin habiéndose reunido al general Lauriston, sioneros. El enemigó sé esforzó también en salvar su pieza de á ha continuado persiguiendo al enemigo, y ha tenido conocimien ocho y su obús; pero cayeron igualmente en poder de nuestros to el 23 de que la caballería d…</t>
  </si>
  <si>
    <t>Vallivian, Francisco</t>
  </si>
  <si>
    <t>Francisco Vallivian</t>
  </si>
  <si>
    <t>…d, y á todas las clases sus derechos. gue de los asuntos de dicha intendencia el director de eonir'bu» No dudéis, eclesiásticos y ciudadanos de todas clases: venid ciones directas D. Francisco Vallivian, que con las oficinas de á auxiliar la causa de la religión , del trono, y de vosoLros todos. Hacienda de Ja propia provincia acompaña á aquellas autoridades Juremos no volver á besar la Real mano sino después que el en observancia de lo prevenido generalment…</t>
  </si>
  <si>
    <t>Vallos, Bernardo de</t>
  </si>
  <si>
    <t>Bernardo de Vallos</t>
  </si>
  <si>
    <t>…i : véndese suelto á 30 rs. en pasta y 25 á la rústica__ Siglo Diciembre las bandas de Cuevillas, Uranga &gt; Gorgorito y Lanzaroti en de Oto en las selvas de Erifile , compuesto por D. Bernardo de Vallos campos de Sta. Cruz de Camperu. En el 28 puesto el coronel Arana buena , obispo de Puerto-Rico .■ y U Grandeza mejicana , del mbaiof -S á la cabeza de su columna, compuesta de 220 hombres de la milicia autor, cuyo retrato va al principio: un tomo en octavo ma…</t>
  </si>
  <si>
    <t>Valmedia, Marques de</t>
  </si>
  <si>
    <t>Marques de Valmedia</t>
  </si>
  <si>
    <t>…tario del Despacho de En efecto, á las 10 y 40 minutos de la mañana se vieron Estado, con fecha de f.° del corriente desde el Puerto de Santa las señales que, según habia dicho el Sr. Marques de Valmedia— María , comunica al Exento. Sr. D. Luis de Salazar, Secretario del no, debían anunciar la salida de SS. MM. y AA. de Cádiz, por de Marina, y habilitado para el de la de Estado, lo que sigue: que estaba decidido que desembarcasen en Puerto Real si la ma ,, Ex…</t>
  </si>
  <si>
    <t>Valmientos</t>
  </si>
  <si>
    <t>…e componen ia comisión, ta acordar io mas oportuno.” seis son profesores de medicina, y juman por consiguiente los conoci Habiendo pedido la pa'abra algunos s:?.c:es diputados, el Sr. Valmientos propios de su facultad con las intenciones comunes á todos los dás £D. Cayetano) pidió se leyese el are. ici del reglamento , y en se Sres. diputados; y por lo mismo pudieron considerar esta cuestión por guida manifestó los trámu.-s por donde este asunto hab.…</t>
  </si>
  <si>
    <t>Valparda, Antonio</t>
  </si>
  <si>
    <t>Antonio Valparda</t>
  </si>
  <si>
    <t>…idad é invariabilidad que no sufren las cosas Capuchinos: P. Manuel de la Nou, P. Josef de Barcelona. humanas, sujetando en consecuencia las variaciones que el tieot* Presbíteros :D. Antonio Valparda, D. Lorenzo Novell, ca po y la experiencia puedan hacer necesarias, á formas fijas y nónigo de Sta. Ana D. Antonio Ibero, párroco de Ribes Don precisas, que la nación pondrá en práctica cuando convenga, sin Josef Meselans. que ningún otro poder sobre la tierr…</t>
  </si>
  <si>
    <t>Valúes</t>
  </si>
  <si>
    <t>…cual el mismo Sr. diputado hizo algn-iar. ob cional, que está encargada del servicio de la 7 biza, llena todos sus de servaciones en contra de este artículo, á las que contestó el Sr. Valúes beres mientras que sus hermanos están al frente del eoeaiigo: esta iu(D. Cayetano). v-.-mud es la gloria de la patria y el apoyo mas firme de la libertad. L* Después de una breve discusión quedó aprobado este artículo , é España toda se da el parabién de tene…</t>
  </si>
  <si>
    <t>…ifestarán si be padecido alguna equivocación. por la que se declaró haber llegado el caso de que El Sr. benito hizo algunas observaciones. trata el art. 5o8 de la Constitución. El Sr. Valúes (D. Cayetano) : Vio olvidaba decir .Se leyó el acta de la sesión permanente de los que S. M. dijo que como individuo p ..¡ ficuínr baria días i i y i2 del corriente. cualquier género de sacrificios-.' pero que cemo Rei Varios Síes, diputados manifestaron algu…</t>
  </si>
  <si>
    <t>Valxabon, Victoriano</t>
  </si>
  <si>
    <t>Victoriano Valxabon</t>
  </si>
  <si>
    <t>…gran libro. admitidas á discusión en la sesión del 2 del presente mes , que es La comisión primera de Hacienda , en vista del expediente como sigue: promovido por el monge profeso D. Victoriano Valxabon, se Art. i.° Todos los españoles que hayan obtenido condeco conformaba con el parecer del M. R. arzobispo de Toledo de raciones del Gobierno francés hasta el dia en que su ejército in que este interesado estaba comprendido en el artículo j.° de la ley vadió e…</t>
  </si>
  <si>
    <t>Vanha</t>
  </si>
  <si>
    <t>…ería. En tirada las compañías de granaderos del segundo y tercero de vo el momento de recuperar al coronel Casano, los enemigos tra luntarios d? Madrid á las órdenes de tu bizarro capitán Vanha taron de poner en derrota nuestra columna con una carga de ca len , con orden de retirarse muy ientamente, y por escalones, para ballería ; mas la oportunidad con que se desplegó una guerrilla, dar lugar al reembarque. En tanto los enemigos, que sufrían el y…</t>
  </si>
  <si>
    <t>Vanhalen, Manuel</t>
  </si>
  <si>
    <t>Manuel Vanhalen</t>
  </si>
  <si>
    <t>…extremo de reiterarlos hasta casi la playa antiguos D. Pedro Rubio, del 55 de línea; D. Diego de Prado, del río; no consiguieron otra cosa en cada uno de ellos que ele del "i(5, y D. Manuel Vanhalen , del 3 0 de voluntarios de Ma var á mayor grado el relevante mérito de nuestros bizarros gra drid. Desplegó á su frente en guerrillas las dos compañías de naderos. La pérdida de la columna ha sido en su número de po guias y cazadores del 2.° de voluntarios d…</t>
  </si>
  <si>
    <t>Var, Francisco Javier Perez de</t>
  </si>
  <si>
    <t>Francisco Javier Perez de Var</t>
  </si>
  <si>
    <t>…gefes, gobernadores y demas Au Emeteno Martí por la de Cataluña: D. Diego de la Vega In toridades , asi civiles como militares y eclesiásticas, de cual fanzón por la de Asturias: D. Francisco Javier Perez de Var quiera clase y dignidad , que guarden y hagan guardar, cumplir gas , marques de la Merced, por la de Jaén : D. Francisco Mar y ejecutar la presente ley en todas sus partes. Tcndreislo en chámalo por la de Guadalajara; y D. Pedro Alvarez Gutiérrez tendido pava…</t>
  </si>
  <si>
    <t>Var, Francisco Javier Pérez de</t>
  </si>
  <si>
    <t>Francisco Javier Pérez de Var</t>
  </si>
  <si>
    <t>…siguientes breves retiexiones, Emeterlo Martí por la de Cataluña: D. Dieco de la Vega In que insertamos literalmente como un aviso á los fanáticos secta fanzón por Ja de Asturias: D. Francisco Javier Pérez de Var rios de la legitimidad, por si quisiesen repetir en Buenos-Aires gas , marques de la Merced, por la de Jaén : D. Francisco Ma otra intentona semejante á la que descubrió el gobernador de San teo Marchámalo por la de Guadal a ja va; y D. Pedro Alvartz Juan de…</t>
  </si>
  <si>
    <t>Var, Guillermo de</t>
  </si>
  <si>
    <t>Guillermo de Var</t>
  </si>
  <si>
    <t>…descamados que político á D. Francisco Antonio Diz; para la de intendente á abrazaron con alguna exaltación el anterior sistema , cedió dó 1). Josef ds Ansa; para las de togados á D. Guillermo de Var cil y virtuoso á la persuasión de que nuestra sanca religión re gas, D. Juan Miguel Pa-z de la Cadena, D. Diego Marta Va- prueba ias venganzas, y de que seria ofender a! Rby en su mas ditlos, D. Joaquín Sistemes, D. Francisco Qucvedo y Bueno y. apreciable pre…</t>
  </si>
  <si>
    <t>Varallobre, Benito Sánchez</t>
  </si>
  <si>
    <t>Benito Sánchez Varallobre</t>
  </si>
  <si>
    <t>…glas que correr los puntos de S. Andrés de Roade y el Castro, pues en el pri para su felicidad establecieron en sociedad loe hombres. Esta bestia fe mero se sabia haber en casa de D. Benito Sánchez Varallobre un canon roz, este aborto del genio del' mal, debe conoide.arse cual lobo ra de i g y municiones de las antiguas alarmas, y que intentaban los pro bioso, y no debe la justicia conservadora prolongar su existencia mas movedores de facciones recoger para fortif…</t>
  </si>
  <si>
    <t>Varda</t>
  </si>
  <si>
    <t>…nez, escribano, D. Matías An hará impracticable» muchas disposiciones da este proyecto. A este Es tonio Herdara , D. Andrés'Martí ,'escribano, conde Parsen , D. Blas contestado el Sr. Varda que á todos ios casos ae ha ocurrido én él, Madalenes, D. Josef Chisbett, D. Cefírino Pellicer, Vicente Bañue- y con la delicad»- iu posición ha añadido que'si bb se admitiese los. P. Josef Am“is, S. Francisco, P. Lorenzo de Valencia, capu el proyecto, la 1 c…</t>
  </si>
  <si>
    <t>Vare</t>
  </si>
  <si>
    <t>…de ser un mal de mucha consideración , y que exige medidas porque sena origen de graves perjuicios al Estado. de esta naturaleza. S. S. no ignora que en las provincias de Ultra El Sr. Vare i a contesto que el artículo habla de los que están mar por desgracia hay dilapidaciones como en todas partes. Al bajo la autoridad de los gefis políticos, no de los comandantes gunos empicados, como pu.stos en sus dest no. p'x eí favor , por generales y dema…</t>
  </si>
  <si>
    <t>Varegefe</t>
  </si>
  <si>
    <t>…tos. propuestos según el arti Continuo la discusión suspendida culo g e de la lev constitutiva del cjérc.to, se hará por el primer El Sr. Pedralvez contesto que la impugnación del Sr. Varegefe del cuerpo, previo el dictamen del encargado del detall, sin la se fundal\i toda ella en principios de política y aun de conve cuya declaración de la aptitud del propuesto no podrá hacérsele niencia , y el dictamen de ¡a coims:on en principios de neurosa el n…</t>
  </si>
  <si>
    <t>Varela</t>
  </si>
  <si>
    <t>…rucción vigente del ramo de En la -5.a votación quedó elegido por 79 votos el Sr. Aillon, tenien mostrencos, y término que señala; en su consecuencia se previene á todas do upo el Sr. Varela. las personas que se consideren con derecho á ellos acudan á deducirle 3 En la 27.a votación salió electo el Sr. Canga por 85 votos, habiendo los nominados juzgado y escribanía dentro de cuatro meses y 20 dias, por tenido uno el Sr. Seoane. que se ha fijado e…</t>
  </si>
  <si>
    <t>…r cate punto del modo mas conve diezmo sin haberse averiguado todavía su verdadero valor , y este co niente. nocimiento será en lo sucrsivo mas d.ficil de adquirir, porque como El Sr. Varela ha reconocido como negativa no solo la suma qJS i él se agregan otros arbitrios, el clero tendrá mas ínteres en que no produzca el 5 por 100 que se caiga á los empleados , sitio también »1 se sepa su valor por miedo de verse privado de estos. Se conservan der…</t>
  </si>
  <si>
    <t>…ia suspensión prefija Ja Constitución. Aprobado. de la ley ó decreto , por lo cual no debía aprobarse e¡ articulo. Art. 149. Presidirán con voto las diputaciones provinciales, El Sr. Varela contesto que la idea de la comis.on no habla y sin él el ayuntamiento de la capital ó de cualquier pueblo sido otra que la de autorizar á los gefes políticos para que pudie donde se hallen. Como tales presidentes harán que en estas cor sen suspender la ejecuc…</t>
  </si>
  <si>
    <t>…. evitasen el abuso, al paso que atendiesen á la conveniencia públi El Sr. Becerra se opuso á este artículo por creerlo perjudi ca , no habia dificultad en aprobar el articulo. El Sr. Varela manifestó que en vista de lo que se habia excial á la conservac on del orden social, puesto que por él se daba puesto en la discusión la comisión retiraba este artículo parafacultad á una autoridad para suspender una resolución del cuer po legislar.vo: añadió…</t>
  </si>
  <si>
    <t>…smo y veracidad, y en los asuntos graves y generales pro cosa que ya está mandada por leyes y decretos anteriores. ceden en los informes con la mayor justicia y rectitud ; pero El Sr. Varela: En este asunto ha sentado principios el se tratándose de una personalidad , cual es el dcscoucepto en que pue ñor preopinante, que para contrarcstarlos seria preciso presentar da estar una persona en el país , yo estoy íntimamente persuadido hechos á la verd…</t>
  </si>
  <si>
    <t>Várela</t>
  </si>
  <si>
    <t>…habrá entre la Silla apostó Viva la patria ubre: viva la religión: viva la Constitución. Va lica y las Américas. lencia 9 de Mayo de 1823.__.El gefe político superior interino El Sr. Várela apoyó esta proposición , manifestando que no Juan de Abascal.” era su ánimo alterar en nada la disciplina actual de la jaléala, Sevilla a 1 de Mayo. sino que aquellas provincias no carezcan del pasto espiritual. Se maridó pasar á la comisión Eclesiástica. COR…</t>
  </si>
  <si>
    <t>…les encarguen, escoltando heridos, ” S. M. ha resuelto se diga al gefe poKtico que en su Resl víveres , municiones, pertrechos, y dedicándose inmediatamente, nombre dé gracias al cura Várela y á la partida que dmaio; y y mientras no reciban otras órdenes, á destruir los facciosos y que pues conoce á los malo» españoles que dan el impulso á les ladrones , y á tener expedito el tránsito de las carreteras princi facciosos debe cuidar gubernativament…</t>
  </si>
  <si>
    <t>…a noche á las siete y incd.a la milicia activa. quisiera que se le concediese la gracia que pide sin exigirle nada. Mañana deben pasar revista de comisario los batallones da la El Sr. Varela contestó : F.l Sr. preopinante se opone á que Reina y milicia activa de Sevilla, á cuyo efecto se hadaran ! m- i se exija nada al interesado por la gracia que solicita : baste decir mados dichos batallones á las seis de la tarde en ¡a alamedt glan que es una…</t>
  </si>
  <si>
    <t>…había «I .artfcu,lo; y de estos , en que manifiestan los apuros de moneda por illtimo que en el caso dé que habita hablado el etiqúese bailan, y para salir de ellos citan á la re Sr. Varela, el perjudicado ó- agraviado estaba á cu ligión y al Rey á fin de que se contribuya con tnebierto coir Ip satisfacción .ó eEcastigo del ofensor. lálico. Esta llamada no bahía producido el mayor efec r El Sr. ■ Alunaniz dijo1 que. podía decirse que se to, pues…</t>
  </si>
  <si>
    <t>…probarse el acta de elección y el poder sobre que recaía este dic dos á quienes se detengan las licencias. tamen. 5.0 Las vacantes de subteniente, teniente y capitán de inlame- El Sr. Varela se opuso á él, manifestando que siendo, como ria , milicia act.va , caballería y zapadores, se proveerán por ri probablemente sería, un olvido las pequeñas taitas que se adveigorosa antigüedad , dejando en las propuestas una de cada tres pa tiau en los podere…</t>
  </si>
  <si>
    <t>…o á este dictamen por considerar que le 23, la España seria envuelta por muchos años en arroyos desan jos de traer beneficios podia reportar perjuicios. gre y en guerra civil.” El Sr. Varela manifestó algunas de las razones que le habían movido á hacer la proposición que informaba la comisión , sien do la principal evitar los muchos perjuicios que hasta aquí se ha (1) Los españoles constitucionales no han pensado jamas en bían seguido á ¡os habit…</t>
  </si>
  <si>
    <t>…st.tu- NOTICIAS DE ESPAÑA. c-on que hubiese una junta protectota de libertad de imprenta , y Cádiz ijf de Julio. ruda decía acerca de que tuviesen sueldo alguno sus individuos. El Sr. Varela, apoyándose en lo prevenido en lo» articulo* CORTES. 369 y 370 de la Constitución (los leyó), hizo presente que cors respondia por ellos á las Cortes no solo la facultad de establecer presidencia del seSok zulueta. la dirección general de estudios sino de lij…</t>
  </si>
  <si>
    <t>…ecindad en cualquier pueblo de la te al originado en virtud de una proposición de los señores dipu Península. tados de aquella provincia , relativa al mismo objeto, mientras se El Sr. Varela apoyó el dictamen de la comisión, manifes discuta su dictamen sobre los derechos que deben pagar los bu tando algunas de las razones en que esta se había fundado para ques neutrales habilitados para dicho comercio. Aprobado. proponerlo ási. La misma comisión,…</t>
  </si>
  <si>
    <t>…de que se trata, pues al formarse el hombres, y menos en los poderosos. reglamento debia ya suponerse formada esta. Si pudiera establecerse una monarquía en que no hubiese cor El Sr. Varela manifestó que de retirarse el artículo en cues tesanos , todavía podría el ciudadano zeloso del bien público atre tión , seria necesario retirar otros varios que dimanan de él. verse á decir la verdad al Soberano, y este quizá la oiría con be El Sr. Oliver fu…</t>
  </si>
  <si>
    <t>…a tratar la comisión de supri do en todos tiempos á los defensores de la libertad, y es un ga mir esta cláusula. rante infalible de la victoria. Es imposible oir los pormenores El Sr. Varela contestó que lo que se disponia en este artículo de este suceso sin enternecerse y sin llenarse de admiración al ver estaba conforme con lo determinado por las Cortes en el regla tanto amor á la patria y tanto deseo de sacrificarse por ella. El mento de instr…</t>
  </si>
  <si>
    <t>…ue si se hubiera i.aSe leyeron por segunda vez y se mandaron pasar á las respec tado de un proyecto de ley habría oido el d.clamen de ios abocativas comisiones una proposición del Sr. Varela , y otra del Sr. Is- gados. turlz, leída por primera vez en zg del corriente. Lo que el Sr. Becerra lia creído que es tan fácil de hacer, estov Se procedió á la discusiou del dictamen de la comisión pri yo persuadido que es muy diiicil , v ¡a experiencia me !…</t>
  </si>
  <si>
    <t>398 fio:- Meca, 24 el Sr. Alvarez (D. Elias), 5 el Sr. Neira, 3 el carlo ya que se dejaba al "Crédito público sin fondos con que ha Sr. Posada, 2 el Sr. Suarez, 2 el Sr. Varela, y uno respectiva cerlo. Este medio lo encuentro en el dictamen que se discute, y mente los Sres. González Aguirre , Septien, Beltran de Lis, es al mismo tiempo el mas conveniente, por lo que creo debe Alonso, Adanero , Serrano y I.uque: no habiendo reunido n…</t>
  </si>
  <si>
    <t>…u país, y formen una barrera contra ¡os proyecto?, de ñor Jencr por 81 votos del total 104, halando tenido 14 -i los bárbaros del Norte. Por esta razón se cree que el bajá de Egip Sr. Varela, 6 el Sr. Posadas y 3 el Sr. Vlzmanos. to favorece secretamente á los griegos, porque á los persas será Para tercer ind.video quedo elegido el Sr. Isturiz por 63 fácil sujetarlos después que el imperio esté asegurado por la parte votos de 109 , habiendo tenid…</t>
  </si>
  <si>
    <t>…hará en cada pueblo de las sobre el tiempo que deben durar las facultades extraordinarias provincias establecidas por la última división de territorio. concedidas al Gobierno. El Sr. Varela pidió que sekyese el art. 17 del decreto sobre Dicha comisión , en vista de la proposición del Sr. Marau división de territorio, y asi se verificó. para que se declare que las medidas extraordinarias concedidas al El Sr. Alvarez (D. Elias) dijo que á consecue…</t>
  </si>
  <si>
    <t>…tiene el honorber. Aprobado. Art. 8.° Se recomienda al Gobierno el que conceda las con de hacer á las Cortes. decoraciones superiores que conocemos en la gerarquía civil á los El Sr. Varela dijo que deseaba que el Gobierno dijese fran generales en gefe ó de división que después de haber ganado re camente si los comisionados que ¡un ido á América tienen facul compensas en fincas ó pensiones contrajesen algún nuevo servicio tades para tratar de la…</t>
  </si>
  <si>
    <t>Várela, Nicolás de Ponce y</t>
  </si>
  <si>
    <t>Nicolás de Ponce y Várela</t>
  </si>
  <si>
    <t>…ealistas ricamehte vestidos, la publicación de este aviso, al corregimiento de dicha ciudad y no solo los de Córdoba, sino los de otros pueblos vecinos. Al escribanía de número de D. Nicolás de Ponce y Várela, por sí ó arribo de las Reales Personas entraron los Reyes nuestros Se por medio de procurador con poder suficiente, á exponer lo que ñores en un magnífico carro triunfal, tirado por los voluntarios mejor les convenga; en inteligencia de que pasado el plazo l…</t>
  </si>
  <si>
    <t>VareTa</t>
  </si>
  <si>
    <t>…tomar esta provincia, que con tanto zelo »é han apresurado ¿ corresponder á la determinación. invitacipnide la diputación provincial. Gloria y honor á tus indi El Sí. Isturiz: El Sr. VareTa ha dicho todo lo qué sobre el parti viduos. „.................... cular puede decirse; porque, señor, ó la España europeo-considera como Valenciano dt Marzo. parte suya á la América, ó no ; sino la considera c^mo tal, en este ca Clon motivo de tomar precaucio…</t>
  </si>
  <si>
    <t>Vareta, Josef</t>
  </si>
  <si>
    <t>Josef Vareta</t>
  </si>
  <si>
    <t>…campana de los buzos, y hacerla, conde de S. Juan, vecino dt Santiago de Galicia, y residente en Ma como en el día 10 es, uno de los instrumentos mas útiles, no solo pa drid , ó á D. Josef Vareta, plazuela de los Pájaros. jas! arte de construir bajo del agua i mucha profundidad, sino tamEN LA IMPRENTA NACIONAL.</t>
  </si>
  <si>
    <t>Vargas</t>
  </si>
  <si>
    <t>…l 13 Cananas..................................... 2 3 Del nyuMtani..! (o constitucional y milicia nacional de Andnjar, Aumento pata lo» litorales y íront.rizos. prrscntjdas por e¡ Sr. Vargas. , * 3 5,7 ciudadanos de la ciudad de Granada, por el Sr. Ruiz de Total..................... 16 30 óo b Vega, Del ayuntamiento de Criv-ra del Rio Aihama , provincúade Logro- Después de a’gunas ligeras obs-rvac'oncs hechas por el Sr. B n’to, l’ni por el Sr. Ad…</t>
  </si>
  <si>
    <t>…su nación, y con una magnificencia digna del ministro de un gran Rey. Entre las FRANCIA. personas de distinción que asistieron á esta brillante tertulia es A.v 24 de Junio.taba el caballero Vargas, aquel fiel servidor de Carlos iv , cuyo representante ha sido por mucho tiempo cerca de Ja Santa Sede. Me apresuro á comunicaros las noticias que acabo de '■•'•ib;? F1 aire de satisfacción que se notaba en su fisonomía confirma por conducto muy fidedigno. ba…</t>
  </si>
  <si>
    <t>…2 años y 6 diai. golpe fatal. ( Diario de Roma. ) Sayona 7 ds Setiembre. Idem 23. El sitio de Pamplona empezó el tres del corriente según te Hoy ha llegado ¿ esta capital S. E. el caballero Vargas y níamos anunciado. Nuestras tropas se apoderaron de las obras Laguna, nombrado por S. A. S. la Regencia de España enviado exteriores en la mañana del cuatro á la bayoneta y á los gritas extraordinario y ministro plenipotenciario de S. M. Fernan de vina ei Re…</t>
  </si>
  <si>
    <t>…los bue el Quirinal hasta la plaza de S. Luis: fue recibido en la puerta de nos, y mucho mas para nosotros, -que fuimos los primeros en la iglesia por el Embajador de Francia y el caballero Vargas, Mi condolernos de vuestras desgracias: asi que, Señor, si en tan nistro plenipotenciario de S. M. Católica cerca de la Santa Sede* apurados tiempos supimos guardaros amor y fidelidad- inaltera y el Cardenal de la Fare le dió el agua bendita. ble, reinándola…</t>
  </si>
  <si>
    <t>Vargas, Antonio de</t>
  </si>
  <si>
    <t>Antonio de Vargas</t>
  </si>
  <si>
    <t>…rancisco Tadeo Calomarde.” » La Regencia del reino ha tenido á bien nombrar para la se » La Regencia del reino ha tenido í bien nombrar para la cretaría de Estado y del Despacho á D. Antonio de Vargas y secretaría de Estado y del Despacho de Marina á D. Luis de Laguna; no habiendo podido dudar S A- en el acto mi.-mo de Sa azar, consejero de Estado, teniendo S. A. en consideración su instalación que debía ofrecer esta prueba de su confianza á sus distinguid…</t>
  </si>
  <si>
    <t>Vargas, Beatriz Faria de</t>
  </si>
  <si>
    <t>Beatriz Faria de Vargas</t>
  </si>
  <si>
    <t>…n gefe ha visto con mucho sentimien ' A los poseedores ó administradores respectivos del patrona to que no obstante lo mandado en la orden general del egérci to de legos que fundó Doña Beatriz Faria de Vargas, y disfru to, con relación 4 que los cuerpos no tengan almacenes, depó taron Doña Beatriz González de Villalba y D. Josef Diez de sitos de armas ni vestuarios, pues que el soldado debe tener to Tejada, vecinos que fueron de la ciudad de Antequera por ios das…</t>
  </si>
  <si>
    <t>Vargas, Joaquín Cordero y</t>
  </si>
  <si>
    <t>Joaquín Cordero y Vargas</t>
  </si>
  <si>
    <t>…rar beneméritos de D. Cristóbal de Vicuña, se halla pendiente la ocurrencia de acreedo la patria, con arreglo al art. 8.° del decreto de las Cortes extraordina res á los bienes de D. Joaquín Cordero y Vargas, oficial que fue de rias de 8 de Febrero último, á los individuos de la diputación provin Correos, en la cual á instancia de los síndicos, ha mandado citar y cial de Soria D. Miguel Cabrera de Nevares, gefe político , presidente; emplazar á todos los que se c…</t>
  </si>
  <si>
    <t>Vargas, María del Cármen Alvarez de</t>
  </si>
  <si>
    <t>María del Cármen Alvarez de Vargas</t>
  </si>
  <si>
    <t>…e, D. Jacinto Román de Arroyo, y entre otras damas de la primera nob'eza del país *e distinguían las Excmas. Se *» Setmo. Sr.: La villa de Villafrartca de los Caballeros, en ñoras Doña María del Cármen Alvarez de Vargas, y Doña el priorato de S. Juan, provincia de la Mancha, representad* María Drolayer de Villena. Fue numeroso el concurso , tanto por su ayuntamiento realista, suprimido el que existía intruso de extrangeros como de españoles residentes en esta corte, co const…</t>
  </si>
  <si>
    <t>Vargas, Matías</t>
  </si>
  <si>
    <t>Matías Vargas</t>
  </si>
  <si>
    <t>…aislo entendido Paula Abilés; al capital» de caballería de Borbon D. Antonio Galin- ; para su cumplimiento , y dispondréis se imprima, publique y circule. do; al alférez del mismo D. Matías Vargas, y al cadete D. Josef Go- 1 =Rubricado de la Real mano. = En palacio á 16 de Diciembre de mez; al intrépido comandante de Lanceros de Rioja D. Francisco Ruiz,; 1822.=A D. Miguel López Baños. al teniente D. Fermín Laburno, y al alférez D. Antonio Sardie.’* Cir…</t>
  </si>
  <si>
    <t>Varida</t>
  </si>
  <si>
    <t>…que en el articulóse decía; sin - Después de algunas observaciones hechas por el per judio de sufrir la pena señalada Scc. Sr. Garoz á las que satisfizo el Sr. lluiz de la Vega El Sr. Varida impugnó el artículo en concepto puedo aprobado este artículo. de inútil, porque las palabras cpie verse priiv ipál Aid. 5. ° Cuando existan personas llamadas nu- mente sobre los dogmas ofrecía nn campo vaslo tia fiiiriülimoiie para suceder cu las capellanías,…</t>
  </si>
  <si>
    <t>Varóla</t>
  </si>
  <si>
    <t>…Ove.; añadió que la restricción que se le pomade su aplicación ; por lo mismo concluyo desaprobando el artículo. de hacerlo con acuerdo de la diputación provincial seria un cor EL Sr. Varóla hizo presente al Congreso que podía llegar el rectivo sino fuese individuo de esta corporación; pero siéndolocaso en que este tomara una resolución, y cuando esta llegase a</t>
  </si>
  <si>
    <t>Varzea, General Vizconde de</t>
  </si>
  <si>
    <t>General Vizconde de Varzea</t>
  </si>
  <si>
    <t>…asta el de 1815 inclusive: un tomo en 8.°__Historia cier Cuartel general de Estremoz nj de Noviembre de 1823. ta de la secta de los franc-masones, su origen , doctrina y máxi ,,E1 Sr. General Vizconde de Varzea, habiendo hoy recibi mas: tercera edición__Historia de la nueva Antígona : un tomodo orden de S. A. el Sermo. Sr. Infante D. Miguel , Comandan en 8.°__El Judío errante, ó Compendio histórico de los princite en gefe del ejército, pata disolver el cuerpo de obs…</t>
  </si>
  <si>
    <t>Vasallo, Alejo</t>
  </si>
  <si>
    <t>Alejo Vasallo</t>
  </si>
  <si>
    <t>…* todos ios que p • can por su patria, de su teniente D. Jos:!" Tato, y la otra de Aragón al de! subteniente proporcionándola día. de gioria con.tr* todos l-.s malvados que inten D. Alejo Vasallo; el fuego que estas empezaban llamó la atcnc on de tan sumirnos en la anarquía. , las otras dos extraviadas de Erado y Gómez , las que habiendo apresura » Columna volante en pm-cucion de lace osos. _bxcmo. Señor: do el paso, llegaron todavía á tiempo de unirs…</t>
  </si>
  <si>
    <t>Vasallo, Bartolomé</t>
  </si>
  <si>
    <t>Bartolomé Vasallo</t>
  </si>
  <si>
    <t>…ai de campo D. Joscf de nan- demas de ¡1 Península. juan , ha venido en habilitar para su despacho durante ella al La Regencia del Rein'o , convencida del importante servi Coronel D. Bartolomé Vasallo,' ofical mayor de la ra ima secre cio que el zelo de D. Manuel Gorrzaiez y demus que coopera taria. Tendreis o entendido, y lo comunicareis á quien corres ron i esta arriesgada empresa han hecho á la justa causa del ponde para su cnitip irmento.crEst, rubrica…</t>
  </si>
  <si>
    <t>…coronar sus esfuezos en favor de la li ponda para su cumplimiento, = Está rubriVado.zzMadrid 31 de bertad de Duestro cautivo Monarca , que debe fijar la futura Agosto de 1823.— A D. Bartolomé Vasallo. suciía y felicidad de su-, pueblos. Carpió 2Ó de Junio de 18/3. —El alcalde i.°, presidente.=Luis Jo^cf Espinosa.=Lu . MayorContinúan las exposición:! dirigidas á S. A. S. la Regencia del ga , regidor. El alcalde 2.0 Mattin Molina, diputado. = Fran Reino. ci…</t>
  </si>
  <si>
    <t>Vasconcelos</t>
  </si>
  <si>
    <t>…har la artillería, y poner piquetes gos. El general Pego mandará todas las tropas reunidas en Trascerrando todas las avenidas de la puerta del Sol. Los garroteros los-Montcs, y el mariscal Vasconcelos las que se reunieren en no cesaban de correr las calles, y no se puede comparar su des la provincia de Beba. caro sino con la moderación y paciencia de la tropa, pues casi á El Gobierno habia recibido aviso de haber entrado en Porbayonetazos tenían que hacerl…</t>
  </si>
  <si>
    <t>Vasserot</t>
  </si>
  <si>
    <t>…ca el barón Gressot, el vizconde Vallin, el vizconde Toussaint , ei viz tura de primera instancia del partido de S. Julián de Poulo ha queda conde Pedeport , el vizconde jamin, el vizconde Vasserot , el barón do vacante esta plaza, y para su provisión se admiten memoriales po( Berge , el barón Ordonneau ,’el conde de Meynadier, el barón Vin- término de 30 dias. cent , SchaetíVr, el barón Haber, el vizconde Vionet de Maringone, el Dirección general Je co…</t>
  </si>
  <si>
    <t>Vasserót</t>
  </si>
  <si>
    <t>…E MAYO DE 1823. —------------— ■ -—:—ü¡ü¡üüp-^ —;------------: -----------------NOTICIAS DE ESPAÑA. brigada con sus estados mayores han salido también de Perpiñan__ La brigada del general Vasserót, compuesta de 1500 in Barcelona 17 de Abril. fantes, efectuará la entrada por la parte de Bañuls: la dci gene Han salido del puerto de Marsella para nuestras costas el ral Ficot, su fuerza de 23 hombres, por la parte de Crret; y bergantín de guerra el Liárnos…</t>
  </si>
  <si>
    <t>Vatdés</t>
  </si>
  <si>
    <t>…desaprueboel dérechoel dictamende acudir, ya enporjusticia.las razonesConc:u-que Leída y aprobada el acta de la anterior, se mandaron agregar i ella muy oportunamente manifestó el Sr. Vatdés, y ya también por Jas los votos particulares de los Síes. Meló , Buey y Arias , contrarios á la que he tenido el honor de exponer 4 la consideración-del Congreso. resolución de las Cortes, por la que se acordó que sean públicas las se El Sr. Canga: El Sr. Alo…</t>
  </si>
  <si>
    <t>Vázquez, Francisco</t>
  </si>
  <si>
    <t>Francisco Vázquez</t>
  </si>
  <si>
    <t>…lla , .í la» órdenes del teniente coronel mayor nos acreedores á todo elogio el capitán D. Josef Arcos, el te de la Reina D. Manuel Frías. niente D. Mariano López, y los alféreces D. Francisco Vázquez, Tararla la minea activa , ja R.e¡na y* 1M. N. L. de Scvilra , y D. Tomas López y D. Lúeas Gastón, el cadete D. Josef Nieto el demás servicio el mismo. y sargento Juan Forreto, pues todos á porfia rivalizaron por en Patrullas las detalladas. señar á sus subor…</t>
  </si>
  <si>
    <t>Vázquez, Joaquín</t>
  </si>
  <si>
    <t>Joaquín Vázquez</t>
  </si>
  <si>
    <t>…discusión acerca de las dirección general de estudios para la resolución conveniente Jas exposicio relacione» de la Francia Ce la España, á causa de algunas &lt;¡1 «instancias nes de D. Joaquín Vázquez, D. Josef Campo y D. IRafacl Mendoza. espcc ales y recientes. Aprobado. El innques de Lansdosvn, que había interpelado al conde de Liver Se mandaron quedar sobre la mesa varios dictámenes de comisiones. pool sobre este particular , contesto hallarse satisfech…</t>
  </si>
  <si>
    <t>Vázquez, Joscf</t>
  </si>
  <si>
    <t>Joscf Vázquez</t>
  </si>
  <si>
    <t>…puede decir lo querapa, y le había puesto en dispersión y fuga , matándole cuatro siempre se ha dicho de los ultras franceses. .V.j.u aprmaleron , vhombres, entre ellos á su nuevo comandante D. Joscf Vázquez, sobrino del cura de Louzareda. Veinte y cinco hombres y un riada olvidaron ,- y asi no hay hombre de mediano juicio que no oficial'de la milicia activa de Pontevedra tuvieron parte en esta compadezca su obcecación en pretender que todo vuelva al mis mo ser y…</t>
  </si>
  <si>
    <t>Vázquez, Josct</t>
  </si>
  <si>
    <t>Josct Vázquez</t>
  </si>
  <si>
    <t>…oble todo oí tiempo de servicio que La comisión de Legislación del año ¡dio , habiendo exami estuvo sobre tas-armas para el restablecimiento del sistema nado la duda propuesta por D. Josct Vázquez l Loa , vccrno de oui-t uic.onal: la comisión op.naba que podía accedersc a esta Yiilafrunca , en Extremadura , sobre ¡a vei ¿adera inteligencia del</t>
  </si>
  <si>
    <t>Vázquez, Josef</t>
  </si>
  <si>
    <t>Josef Vázquez</t>
  </si>
  <si>
    <t>…n mismo que había hallado su conducta rateramente trazada en despavoridos y desordenados, dejando cuctio muertos, y entre un documento escrito por su predecesor í ellos á su nuevo comandante D. Josef Vázquez, sobrino del Y en efecto, Bel á este plan, le hemos visto justificar la in cura de Louzareda, que sucedió en el mando al referido conde, vasión de Ñapóles por el Austria. De ahi debe inferir eí Go que exoneraron los mismos facciosos. Les cogieron ademas algu…</t>
  </si>
  <si>
    <t>Vázquez, Rainon</t>
  </si>
  <si>
    <t>Rainon Vázquez</t>
  </si>
  <si>
    <t>41 lu fuerza entres columnas con dirección al pueblo de Mo'men- capitán retirado llamado D. Rainon Vázquez. La salida que aho W, á la izquierda, que era el punto mas descubierto , mandé for ra mismo, me es indispensable emprender en p-./sei.uir sus restos mar una auerrilía á las ordenes del teniente D. Manuel Palacios, no me permite dirigir á V. E. una relación ex…</t>
  </si>
  <si>
    <t>Vcar, Juan</t>
  </si>
  <si>
    <t>Juan Vcar</t>
  </si>
  <si>
    <t>…Vega. putados. Del ayuntamiento const.tucíonal de Monterrubio. Varios periódicos de Paris rep ten por válido el anuncio de una exci _ Al Gobierno se mando pesar una exposición de D. Juan Vcar , oficial sión formal entre Villcle y Chateaubriand, habiéneiose opuesto el primero retirado y miliciano voluntar.o de la ciudad de Soria, p dundo se- le desti— á ia publicación de-l manifiesto contra España, sobre el cual parece que el bc de so.dado vo.unt.n…</t>
  </si>
  <si>
    <t>Vcídés</t>
  </si>
  <si>
    <t>…y asi sucesivamente, quedando sujetas Ja cr-mision se s rv -á modificar el a'tfculo con arreglo á ella. estos últmios otra v,z al sorteo conforme lo previene el articulo, a fin Kl Sr. Vcídés ( D. Cay-tarso): E* artículo que se discute está redu de qu: todos quedasen sujetos á s.rv r seis años. cido á que debiéndose licenciar uní sexta part: lodos los años , en los El Sr. Infante confitó que la otra vez que se trató de este asunto pueblos ha de ha…</t>
  </si>
  <si>
    <t>Vckbco, Antonio Martínez de</t>
  </si>
  <si>
    <t>Antonio Martínez de Vckbco</t>
  </si>
  <si>
    <t>…á los de medicina en los alternos 36 , 37, 38 , 39, de Soria , por la de Granada; D. Dionisio Valdes, por la de 40 v 42 del mismo capítulo. Art. 16. Los cirujanos mayores Madrid; D. Antonio Martínez de Vckbco, por la de Burros, tambán igualmente respecto de su profesión y súbddos las obliga y D. Manuel Llórente, por la de Galicia; y para suplentes á los ciones que prefijan á los médicos mayores los.artículos 43 , qq,, Sres. D Joaquín Abren, diputado por la provinc…</t>
  </si>
  <si>
    <t>Vclasco, Manuel</t>
  </si>
  <si>
    <t>Manuel Vclasco</t>
  </si>
  <si>
    <t>…aciones la inter diatas órdenes del mismo general al teniente coronelD. Santiago vención que les señale el Gobierno, dando cuenta de Jos abusos !Najera: por ayudante de catnpo del general D. Manuel Vclasco que notaren,'sin entrometerse ni entorpecer las obras ni á sus di al teniente coronel D. Antonio Ricote, y á sus inmediatas órde rectores. Aprobado. nes el coronel D. Josef Andra y el teniente coroneL D. Diego Art. 120. Formarán tambiemexpediente para acordar…</t>
  </si>
  <si>
    <t>Vcrgara, Francisco</t>
  </si>
  <si>
    <t>Francisco Vcrgara</t>
  </si>
  <si>
    <t>…tamento constaran de unas 400 pág¡. Cristóbal Cabrero, D. Ped o Antonio Fernandez Rriuz, Don ñas cada uno de ellos, El primero, que contiene los Santos eoan. Dionisio PerezGü'rra, D. Francisco Vcrgara , D. Francisco ¿elios y los Hechos de los Afistoles, esta ya impreso, y puede García, D. Jaime Fabregucs Boisar, D. Francisco Juárez Val- servir como de maestra para los que gusten suscribirse al tomo dés, D. Santiago Fontaines , D. Josef Antonio Jiménez, Don…</t>
  </si>
  <si>
    <t>Vdlanucvá</t>
  </si>
  <si>
    <t>…n de Guerra en lugar disensión. «¡ó los Sres. Grasos é Infante á los Srcs. Ayllon y El Sr. Canga convino también en esto, y habien &lt; -nnraléas ( O. José María ). do manifestado el Sr. Vdlanucvá (otro de los indi A la Comisión da Legislación- se mandaron pasar viduos de la comisión) que no convenía en que se sus varias adiciones de ios .Síes, Solivien y Aion/.o al pro pendiese , se declaró haber lugar á votar en lá to a-reto de decreto sobre amor!.¡/…</t>
  </si>
  <si>
    <t>Vdluela, Benito</t>
  </si>
  <si>
    <t>Benito Vdluela</t>
  </si>
  <si>
    <t>…res, de que estaba infestada ronel agregado al E. M. de Madrid D. Rafael Paredes, y al Ja provincia, contaba ya con mas de 50 ladrones presos en la comandante de batallón retirado D. Benito Vdluela. cárcel; pero que se le había quitado el conocimiento de las causas El estado mayor general del ejército lo compondrán por aho de estos reos con grave perjuicio de la vindicta pública, y por ra el primer ayudante general D. Josef de Heccta, los segundos lo mi…</t>
  </si>
  <si>
    <t>Ve, Juan de Landeras</t>
  </si>
  <si>
    <t>Juan de Landeras Ve</t>
  </si>
  <si>
    <t>…das por el Go Se han extraviado varios privilegios originales de juros propios de bierno francés, ó cuyo pago se hubiere solicitado directamente del mis mayorazgos y fundaciones á D. Juan de Landeras Ve lasco y D. Ma mo Gobierno, sin haberse hecho la correspondiente reclamación por nuel Perez , y son los simientes: uno de 1700 mrs. , sluado en la ren la comisión Real de París. Decimocuarto: Se pagarán en los términos ta de diezmos de la mar de Castilla, en f…</t>
  </si>
  <si>
    <t>Vea-Murguia, Josef</t>
  </si>
  <si>
    <t>Josef Vea-Murguia</t>
  </si>
  <si>
    <t>…l país, enseñaron Ja lengua inglesa á sus nuevos amigos, y nombrado el Excmo. ayuntamiento á los individuos siguientes: vinieron á ser fundadores de una colonia. D. Luis Gafgollo, D. Josef Vea-Murguia, D. Domingo One En 1797 fue cuando la sociedad de las misrones de Londres to. Suplentes. D. Francisco Antonio I.nrrasa , D. Tomas López empezó á pensar seriamente en introducir el cristianismo en las Calderón. Cádiz 13 de Setiembre de 1823 , año cuarto de la…</t>
  </si>
  <si>
    <t>Vea-Murguía, Juan F’aut-slu</t>
  </si>
  <si>
    <t>Juan F’aut-slu Vea-Murguía</t>
  </si>
  <si>
    <t>…tes el bando publicado por Puga , D. Félix Josef Reinoso , D- Agustín de Goicovchea , .* hm el Excmo. ayuntamiento de- esta capital en 11 de Junio de 1822, Josef María Villaianda, D. Juan F’aut-slu Vea-Murguía, Don por d cual se prohibió la venta de papeles públicos por las calles Juan de Fuentes, D. Fernando de la Peña y D. ígnaco Ameni en puesto fijo, sino en Jas librerías ó sitio destinado á este Ucr, ha declarado'»•/ haber 1 n a 1*1,&gt;.•;»« &lt;• : .rusa , por obje…</t>
  </si>
  <si>
    <t>Vecino, Josef Alaría</t>
  </si>
  <si>
    <t>Josef Alaría Vecino</t>
  </si>
  <si>
    <t>…agistrados de la audiencia de Valladolid D. Francisco Gutiérrez Sosa, D. Angel Govantes , D. Agu-tin Rodríguez Gefe de dia el coronel de Ja Reina D. Francisco Fernandez Bahamonde, D. Josef Alaría Vecino y D. Cayetano Aluñiz, y Golfín. _ Servicio á palacio la milicia activa y la nacional local Jos fiscales D. Miguel Cornejo y D. Josef Rodríguez Busto sa de Sevilla, á las órdenes del comandante interino de la Reina lieron de aquella ciudad al acercarse los enemigos, y se traslada…</t>
  </si>
  <si>
    <t>Vedo, Ramón Gómez de</t>
  </si>
  <si>
    <t>Ramón Gómez de Vedo</t>
  </si>
  <si>
    <t>…las mismas miserias y estado deplorable que ex Valdés. El i.° y 2,° escuadrón de la Union, mandados por su perimentan los pueblos que aun gimen bajo el tiránico yugo de intrepido coronel D. Ramón Gómez de Vedo ya, pasaron los una horda de parricidas del suelo en que nacieron, y del cual ios barrancos para sostener el primer escuadrón de la Guardia; y el soldados nacionales'bien' pronto los harán desaparecer, logrando resto de la caballería marchó detras de Cantabri…</t>
  </si>
  <si>
    <t>Vedoya, Ramón Gómez de</t>
  </si>
  <si>
    <t>Ramón Gómez de Vedoya</t>
  </si>
  <si>
    <t>…____________dales primeros pero tuvieron la suerte de poderse distinguir en en fin fueron en España los que tuvieron un verdadero Gobierno re í combatir; grado heroico el teniente coronel D. Ramón Gómez de Vedoya, los presentativo; y posible que los descendientes de aquellos hom oficiales y tropa del cuerpo de su mando dragones de la Union; el te bres generosos se hubiesen viciado y corrompido de manera que quisie niente coronel graduado capitán de cazadores del prime…</t>
  </si>
  <si>
    <t>…ero tuvieron la traía , o bien si variaba á la derecha le era forzoso presentarse de suerte de poderse distinguir en grado heroico el teniente coronel frente á nuestra infantería. D. Ramón Gómez de Vedoya , los oficiales y tropa del cuerpo Mi primer proyecto no pudo cTectuarse, pues llegando Jn ca de su mando dragones de lá Union; el teniente coronel graduado beza de dragones de la Union á la altura del costado izquierdo capitán de cazadores del i.° del Imperi…</t>
  </si>
  <si>
    <t>Vega, Carlos</t>
  </si>
  <si>
    <t>Carlos Vega</t>
  </si>
  <si>
    <t>…sco Arizcun prisioneros (6).” D. joicf Muñoz, D. Pedro Ballesteros , D. Juan Gavina, Don *&gt; Campamento de S. Gerónimo 26 de Junio de 1823. Josef López Robredo, D. Joaquín Cortina, D. Carlos Vega, n En este instante acabamos de llegar á este campamento de D. Saturnino Heras y D. Salvador López, bajo la dirección del una gran acción y retirada que hemos tenido, en la que hemos P. Ildefonso Milla. El respetable concurso que los presenció librado la vida…</t>
  </si>
  <si>
    <t>Vega, Ruiz de Ja</t>
  </si>
  <si>
    <t>Ruiz de Ja Vega</t>
  </si>
  <si>
    <t>…ha clamado mucho por ¡a extinción del En el primer escrutinio no hubo elección por haber reunido 48 vo papel moneda, y no distamos de creer que pueda realizarse , porque la tos el Sr. Ruiz de Ja Vega y 47 el Sr. Sánchez, reuniendo ios restan cantidad que circula es de poca entidad, y se cuenta con unos fondos tes hasta 11 z los Sres. Ferrer (D. Joaquín), Nuñez(D. Tonbio) - Flo que pueden amortizarla. tes Calderón , Falcó, Escúdelo, Sedeño, Meiendci y Pedr…</t>
  </si>
  <si>
    <t>Vega, Ruiz Je la</t>
  </si>
  <si>
    <t>Ruiz Je la Vega</t>
  </si>
  <si>
    <t>…establecido de pasar de los descen car ekc. El Diario constitucional de la Coruna publica con fecha dientes á los ascendientes , y de estos á los hermanos. del 3 lo siguiente: El Sr. Ruiz Je la Vega: La primera dificultad del Sr. pre si Entre dos y cuatro de la tarde se aproximo el dia domin opinante está satisfecha diciendo que la comisión no creyó pre go un navio de guerra con bandera francesa en el palo tnesana á ciso expresar qué autoridades deberán…</t>
  </si>
  <si>
    <t>Veiarde, Joaquín María</t>
  </si>
  <si>
    <t>Joaquín María Veiarde</t>
  </si>
  <si>
    <t>…pas Libertadoras, que fueron riscal de campo D. Francisco Bucheli, y i los tenientes genera recibidas en ella con las mas numerosas y f-stivas aclamaciones, les D. Manuel Zappino, D. Joaquín María Veiarde y D. Gre y ni antes ni después manchó ei menor desorden su patriótico gorio Rodríguez; para las de feos de marina á los tenientes gene pronunciamiento; pues aunque el puebto en el fervor pr m-ro rales D. Julián de Recamosa y D. Diego Contador; para la de manifestó su…</t>
  </si>
  <si>
    <t>Veiasco</t>
  </si>
  <si>
    <t>…cia de Guadalajara.=Srcc¡on de Gobierno políú-o = » F.xcmo. Sr.: Por los partes recibidos &lt;n esta tarde se me 2 que r° „ Excmo. Sr. : El general Empecinado con fecha de ayer 19 el general Veiasco ha batido la columna de facciosos qne se h.jii ex desde Alruadrones á las doce del día me dice lo siguiente : Exemo. se tendido hacia Molina, y que se dirige sobre los de Medinaceu. Si tu ñor: Con fecha 18 del actual me dice el teniente coronel de los ejérci…</t>
  </si>
  <si>
    <t>…es. Las D -1 c .luido de la catedral de Burgos y seminario conciliar de aque Cortes no ignoran la historia de los concordatos; estos no han sido mas lla ciudad, presentadas por el Sr. Veiasco. que unos pactos leoninos, en los que se han visto precisados los Reyes</t>
  </si>
  <si>
    <t>…s héroes de la patria sirvan para En primer lugar quedó elegido el Sr. Sánchez por 68 votos, teniendistinguir bandos y partidos; ¡Será creíble que un pueblo libre esté en do 30 el Sr. Veiasco, cuatro el Sr. Soria , cinco el Sr. Marchámalo, choque con los defensores de la misma libertad , contra el heroico ba 3 el Sr. Munarriz, y uno respectivamente los Sres. Soberon y Tomas. tallón de San Marcial, que fue el primero que se pronunció por la Total i…</t>
  </si>
  <si>
    <t>Veíasco</t>
  </si>
  <si>
    <t>…icha exposición, y se mandó pasar á las comisiones en la parte contenc osa, porque á esto se oponen los artículos . de Hacienda y Eclesiástica. 245 y 248 de la ley fundamental. EL Sr. Veíasco, luego que es Se a probo la siguiente proposición de la comisión de Legisla té aprobado este dictamen, podrá hacer una adición, que pase á ción : » Teniendo presente esta comisión que á fines de la última la comisión de Hacitnda. legislatura ordinaria present…</t>
  </si>
  <si>
    <t>…pasado. Extracta parece mas con ven Unte el que se lijase alguna regla. Ultima remos hoy lo mas interesante. Se da ya por seguro que los fac mente pe»- la adición propuesta por el Sr. Veiasco se dice hijos, ciosos de Valencia no han querido aguardar al general Balleste padres ó hermanos, sin. dar- una preferencia determinada á los ros , y han levantado el bloqueo: tenemos varios partes que no* primeros sobre los segundos, y á estos sobre los terce…</t>
  </si>
  <si>
    <t>Vel.uco</t>
  </si>
  <si>
    <t>…e ali voluntarios___Habiendo sido absueitos por el consejo de guerra mentar con ellos á su madre y hermanos. ordinario , celebrado en esta plaza el 10 del corriente, los sargen El Sr. Vel.uco: Pudiendo suceder que esten en país libre los tos, del tercer reeimiento de artillería Francisco Espejo, v el de padres de los que esten fuera de España, padres que subsistían de infantería de la Reina Josef Jiménez, acusados de campée, dad una pensión , hija…</t>
  </si>
  <si>
    <t>Vela</t>
  </si>
  <si>
    <t>…la pasada elección para evitar que se reproduzcan.” ble, aun cuando la Inglaterra quiera poner, como suele decirse , toda No hubo lugar ¿ votar sobre la siguiente proposición del Sr. Vela carne en ti asador para atajar el rompimiento; cuanto mas , si se lasco -. n Habiendo en las oficinas det ayuntamiento de esta heróica i'ilimita á reservar para cierto periodo de la guerra sus últimos esfuerzos, Jla algunos dependientes milicianos voluntarios…</t>
  </si>
  <si>
    <t>Vela, Jostf Joaquín</t>
  </si>
  <si>
    <t>Jostf Joaquín Vela</t>
  </si>
  <si>
    <t>…mplazo Art. 7.° » Una junta, compuesta del primer cirujano, cirujano ma del egército. yor y consultor empleados en el primer distrito militar, y de que será Se concedió licencia i D. Jostf Joaquín Vela ico para jurar su secretario un primer ayudante del cuerpo, juzgará el mérito de Jos plaza de juez de primera instancia en el punto donde reside en vez de opositores, y fijará la censurada cada uno de ellos, que extenderá el la audiencia de Cáceres. secretari…</t>
  </si>
  <si>
    <t>Velaico</t>
  </si>
  <si>
    <t>…, por el Sr. Moreno. de que ne quieran,hacerlos que se vuelvan ¿ su tierra. Del cura párroco de S- Gines , D. Juan Antonio Salcedo , y ca bildo eclesiástico de esta villa, por el Sr. Velaico. NOTICIAS DE ESPAÑA. Del ayuntamiento constitucional y milicia nacional voluntaria de Tora 8 de Enero. AUoy , por el Sr. Gisbcirt. Ayer por la noche salió de aquí una guerrilla compuesta de 14 sol Del intendente y demas empleados de la Hacienda públ.-is. de M…</t>
  </si>
  <si>
    <t>Velarrle, Francisco</t>
  </si>
  <si>
    <t>Francisco Velarrle</t>
  </si>
  <si>
    <t>…i. N. A. de Teruel D. Ildefonso Se’ .res__ F.t segundo tenienra de de la N icion española de los añas rlc i3r2 y 1 í¿ 3 t-n 'd secundo la guardia Real graduado de teniente cotonci D. Francisco Velarrle período de su legislatura ordinaria ; y iian elegido paia su presidente al Secretario del general en gefe, el teniente coronel Id. Gaspar He,,c. hr. D. Mar.uel Flores Calderón , diputado por la piovin-ta de Bur ros, oficial cesante ds la secretaría d- Guerra-…</t>
  </si>
  <si>
    <t>Velas</t>
  </si>
  <si>
    <t>…n ofi El Sr. González Alonso manifestó qne habiendo tenido á cial retirado, pidiendo se les permita voLver ai ejército para dc- bien conformarse el Sr. Oiiver con ia propuesta del Sr. Velas. fende-r los derechos de ia nación española, como lo hicieron en co nada tenia que contestar. la guerra de la independencia. En este estado se declaró el punto suficientemente discutido, A la de Instrucción pública una exposición de un miíic'ano ■y haber luga…</t>
  </si>
  <si>
    <t>Velas-, Diego Almagro y</t>
  </si>
  <si>
    <t>Diego Almagro y Velas-</t>
  </si>
  <si>
    <t>…-Unidos en La comisión de Legislación, en vista de las exposiciones de Don viado extraordinario y ministro plenipotenciaro en .México. Tamben Manuel Antonio Fernandez Pizario y de D. Diego Almagro y Velas- se han hecho los nombramientos para otros puntos de la Arr.énc?, co, opinaba que podian las Cortes declarar no haber lugar á deliberar aunque solo con el título de ministros plenipotenciarios. Y’ había lle sobre ellas por pertenecer al poder judicial su resol…</t>
  </si>
  <si>
    <t>Velasco</t>
  </si>
  <si>
    <t>…general Lacy, renovaré y continuaré mis » Excmo. ár.: Tengo el honor de pone* en conocimiento de V. B. esfuerzos para contribuir en cuanto pueda a la salud de ¡a patru: pro que el general Velasco se halla en Fraga con el designio de sitiar á Me- curaré , siguiendo las pisadas de mis antecesores en el mando , merecer quinenzt, para cuya empresa cooperaré con cuantos auxilios pueda fa vuestra confianza y grangearme el aprecio de todos ios impív dos que…</t>
  </si>
  <si>
    <t>…prendas d- vestuario de los mismos dían declarar no haber lugar á votar sobre la proposición referida. facciosos, sin que en las casas ni fuera He ella, se hubiese cometido la El Sr. Velasco : He tenido el honor de firmar la proposición sobte mas p quena tropelía contra los ciudadanos de Valcarlos , pues ademas la que recae el dictamen; y cuando lo hice estuve bien distante de ha de ser esta conducta conforme á los benéficos principios que defien…</t>
  </si>
  <si>
    <t>…resistencia: conozco lo que ha lucho go criminal, el cual según una comisión debía suspenderse. Permíta en todos los siglos, y el modo con que siempre ha querido intimidar. me el Sr. Velasco que le diga que los señores de aquella comisión cre Preciso es, señor, no. olvidarnos de loque las Cortes tienen deter yeron que el código criminal necesitaba del auxilio ó cooperación del minado. de procedimientos para ponerse en práctica: no estamos en este…</t>
  </si>
  <si>
    <t>…11 crballos, con objeto de observar á aquellos mientras De 300 ciudadanos de Badajoz. preparaba otra operación. Del ayuntamiento constitucional de Badajoz. Para el efecto acudí al general Velasco por algún auxilio , y ha De la diputación provincial de Badajoz. biendo sido este de a8 caballos de Lusitania , con estos, y los que había Del comandante general del ir.0 distrito militaren su nombre y en esta plaza, que formaban el númrro de 40 zapadores, 50…</t>
  </si>
  <si>
    <t>…illería. Estas tro en seguida aprobado. pas van en persecución de los facciosos, que acosad s por la división Se mandaron pasar á la comisión dos proposiciones, una del Sr.So- del general Velasco, han llegado hasta la provirc;a de GuartabjaTa. moza para que al voto particular se añadiese la cláusula de sin perjuicio T r.c periódicos de Cádiz que alcanzan hasta el 14 no contienen mas de los recursos de nulidad, y de consiguiente de responsabilidad que…</t>
  </si>
  <si>
    <t>…al Velasco. la que llegué í las ocho y media de la mañana de hoy , habiendo en » Atacados con el mayor’denuedo por un número tan excesivamen contrado en el camino contestación del general Velasco á mis repeti te interior los facciosos, abandonaron el campo con la ligereza que acos dos oficios para que socorriese esta provincia , en la que me manifesta tumbran : en su huida fueron perseguidos* de cerca por los expresados ba debía llegar con las tropas…</t>
  </si>
  <si>
    <t>…us ocupaciones; pero que pudiera la comisión, atendida esta declaración de las Cortes, estar pre no obstante se les volveria á avisar. parada á contestar á semejante argumento! El Sr. Velasco: Como individuo de la comisión Eclesiástica en El Sr. Falcó quiso explicar las disposiciones del concilio de Tole cargada de formar el arreglo definitivo del clero, contestaré á las ob- do, diciendo que se declaraban vacantes las sillas cuando los obispos jcc…</t>
  </si>
  <si>
    <t>…en los dogma* -n ía moral ; pero sí El Sr. falcó deshizo algunas equivocaciones en que dijo había in puede intervenir en la disciplina, que es lo que e*,_ en coñudo con currido el Sr. Velasco. lo ‘sociedad. Esta disciplina es interna y• externa; y acerca de La El Sr. Marti ocupó la tribuna, y leyó un largo discurso, en el Pt ■ mera no puede determinar nada la potestad civil ^ pero sí respecto que después de manifestar que había estado mucho tiempo…</t>
  </si>
  <si>
    <t>…r este punto, como Eu cuanto al tercer punto que ha tocado el Sr. preopinante ba asimismo al númetc de eclesiásticos que proporcionalmente debieran manifestado ya lo suficiente el Sr. Velasco; pero ¡quién puede negar subsistir , acaso no hubiera impugnado su dictamen. Sin embargo no al Gobierno la facultad de expeler del territorio español al prelado que puedo menos de insistir en manifestar, como ya lo he hecho en otras en lugar de constituirse e…</t>
  </si>
  <si>
    <t>…ón tilla, De la comunidad de franciscanos de la ciudad de Logroño, en nú represando un lugre español que conducía. La escuadra inglesa, que con mero 37 , presentada y leida por el Sr. Velasco. objeto de exterminar á los piratas llegó el 24 de dicho mes á ia refe Del gefe político, intendente y diputados de la junta supletoria del rida isla , consta de la fragata Seringapatam, ui» bergantín y un cúter. reemplazo de Ciudad-Real, presentada y leida p…</t>
  </si>
  <si>
    <t>…el de la descripción del júbilo que causó en los habitantes de aquella ciudad la comisión. noticia de lo sucedido y resuelto en el día 9 en la sesión de las Cortes, A petición del Sr. Velasco se volvió á leer el dictamen. y la insertamos integra er. el artículo de Barcelona con unas hermosísiEl Sr. Buruaga le apoyó, manifestando que si se atendía al carácter maa quintillas, que vienen á continuación, y merecen ei aprecio de loa déla discusión en l…</t>
  </si>
  <si>
    <t>Velásco</t>
  </si>
  <si>
    <t>…a orador , es dar el párroco bajo su responsabilidad" la certificación de haber men de la comisión. cumplido ia edad ei contrayente, y ei vicario en -ni vista da ia coinp.tente El Sr. Velásco: He pedidp la palabra contra el dictamen de la comi licencia; y por consiguiente Fjbiendose seguido estos trámites, tomo nada sión , porque estoy persuadido de que la responsabilidad es el escollo donde consta en contrario, es claro que el jricario general es…</t>
  </si>
  <si>
    <t>…as modifi A ia de Instrucción pública una solicitud de dos emigrados pia- caciones que se crean convenientes. momeses para que se les reconozca el grado de bachiller que habían El Sr. Velasco: No me parecen convincentes las razones que hi recibido en la universidad de Turin. dado el Sr. preopinante en apoyo de su voto particular para aprobar el A la primera de Hacienda una solicitud de D. Josef Aparicio, proyecta en su totalidad ; el cual voy á im…</t>
  </si>
  <si>
    <t>…a la posibilidad de estos para mante precaria para cobrarla , y tal vez tendrán que hacer como ios alguaciles. nerle. Ha dicho el Sr. propinante que los pueblos no pueden pagar El Sr. Velasco me ha precedido en algunas observaciones que pausabas la contribución que deba sustituirse ; pero aunque S. S. ha procurado yo hacer sobre este punto. S. S. ha hablado de la colegiata de Lerma; eifurzar todo lo pos.bio esta arguuMiUo , no ha podido sacar una…</t>
  </si>
  <si>
    <t>…e estos les dieren, sin que la faita de esta circunstancia los comunes al conocimiento de los juzgados ordinarios. obste para que hostilicen al enemigo aun cuando no hayan teni El Sr. Velasco: Me opongo á este dictamen, porque en él do ocasión de recibir la aprobación de aquel. se priva al tribunal de Espoiios y Vacantes únicamente de Ja par Art. 6° ’i Debiendo ser lo» auxilio» que den los pueblos á te contenciosa, debiendo quedar igualmente priva…</t>
  </si>
  <si>
    <t>…los El Sr. Cano contestó que lo que el padre pagase por el hijo demás bienes que trae consigo el despotismo. no resultaría en perjuicio de Jos coherederos, porque estos lo des El Sr. Velasco pidió se leyese el art. 305 de la Constitución. contarían de la parte que tocase al hijo desertor. El Sr. Arguelles pidió se leyese el epígrafe del capítulo á que Habiéndose declarado el punto suficientemente discutido , adop corresponda» dicho artículo. tó l…</t>
  </si>
  <si>
    <t>…solutamente necesarias, según lo prescrito en aquel expedientes mandados formar. No se admitió á discusión por ej artículo, de nada servia el que se discutía. votos contra 3 1. El Sr. Velasco dijo que debían expresarse las alhajas que ha Otra del Sr. Infante, leída por segunda vez, relativa á qui bían de quedar en Jas iglesias, aunque Ja plata y el oro no eran voh/icse á su fuerza y v:cor el art. ó.° deí decreto de ¿.°de No necesarios para el cult…</t>
  </si>
  <si>
    <t>…s individuos deben tener igualdad de pido se lea. (Se leyó.) Acaban pues de o ir las Cortes que las pen derechos. siones deben tener por fundamento los servidos hechos en defen El Sr. Velasco: Profeso los mismos sentimientos que ios se sa de la libertad; y para contraarme al caso presente , pido se lea ñores preopinantes en cuanto á que otros negocios de mayor ín el oficio que el administrador de la aduana dirigió sobre este,asun teres que este de…</t>
  </si>
  <si>
    <t>…enerales &amp;c. para su dida serian responsables, sino para dar á la providencia un ca primir las comunidades religiosas y cabildos eclesiásticos. rácter mas vigoroso y mas justo. El Sr. Velasco: He tomado la palabra para impugnar este ar Ha dicho el Sr. preopinante que en Francia se usaba de cM.e ticulo en la parte que dice que podrán suprimir las autoridades método, yo r.o sé si se usa en efecto; peí o ya he dado las razo civiles: yo reconozco las…</t>
  </si>
  <si>
    <t>…gi to que por lo mismo debía declararse haber lugar á votar sobre este a cuyo favor se hubiere expedido. dictamen. Art. 2.° Todas ias liquidaciones pendientes y las ca tificac’oEl Sr. Velasco contestó á las observaciones hechas por los nes que no estuvieren libradas por los contadores de ejército que Sres. que habían impugnado el dictamen, apoyando lo expuesto darán sujetas á las reglas siguientes: Primera: El Crédito público por el Sr. Romero. se…</t>
  </si>
  <si>
    <t>…ión Habiéndose anunciado que continuaba la discus'011 del regla ni diferencia alguna entre este, proyecto y la ley citada do 25 de mento para la dirección general de Estudios , el Sr. Velasco, in Enero, y al contrario que no se hacia mas por el art. i.n que dividuo de la comisión, dijo que esta lo retiraba. •xigirc! cumplimiento de aquella ley, diciéndose que todos los Se leyó y procedió á la discusión del reglamento para los es establecimientos d…</t>
  </si>
  <si>
    <t>…e está suministrando caudales para ha Ed la votación para sexto individuo tuvo ei Sr. Valdes Píobilitar á los franceses á que ocupen de nuevo aquel país , pues ge tos 32 votos; el Sr. Velasco 2; ; el Sr. Salvato 29; el Sr. Tr¡neralmente se cree que un sugeto visible lia tomado prestado mi rerq; 2 cada uno de tos Sres. Canga , Pacíaco v Tonta»; v 1. ;c»llón y medio del banco de Inglaterra, con cuya cantidad ha nego pcctiv.imente los Sres. Gómez (D,…</t>
  </si>
  <si>
    <t>…Examinemos ahora si convendrá ó no convendrá que conti Los Sres. Sotos y Buey hablaron en contra de este dictamen; núe en América la guerra desoladora que existe allí. He oido el Sr. Velasco en pro, y en seguida se suspendió esta discusión. con no poca extrañeza la esperanza lisonjera que se tiene de que .Se procedió á la discusión del dictamen de la comisión de se puede esperar aun un medio de pacificación; pero fundándose Ultramar, relativo á l…</t>
  </si>
  <si>
    <t>Velasco, Francisco</t>
  </si>
  <si>
    <t>Francisco Velasco</t>
  </si>
  <si>
    <t>…ra ad bierno de S. M., para cuyo solo efecto se declara válida y sub ministrar sus Sienes y para emanciparse , en conformidad con ei sistente. detamen de la comisión expresada , á D. Francisco Velasco, á Art. 2.0 Para procederá esta liquidación, y terminar este D. í.esmes Cifuentes, á D. Francisco Antonio Herrería, á Don negocio sin ulterior recurso, se autoriza plenamente al Gobierno Manuel Gómez Fernandez , á D. Rafael Velazquez, y á Don ■ de S. M. para…</t>
  </si>
  <si>
    <t>Velasco, Joaquín</t>
  </si>
  <si>
    <t>Joaquín Velasco</t>
  </si>
  <si>
    <t>…acciosos y sus secuaces. Entre los prisioneros to ha dispuesto que una comisión de su seno, compuesta de los heridos se halla D. Nicolás Isidro, el cual es probable que haya Sres. D. Joaquín Velasco, regidor, y D. Manuel Cuadros, pro muerto. Zayas envió inmediatamente un parte al general francés curador sindico, pase á conferenciar con el general francés, con para que activase su venida en vista del estado de las cosas, y el objeto de garantir la segurid…</t>
  </si>
  <si>
    <t>Velasco, Juan</t>
  </si>
  <si>
    <t>Juan Velasco</t>
  </si>
  <si>
    <t>…en esta y sus inmediaciones como por mi del castillo el comandante de artillería, el del batallón de Mallorca parte de ayer tuve el honor de manifestar á V. E.=DiOs guarde á V. E. D. Juan Velasco y algunos oficiales de la plana mayor. Los he asegu muchos años. Cuartel general de la Seo de Urvel 5 de Febrero de i8í3. rado , asi como el hospital , en el que existen mas de 30 enfermos, = Excmo. Sr. =Francis'-&lt;? Espoz y Mina. = Excmo. Si. secretario del h…</t>
  </si>
  <si>
    <t>Velasco, Manuel</t>
  </si>
  <si>
    <t>Manuel Velasco</t>
  </si>
  <si>
    <t>…ve días de recilla , capitán del resguardo militar , y D. Manuel Valdés, oficial intervalo de las actuales Cortes á las próximas , si el Gobierno necesi retirado, quedando elegido D. Manuel Velasco por 68 votos de 1x8. ta otra vez de esta autorización la pedirá A las Cortes; y asi yo ruego Se procedió á la elección de un visitador para la audiencia territo á estas tengan á bien aprobar la proposición. Declarado el punto suficientemente discutido , pr„p,…</t>
  </si>
  <si>
    <t>Velasco, Manuel de</t>
  </si>
  <si>
    <t>Manuel de Velasco</t>
  </si>
  <si>
    <t>…ahora.se hará únicamente en el claustro de nel D. Vicente Sanche;: Cerquera á encontrar al mariscal de campo los Basilios, actualmente parroquia de S. Ildefonso , quedando autori D. Manuel de Velasco , con los priegos que V. E. me ha dirigido zados para dirigirle, por encargo del mismo ayuntamiento , los ciuda paca él, y.un oficio mioea que le hago las prevenciones convenientes, danos D. Josef J^adon , profesor de matemáticas, D. Miguel Antonio siguitndo…</t>
  </si>
  <si>
    <t>Velasco, N.</t>
  </si>
  <si>
    <t>N. Velasco</t>
  </si>
  <si>
    <t>…l 28 distantes de la Península donde se halla el Gobierno de la Nación, del pasado un tiroteo con la partida de constitucionales al mando la comunicación era sumamente difícil. de D. N. Velasco, y que resultaron algunos muertos y heridos. El Sr. Argüelles manifestó que en esta cuestión se confun __Dicen que el 29 debió moverse toda la línea francesa con di dían dos cosas muy distintas; primero lo que es la ley, y segundo rección al Tajo__ Dicen. . .…</t>
  </si>
  <si>
    <t>Velasco, Quintín</t>
  </si>
  <si>
    <t>Quintín Velasco</t>
  </si>
  <si>
    <t>…lo siguiente: nel D. Cirios Emilio___Otra ¡dem ei teniente coronel D. Luis de la. « Las Ccttfs extraordinarias, usando de la facu’tad que se les con Llanas__Olio idem ei teniente coronel D. Quintín Velasco___Adic cede por ¡a Constitución , han decretado 1.0 siguiente : to al estado mayor el capitán de Astúr-as D. Valentín Pastor. __Otro Art. J.” »: El Gobierno liará egseutar en todas sus partes el decreto idem el capitán de M. N. A de Simienza D. Pío fiaII?ster…</t>
  </si>
  <si>
    <t>Velasco, Quintín de</t>
  </si>
  <si>
    <t>Quintín de Velasco</t>
  </si>
  <si>
    <t>…ser su^enemigos; y sobre todo, les dire guió, en uriion de 100 zapadores al mando de su comandante el coro mos a los ultras (y que no olviden que siempre se lo digimos í Bona- nel D. Quintín de Velasco y 20 caballos, de alcanzarlos y derrotar parte) que tengan bien en la memoria su reirán de: Jiirá bien qui rirá los completamente, causándoles üs 35 i 40 muertos y ahogados, ún le áernier, es decir, hasta el fin nadie es dichoso , ó bien al fin se can• permit…</t>
  </si>
  <si>
    <t>Velasco, Saturio Angel de</t>
  </si>
  <si>
    <t>Saturio Angel de Velasco</t>
  </si>
  <si>
    <t>…Corregidor en Ma porque se burlaron siempre de sus luces, de sus regeneraciones y drid, se ha mandado convocar á junta á los acreedores de la tes de su ilustración. tamentaría de D. Saturio Angel de Velasco, radicada en la es cribanía vacante de Monasterio, para el nombramiento de nue— Noticia de los pueblos donde han cabido los premios mayores yo administrador y defensor solicitado por los mismos; seña de la Real lotería moderna en el sorteo de hoy as. lando pa…</t>
  </si>
  <si>
    <t>Velasco, Tontas de</t>
  </si>
  <si>
    <t>Tontas de Velasco</t>
  </si>
  <si>
    <t>…día que no hubiese tancia del Sr. D- Ramón de Argos y escribanía cárlularia de D. Val* muertes 6 heridas:.ni las autoridades políticas , ni las militares pudie domero Moraleda por D. Tontas de Velasco, como heredero de DoK* ron nunca evitarlas: ,tos archivos de las secretarías del Despacho son María Matea Ruiz , para que conforme i lo prevenido en I» Conslit»' mudos testigos de esta verdad , y mas de muchos protocolos de esta cíon de la Monarquía española…</t>
  </si>
  <si>
    <t>Velascozdcspues</t>
  </si>
  <si>
    <t>…elona se había abierto una suscripción para vestir tropas , y • Términos propuestos por el Sr. Gómez Becerra. te habían reunido y» cerca de rooS) rs. Las señoras mas princi 1 * El Sr. Velascozdcspues de pedir .que.se leyese. «I artículo 1©X pales se ocupaban en coser camisas, y demás vestuarios para ios</t>
  </si>
  <si>
    <t>Velasen</t>
  </si>
  <si>
    <t>…disensión del provecto de leí qué se determina así. Estoi también persuadido- que adicional á la de Libertad d-:.* imprenta. para cortar los. abusos cometidos por varios escritoEi Sr. Velasen : No he tomado la palabra en contra re.' de buscar hombres en las cárceles llenos de de de este provecto, porque crea que tío debe adoptar litos para que fumen escritos infames, se da Lugar á se una medida rapaz de reprimir los idiosos, que se que se cometan…</t>
  </si>
  <si>
    <t>Velaustcgui, Félix Ramón de Alvarado y</t>
  </si>
  <si>
    <t>Félix Ramón de Alvarado y Velaustcgui</t>
  </si>
  <si>
    <t>…M. F. ¡a Reina Doña Carlota, denunciado por el dan á esta persecuc on una r.: ;c’‘ que no merece ni su fuerza ni su Sr. fiscal de imprenta; en cuya consecuencia la ley absolvió á D. Félix Ramón de Alvarado y Velaustcgui responsable de dicho impreso; y el se actual absoluta impot ocia Acabo de recibir del brigadier Ir.rrí' -1 parte, de que tengo el honor ñor juez de primera instancia D. Ramón de Argos mando que se le pu de incluir la adjunta copla para el dexáo rr.ximiento de…</t>
  </si>
  <si>
    <t>Velaz, Luis</t>
  </si>
  <si>
    <t>Luis Velaz</t>
  </si>
  <si>
    <t>…por sus delitos respectivos, y no serán molestados por su con « D. Manuel Fernandez Cuesta , gobernador del castillo de ducta anterior á la fecha de esta capitulación. Monzon , y D. Luis Velaz , comandante de las tropas del blo Castillo de Monzon 21 de Julio de iB23. = Luis Velaz. queo del mismo castillo, han convenido y otorgado la capitula Manuel Fernandez Cuesta. ción siguiente: Cuartel general de Tamarite 21 de Julio de 1823. Habién Art. i.° El…</t>
  </si>
  <si>
    <t>Velazquez, Rafael</t>
  </si>
  <si>
    <t>Rafael Velazquez</t>
  </si>
  <si>
    <t>…quidación, y terminar este D. í.esmes Cifuentes, á D. Francisco Antonio Herrería, á Don negocio sin ulterior recurso, se autoriza plenamente al Gobierno Manuel Gómez Fernandez , á D. Rafael Velazquez, y á Don ■ de S. M. para comprometerlos en arbitrios, con arreglo á los ar Manuel Cialan. tículos 2íjo y 2¡íi de la Constitución; pero cuidando escrupulo La comisión de Diputaciones provinciales presentó los si samente que en ei compromiso se señalen todos lo…</t>
  </si>
  <si>
    <t>Velda, Dionisio</t>
  </si>
  <si>
    <t>Dionisio Velda</t>
  </si>
  <si>
    <t>…á hacer que lo^. púsolos contribuyan con igualdad para los gastos *u solicitud. Aprobado. del Estado i pesar de los males que trac consigo toda guerra. Otro sobre la exposición de D. Dionisio Velda; y opinaba la</t>
  </si>
  <si>
    <t>Velez, Femando</t>
  </si>
  <si>
    <t>Femando Velez</t>
  </si>
  <si>
    <t>…oo hombres; que solo tenían una marques de Ciileruelo; D. Josef de ia Calle y Cepeda; D. Jo* avanzada de 4 hombres en las mismas calles del m:&gt;tno; que sef Lledó; D. Angel Fuenes; D. Femando Velez, y ¡os su tenían echada una contribución de 3© rs., 40 fanegas de ce pernumerarios D. Fernando Pantoja y D. Pedro Gómez de la bada y una porción de pares de zapatos: en el momento no Cortina; D. Genaro Azcona y Balanza, secretario , y D. Fran dudé atacarlos,…</t>
  </si>
  <si>
    <t>Velez, Josef Herrero</t>
  </si>
  <si>
    <t>Josef Herrero Velez</t>
  </si>
  <si>
    <t>…del número,, El t........................... 170. £1 ¿0...................... ha señalado para junta de acreedores á los bienes del abintestado El II................... 7«s 5- de, D. Josef Herrero Velez *1 dia a 8 del corriente á tas nuevo 90. ....................... El de la mañana en su posada calla del Carmen, núm. 2, cuarto 73.371. m.4S«. I.SI7. 7*5. 5475. I»9S. 109. 35. principal. IN LA IMPRENTA REAL.</t>
  </si>
  <si>
    <t>Velíseo</t>
  </si>
  <si>
    <t>…oe, ia contribución que se Se sustituye se De varios ciudadanos y empleados de la Hacienda pública en él llevará á debido efecto. . partido de Santander, presentada y leída por el Sr. Velíseo. Con respecto á ia novedad qus comprende el voto acerca de que De la diputación provincial de Santander , por el Sr. Aibíir. ti rom-no pontífice se valga de un obispo español para los uego]&amp;e varias ciudadanas de S. Sebastian. eios contenciosos, dijo ayer bas…</t>
  </si>
  <si>
    <t>Ven</t>
  </si>
  <si>
    <t>…cir con su créditos corren desde 29 de Junio encabezados á D. Juan Jaabominable y tiránico Gobierno, parece que debe llamar exclusi cobo Gatens: 1987, 2991,2992,2993 y 3080. Id. á D. Ven* vamente nuestra atención, sin embargo no debemos olvidarnos tura de la Peña 3343, 3344, 3345 y 3346.—Seis de la crea absolutamente de esa nación que en la parte oriental de la Euro ción de Mayo de 1822. Id. á £&gt;. Patricio Joyes « hijos: 3781, pa está dando e…</t>
  </si>
  <si>
    <t>Ventadas, Agustín</t>
  </si>
  <si>
    <t>Agustín Ventadas</t>
  </si>
  <si>
    <t>…llegado aquellos misera Nos parece que con esto puede quedar satisfecho el Sr. dipu. bles que la componen, y cuánta es su ignorancia y soberbia sí fado de la provincia de Vizcaya D. Agustín Ventadas, y ver creen que todavía pueden alucinar á los españoles y á la culta que cuando en ¡a gaceta núm. 62 se insertó en artículo de PlíEuropa, siguiendo en su desesperación representando sus pape mouth que » bs tropas que sostienen el sitio de la Coruña son les,…</t>
  </si>
  <si>
    <t>Ventades</t>
  </si>
  <si>
    <t>…deseos de la facción : los que componen demas tenemos por poco generoso ventilar la cuestión sobre ¡a aquella son-. Gómez Becerra, Gener (por Ultramar ), Isturiz, primacía, que el Sr. Ventades atribuyeá Vizcaya , de declararse Soria, Valdés (D. Dionisio), Velasco, Llórente; Abreu yMe- esta ó la otra provincia contra la facción; y nos limitamos á re ca, suplentes. petir que nada hay en el citado artículo que no sea verdadero, y La comisión de hacien…</t>
  </si>
  <si>
    <t>Ventin, Ramón</t>
  </si>
  <si>
    <t>Ramón Ventin</t>
  </si>
  <si>
    <t>…cuarta se le asigna en ios mis mentasen , y oficiado con el comandante de la M. N. L. el benemé mos términos la provincia de Lérida, no comprendiéndose en esta dis rito ciudadano D. Ramón Ventin , de la Insua , me dirigí á las altu posición tas plazas de Barcelona y Lérida, zz Ei general gefe del estado ras de Justanes para atacar á Touron; mas como á los tres cuartos de mayor.zeZ irraqu n. — Mojó. legua de dicho S. Payo observase por ias alturas gra…</t>
  </si>
  <si>
    <t>Ventura, Josef</t>
  </si>
  <si>
    <t>Josef Ventura</t>
  </si>
  <si>
    <t>…templo da Jerusalen, Mr. Poissonnier, La mote, Petit, 1Jaller, y de las memorias da ó han de acabar con nosotros, dándonos el mismo tratamiento la academia de Paris, compuesto por D. Josef Ventura pastor, que dieron al Crucificado, ó nosotros con ellos, descargando so cirujano que fue del hospital general de la Pasión de esta corte: bre sus criminales y duras cabezas la espada de la ley , que mat Un tomo en 4.0 Se hallará de venta á 45 rs. en pasta eu…</t>
  </si>
  <si>
    <t>Veposición</t>
  </si>
  <si>
    <t>…ncia. Enero les dirigía ia M. N. V. de la ciudad de Gran Canaria. A la comisión de Diputaciones provinciales se pasó una ex ■Se hizo la primera lectura de cuatro proposiciones del Sr. Veposición de la de Cuenca, manifestando no haberle sido posible lasco , reducirás á que , para disminuir las atenciones del Crédito llevar á efecto el decreto sobre repartimiento de baldíos. público, acordasen las Cortes que la pensión de óoo ducados La comisión de Hac…</t>
  </si>
  <si>
    <t>Vera, Benigno</t>
  </si>
  <si>
    <t>Benigno Vera</t>
  </si>
  <si>
    <t>…ostrencos de la ciudad de Alcalá de Henares y su partido, que está ácargo del Sr. Doctor Cuerpos que componen la guarnición de la Coruña. D. Rafael Garrido, y por la escribanía de D. Benigno Vera, trímera brigada. Hombres, que ss le admitirá siendo arreglada, y se señalará día para su re mate, enterando al mismo tiempo al postor de las condiciones Infantería de Granada....................................................... 300. con que se ha de realiz…</t>
  </si>
  <si>
    <t>Vera, Bernardo</t>
  </si>
  <si>
    <t>Bernardo Vera</t>
  </si>
  <si>
    <t>…ia metri poli; v habiéndose1 d.c larado soberanas, deberían en que el pueblo me ha propuesto , compuesta de los ciudadanos trar en una confederaron con Méjico.” D. Juan Egana, Dr. D. Bernardo Vera y D. Joaquín Cam El proyecto de una división del imperio mejicano en estados pillo, procederá á formar las reglas que el pueblo debe tener independ .lites unidos tejo un pacto federativo , presenta un a&gt;p.cpresentes para determinar. Dispongase que esta resolución se im to muy in…</t>
  </si>
  <si>
    <t>Vera, Gregorio</t>
  </si>
  <si>
    <t>Gregorio Vera</t>
  </si>
  <si>
    <t>…gefes,gober guerrillas, hizo un fuego muy certero á los facciosos; al teniente coro nadores y damas autoridades, s»t civiles como militares y eclesiásticas, nel graduado de Soria D. Gregorio Vera, y al subteniente del mismo de cualquiera clase y dignidad, que guarden y hagan guardar , cumplir D. Germán Herrero; al ayudmte de la plana mayor D. Francisco de y egecutar el presente decreto en todas sus partes. Tendraislo entendido Paula Abilés; al capital…</t>
  </si>
  <si>
    <t>Verastcguí, Dom.ngo</t>
  </si>
  <si>
    <t>Dom.ngo Verastcguí</t>
  </si>
  <si>
    <t>…ra que se dé cumplimiento a lo te de la milicia nacional voluntaria de Bilbao , y defensor de los faccioso» que previene dicho artículo del reglamento. Me mueve á hacer esta propo D. Dom.ngo Verastcguí y D. Fermín Larrea, sobre que se suspendiese sición el haber advertido que en el discurso del trono á las Cortes no se toda sentencia de muerte , aunque lo, procesos se hallasen aprobados por el hace mención ninguna de nuestras relaciones políticas con el Gabinete de gefe milit…</t>
  </si>
  <si>
    <t>Veraz, Justo</t>
  </si>
  <si>
    <t>Justo Veraz</t>
  </si>
  <si>
    <t>…responsabilidad que propone se exija al consejo de Estado , piepatriótica de Segovia y otros--- Del ayuntamiento de Ayamonte----Del cedido de una carta sobre el mismo asunto: por D. Justo Veraz. Veo» ayuntamiento y M, N. V. del Castañar.__De varios ciudadanos de des; ú 2 rs. en el despacho ds la imprenta Nacional. JÍuelva__De los profesores de la universidad de segunda enseñanza de Observaciones pacíficas sobre la potestad ec'esiástica, dadas á luz…</t>
  </si>
  <si>
    <t>Verdes, Josef</t>
  </si>
  <si>
    <t>Josef Verdes</t>
  </si>
  <si>
    <t>…l teniente de Yakrcev &lt;juc el desembarco no se consideraba sino como una simple lla D. Antonio Te rizan o, y el subteniente de la milicia activa de mada por aquella parte. Segorve D. Josef Verdes, como « cosa de las once de la noche, Se sabia por la vía de Trieste que la guarnición turca de Co- hora en que llegaban á la segunda venta que está sobre la izquier rinto se embarcó para el Asia menor, habiendo los griego', ob da del camino dé la Puebla de V…</t>
  </si>
  <si>
    <t>Verin, Agustin González de</t>
  </si>
  <si>
    <t>Agustin González de Verin</t>
  </si>
  <si>
    <t>…6 de Abril de iBzg.czPor acuerdo de la diputa— tropa. Los nacionales de caballería de este pueblo, á las órde cioa=Dcir*¡ngo Fontan, secretario. nes del teniente coronel retirado D. Agustin González de Verin. Oréase ti de Atril. y á las del subteniente D. Antonio Rodríguez Carvallar, se Gobierno político de ia proitncia de Orense. condujeron con la mayor bizarría, y los de infantería de Via- Sección de gobierno político.__La facción organizada de San fiá, á las ó…</t>
  </si>
  <si>
    <t>Verneaux, Adolphe de</t>
  </si>
  <si>
    <t>Adolphe de Verneaux</t>
  </si>
  <si>
    <t>…lianza en favor de la libertad de nuestro amado Rey, Esta mañana ha firmado el Rey el contrato matrimonial del y del restablecimiento del orden social, que el genio de la rebe Sr. conde Adolphe de Verneaux, teniente de coraceros de Ja lión ha trastornado en España, y amenazado en todo «1 mundo. guardia Real, con la Señorita Eignon.</t>
  </si>
  <si>
    <t>Veromuceiió, Jmn</t>
  </si>
  <si>
    <t>Jmn Veromuceiió</t>
  </si>
  <si>
    <t>positivo que el duque de Angulema, por mas que anuncien otra cosa cier A la segunda de Hacienda uní expodeíon de D. Jmn Veromuceiió % tos periódicos ultras, no saldrá pira el egército has*-- fines de Mar/o ó Medina, -ntirventor que fue en U provincia de Cádiz, reciatiunác» co..i.-* principios de Abril, lo que indica que el Gobierno frunces encuentra nue ;u' ilación que se le habla dado. v…</t>
  </si>
  <si>
    <t>Verona, Florencio</t>
  </si>
  <si>
    <t>Florencio Verona</t>
  </si>
  <si>
    <t>…didos en el artículo i.°, ha puesto este art. 2.0, La misma comisión opinaba que podia accederse á lo que so con lo cual quedan prevenidos todos los casos. Yo creí que el licitaba D. Florencio Verona, voluntario de Santander , para ven Sr. Gómez iba á hacer otra impugnación , reducida á que no se der una finca vinculada que poseía, é invertir su producto en prevenia el caso en que una autoridad atropellase á un patriota, otra , asegurando la parte corresp…</t>
  </si>
  <si>
    <t>Verrnurguia, Juan Bautista</t>
  </si>
  <si>
    <t>Juan Bautista Verrnurguia</t>
  </si>
  <si>
    <t>…la parte inferior de la lava, que aun to de los Sres. D Josef Brnjumrda, D. Prudencio Hernández Santa conservaba el calor del dia precedente, una sustancia salina fi.ifoime, Cruz, D. Juan Bautista Verrnurguia , D. Juan Bautista Alvaneda, dispuesta en forma de pequeñas rosas , que pudiera tenerse por una con D. Joseí María '/¡Baranda, D. Josef Juan de Pujada, D. Francisco creción amoniacal; pero que en realidad no era sino muríate de sosa. Robles, D. Leonardo Migue…</t>
  </si>
  <si>
    <t>Vi</t>
  </si>
  <si>
    <t>…uir vi que tenia , y.... Pero el yerro ya está hecho; cuenta de haber nombrada S. M. para contador general de la America meridional á D. Fermín del Rio y de la Vega, por muerte de D. Vi pensemos solo en remediarlo. Una procesión de santos Reyes aliados se dispone á venir á visitar los centeUC ¿-VUUíCl'J.Romero. santos lugarei de la libertad; es preciso que salgamos 3 recibirlos í ia mitad La comisión de Casos de responsabilidad , en vista de…</t>
  </si>
  <si>
    <t>…E OFICIO. rola , da Guías. Yo sa los recomiendo también í V. E., como igualmente al referido D. Pedro Villanueva, segundo coman El general tn gefc del ejército Real de operaciones D. Vi dante di Guias, y comandante de la vanguardia', al capitán dé cente Quesada desde su cuartel general de Trujiüo, con fecha cazadores del segundo de Guipúzcoa D. Anselmo Marín, que 9 del actual, dirige al Sr.secretario del Despacho de la Guerra quedó hecho pri…</t>
  </si>
  <si>
    <t>Vi, Antonio</t>
  </si>
  <si>
    <t>Antonio Vi</t>
  </si>
  <si>
    <t>…a de que Ante el Sr. D. Dionisio Catalan, del Consejo de S. M., Te »e ve amenazada por el torrente de las doctrinas modernas y por niente Corregidor de esta villa, y escribanía de D. Antonio Vi la irrupción de las ideas democráticas. Añadimos que el medio lla, penden autos sobre la presentación de los títulos de propie mas sencillo y -cas eficaz para contrarestar la influencia de lat dad de una casa, calle de Sta. Isabel, núm. 11, manz. 23, en •ocie…</t>
  </si>
  <si>
    <t>Vi, Félix</t>
  </si>
  <si>
    <t>Félix Vi</t>
  </si>
  <si>
    <t>…e 22*2 p,es y medio o- sitio cuadrados stipeificia es, levantar gente en tierra de Vailadolid , y fueron aprehendidos con pasa tasada en 30 de Diciembre del año pisado de 1820 por D. Félix Vi portes falsos. Hay ademas otros agentes subalternos mas i m nos c. tri cente Orihuel y Llórente y D. Juan'de B as Mo inero, arquitecto! plicados , que han sufrido en mi concepto la pena que merecían, se aprobados en esta corte , en la cantidad de 194,5^3 rs.…</t>
  </si>
  <si>
    <t>Vi, Joaquín Suarez del</t>
  </si>
  <si>
    <t>Joaquín Suarez del Vi</t>
  </si>
  <si>
    <t>…no La misma junta directiva propon-a en terna para comisionado espe podian mezclarse en aprobar ni desaprobar las sentencias judiciales. cial de la administración y recaudación á D. Joaquín Suarez del Vi El Sr. Canga dijo que la aprehensión de esta cantidad parecía mas llar, D. Francisco Crespo de Tejida y D. Josef Garay; y fue elcg;do una aspecie de depósito que un decomiso, y de consiguiente debía ser D. Joaquín Suarez del Villar por 63 votos de -8 total, teniend…</t>
  </si>
  <si>
    <t>Vi, Josef Perez</t>
  </si>
  <si>
    <t>Josef Perez Vi</t>
  </si>
  <si>
    <t>…samente recla tarlas en la casa habitación de dicho Sr. comandante general, maba la razón y la política, no es necesario expresarlas; los calle de la Magdalena baja, y su ayudante D. Josef Perez Vi efectos nos convencen que de la unión de todos ha resultado dal , á quien ha comisionado S. fc. para hacerse cargo de ellas la paz , la fuerza del partido liberal, y el anonadamiento de después del examen y avalúo correspondiente por maestro sille los servile…</t>
  </si>
  <si>
    <t>VI, Juan</t>
  </si>
  <si>
    <t>Juan VI</t>
  </si>
  <si>
    <t>…del gunas de ciias b.¡n íoiu ido providencias mui enérgi estado interior del Brasil; pues desde que'Salió de cas para ponerse en estado de conservar ileso ei ho aquel país el Uei D. Juan VI no tratan mas que de nor nacional, mantener ia independencia y la Cons relaciones mercantiles. 'Ahora es por el conducto de titución v hacer pagar cara á ios invasores la osadía de Y ¡«;na por donde nos llegar, las noticias del Brasil y su empresa en pretende…</t>
  </si>
  <si>
    <t>Via, Agustín</t>
  </si>
  <si>
    <t>Agustín Via</t>
  </si>
  <si>
    <t>…itado plan , tratados v decreto que no no y Marina al Dr. D, Mariano Egaña, y para el de Hacienda se oponga al articulo precedente, se consideran como subsistentes y Guerra al Dr. D. Agustín Via!, con todas las atribuciones y V en todo su vigor. poder que renian ios anteriores ministros. Téngase entendido, y se imprimirá y liará cucuiar. — Eizaguirre. Infante—Errasuris. NOTICIAS NACIONALES. __Se dice que Mr. Canning , ministro de la Gran-J3rctaña cer…</t>
  </si>
  <si>
    <t>Vic, Isabel</t>
  </si>
  <si>
    <t>Isabel Vic</t>
  </si>
  <si>
    <t>…n pagar estos adeudos. Aprobado. de la diputación. La comisión de Hacienda, en vista de las exposiciones de Do Art. 187. Cuidarán de que se celebren en su debido tiempo ña Petra y Doña Isabel Vic y Doña Josefa Caros, opinaba que las juntas parroquiales y de electores que corresponden para el pasasen ai Gobierno para que las instruyese y remitiese á las Cor nombramiento de diputados y de capitulares, promoviendo con tes. Aprobado. anticipación la convocatoria que haya de…</t>
  </si>
  <si>
    <t>Vic.nt, Joscl</t>
  </si>
  <si>
    <t>Joscl Vic.nt</t>
  </si>
  <si>
    <t>…a y la fuuz.i de los Gobiernos , y con ios o amorro ruanco—Ce misión especial de administración y recaudación. ir.t-ie;es bien entendidos de los pueblos. Solo miran corno enemigos D. Joscl Vic.nt, presbítero seculariza Jo de la orJcn ds i, Francis a aquellos ijue conspiran contra ia autoridad legítima de ios unos, y co en e; convento de Santa Bubara de Castellón de ¡a Gana, movido se prevalen déla buena fe de los otros para despeñarlos en el mismo ds…</t>
  </si>
  <si>
    <t>Vicario, Segundo</t>
  </si>
  <si>
    <t>Segundo Vicario</t>
  </si>
  <si>
    <t>…cetas y los jos de la fortificación de la plaza ; y á su llegada a ella percibió el papeles de los franceses y de los traidores unidos á ellos. Ninguna pagador de la fortificación D. Segundo Vicario 30$ rs. , dejando orden , ninguna disposición de la tal Regencia se nos comunicó); los io¿) para este ramo y mas que puedan ocurrir. y si alguna viniese, sabremos lo que convenga hacer envista de » Con esto que estimaré á V. se publique, queda de V. su ella.…</t>
  </si>
  <si>
    <t>Vicario, Teniente</t>
  </si>
  <si>
    <t>Teniente Vicario</t>
  </si>
  <si>
    <t>…rovidencia, cuya justicia adoro y venero, pues conozco Ibarrola para los efectos convenientes en el expediente instau los delitos que me hacen merecedor de la muerte. rado ante el Sr. Teniente Vicario eclesiástico á instancia de la „Asimismo publico el sentimiento que me asiste por la parte citada Isidra sobre que se la declare viuda del Josef Nuñez. que he tenido en el sistema llamado sistema constitucional, en Se desea saber si existen algunos herederos…</t>
  </si>
  <si>
    <t>Vicen</t>
  </si>
  <si>
    <t>…c'iaturno Fernandez.=Antunio Gonzaiez.ccPjscasio Figuíroa~ conducta atroz de San Martin , y la falsedad de todas sus prome Josef Rodríguez, en Francisco Aibar. s: Francisco Rmr. — D. Vicen tas tire. En seguida se dan lar noticias siguientes.} te Casero.rcD. Gregorio Angei Palotniuo.rzD. Juan Antonio García. El 16 de Abril último el segundo ayudante general de E. M. Don = D. Timoteo Aifoi so Casero.— Serrto Quintín Rodríguez. = Zoo Josef Ramón R…</t>
  </si>
  <si>
    <t>Vicenta</t>
  </si>
  <si>
    <t>…ralísimo, que les dará imprenta Real. el destino que juzgue conveniente. Retratos del Rey nuestro Señor y su augusta Esposa, saca dos de los cuadros de su primer pintor de (Jamara D. Vicenta i Qué es constitución t López, y grabados por los profesores Blanco y Albuerne,en A esta pregunta enmudecen la mayor parte de aquellos cuartilla de marca mayor. Se hallarán en el almacén de estam que con mas ahinco y exaltación se han declarado sus apasio pas…</t>
  </si>
  <si>
    <t>Vicente</t>
  </si>
  <si>
    <t>…Cervantes Saavechar lasco.=Excmo. Sr. Secretario de Estado y del Despacho de la Guerra.” cuarta edición, ilustrada con algunas notas y con el análisis de la obra,- ■{ escrito por D. Vicente de los Ríos: cinco tomos en 8.u marquilla, in-, » El brigadier segundo comandante general del quinto distrito mili cluso el de la vida de Cervantes, á : 24 rs. en pasta y 106 en rústica_" tar participa al Gobierno con fecha i.° de este mes, que en las provin…</t>
  </si>
  <si>
    <t>…rdia del castillo, encargando el mando de aquella interesante tro precioso Cúdigo.ccDios guarde á V. E. muchos aiíos.xzCuartel general posición ai teniente coronel primer ayudante D. Vicente lraneta. de Ccrvera 14 de Febrero de 1823. = Excmo. Sr. = Francisco Espoz y »Asimismo dispuse que las seis compañías de fusileros acudiesen Mina. = Excmo. Sr. secretario de Estado y del Despacho de la Guerra.”, en unión con. los ■ milicianos y patriotas á cub…</t>
  </si>
  <si>
    <t>…P. Josef Am“is, S. Francisco, P. Lorenzo de Valencia, capu el proyecto, la 1 continuaría siendo gobernada:arbitrariamente: chino , Josef Madalenes , escribano, D. Ramón Sansebe , D. Vicente yo deseando con ri evitar esto, ruego á las Corte* se sirvan-de González , antes Gimeno, D. Toma* Rubio, presbítero , doctor Mi clarar haber lugar á votar sobre su totalidad. guel Cortés, procurador del infantado, D. Josef Marta Criueli, Don Discutido suficie…</t>
  </si>
  <si>
    <t>…o podido indagar la comisaría general de Cruzada con una caja de guerra. el paradero de D. Miguel Gómez, administrador tesorero sus „Por otro det alférez de caballería de Farnesio D. Vicente penso de la djócesis de Jaén, á pesar de las diligencias practica Lagunero, que me dirige desde Fuentecen con fecha 6 del actual, das al efecto, ha acordado que se le llame y emplace por segun «le participa que habiéndose presentado en este pueblo 12 fac da v…</t>
  </si>
  <si>
    <t>…que gefe político y diputación provincial de Madrid á su salida de para que á todos conste se publique por medio del presen! ■. Sevi aquella villa ni el intendente de la provincia D. Vicente de .¡an lla 2 de Jumo de 182 3. ;= Josef Ruiz del Arco. = joset López denes , ni el tesorero principal D. Josef Salamanca , se ha servido Rubio, secretario. EN LA IMPRENTA NACIONAL.</t>
  </si>
  <si>
    <t>…-- Cá diz; para vice-prcsiderte el Sr. D. Nicasio Tomas , diputado por No habiendo seguido al Gobierno en su traslación de Sevilla la provincia de Granada , y pura si ere cario el Sr. D. Vicente á Cádiz ni dado cuenta después de sus personas los oficiales de la Navarro Tejeiro, que lo es por la de Valencia. secretaría del Despacho de Estado D. Santiago Usoz, D. Maria no Carnerero, D. Andrés Villalba y D. Josef Parada, ha teni El Rey ha expedido los d…</t>
  </si>
  <si>
    <t>…e la Sa de España en el Océano Atlántico, y de las islas de los Azo gra, partido de Toledo, con la dotación de 600 ducados, paga res ó Teiceras, por eí brigadier de la Real armada D. Vicente dos del fondo de propios: es pueblo de 300 vecinos, y de cli lofiño , paginas 240,41 y 42 ^ y en los números 9 y 10 de la ma saludable. Los pretendientes dirigirán su instancia al ayun introducción. tamiento en todo el presente mes. Mr. C.hab.-rt en su viage…</t>
  </si>
  <si>
    <t>…ratitud eterna á los Príncipes, á. los Caudillos:y á todos los , Soldados y Campeones de los Ejércitos Realistasi.de las dos Na El General en gefe del ejército Real de operaciones D. Vicente ciones, que se han inmortalizado, en la gran lucha de la lealtad Qttesada 'desde su cuartel general en el Gordo con fecha i.° del contra la rebelión. ■ * ’ . corriente dirige al Sr. Secretario del Despacho de ¡a Guerra el &lt;. En todo el ámbito dé la Península…</t>
  </si>
  <si>
    <t>Vicente, Josel</t>
  </si>
  <si>
    <t>Josel Vicente</t>
  </si>
  <si>
    <t>…ión á la Meca. y D. Josef ILuiz del Arco, teniente coronel retirado, y alcalde La forma del gobierno es bien conocida igualmente que el constitucional de Sevilla. Para suplentes á D. Josel Vicente Du influjo que tienen algunos francos, hombres de talento , en las rada, vocal ele esta diputación provincial , y á D. Cesáreo María diversas mejoras que se están haciendo y que prometen la regene Saenz , literato , residente en esta plaza ; y para fiscal al lic…</t>
  </si>
  <si>
    <t>Vicente, Manuel</t>
  </si>
  <si>
    <t>Manuel Vicente</t>
  </si>
  <si>
    <t>…Abril Murcia i£ de Abril. Ahora mismo recibo cartas y oficios del valiente y bene El j 5 de Marzo último fue condenad» en esta ciudad i la mérito capitán del regimiento de Eúrgos D. Manuel Vicente pena ordinaria de garrote Jasef Orenes, sordo-mudo, por ase Gil, comandante de Ja columna destinada á perseguir la' gavi sino de Josef Carrasco y de Antonio Huertas, moradores que lla de ladrones y facinerosos que había organizado en S. Gre fueron en el parti…</t>
  </si>
  <si>
    <t>Vicente, Manuel Moreno</t>
  </si>
  <si>
    <t>Manuel Moreno Vicente</t>
  </si>
  <si>
    <t>…otí ANUNCIOS.dos piezas de batalla á la cabeza y la caballeriza retaguardia, interpo ladas las mitades de todos los cuerpos, y mandadas Jas unas por ¡os Ignorándose el paradero de D. Manuel Moreno Vicente que hast* oficiales de las otras alternados. En Ja de honor desfilaron por delrnte ¿hora ha ocupado nna guardilla en U casa calle dei Duque de Alba, ¿e la lápida, símbolo de las 'libertades del pueblo, y atiavesaron la núm. 30, y debiendo dar una declaración…</t>
  </si>
  <si>
    <t>Víctor</t>
  </si>
  <si>
    <t>…á estos misera gas con el Gobierno para que empiecen Iss hostilidades cuanto an bles tscntosconla -ritrgía y valor propios de un pueblo libre, y los tes. Ei ministro de la Guerra, mariscal Víctor , duque de Bellune, ha enviados de estos Monarcas salen de Madrid. sido obligado á dejar su despacho para venir al rgérc.to á ocupar en él Lo dispuesto en V-rona se empieza á realizar. El Rey de Francia el empleo de mayor general. El conde de Guilleminot baja…</t>
  </si>
  <si>
    <t>…rte de Inglaterra de entrar en la lucha , y ticias siguientes relativas á la Francia: que los aimamentos continuarían con actividad como medulas de frr- El mismo día 23, en que el mariscal Víctor salir) de París para el caución." egército de los Pirineos, tomó el vizconde Dijeon el despacho interi El contenido de la carta de Bayona que hemos insertado , aunque no del ministerio de la Guerra; tuvo una conferencia con ¡.E Rey el está escrito por persona…</t>
  </si>
  <si>
    <t>…le ejército y las mas fuertes un, informe remitido por el general Guilleminot, ge fe del E. M. amenazas. Resolvió pues el alto tribunal de los Monarcas del Ti 14 salió de Paris el mariscal Víctor, acompañado del general Norte enviar al ministro ingles, lord Strangford, con nuevas Coftlosquet. Se decía en Paris que d nombramiento del general instrucciones á Constantinopla, sin que haya podido traslucirse Guilleminot de mayor general del ejército habia…</t>
  </si>
  <si>
    <t>…n el art culo anterior , ’os ayer y* sabe que el 11 entraban, los enemigos en Vitoria; y que individuos de los batallones que fueron de Guardias que se ha iba de vuelta á París el mariscal Víctor , nombrado por Lirs xvm llaban ausentes de e»ta cip tal en los primeros dias del mes de mayor general del ejercito , y no reconocido como tal por Julio, á no ser que se hayan hecho sospechosos de poca adhesión h. A. R. d Duque de Angulema , ó sea por los ultr…</t>
  </si>
  <si>
    <t>…lla, sino que ha ¡do á Bilbao, don crédulo para no dudar de Jos seis millones) : que el mismo duque de parece que han cometido los defensores de la fe mil barbari envío á París al mariscal Víctor como á persona de confianza, dades. porque las ramificaciones de esta correspondencia se extendían El traidor Silveira anda en efecto vagando ya por España con hasta aquella capital, y estaban implicadas en ella hasta personas 1200 infantes, unos 5,00 caballo…</t>
  </si>
  <si>
    <t>…; ^ ^~ ^ -• " f ¡ jAMiw^TT‘TjT1'f' Artículo de oficio. Sentado ya otra vez en el Trono de S. Fernando por la mi ño sabia j justa-del Omnipotente/por las generosas resolucio El ir. D. Víctor. Soez, Secretario dél Despachó dé Estado, dice nes de mis poderosos'Aliados, y por los denodados esfuerzos de en papel de r.° dé este mes alSr. Secretario de Estado y del mi amado Primo e!; Duque de Angulema y su valiente Ejército; Despachó de Gracia y Justic…</t>
  </si>
  <si>
    <t>…el quienes trajeron á brazo á SS. MM. hasta sil Reai alojamiento; conde de Corres, el Príncipe le intimó la orden desque se vol recibiéndolos en él como siempre los Excmos. Sres. D. Víctor viese en el término de cinco minutos, declarándole que en lo Saez, primer Secretario de Estado, y D. Josef María Carvajal, sucesivo no recibirla á otro parlamentario sino al mismo Rey. Gapítan general de Castilla la Nueva, con otros muchos sugetos Esta firme…</t>
  </si>
  <si>
    <t>…Reales Personas. A la llegada sois valientes. de SS. M\l. y A A. se hallaban para recibirlos en su Real aloja Frente de Lérida á 30 de Octubre de t82 3.:=Eroles. miento el Excmo. Sr. D. Víctor baez, primer Secretario de Es En Barcelona estaban suspendidas las hostilidades, y se espe— tado y del Despacho, el limo, Sr. Obispo de Córdoba,.el. Ma raba el resultado del Real decreto remitido directamente á riscal de Campo D. Josef Ignacio Aívarez Campana…</t>
  </si>
  <si>
    <t>Victor</t>
  </si>
  <si>
    <t>…cado prodigiosamente á pesar de su Opresión. Este desPalacio se hallaban esperando á los augustos viágetos, el Excmo. «graciado país solo contaba en 1696, 1.034,000 almas; y en el Sr. D. Victor baez, primer Secretario de Estado y del Despacho, «censo hecho en 1821 resulta que la Irlanda tiene en. el dia y un crecido número de Grandes, Generales y otras personas de «6.846,949 habitantes, de los que seis millones á lo menos distinción. Esta tarde han…</t>
  </si>
  <si>
    <t>Victoria, Guadalupe</t>
  </si>
  <si>
    <t>Guadalupe Victoria</t>
  </si>
  <si>
    <t>…lítico puso podía desde luego procederse á imprimir el acta con la adi Manuel María de Ace vedo. ción propuesta___En el diario del 9 se publica una proclama de Cádiz is; Je Abril. D. Guadalupe Victoria á las provincias de Oriente y Occidente, En el Redactor general de hoy s* publican lai siguientes no» en la que refiere sus sacrificios por la libertad, y se lamenta da ticias de ultramar. la conducta de Agustín 1, que osó disolver el Congreso, reempla Tenemo…</t>
  </si>
  <si>
    <t>…ida de Itúrbide, la reinstalación que creyese conveniente. del congreso de Méjico, y el nombramiento de D. Nicolás Bra Ei Sr. Llgasca: Veo con muchísimo placer que ninguno de vo , D. Guadalupe Victoria y D. Pedro Celestino Negrete para los Stes. preopinantes ha negado el principas luminoso v consola ejercer el poder ejecutivo, dor para la humanidad en que estriba el dictamen de la ..om.sion, __Por una carta de Montevideo con fecha de 24 de Febrero sa v es que al .tire libre desaparece…</t>
  </si>
  <si>
    <t>Vicuña, Cristóbal de</t>
  </si>
  <si>
    <t>Cristóbal de Vicuña</t>
  </si>
  <si>
    <t>…instancia en Gobernación de la Península.” esta capital se hace saber que en su juzgado y escribanía del número de Y en su consecuencia S- M. se ha servido declarar beneméritos de D. Cristóbal de Vicuña, se halla pendiente la ocurrencia de acreedo la patria, con arreglo al art. 8.° del decreto de las Cortes extraordina res á los bienes de D. Joaquín Cordero y Vargas, oficial que fue de rias de 8 de Febrero último, á los individuos de la diputación provin Cor…</t>
  </si>
  <si>
    <t>…azar á sus contrarios. honorario, juez de primera instancia de esta capital , dada por la es S: sabe de oficio que Jaime Alfonso y su compañero Antonio Ver- cribanía d=i número de D. Cristóbal de Vicuña, se cita , llama y em dú se han acogido al indulto, y se han presentado en Jumliia. El titu plaza a los Mes. DjwjI y compañía, del comercio de Alicante, tnnelado comandante general de los insurreccionados en el pando de B.■ ni .or de dos vales de óoo pesos de…</t>
  </si>
  <si>
    <t>…on: 1El oficio de nombramiento que se le pasó separadamente acuda ante dicho Sr. juez por la escribínia del el 24. 2.0 La contestación que dió en igual fecha, manifestan número de D. Cristóbal de Vicuña , donde se dará razón pot do hallarse pronto á ponerse en marcha siempre que se le pro menor de dichas fincas, sitios y linderos porcionasen 1500 hombres de infantería, 200 caballos y roo3 Se halla vacante la plaza de médico titular del lugar di pesos para po…</t>
  </si>
  <si>
    <t>Vicuña.'Quien, Cristóbal de</t>
  </si>
  <si>
    <t>Cristóbal de Vicuña.'Quien</t>
  </si>
  <si>
    <t>…Fernandez de los bergantín disidente, y la correspondencia arrojada al agua por su Ríos, que U tiene en la calle y casa del Sacramento, por la escribanía comandante. de número de D. Cristóbal de Vicuña.'Quien quiera mejorar dicho Lo que se avila al público para su noticia. remate acuda á la misma. Jfticio de jurado. Por auto proveído en ao del corriente -, y causa que en el juzgado del Convocado él jurado con arreglo a la ley en 4 del corriente para Puente del Arz…</t>
  </si>
  <si>
    <t>Vidal</t>
  </si>
  <si>
    <t>…alidos del Ctte 13 de Julio. fuerte y las tropas de Rcmagosa y francesas . sosteniendo unos Hoy han fondeado en este puerto dos buques catalanes, el y otros un fuego horroroso. El coronel Vidal ba llegado el 19 uno salió el 13 de Sampol , y su patrón asegura se sabia allí de i Puigcerdá herido en una pierna de una bala fría; hab endo oficio que el fuirte de liostalrich, distante cuatro leguas, esta muerto el teniente Rossell y un sargento cuyo nombr…</t>
  </si>
  <si>
    <t>Vidal, Francisco de Paula</t>
  </si>
  <si>
    <t>Francisco de Paula Vidal</t>
  </si>
  <si>
    <t>…te, y animaba las guerrillas: tuvo tiendo su ndores de provincia mandados por sus comandantes los tenien caballo. También se me presentaron dos ayudantes de campo de tes coroneles D. Francisco de Paula Vidal y D. Josef Pujol, con nuestro ínclito general en gefe D. Leopoldo O-Doncll y D. Jua.i c] de voluntarios de Mataré que formaban la izquierda , marcha Chiba t. ron soeun les prcv no el capitán D. Félix Domcnech , oficial del Según los partes y noticias que recibí de les pa.teño…</t>
  </si>
  <si>
    <t>Vidal, Gerónimo</t>
  </si>
  <si>
    <t>Gerónimo Vidal</t>
  </si>
  <si>
    <t>…han CORTES. sido detenidos y conducidos á la ciudadela en la noche del 14 ÍRESIDENCrA DEL SEÑOR FLORES CALDERON........................ al 15 del actual. Paisanos: Pedro Marcerau, D. Gerónimo Vidal, D. N. Extracto de la sesión del sr, Olivier, D. Ramón Martí de Tora , Pedro Ribes, El Sr. presidente, después de leída el acta de la sesión óltiClérigos y frailes: El obispo de.Lérida , el canónigo de id. ma, tomó la palabra, y pronunció un discurso sobre el…</t>
  </si>
  <si>
    <t>Vidal, Magín</t>
  </si>
  <si>
    <t>Magín Vidal</t>
  </si>
  <si>
    <t>…s dieron algunas ipuestras de Empleados: comandante D. Juan Biutista Rullo, D. Josef aprobación. El Sr. Canga pidió que se imprimiera dicho ais-, Fábregas, alcaide de la aduana, y D. Magín Vidal. curso, y asi se acordó. Sabemos que son otros los detenidos, cuyos nombres no he Se leyeion varios oficios relativos á la invasión de los fran mos aun podido indagar, y publicaremos luego que los sepamos. ceses remitidos por el Gobierno. Escriben de Lérida c…</t>
  </si>
  <si>
    <t>Vidal, Marín</t>
  </si>
  <si>
    <t>Marín Vidal</t>
  </si>
  <si>
    <t>…lamento, una propo Empleados: comandante D. Juan Bautista Ruiio. =D. Jo sición del Sr. Albear, para que se presentasen los datos estadísti sef Eábregas , alcaide de la aduar..!. = D. Marín Vidal. cos que hubiese para el repartimiento de las contnbuc.ones direc Sabemos que son otros los deten‘dos, cuyos nombres no he ta y de consumos. mos aun podido indagar ,y publicaremos luego que los sepamos.” Se declaró no estar comprendida en dicho art. too del r…</t>
  </si>
  <si>
    <t>Vidales, Martin de</t>
  </si>
  <si>
    <t>Martin de Vidales</t>
  </si>
  <si>
    <t>…adrón de Zayas, población se compone de 700 vecinos poco mas ó menos, los que éiperaba el resultado de la acción , te dirijieron i Mamlba, pretendientes dirijirán sus memoriales á D. Martin de Vidales en la precisa ocasión en que acababa de recibir un parte de que alcalde ordinario, en el término de un mes contado desde el dia 120 infantes se dinjian sebee Jubrique á llevarse los prisione de su publicación es la gaceta. EN LA IMPRENTA REAL.</t>
  </si>
  <si>
    <t>Vidart, Josef Domingo</t>
  </si>
  <si>
    <t>Josef Domingo Vidart</t>
  </si>
  <si>
    <t>…migos habían levantado su campo y se dirigían sobre reserva el g.° de granaderos de la Guardia al mando de su gefe nosotros con roda su fuerza; en consecuencia, y despucs de haber D. Josef Domingo Vidart. tomado las providencias que juzgué necesarias á lia de desembara Los valientes cazadores montados conducidos por su digno te zarme del tráfaao que ofrecían las cargas de los almacenes de los niente coronelD. Feliciano Asin y Gamarra, comandante del cuerpos,…</t>
  </si>
  <si>
    <t>…Fernando i j de Setiembre. Union, g.a de la Guardia, Cazadores y Arequipa, al mando Aquí estamos escandalizados de oír lo que nos cuentan las los tres últimos de sus dignos gefes D. Josef Domingo Vidart, personas que diariamente vienen de Cádiz, y sobre todo cuando D. francisco Solé y D. Manuel Honra , marchan en medio del les oímos decir que en las conversaciones particulares y en los peligro como en una parada : todo es terror, todo es espanto en corrillos…</t>
  </si>
  <si>
    <t>Vidi, Juan</t>
  </si>
  <si>
    <t>Juan Vidi</t>
  </si>
  <si>
    <t>…o. I (•según el articulo 8.° del citado decreto.............. J 1&gt;. Antonio Torres..................... D. Bruno Antonio Gayoso. . . D. -Marcos Antonio Menczo. IX Juan Castriilon. D. Juan Vidi. D. Eduardo Brett. j Segundos tenientes. . . Idem ídem ídem. io8qoD. Manuel Alaria de la Calle. D. Ramón Fabregues. D. Antonio Perez de Barragas. D. Josef Joaquín de OJaciregui D. Joaquín Martínez de Mcdinilla.-1 D. Josef Zar ibrano...........................…</t>
  </si>
  <si>
    <t>Vidobro, Faustino Fernandez</t>
  </si>
  <si>
    <t>Faustino Fernandez Vidobro</t>
  </si>
  <si>
    <t>…se avisa a los accionistas que desde hoy 26 D. Aniceto Moreno. D Eugenio Perez González. dC Marzo pueden concurrir á la secretaria del establecimiento desde las D. Manuel Antoran. D. Faustino Fernandez Vidobro. diez hasta la una del día á exhibir sus acciones y presentar ios docu D. Manuel Nufiez. D. Tetisforo Polo. mentos convenientes para el cobro de dicho dividendo, que se ira ve D. Vicente Santiago Les. D. Josef M.re'o. rificando á medida que baya proporción de…</t>
  </si>
  <si>
    <t>Vídot, Juan Francisco</t>
  </si>
  <si>
    <t>Juan Francisco Vídot</t>
  </si>
  <si>
    <t>…de invslidos. Goñi, D. Josef Carreño, D. Felipe Echevarrí, D. Miguel Pino y A vista de la guardia nacional, que marchaba delante, todo el lado López, D. Bernardo ds la Peña Díaz, D. Juan Francisco Vídot, Don izquierdo se levanta por un movimi uto indeliberado, y exclama: Segismundo Moret, D. Jcs;f María ds Ansa y D. Josef María Villa••¡Cómo! ¡ La guardia nacional ! ¡ La guardia nacional es la que se randa , y declaró haber lugar á la formación de cansa por s…</t>
  </si>
  <si>
    <t>Vielcastel</t>
  </si>
  <si>
    <t>…, Sr. Cadolino, su guiente : Secretario; el Excmo. Sr. Marques de Taiarú, Embajador de ,,Señor: Los votos del Rey mi amo se han colmado va' Francia, con.uno de sus Secretarios, el caballero Vielcastel; los V. Al. se halla vuelto al amor de sus pueblos; la España ve Srcsi Conde Bruneti, Enviado extraordinario' y Ministro pleni restablecido el origen de su felicidad, y la Europa, unánime en potenciario de Austria; Barón Rover, de Prusia; Conde Bulgari, desig…</t>
  </si>
  <si>
    <t>Vielot, Juan Francisco</t>
  </si>
  <si>
    <t>Juan Francisco Vielot</t>
  </si>
  <si>
    <t>…l batallón grado; y reunido ei jurado, compuesto de los señores D. Leonardo M. N. A. de Cuenca D. Juan Palacio, scsttnido por 30 caballos de Miguel Camerino, D. Baltasar Valcarce, D. Juan Francisco Vielot, Alcántara, mancados por su capitán. La izquierda, ccn La compañía de D. Antonio Puga, D. Pedro Ruiz de Lolzaga, D. Nicolás de Iraola cazadores y 20 caballos de los mismos cuerpos, ai cargo de D. Cirilo D. Josef Pascual ds Guillenca, D. Jostf ds Resusta y D.…</t>
  </si>
  <si>
    <t>Viena, Strangford Escriben de</t>
  </si>
  <si>
    <t>Strangford Escriben de Viena</t>
  </si>
  <si>
    <t>…da, y se advirtió que el interprete del Atttsbt.rgo 17 de Marzo. reis-efiFendi permaneció mas tiempo que los demas con S» E. En ti actual estadt&gt; de cosas parecía indudable que el lord Strangford Escriben de Viena el ra lo siguiente-.: obtendría inmedi«ámente una audiencia del gran visir, y en se » Aquí se cree que se conservará la paz; y esta opinión re guida otra audiencia del Sultán. Sin embargo han pasado ya diez sulta de que apenas se notan preparativos militares:…</t>
  </si>
  <si>
    <t>Viéndose</t>
  </si>
  <si>
    <t>…to, y puesto al frente del piisanáge armado los las guerrillas con sus celes. atacó con denuedo, y obligó á que se retirasen. En Ja noche del i.° del corriente llegaron al cuartel general Viéndose acosados los traidores ocuparon tina casa fuerte, dos soldados de cazadores número 5.0, que se hallaban prisione desde donde se Asponian á una viva resistencia, porque estaban ros por los facciosos, y se escaparon de 1f.tl de Paz?', en donde bien municionados…</t>
  </si>
  <si>
    <t>Viga, Coronel</t>
  </si>
  <si>
    <t>Coronel Viga</t>
  </si>
  <si>
    <t>…a que servia en Geje en fecha de! 29 de Setiembre de 18 ¡j, ¿y D. Manuel interinamente. Senderos, Ca ritan de artillería , autorizado can plenos federes Andujar jo de Octubre. del Sr. Coronel Viga, Gobernador de los fuertes. SS. MM. y AA. continúan sin novedad en su importan te salud. A las ocho de la mañana partieron de la Villa del Rio, Art. i.° La guarnición de los fuertes de Urge! será prisione y llegaron á las once &lt; esta ciudad, entrando en una h…</t>
  </si>
  <si>
    <t>Viga, Pedro Mendez</t>
  </si>
  <si>
    <t>Pedro Mendez Viga</t>
  </si>
  <si>
    <t>…de la opinión pública , entonces levanta esta en gefe del cuarto cuerpo del ejército español, el mariscal de cam su voz majestuosa , y llegan las revoluciones al término que de po D. Pedro Mendez Viga, el brigadier general D. Juan Palaben tener para que cesen. rea, todos los coroneles y demas oficiales, los empleados civiles Dia llegará, y ¡ojalá na esté lejos! en que será un crimen en y militares, los médicos, cirujanos y todas las tropas de infante un es…</t>
  </si>
  <si>
    <t>Vigo</t>
  </si>
  <si>
    <t>…un manifesté á V. E. en el parte de ayer desde Priego, cargadas provisionalmente de esta guarnición. Felicito á V. Ei. de lo ta vanguardia de infantería y caballería, al mando del brigadier Vigo, íntimo de mi alma por este glorioso é importantísimo servicio que aca siguió la retaguardia de los enemigos ,y durmió al vivac á tres cuac. ba de hacer á la causa de la Nación, cuya suerte en gran parte tan fe tos de legua de Tobar, donde aquellos pernoctaro…</t>
  </si>
  <si>
    <t>…iduría conduce el día de hoy los sucesos de España. » Vigo i.° de Agosto. Acabamos de llegar aqui desde laCo- » Pero al presente, Madama , que la monarquía francesa se tuña con el general Vigo y su estado mayor. Viene á reempla halla en un estado prósp-ro, solo quiere la Verdee rivalizar zar al general Romay. :La Coruña ha sido atacada muy de cer con todos los países que V. A R. ha recorrido en amor á vos ca por los franceses. Las tropas que sostie…</t>
  </si>
  <si>
    <t>…Casa» y patente» dc»de i 0’ de Jubo de 182 3. larea con su división se había reunido el 7 de Agosto .1 las tropas 2.1 Extraordinaria de casa» para la» fuerza» sut.les acordada del general Vigo, y que ¡untos marchaban sobre Lugo. en Real orden de 8 de Agosto. g.A Servicio mensual de los que tro lo presten en la milicia AX UNTAMIENTO CONSTITUCIONAL. local, y en la mitad de los derecho» de aduana , tofo con arre Los aleudes constitucionales. glo a lo…</t>
  </si>
  <si>
    <t>Vigo, Fedró' Me’ndez</t>
  </si>
  <si>
    <t>Fedró' Me’ndez Vigo</t>
  </si>
  <si>
    <t>…ó deba jo de las baterías misma»,de Cádiz, y aun despi te enfgefe.de! cuarto cuerpo del ejército español y el martjical da dió algún*» andanada* sóbre esta ciudbd. - • -*- • campo D. Fedró' Me’ndez Vigo, «1-brigadier general D. Juan Mientras succdian tan brillantes acontecimientos , sodas las Palarea, todos lo» coroneles y demas oficiales» los empleados demas tropas, tanto de Chiclana como del resto de la línea , esta civiles y militares, los médicos, ciruja…</t>
  </si>
  <si>
    <t>Vigo, Froilan Mendez de</t>
  </si>
  <si>
    <t>Froilan Mendez de Vigo</t>
  </si>
  <si>
    <t>…tos, y seis ei de Pansdes lo que copic.~Éxcmo. Sr.esiEi teniente coronel mayor del soldados y tres caballos heridos. Entre los heridos se halla el cadete D. Jo remírenlo de Málaga D. Froilan Mendez de Vigo, comandante del pun sef Percevál.—Lo que traslado á V. E. para su conocimiento, y que *e sir tóle Mora de Ebro, con f. ha 18 del corriente me da el parte siguiente: va elevarlo al de S. M.rrDios guarde á V. E.- muchos años. Madrid 2 8 de El comandante del pri…</t>
  </si>
  <si>
    <t>Vigod, Josef Montero y</t>
  </si>
  <si>
    <t>Josef Montero y Vigod</t>
  </si>
  <si>
    <t>…upo que nuestras tropas hablan pasado al otro Los infrascritos jueces de hecho, habiendo examinado la de Jado de! Bidasoa: el Si', ministro de Marina dirigió á todos Jos nuncia de D. Josef Montero y Vigod;t sobre un manifiesto he comandantes de buques del Rey una orden relativa á la conduc cho por el ayuntamiento constitucional de la cindad de Mataré, ta que debían observar. En el preámbulo de esta orden se en firmado por los individuos que lo componen , i 111…</t>
  </si>
  <si>
    <t>Vigodet</t>
  </si>
  <si>
    <t>…r. Galiano observó que los Sres. Valdés y Ciscar po aprobada. drían prestarle inmediatamente, y luego podiia prestarle el Se leyó un oficio del Gobierno, participando que S. M. se Sr. Vigodet, pues en la actualidad se haliaba ocupado en asun habia servido señalar la hora de las croco de esta tarde para re tos de la mayor importancia. cibir la diputación de las cortes. Se dió cuenta de un oficio del Sr. secretario interino del A breve rato salió es…</t>
  </si>
  <si>
    <t>…y Cis nombrase una comisión especial que se enliendiesa con car podrían prestarle inmediatamente, y que luego el Gobierno acerca de los medios de traslación. podría verilicarlo el Sr. Vigodet, pues en la actua Fueron nombrados para componerla los Sres Fer lidad se bailaba ocupado en asuntos de la mayor rer ( D. Joaquín), Ganga ¿ luíante, Escobedo \ importancia. Sánchez. Se leyeron los artículos de la Constitución que Entró la comisión que acompañó…</t>
  </si>
  <si>
    <t>Vigodet, Gaspar</t>
  </si>
  <si>
    <t>Gaspar Vigodet</t>
  </si>
  <si>
    <t>…D. Cayetano YCildés, diputado tes muros de Cádiz. á Cortes, presidente: D. Gabriel de Ciscar, consejero de Estado, S. M. contesto que su conciencia y el interes de sus súbditos y D. Gaspar Vigodet, también consejero de Estado. no le permitían salir de aquí , y que como individuo particular Quedó aprobado este dictamen. no tendría inconveniente en trasladarse ; pero que como Rey no El Sr. Riego pidió que inmediatamente prestasen el jura se lo permitía s…</t>
  </si>
  <si>
    <t>…Sr. Secretario de Estado y del distrito militar y del ejército acantonado en la Isla despacho de Hacienda, Gaditana ; se lia servido nombrar para aquel al ge neral en jete de esta D. Gaspar Vigodet, quien des de luego se encargará de la comandancia genera! del Décimo distrito militar porque se baila vacante en El admirante liaron de Ruisceli , comandante ge razón de que con fecha el 17 de este mes se sirvió neral de la escuadra de S. A.L el -rei de los…</t>
  </si>
  <si>
    <t>Vigodet, Gaspar de</t>
  </si>
  <si>
    <t>Gaspar de Vigodet</t>
  </si>
  <si>
    <t>…iscurso del Sr. Galiano, se leyó una proposi putado á cortes, presidente; D. Gabriel de Ciscar, consejero de ción del mismo Sr. diputado , reducida á que se nombrase una Estado, y D. Gaspar de Vigodet, también consejero de Es diputación que pasase á hablar á S. M. sobre la necesidad de la tado. salida de esta capital. Quedó aprobada sin discusión. Quedó aprobado este dictamen. El JV. Argmlles hizo una adición para que se fijase el sitio El JV. Riego pidió…</t>
  </si>
  <si>
    <t>Vigodet, U. Gaspar</t>
  </si>
  <si>
    <t>U. Gaspar Vigodet</t>
  </si>
  <si>
    <t>…s , presidente ; del y el Sr. D. Redro de La Puente, alea Lie constitucio Sr. D. Gabriel Ciscar, consejero tic listado; y del nal de Cádiz, dirigió á S. Ai la alocución siguiente: Sr. U. Gaspar Vigodet, también consejero de Esta ..Señor : El Ayuntamiento constitucional de, Cádiz tie do; la cual por el tiempo de la traslación de las ne la honra de tributar á V. IM. personalmente sus Cortes y tlel Gobierno á la Ida gaditana reasuma to resp 'los. E-la plaza ,…</t>
  </si>
  <si>
    <t>Viguer, Juan</t>
  </si>
  <si>
    <t>Juan Viguer</t>
  </si>
  <si>
    <t>…caballería cerrarán la comitiva. En la santa iglesia se celebrará un lebrado con ' decible entusiasmo el desprecio que han hecho las Cor solemne oficio con sermón, que dirá el Dr. D. Juan Viguer , catedráti tes de las ,c._.s pasadas por los Gabinetes de Rusia , Prusía, Austria co de la universidad literaria de esta capital. Fran .a. Casi á un mismo tiempo se han tocado las campanas y se » El ayuntamiento convida á todos los ciudadanos á que se presen…</t>
  </si>
  <si>
    <t>Vihaeampa</t>
  </si>
  <si>
    <t>…rcaciones del rio y en los equipages que encontra do sw heroica conducta; y concluye diciendo que ban por Jas calles ejercieron todo género de barba lizbia dado noticia de todo al general Vihaeampa, ridades; robando, destrozando, y arrojando por el que creía se hallaba en la noche anterior en Dossuelo ó al agua cuanto no podían recoger para sí. Par hermanas. te del edificio de la inquisición se voló; pereciendo muchas personas, y ya se habían encontrado…</t>
  </si>
  <si>
    <t>Viilaboa</t>
  </si>
  <si>
    <t>…adrid. En segunda votación salió electo cl Sr. Gómez Becerra por 90 votos 135...... 8000......................... En Idem. de98 de total; teniendo cuatro el Sr. Marchámalo, dos el Sr. Viilaboa, 12839...... xooo......................... En Zaragoza. y uno cada uno de los Sres, Vilknucva y Ruiz de la Vega. H705...... 1000........................ En Salamanca. En tercera Votac.on salió electo el Sr. Santafe, por 81 votos dtl total 695..... 1000.......…</t>
  </si>
  <si>
    <t>Viilagra</t>
  </si>
  <si>
    <t>…Los periódicos de Barcelona ponderan mucho la salida que partida, 35 caballos, y todas sus armas blancas y de fuego. El hizo su guarnición el 16. Este día lo han celebrado como un Sr. Viilagra fue el que mandó la acción , y no el anidante adic triunfo. Hacen los mayores elogios del batallón de Bavbastro, de colones (sin duda este nombre está equivocado), y de León , de to al E. M. D. Antonio García como equivocadamente se dijo en el núm. 3 de este…</t>
  </si>
  <si>
    <t>Viilahermosa, Duque de</t>
  </si>
  <si>
    <t>Duque de Viilahermosa</t>
  </si>
  <si>
    <t>…ces á los habitantes de Paris que S. A. R. entraba ta audiencia pública el dia 28 de Noviembre, en cuyo dia, y en en los muros de esta capital. tre una y dos de la tarde el Excmo. Sr. Duque de Viilahermosa, El Sr. Conde de Courtad, Comandante de la división, embajador del Rey Católico en esta corte, se dirigió al Real seguido de su Estado mayor , precedía un poco distante á palacio de Banposta acompañado del Conde de Castro Marín en S. A. R. desde la barrera de…</t>
  </si>
  <si>
    <t>Viilamil, Manuel Perez</t>
  </si>
  <si>
    <t>Manuel Perez Viilamil</t>
  </si>
  <si>
    <t>…nicación con el general Do-Regó para atacar á la facción este egéicito al subteniente D Julián Pastor, y el de esta clase portuguesa de Silveira, que en número de i9 hombres de in D. Manuel Perez Viilamil quedará empleado en la primera fantería y.500 de cabañería, en el mayor desorden , y con seis división. piezas de artillería muy mal servidas, por no tener artillero?, Art. 3.0 Los batallones correspondientes á la primera divi se hallaba en Mansiüa. Estas not…</t>
  </si>
  <si>
    <t>Viilaranda, Josef María</t>
  </si>
  <si>
    <t>Josef María Viilaranda</t>
  </si>
  <si>
    <t>…; y pa D. Pedro Antonio d; Aguirre, D. Segismundo Morct, D. Luis Cro- ra que llegue á su noticia que se anuncie en 1a gaceta en obsequio del »a, D. Prud ncio Hernández Sta. Cruz, D. Josef María Viilaranda, mejor servicio. D. Pedro Jos.f Paul , D. Juan de Fuentes y D. Josef Miría Retostólo; ANUNCIOS. dspues de t.-nida la la conferencia de estilo, por unanimidad ha decla rado haber lugar día formación de causa. D. Joaquín de Usarralde, vecino de la villa de Tolo…</t>
  </si>
  <si>
    <t>ViJ.Í, Josrf Maiía</t>
  </si>
  <si>
    <t>Josrf Maiía ViJ.Í</t>
  </si>
  <si>
    <t>…igido al ayuntamiento constitucional de cia dispuse que el resto de la vsmguard.a y e¡ batallón de 1» Libertad, il •esta ciudad. {Véase la gaceta del 9 del corriente.) mando de su comandante D. Josrf Maiía ViJ.Í , ocupasen las alturas n Si bien por la multitud de nieve que había en Moya y todas sus inmed.atas, con el fin de entretener al encargo, y prctiger las compa inmediaciones cuando recibí el primer oficio de V. S., en que inr indi ñías expresadas, tri d ínterin…</t>
  </si>
  <si>
    <t>Vil, Fernando</t>
  </si>
  <si>
    <t>Fernando Vil</t>
  </si>
  <si>
    <t>…ue estimen menos gravosos , y aun de io. rcpartiun-ntos vecinales en di El Rey ha expedido el decreto siguiente: nero ó en efectos con calidad de reintegro por el tesoro nacional. Don Fernando Vil por la gracia de Dios y por la Constitución de la Después de una breve discusión quedo aprobado este artículo. Monarquía española, Rey de las España*, á todos los que las presentes El Mr. presidente suspendió la discusión de este asunto. -vieren y entendieren…</t>
  </si>
  <si>
    <t>…ohibidos, solo en las aduanas de los puertos declarados de pri El Rey se ha servido dirigirme el decreto siguiente: mera clase, no invadidos iii ocupados por el enemigo, y hacerse D. Fernando Vil por la gracia de Dios y por la Constitu las rebajas por las contadurías en los certificados de que trata el ción de la Monarquía española, Rey de las Españas, á todos los art. 4.0 al tiempo de facilitar los despachos ó guias para el tras que las presentes vie…</t>
  </si>
  <si>
    <t>Viladecans, Francisco</t>
  </si>
  <si>
    <t>Francisco Viladecans</t>
  </si>
  <si>
    <t>…del obispo: Julián Cabioli, Domingo Corvado, han hecho, pero que fingen hacer para seducir á ios meautos y Vicente López. alucinar 2 los débiles. Prior del hospital de Sta. Cruz, D. Francisco Viladecans, » Aqui se les repetirá que al formar nuestra Constitución, id. de la convalecencia, D. Cristóbal Mercé, abad de S. Pablo, ni quisimos dejaría expuesta á las versatilidades del capricho, D. Rafael Parrella. ni darla una eternidad é invariabilidad que no sufre…</t>
  </si>
  <si>
    <t>Vilattc</t>
  </si>
  <si>
    <t>…s que hasta ahora han escrito cita expedición de la conducta que ha observado ei. mariscal de contra el Masonismo no haya habido alguno que )'erase á dar campo Saint-Chamaos-, del coronel Vilattc, del io.° de drago en el Blanco verdadero de él, desconcertando el Jiñ político y nes; el teniente coronel de Compiegné, del mismo regimiento, religioso de los Masones. el coronel Tessier de Marouse , del to.° ¿s cazadores, y el co Procuraré por tanto desatar…</t>
  </si>
  <si>
    <t>Vilches, Nicolás</t>
  </si>
  <si>
    <t>Nicolás Vilches</t>
  </si>
  <si>
    <t>…, aunque no le corresponda por su antigüedad; Al propio tiempo que el Rey ha tenido á bien acceder á la pero cuidarán'siempre de usar de esta facultad con suma econo- instancia de D. Nicolás Vilches, teniente agregado al Estado ma aiía, y publicarán en la orden del día esias gracias, y el motivo yor de la plaza de Granada, en solicitud de que se 1c permitiera de su concesión. Art. 7.0 La elección de cabos y sargentos pro servir durante la guerra en clase…</t>
  </si>
  <si>
    <t>Vildosola, Juan</t>
  </si>
  <si>
    <t>Juan Vildosola</t>
  </si>
  <si>
    <t>…ndo la linea del bloqueo entren en esta Juan Peman, y de los de ingenierosD. Antonio BanJaran , Don bahía, no pudiendovolver á superar dicha linea, no quedaba ctro Fermín Arteta y D. Juan Vildosola: hace el mayor elogio, y arbitrio que admitirlos en el puerto y señalarles aquí mismo la cree digno de premio el comportamiento del oficial de marina zareto donde hiciesen su cuarentena , ademas Je que 110 habia pe D. zVndrcs Viguf.a, que fue de los punteros…</t>
  </si>
  <si>
    <t>Viliacampa, Josef</t>
  </si>
  <si>
    <t>Josef Viliacampa</t>
  </si>
  <si>
    <t>…ismo, y para sostenerle el capitán del rno pueda, con lu adición de ¡o qile se, adelante. mismo con toda la tropa restarte de su cuerpo, y el subteniente m El infatigable teniente coronel D. Josef Viliacampa me de Pontevedra D. Manuel Ventura Scquenos; y los 15 hombres acompaña en esta ¡ornada con el capitán D. Juan Maceda , y los del resguardo á las órdenes de D. Clemente basar rat que car .ja señores oficiales de los tres cuerpos de Aragón , Pontevedra y sen ma…</t>
  </si>
  <si>
    <t>Viliaíba, Ramón de</t>
  </si>
  <si>
    <t>Ramón de Viliaíba</t>
  </si>
  <si>
    <t>…illas al separarse de ellos en Orviso antes de ayer tomó en Murcia. el camino de Peñacerrada, y 15 caballos de los suyos estuvieron el Del comandante general del 9.° distrito. Del general D. Ramón de Viliaíba. mismo día en Abalos: mas boy se nos aseguró estaba en Santa Cruz Del ayuntamiento constitucional de la villa del Barco de Avila. de Camp-zu. El fuego que se oyó la larde dil 15 en A bar zuza debió Del resguardo militar de Almería. de s-r entre Jicregui y San…</t>
  </si>
  <si>
    <t>Vilíanuevi, Francisco Luciano Domínguez</t>
  </si>
  <si>
    <t>Francisco Luciano Domínguez Vilíanuevi</t>
  </si>
  <si>
    <t>…nado fiar á mis desvelos. La provincia Señores que disintieron: D. Josef Antonio Ponzoa, D. Simón continúa en la mas completa tranquilidad. Dios guarde á V- E. mu González Yuste y D. Francisco Luciano Domínguez Vilíanuevi. chos anos. Soria 15 de Marzo de 1833—Excmo. Sr.tcrMiguel Cabre TJU SUMALES. ra de Nevares.czcExcmo. Sr. secretario de Estado y dei Despacho de la Por edicto de D. Martin de Pineda , juez de primera instancia en Gobernación de la Península.” esta capital se h…</t>
  </si>
  <si>
    <t>Viliarmtva, Juan</t>
  </si>
  <si>
    <t>Juan Viliarmtva</t>
  </si>
  <si>
    <t>…de las tropas fran pruebas de su talento y valor. En esta división se han distin cesas y españolas, como también los comandantes de las pro guido muy particularmente los coroneles D. Juan Viliarmtva, vincias y plazas que se hallen embebidas en cada comandancia Don Josef Zigara, el .teniente coronel D. Antonio Laplana, superior, deberán corresponderse con los Señores mariscales y y. el alférez del Infante D. Cirios Espinare, quien libio de oficíales gener…</t>
  </si>
  <si>
    <t>Vilkcampa</t>
  </si>
  <si>
    <t>…ter su dignidad; y las Cortes antes de mu dignación que. je experimenta en todos los pueblos de la Penín chos días tendrán k satisfacción de tener una discusión tan lata sula ; el general Vilkcampa y el nuevo gefe político Ochoa han y tan europea como yo deseo, pues la comisión Diplomática publicado una proclama con este motivo digna del patriotismo encargada de examinar la memoria de Estado presentara en bre que los anima; y todos, si se exceptúa un co…</t>
  </si>
  <si>
    <t>Villa, Josef María</t>
  </si>
  <si>
    <t>Josef María Villa</t>
  </si>
  <si>
    <t>…el lado López, D. Bernardo ds la Peña Díaz, D. Juan Francisco Vídot, Don izquierdo se levanta por un movimi uto indeliberado, y exclama: Segismundo Moret, D. Jcs;f María ds Ansa y D. Josef María Villa••¡Cómo! ¡ La guardia nacional ! ¡ La guardia nacional es la que se randa , y declaró haber lugar á la formación de cansa por seis votoi, •lige para violar el santuar.o de la representación nacional! ¡ La guardia de cuya mayoría disintieron los tres últimos ju…</t>
  </si>
  <si>
    <t>Villa, Juan</t>
  </si>
  <si>
    <t>Juan Villa</t>
  </si>
  <si>
    <t>…licianos en la casa para nadas, acudan á D. Florencio Martin, calle de Santiago, alma seguir al otro dia el escrutinio. A media noche entraron dos su- cén de china, ó al escribano D. Juan Villa, calle del Burro, getot en la casa, de que hay testigos , porque lo permitió la núm. 34, donde se les enterará de las condiciones, cabidas y guardia, aunque parece que estuvieron poco tiempo. tasas para que hagan sus propuestas arregladas. « Al dia siguiente…</t>
  </si>
  <si>
    <t>…fen que quieran tomar á su cargo el expresado suministro acudan á didos. La posición que debe llamar la atención es el Trocade— la Veeduría de Reales Caballerizas , ó al Escribano D. Juan Villa ro, donde las Cortes han reunido sus fuerzas, y estamos tan per Fernandez, que vive calle del Burro, núm. 34, donde se les en suadidos de la imposibilidad de tomar este punto, que aun duda terará de las condiciones que están aprobadas por la superioridad. mos…</t>
  </si>
  <si>
    <t>Villa, Mariano</t>
  </si>
  <si>
    <t>Mariano Villa</t>
  </si>
  <si>
    <t>…ral de la primera división de infantería, y de ros. — Excmo. Sr. secretario de Estada y del Despacho de la los ayudantes generales del mismo cuerpo D. Francisco Figueras Guerra. y D. Mariano Villa á la cabeza de la primera brigada de la cita S. M. ha visto con satisfacción el buen comportamiento de da división, que manda el coronel D. Ramón Landáburu con estas beneméritas tropas, y tendrá muy presentes ios distinguidos concepto mío: llegué sin novedad…</t>
  </si>
  <si>
    <t>Villa-</t>
  </si>
  <si>
    <t>…El 2 5 de Marro salió de aqui para Briviesca, pueblo de su sos que llevaban , entre ellos dos infelices tragincror de SoUonV nacimiento, el individuo de esta d putacion provincial Sr. Villa- con cinco caballerías cargadas de cobre y otras mercancías , otras nueva; y á dos leguas de aqui le salió al encuentro una partida dos cargadas de trigo, y otra con paja, habiendo adema;, cog’do de facciosos , quienes hibiendo conocido á dicho diputado le su…</t>
  </si>
  <si>
    <t>…la misma dependencia, y el segundo y tercero remates se veri nuará, ) ficarán en los dias 25, también del corriente, y 10 de Junio __Con satisfacción singularísima sabemos que el general Villa- siguiente, en el propio sitio y á igual hora, como se previno campa principia á desplegar su actividad y energía que nosotros en dicho periódico. esperábamos de su decisión por el bien público. Ha mandado que los nuevos batallones de la milicia activa de los…</t>
  </si>
  <si>
    <t>Villaboa</t>
  </si>
  <si>
    <t>…Salamanca. En tercera Votac.on salió electo el Sr. Santafe, por 81 votos dtl total 695..... 1000......................... En Ferrol. 88; habiendo tenido 3 el Sr. Marchámalo, 2 el Sr. Villaboa, y uno ca- 9917...... 1000......................... En Cádiz. da tino de los Sres. Henriqtie y Soria. 3139...... 1000......................... En Madrid. En cuarta votación salió electo el Sr. Arguelles por 81 votos del_ to 5990...... 1000....................…</t>
  </si>
  <si>
    <t>…ugar el Sr. González Alonso por 93 votos, habiendo te torio de Extremadura, de 5,00 rs. por una vez, y de 700 rs. y 21 mrs. nido uno el Sr. Romero, otro el Sr. Marchámalo , y 3 el Sr. Villaboa. anuales que le paga aquella villa , mientras dure la guerra con Francia, y esté En 12.0 lugar el Sr. Henriquez por 91 votos, habiendo tenido uno el ¿L en aquel destino; mandando al mismo tiempo que se le den las gracias Sr. Marchámalo. en su Real nombre, y q…</t>
  </si>
  <si>
    <t>…¡a totalidad. vecinos del pueblo. En la segunda votación fu; elegido el Sr. Alix por 77 votos , teniendo La comisión hubiera deseado poder eximir del sorteo a todos los mi— uno el Sr. Villaboa dei total, que fue 70. Fcianos; pero esto es demasiado seno y demasiado trascendental , y ha teni En la tercera votador, saüu electo el Sr. Seoar.e por 8- voto», que era do que limitarse á la gracia de que h.i hablado anteriormente, esto es, que el total. cua…</t>
  </si>
  <si>
    <t>…s, ó próximas á serlo, y el informe del en el artículo 100 del reglamento, y fue aprobada. Gobierno, opinaba que las Cortes podían autorizar á la diputa Se concedió permiso al Sr. diputado Villaboa para ausentar ción previneai de las islas Canarias para el uso de las facultades se por dos meses con objeto de tomar baños minerales. concedidas á las demas. Aprobado. Se leyó un oficio dirigido á los Sres. secretarios del Sr. di- Se leyó por primera vez una…</t>
  </si>
  <si>
    <t>Villacainpa, Pedro</t>
  </si>
  <si>
    <t>Pedro Villacainpa</t>
  </si>
  <si>
    <t>…nel de infantería D- Josef María García, de Guerra sobre Ja exposición del general en gefe del ejercito de capitán agregado al estado mayor de esta plaza, se le reconocerá reserva D. Pedro Villacainpa sobre formación de guerrillas. como destinado á las órdenes del Excmo. Sr. D. Demetrio Se leyó una proposición del Sr. González Alonso, reducid* O-Daly; y al teniente del batallón de la milicia nacional activa á que las oficinas encargadas de la liquidación d…</t>
  </si>
  <si>
    <t>Villacampa</t>
  </si>
  <si>
    <t>…e hay ejércitos, y esto es lo que á mí me si es compatible, si cree que no embarazará la acción del Go importa. bierno el facilitar por medio de sus ideas algún recurso extraor Ei general Villacampa entrará por ejemplo en Sevilla; y yo dinario, que lo haga; y al señor autor de la proposición que pres pregunto , ; qué hará este general con 24 batallones y ^escuadro cinda de las 48 horas, sustituyendo en su lugar la cláusula de que nes’ Claro es que lo pri…</t>
  </si>
  <si>
    <t>…to de la sublevación cuarteles, pasando por delante del Sr. Comandante general. de toda la provincia de Sta. Marta, que felizmente se ha verifi — Hoy ha entrado en esta capital el general Villacampa., cosa cado, y cuya confirmación tenemos por buque procedente de que con tanta ansia deseaban todos los patriotas. Nosotros con Rio-Hacha que entró ayer. El acontecimiento es de lo mas plau fiamos en que este general ilustre y conocido por su decisión y sible…</t>
  </si>
  <si>
    <t>…miento de indigna había habido algún extravio en la primera. ción que se experimenta en todos los pueblos de la Pen'nsula ; el A la misma comisión se mando pasar una exposición do general Villacampa y el nuevo gefe político Ochoa han publica Fr. Juan Montova, del orden de Sto. Domingo ce la oudad de. do una proclama con este motivo, digna del patriotismo que los Málaga , solicitando mayor congrua de la señalada por ias Cortes anima; y todos, si se except…</t>
  </si>
  <si>
    <t>…D. Pascual Armenla y D. Sebastian Ti o o co,, de ción de parte del ejército llamado de reserva , á las órdenes del Algatocin; D. Juan Becerra y Sebastian Fajardo su sobrino.de ex-general Villacampa, me dirijí i la plaza de Gatosin, donde Igualeja; y D. Antonio Morales , de Pujerra , se han singulari encontré á D. Sebastian Tinoco, ds aquella vecindad, que traia zado, manifestando valor, serenidad y dirección durante lo como prisioneros dos soldados y da…</t>
  </si>
  <si>
    <t>Villacampa, Pedro</t>
  </si>
  <si>
    <t>Pedro Villacampa</t>
  </si>
  <si>
    <t>…sa de la libertad , de fi. M . se había servido mandar que el Excmo. Sr. general en. ge- cuyo sagrado depós.to están encargadas las Cortes: pero no fue fe del ejercito ele reserva D. Pedro Villacampa reuniese el man asi, y en esta ocasión parece que la salud pública se pospuso a 1: do militar de este distrito con el político de la provincia para nimia observancia de la rigidez de los principios. mejor servicio. — Posteriormente acabamos de recibir hoy por…</t>
  </si>
  <si>
    <t>Villacarapa</t>
  </si>
  <si>
    <t>…tió por el correo del 29 de Enero último 4D. Juan mi mando. Zaragoza 2 de Abril de 1823.” Antonio Sánchez, vecino de Madrid, dos certificaciones despa Noveno distrito militar. «El general Villacarapa desde chadas por la contaduría de consolidación en cabeza de o cho Granada con fecha del 12 dice lo que sigue: D. Antonio Crespo en 18 y 22 de Enero de 1822, con los nú «Excmo. Sr.: Ai tiempo que SS. MM. y AA. salieron de meros 1589 y 1598, una de 107,906 rs.…</t>
  </si>
  <si>
    <t>Villacumio</t>
  </si>
  <si>
    <t>…el Gobierno francés se ha convencido en fin la Vega. de la necesidad de tomar medidas para conservar el orden , tanto mas De la audiencia territorial de Castilla la Nueva, por el Sr. Villacumio estos refugiados tienen continuas reyertas, ya entre ellos mis nueva. mos, ya con ios franceses, que aunque cocorren á aquellos desdichados, De la milicia nacional voluntaria de Salamanca y estudiante» de no por eso siguen sus opiniones políticas. En virtud d…</t>
  </si>
  <si>
    <t>Villaesfuerzos, Francisco Luciano Domínguez</t>
  </si>
  <si>
    <t>Francisco Luciano Domínguez Villaesfuerzos</t>
  </si>
  <si>
    <t>…los modernos ve En su vista se reunió el jurado, compuesto de los Sres. siguientes: remos cuan inútiles han sido en todos tiempos los grandes y obstinado* D. Pedro Alvaro Delgado, D. Francisco Luciano Domínguez Villaesfuerzos que han hecbo los Príncipes y Reyes mas poderosos para nueva , D. Antonio Puigblanch, D: Juan Isidoro Perez , D. Isidoro d:stru:r ia libertad con la fuerza. Una nación poco numerosa, pobre y de Hoyos , D. Nicolás Cano de Luqui, D. Joaquín Manrique y Man rústi…</t>
  </si>
  <si>
    <t>Villafañe, Antonio de</t>
  </si>
  <si>
    <t>Antonio de Villafañe</t>
  </si>
  <si>
    <t>…añía de Se lian extraviado los privilegios de juros, á s,ib:r : uno expedido zapadores, en 7 de Marzo, La cuarta compañía del tren de artillería en 23 de Mayo de 1582 en cabeza de D. Antonio de Villafañe, de con e! material correspondiente, en todo 56 carros, es decir, cañones 37,400 ñus. de renta , situado en el nuevo crecimiento de las alcaba de servicio , en 7 de Marzo. Un destacamento del 3.0 regimiento de las de León: otro en cabeza det mismo , su fecha…</t>
  </si>
  <si>
    <t>Villaflores, Josef</t>
  </si>
  <si>
    <t>Josef Villaflores</t>
  </si>
  <si>
    <t>…la de libertad de haciendo observaciones sobre la de Cádiz. imprenta. La comisión de Legislación informando sobre la solicitud de Título 7.0 Del modo de proceder en estos juicios. D. Josef Villaflores, opinaba que no debia accederse á ella. Art. 8.° El denunciador debe expresar el abuso ó abusos de Se mandó quedar sobre la mesa el dictamen de la comisión que cree culpable el escrito, con arreglo estricticamente al tít. g.° de Legislación sobre la proposici…</t>
  </si>
  <si>
    <t>Villagra, Gerónimo</t>
  </si>
  <si>
    <t>Gerónimo Villagra</t>
  </si>
  <si>
    <t>…sta noche pasada fue sorprendido el i:.° de infantería lige ra, y perdimos unos doce hombres. Lo que mas nos aflige es no dier Carratalá noticias oficiales del acreditado teniente coronel D. Gerónimo Villagra, comandante de granadeios de S. Carlos saber cuánto tiempo han de durar nuestros trabajos, porque el desde lea , fecha 6 del pasado: por ellas se confirma la derrota enemisto entra en la ciudad por mar y por tierra. »P. D.r=Se dice que el general Donnadieu tr…</t>
  </si>
  <si>
    <t>…ito de !a empresa de los árabes, y aun se ha con que se condujeron á los propios lances. El comandante de acusado á los nestorianos de haber coadyuvado por medio de in este cuerpo D. Gerónimo Villagra se ha portado tan bizarra teligencias secretas con los califas Abubckre, Omar y Othman, mente como acostumbra , y el citado gefe de E. M. herido hizo á la conquista de la Siria, de la Fenicia, de la Palestina, de ¡a prodigios de valor: el capitán de milicias…</t>
  </si>
  <si>
    <t>…mas naciones de la Europa , ..ru dos , y 80 de granaderos de San Carlos al mando del Sr. coman camente entonces se podrá esperar que la luz del evangelio pene dante de este cuerpo D. Gerónimo Villagra para que sostuviesen tre hasta la Siberia. aquel punto, debiendo retroceder tambiéná Córdoba dosd'as des Del Thlht. pués las cinco compañías del 2.0 batallón del primer regimiento, El Tibet , poco conocido todavía de ios europeo;, cncvrr.T al mando de su coma…</t>
  </si>
  <si>
    <t>Villalba, Andrés</t>
  </si>
  <si>
    <t>Andrés Villalba</t>
  </si>
  <si>
    <t>…i dado cuenta después de sus personas los oficiales de la Navarro Tejeiro, que lo es por la de Valencia. secretaría del Despacho de Estado D. Santiago Usoz, D. Maria no Carnerero, D. Andrés Villalba y D. Josef Parada, ha teni El Rey ha expedido los decretos siguientes: do á bien S. M. exonerarlos de sus respectivos empleos. Cádiz D. Fernando vti por la gracia de Dios y por la Constitución 30 de Junio de 1823. de la Monarquía española , Rey de las Españas, á todos los JVot…</t>
  </si>
  <si>
    <t>Villalba, Beatriz González de</t>
  </si>
  <si>
    <t>Beatriz González de Villalba</t>
  </si>
  <si>
    <t>…obstante lo mandado en la orden general del egérci to de legos que fundó Doña Beatriz Faria de Vargas, y disfru to, con relación 4 que los cuerpos no tengan almacenes, depó taron Doña Beatriz González de Villalba y D. Josef Diez de sitos de armas ni vestuarios, pues que el soldado debe tener to Tejada, vecinos que fueron de la ciudad de Antequera por ios das sus prendas puestas en la mochila , no se ha dado cumpli años de 1807, siendo apoderado de ambos D. Manuel Correa; miento, habi…</t>
  </si>
  <si>
    <t>Villalba, D- Pviimon de</t>
  </si>
  <si>
    <t>D- Pviimon de Villalba</t>
  </si>
  <si>
    <t>…o se anotan á continuación didas represivas.” los Sres. que componer el consejo: presidente el Excmo. se En un párrafo de Paris con fecha del 11 de Abril se refiere ñor comandante general D- Pviimon de Villalba: vocales, el ma haber sido exonerado el corregidor de Brest por haber publicado riscal de campo D. Joaquín Virues; los brigadieres marques de una proclama el 31 de Marzo de resultas de lo ocurrido en aque las Cuevas, D. Ramón Bernad, D. Isidoro Uñarte, D. jos…</t>
  </si>
  <si>
    <t>Villamandos, Vicente Girón</t>
  </si>
  <si>
    <t>Vicente Girón Villamandos</t>
  </si>
  <si>
    <t>…nuación de la ley de 5 de en su Real nombre les dé las gracl is.ccBaños. A osto de 1820 sobre introducción de granos extrangeros. (Gaceta del 27. ) trtbunai.es. Gracia y Justicia. D. Vicente Girón Villamandos, juez de primera instancia del Oficio de los Sres. secretarios de las Cortes participando al Gobier puerto de Sta. María , cita y llama por primer término de 90 dias des no la elección de presidente, vice-presidentey un secretario délas mis de la fijación de…</t>
  </si>
  <si>
    <t>Villami, Domingo</t>
  </si>
  <si>
    <t>Domingo Villami</t>
  </si>
  <si>
    <t>…militar , á las órdenes del te- Jas Cano de Luque , D. Gregorio Miguel de Mendivit, D. Francisco píente general conde del Abisbal, se denoramará primer egército de re- Travesedo, D. Domingo Villami!, D. Manuel josef Gallego, Don serva. 4.0 Se formará otro egército , que tendrá la denominación de se- Juan Manuel de Aréjuta, D. Gonzalo Cárdenas. ■ ■ ■ gundo egército de reserva, cuyo mando ha tenido á bien confiar S. M. Habida la conferencia , resultó por…</t>
  </si>
  <si>
    <t>Villamii, Bu</t>
  </si>
  <si>
    <t>Bu Villamii</t>
  </si>
  <si>
    <t>…ndé» agregar al acta el voto del Sr. Quiñones, contrario teniente D. Julián Pastor , y el de esta clase D. Manuel Perez al pase á la comisión Eclesiástica de las proposiciones del Sr. Bu Villamii quedará empleado en la primera división. rilaba sobre la confirmación ele Jos obispos, y contrario á lo re Art. 3.0 Los batallones correspondientes á la primera divi suelto sobre desertores. sión se establecerán desde pasado mañana en la forma siguiente: Igua…</t>
  </si>
  <si>
    <t>Villamil, Antonio Reguera</t>
  </si>
  <si>
    <t>Antonio Reguera Villamil</t>
  </si>
  <si>
    <t>…to Exposiciones dirigidas al Rey nuestro Señor.gado: para la de Secretario de Estado y del Despacho R Ia Guer ra al Mariscal de Campo D. Jcsef de la Cruz, y para la de Se ,,Señor; D. Antonio Reguera Villamil, Caballero de la Real cretario de Estado y del Despacho de Hacienda á D. Luis López y distinguida Orden Española de Carlos in¡ como Diputado ge Ballesteros, de irú Consejo cíe Hacienda, y Director general de neral de vuestro fidelísimo reino de Galicia, á L.…</t>
  </si>
  <si>
    <t>Villamil, Josef González</t>
  </si>
  <si>
    <t>Josef González Villamil</t>
  </si>
  <si>
    <t>…esta dicha. A media legua de Córdoba se empezaba á en En 3 de Diciembre del año próximo pasado falleció abincontrar un inmenso gentío, que llegaba hasta la ciudad, ocupan testato D. Josef González Villamil, vecino que fue de Befanzos, do el caminó réal y los campos vecinos, sin poder sin embargó sin dejar hijos ni herederos forzosos. Lo que se anuncia al público moverse, de modo que á pesar de su voluntad no podían hacet para que las personas que se crean con d…</t>
  </si>
  <si>
    <t>Villamil, Juan Pérez</t>
  </si>
  <si>
    <t>Juan Pérez Villamil</t>
  </si>
  <si>
    <t>…ualado por su amor á V. M., y por su recono cias; y para las demas plazas de Consejeros al Duque de San Cir cimiento a la Providencia, que se dignó velar sobre sus días pre ios, á D. Juan Pérez Villamil, D. Amonio Vargas Laguna, á ciosos en medio de los riesgos que le rodearon desde que, alzado</t>
  </si>
  <si>
    <t>Villanasá, Marques de</t>
  </si>
  <si>
    <t>Marques de Villanasá</t>
  </si>
  <si>
    <t>…usurpados por una facción impía, enemi Diputados de aquella provincia, de entre los cuales se hallaba ga capital de todo orden y de toda justicia. Vea aquí el Sr.Cons excluido el Sr. Marques de Villanasá causa-de una delación titucional allanadas todas las dificultades; y mientras poda que se hizo contra su conducta política; pero habiéndose plena mos tener bajo los pies la hidra revolucionaria, esté séguro que mente justificado S. S. ante el mismo tribunal,…</t>
  </si>
  <si>
    <t>Villanova, Vicente</t>
  </si>
  <si>
    <t>Vicente Villanova</t>
  </si>
  <si>
    <t>…o con una decisión heroica, * rogarle que se dignase de dar El Dr. D. Josef Sainz de Rozas. D. Nicolás Alonso. ya fin á las amarguras de sus subditos, adoptando el pació que recla D. Vicente Villanova. D. Elias Montero y Porlocarmaban su bien y sus deseos. Hízolo asi V. M., porque sus entrañas pa D. josef Asnero. . rero. ternales nada podían rehusar que fuese en provecho de los españoles; $). Tadeo Perez. D. Luis Peceto de Andrés. y desde entonces ha visto…</t>
  </si>
  <si>
    <t>Villanucva</t>
  </si>
  <si>
    <t>…ncido de que no era la guerra de de Roma no habia querido admitir , cierta de no poderle enga España sino su revolución la que habia originado la interrupción ñar ni corromper. El Sr. Villanucva contestó dando gracias por los favores que dispensaban en su persona al honor é independen (1) Seguramente no merecia este párrafo salir de la infer cia nacional, que había sido ajado por la curia romana en negarse nal oscuridad en que se concibió; pero es cu…</t>
  </si>
  <si>
    <t>Villanueva</t>
  </si>
  <si>
    <t>…icilio de los diputados provinciales, y desde este dia 6v. informado sobre este pumo, se sirviese dar orden para que continua): Se aprobaron los artículos siguientes: su camino el Sr. Villanueva , pues de lo contrario se vería el Gobier Art. 43. » Este se hará por enteros y décimas partes, de manera no de S. M. C. en la necesidad de tomar una determinación mas enér que se señale i cada pueblo los mazos que debe dar , y las décimas qua gica sobre este…</t>
  </si>
  <si>
    <t>…ormalids^ -.s para el nombran*'ento de un alega el Sto. Padre para dejar de admitir i nuestro plenipotenciario embajador á Roma que para otro en. quina; y á ninguna corte se le el Sr. Villanueva , para despachar ó despedir al nuncio de ó. 3. Solo pregunta qué embajador quiere que se ¡e remita. la idea conjetural de que el Sr. Villanueva no se avendría nunca con hi Sr. presidente dijo: La» Cortes quedan er.íeraarsde la determi las opiniones de la cort…</t>
  </si>
  <si>
    <t>…l mismo documento De los porteros de !?. audiencia territorial de Castilla la Nueva, recuerda a¡ pueblo español sus antiguos hechos, gloriosos para ambas presentada y leída por el Sr. Villanueva. naciones, solo quiere aparecer como conciliadora, y que procura evitar Dei ayuntamiento constitucional de Valladolid. todo lo que pueda irritar el orgullo y redundar en desdoro de la dig D; la milic.a voluntaria de la villa de Rueda , provincia de Vanidad de…</t>
  </si>
  <si>
    <t>…iento y milicia de Rioaeco. Del intendente y demas empleados de la hacienda pública en la ciu Las Cortes las oyeron con agrado, y mandaron m insertasen en el dad de Toledo, por el Sr. Villanueva. diarioDel sefe, secretario, oficial primero y demás empleados en la se Se anunció que la comisión que habla entendido en la formación cretarla del gobierno político de Castellón ds la Plana y ayuntamien del proyecto de ordenanza de reemplazo quedaba encargad…</t>
  </si>
  <si>
    <t>…sia y Austria, ( Gaceta del 12. j Comunicaciones que han mediado entre el Gobierno de S. M. y la Orden del batallón de patriotas de reseña. corte romana sobre, el nombramiento del Sr. Villanueva como envia En virtud de la orden genera! de ¡2 plaza este cuerpo queda por do cerca de S. S. (Gaceta del 24. j ahora disuelto, y los ciudadanos "me hayan recibido armas acudirán Gvbema.ion de la Península- con ellas al edificio del Platero ei día que se señal…</t>
  </si>
  <si>
    <t>…o es suficiente, en pero la nota pasada por S. S. manifestando las razones que tenia pata, algunas diócesis menos lo será una contribución desconocida y de di no admitir i nuestro embajador Villanueva, ¡en qué se funda sino en fícil recaudación; que sin los datos necesarios para conocer el verda el derecho que tieue tuda potencia para no admitir la persona enuncia dero va-or del medio diezmo, mal podremos nosotros proceder al ar da si no le es grata? ¡y es…</t>
  </si>
  <si>
    <t>…o í esto no puedo menos de manifestar que ia Diputación &gt;c cías acerca de esta muerta , rSr. Putnarejo. permanente pod:á t-n;r muy pací* n De la milicia nacional de Gandía, por el Sr. Villanueva. que solamente el Gobierno es el que puede tener I 5 datos necesarios: De la diputación provincial de Logroño, por el Sr. Manso. de consiguiente el Gobierno s rá el que pueda resolver, asi sobre la neDe! ayuntamiento de D. Benito. c*sidad de esta traslac on c…</t>
  </si>
  <si>
    <t>…nera! Em el- la-otra parte de los Pirineos intentan venir á dominarnos—Habla des pecinado , y á las doce de la mañana á media el coronel de Pablo, que nu embarcado en Barcelona el Sr. Villanueva, ministro nombrado cerca de la do anticiparse á'favor de la pos:c:on que ocupaba , haciéndose conducir en corte de Roma. »S¡ en Roma, dice un periodista, no han querido reci carros la infantería desde Goreila. La gavilla no va conducida va , como birle, aquí…</t>
  </si>
  <si>
    <t>…r unanimidad haber lugar i la En la 19.* votación fue electo ei Sr. Serrano por 90 votos, habiendo formación de causa. tenido uno el Sr. Suarez. En la 20.a votación fue elegido el Sr. Villanueva por 91 votos, ha TRIBUNALES. biendo tenido dos el Sr. Marchámalo. En la 2 i.a votación salió electo el St. Navarro Tejciro por 89 votos, En el juzgado de primera instancia y de la Hacienda pública de esta habiendo tenido tres el Sr Marchamaio y uno el Sr. Ber…</t>
  </si>
  <si>
    <t>presivos á la Constitución, á la libertad y al virtuoso y sabio época brillante en la historia de este pueblo. Cesaron todos los Sr. Villanueva. Abrió la sesión el presidente D. Pedro Chacón,, partidos, terminó toda animosidad , y Jos patriotas de todas las gefe político, y subió á la tribuna D. Diego María Capdevila, opiniones mezclados entre sí, y confundidos con todos tos aman diputado provincial,…</t>
  </si>
  <si>
    <t>…mas vigorosas para que se castigue Despacho; y opinaba en cuanto á lo primero que fuese compren este atentado. dido este interesado en el decreto de 19 de Abril, de 1813 ; y en El Sr. Villanueva: Me parece que el Sr. Infante quedará sa cuanto á lo segundo qiíe las Cortes podían señalarle en atención á tisfecho con la adición qué la comisión hace , es decir , que se sus muchos méritos y acreditados servicios el sueldo de 403 rea entienda sin perjuicio…</t>
  </si>
  <si>
    <t>…eta , y de todas partes acu de la corte. den desertores. El general Breson , comandante del tercer distri Ei menester mucha serenidad y sangre muy fría para ir le to militar, y el coronel Villanueva se presentaron al general yendo en estos papeles el cúmulo de mentiras rateras é insulsas Huber, y se han sometido. Lo mismo ha sucedido con las dos patrañas que contienen ; aunque al tomarlos en la mano ya debe juntas constitucionales de S. Sebastian y de Vi…</t>
  </si>
  <si>
    <t>…ndo visto Ja solicitud de Don to estaba suficientemente discutido , y se declaró que no. Francisco Martinez Castilla, teniente del regimiento de infantería Habiendo manifestado el Sr. Villanueva que podía suspender de Soria, pidiendo se le confiera el empleo de capitán queje se la discusión por cuatro ó seis dias, hasta que se concluyese la confirió el gobernador de Toríosa durante el sitio de aquella impresión de aquellos documentos, la cual acelera…</t>
  </si>
  <si>
    <t>Villanueva, Francisco Luciano Domínguez</t>
  </si>
  <si>
    <t>Francisco Luciano Domínguez Villanueva</t>
  </si>
  <si>
    <t>…ué la marcha en d.reccion á este , donde Juan Manuel de Aréjula, D. Josef Antonio Ponzoa , D. Antonio según noticias se hallaban los enemigos; pero en el camino supe que á Regas y D. Francisco Luciano Domínguez Villanueva. las dos de la tarde habían salido dirigiéndose á Berzosa, por lo que Hi bida la conferencia, se declaró por unanimidad «no haber lugar mandé adelantar soto la caballería hasta aquí, quedando !a infantería á la formación de c-usa.” en Valdenlbro , porque habí…</t>
  </si>
  <si>
    <t>…ivar al público de cuanto se considere interesante. Castel, D- Juan de Luque Solano , D. Carlos Martin del Romeral, A los suscriptores que esten abonados á la Gaceta de Madrid por D. Francisco Luciano Domínguez Villanueva. mas tiempo que hasta el 31 de Marzo se ccerínuará remitiéndoles esta Habida la conferencia, se declaró por unanimidad haber lugar á la hasta que empiece en Sevilla la Gaceta española, desde cuya época re formación de causa. cibirán esta última por todo el ti…</t>
  </si>
  <si>
    <t>Villanueva, Nicolás Cano de Luque-</t>
  </si>
  <si>
    <t>Nicolás Cano de Luque- Villanueva</t>
  </si>
  <si>
    <t>…es constitucionales, que deberán destinarse al mo D. Francisco Sainz de Rozas. D. Francisco Luciano Domínguez mento á recorrer la provincia con el objeto que expresa el decreto ds D. Nicolás Cano de Luque- Villanueva. las Cortes de 1." de Febrero próximo pasado; y acordado S- E. que ss £&gt;. Matías Pinillt. D. Juan Antonio López. manifieste al público este raigo para que se entere de la inversión que D. Aquilino Palomino. D. Ramón Llord. se da á los fondos de la suscripción…</t>
  </si>
  <si>
    <t>Villanueva, Pedro</t>
  </si>
  <si>
    <t>Pedro Villanueva</t>
  </si>
  <si>
    <t>Núm. 78. (6 cuartos. ) 289 GACETA DE MADRID. MARTES 16 DE SETIEMBRE DE 1823. ARTICULO DE OFICIO. rola , da Guías. Yo sa los recomiendo también í V. E., como igualmente al referido D. Pedro Villanueva, segundo coman El general tn gefc del ejército Real de operaciones D. Vi dante di Guias, y comandante de la vanguardia', al capitán dé cente Quesada desde su cuartel general de Trujiüo, con fecha cazadores del segundo de Guipúzcoa D. Anselmo Marín, que 9 del…</t>
  </si>
  <si>
    <t>Villapadierna, Carlos</t>
  </si>
  <si>
    <t>Carlos Villapadierna</t>
  </si>
  <si>
    <t>…a de higueras en la madrugada deL 2 5 sin que hu tar que se presentó inmediatamente á mis órdenes el coronel del biesen hecho otro movimiento. regimiento de caballería de Santiago D. Carlos Villapadierna , que En la tarde del 26 una división enemiga de 6 á 78 hombres se hallaba aqui de paso á su destino , y el capitán de la milicia na: de infantería y de 500 á 600 caballos llegó á media hora del cional activa de León D. Josef-Tejerina, que se hallaba enfermo,…</t>
  </si>
  <si>
    <t>Villapadierna, Carlos de</t>
  </si>
  <si>
    <t>Carlos de Villapadierna</t>
  </si>
  <si>
    <t>…ronto enteramente extermina Mr. de'Jardins , por el prefecto de Tolosa. da s: no se acoge á la amnistía. ... Mrs.-Trimet, Rouget, Laperte, Saint-Dinis, Doúvernier, Por un parte de D. Carlos de Villapadierna consta que una procedentes de Paris , y encargados por las diferentes fraccione* facción que ci 29 pretendió acercarse á aquel pueblo fue comple de los realistas. tamente batida, y se le hicieron 14.prisioneros ,habiéndoles co El coronel-Rodez , con dirección…</t>
  </si>
  <si>
    <t>Villar, Isidoro</t>
  </si>
  <si>
    <t>Isidoro Villar</t>
  </si>
  <si>
    <t>…cen sus edi las desgraciadas jornadas de Tucuman y Salta , siempre ha que tores. dado vencedor ti valor peruano. ;Y habrá aun entre vosotros Hunncayo 24 de Maya de 182 2. Pasco. » D. Isidoro Villar, quien no se arme del mas noble estusiasmo para acabar de una teniente coronel de caballería , benemérito de la Orden del Sol, y vez con los motores de la revolución en este país, antes dichosoí gobernador político y militar del partido de Pasco &amp;c. Por cuan…</t>
  </si>
  <si>
    <t>Villar, Joaquín Suarez del</t>
  </si>
  <si>
    <t>Joaquín Suarez del Villar</t>
  </si>
  <si>
    <t>…a aprehensión de esta cantidad parecía mas llar, D. Francisco Crespo de Tejida y D. Josef Garay; y fue elcg;do una aspecie de depósito que un decomiso, y de consiguiente debía ser D. Joaquín Suarez del Villar por 63 votos de -8 total, teniendo 10 reintegrado como estaba determinado respecto de todos los depósitos. D. Francisco Cre-po de T-jada y 3 D. Josrf G'ray, El Sr. Romero manifestó que este asunto no pertenecía á la comi Fl 'ir. presidente anunció que maraña…</t>
  </si>
  <si>
    <t>…ado que producirá en'las pro comisioiT de Visita-dél -Crédito público sobre la consulta del co vincias este aumento , no existirá, porque la comisión ha tratado misionado especial D. Joaquín Suarez del Villar acerca del valor de hacerle menos sensible á los pueblos , y se repartirá con igual en que'se han de subastar das tincas, opinando la comisión que no dad. Ademas, siendo indudable que por las nuevas obligaciones debe hacerse novedad en lo acordado por las Cor…</t>
  </si>
  <si>
    <t>Villar, Josef</t>
  </si>
  <si>
    <t>Josef Villar</t>
  </si>
  <si>
    <t>…rán en ¿I motivos justos y alcance; por nuestra parte tuvimos herido ligeramente al ayudante de pruebas irrefragables para admirar y amar nuestra sabia i inmortal Cons plana mayor D. Josef Villar y dos caballos de Borbon y tres de la titución. Se vende en la librería de Sanz , á 2 rs. Rema ; en el mismo momento que ocurría esto en Sangüesa entraba Georgii Sigismundi Lackics juris pnblici ecclesiasticipars generalis. en Eiba el coronel D. Fermín Salced…</t>
  </si>
  <si>
    <t>Villar, Juan Francisco del</t>
  </si>
  <si>
    <t>Juan Francisco del Villar</t>
  </si>
  <si>
    <t>….................. *ef de Castellar. = Excmo. Sr. secretario de Estado y del Despacho de A tesorerías de la Guerra.” provincia.,.. A emigrados de 284,410.. 6|f Por providencia del Sr. D. Juan Francisco del Villar, comisarlo Ultramar..... ordenador de los ejércitos nacionales, y gefe administrativo del octavo A fábrica de cris* distrito militar &amp;c.; y en cumplimiento de lo resuelto por S. M. se ha tales....... . 4.53&lt;S- mandado secar a pública suba.:a el suministro de…</t>
  </si>
  <si>
    <t>Villaralbo, P-dro</t>
  </si>
  <si>
    <t>P-dro Villaralbo</t>
  </si>
  <si>
    <t>…, que á paso vivo cruzaba por la ron la compañía de cazadores del 2.0 voluntarios de Madrid , á mitad de la falda del monte de Sta. Ana. Por la Izquierda las órdenes de su bizarro capitán D. P-dro Villaralbo , la de también se presentó una fuerza corno de dos batallones , y en granaderos del 5,5 de linea á las del virtuoso y malogrado joven, seguida una columna de caballería de unos 200 á 25.0 caballos. teniente graduado de capitán D. Juan María Nash: una tuarta…</t>
  </si>
  <si>
    <t>Villareal</t>
  </si>
  <si>
    <t>…ó el I3. T.os Sres. suscriptores al grabado de la Constitución que lo hicie El Diario de Tolosa asegura que por extraordinario enviado al ge ron á papel blanco acudirán ú casa del Sr. Villareal á recoger los ejem neral Panfilo Lacroix á dicha ciudad, el duque llegará á ella el 20, plares; ■’ para satisfacer á ios señores que lo han hecho á papel de co irá a Perpiñan , recorrerá la línea de los Pirineos orientales, y volverá lores se les noticia que…</t>
  </si>
  <si>
    <t>Villatamente</t>
  </si>
  <si>
    <t>…stru da. el dia ó á tiempo de poderse ver en sesión. También llevó el . El 20 dieron la orden los facciosos de que salieran inmedia mismo extraordinario una representación para el general Villatamente de la población los pocos paisanos y familias que ha campa , rog indoie que con la tropa que pueda reunir se v.rua al bían quedado, imponiendo a! contraventor pena de la vida, y asi socorro de Valerle,a, pues da Lempo. As.m smo resolvió d.cha es. que quedaron…</t>
  </si>
  <si>
    <t>Villavicencio, Manuel</t>
  </si>
  <si>
    <t>Manuel Villavicencio</t>
  </si>
  <si>
    <t>…e oficio. Conduce de traspelle al ca pitán de fragata D. Josef Fernandez de las Peñas, el teniente de ¡d:m cial de esta capital desde la Calzada de Calatrava los comandantes de la Don Manuel Villavicencio, el capitán de egército D. Nicolás Llanocolumna móvil D. Josef María de Teran y D. Luis Pinango , sabemos que entre nueve y diez de Ja mañana del mismo día se presento a estos y su asistente, un sargento , 3 ¿Rbos, 25 soldados de varios cuerpos, y á los alcal…</t>
  </si>
  <si>
    <t>Villavicencio, María</t>
  </si>
  <si>
    <t>María Villavicencio</t>
  </si>
  <si>
    <t>…dado Fernando, como lo habia sido la Archiduquesa Doña María cuenta á S. M. de una consulta del Capitán general D. Juan. Isabel de Parma en el reinado de los Señores D. Felipe v y Don María Villavicencio, sobre que una de las medidas que había to Fernando el vi, en el concepto de Nieta de Rey, y según algu mado luego que llegó al Departamento de Cádiz fue la de que nos ejemplares antiguos, de que consta haberse dado tal título los Capitanes de Puerto continua…</t>
  </si>
  <si>
    <t>Villegas, León Gutiérrez de</t>
  </si>
  <si>
    <t>León Gutiérrez de Villegas</t>
  </si>
  <si>
    <t>…ilo de comercio. se verificado, precisando al enemigo i detenerse dutánte un día, hubie Juicio de jurador. ra ’enido que variar su dirección , abandonando la artillería, ó aceptar D. León Gutiérrez de Villegas, alcalde segundo constitucional,y una acción general, que probablemente hubiese causado su destruc juez interino de primera instancia de Algeciras, denunció en 03 ¿ ción total—El enemigo pasará probablemente el Tajo mañana muy Diciembre último como injurioso…</t>
  </si>
  <si>
    <t>Villele</t>
  </si>
  <si>
    <t>…cambio para suplicarle que les diese alguna noticia accr- Se procedió á la discusión de! capítulo di la ordenanza sobre test*•&gt; ca del verdadero astado de las cosas , contestó el ministro Villele que « la situación actual de la Europa exigía mucha circunspección por (1) Diga lo que quiera la furibunda Cotidiatsa, los hechos han cor &lt;&gt; paite de los especuladores.” Se añade que St K. •» negaba el tener par- respondido al concepto en que se estaba , y se…</t>
  </si>
  <si>
    <t>…que contribuirá i que*vaya perdiendo la mayor les al 40. Qjesada había tenido en la noche del 14 una larga confe parte de su fuerza solo con no permitirle descansar. rencia con el ministro Villele. Lo* generales duque de Guiche y ba » Entre los cabecillas que van con h facción se halla el coronel Don rón de Damas están nombrados para acompañar al duque de Angulema Nicolás Isidro, que olvidando los deberes de militar', hace diez ó do en su viage í los P…</t>
  </si>
  <si>
    <t>dar cuidado a tos franceses si venían i apoyar una guerra tan piadosa comendar a las diputaciones el cuidado de vestir y armar su» respecti como la de España. fil ministro Villele se disculpó diciendo que sin vos cupos. También las habían autorizado antes para formar partidas declararse la guerra , porque aun no se podía , se habi.i hecho cuanto se de cazadores que se destinen á la persecución de facciosos , salí adores había podido ,…</t>
  </si>
  <si>
    <t>Villoría, Alonso Guzman de</t>
  </si>
  <si>
    <t>Alonso Guzman de Villoría</t>
  </si>
  <si>
    <t>…una palabra , parece que da un nuevo ser á los mor tales , y los luce superiores i su misma naturaleza. ANUNCIOS. Esta milagrosa transformación se vió palpablemente en el pueblo A D. Alonso Guzman de Villoría, vecino de U cindad de Valen suizo cuando á principios del siglo r.iv sacudió el ominoso yugo con cia , se le han extraviado de su archivo lo* privilegios de juros siguientes: que le tenían oprimido los duque* 'je Austria. Aquellos humildes la uno de 1 iz9 mr…</t>
  </si>
  <si>
    <t>Vin-</t>
  </si>
  <si>
    <t>…rt , el vizconde jamin, el vizconde Vasserot , el barón do vacante esta plaza, y para su provisión se admiten memoriales po( Berge , el barón Ordonneau ,’el conde de Meynadier, el barón Vin- término de 30 dias. cent , SchaetíVr, el barón Haber, el vizconde Vionet de Maringone, el Dirección general Je corrtot. conde Quinsonas, el conde d; Rastignac, el conde de Vittré.el barón El Excmo. Sr. secretario del Despacho de la Gobernación de la de A bign…</t>
  </si>
  <si>
    <t>Vincédt</t>
  </si>
  <si>
    <t>…é ¡¡lis acaba de llegar á Londres, es-hija del diputado Canga Argiie- operaciones ejecutada* desde‘la toma de.iioM'» iles; solo tiene 18 años,-y de casada dos meses. También se Ei general Vincédt ,‘áyqüien liábñ'a íf¿jadó: én Murcíá' con ■guarda en el navio Margotitr 4 la múger de Quiroga. una brigada de infahteiía y Otra dé ¿fagonés'informado dá, qu» una columna'de 1500' hoiíibres habiá salido’ dé' Caiiágeriá el t8 FRANCIA. de Julio para hacer vívere…</t>
  </si>
  <si>
    <t>Vincent</t>
  </si>
  <si>
    <t>…que se han distinguido particularmente y adquirido un infantería del general D’Arbaul-Jonques y la de dragones del nuevo derecho á la benevolencia de S. A.R. los militares siguien general Vincent, continuó su movimiento contra el ejército de tes del 4.'- ligero: el gefe de batallón Drivet de Ladernade.el Ballesteros con la división Loverdo , las brigadas Chamans y capitán de los carabineros Cousin , el capitán de cazadores RoPelIeport,y la división de…</t>
  </si>
  <si>
    <t>…ya todos los dias coitmuaá lo mismo, según los hermosos pre po de cadetes de la escuela militar que había seguido á Zayas. parativos que se adviert-n. (if/ Defensor del Rey j __El general Vincent que se halla en Murcia contiene á la* Sevilla j&gt;y de Agosto. guarniciones de Alicante y de Cartag-na. EI j6 de este mes sa El 24 y 23 se oyó di sde la venta de la N.gra un horroroso lió en persecución de Torrijos, que había salido de esta ú tima fuego de cano…</t>
  </si>
  <si>
    <t>Vinuesa, Matías</t>
  </si>
  <si>
    <t>Matías Vinuesa</t>
  </si>
  <si>
    <t>…s y Villa. turiana , Lusitana-ulterior, con expresa condición de que ¡os Oración fúnebre que en las exequias celebradas por el alma Algarbes pertenecerían á la Bética-citerior. de D. Matías Vinuesa dijo el Dr. D. Eduardo Carrasa. Se ha La nación portuguesa no debe de manera alguna encargarse llará en las librerías de Quirós, Paz, Villa, S. Plácido, y en de las exequias de Fernandez Tomas ni de su viuda, ni de la la de Hernández en Toledo. EN LA IMPRENTA…</t>
  </si>
  <si>
    <t>Vires, Mariano</t>
  </si>
  <si>
    <t>Mariano Vires</t>
  </si>
  <si>
    <t>…. dejando .res muertos; dispuse que el batallón de Africa atravesase el pueblo, loque verificó i la bayoneta, derramándose algunas compa El teniente de Navio de la armada nacional D. Mariano Vires, ñías por las calles; y reuniéndose en la plaza del Fiscal , habiéndoseles capitán del puerto de Dcnia, al expresar sus sentimientos por con juntado la guarnición de los fuertes, tomaron la altura de S- Fiancisco, ducto del secretario del Despacho de Marina a…</t>
  </si>
  <si>
    <t>Virues, Joaquín</t>
  </si>
  <si>
    <t>Joaquín Virues</t>
  </si>
  <si>
    <t>…con fecha del 11 de Abril se refiere ñor comandante general D- Pviimon de Villalba: vocales, el ma haber sido exonerado el corregidor de Brest por haber publicado riscal de campo D. Joaquín Virues; los brigadieres marques de una proclama el 31 de Marzo de resultas de lo ocurrido en aque las Cuevas, D. Ramón Bernad, D. Isidoro Uñarte, D. josef lla ciudad. Su te—,r es como sigue: «Habitantes de Brest: La tar Taberné, D. Juan García Paredes , D. Joaquín d…</t>
  </si>
  <si>
    <t>Virués, Josef</t>
  </si>
  <si>
    <t>Josef Virués</t>
  </si>
  <si>
    <t>…los Excmos. Sres pri La Compasión, poema filosófico y moral, distribuido en cin mer Secretario de Estado, Embajador de S. M. Cristianísima y co discursos en verso castellano , por D. Josef Virués. El ínteres Capitán general de Castilla la Nueva y otras muchas personas que inspira este poema, el tono delicado y penetrante con que de la primera distinción. El ayuntamiento les habia ya presen se describen en él los deberes del hombre respecto á todo ser'…</t>
  </si>
  <si>
    <t>Viteri, Ana Antonia</t>
  </si>
  <si>
    <t>Ana Antonia Viteri</t>
  </si>
  <si>
    <t>…o. Sr. secretario de Estado y del Despacho de la Guerra.” que fundó D. Cristóbal de Cañedo, y la posesión .que se dió á D. Jo Crédito público. sef de Tarasena y Herrera y su muger Doña Ana Antonia Viteri y ji rón. Si algún descendiente quiere hacers* con tan interesantes piezas, Los interesados que han presentado vales de Enero de 1821 en la acudirá i la cali* de la Paz , núm. 47 , donde darán razón de todo. EN LA IMPRENTA NACIONAL.</t>
  </si>
  <si>
    <t>Vitlalba, Ramón de</t>
  </si>
  <si>
    <t>Ramón de Vitlalba</t>
  </si>
  <si>
    <t>…la sesión. D. Toma», equipado i sus expensas , v solicitando del G-.b'erno por Mr. Sebastiani reprueba ta injusticia de la Cámara ; le indigna el conducto de este señor comandante general D. Ramón de Vitlalba m lilenc.o y la indiferencia que afectan los ministros , y pide que se sus destinado ai regimiento de caballería de Alcántara en clase de volunta penda la discusión hasta mañana. ( Se continuará j rio, y durante la guerra con la Francia ; y concluida sea lice…</t>
  </si>
  <si>
    <t>Vitoria</t>
  </si>
  <si>
    <t>…plan de europeos, y que Gaditana. probablemente se dará á Herrera, si son favorables Jos informes Se leyó y se acordó quedase sobre la mesa el dictamen de la que se han pedido al general Vitoria. Las Cortes han dado comisión de Legislación sobre la proposición del Sr. Gómez un decreto con fecha de i.° del corriente, por el cual se man Becerra, relativa á las elecciones. da que cesen las hostilidades en varias provincias de GoatemaLa comisión del Créd…</t>
  </si>
  <si>
    <t>Vitoria, Guadalupe</t>
  </si>
  <si>
    <t>Guadalupe Vitoria</t>
  </si>
  <si>
    <t>…l ejército li Núm. 3.0 El Soberano Congreso en su sesión de esta dia ha bertador. nombrado para componer el poder, ejecutivo los sugetos siguien Respuestas. tes: D. Nicola# Biavo, D. Guadalupe Vitoria, D. Pedro Ce 1.a No se puede dejaros ir a Tulancingo ni á !s Jamaica. lestino Negrtte. 2.a En el caso de que se os permita ir :á alguna parte os es Este nombramiento se comunicará inmediatamente á los su coltará el general Bravo y sus tropas. getos nombrados,…</t>
  </si>
  <si>
    <t>Vitoria, Valerio</t>
  </si>
  <si>
    <t>Valerio Vitoria</t>
  </si>
  <si>
    <t>…ntes militares de los distritos, cha, Quisnar y Patay ."cuya juventud, bajo la dirección del veci si se hubiesen dispersado por los acontecimientos de la guerra, se no de Pañi "as D. Valerio Vitoria, siguiendo la expedición hizo les contará doble el tiempo de servicio ,asi para cumplir c¡ de su muy interesantes servicios. El Sr. coronel asegura que casi todo empeño, como para la opción á los premios de constancia, y sin aquel país está ya muy desengañado…</t>
  </si>
  <si>
    <t>ViUacampa</t>
  </si>
  <si>
    <t>…la de Santander acede ia juventud á él pruebas nada equivocas de poca adhesión al sistema constitu alisiarse en las filas de los patriotas, por haber Conga pub.icario cional , el general ViUacampa hizo devolver el dinero ya de un bando imponiendo las mas severas penas á todo mozo sone positado. Con este motivo se han manifestado deseos de saber to de 15 á 40 años qu* no tome partido con ios Potas.” si dicho general conserva todavía mando__ Asegurase qu…</t>
  </si>
  <si>
    <t>ViuUcrct</t>
  </si>
  <si>
    <t>…xi ¿Litado de los prisioneros de guerra. liado por todos los,oficiales de su arma, singularmente por el Un mariscal de campo, 3 brigadieres , 3 coroneles, 9 te capitán Dámeos y el teniente ViuUcrct. S» A» R. ha.quedado nientes coroneles, 35 capitanes, 44 tenientes * 38 subtenien muy satisfecho de la manera con que-el teniente cor.qñel de in tes y loso tropa» genieros Dupau ha;dirigido, los-¿abajos,.de ia irincheray . de Ademas se cuentan un intendente,:…</t>
  </si>
  <si>
    <t>Vivar, Narciso</t>
  </si>
  <si>
    <t>Narciso Vivar</t>
  </si>
  <si>
    <t>…u parte no tenia inconve D. Josef Garriga. = D. Francisco Samper.= D. Pedro Ber niente en subrurar en lugar dei término de las 48 lloras las si nardo Ala. — D. Juan Pablo Ferrer. =D. Narciso Vivar. = guientes palabras; » en ei término mas breve posible.” D. josef Pineli. Declarado el punto suficientemente discutido, se aprobó la Idem de S. Juan: D. Pedro Eori. proposición del Sr. Marau con la modificación expresada. Idem de la catedral: D. Valentín Gar…</t>
  </si>
  <si>
    <t>Vivas, Joa Vicente</t>
  </si>
  <si>
    <t>Joa Vicente Vivas</t>
  </si>
  <si>
    <t>…rto, Juan Bautista Ros, Antonio Dondcris, Josef Idem iS. García, Josef Mateu, josef Bergadá, Jorge Chornet, Gaspar Dotres, El capitán del batallón segundo de voluntarios de Aragón D. Joa Vicente Vivas, Josef Ramiro , Antonio Conejos, Francisco Ferrer, quín Cayuela , comandante de una de las columnas que persiguen loe Domingo Valaro , regidores; Antonio Faure, Gabriel Montaner, Ma restos de los facciosos en la provincia de Lugo, da parte al Excmo Sr. nuel F…</t>
  </si>
  <si>
    <t>Viver, Narciso</t>
  </si>
  <si>
    <t>Narciso Viver</t>
  </si>
  <si>
    <t>…a de cuanto pueda comprometer nuestro: Garriga, D. Francisco Sampere, D. Pedro Bernardo Ala, Don honor ni el decoro de la gran nación que ha 'puesto en nuestras Juan Pablo Ferrer, D. Narciso Viver y D. Josef Pinell. manos sus destinos. Aqui verán una y otra vez disueltas sus in Idem de S. Juan: D. Pedro Bori. 1 trigas las mas finas, sin oponerles, mas que nuestra característica Idem de la catedral: D. Valentín García y D. Manuel Pró, probidad y energía.” capellán de art…</t>
  </si>
  <si>
    <t>Vives</t>
  </si>
  <si>
    <t>…l cónclave está bastante oscu geret, comandante de las fuerzas navales de Francia en ias An ro. La comunicación con ios cardenales es por medio de tomos tillas por una parte, y el general Vives, gobernador de la isla como ios de ¡as monjas. de Cuba por otra , en la que tos primero» proponen , bajo cier Si quiere salir del cónclave alguno de los cardenales por ha tas condiciones , observar una rigurosa neutrahaad , ó mas bien llarse enfermo ú otra ra…</t>
  </si>
  <si>
    <t>…tados gobernados por gefes-, tenían leves que arre mercantiles en los términos que habian estado hasta entonces. El glaban los derechos de propiedad, y otras que prohíb an el robo Sr. Vives contestó con la mayor energía, expresando su firme ad v el adulterio so pena de muerte , y creían en la existencia del hesión al sistema constitucional de España, y su resolución de Üer supremo, criador de todas las cosas, y que es eterno. Samuel defender la…</t>
  </si>
  <si>
    <t>…ones del d\at:sn.U- ¡t.t.i:ge:uer con re Vaiaquia y la Moldavia, mostrarán también al emperador la lación á esto. posibilidad de renovar sus antiguas relaciones con el Gobierno El general Vives, ex-ministro de España en los Estados-Uni turco, en curo solo caso se restablecerá la embajada rusa en dos , y al presente gobernador general, de ¡a isla de Cuba ha con Gmstantinopía. Llegado este momento se encargaría a la embaja traído en las actuales circu…</t>
  </si>
  <si>
    <t>…n de aquel papel en el Los papeles de la Havana que se han han recibido en Nneva- periódico oficial ha llenado de angustia el corazón de todos los Yorck contienen una proclama del gobernador Vives, haciendo amantes verdaderos de la Monarquía constitucional. Sin embargo saber á los habitantes de Cuba, que la España y la Francia están en no creemos que esto deba mirarse como una aprobación de los guerra, y encargándoles que sin embargo de esto traten bie…</t>
  </si>
  <si>
    <t>Vives, Francisco Dionisio</t>
  </si>
  <si>
    <t>Francisco Dionisio Vives</t>
  </si>
  <si>
    <t>…ldivieso. j 5.a Que el Gobierno presente por separado las cuentas de gastos y cargos Proclama á los habitantes de Cuba. Se declaró haber lugar á votar sobre este dictamen, y quedó D. Francisco Dionisio Vives, caballero gran cruz de la Real aprobado. orden Americana de Isabel ki Católica, y de la Militar de San Se procedió á la discusión del dictamen de la misma comi Hermenegildocaballero de tercera clave de la nacional de sión sobre el presupuesto del painisterio…</t>
  </si>
  <si>
    <t>…mas. El clima es zas navales de S. M. cristianísima en las Antillas. De la. contesta benigno, &amp;¡ terreno fértil, y entre otros frutos produce una es ción dada á dichos pliegos por D. Francisco Dionisio Vives, co pecie de lino ( phormio tenax ), del cual se sirven los indígenas mandante general de Cuba y gobernador de la Havana , se dedu para vestirse y hacer esteras, sogas, cestas y redes. Los habitantes ce que conteman la noticia de la entrada del duque de Angul…</t>
  </si>
  <si>
    <t>Vives, Mariano</t>
  </si>
  <si>
    <t>Mariano Vives</t>
  </si>
  <si>
    <t>…tes oyeron con particular agrado un oficio del Sr. secr;tano conciliación, de ninguna manera podía perjudicarle, pues las leyes es de Marina, en el que daba parte á las mismas que D. Mariano Vives, tablecen que sea este el primer paso que se dé antes de todo litigio. capitán del puerto de Denia . había cedido en beneficio del erario pú De todas estas razones concluyó que no era admisible e&lt; dictamen blico dos certificaciones de crédito importantes 21,2…</t>
  </si>
  <si>
    <t>Vizcaíno, Pedro</t>
  </si>
  <si>
    <t>Pedro Vizcaíno</t>
  </si>
  <si>
    <t>…ue falleció en ella el dia 8,702.... 1000.................... .... Idem. 9 de Junio último, nombrando por herederos á su marido 13,684.... 1000.................... .... Algecirae. D. Pedro Vizcaíno y á sus dos hermanos D. Esteban Pinilla, 6,196.... Soo................... .... Cádiz. vecino deOleo, lugar de Vicálvaro, y D. Genaro Pinilla, ausente 14,745.... 500.................... .... Madrid. en Indias; y Apareciendo en dicha testamentaría haber contra…</t>
  </si>
  <si>
    <t>Vizcarrondo, Juan Nepomuceno</t>
  </si>
  <si>
    <t>Juan Nepomuceno Vizcarrondo</t>
  </si>
  <si>
    <t>…las á los comisionados ó pa biendo sido convoyado por la corbeta de guerra nacional la ¿ he mis, gadores subalternos, serán entregadas por estos á ios tesoreros , los al mando del capitán D. Juan Nepomuceno Vizcarrondo, cuales les devolverán inutilizados Jos documentos interinos de res á saber : guardo , que deberán darles cuando reciban de su mano el dinero Cuatrocientas siete cajas de azúcar de dos quintales blanca , y para hacer los pagos, ó los documentos comprobantes d…</t>
  </si>
  <si>
    <t>Vizconde</t>
  </si>
  <si>
    <t>…gadas, fe la libertad, de que ha carecido, hasta la entrada en esta ciudad cha del 28 del mes último en Ilcrnani, cuyo parte original se del ejercito francés al mando del Teniente general Vizconde insertará en el número siguiente. Boimcmaiiis, verificada en la tarde del 27 del pasado. También se hará del que ha remitido el General del ejército „ Constituido el nuevo ayuntamiento ciwó ser su primer Real d e operaciones D. Vicente Quesada , fecha en el G…</t>
  </si>
  <si>
    <t>Vizel, Juan</t>
  </si>
  <si>
    <t>Juan Vizel</t>
  </si>
  <si>
    <t>…trasos.......................... 246,182-2 2. el brigadier Serrano en la mano derecha , practicando un reconocimien A davolucion de depósitos............ 1,500. to con el teniente coronel D. Juan Vizel, del cuerpo de artillería , í Imprevisto ser.eral. fin de colocar una batería muy inmediata al fuerte; pero no ha s do A imprevistos...... •3'ti peligrosa, aunque sí de larga curación. Dios guarde á V. E. mu fus A monte de Cor- años. Campos de .Mora 31 ds Dic…</t>
  </si>
  <si>
    <t>VJazqurz, Jnsef Señan y</t>
  </si>
  <si>
    <t>Jnsef Señan y VJazqurz</t>
  </si>
  <si>
    <t>…ez; y quedó eledicha cantidad. £’do D. Juan Fardo por 54 votos de 71 de total, teniendo &lt;6 D.Ro K1 Sr. Arguelles dijo que este dictamen debía volverse á la comi mán Corona , y uno D. Jnsef Señan y VJazqurz. sión para que lo redactase en otros términos, puesto que las Cortes no La misma junta directiva propon-a en terna para comisionado espe podian mezclarse en aprobar ni desaprobar las sentencias judiciales. cial de la administración y recaudación á D. Joaquín…</t>
  </si>
  <si>
    <t>Vlzmanos</t>
  </si>
  <si>
    <t>…¡os proyecto?, de ñor Jencr por 81 votos del total 104, halando tenido 14 -i los bárbaros del Norte. Por esta razón se cree que el bajá de Egip Sr. Varela, 6 el Sr. Posadas y 3 el Sr. Vlzmanos. to favorece secretamente á los griegos, porque á los persas será Para tercer ind.video quedo elegido el Sr. Isturiz por 63 fácil sujetarlos después que el imperio esté asegurado por la parte votos de 109 , habiendo tenido 38 ei Sr. Zuiu.ta, 4 el Sr. baide Eu…</t>
  </si>
  <si>
    <t>Vr.surot</t>
  </si>
  <si>
    <t>…arca, y malo es que- los be colocarse en Bolo. Los generales de brigada con sus estados ma provcnzales pr.nc p.cn , porque aquel país fue precisamente la yores marchan hoy. La del general Vr.surot de ajeo infantes cuna de varios famosos batallones. efectuará su entrada por Bafuis. La del genera! N. de rO hom 1 bres entrara por Cera , y la del general marques de Vence secuiEn el ludir ador se han publicado varías noticias de Francia ra el camino real po…</t>
  </si>
  <si>
    <t>Vrlariño, Ramón Alvarfz</t>
  </si>
  <si>
    <t>Ramón Alvarfz Vrlariño</t>
  </si>
  <si>
    <t>…yudante de campo. No ANUNCIOS. me es dado echar en olvido á los distinguidos patriotas D. josef Ra Caricaturas nuevas del asno médico y del Quijote de la fe,ó sea el món B cerra y D. Ramón Alvarfz Vrlariño, i cuyos conocimientos P.Fi. Salchichón , acompañado de Sor Francisca y de algunos inendiprácticos é infatigable zelo he debido los felices resultados de la des lantes armados. Se hallarán de venta en los almacenes de escampas de trucción de esta facción , qu…</t>
  </si>
  <si>
    <t>Vrllanueva, Juan</t>
  </si>
  <si>
    <t>Juan Vrllanueva</t>
  </si>
  <si>
    <t>…nteligencia me hallo I3n plenamente satisfecho, no solamente niente al cadete que se cita. rn asta ocasión, sino en todas las que se han ofrecido en lo» cinco meses de bloqueo. El coronel D. Juan Vrllanueva, co La Regencia del Reino ha oido con agrado la exposición mandanta de la segunda brigada de voluntarios de Navarra, vi que ha dirigido al inspector interino de Milicias el ayuntamien no igualmente á ofrecer sus buenos servicios. El teniente coronel to de la…</t>
  </si>
  <si>
    <t>Vrllítnil’, Domingo</t>
  </si>
  <si>
    <t>Domingo Vrllítnil’</t>
  </si>
  <si>
    <t>…Araujo, D- Juan. Antonio Marco, D- Andrea Moya Luzuriaga, D- Saturnino Lozano, D. Josef Castel, D. Andrés (4) Los español» lo conocen ; y extrañan que el Sr. Chateaubriand Alcon, D. Domingo Vrllítnil’, D. Fiancisco López Olavarrieta y se meta en lo que no le toca, como él mismo confiesa.'Para conservar D- Gonzalo Cárdenas. el honor de su partido-es capaz de ir á buscar tretas d ultra Garamatt- Habida ia conferencia, se declaró por unanimidad haber lugar á…</t>
  </si>
  <si>
    <t>Vrr</t>
  </si>
  <si>
    <t>…idas y respetadas de todos, pidiendo al To cuanto estuvo de su parte á las tropas del Rey , tanto del ejér dopoderoso se digne derramar sus luces V dones del Espíritu San cito del general Vrr/gís, como del desgraciado de Arrizug., to para bien de ia religión , Rev y Patria. Peñaiver y junio 20 «ste mismo pueblo desea sinceramente dar la última prueba de de 1823=4 L. P. da V. A. 5 sus mas humildes vasallos.”- su lealtad y patriotismo, ofreciendo gu…</t>
  </si>
  <si>
    <t>Vrtlel</t>
  </si>
  <si>
    <t>…de que el lenguaje de la moderación usado por r! Diario Je ¡os *. que se le habían atribuido por varios periódicos.” Despojadas de esta Jibatu es el órgano de ios sentimientos del ministro Vrtlel».</t>
  </si>
  <si>
    <t>Vr’asco, Juan Arias de</t>
  </si>
  <si>
    <t>Juan Arias de Vr’asco</t>
  </si>
  <si>
    <t>…ue llevaba a sus órdenes ha sorprendido el principio del bloqueo está trabajando constantemente, y al capitán 13 facciosos en el pueblo de Relio, principio de la facción que debía D. Juan Arias de Vr’asco, comandante accidental de Mallorca , asi co crear un fraile llamado Morroquin. Dios guarde á V. E. muchos años. mo i los demas oficiales y tropa que entraron en acción ; pues quera = Guadalajara 18 de Enero de 1823. = Exento. Si. = Cayetano Iz bizarría y arro…</t>
  </si>
  <si>
    <t>Vtllar.uivj, Francisco Luciano Domingu-z</t>
  </si>
  <si>
    <t>Francisco Luciano Domingu-z Vtllar.uivj</t>
  </si>
  <si>
    <t>…trará detención , pues an Don Valentín Recio , D. Marcos Menezo , D. Julián de Furní'i, ticipé avisos i las autoridades de la orilla del Ebro , y á poco que le D. Antonio Gamonal, D. Francisco Luciano Domingu-z Vtllar.uivj, entr. tengan será sin duda alcanzado y deshecho. Estoy esperando parte D. Santiago Vicente Les , D. Juan Antonio Marco , conde de la Tor&lt; de la vanguardia, que según la proximidad á que se hallaba ya de! ene refresno y D. Bernardo Asenjo. migo, d-.b.ó hacerl…</t>
  </si>
  <si>
    <t>Vüadecms, Francisco</t>
  </si>
  <si>
    <t>Francisco Vüadecms</t>
  </si>
  <si>
    <t>…do.r: cantidad alzada. Se me dirá que la Nación se encuentra sin Go V.certe López. bierno; pero vo digo que lo hay sea el que fuese, y sin el cual Prior de! hospital de Sta. Cruz: D. Francisco Vüadecms. no existiría la Nación. Idem de la convalecencia: D. Cristóbal Mere l. .... .¿\_íi2'é Uc S-'.n Habrá un ministerio, aunque sea interino , y á este deben lla Pablo D. Rafael Parrella, mar las Cortes para que proponga recursos con que defender la Capuchinos :…</t>
  </si>
  <si>
    <t>Vuelvo</t>
  </si>
  <si>
    <t>…on o leí que ella trajo l.t noticia ’e que Ouve.ra habla salido de Benavente con recibe el r.;;.,stro hub.eia caído dn duda. dirección a /.tiñora , por 10 cual lo. movimientos del general Vuelvo .i repetir, que ni censuro ni elogio la Constitución, Fejo sobre llrag mza no eran necesarios ; por que sí los facciosos que no me toca ju/oir; mas si defiendo tina m'.x'mu qiie forma 110 toiiiab .,n la dirección de ba.amanca, como era probable, solo su basa…</t>
  </si>
  <si>
    <t>Vuldes</t>
  </si>
  <si>
    <t>…paso que habíans ido las que Sr. Hide : Pido que se vengue á la Francia: ■mas hablan sufrido por los facciosos. Presidente: No puedo concederos la paiabra. (Llega á su colmo ¡a El Sr. Vuldes (D. Dionisio) manifestó que la comisión habia visto la agitación en todo el salón. A Ja derecha continúan pidiendo que no se de ticcesidad de autorizar á las diputaciones prov.neutles con todas las faculta- je hablar mas al diputado Manuel: la mayor parte de…</t>
  </si>
  <si>
    <t>Vuldés</t>
  </si>
  <si>
    <t>EL Sr. Canga rogó al Sr. Presidente que tuviese la bondad de F.1 Sr. Vuldés (D. Dionisio) manifestó que puesto que el poner á discusión á la mayor brevedad la solicitud de los indivi Sr. Gómez no había impugnado la totalidad del dictamen, y sí al duos de la comisión de Visita que estaba sobre la mesa. gunos artículos, se abstendría d…</t>
  </si>
  <si>
    <t>Vuldis, Francisco</t>
  </si>
  <si>
    <t>Francisco Vuldis</t>
  </si>
  <si>
    <t>…mo. Sr. =: Josef Mar'a T01 rqos.ssExcmo. Sr. secretario de Reforzadas las guerrillas enemigas, y sostenidas por su caba Estado y del IXspacho de la Guerra.” llería, dispuse que el coronel D. Francisco Vuldis con 1 jo indi LrJ ’i i-ene&gt;- para z. íg d‘ .-¡¿osto de 1S2.J en Cartazena. viduos de Valencey y las compañías de Asturias y Aicafuz, á las El Sr. comandante general deseoso de hacer públicas sus ope órdenes de sus respectivos comandantes el coronel L&gt;. Ramón…</t>
  </si>
  <si>
    <t>VVelhngton</t>
  </si>
  <si>
    <t>…cavactrrza á la v :tud que nos hemos fundado tocos los españoles , piara no ver en ¡os oíenifeía . v cor, acuella franqueza y justo desenfado que t..r. bien oficios amistosos del lord VVelhngton mas que ios buenos deseos sienta, en p.chos cMéllanos cuando ven hollado su pondor.or, vi de un protector de la España, que le debe en gran parte su inde lipendiada vu nobleza , v macadas sus prec osis !lb.:tad«.s. pendencia y su libertad, y que, Mino dice su…</t>
  </si>
  <si>
    <t>W'oronzow</t>
  </si>
  <si>
    <t>…dor del brasil. Este paso tan escandaloso , «linio mu «pm el. emperador Alejandra pensaba en formar otro cho lia , puede acarrear en el dia consecuencia» in enteramente nuevo. El conde W'oronzow . «¡ue luí; calculables, á no ser «pie &lt;d nuevo emperador siga comai alan te CU j«;fe del Contingenté ruso del ejerci el ejemplo de su padre no haciendo caso «le lo»-ju to de : ocupación en Francia, estaba para salir de l'eramentos que s«ilenmemente lia prest…</t>
  </si>
  <si>
    <t>WaEls</t>
  </si>
  <si>
    <t>…ion en Málaga , su fecha as del corriente , me dice lo que sigue: pciü Regó io despidió, diciéndole que no reconocía i tai conde ni &amp; tal » Nuestro cónsul en la* islas Baleares el Sr. WaEls acaba de co general, y que si se hallaban arrepentidos, que pidiesen perdón á la na municarme, respecto í la escuadra argelina , lo siguiente. —Mahon ¿8 ción y al Kty. de Febrero de 1823___ El bergantín de guerra holandés el Gier está de Escriben de Villarezl…</t>
  </si>
  <si>
    <t>Wal, Santiago</t>
  </si>
  <si>
    <t>Santiago Wal</t>
  </si>
  <si>
    <t>…ida de un solo hombre ni aun herido de ilustra paite, dejar en el campo 12615 muertos, mayor número de heridos, y 150 prlione ros , entre los cuales se cumtan el mariscal de campo D. Santiago Wal y el comandante de escuadrón D. Manuel María Romero, El Sr. conde de Larochejaquelrtn cita y recomienda al Sr. coman dante de escuadrón Vidal , del i.° de húsares, comandante del reco nocimiento , á cuya ciencia y denuedo se debe tan fel z resultado ; al capi…</t>
  </si>
  <si>
    <t>Wall, Samtiago</t>
  </si>
  <si>
    <t>Samtiago Wall</t>
  </si>
  <si>
    <t>…oso Padre Juan , el cual quedó El brigadier D. Francisco Moreda queda nomhraido subinspec muerto en el campo con seis de los suyos. tor interino de inüníería , y el de igual clase D. Samtiago Wall _ Dei Dia&lt;ii de la Coruña hasta ei 32 de Mayo. Por varios lo queda igualmente de los cuerpos de caballería del ejército. pasageros se sabia que el P. Cruchaga, franciscano, habia sorpren Los comandantes generales de las divisiones comunicarán es dido el 30 de…</t>
  </si>
  <si>
    <t>Wall, Santiago</t>
  </si>
  <si>
    <t>Santiago Wall</t>
  </si>
  <si>
    <t>…ido llamados á Lisboa los generales Regó y Pamplona, proba División de caballería.__ Comandante general el brigadier blemente á dar cuenta de la conducta que han tenido en la últi D. Santiago Wall : estado mayor D. Josef Rendan, D. Feli ma campana.”__El general Pego avisaba el 18 que era proba pe Mendicuti. ble que los facciosos portugueses, que desde Zamora iban mar Cueipos de que se compone----- Regimiento de Farnesio, rechando hacia Salamanca , pene…</t>
  </si>
  <si>
    <t>Wanhalen, Antonio</t>
  </si>
  <si>
    <t>Antonio Wanhalen</t>
  </si>
  <si>
    <t>…vas á la des hombres, á cuya cabeza se puso el bizarro general O-Daly, acom trucción y defensa del puente de Auñon sobre el Tajo, que parida de- pañado del gtfe de su plana rnrycr D. Antonio Wanhalen , la reco srar pa&gt;ar el enemigo, no había sido inutilizado ni custodiado como bró á la biyoneta casi sin disparar un tiro, dejando muchos muertos, y r.¡r.;ia la Nación , por la importancia de su posición , y habia resuelto haciendo que arrojasen todas sus arm…</t>
  </si>
  <si>
    <t>Warleta, Antonio</t>
  </si>
  <si>
    <t>Antonio Warleta</t>
  </si>
  <si>
    <t>…a iglesia de di sia: la voluntad de S. M. el Rey Fernando ha sido restablece r y cho convento. guardar Ja Constitución; la voluntad del Emperador Alejandro es El ayudante de plaza D. Antonio Warleta queda nombra que el Rey no siga esta Constitución; ¡no es esto constituirse: do para asistir al consejo con arreglo á ordenanza---- El batallón S. M. I. , ó sea el Sr. Nesselrode, árbitro de gobernar y disponerde Ja Reina nombrará una guardia de un oficial, u…</t>
  </si>
  <si>
    <t>…ocho en la iglesia en conocimiento de S. M. Dios guarde á V. E. muchos años. de dicho convento. Cuartel general de Saviñan 15 de Abril de 1823 — Excmo. Sr.zr El ayudante de plaza D. Antonio Warleta queda nombra nFrancisco Ballesteros.—Excmo. Sr. secretario de Estado y del do para asistir al consejo con arreglo á ordenanza.__El batallón Despacho de la Guerra.” de la Reina nombrará una guardia de un oficial, un sargento, un cabo y 12 soldados, que á las s…</t>
  </si>
  <si>
    <t>…A. gundo posterior, se les adjudicará á ellos mismos la aproxima - S-rWtio de los ayudanta de plaza para la semana próxima. ción que cabe á los demas. Comandante general y consejo D. Antonio Warleta__ Go bernador y de orden D. Juan Chacón.__Causas D. Juan de Ro ARTICULO DE OFICIO. jas__ Teatro y demás funciones públicas D. Josef de los Reyes y D. Manuel Nuñez... Circular dirigida por el secretario del Despacho de Estado a Mañana hay corte, á cuyo efecto…</t>
  </si>
  <si>
    <t>…ó ter contemporizar, y yo dejo á su consideración y á la de la co xima—Comandancia general D. Josef los Reyes—GoLernador misión los males que esta medida podría causar. y de orden D. Antonio Warleta__ Consejo de guerra de gene El Sr. Rico: Es menester también no perder de vista, y rales D. Manuel Nuñez__ De causas D. Juan de Rojas—Tea que ias Cortes se convenzan, de que la mayor parte de los pue tro y demas funciones públicas D. Juan Mauuel Chacón y Don…</t>
  </si>
  <si>
    <t>Warleta-----De, Antonio</t>
  </si>
  <si>
    <t>Antonio Warleta-----De</t>
  </si>
  <si>
    <t>…stros magistrados procedieron desde luego á las _ Excmo. Sr. comandante general D. Josef délos Reyes---- Se competentes diligencias para averiguar este delito: y estad seguros ñor gobernador D. Antonio Warleta-----De orden D. Juan de que se hará severa justicia á los culpados. Confiad pues en su Manuel Chacón___Causas D. Juan de Rojas-----Teatro y demas zelo: escuchad su voz paternal, y conservad en estas circunstan— funciones públicas D. Manuel Nuñez. __ Asistencia al co…</t>
  </si>
  <si>
    <t>Wdson</t>
  </si>
  <si>
    <t>…ndividuos del consulado y al ase goleta francesa. sor no había tenido efecto esta determinación: la como,on era tlnn fecha del 18 escriben de Lugo lo sigíT-crte: « Tenemos aquí al general Wdson. Se le ha obsequ.ado yde dictamen que las Cortes se sirviesen declarar por punto ge neral que cuando se mande exigir la responsabilidad á los uibu- obsequia como corresponde, y hoy le da este ayuntan; erro un nalés mercantiles sean juzgados por 1* audiencia t…</t>
  </si>
  <si>
    <t>Weilincton</t>
  </si>
  <si>
    <t>…is Mas hagamos patente la justicia de nuestra revolución. No mo Gobierno frunces se vió embarazado cuando por el propio quede quien ignore que tanto el Gobierno de S. M. como noso lord Weilincton, el lord Stuart y los demas ministros ingleses tros hemos hecho cuanto ha estado de nuestra parte para alejar de se miró esta cond'cion como contraria al derecho universal de Ja Nación los desastres de una guerra que en manera alguna pro las naciones, y trató…</t>
  </si>
  <si>
    <t>WeitKar, Manuel Pa</t>
  </si>
  <si>
    <t>Manuel Pa WeitKar</t>
  </si>
  <si>
    <t>…. riendo i muchos y persiguiendo á los demás; en cuya acción, sucedida en 18 de Marzo último , se hallaron-y distinguieron SAXONIA, . los oficiales de Aragón D. Dionisio Peirona , D. Manuel Pa WeitKar1 ii de Marzo. ■ lacio y D. Juan Martínez, -y los de Pontevedra D. Francisco ' S. A. R. el gran duque hizo ?utes de ayer, después de haber Pórtela y D. Manuel&gt;Sequeiros, asi como las dichas milicil asistido i un oficio divino solemne, la apertura de la nueva s…</t>
  </si>
  <si>
    <t>Weliingtor</t>
  </si>
  <si>
    <t>…afirmar que les ha costado la fiesta unas de 1 5.0 millones, manifiesta den de reunir las diferentes divisiones del egercito otomano , á fir de hallarse autorizado para decf: que lord Weliingtor ha desplegado en que esten pronta» para marchar á la primera señal hacia la orilla dere Paris un zelo infatigable para reparar los yerros que habia cometido en cha del Danubio. Verona, y que sus esfuerzos han sido coronados de un triunfo comple to á favor de…</t>
  </si>
  <si>
    <t>Wellington</t>
  </si>
  <si>
    <t>…ha rehusad» ya por dos veces la mediación de la Inglaterra en los ne beneficencia , milicia N. V. de todas armas , patriota D. Vicente Jogocios de España, una vez propuesta por el duque Wellington, , sef Vázquez y otras .personas, cuya lisia se publicara á su debido crtra por sir W. A’Court. tiempo. Esto hace ver que el Gabinete francés está mas inclinado á seguir Todos los individuos de nuestro Excmo. ayuntamiento han traba la política de los Soberano…</t>
  </si>
  <si>
    <t>…a vida montaraz á que le ticia que el Rey ha mejorado mucho de su indisposición. Afoniii:^inclinan sus delitos. Enterados los ayuntamientos, asi como ios parti Ilerald anuncia que lord Wellington tuvo el 7 con ei Rey una larga culares , del contenido de dichas cartas, es excusada esforzarme á per conferencia de despedida para una misión muy importante, la cual se suadirles una verdad que demuestran aquellas, y la serie no interrumpi dice ser cerca del…</t>
  </si>
  <si>
    <t>…cipales de las deliberaciones; mas que pultados los que caigan al filo de sus aceros. habiéndose llegado á entender que como tal se propondrían, seC'hdoba 2 y de Abril. previno al lord Wellington en 27 de Setiembre que si se inten Nuestro gefe político ha publicado la proclama siguiente: taba intervenir por la fuérza ó con amenazas en ios negocios de Habitantes de h ciudad de Córdoba : »Lon el mayor disgus España declarase perentoriamente , » hallarse…</t>
  </si>
  <si>
    <t>Wellíngton</t>
  </si>
  <si>
    <t>…do en consideración el antici á que daban margen en los principios que había adoptado , me par modificaciones, qué es óbvio han de verificarse en lo sucesi didas que en sentir del lord Wellíngton exasperarían á dicho Go vo; volviendo í&gt;. S. á advertir que por ningún título se propusie bierno, y cuyo resultado seria probablemente interrumpir sus re ra á los españoles concesiones qUe r.o juzgasen justas y necesarias; laciones diplomáticas con Austria ,…</t>
  </si>
  <si>
    <t>Welliogton</t>
  </si>
  <si>
    <t>…queda enteramente destruida la última esperanza de conservar la paz. del D. Francisco de Paula Paadin, mediante ignorarse su paradero, ha El mismo periódico indica el rumor de que lord Welliogton iba á sa mandado al propio tiempo entre otras cosas que se le cite por medio lir para España. de la gaceta y diario, corno se hace por este aviso , á fin de que se pre Dice el Piloto que su corresponsal de Lóndres le avisa haberse de sente ante dicho supremo…</t>
  </si>
  <si>
    <t>Wen</t>
  </si>
  <si>
    <t>…RID. HARTES 8 DE JUNIO DÉ 1828. - o ^ ARTÍCULO DE OFICIO. mura del tiempo; y^que, e! verdadera nombrado para el referidodestino lo. ba sido, «j; .brigadier de ios Reale* ejército» D. Wen La Regencia del reino se ha servido expedir el decreto si ceslao Prieto. 3r, . , guiente : Ministerio de la Guerra, » Los extraordinarios y singulares méritos y servicios que en .Para atajar los, males que causa la desunión de la fuerza todos tiempos ha prestado el tenie…</t>
  </si>
  <si>
    <t>Wetherell, Nathan</t>
  </si>
  <si>
    <t>Nathan Wetherell</t>
  </si>
  <si>
    <t>…se verifica comple SS. MM. y AA. visitar la fábrica de curtidos de S. Diego: á la tamente y én un momento con esta barrilla.’ Aunque tiene Ja puerta da ella fueron recíBidcís por D. Nathan Wetherell, gefe ventaja de poderse empastar cou ella á todos grados, la econo y propietario de eila,’-y'sü familia: la máquina de vapor fue lo mía aconseja que para lograrlo mejor se caliente bien una por que mas atrajo la atención del Rey, cuya explicación pidió se ci…</t>
  </si>
  <si>
    <t>Wiasco</t>
  </si>
  <si>
    <t>…consumos ia de la contribución directa. Por .0 que hace al consumos, porque estos en los pueblos no están en razón directa de la artículo 12 no puedo rebatir las obrerveciane» del Sr. Wiasco, por población , sino de la locaiidid, y asi es que un pueblo de 100 vecinos, que se fundan en los mismos principios qu; yo tengo sobre este cunto; situado en un camino real, consume mas qus otro de 500, situado fue pero creo que lo que pru-.ban estos princip…</t>
  </si>
  <si>
    <t>Wiíson</t>
  </si>
  <si>
    <t>…buscar la de Aléala , disponien Del diario del Gobierno del 27___Según las últimas noti do hiciese lo mismo por otro punto un escuadrón de Lusitama, cias de Vigo la presencia del general Wiíson habia reanimado que según se ha dicho estaba situado en S. Antonio de la Florida. sumamente el espíritu público, y en toda la provincia se mani De los garroteros aficionados parte habia salido á recibir a Bes— festaba el mayor entusiasmo.__Por las cartas inte…</t>
  </si>
  <si>
    <t>Wilson</t>
  </si>
  <si>
    <t>…lidad el 4' de Febrero, median El Or,¡cuto ür Bruje: , del 19 dice que asciende ya á unos te algunos severos castigos de muerte que se habían hecho en varios 30 hombres los que el general Wilson ha reunido en Londres marineros que cometieron algunos excesos. para dirigirse con ellos á España. J‘rusia. Puede considerarse en el dia á esta potencia como —Bien quisiéramos poder presentar un cuadro exacto de la si sujeta al influjo de la Rusia. Siempre ha…</t>
  </si>
  <si>
    <t>…rio del Despacho de la Guerra, se procedia á la lectura de Ja para correr con pabellón español á hostilizar á las francesas; proposición que había moiívado su llamamiento. que el general Wilson está haciendo sus preparativos para em Se leyó dicha proposición-, y habiendo tomado la palabra el barcarse con dirección á la Coruña á la cabeza de una división Sr. Secretario interino de la Guerra, dijo que el Gobierno ha de 39 hombres equipados á costa de…</t>
  </si>
  <si>
    <t>…y que en ellas no se habla de aconteci ARTICULO DE OFICIO. miento alguno de consideración. El Rev ha expedido el decreto simiente: __Se tiene por seguro qrre muchos oficíales del general Wilson Don Fernando vil por la gracúi de Dios v por la Constitu lian desembarcado en Opotto. ción de la Monarqu*. 1 española . Rev de las Espiras , ;•&gt; roe'os __1 iejamos publicada arriba una importante sesión de Cortes de los que las presentes viere n v errend-eren , sabed : Q;…</t>
  </si>
  <si>
    <t>…e Milán» y Llobera que estaban c»to* «lía» crt Luego que se recibieron en esta capital las noticia» de la lle S. .Andrés, Orta y Moneada , cuya 1 aerea total no exceda de gada de! general Wilson á Vigo y la Coruiui . y del entusiasmo 4C1 hombre» , fue reforzada , según se dt.es ave- , con 1500 ó :0 que produjo su presencia , lo cual ha escrito ¿1 mismo á sus ami de- Mkc. la mavor parte de la fuerza Irnncoa saín - de Matan• i gos , estos se llenaron d…</t>
  </si>
  <si>
    <t>…) En el pabellón Aíarsan , centro del ultracismo , no desembarcado en Ja Península la cuarta parte de las tropas. 4® El puede un Rey estar en libertad sino manda despóticamente; y general Wilson nombrará por una sola vez los gefes y oficiales; seeun este principio el Rey de Inglaterra está preso , el de Es Jas vacantes que ocurran las proveerá el Gobierno español á pro paña cautivo , y el Gran Turco goza en toda su plenitud de la puesta del mismo gen…</t>
  </si>
  <si>
    <t>…ollit? neral , según la práctica y orden de los ejércitos españoles; pero : No teneis presente á Sevilla ? Moguc leños : reflexionad sobre vues considerando el crédito militar del general Wilson, no será tra crítica situación y la de la patria; no seáis mas víctimas de la nombrado para que suceda en el mando en gefe ningún oficial seducción y la perfidia: disipad esa nube de partidos y opiniones general de menor graduación ó antigüedad , sino por raz…</t>
  </si>
  <si>
    <t>…que se sirvan extender las gracias conced.uas á comisionado». los extrangeros que deben componer la división al mando del Art. 2.0 El Gobierno de S. M. nombrará por -u peí te uno general Wilson , á los soldados del ejercito francés que se p isa (' nía-, plempotcnc ario» que en el pauto des gnndu c»t pulen Ive.a ren al ejército español con el fin de defender la causa glorieta clase* de tratados sobre ias bases que se consideren mas a propino, que est…</t>
  </si>
  <si>
    <t>…Aprobado. duña y Muro , sobre hacer extensivas las gracias concedidas á los La misma comisión, habiendo examinado el expediente pro extrangeros que deben componer Ja división del general Wilson, movido por la casa Arabet, Gautier , Manning y compañía del á los oficiales y demas individuos del ejército francés que se pasen comercio de Barcelona , sobre que se le pague en plomos de Al al español en defensa de la libertad. mería , ó en su defecto con b…</t>
  </si>
  <si>
    <t>…ter de un don gratuito de ios mismos que ¡os dominan ! O) El Gobierno portugués tuvo cinco días preso al ecncral Wi! son, que venia heiido á bordo de la balandra Nassau , en el El general Wilson, tan conocido en Europa por m amor i Tajo. EN I.A IMPRENTA NACIONAL.</t>
  </si>
  <si>
    <t>Wilson, Sir Roberto</t>
  </si>
  <si>
    <t>Sir Roberto Wilson</t>
  </si>
  <si>
    <t>…hasta aquel punto, pedia á D os que ben Junta de la Independencia Española establecida en Londres á dis dijese sus consejos. Cuando me disponía últimamente ( añadió ) posición del general Sir Roberto Wilson para el servicio de los « presentar una petición para el restablecimiento del Rey , he sen constitucionales. tido pegárseme la lengua al paladar, y he creído ver en esta im presión sobrenatural una respuesta que el cielo que ha desechado ai Rey daba á mis ple…</t>
  </si>
  <si>
    <t>Wilver, Juan</t>
  </si>
  <si>
    <t>Juan Wilver</t>
  </si>
  <si>
    <t>…Orenparte de esta columna, á quienes hice pasar por el madero con su co se).__El ayuntamiento de Ibiza (islas Baleares)__ La M. N. V. de Fer mandante el teniente coronel graduado D. Juan Wilver ; yo mismo rol----La diputación provincial de Gerona__El colegió nacional ele cirugía eché pie á tierra , y pasé del otro lado para dirigirlos, volviendo luego medica de Burgos__ La diputación provincial de Zaragoza__ La M. N. V. á pasar para tomar mi caballo…</t>
  </si>
  <si>
    <t>Wit-</t>
  </si>
  <si>
    <t>…etersburgo por el ministro de la Guííí* hay mucha ac te ha tomado después de estas medidas la de conducir á los cumplidos tividad en el cuartel general del egército mandado por el general Wit- desarmados y con gendarmería hasta los pueblos de su naturaleza. senstein, el cual se halla «n Tulezyn. Las divisiones que estaban mas __La Estrella propone esta noche una rocripcion en favor de ios esdistantes han recibido orden para apiox.marse al centro de…</t>
  </si>
  <si>
    <t>Wítígcnstcm</t>
  </si>
  <si>
    <t>…jo que despótico, que aun puesto en manos diestras destruye todo cuan entonces tenia. to toca, y se devora á sí mismo, como Saturno devoraba á sus Siguen asegurando que el general conde Wítígcnstcm se ha propios hijos. El mundo entero acaba de ver un ejemplo terrible lla también envuelto en la desgracia del príncipe Wolkonsky, y de esta verdad en la caida de Napoleón. ¡Qué será pues cuando que ya no volverá al ejército ruso del mediodía. esté depositado…</t>
  </si>
  <si>
    <t>Wittgenstein</t>
  </si>
  <si>
    <t>…íficamente, ) se temía que para la primavera próxima empeza vínculos que las ligan con la potestad Real, y á ia faz de la Nación, del sen las hostilidades. El segundo egército del conde Wittgenstein y el mundo y de la posteridad proclamar como proclaman de nuevo su de del gran duque estaban prontos á entrar en campaña. K1 cuerpo que cisión constante á sostener el lustre é independencia del trono de V. M. manda el conde WoronzdíT, reforzado con una divisi…</t>
  </si>
  <si>
    <t>Wolkonsky</t>
  </si>
  <si>
    <t>…no devoraba á sus Siguen asegurando que el general conde Wítígcnstcm se ha propios hijos. El mundo entero acaba de ver un ejemplo terrible lla también envuelto en la desgracia del príncipe Wolkonsky, y de esta verdad en la caida de Napoleón. ¡Qué será pues cuando que ya no volverá al ejército ruso del mediodía. esté depositado en manos débiles é ineptas como ha sucedido casi El Sr. de Tatitschef ha comunicado nuevas instrucciones á siempre en la desgraci…</t>
  </si>
  <si>
    <t>Wolsov</t>
  </si>
  <si>
    <t>…arras de sus porsr gTliííc.'l Í'S , C'ül IT voco , no dejará de .ser curioso el compararlo con el bajeza y cobardía con que lo han he ello ai: Cálicelebre tratado negociado por el cardenal Wolsov con ionts suizos respecto de los patrio! as ¡t i üiri'»*. el Co! o rno francés, epte compiendia á los abados En suma. es!e documento es ¡n¡; í-ra'll (I- r i J^Tjv.-nect ivos de ambas potencias, v que toe induda (¡iiít se han hecho los mayores pro ls) i.is ,.r…</t>
  </si>
  <si>
    <t>WoronzdíT</t>
  </si>
  <si>
    <t>…r como proclaman de nuevo su de del gran duque estaban prontos á entrar en campaña. K1 cuerpo que cisión constante á sostener el lustre é independencia del trono de V. M. manda el conde WoronzdíT, reforzado con una división de húsa y de su autoridad constitucional, la soberanía y derechos de la noble res , quedará provisionalmente destacado en las fronteras de Austria Nación que representan , y la Constitución por la cual existen. Las hasta que se sep…</t>
  </si>
  <si>
    <t>Wur-, Alejandro de</t>
  </si>
  <si>
    <t>Alejandro de Wur-</t>
  </si>
  <si>
    <t>…el barón de Campenliausen contador mayor: el príncipe Labanoff Aos- tino. El Sermgapatam y el liedziing, que dieron veía con igual direc tovsliy ministro de justicia. S. A. Ib. &lt;1 duque Alejandro de Wur- ción , entraron de arribada el mismo día en Spithrad, donde deben temberg director general de puentes y caminos: el pr;ov Alejandro Goly- permanecer hasta nueva ordn. Se acaba de recibir una orden para ar leln ministro de los Cultos y de ¡a enseñanza publica,…</t>
  </si>
  <si>
    <t>W’ilkinson, Jesse</t>
  </si>
  <si>
    <t>Jesse W’ilkinson</t>
  </si>
  <si>
    <t>…por el comodoro Porter , que tanto nos pro vana , y conducida a este puerto por el bergantín de los Estadosmetió, v parece haber hecho tan poco; A mediados de Febrero Unidos , su comandante Jesse W’ilkinson, en Febrero ul salió de"Norfolk , y el 3 de Marro llegó á San-Tomas. Esta es timo ha ocupado algunos dias con motivo del examen de testimo Ja última noticia que hemos tenido de aquella escuadrilla , que se- nios y otros documentos , y se difirió Justa la próx…</t>
  </si>
  <si>
    <t>XqueiUrdtTeccion, Sr</t>
  </si>
  <si>
    <t>Sr XqueiUrdtTeccion</t>
  </si>
  <si>
    <t>…Fernando Mergelina y Barreta , D. Joaquín Anguiano, l?Jii 9naba %icM el valle de Pineira 6 el Hospital y habiendo lomado D. Vicente Jiménez y Pinairo, D. Juan Nepomuceno Baizola , Don Sr XqueiUrdtTeccion se me reunió Barco en Villamayor, que también iba Josef Albar González y D. Juan Salomón y Caters. siguiendo sus huellas, y juntos continuamos hasta las alturas del Hos Juúio de jurados. pital, desde donde divisamos algunos que salían i hs alturas de Padorne»…</t>
  </si>
  <si>
    <t>Xravesedo, Francisco</t>
  </si>
  <si>
    <t>Francisco Xravesedo</t>
  </si>
  <si>
    <t>…Manuel Esteban Catalá , D. Manuel Merino y D. Lorenzo Lanrbea. Lo declararon subver Total..................... 20.201,808. .20 sivo en tercer grado D. Nicolás Heredero, y ab.uelto D. Francisco Xravesedo y el conde de Floridablanca. ~ El Gobierno ha recibido el parte siguiente. TXIBCjíALES. »»Excmo. Sr.: Para el debido conocimiento de S. M. tengo el honor Por providencia dictada por el Sr. D. Francisco de Sales Sanche»de incluir á V. E. la adjunta copia del p…</t>
  </si>
  <si>
    <t>Yai</t>
  </si>
  <si>
    <t>…1.“ El Sr. Arias: Pido se lea el art. 46 de la Constitución (se leyó). de Enero del anterior ai en que se hace el padrón. El Sr. Infante - En cuanto á la objeción que ha hecho el Sr. Yai5 0 Los que hallándose en el mismo cavo,aunque con mas tiempo dé» diré que aquí no s-t trata de establecer un ayuntamiento nuevo , y de residencia fuera del pueblo , hayan manifestado su ánimo de conti »olo el que tarto para la solemnidad del acto como para su…</t>
  </si>
  <si>
    <t>Yaldés</t>
  </si>
  <si>
    <t>…n manifestó que la Diputación provincial de hiciesen sobre el estado de la Armada. Admitida á estrechada por tas circunstancias v en uso de las discusión por 4&amp; votos contra 51 el Sr. Yaldés (D. eultades que las Córtes le habían concedido como a Cayetano) se opuso á ella manifestando los perjuicios todas las demas del Reino, bahía dicho ge 1: ■&gt; , n, -re «pie podrían traer estas preguntas en las actuales cir tro mas medio de salir alj'retue de ?;…</t>
  </si>
  <si>
    <t>YanCarenas, Juan Antonio</t>
  </si>
  <si>
    <t>Juan Antonio YanCarenas</t>
  </si>
  <si>
    <t>…-343&gt;389- 3 prima , publique y circule. = Está rubricado de la Real mano— Repuestos de arsenales.................................... 650,925- 9 En Cádiz á i9de Agosto de 1823.:= A D. Juan Antonio YanCarenas y recorridas....................................... 239,060-13 diola. Obras hidráulicas............................................. 1.787,649-20 De Real orden lo comunico á V. para su inteligencia y Obras civiles..............................................…</t>
  </si>
  <si>
    <t>Yand.oia, Juan Amonio</t>
  </si>
  <si>
    <t>Juan Amonio Yand.oia</t>
  </si>
  <si>
    <t>…rey joscf, servirán ahora pata iguales electos. Real rino.ee En el Real A ¡calar de bcvrllu a 1 y de M»yo de Nada de esto debe parecer extraño al que este bien instruido iUs.£.e=A D. Juan Amonio Yand.oia. de ¡a política de Napoleón , y de la que observan ahora sus dis cípulos. Ni tampoco deberemos admirarnos de ver pomposas re Cicular Jel ministerio Je la Gctern.icun Je la P, níitiul.i. laciones de la alegra con que han sido recibidos los invasores: á estas s…</t>
  </si>
  <si>
    <t>Yandiola, Juan Anton.o</t>
  </si>
  <si>
    <t>Juan Anton.o Yandiola</t>
  </si>
  <si>
    <t>…é introducidos legítimamente. tos y servicios de D. Josef María Pando, oficial segundo del mi Las Cortes , á propuesta de la comisión de Leaislacion , corce li.steno de Estado, y D. Juan Anton.o Yandiola, tesorero ge dieron carta de ciudadano á D. Juan Rivero , de nación portu neral de la Nación, había tenido á bien nombrarles, ai primero gués , y-á D. Francisco Pieu, capitán del regimiento infantería secretario del Despacho de Estado, y al segundo del Despac…</t>
  </si>
  <si>
    <t>Yandiola, Juan Antonio</t>
  </si>
  <si>
    <t>Juan Antonio Yandiola</t>
  </si>
  <si>
    <t>…a por la quietud y seguridad de los munico á V. de orden de S. M. Real Alcázar de Sevilla 23 dignos habitantes de esta heroica capital, y del deseo que me ani de Mayo de 1823. srA D. Juan Antonio Yandiola. ma de no llevar al separarme de su seno mas recuerdos que los de las virtudes que en todos tiempos los han señalado. Madrid 20 Para la mayor expedición de los muchos negocias de la se de Mayo de 1823. = J osef de Zayas. cretaría de Estado y del Despacho de F…</t>
  </si>
  <si>
    <t>…muñereio los cuchillos extranjeros circuk.=E*tá rubricado -de ia Real mano—Ale izas -it be vida conocidos con el nomb o; de llanncncos, hasta que la industria de Mayo de 1823.“A. D. Juan Antonio Yandiola. nacional pueda proveeriMfe usté artículo á precios equitativos .pa gando á su introduccioiKiiinicScKcilio de por 100 sobre el afo Don Fernando vij por la gracia de Dios y por la Cor.stiruc'on ro de 20 rs. docena. Al, 1 Lo»s de mas cuchillos de que trata de l…</t>
  </si>
  <si>
    <t>…nínsula. jada tesorero general de la Nación. (Gaceta ,•&lt;&gt;/ 27. ) Decreto de S. M. nombrando í D. Josef María Pando y á Otro Idem concediendo al Sr. secretario del Despacho de este D. Juan Antonio Yandiola, al uno secretario de Estado, y al ramo Ja gracia de usar de media firma. (¡dtm.) otro de Hacienda. ([Gaceta del j6.) Otro Ídem privando de su empleo , honores y condecoracio Decreto de las Cortes-determinando el modo de proceder al. nes al intendente de Vall…</t>
  </si>
  <si>
    <t>…a clase y dignidad , que guarden y hagan lubricado de la Real mano. = Real Alcazar de Sevilla 23 de guardar, cumplir y ejecutar el presente decreto en todas sus par Mayo de 1823—A D. Juan Antonio Yandiola. tes. Tendreislo entendido para su cumplimiento, y dispondréis se imprima, publique y circule. =: Rubricado déla Real mano.= Don Fernando vn por la gracia de Dios y por la Consti En el alcazar de Sevilla á de Mayo de 1823. = A Don tución de la Monarquía españ…</t>
  </si>
  <si>
    <t>…ja, y la segunda por Trujillo , Llercna y Car- y circule.rcEstá rubricado de la Real mano.zcEn Cádiz a 30 de tnona. Constan de 16Ó hombres, cuatro brigadas de artillería, Junio de D. Juan Antonio Yandiola. y van provistas de mucho dmero contante , porque deben pagar Lo comunico á V.- de orden de S. M. para st¡ inteiizencia lo todo , hasta las mas pequeras bagatelas........ (2). Todo está y cumplimiento en la parte que le toca.—Dios guarde a V. mu preparado de…</t>
  </si>
  <si>
    <t>…n, haciendo desaparecer para y del Despacho D. Salvador .Manzanares , D. Lr.mcbeo Osorio, siempre los motivos que la produjeron , que no fueron otros que í&gt; Joref María Cnlatravq, D. Juan Antonio Yandiola , Don la falta de seguridad pura la propiedad y para las personas, y ía Manuel d - la Puente y D. Francisco Fernandez Golf.in, encarga-, de aquella libertad civil , que lejos de turbar el orden de la socie d~ intenranK-ute del Ministerio de Guerra por la indi…</t>
  </si>
  <si>
    <t>Yanez, Manuel de</t>
  </si>
  <si>
    <t>Manuel de Yanez</t>
  </si>
  <si>
    <t>…ve precisado el polígamo á mas Samper; capitán, I). Antonio García Luían; Teniente, mandar como un déspota, y entonces ya no ve en ellas mas que D. Francisco Martínez ; capitanes, D. Manuel de Yanez , D. Ni unas esclavas que le aman en la apariencia, y le aborrecen en rea colás de Llano; subteniente, D. Fernando Sequeira. San Fer lidad. En vano cada una de estas mugeres le asegura c n las ma nando 20 de Agosto de 1B 2 3. = Bartolomé Gutiérrez Acu fu. yor…</t>
  </si>
  <si>
    <t>Yaniz, Gorgonio</t>
  </si>
  <si>
    <t>Gorgonio Yaniz</t>
  </si>
  <si>
    <t>…Señor durante su cautividad, impulsado comándame de volúntanos Reales de Logroño P. A. L. R. P. del amor y lealtad que consagra á su augusto Soberano , se de V. A. S.zshi teniente coronel Gorgonio Yaniz. = E1 capi apresura á felicitar a V. A. 5. la mas fina y plausible enhora tán Melchor Arnaez.ssEl capitán Manuel Albear.” buena, regando sus plantas con lágrimas de alegría, consideran do desvanecida felizmente la negra Opresión y densa esclavitud Sermo. Sr.:…</t>
  </si>
  <si>
    <t>YCildés, Cayetano</t>
  </si>
  <si>
    <t>Cayetano YCildés</t>
  </si>
  <si>
    <t>…venia se trasla que la Regencia fuese compuesta de tres individuos, debiendo en dase S. M. á un punto de seguridad como el que presentan los fuer su concepto nombrarse á los Sres. D. Cayetano YCildés, diputado tes muros de Cádiz. á Cortes, presidente: D. Gabriel de Ciscar, consejero de Estado, S. M. contesto que su conciencia y el interes de sus súbditos y D. Gaspar Vigodet, también consejero de Estado. no le permitían salir de aquí , y que como individuo…</t>
  </si>
  <si>
    <t>Yerme</t>
  </si>
  <si>
    <t>…den de ponerse en marcha hacia la Moldavia, y que será mandado dación y transacion que previene la misma orden. Art. 5.0 5i de! exa por el conde de WoronzofF, quien reemplazará al general Yerme!, ¡V. men prescrito en el art. a.0 resultare vicio ó injusticia en la adjudica __La nota pasada á nuestra Gabinete por el encargado de Negocios de ción de intereses de producto de presas, ó culpabiiidid en las autor daRusia pidiendo sus pasaportes ofrece segu…</t>
  </si>
  <si>
    <t>Yillacampa</t>
  </si>
  <si>
    <t>…el cual lia durado incesante mente desde dicha hora hasta las cuatro y media de Sabemos que ba sido destituido de su mando, el esta mañana , en que habiendo salido dos guerrillas general Yillacampa, y que le lia reemplazado el ge nuestras, han logrado auyentarlns de las posiciones neral Zayas, que ha salido inmediatamente a en que habían ocupado con la pérdida de algunos llori cargarse de cuanto es peculiar á su nuevo destino. dos y prisioneros, que por…</t>
  </si>
  <si>
    <t>Yilste, Simón González</t>
  </si>
  <si>
    <t>Simón González Yilste</t>
  </si>
  <si>
    <t>…Lcchago y Luco, En su vista se reunió el jurado, compuesto de los señores siguientes: todas dirigiéndose á los pinares de Segura y Montalban, caminos positivos D. Juan de Cortes, D. Simón González Yilste, D. Juñan de Fuen para la tierra luja y Mcqumci.:-:*: *&lt;•, el momento de mi llegada dispuse sa tes, D. Matías Pinilla , D. Manuel González del Campo,D. Manuel Me liesen tres partidas fuertes de ¡nfanv-ría y caballería con las instrucciones rino, D. Lorenzo La…</t>
  </si>
  <si>
    <t>Yoldi, Manuel</t>
  </si>
  <si>
    <t>Manuel Yoldi</t>
  </si>
  <si>
    <t>…e ia mitad de su sueldo , man arcipreste de Bíugos; D. Lorenzo Sainz, presbítero beneficiado del lu dando al mismo tiempo qua ss le dieran las gracias en su nombre. gar de Cazedo; D. Manuel Yoldi; D. Dionisio Carro; D. Isidro As(Gaceta eit! /y.) torga y Joige Crespo. Todos fueron condenados i muerte por el juez Decr. to de'las Cortes derogando el artículo 4.0 del decreto de 13 de primera instancia; y ya se ha visto qué pena impuso la sala á Car de Mat…</t>
  </si>
  <si>
    <t>…ración, á fin de que con Barrio, Jorge Crespo, D. Lorenzo Sainz, 1&gt;. Dionisio Carro, D. Isi este egercicio pudiese obrar el aíro en la trompa de Eustaquio; pero esto dro Astorga y D. Manuel Yoldi , que fueron aprehendidos con armas, nada aprovechó á mi compafieto. Cuando volvimos á ponernos en mo band'tas ae rebelión , actas de ia junta , proclamas incendiarias y pape vimiento padeció mucho : se puso pálido, sus labios perdieron el color, les alarmant…</t>
  </si>
  <si>
    <t>Yriyodct</t>
  </si>
  <si>
    <t>…l Sr. Galiano observó que los Sres. Valdes y Ciscar podrían tucional no tenia responsabilidad ninguna: que oyese á sus conse prestarle inmediatamente , y luego podría prestarle el Sr. Yriyodct, jeros y á los representantes de ia Nación sobre quienes pesaba la pues en la actualidad se hallaba ocupado en asuntos de la mayor salvación de la patria. importancia. -S. M. contestó .,tte habla dicho. Se leyeron los artículos de la Constitución que tratan d…</t>
  </si>
  <si>
    <t>Yurqueita, Esteban</t>
  </si>
  <si>
    <t>Esteban Yurqueita</t>
  </si>
  <si>
    <t>…icio alguno se presentaron voluntariamente , yen i.° batallón voluntarios de Madrid. Soldados D. Antonio do el primero de granaderos entre los de su cuerpo, y el según- Gutiérrez, D. Esteban Yurqueita y D. Antonio Avita. do con los del destacamento del suyo 3.0 de ídem. Subteniente D. Josef Mallen : soldado D. La conducta de ios comandantes de columna fue cual debía tritio Sanaobal. esperarse de oficiales distinguidos, y digna del mayor elogio !a Subinspeccion de infantería.…</t>
  </si>
  <si>
    <t>Yusíe, Simón González</t>
  </si>
  <si>
    <t>Simón González Yusíe</t>
  </si>
  <si>
    <t>…y En su vista se reunió el jurado, compuesto de los Sres. siguientes: mas imposible parecía que á fuerza de querer perpetuar la esclavitud D. Josef Car.tel; D. Juan Isidoro Perez; D. Simón González Yusíe; de lo: pueblos, se les diesen lecciones tan claras pata que aceleren su D. Josef Radon; D. Sebastian Andrés; D. Ramón Llord; D. Francis libertad. co Martinez Marina; D. Josef Luis de Amandi, y D. Manuei Esteban » El Congreso y el Gobierno en aquel dia de ven…</t>
  </si>
  <si>
    <t>Yustamendi, Juan Ruiz de</t>
  </si>
  <si>
    <t>Juan Ruiz de Yustamendi</t>
  </si>
  <si>
    <t>…de los 1509, situación id., en cabeza de Doña Juana de Idiaz-zn :z: otro de hade, io qu- podra hacer con ventaja, pu:s qus deben habérsele re 83,333 &gt; situación id. , en cabeza da D. Juan Ruiz de Yustamendi y sucesores: otro da 67,170, situación id. , cabeza id.: otro de 23^,375,unido las trepas que mandé marchar á relorzarle. » Continúo estrechando la plaza de Mequintnza,é incomunicándo situación id., en cabeza de Lope idiazquez y sucesores: otro de 509, situad…</t>
  </si>
  <si>
    <t>Yustc, Alberto</t>
  </si>
  <si>
    <t>Alberto Yustc</t>
  </si>
  <si>
    <t>…del Coaita público sobre el modo de llevar á efecto 'La comisión segunda;de .Hacienda, en vista de la exposición ei decreto de 19 de Jumo de illa t y itri:, en cnanto á la apli de D. Alberto Yustc para que.se le conceda, una pensión, ó se le cación de los bienes del clero al Crédito público pra la indem recomiende al Gobierno por.sus servicios en el . restablecimiento nización de los participes legos. de la Constitución, y dd informe del Gobierno, opin…</t>
  </si>
  <si>
    <t>Yuste, Simón González</t>
  </si>
  <si>
    <t>Simón González Yuste</t>
  </si>
  <si>
    <t>…a del Castillo Rengifo y el de D. Eus sef Pío de Molina el jurado , compuesto de los Sres. D. Manuel Ga taquio Babilonia, pues somos acreedores y dignos de toda merced por llego , D. Simón González Yuste, D. Jaime Ruiz Abren , D. Joa lo muy fieles que somos a la corona de nuestro amado Monarca. quín Manrique y Manrique, D. Juan Fernandez Casariego , D. Benito n Los vecinos de esta ciudad ofrecen todos unánimes perder la últi Ortega Romanillos, D. Manuel M-rin…</t>
  </si>
  <si>
    <t>YVilson</t>
  </si>
  <si>
    <t>…de su conducta en estas ge Acaba de llegar á esta ciudad el Fxemo. Sr. conde de Car nerosas declaraciones, que son la fiel expresión de las intencio tagena con su estado mayor. El general YVilson salió el 24 para nes y voluntad del Rey.” Orense; se cree que va á Portuca!. (Idem.) En cuanto á las disposiciones prescritas nótense cuáles son en sustancia. Madrid 4 de Junio. Los buques de guerra españoles que no se unan á la armada francesa, y los corsari…</t>
  </si>
  <si>
    <t>YViÜiam</t>
  </si>
  <si>
    <t>…s los asientos, tjcctiRp l&lt;?| resentido» á los embajadores y paite , y son unto mas vivos cuanto que abrazan una infinidad de á le» comisarios.' A las 6 y media entró el presidepu lord YViÜiam objetos. Bentink., precedido di les comisarios, j acompañado de S. A. K. el ¡Qué haremos nosotros? Bien pronto lo sabremos. La confianza de duque de Sussex, de los embajadores, e! duque de San Lqrefizo y de la nación en el Gabinete se ha acrecentado desde su…</t>
  </si>
  <si>
    <t>YVoronzolF</t>
  </si>
  <si>
    <t>…ún movimiento entre estas tropas. Acabamos de recibir la noticia inútil , y que pot lo mismo d-b:a n.cssariamente acarrear la ruina ¿e de que no volverá á Kremenezek el cuerpo del conde YVoronzolF, la Francia y del trono de los Eoibon s. Maniiesto los grandes obstácu reforzado por una división de húsares; pero que quedará provisional- los que se presentaban para hacerla , coin.i la falta de fondos y tropas, mente destacado en las frontera? de Austria h…</t>
  </si>
  <si>
    <t>Za, Josef de</t>
  </si>
  <si>
    <t>Josef de Za</t>
  </si>
  <si>
    <t>…anzas so pena, tranquilos con la confianza que tenemos en el patriotismo bre Tesorería general, y los demas que vuestros antecesores ha y virtudes del comandante general el Excmo. Sr. D. Josef de Za yan acostumbrado poner siempre firma entera. Tendrcislo enten yas , y tanto mas cuanto ya casi ninguno ignoraba la capitulación dido, y lo comunicareis á quien corres ponda.crRubric.ido de la estipulada entre este y el Excmo. Sr. general en gefe del egército…</t>
  </si>
  <si>
    <t>Zaá</t>
  </si>
  <si>
    <t>…mas que un 5 por 100 de las con inclusive dicen lo siguiente: tribuciones en calderilla; y el segundo del Sr. .Romero contrario Esta mañana á las once ha entrado en esta villa el general Zaá la resolución de haber lugar á votar sobre la totalidad del pro yas con la guarnición de Madrid y los prisioneros hechos en la yecto de papel sellado. acción del 20. F.l general Ezpeleta ha venido también con la co La comisión de Hacienda, en vista del nuevo…</t>
  </si>
  <si>
    <t>ZaEl, N.</t>
  </si>
  <si>
    <t>N. ZaEl</t>
  </si>
  <si>
    <t>…int March, D. Josef Tejeiro, ba con el dictamen del Gobierno. Aprobado. D. Antonio Tejeiro, D. Josef María Doncel, D. Josef Curten. La misma comisión, en vista de la exposición de D. N. ZaEl teniente D- Gregorio López de Boneville. los subtenientes vala , para que se le continúe el pago de la pensión de 4© reales D. Sancho Conejo, D. Mateo Baca, D. Vicente Suarez. El ca que se le habia concedido anteriormente, opinaba que no se está pitán de M. A…</t>
  </si>
  <si>
    <t>Zafra, Diego de</t>
  </si>
  <si>
    <t>Diego de Zafra</t>
  </si>
  <si>
    <t>…a de Colombia nós entretienen hace El Rey nuestro Señor se'ha servido- 'aceptariel donativo que algunos anos con las victorias de Bolívar; pero ¿cómo es que los hace el Presbítero D. Diego de Zafra de¿12,269 rs,..vn., que se Je ‘españoles, aunque privados de todo socorro, conservan todavía adeudan por atrasos de sus capellanías, para las urgencias del Es posiciones formidables en Costa-firme 2 tado; mandando se le den las gracias en su Reai nombre, y se…</t>
  </si>
  <si>
    <t>Zaldivar, Joset Ramón</t>
  </si>
  <si>
    <t>Joset Ramón Zaldivar</t>
  </si>
  <si>
    <t>…e la exposición de Doña María Jacmta Carrasco opinaba Sevilla ig de Mayo. que esta interesada usase de su derecho con arreglo á Las leyes. Aprobado. CORTES. Sobre ¡a exposición de D. Joset Ramón Zaldivar, capitán PRESIDENCIA DEt SEÑOR. FERSBR (DON JOAQUIN). de infantería destinado á Ultramar, opinaba que 110 podia acce Sesión del dia ig. derse á su solicitud. Aprobado. Se leyó y aprobó el acta de ia anterior. Sobre la exposición de D. Gerónimo Marchena, del c…</t>
  </si>
  <si>
    <t>Zambrano, Mariscal Comandante Campo Marques de</t>
  </si>
  <si>
    <t>Mariscal Comandante Campo Marques de Zambrano</t>
  </si>
  <si>
    <t>…personas de distinción. Harel, Comandante de las tropas aliadas delante de los fuertes S. M. ha venido en conferir en propiedad al Mariscal de del Seu de Urge!, autorizado por el Sr. Mariscal Comandante Campo Marques de Zambrano el gobierno de Málaga que servia en Geje en fecha de! 29 de Setiembre de 18 ¡j, ¿y D. Manuel interinamente. Senderos, Ca ritan de artillería , autorizado can plenos federes Andujar jo de Octubre. del Sr. Coronel Viga, Gobernador de los fuertes. SS. MM. y AA.…</t>
  </si>
  <si>
    <t>Zamora, Miguel Antonio</t>
  </si>
  <si>
    <t>Miguel Antonio Zamora</t>
  </si>
  <si>
    <t>…a nueva guerra. Esto de Se mandó pasar i la comisión que entiende sobre la ley de reem penderá de las circunstancias; y s: bubi ra de juzgarse por compara plazos una exposición de D. Miguel Antonio Zamora, remitida por ción , pudiéramos presumir qu; una v,z comenzada será muy duradera. la diputación provincial de Lugo, para que se haga una aclaración á Como muchos iiances-.s s; . mpeñan en comparar nuestra revolución aquella ley. con la suya, no o.vidcn que si…</t>
  </si>
  <si>
    <t>Zamorano, Ramón</t>
  </si>
  <si>
    <t>Ramón Zamorano</t>
  </si>
  <si>
    <t>…s partidos liberales se van aumentan Vicente y D. Avustin Eguia , D Juan Vicente Allomo , D. N re ,0 do cada día mas, y los serviles conocen su impotencia; pues aun cuan Camacho y D. Ramón Zamorano. Este l uque salió escolt.ndo i la do tuvieron estos últimos días uno de alegría con la noticia de haberse fragata Aguila , el bergantín liiunjante y una goleta para Cádiz, y desertado unos pocos quintos de Larca, yunídose a una partida de fac otros rq buques…</t>
  </si>
  <si>
    <t>Zañartú</t>
  </si>
  <si>
    <t>…ta exposición estas dos misiones.....Expuso igualmente que era necesario remi pasase á la comisión de Casos de responsabilidad con los docu tir á Euenos-Aircs quien reemplazase al Sr. Zañartú. mentos que la acompañaban. Madrid 26 de jdbril. Se procedió á la discusión de la minuta del mensoge que las Se ha publicado aquí el aviro siguiente: Cortes lian de, presentar á S. Al. redactado por la comisión espe « De resultas de lo sucedido ayer en los di…</t>
  </si>
  <si>
    <t>Zap, Manuel</t>
  </si>
  <si>
    <t>Manuel Zap</t>
  </si>
  <si>
    <t>…a para fomentar proyectos liberticidas, T ernlas ordenes dd comandante del primer batallón de la local de Se bkn pues los enemigos de nuestro bien , tiemblen los fautores df villa D. Manuel Zap ta.—Guard'a, al Congreso y archivo la mi nuestro daño, y empiecen ya a sentir el enorme peso de la fuer licia nacmnal local de Madrid—Parada la milicia activa y la na za arrílada los que abusando de la sencillez de nuestro pueblo se cional local de Madrid : e…</t>
  </si>
  <si>
    <t>Zapa, Manuel</t>
  </si>
  <si>
    <t>Manuel Zapa</t>
  </si>
  <si>
    <t>…cional local de Sevilla , á las órdenes del comandante del primer satisfechas ya con algunas aclaraciones que se han dado. En cuan batallón de la milicia nacional local de Sevilla D. Manuel Zapa to al pleito en que se ha creido se podia envolver á los dueños de ., ta.—Congreso y archivo la milicia nacional iocal de Sevilla._ las fincas se evita con el art 2.0., con el cual se aclara mas el que Parada la Reina, Infante D. Carlos, milicia activa y la n…</t>
  </si>
  <si>
    <t>Zapas</t>
  </si>
  <si>
    <t>…rse atusado á aquel la natuialcza se quisiese hacer un convenio con los franceses, igual al que hizo del escrito antes de su publicación; y el l.brero que le venda pa en Madrid el general Zapas para conservar el orden, manifestó gara la multa de t^ ,í 50 duros, cuando pruebe el autor que ha la necesidad de que la artillería de á pie de aquel departamento proseguido despachando la obra, á pesar de habérsele advertido no fuese del número de las tropas…</t>
  </si>
  <si>
    <t>…rir con sus conciudadanos ¡as __Se sabe de Tarifa con fecha del 27 de junio que el 26 habia fatigas, los riesgos y las glorias, y V. E. no puede menos de ac salido de Algccíras el general Zapas con toda la tropa de infan ceder á tan justa pretensión: á cuyo logro, á V. 1*. encarecida tería y cabal icria, igualmente que con la artillería. Parece que mente suplican se digne comunicar sus órdenes para que los ba iba con dirección á Málaga. tallones de…</t>
  </si>
  <si>
    <t>Zapata, Manuel</t>
  </si>
  <si>
    <t>Manuel Zapata</t>
  </si>
  <si>
    <t>…empleado, aunque no Tardaremos en saberlos, pues de milicia local, á las órdenes del comandante de dicho primer Mr. Canning ha prometido presentar muy en breve todos los batallón D. Manuel Zapata* documentos á la Cámara. Presidio la milicia activa, y el demás servicio el mismo. La opinión pública, tiene mucho poder en los pueblos libres: Refuerzo esta noche al presidio, la Reina y milicia activa. la de los inglese» está declarada «1 favor de los españ…</t>
  </si>
  <si>
    <t>…la invasión; y entonces.... entonces.... Gefe de dia, el comandante del primer batallón de la mili retentará ..i mina: Ja mecha toca ya á la pt.lvora, y quizá á cia nacional local D. Manuel Zapata. estas horas.... en PariiJ..., Servicio á parado, Infante D. Carlos y segundo batallón de (Asi concluye la carta de nuestro corresponsal : nosotros la milicia tocal de Sevilla á las órdenes del comandante acciden creemos que efectivamente la mina va á rebenta…</t>
  </si>
  <si>
    <t>…ría las señas de su habitación Gefe de dia el comandante del primer batallón de la milicia lo hiciesen, con lo cual levantó la sesión á las dos y cuarto, nacional local de Sevilla D. Manuel Zapata___ Servicio á palacio anunciando que mañana se discutiría el dictamen de la comisión la Reina y milicia nacional ¡ocal, á las órdenes del comandante de Guerra sobre partidas de guerrillas; se leeria la memoria de de batallón interino de la Reina D. Francisco…</t>
  </si>
  <si>
    <t>…ia del mismo Santander, la de Gefe de dia el comandante del primer batallón de la mili Bilbao y Tolosa quedaban guarneciéndolo , y que sobre aquellas cia nacional local de Sevilla D. Manuel Zapata. — Servicio á pa aguas cruzaba un bergantín de guerra francés de 18 carroñadas lacio la Reina y la milicia nacional local de Madrid, á las or— de á 24: que Santoña se hallaba en el mejor estado de defensa , y dc:fts del comandante de! 2.u batallón de Ja milic…</t>
  </si>
  <si>
    <t>…nacional local de Sevi narios (estilo na.[ lei-iico). lla, á las órdenes del comandante del primer batallón de !a últi «El general Bourke cita con distinción al ayudante de cam ma D. Manuel Zapata—Parada la Reina , milicia act va y mili po de S. A. R., al teniente coronel Delahite , que constante es cia nacional local de Sevilla; el demas servicio y patrullas lo de tuvo en medio del fuego, al coronel del depósito de artillería tallado—Guardia al Congre…</t>
  </si>
  <si>
    <t>…ficarlos: Esto hasta cierto Gefe de día el comandante del primer batallón de la milicia punto es cierto ; pero su señoría no me negará que si bien respec nacional local de Sevilla D. Manuel Zapata___Servicio á palacio to de la contribución territorial hay pocas rectificaciones que ha la Reina y la milicia nacional local de Madrid , á las órdenes del cer de un ano á otro, en la de consumos no sucede asi, pues ra comandante interino del Infante D. Carlos…</t>
  </si>
  <si>
    <t>…da 22 ai ig de Maso. votos contra 3Ó. Gefe de día el comandante del primer batallón de la milicia Y finalmente se aprobó el art. rg sin discusión alguna- nacional local de Sevilla Don Manuel Zapata__ Servicio ¿ palacio La misma comisión Especial, habiendo examinado la 14.a pro la Reina y Ja milicia nacional local de Sevilla , á Jas órdenes del posición admitida á discusión en la sesión del 2 del corriente, comandante accidental del Infante D. Carlos D,…</t>
  </si>
  <si>
    <t>…s cuatro cal de Madrid , á las órdenes del comandante dei primer batallón piezas del 4.0 escuadrón de art.Hería. E! escuadran de Calatrava, de la milicia nacional local de Sevilla D. Manuel Zapata.«..Con la na.líela act va de Madrid y todas las partidas sueltas se incor greso y archivo la milicia nacional local de Madrid—Parada to porarán á esta brigada. dos los cuerpos según ¡o detallado__ Patrullas las mismas—Hos- Segu rá á esta brigada ¡a segunda de…</t>
  </si>
  <si>
    <t>…ueo de Valencia , se lo pinta a ¡os hispanoGefe de día eí comandante del primer batallen de la M. N. L. galos diciendo que Ballesteros perseguido por los franceses tuvo de Sevilla D. Manuel Zapata—Servicio á palacio la Reina y ia que meterse en Valencia con su división de 80 hombres, y que &gt;1. N. L. de Sevilla, á las órdenes del comandante del tercer ba trataba de embarcarse para Alicante «después de haber robado tallón de la de Madrid D. Josef Luis Am…</t>
  </si>
  <si>
    <t>…eira.rrjosef Antonio Guerreiro. Gefe de día el comandante del primer batallón de la milicia —Habiendo tributado los debidos elogios al zelo y actividad de nacional load de Sevilla D. Manuel Zapata___Servicio á palacio los diferentes cuerpos que han mantenido la tranquilidad y el or la Reina y la milicia nacional local de Madrid, á las órdenes del den en la capital, es justo y razonable que hagamos lo mismo comandante del segundo batallón de la misma D.…</t>
  </si>
  <si>
    <t>…, se dirijieronáladeLillo ;y patente en la confederación de comunero), los alféreces Don estando »n ella tomando un corto alimento tuvieron noticia se Francisco de Paula Peralta y D. Manuel Zapata, y hasta 14 en hailab a los malvados en la villa de ia Cabeza, para la que se tre cabos y soldados, no pudiendo mandar el detall de los demas pusieron en marcha, y á las seis de la tarde poco masó menos de porque aun no le habian presentado las compañías; sin…</t>
  </si>
  <si>
    <t>Zapata, Manuel Díaz</t>
  </si>
  <si>
    <t>Manuel Díaz Zapata</t>
  </si>
  <si>
    <t>…formará parte integrante del tra Los señores que la declararon sediciosa en tercer grado fue tado de amistad y alianza firmado en 5 de Julio, y tendrá la ron : D. Manuel Camuñas, D. Manuel Díaz Zapata, D. Juan misma fuerza y valor que si se hallase inserto en él palabra por Sucramper, D. Vicente González, D- Josef Guerrero, D. Jopalabra, y sera ratificado; y las ratificaciones se cangearán en e! ccí Lopéz de Castro, D. Antonio Josef Terrero, D. Alonso térm…</t>
  </si>
  <si>
    <t>Zapino, Cayetano</t>
  </si>
  <si>
    <t>Cayetano Zapino</t>
  </si>
  <si>
    <t>…;° El regimiento deinfam- de Góngorr, calle del Arenal, núm.ro 1.° , c£aito.a.u; los de terís de lín;a de Guada.ajara y el de caballería ligera de J¿úsl- ingenieros y zapadores al brigadier D. Cayetano Zapino , calle taniáíuén. borrados.'petpetuamcnted$'laTísta militar del egér- de Alcalá, número 4; los d: milicias provinciales al mariscal cito español.'a.° Los individuos que concurrieron á tan horri de campo D. Pedro Grimarest, calle d= la Madera baja, en la ble…</t>
  </si>
  <si>
    <t>Zapita, Manuel</t>
  </si>
  <si>
    <t>Manuel Zapita</t>
  </si>
  <si>
    <t>…oso rendido por Jos enemi (Jefe de día el comandante d. I primer batallón de la m't:cú» go» de la i.b.rt.id a esc pune p o, al tiempo mismo que tratan de jUv.otul local ib Sevilla D. Manuel Zapita—Servicio á Palacio desiRrvd.t Jrl. y prese 1 »b.r!c I) , sino también un princip o fecundo la R. .na y la mil.cía nacional local de Madrid á las ordene» del m h.crmcoos resultados, y lo que es mas cxtra'o, mal que leí comandarle dri tercer batallón de la mili…</t>
  </si>
  <si>
    <t>Zappino, Manuel</t>
  </si>
  <si>
    <t>Manuel Zappino</t>
  </si>
  <si>
    <t>…esta villa las tropas Libertadoras, que fueron riscal de campo D. Francisco Bucheli, y i los tenientes genera recibidas en ella con las mas numerosas y f-stivas aclamaciones, les D. Manuel Zappino, D. Joaquín María Veiarde y D. Gre y ni antes ni después manchó ei menor desorden su patriótico gorio Rodríguez; para las de feos de marina á los tenientes gene pronunciamiento; pues aunque el puebto en el fervor pr m-ro rales D. Julián de Recamosa y D. Diego…</t>
  </si>
  <si>
    <t>Zar, Josef</t>
  </si>
  <si>
    <t>Josef Zar</t>
  </si>
  <si>
    <t>…ientes. . . Idem ídem ídem. io8qoD. Manuel Alaria de la Calle. D. Ramón Fabregues. D. Antonio Perez de Barragas. D. Josef Joaquín de OJaciregui D. Joaquín Martínez de Mcdinilla.-1 D. Josef Zar ibrano..........................., „ ■. , Capitanes supernumerarios, según el artícu- r- u ■ r Adereces, capitanes 9600 D- Esteban Guinea............................ * ■'lo 10, primera parte............................................&gt; D. F rancisco Carcer...…</t>
  </si>
  <si>
    <t>Zaragoza, Diego</t>
  </si>
  <si>
    <t>Diego Zaragoza</t>
  </si>
  <si>
    <t>…Guerra. pié; en Granada en la de D. Antonio Aguilera; en Sevilla en ¡a de Excmo. Sr.nsPor el oficio de V. E. de 5 del actual, y copias que se D. Agustín Berard ; en Cádiz en la de D. Diego Zaragoza; en Bidaacompañan, ha visto S. M. con la mayor satisfacción el generoso rasgo joz en la de D. Juan Patrón, y en Palma en la de D. Nicolás Carbode amor patrio con que Doña Josefa Diez de la Cortina ha demostra nell. Su precio es á 20 rs. sin iluminar la estamp…</t>
  </si>
  <si>
    <t>Záraíe, Joaquín Ortiz de</t>
  </si>
  <si>
    <t>Joaquín Ortiz de Záraíe</t>
  </si>
  <si>
    <t>…Inglaterra ha entablado y seguido Gefe de día el coronel comandante del escuadrón de volun negociaciones para impedir la guerra entre la España y la Fran tarios nacionales locales D. Joaquín Ortiz de Záraíe. cia ; pero no podemos hablar todavía de los recursos y medios Servicio----A palacio la milicia activa y el primer batallón que en ello ha empleado, aunque no Tardaremos en saberlos, pues de milicia local, á las órdenes del comandante de dicho primer Mr. Cann…</t>
  </si>
  <si>
    <t>Zarandia, Martin</t>
  </si>
  <si>
    <t>Martin Zarandia</t>
  </si>
  <si>
    <t>…la la Gaceta española, desde cuya época re formación de causa. cibirán esta última por todo el tiempo que comprenda su suscripción. __Reunidos en' jurado de calificación los Sres. D. Martin Zarandia, Los que deseen suscribirse á la Gaceta de Madrid ó i la Gaceta es D. Joacuin Cevallos, D. Ramón Llord,D. Josef Cartel, D. Gaspar pañola , ó bien á Ies dos, podrán hacerlo tanto en la imprenta nacional Aguii.:ra, D- Antonio Gamonal, D. Francisco Barra, D. Nic…</t>
  </si>
  <si>
    <t>Zarate, Evaristo González de</t>
  </si>
  <si>
    <t>Evaristo González de Zarate</t>
  </si>
  <si>
    <t>…el ejército Real se retiró á Li Gaiatas.eejusto de Sarasibar.eeiPcdro del Barrio.enPor acuerdo ria por carecer da feerzas que le auxiliasen. Posteriormente hi del ayuntamiento, su secretario Evaristo González de Zarate.”. zo gestiones con el ejército aliado, y presentadas las tropas Rea les á la vanguardia, hizo desalojar al enemigo los puntos de » Sermo. Sr. : El gobernador político y militar y et alguacil Gerica y Segorve, y levantar al sitio de $agunto tan vergonzo mayor…</t>
  </si>
  <si>
    <t>Zárate, Joaquín Ortii de</t>
  </si>
  <si>
    <t>Joaquín Ortii de Zárate</t>
  </si>
  <si>
    <t>…atria , ha sido preciso Gefe de cha o! corone! comandante del escuadrón de la mili considerar este país en estado de guerra , y que el hierro y fuego cia nacional local de Sevilla D. Joaquín Ortii de Zárate._.Ser ocupen el lugar de la generosidad y beneficencia, que solo han vicio á palacio la Reina y la milicia nacional local de Madrid, á servido hasta ahora para fomentar proyectos liberticidas, T ernlas ordenes dd comandante del primer batallón de la local de…</t>
  </si>
  <si>
    <t>Zarate, Joaquin Ortiz de</t>
  </si>
  <si>
    <t>Joaquin Ortiz de Zarate</t>
  </si>
  <si>
    <t>…a que Espa'a se ve precisada á sos Gcfe de día el coronel comandante del escuadrón voluntarios tener le era imposible de evitar, á no infringir sus juramentos y locales de Sevilla D. Joaquin Ortiz de Zarate.__Servicio á pa obligaciones , y renunciar á su honor , á su independencia , al pac lacio la Reina y la milicia nacional local de Madr.d , á las &lt; rdeto social jurado, y á todo sistema fundado en ideas liberales y net del comandante dei primer batallón de dic…</t>
  </si>
  <si>
    <t>Zarate, Joaquín Ortiz de</t>
  </si>
  <si>
    <t>Joaquín Ortiz de Zarate</t>
  </si>
  <si>
    <t>…s números que entran en suerte y las de los premios, Gefe de día el comandante del escuadrón de M. N. L. de Sevi con todas las formalidades y confrontaciones que exige el buen lla D. Joaquín Ortiz de Zarate—Servicio á palacio la Reina y la servicio y la debida satisfacción de los jugadores, dándose las lis M. N. L. de Madrid , á las órdenes del teniente coronel mayor tas impresas de los números que hayan conseguido premio , con interino de la Reina D. Manuel Frí…</t>
  </si>
  <si>
    <t>Zarco, Juan María</t>
  </si>
  <si>
    <t>Juan María Zarco</t>
  </si>
  <si>
    <t>…ado que el Sr. Marau cuenta de un oficio del Sr, secretario de la Guerra, acompañan hubiese demostrado por qué era gravoso el dictamen en discusión, do un expediente promovido por D. Juan María Zarco, guar y que de no haberlo hecho Je ponía en la necesidad de recorrer dia de la Real Persona, á fin de que no se le obligue á cumplir las partidas que comprende, y demostrar que no era gravoso co ¡us cuatro años de servicio para ser considerado alférez de caba…</t>
  </si>
  <si>
    <t>Zavaia, Josef Matia</t>
  </si>
  <si>
    <t>Josef Matia Zavaia</t>
  </si>
  <si>
    <t>…tud de su legítima soberanía. Con tamaño servi tube. Para Azcoitia el Excmo. Sr. duque de Granada de Ega, cio logrará esta ilustre provincia ver premiados sus afanes, y su adjunto D. Josef Matia Zavaia. Para el primer partido Don cimentar para siempre con un sello indestructible los im Josef María Rameri, vecino de Fuenterrabía , por su adjunto perturbables fueros, que motiva esta reunión tan apetecida D. Manuel Sanz , del valle de Oyarzun. Para el segundo…</t>
  </si>
  <si>
    <t>Zavala, Merino y</t>
  </si>
  <si>
    <t>Merino y Zavala</t>
  </si>
  <si>
    <t>…n de cor3CSr sos habían patada el Ebro.Quesada habia entrado en Santander, ros y cuatro piezas de artillería del cuarto' escuadrón , á las otros cabecillas ocupaban á Búrgos, y el cura Merino y Zavala cuales proveerá el parque del egército de cuanto pueda necesi estaban en marcha para Palencia y Valladolid; pero analizadas Jar. El general de esta división se establecerá en el punto que estas noticias, habia podido averiguar que los facciosos tenían elija d…</t>
  </si>
  <si>
    <t>Zavala, Ramón</t>
  </si>
  <si>
    <t>Ramón Zavala</t>
  </si>
  <si>
    <t>…sean obedecidos, porque siempre se gloría de recordar con A la comisión de Guerra se mando pasar una exposición di afectuosa gratitud su patriotismo, su bondad y confidencia. Con D. Ramón Zavala, oficial de la secretaría del 11.° distrito militar. el mas sincero respeto acredito que soy vuestro atento servidor, A lá segunda de Hacienda una exposición de Doña Josefa xioverto W¡lson.^.Mr. W'eatherstotv. Melendez , vecina de I.apion , provincia de Jaén,…</t>
  </si>
  <si>
    <t>Zavaleta, Miguel de</t>
  </si>
  <si>
    <t>Miguel de Zavaleta</t>
  </si>
  <si>
    <t>…V. E. para su inteligencia chos billetes han sido endosados en favor de D. Juan Pedro Hermil, y cumplimiento. Madrid 14 de Marzo de r8a3.=:Sr. comandante gene de este comercio, de D. Miguel de Zavaleta y de Doña Ramona lé ral del décimo distrito. gaña e hijo ; y para que llegue á conocimiento del público s: insería este aviso para que cualquiera que los tenga los remita á los dichos La junta de gobierno del banco nacional de S. Cirios ha acordado endosadore…</t>
  </si>
  <si>
    <t>Zavas</t>
  </si>
  <si>
    <t>…r sin el permiso de sus amos pecto de la misma Francia) , se mandi 1 al capitán Nantil v demas los ultras. retugiados franceses qile se internasen a 30 ¡caías de la frontera, __El general Zavas había hecho un escarmiento con los bullan mienrras-que el ex—general K.u 1. Abren v toda la que se t iti gueros de Avila, en donde impuso por castigo una buena contri la regencia estaban organizando pirt.dus de ia fe en Pavona y bución__ El conde del Abisbal…</t>
  </si>
  <si>
    <t>Zayas</t>
  </si>
  <si>
    <t>…de aproximarse Silveira con muchos miles de franceses, del rio. A este tiempo parece que envió Bessieres un parte al aclamando ci poder absoluto &amp;c,; y se habían, tomado providen general Zayas, anunciándole que parte de su tropa se había em cias contra estas intrigas , cuyo resultado fue coger á los culpa peñado en entrar en la capital, y que no pudiendo impedirlo to bles, y mas de treinta cartas que llevaban, y eran con fecha 30 mase sus disposici…</t>
  </si>
  <si>
    <t>Gaceta Española n.º 48 (extraordinaria)</t>
  </si>
  <si>
    <t>…de la Guerra.” ejército.=Es copia.=M. Castelldosrius.” „Tercer ejército de operaciones. =: Excmo. se El Rey, que ha visto con particular satisfac ñor: Hoy he recibido el parte dtl general Zayas ción la firmeza y bizarría de los valientes soldados de lo ocurrido el dia 20 en Madrid, cuya copia del tercer ejército, que al ejemplo de su digno ge tengo el honor de acompañar á V. E. para conoci neral D. Josef de Zayas han dado nueva muestra miento de S.…</t>
  </si>
  <si>
    <t>…, ni la ignorancia aturdida derarse en el acto aunque fuese á viva fuerza de la plaza: u lo que le ocasione daños, á que mas de una vez se ha visto expuesta. replicó el Excmo. Sr. general Zayas , que se pusiese á la cabeza de su columna , se batiese , y siendo "cncedor entraría, y no de Nota. En la gaceta de ayer , columna 5.a, lín. 7, donde dice Otro modo: á consecuencia de lo cua. este señor general dió las horrores , léase honores___F.n la misma…</t>
  </si>
  <si>
    <t>…que se les recibió hizo de entregas de dinero ó efectos.” que se retirasen: á poco rato se vio por el polvo que se dirigían Alt. g.° sobre nuestra izquierda, y entonces previne al general Zayas, En virtud de las observaciones hechas sobre Ate ait'r.'.lo por que se hallaba con las guerrillas y la caballería que se reti les Sres. Gómez (D. M.nud), lGjnv.ro v Gom-.z £• cena , rase : en efecto lo verificó en un orden admirable, y aunque vino la comisión…</t>
  </si>
  <si>
    <t>…n 49,832 rs., y re » Con motivo de haberme comunicado noticia de que en la matadas en 14 de Mayo anterior en la suma de 6o© rs. metí villa de Gausin había entrado un escuadrón del general Zayas licos, rebajadas todas cargas. Otra en la calle de S. Bernardo, con i ño caballos, acordé dejarlos penetrar en la sierra para po número 6, manzana 20, tasada en 37,092 rs., y rematada con derlos destruir mas fácilmente; pero noticiosos por el fuego de la prop…</t>
  </si>
  <si>
    <t>…sobre e! crucero caso también lo verificarla la llamada Regencia de España é ! de buques franceses. Se reduce á manifestar que si tenemos juicio, Indias.” triunfaremos, pues si el general Zayas , que es bizarro y va;¡-;n- ” fcl Constitucional núm. 175. Después de un artículo en | te (í), puesto ^ retaguardia del enemigo , &lt; quién sabe ios recur que se impugna lo que ha dicho el Gaditano sobre a sen a di! as sos que puede sacar asi como Morillo y Bal…</t>
  </si>
  <si>
    <t>…a de Mayo. Mi querido Perico: Para V. no hay mas de Sevilla. Todavía no ba olvidado aquella la lección que le; que Andalucía*, buen provecho le haga, que también le llegará dió e! general Zayas y y asi es que en una de las últimas (uncio su S. Martin , y no será muy tarde, pues dentro de pocos dias, nes de toros se vengo en uno de estos animales llamándole con asi como ; cómo diré 2 como antes de 15 días y antes, siguen el nombre de aquel general, y…</t>
  </si>
  <si>
    <t>…icho dictamen {4).” al anunciar que en la tarde del 5 llegó un oficial d;l tercer ejér » El Espectador del 4. Los editores advierten tienen no* cito de operaciones, enviado por el general Zayas con pliegos licias de que el general francés que manda la línea de la costa para el Gobierno, previenen que pueden asegurar que el conte hi hecho presente lo expuesto de la situación en que se halla nido de ellos es favorable, y que d ejército de aquel genera…</t>
  </si>
  <si>
    <t>…ido parte de que SS. MM, y AA. con El gefe, oficiales y tropa del regimiento provincial de Guatinuaban sin novedad en su importante salud en los dias 28 y dix, que dejó en esta el general Zayas para la tranquilidad pú 29 del pasado. blica , no quiso seguir á la caballería, y se presentó á servir á El 28 habían salido del puerto de Sta. M^ría, dos lancha» S. M., de cuyo acto quedó satisfecho el indicado general. cañoneras de ¡as nueve que se estaban…</t>
  </si>
  <si>
    <t>…vitó su destrucción total sino á favor de los pudiendo sacar víveres sino de Granada, que se hallaba ocupa montes que lo libertaron de la acción de nuestra csbsüería, ha da por el general Zayas, envió el 27 sobre esta ciudad al gene biéndose retirado en desorden hasta Cambil y mas allá, después ral Ordoneau ,con cinco batallones y un regimiento de caballe de haber dejado entre Jas rocas 400 ó 500 muertos ó heridos, ríaAl acercarse se retiró el gener…</t>
  </si>
  <si>
    <t>…ue hemos hecho es variar la aplicación. Por cartas fidedignas de Málaga sabemos que el 11 del corSin duda que- no se le acusará de ene-migo del poder al orador de riente entró» el general Zayas en aquella ciudad con una respeta quien hemos tomado prestadas estas palabras, Son de un diputado ble división, y salió al dia siguiente á las tres de la madrugada que se sienta al lado derecho, de uno de los órganos mas conoci con dirección á Algeciras, segú…</t>
  </si>
  <si>
    <t>…ncisco Binder de ICriegelstein, una misión extraordi LíneA de circunvalación. Ei Gobieino de Gidiz ha nom naria en la corte de Portugal con el carácter de Ministro. S. M. brado al general Zayas comandante general y general en gefeha nombrado en su lugar á Mr. el conde Rodolfo Lutzow, in de la provincia y ejército de Extremadura (O, exonerando si ternuncio que fue cerca de la Puerta otomana, su gentilhombre actual y consejero privado, con la calidad…</t>
  </si>
  <si>
    <t>…arios cficiaies y unos cuantos locales de Madrid. mos; percha producido poco ef.cto. N ngun oficial del esudo Los constitucionales han reforzado la cortadura con dos ba- mayor del general Zayas ha querido servir bajo sus óidenes; y tali n-s, han hecho una pequeña salida, que nada Jes ha pro han suplicado al general Molitor les admitiese la sumis r.n que ducido. estaban prontos á hacer. El grurso del rrg miento de lúigos ha Ei fuego de hoy ha sido ma…</t>
  </si>
  <si>
    <t>Zayas, Francisco Maidonado de</t>
  </si>
  <si>
    <t>Francisco Maidonado de Zayas</t>
  </si>
  <si>
    <t>…en cabeza de D. Juan di Gauna , de 118,810 mrs.: otio en alcabalas jicano ; y añadiendo que basta le han brindado con ocho ó diez mil reales del campo de Calatrava , en cabeza de D. Francisco Maidonado de Zayas, de 11,019 mrs. : otro en el servicio ordinario dal campo depesos para que facilite et trasporte de su anciano padre á aquel país, Calatrava , en cabeza de Alfonso Sanz de Velasco, de 160,388 mrs.:suponiendo ser el único ínteres que pueda inclinatlo á volver…</t>
  </si>
  <si>
    <t>Záyas, Josef de</t>
  </si>
  <si>
    <t>Josef de Záyas</t>
  </si>
  <si>
    <t>…o parte del gefe político de Alicante del 18 del cor inmediatas órdenes al córónel D. Andrés Arango; at subte riente resulta que Valencia seguia defendiéndose con heroísmo; niente D. Josef de Záyas ; á!D. Antonio Masoni, teniente de que la división de Martin , que habia sufrido un pequeño des la M. N. A. de Toledo, y á D. Francisco Bringas, teniente de calabro, se habia reunido; y que ia noticia del auxilio de Ca la M. N. L. de caballería de Madrid. Se…</t>
  </si>
  <si>
    <t>Zayas, Josef de</t>
  </si>
  <si>
    <t>Josef de Zayas</t>
  </si>
  <si>
    <t>…ilitar al capitán adicto CORTES. al estado mayor D. León Rodríguez de Camargo. Se reconoce PRESIDENCIA DEl SEÑOR FLORES CALDERON.rán por ayudantes de campo del Excmo. Sr. teniente general Don Josef de Zayas , comandante de la primera división de este ejér Si.'hn Jd .Sia 59. cito, á D. Lorenzo Somera , capitán de ia M. N. A. de Madrid, Se abrió á las diez y medía , y se leyó el acta ele,la anterior, y al capitán D. Vicente Valcareel; y empleados á sus inmedia que…</t>
  </si>
  <si>
    <t>…gimiento de la Corona, como empleado á las in tRESlDEXClA. DEL SESOR FKRRER (DOS JOAQCtX). mediatas órdenes del Excmo. Sr. comandante general de la pri mera división de infantería D. Josef de Zayas. El segundo ayu- Sesión del día 6. gencral gefe interino del E. M. Bruno Gómez. Se abrió á las once menos cuarto; y leida el acta de la ante Idem 2. rior quedó aprobada, mandándose agregar á ella el voto particu Estado mayor del tercer ejército de operaciones…</t>
  </si>
  <si>
    <t>…a de los valientes soldados de lo ocurrido el dia 20 en Madrid, cuya copia del tercer ejército, que al ejemplo de su digno ge tengo el honor de acompañar á V. E. para conoci neral D. Josef de Zayas han dado nueva muestra miento de S. M., habiendo dado las iras expresi de las virtudes que ennoblecen el carácter de los vas gracias á dicho general y tropas por el triunfo verdaderos amantes de su patria, ha resuelto se les que han obtenido sobre los enemigo…</t>
  </si>
  <si>
    <t>…ntitulado Diario de la capital ( di Madrid} del día 2 1 publica la siguiente orden del dia___Comandancia ge &gt;5 El gefe político de la provincia de Cuenca con fecha de 20 neral &amp;c. D. Josef de Zayas, teniente general de Jos ejércitos da cuenta de que por un confidente que había mandado á saber Ja nacionales, caballero gran cruz de la orden de S. Fernando, situación de los franceses y facciosos, sabia que el 16 habia en Siayudante de campo ele S. M., coma…</t>
  </si>
  <si>
    <t>…y á impugnar el dictamen por «S. M, ha tenido;! bien nombrar comandante general de este razones muy diversas de las en que se han fundado los Srcs. Pra décimo distrito al teniente general D. Josef de Zayas, segundo do y Falcó. Mi observación consiste en que tratándose de la con general en gefe del ejercito de reserva.” tribución del clero jamas subsista separada sino con las demas El Sr. secretario del Despacho de la Guerra en Real orden contribuciones. Siempre…</t>
  </si>
  <si>
    <t>Zazo, Francisco</t>
  </si>
  <si>
    <t>Francisco Zazo</t>
  </si>
  <si>
    <t>…ola ocupará el primer lugar lorenzo Lambea, D. josef Perez Morales, D. Marcelino Lorio, entre todos los pueblos célebres del mundo, y será mirada como D. Arias Gonzalo de Mendoza, D. Francisco Zazo de i. a res, un modelo que todos querrán imitar. D. Miguel de Nájera, D. Anictto Moreno y D. Nicolás Cano de Luque, para calificar el impreso titulado ” Observaciones sobre ARTICULO DE OFICIO. Ja probable disolución del Estado &amp;c.,” denunciado por e! señor Ci…</t>
  </si>
  <si>
    <t>Zea</t>
  </si>
  <si>
    <t>…Sedo bien acogidos. También habían llegado algunos indivi ciones. Apenas habrá una nación en el mundo que no pueda dar un testa— duos de Li melles con cartas de recomendación del Sr. Zea, de los cuales mon o de esta verdad , parque no lia habido ninguna que no haya, tarado dificultades inmensas que vencer para reformar aun los ina, intolerable»unos doblan arreglar con ei Gobierno un plan de emigración, y los otros abuso». Esparta , Atenas y R…</t>
  </si>
  <si>
    <t>Zibarain, Francisco</t>
  </si>
  <si>
    <t>Francisco Zibarain</t>
  </si>
  <si>
    <t>…os de S. M. I. y R. el poseer la lengua bascongada y ser afectos ai Rey nuestro Señor, Emperador de Austria á un sugeto tan conocido entre nosotros dirijirán sus memoriales al Sr. alcalde D. Francisco Zibarain por sus buenos principios, como amante y amado de los es para fin de Julio. pañoles. Se halla vacante la plaza de maestro de primera educación déla villa de TcrdesiÜas, con la dotación de 200 ducados Discurso del ministro plenipotenciario de S. M. el Rey de P…</t>
  </si>
  <si>
    <t>Zifueta</t>
  </si>
  <si>
    <t>…a ei desde dos del mismo . opinaba que debía unirse al expediente general que se que dejen de scivirio por cualquier cjusw.” está formando sobre este establecimiento. Aprobado. Eí Sr. Zifueta: Tengo en mi mano un impreso t rulado RerresenLa comisión de Hacienda opinaba que debía pasarse a! Gobierno !a tacii,;i hecha á las Cortes, y f'resent.i.i.i por el J&gt;. alentado iieillj en solicitud de D. Manuel Clemente Arostegui sobre reintegro da goo 12 lie…</t>
  </si>
  <si>
    <t>Zigara, Josef</t>
  </si>
  <si>
    <t>Josef Zigara</t>
  </si>
  <si>
    <t>…cesas y españolas, como también los comandantes de las pro guido muy particularmente los coroneles D. Juan Viliarmtva, vincias y plazas que se hallen embebidas en cada comandancia Don Josef Zigara, el .teniente coronel D. Antonio Laplana, superior, deberán corresponderse con los Señores mariscales y y. el alférez del Infante D. Cirios Espinare, quien libio de oficíales generales señalados, y ejecutar las órdenes. Esta presen manos del enemigo dos solda…</t>
  </si>
  <si>
    <t>Zingroniz, Juan Bautista</t>
  </si>
  <si>
    <t>Juan Bautista Zingroniz</t>
  </si>
  <si>
    <t>…stuvo de confírmela con nurstro comandante y ofic.alrs , entre el,as cab.za del egéreito nacional de Costa- firme , y encargarme ds vuestros el validóte , bizarro y constitucional D. Juan Bautista Zingroniz. Es d «tinos pira volveros la'paz , es mi primera obligación anunciaros mis tos le dijeron en nombre &lt;¡e su» compañero» de armas que no se retira dv„osé i i; unciones como son en sí: si la malignidad ú otras pasiones rían''hasta que se asegurase el castigo de…</t>
  </si>
  <si>
    <t>Ziniqui</t>
  </si>
  <si>
    <t>…e Sigiienzs qu. -nurtó ARTICULO DE OFICIO. en el acto rcb ntido de cinsmk Entre V:r:o ocun i ¡lo los prirneiu. «u» El Co turno fio. recibido loi parirs iii&gt;uicHtet. Cíaos ocupó el brigadier Ziniqui coi las ttopas que tema á su inme » Exctno. br.: Los pu.stos del curdon cou-cados toda» las noche* diación e»tos fuertes en .0» i'-m - &gt;» qj ninif.-ste á V. E. en el por disposición del gil’: da la plana mayor del egéicito, comandante de parte que le dirigí c…</t>
  </si>
  <si>
    <t>Ziyas</t>
  </si>
  <si>
    <t>…e.__ Sevilla. petidos á cada momento. » Madrid 22 de Aíayo. Ayer pensó entrar Bessleres en osla; (3) Es de advertirque en la lengua masónica las palabras jus pero se lo disputó el general Ziyas, causmdoie la muerte de al ticia , probidad, y aun conocimientos , no tienen el mismo signi gunos militares , y mas de ia clase de paisanos y mogeres que ficado que en la lengua castellana, pues en algunos casos signi fican todo lo contrario; lo mismo se ha d…</t>
  </si>
  <si>
    <t>Zjñi, Vicenta de</t>
  </si>
  <si>
    <t>Vicenta de Zjñi</t>
  </si>
  <si>
    <t>…lan? mayor D. Ramón Narra;?, que se hallaba situado con Ast no. Igualmente recomiendo a V. E. al cade;; D. Joaquín Ruiz 30 hombres de! batallón de Sieiienza al cargo de su ■ h. al D. Vicenta de Zjñi.;a , jí sargento i.1' Gregorio Cartera , y--íl soldado Jo».-f Silves Mue»as en el camino de los fuertes á Ballesta, se dir.g.ó hác.a el pun tre , de la compañía de cazadores de la Cov.ia , que se distinzuieroti teen que habia ocurrido aquella para p, ler dar…</t>
  </si>
  <si>
    <t>Znliuta</t>
  </si>
  <si>
    <t>…u feliz llegada á esta cuidad les dirigía el auir.tainier.to consdido ni podido conceder priv.legios contra la Constitución, ni tihieAnAl de la ciudad de Cádiz por el conducto del Sr. Znliuta, todo lo que se llama monopolio. v en cuya felic’tacion ofrecía también a las Cortes para las Es cierto, que los comerciantes pueden hacer sus negocios sin dides del Estado los recursos y auxilios que puede prestar aque valerse de corredores; ¡pues por qué qu…</t>
  </si>
  <si>
    <t>Znlucta</t>
  </si>
  <si>
    <t>…do el término piescrilo por las Cantes para cesar Oyeron las Cintos con particular agrado otra prepo en el ejercicio de sus lime ion es, habiendo quedado sición presen luda por el Sr. Znlucta, del Ayunta enterado S. M. de todo, v conforme con lo espre- miento Constitucional de esta ciudad, felicitando á sado en aquella esposicion, y en el decreto formali las mismas por su traslación á esta ciudad. zado por l t Regencia pira su disolución. fie Iryó…</t>
  </si>
  <si>
    <t>Zoniila, Pelayo García</t>
  </si>
  <si>
    <t>Pelayo García Zoniila</t>
  </si>
  <si>
    <t>…dos en el servicio y millones de la ciudad de En su vista se reunió el jurado , compuesto de los señores si Valladotid en cabeza del mismo.__Otro en cabeza de Francisco guientes : D. Pelayo García Zoniila , D. Mat as Pindla, Don Ortiz de 68,147 mrs., situados en las sedas de Granada__ Tres Luis de Mata Araujo, D. Arias Gonzalo de Mendoza, D. jo juros en el Almojarifazgo mayor de Sevilla de 1010 rs. 2 mrs. sef Merelo, D. Francisco López O.avarrieta, D. Faustino…</t>
  </si>
  <si>
    <t>Zor-, Mariano</t>
  </si>
  <si>
    <t>Mariano Zor-</t>
  </si>
  <si>
    <t>…ue sigue. Con esta fecha se ha servido dirigirme el Rey el decreto si dados que en la actual guerra se inutilizaren en su defensa , tan guiente Constando ya de oficio la muerte de D. Mariano Zor- to en el servicio de mar como en el de tierra , sean naturales de raquin, a quien tuve por conveniente nombrar mi Secretario de las provincias de la Monarquía española, ó extrangeros admitidos Estado y del Despacho de la Guerra, y siendo muy convenien á su se…</t>
  </si>
  <si>
    <t>Zorraqnin</t>
  </si>
  <si>
    <t>…s en id sitio. lo mismo solo comprende á los deteriore* deslíe 5o Los periódicos de Barcelona hablan del ataque de de abril último. Quedó aprobado. Virh , en elque salió herido id general Zorraqnin, y Se declaró haber lugar á votar en la totalidad so ib resultas de su helóla murió el 27 de Mayo cu Gi- bre el provecto presentado por la comisión, de Guer ronella. Figneras seguía bloqueada ; pei’o no tanto que ra acerca de las proposiciones del Sr. .Moaré…</t>
  </si>
  <si>
    <t>Zorraqu</t>
  </si>
  <si>
    <t>…rca los fuertes, advirtie puero, que con tanta ex íttiiud e nt'i iy .ncia ey»enturan las instruc ron en ellos desda las doce y media de ia del 2 al 3 del corriente cier ciones d 1 brigadier Zorraqu n , Itei.mcmpletam nte uno de les tas disposiciones no acostumbradas, que .es hicieron concebir ¡as mas cbjetos que se propuso al istab.fcer po- lis noenrs i.ju-iia primera lí fundadas sospechas da que los enemigos trataban de realizar en aquella nea; tamben…</t>
  </si>
  <si>
    <t>Zorraquin</t>
  </si>
  <si>
    <t>…andantes generales de d.visión luego que se hallen concluidos, como asimismo el parte detallado qué en el primero ,y el último gefe de estado mayor del mismo ; ha tenido ofrece el brigadier Zorraquin, y el que debe darme el coronel Gurrea á bien promoverlos al empleo de mariscal de campo. que ha regresado ya á sus puntos.zzDios guarde á V. E. muchos años.' El Gobierno ha recibido los partes siguientes. Cuartel general de Adraíl 3 de Febrero de ;823-=;Excm…</t>
  </si>
  <si>
    <t>…el repartimiento de con ba un decreto del Rey por el cual se nombraba para secretario tribuciones en las provincias de la Península, desearía que acor del Despacho de la Guerra al general Zorraquin y no habiendo dasen las Cortes su impresión, y se repartiese á los Sres. diputa tenido noticia las Cortes de que se hubiese derogado este decreto, dos con el objeto de poder irse enterando de ellas. rogaba al Sr. presidente y secretarios lo hiciesen presente…</t>
  </si>
  <si>
    <t>…mas que á la Francia , acomodaría ha ganado, y gracias que han podido salvar la pelleja. En la de; „ el que el gobierno absoluto reemplazase en Portugal al repre Vícfi mataron al general Zorraquin y á algunos otros oficiales sentativo.” ahora se nos asegura ha tenido ctra en las inmediaciones de Si aun se encuentran algunos ingleses alucinados que se in- Puigcerdá, y que hemos perdido bastante gente, y ademas prisio teresrn en favor de nuestros jacobin…</t>
  </si>
  <si>
    <t>Zorraquin, Antonio</t>
  </si>
  <si>
    <t>Antonio Zorraquin</t>
  </si>
  <si>
    <t>'ida El $r. Falcó leyó una felicitación de D. Antonio Zorraquin , te- Cortes que pueda desempeñar este encargo sin desatender las otras obli cretario dé la diputación provincial de ."Valencia, ¿ti la que manifesta gaciones que tenga, disfrutará solo lamiiad.de ia dotación.” Aprobado. ba a las Cortes dejar la cuarta parte’…</t>
  </si>
  <si>
    <t>Zorraquin, D Mariano</t>
  </si>
  <si>
    <t>D Mariano Zorraquin</t>
  </si>
  <si>
    <t>…posible mañana. A pesarnal que me ha dado el gefe de la plana mayor , y al mismo tiempo de los buenos deseos del comisario de guerra hace 14 horas que estasde la línea de bloqueo brigadier D Mariano Zorraquin. Por él nota tropas están sin pan , pues sobre ser muy miserables estos pueblos, co rá V. E. que este taa valiente como infatigable gefe , puesto al frente mo los enemigos van delante, los dejan arruinados: sentiría verde la compañía de cazadores de Mallorca,…</t>
  </si>
  <si>
    <t>Zorraquin, Josef</t>
  </si>
  <si>
    <t>Josef Zorraquin</t>
  </si>
  <si>
    <t>…rid Domingo o de Marzo- Florez Estrada , de la Gobernar oná D. Ar.ton.o D.az de! Mora.. c. &lt;1 na..2 El Rey sigue en cama con los pies abotagados y doloridos. La Reini y Justicia á D. Josef Zorraquin , de Hacienda Y Lorenzo L.jIvo ce Ro continúa aliviada. SS. A A. continúan sin novedad en su importante suiud. zas, de Guerra á D. Josef María Iorr.|Os, de Mar.11a a D. llur -- R— may; y que mientras elegía p-.rsona que desempe.vasc el :v&gt; m,te....» O. a CORT…</t>
  </si>
  <si>
    <t>…chos heridos: por nuestra parte ha la Península á D. Antonio Diaz del Moral ; para la de Gracia y Justicia hahido poquísimas desgracias, que manifestaré cuando, pueda dar mas de á D. Josef Zorraquin; para la de Hacienda á D. Lorenzo Calvo de Ro talles. Según noticias siguen en Vanearlo, y tratan de volver en esta zas; para la de Guerra á D- Jcsef Torrijos, y para la de Marina á Don noche.” Ramón Roinay; y mientras elijo persona que desempeñe en propiedad…</t>
  </si>
  <si>
    <t>Zorraquin, Jostf</t>
  </si>
  <si>
    <t>Jostf Zorraquin</t>
  </si>
  <si>
    <t>…ecesidad de disparar un fusil, intenten bía servido admitir la renuncia hecha por D. Amonio Diaz del Mo un golpe de mano sobre estas primeras plazas, y aventuren el éxito de ral y D. Jostf Zorraquin de los ministerios ,de Gobernación y Gracia los primeros esfuerzos para, en caso de serles favorables, influir en las y Justicia para que habían sido nombrados. negociaciones pendientes, cambiarlas, si es posible, y recobrar el ter La comisión de Diputaciones…</t>
  </si>
  <si>
    <t>Zorraquin, Mariano</t>
  </si>
  <si>
    <t>Mariano Zorraquin</t>
  </si>
  <si>
    <t>…amiento de Soria__El ayuntamiento de labEgército de operaciones del séptimo distrito mil¡tir.r=» Exento. Sr.rs vera.-—La milicia de ídem—La diputación provincial de Sevilla._El El brigadier D. Mariano Zorraquin con fecha da ayer me dice lo que ayuntamiento de idem.__El ayuntamiento de Jaén__ El ídem de Carta sisue: =Excmo. Sr.sCon fecha ia del mea próximo pasado trasladé á gena de Levante—El idem de Granada-Ciento ochenta y un ció don V. £. el parte que me habia dir…</t>
  </si>
  <si>
    <t>…brero de ;823-=;Excmo. Sr.= Franl Egército de operaciones del séptimo distrito multar.—Excmo. Se- cisco Espoz y Mina—Excmo. Sr. secretario del Despacho de la Guerra.” flor__ 11 El brigadier D. Mariano Zorraquin , gef; de la piaña mayor ’&gt; Excmo. Sr.: Hoy he trasladado mi cuartel á esta ciudad para aten de este ejército, y comandante de la línea de la Seo, con fecha de der con mas facilidad al importantísimo objeto de proveer las fortale Jicy desde”Casteli-Ciudad me…</t>
  </si>
  <si>
    <t>…l cuerpo se agreguen á él en habilitar para que lo desempeñe, mientras, que se. presenta el . con arreglo á sus circunstancias, teniendo la tercera parte del nombrado en propiedad D. Mariano Zorraquin, á ,D. Pedro sueldo correspondiente á su empleo. Aprobado. Gossens, oficia! mayor de la misma secretaría del Despacho de la El Sr. secretario de la Gobernación de la Península empezó Guerra. Tendreislo entendido y dispondréis lo necesario á su la lectura de l…</t>
  </si>
  <si>
    <t>…eberes: pero la obligaron del ra, y que habia nombrado en los misinos términos hasta la lle cuerpo lerpsiat.vo es ciar al Gob.erno todos lo» medios necesar os gada del propietario D. Mariano Zorraquin á D. Pedro de la para poder llevar adelante la marcha del Estado. El primer me Barcena. dio, el único á que debe acud r el Conarcso, es á proporc onar La comisión primera de Hacienda, en vista de ia planta de ¡a ai sjod.cir.o ios medios de adqu.rir dinero: co…</t>
  </si>
  <si>
    <t>Zorraquin, Mariano de</t>
  </si>
  <si>
    <t>Mariano de Zorraquin</t>
  </si>
  <si>
    <t>…icaciones, ha impedido iigros que nos rodeaban. reunir los datos necesarios, y que no reciba hasta hoy los partes del « Al medio dia llegamosá la cumbre, que nos presentó los mayo brigadier D. Mariano de Zorraquin, gefe de la plana mayor de este res obstáculos, pues formada la huella por la falda del monte, y por egército, y del comandante de la división de reserva D. Leoncio Bar donde jamas hubo caminos, marchamos mas de una hora por pr c p¡» cena ; los cuales, unidos…</t>
  </si>
  <si>
    <t>Zorraqum</t>
  </si>
  <si>
    <t>…aque ib» con Narvaez *e encan ,,Ví:,js venes he hecho mención i V.E. del particulaiísinroque ha taren i bastante distancia de los puestos de su salida , y continuaron contraído el brigadier Zorraqum , gefe de la p'ana mayor, y al propio Ur das, causando al en -migo considerable estrago , hasta cerca de los lí- tiempo de ta linea del b oqueo durante todo el; pero en est 1 ocasión no ®'tcs del valle de Andorra. puedo menos Je repetir lo mismo, y rogar a V.…</t>
  </si>
  <si>
    <t>Zorraqum, Alamino</t>
  </si>
  <si>
    <t>Alamino Zorraqum</t>
  </si>
  <si>
    <t>…8.° Se declaran puestos en venta por su valor actual los le sustituya en la misma calidad de interino Iwsta la llevada deL dichos bienes para extinguir este servicio. propietario D. Alamino Zorraqum. Tendreislo entendido, y</t>
  </si>
  <si>
    <t>Zorrilla, Josef</t>
  </si>
  <si>
    <t>Josef Zorrilla</t>
  </si>
  <si>
    <t>…os debe dar las fianzas que se le exigen por el destino que obtiene. pitales y brigadas D. Luis de ia Cuadra. A sus inmediatas órde Aprobado. nes el comisario de guerra habilitado D. Josef Zorrilla. La misma comisión, en vista del oficio del Gobierno *■ al que Ministró' principal, el comisario de guerra habilitado Don acompañaba una relación de los sueldos que á Su parecer debían Ambrosio Cóspcdal. Segunda id. de id. gozar proporcionalmente los director…</t>
  </si>
  <si>
    <t>Zorrilla, Manuel Rufino García</t>
  </si>
  <si>
    <t>Manuel Rufino García Zorrilla</t>
  </si>
  <si>
    <t>…el acta de la anterior. sejeros de Estado solo Ies imposibilita un reglamento particular A la comisión segunda de Hacienda se mandó pasar una so que puede dispensarse. licitud de D. Manuel Rufino García Zorrilla, devuelta por el Se resolvió no haber lugar á deliberar sobre la proposición Gobierno con su informe , para que se le dispense el pago de la del Sr. Riego por q8 votos contra 41, y por unanimidad se de-</t>
  </si>
  <si>
    <t>Zorrilla, Pciayo</t>
  </si>
  <si>
    <t>Pciayo Zorrilla</t>
  </si>
  <si>
    <t>…dividendo, que se ira ve D. Vicente Santiago Les. D. Josef M.re'o. rificando á medida que baya proporción de fondos. D. Manuel Loprz Concia. D. Valentín Recio. Juicios de jurado. D. Pciayo Zorrilla. D- Eugenio Aravaca. D. Francisco Aceval y Arratia. D. Jtisr.f P.rez Atórales. EISr. D. Francisco de Iribarren denunció en 8 del corriente un ar D. Francisco López Cotana. D. Manuel E.teban Caula. tículo que empieza:» Vamos a dar principio á las semblanza,'*…</t>
  </si>
  <si>
    <t>Zorrilla, Pelayo</t>
  </si>
  <si>
    <t>Pelayo Zorrilla</t>
  </si>
  <si>
    <t>…rsonas que mas Sres. que lo calificaron de sedicioso; D. Josef Escarano, Don amabais, quisiera separar de vuestra horrorizada vista semejante Josef Asuero, D. Juan Bautista Javat, D. Pelayo Zorrilla , Don cuadro de desolación; pero al ver i la puerta de vuestros hoga Josef Radon , D. Joaquín Ceballos, D. Francisco Palacios ,Don res los mismos invasores, al verlos disfrazados con la misma Miguel de Nájera y D. Pedro Sainz de Baranda. De estos, í máscara d…</t>
  </si>
  <si>
    <t>Zsclrok'ce</t>
  </si>
  <si>
    <t>…ra peí seguida. Protegida por el llego en ei serio del evangelio á todos los países donde no había penetrado todavía, iv á ser la religión dominante del imperio. lejos de creer el Sr. Zsclrok'ce haber apurado la materia, consi En valde intentó el Emperador Juliano restablecer los alta dera su trabajo como un mero bosquejo; pero también ha creído res de Júpiter y de Minerva, pues le cupo la suelte de todos los que este ensayo , á pesar de ser incomple…</t>
  </si>
  <si>
    <t>ZtiUrta</t>
  </si>
  <si>
    <t>…. Bu?)’ , con post ro de Cidiz , ó ¡os que firmaban la qu.ja, si era falso Jo que ex trario á lo resuelto por las Corles, dirogaedo el decreto d; 13 d; presaban. Marzo de 1822. El Sr. ZtiUrta pidió que pasase con urgencia á la comisión de Ca Se procedió á discutir el dictamen de la comisión de Visita del&amp;ésos de responsabilidad. Asi se acordo. dito público, sobre si la junta d.rectiva de este establecimiento debe ó A !a comisión de Guerra se mandó…</t>
  </si>
  <si>
    <t>Ztmbrano, Paula</t>
  </si>
  <si>
    <t>Paula Ztmbrano</t>
  </si>
  <si>
    <t>…, Aibear, Murfi , Valdés (Don ta causa de la Nación , cupo en la su rte del primer extracto de la •Dionisio), Seoane, Bustos, Alvatez (D. Elias), Herrera, Alcántara, de este día i Doña Paula Ztmbrano , comprendida en las d: los vic Meto , Bauza, Roig , Vargas, Ferrer (IX Antonio), Canga, hierra, timas del dos de Mayo en Madrid. Garmcndia, Biingas, Aponía , Blake, Torner , Arias, Casas, Martí, ARTICULO DE OFICTO.Emito, Beida, cambia, Pcdralv-z, Rey, Manso,…</t>
  </si>
  <si>
    <t>Ztrate, Joaquín Ortiz de</t>
  </si>
  <si>
    <t>Joaquín Ortiz de Ztrate</t>
  </si>
  <si>
    <t>…Hacienda y Comercio reunidas se pasaron varios Gefe de día el coronel comandante del escuadrón nacional de expedientes sobre los consulados de Ultramar , remitidos por el Sevilla D. Joaquín Ortiz de Ztrate__ Servicio a palacio la Rei Sr. secretario de la Gobernación de Ultramar para cuando se na y milicia nocional local á las óudenes del comandante del se trate del arreglo de dichos establecimientos. gundo batallón de la milicia nacional local de Sevilla D. Ant…</t>
  </si>
  <si>
    <t>Zu</t>
  </si>
  <si>
    <t>…ro La comisión de Visita del Crédito público, en vista de una adi metido. '1-ir.pccu esta dista: te la época en que los gobernantes de Pa ción del Sr. Becerra á la proposición del Sr. Zu ueta sobre las minas rís i.ic;.-. r. ue-.r al Rey de Francia todo lo contrario de lo que el de Almadén, para que los expedientes que se han de formar se ins pueblo francés y .1 esf..i u. ataban viendo y palpando. truyan y sustancien a la mayor brevedad en el…</t>
  </si>
  <si>
    <t>…y ligero constará de ocho com que nc tendrá difi-u tid de expresar ia idea propuesta por el Sr. I.turiz. pañías, de las cua'es !a una será en les de línea de granaderos y otra El Sr. Zu u.ta: La juma directiva de! Crédito público es una parte de cazadores , y una de carab neros y otra de tiradores en los ligeros. tan esencial de esteestab ecimiento, que el curso de este queda dislocado Art. 5. » La plana mayor de cada bataüon se compondrá de…</t>
  </si>
  <si>
    <t>Zu-</t>
  </si>
  <si>
    <t>…su feliz llegada á esta ciudad les dirigía el ayuntamiento de su clase los gastos de impresión de órdenes, opinaba que es constitucional de la ciudad de Cádiz por el conducto del Sr. Zu- tando prevenido por la instrucción del gobierno económico ds iueta, y en cuya felicitación ofrecía también á las Cortes para las provincias que les gefes políticos sean los. que intiman y</t>
  </si>
  <si>
    <t>Zubiri, Juan Bernardo</t>
  </si>
  <si>
    <t>Juan Bernardo Zubiri</t>
  </si>
  <si>
    <t>…í 50 infantes, y el ayudan' para apoderarse de la capital, y para subsistir después de hacerse te del segundo batallón (a quien le mataron el caballo) y el ca dueño de ella. pitán D. Juan Bernardo Zubiri, rechazaron á mas de óbo ene Al presente no admite la mas mínima duda que las nueve migos bien colocados sobre una altura, 4 pesar del fuego mas décimas de los españoles son ó enemigos activos de ia constitu vivo, y se apoderaron de la artillería. ción , ó in…</t>
  </si>
  <si>
    <t>ZúCircular, Estefanía de</t>
  </si>
  <si>
    <t>Estefanía de ZúCircular</t>
  </si>
  <si>
    <t>…nte, vice-presidentey un secretario délas mis de la fijación de este edicto á Jas personas que «e consideren con mas. (Ga.eta del 6. ) derecho al vínculo que fundó en dicha ciudad Doña Estefanía de ZúCircular del ministerio concediendo el pase á un rescripto de la pe ñiga , y especialmente á los parientes de D. Josef de Zúniga , ó á los nitenciaría romana , datado :n 22 de Octubre de 1822 , sobre seculari que lo sean de D. Fernando deGuzman y Bazan , capitán que f…</t>
  </si>
  <si>
    <t>Zugarramurdi, Ramón de</t>
  </si>
  <si>
    <t>Ramón de Zugarramurdi</t>
  </si>
  <si>
    <t>…s aflictivas en los puse reforzarla con el resto de les voluntarios i las órdenes del teniente buques de guerra, que presentó la comisión de Corrección de estilo. coronel graduado D. Ramón de Zugarramurdi. La posición que tenían El Sr. Infante presentó una felicitación que hacían ai Congreso un los cobardes era tan ventajosa que m su podía flanquear por derecha ni número considerable de señoras de esta Corte por las sesiones del 9 y izquierda, por la gran cues…</t>
  </si>
  <si>
    <t>Zuiu-ia</t>
  </si>
  <si>
    <t>…erá de su atribución resolver lo mas útil porque iba á causarse mucho perjuicio á aquellos propietarios. para el uso de las armas, y lo que se dirija á proporcionar la economía El Sr. Zuiu-ia fue de opinión que de las fincas del Crédito públi de los establecimientos. co se debena abastecer á las nunas del Almadén de la leña necesaria. Art.13. » .Si por no tener fondos los cuerpos creyese el Gobierno ne El Sr. Neira se opuso al dictamen de la comis…</t>
  </si>
  <si>
    <t>Zuiu.ta</t>
  </si>
  <si>
    <t>…los persas será Para tercer ind.video quedo elegido el Sr. Isturiz por 63 fácil sujetarlos después que el imperio esté asegurado por la parte votos de 109 , habiendo tenido 38 ei Sr. Zuiu.ta, 4 el Sr. baide Europa contra sus mas poderosos enemigos. El buen éxito de vato , 3 el Sr. Arguelles y uno ei Sr. Stirrá. la causa de los griegos es casi tan importante para Inglaterra co Para cuarto individuo quedó elegido ei Sr. Soria por 3: vo mo para los…</t>
  </si>
  <si>
    <t>Zuiuaa, Pedro Juan de</t>
  </si>
  <si>
    <t>Pedro Juan de Zuiuaa</t>
  </si>
  <si>
    <t>…es acerca de cenar sus se por la casa de Bernales y sobrinos , y .rallándose eir este -a-o .. siones él día 14 del presente mes, le mandaba manifestar que en Si. diputado á Cortes D. Pedro Juan de Zuiuaa, estimaba las circunstancias críticas en que nos hallábamos podía ocurrir ce S. M. por acertada su clecoon , mandando qu- se d .-e aut.- un momento á otro algún negocio para cuya deliberación fuese cuenta a las Cortes por si no teman incor.v.mente en ¡vaiu.:.…</t>
  </si>
  <si>
    <t>Zuiucla</t>
  </si>
  <si>
    <t>…e hace en él una distinción entre estos acreedores deuda nacional con ínteres que equivalga á las inscripciones con y los demas declarados con anterioridad como tales. cedidas. El Sr. Zuiucla: La comisión para proponer esto ha tenido Art. 3.0 El Gobierno fijará el precio de los efectos públicos presente la necesidad de cumplir lo estipulado en el contrato. Es- comprendidos en este decreto , quedando igualmente autorizado ros interesados han cumpli…</t>
  </si>
  <si>
    <t>Zuiucta</t>
  </si>
  <si>
    <t>…a comisión qp'e Jos individuos que hagan estq defendiendo la causa de la libertad, servicio puedan quedar en libertad para continuarlo durante un md des . Se 'leyó á.petición riel Sr. Zuiucta ei art. i-re de la oH-aanza de la pués de verificada la traslación; y pasado este término tengan que alistarse M. X. L. V. como tropa permanente, y liacci1 el servicio de guerra durante la que íios *J-.T- Sr\ Vildeí (D. ti l vet: no b 1 T.a comisión creyó, qu…</t>
  </si>
  <si>
    <t>Zuiueta</t>
  </si>
  <si>
    <t>…sufrido las tres lecturas que previene Madrid Domingo 12 de Enero. la Constitución en sus artículos 133 y 135n S. M. el ELey sigue aliviado. S. M. Iq Reina está mejor. SS. AA. El Sr. Zuiueta dijo que la mesi había ya cumplido con lo prevenido siguen sin novedad en su importante salud.” en el ait. 133 de la Constitución. El Sr. Infante dijo que las Cortes estiban autorizadas pan entrar CORTES EXTRAORDINARIAS. en esta discusión, porque el Gobierno…</t>
  </si>
  <si>
    <t>124, ... Ei Sr. Zuiueta expuse que la comisión en vista de la opinión tiva y milicia nacional local de Madrid ; el demas servicio y pa de varios Sres. diputados que deseaban tuviese mas instrucción el trullas lo detallado. _ Guardia al Congreso y archivo la milicia artículo i.°, no…</t>
  </si>
  <si>
    <t>Zuiurta</t>
  </si>
  <si>
    <t>…s ver iglesia de Málaga y de la milicia voluntaria de Segovia, presentadas y daderos intereses y ton ios deseos legítimos de todas las clases de la A(i)7!». * * * leídas* * por el Sr. Zuiurta. cien. Esta concesión prueba que el Austria, que en el mismo documento De los porteros de !?. audiencia territorial de Castilla la Nueva, recuerda a¡ pueblo español sus antiguos hechos, gloriosos para ambas presentada y leída por el Sr. Villanueva. naciones,…</t>
  </si>
  <si>
    <t>Zul</t>
  </si>
  <si>
    <t>…cida de los pedidos al Juan María Gómez, vecino de Montalvan, opinaba que no de extrangero.se.hace con arreglo a los consumos. bía haber lugar ú deliberar sobre ella. Aprobado. El Sr. Zul ueta, contestó que no se hablaba de admitir ó no La misma convision, en vista de la exposición da D. Diego géneros.prohibidos, sino da acordar el destino que debia darse á Chaparro, haciendo presentes-los perjuicios que-se-siguen do in los introducidos legíti…</t>
  </si>
  <si>
    <t>Zulmta, Pedro Juan de</t>
  </si>
  <si>
    <t>Pedro Juan de Zulmta</t>
  </si>
  <si>
    <t>…es probable su pronta rendición. » Habiendo procedido las Cortes extraordinarias á la renovación de presidente, vice-presidcnte y secretario nías antiguo , que lo era ANUNCIOS. el señor D. Pedro Juan de Zulmta, han salido electos, para pre Notas al dicumen de la comisión eclesiástica encargada del arreglo sidente el Sr. D. Domingo M r;a Ruiz de la Vera , diputado por difinitivo del clero de España , por D. Juan Antonio Llorante , autor la provincia de Granada; para…</t>
  </si>
  <si>
    <t>Zulu-ta</t>
  </si>
  <si>
    <t>…que hayan puesto sustitutos en los términos y por el sión Diplomática , reducido a que se aprueben Jas dos proposiciones del tiempo que hubiesen estado autorizados por las leyes. Sr. Zulu-ta, para que el Gobierno quede autorizado para no permitir la 3.0 » J.os que hayan redimido el servicio militar por el pecuniario entrada en 'os puertos de la Península de los buques extrangeros propio- do en los términos y per ei tiempo que igualmente han estad…</t>
  </si>
  <si>
    <t>Zuluaa</t>
  </si>
  <si>
    <t>…de persuadir que se halla El Sr. Canea, sin oponerse á una elección tan acortada en su ba cercado de cncm go» por todas partes , y que el momento de concepto, y conociendo que el Sr. Zuluaa mejor que otro algu ser acometido sena rt de su destrucción , porque le era imposible no desempeñaría una comisión tan interesante, oriiiando cuan defenderse de lacreas irresist.bles, ¿no se creería insultado por tos inconvenientes se presentasen , dijo que t…</t>
  </si>
  <si>
    <t>Zulucta</t>
  </si>
  <si>
    <t>…ar aumta La misma comisión opinaba que debia acctderse i la solicitud del de ella sin perdida de momento. brigadier D. Francisco Mazarredo sobre rifar en dos extracciones de !a El Sr. Zulucta: R.suiuado acreditado p.-.r lo que acaba de decir lotería parle de ios bienes d-e su mayorazgo Aprobado. el Sr. secretario que no existe en su pouer tal representa .ion. nada Se dió cumia de los siguientes dictámenes de la comisión primera mas tengo que thc.r…</t>
  </si>
  <si>
    <t>…ción del Sr. Sánchez en la sesión del 23.} En seguida se bía accederse á dicha solicitud. leyó también esta últ’ma. El Sr. Romero i L1 objeto de ia exposición de la universidad El Sr. Zulucta: Como de la comisión de Hacienda debo ha se reduce ¡í que se suspenda interinamente la venta enunciada has cer presente á las Coi tes, que desde el momento en que se la pa ta tanto que recaiga la oportuna resolución en un expediente que so la memoria dei Sr.…</t>
  </si>
  <si>
    <t>…l gefe político. decreto , aunque estoy conforme con ella no creo qu; debe con Ap robado. cederse con tama lat-tud. ..Art. 132. Cuando las diputaciones representen directamente El Sr. Zulucta: La comisión de Comerc'o , al paso que sabia ■á las Cortes ó al Rey, se firmarán sus exposiciones por todos sus que.no la competía el proponer que se exigiese la responsabilidad ■individuos que se hallen en la capital', haciéndolo solo el presi— al ayuntamien…</t>
  </si>
  <si>
    <t>…opuestos por el de soldado ó miliciano activo quedasen sujetos á continuar et Gobierno__ Se declaró que no. MTVICIO. Asi terminó esta famosa cuestión. Parcela une atendidas l.u El Sr. Zulucta pidió se nombrase la comisión de Milicia na circunstancias la resolución de las Cortes portuguesas deb.ó ser cional para este y otros asuntos relativos á la misma; se acordó adecuada al estado en que se halla la cuui pública ; y que pres que se nombrase y pas…</t>
  </si>
  <si>
    <t>…, relativa a que no se 1c exija derecho alguno ir. ed. ante ñ atreverse .1 i levar de val de la' correspondencia del Gobierno a Quedó aprobado. Jos puntos indicados. Real cata. El Sr. Zulucta manifestó podia nccederse desde luego a dicha La comisión primera de Hacienda opinaba debían aprobarse solicitud, 111.diante a que se entendiese por coirespondencia del las siguientes partidas. Gobierno la ele este v la cid publuo. As. se acordó. Consignación…</t>
  </si>
  <si>
    <t>…forme á la opinión bre de todos los individuos que la componen, sohc.tando que las de los otros ministros y. por las dificultades en que se halla en Cortes concedan permiso al Sr. diputado Zulucta , comandante de vuelto el ejército, que según dicen trata de hacer dimisión. dicho batallón, para desempelar el car. o de tal comandarte, sin Efectivamente en estas circunstancias criticas, los ministros no perjuicio de atender á sus obligador cs como diputad…</t>
  </si>
  <si>
    <t>…aresal precio de venta, esta recopilación la instrucción legal necesaria para sus fallos. caso que el interesado presentase alguno falto de la contraseña, y. Se leyó un oficio del Sr. Zulucta dirigido á los Sres. secreta el alcalde constitucional, oyendo el parecer de dos impresores ó rios de las Cortes, manifestando que estando dispuesto siempre á libreros nombrados por el mismo , tallase en juicio verbal, que hacer cuanto pueda en servicio de la…</t>
  </si>
  <si>
    <t>ZulueCV.rtus</t>
  </si>
  <si>
    <t>…cfíiii]) ¡íutus. tanto nías que dos sinos . fíuarcz . Llórente v do» secretario-. no estaban en el s •Ion ; y «pie podía asegurar a l.is So s*probó la siguiente propo.d ioii di 1 Sr. ZulueCV.rtus que el n-.inisierio eslalvi linn -mentí! persua ta : ., Pido que se auto: ice ai (.¿ubi :ruo para que puedid»» fleque la salud ríe la patria se interesaba ei. q-ie Jt reunir v otorgar i;: ules atic-i tíos que á lo- tienee.l &lt; 1' Jiiei no y las Córte* .se tras…</t>
  </si>
  <si>
    <t>Zuluela</t>
  </si>
  <si>
    <t>…inca! de Córdoba , presen :ada por si Sr. Melendez, turiz sobre el expediente de la casa de Belguerie de Burdeoi. Lo mismo se acordó respecto de otra de la diputación yiovincbl El Sr. Zuluela dijo que respetaba mucho las sentencias judicial ;s; de Sevilla , dirigida can igual motivo; y sobre otra de ios alumnos de pero que en su concepto habia sido la quese trataba contra los principios la climca de esta cap tal. de justicia, porque una Real orden…</t>
  </si>
  <si>
    <t>Zulueta</t>
  </si>
  <si>
    <t>…renga al pueblo, que no pudimos oír, revise el mensage , para lo cual la autoriza desde ahora la comisión. y á la que correspondieron los circunstantes con nuevos aplausos y vi El Sr. Zulueta: A pesar de la unanimidad del Congreso en apro vas. Desde allí fue la música á casa del Sr. ministro S. Miguel, cuya bar ti mensage, pido que 1a votación sea nominal. presencia deseaba el pueblo para manifestarle su gratitud y confianza; Se hizo esta pregunta…</t>
  </si>
  <si>
    <t>…, prefieran aceptar esta clase de pago tamen se baga un extracto del oficio de remisión dei Gubierno. i esperar el resultado de la liquidación y ulteriores disposiciones de las El Sr. Zulueta: bolo añadiré á lo que ha manifestado el Sr. Ferrer, Cortes , que presenten las certificaciones de sus créditos á la extinguida que la reclamación de Bilqucrie es absolutamente independiente del ex comisión , con la aprobación ó reforma que baga la nueva comi…</t>
  </si>
  <si>
    <t>…resolución de la* cio , dotación, vestuario y armamento, las mismas diputaciones pro Cortes sobre este punto. pondrán al Gobierno lo que estimen conveniente , y este podrá apro El Sr. Zulueta manifestó que estos individuos eran indispensables barlo interinamente sin perjuicio de dar cuenta á las Cortes.” Aprobado. para la redacción del Diario de las Cortes. Estas oyeron con particular Art. g.“ reformado. » Para la manutención de esta fuerza las di…</t>
  </si>
  <si>
    <t>…mos trámites propuestos por ta masa geneSetion del dia 19. neral de acreedores é interesados en reemplazos.” Se leyó y aprobó el acta de la anterior. Se mandó agregar i ella el El Sr. Zulueta leyó el dictamen del consejo de Estado sobre este voto particular de los Sres. Salvi, Tejciro y Septien , contrario á lo re- mismo negocio. En seguida manifestó que la casa de Balguerie habla su.-lto por las Cortes acerca de las solicitudes de D. Juan Corradi…</t>
  </si>
  <si>
    <t>…ardo sobre introducción de 83 fanegas decisivo; e! dictamen de que se titula gefe de estado mayor de la división volante del Ebro, la comisión Diplomática sobre la proposición del Sr. Zulueta, y si que dirigido al alcalde de Guadalajara, pidiendo io3 raciones para hoy. daba tiempo, se empezaría la discusión del proyecto sobr: arreglo defi Supe que habían salido todos de Brihuega por 1- tarde, y que ss ha nitivo dd clero. llaban en Torija, excepto…</t>
  </si>
  <si>
    <t>…n esta Se procedió á la discusión del dictamen de la comisión Diplomáti corte han suplicado al Gobierno se les agregue á las compañías de in ca acerca de las dos proposiciones del Sr. Zulueta, relativas á que se fantería de ia milicia de Madrid. Esta se halla prestando en tanto los corten las comunicaciones comerciales con aquellas potencias que ha mas eminentes servicios, incansable día y noche1 y siempre vigilante yan interrumpido sus relaciones…</t>
  </si>
  <si>
    <t>…a De la milicia nacional de Patencia, del juez de primera instancia aprobarse lo que propone la comisión. y demas dependientes del juzgado de...., y otras que leyó ti Sr. Buey, Ei Sr. Zulueta: El Sr. preopinante se ha dirigido mas particular y no pudieron entenderse. mente á uno de los puntos del proyecto , manifestando que á la sombra Del escuadrón de artillería de Valencia, por el Sr. Marau. de esta habilitación se introducirían fraudulentamente…</t>
  </si>
  <si>
    <t>…cio La comisión retiró el artículo 19 pira presentarlo da nuivo en nal activa. Estados de armamento , montura , vestuario y equipo da virtud de algunas observaciones hechas por el Sr. Zulueta. las misma*. Estado de las existencias en los almacenes y parques di Se aprobaron los artículos siguientes: aitillería, tanto de lo material de esta arma , como de armas d; chis Art. ao. ,.Cuando las circunstancias de una guerra impongan la ne&lt; pa , blanca y…</t>
  </si>
  <si>
    <t>…n lot Art. 7.0 n Que la autorización sea extensiva á que con las formali términos en que se halla extendido. dades correspondíentes pueda el Gobierno hacer uso de los bienes na El Sr. Zulueta manifestó que en su concepto era muy ui:il que no cionales en venia ó garantía. se admitiesen las excepciones que había manifestado d Sr. Becerra, Art. 8.J » Que tamb en se autorice al Gobierno psra levantar an pues de este modo sucedería que verificado el re…</t>
  </si>
  <si>
    <t>…o mas que sjo3 rs.? Fstees el análisis de ias lo prevenido en él reglamento para la oficina de la redacción. rentas, que presentan el cuadro mas melancólico, asi como las contraEl Sr. Zulueta apoyó el dictamen , y en seguida quedó aprobado'. buciones indirectas, ; De qué sirve que ias Cortes decreten contribucio -- . Se procedió á la discusión del dictamen de la misma comisión so nes si la acción del Gobierno está paralizada! Es escandaloso qué el…</t>
  </si>
  <si>
    <t>…irreparables, que, por la natu- Se leyó y aprobó el acta de la anterior. * raleza misma de las cosas , gravitarían mas directamente sobre la Fran- El Sr. Reillo: Ayer preguntó el Sr. Zulueta si se hsbia recibido ea „c;a." ¡perezcan los que los hayan provocado! ¡ Acose un remordimien t secretaría una oxposícion de varios ciudadanos de C.diz , qu. jumóse - infracciones de Constitución del actual jefe po'ítico : el *r. Soria to eterno á los que podi…</t>
  </si>
  <si>
    <t>…acum me dlv.s.b’.e, el quebrado quedará á favor de la clase de co que todos menos uno , inclusos los suplentes, han renunciado su en rone! s. cargo. No hay esos cuatro que dice el Sr. Zulueta que quieren seguir Art. 7.0 «Los actuales primaros comandara s de ios batallones al Gobierno. La comisión lo mas que puede hacer es circu.ar procla ligrros conservarán e¡ sueldo que en el día d.sfrutan hasta su ascenso mas, como lo hará, á Sn de que se haga o…</t>
  </si>
  <si>
    <t>…acio á proporcionarse alojamientos los Sres. diputados, pagando estos los al diez y seis de Marzo de mil ochocientos veinte y tres, c A D. Fran quileres. cisco Fernandez Gaseo. El Sr. Zulueta presentó una proposición, reducida á que las Cortes Ministerio de Hacienda. mandasen que el Gobierno diese las órdenes convenientes para que las Don Antonio Vicente Ortiz, alea d: constitucional del lugar de diputaciones provinciales procedan á la convocación…</t>
  </si>
  <si>
    <t>…en aquel acto al gefe del E-. M. Se leyó y aprobó) el acta de la anterior. un estado de fuerza , llevando los capitanes el que por ordenanza Se aprobó la siguiente proposición del Sr. Zulueta: «Habien deben presentar en toda formación. do motivos suficientes para creer que no se ha recibido en nin Art. 8.° Todos los soldados, tanto veteranos como quintos, guna parte el decreto de las Cortes de 21 de Marzo último para se presentarán con su armament…</t>
  </si>
  <si>
    <t>…mente discutido, y hubo lugar Al reproducir el Redactor general el atentado del Gobierno ,á votar sobre el dictamen. francés en apoderarse dé nuestra corbeta Veloz Mariana pre El. Sr. Zulueta. manifestó que aunque una gran mayoría de senta un bello contraste entre la- conducta de Jos españoles y de „Sres. diputados aprobaban el dictamen pedia se contasen, por los franceses. Dice asi: «La corbetayeloz Mariana fue apresa que asuntos de esta naturale…</t>
  </si>
  <si>
    <t>…o y el artículo es todo tante fuerza contra el articulo que se discute : dije que podría no una misma cosa. ofrecer bastante garantía la hipoteca que se establece para este ser El Sr. Zulueta: Me parece que por el orden que va á llevarse vicio , y lo dije fundándome en la experiencia de lo que ha suceen esta discusión no se acabará nunca. Se ha discutido la genera d.do respecto de los partícipes leeos, los cuales , después de tan lidad del proyect…</t>
  </si>
  <si>
    <t>…da hacer por sí este adeudo, es claro que no hará cienda que habia quedarlo suspéndalo en la sesión ordinaria, (i) anticipación alguna. Pongo en consideración de ¡a comisión es El Sr. Zulueta: I.a comisión , en vista de. .algunas dificulta tos escrúpulos que se me ofrecen para aprobar el artículo. des que han sido presentadas por algunos señores, diputados den El Sr. Zulueta: Es esd.dente.qnc el modo de hacer estas an tro y fuera de la sesión , pa…</t>
  </si>
  <si>
    <t>…as estas razones no debe aprobarse es artículo que hace relación á la bula de S. S., pues la Nación es ta medida. pañola es libre, soberana é independiente, y no reconoce ningu El Sr. Zulueta: Confieso que al oir las impugnaciones del se na intervención en autoridad extrangera; de consiguiente la Na ñor Romero he dudado si discutía el proyecto que presenta la ción puede d.sponer libremente de los bienes del clero siempre comisión ú otro cualquiera…</t>
  </si>
  <si>
    <t>…, en cuyo t.empo sena mdemn.zado el Gobierno remita k&gt;s documentos «»&lt;? tenga sobre la introducción propietario. de granos del extranjero en Algeciras, y providencias que haya El Sr. Zulueta hizo presente que había un decreto de las Cor tomado en su vista. tes ¿obre la inteligencia del que citaban los corredores de Eiuceiona Se leyó la siguiente proposición del Sr. Buey: » Habiendo los en apoyo de su solicitud , el cual había sido dado á consecue…</t>
  </si>
  <si>
    <t>…como si atropella por la misma razón á familias', bienes y fortunas. Leída el acta de la anterior, quedó aprobada. 4. a Los gefes políticos, diputaciones provinciales y ayunta El Sr. Zulueta presentó una proposición para que se hiciesen mientos están obligados á remitir al Gobierno listas de los su- al Gobierno las prevenciones convenientes á fin de que tenga getos que en sus respectivas provincias y pueblos se hayan decla cumplid : efecto el dec…</t>
  </si>
  <si>
    <t>…puedo menos de impugnar el dictamen de las mismas Cortes. El articulo primero del decreto c.tado d;ce: la comisión. »Todos los géneros ís^-timamente introducidosen el art. g.° El Sr. Zulueta: El Sr. Arguelles lia dicho que no defiende en donde se designan Jos derechos que han de devengar se d:ce sus intereses particulares, y que no se debe engañar á nadie: yo ?&gt;los que tengan los referidos efectos legítimamente introduci conozco tanto !a delicade…</t>
  </si>
  <si>
    <t>…¡.ido mas, á no ser por consideración á la uti El Sr. secretario del Despacho de Hacienda : A io que ha di lidad pública; pero ¡cuál seria la sorpresa del Gobierno al ver:, cho el Sr. Zulueta podré añadir otra reflexión , y .es que esta hi en la capital comisionado», manifestando que la casa contratante poteca de que habla el artículo se halla sujeta desde el principio había dejado de admitir letras giradas contra ella! El Gobierno al pago de esto…</t>
  </si>
  <si>
    <t>…se trata de la manifestación simple de una opinión ó apro el expediente y se devolviese el original al interesado. bación de un acto del Gobierno francés, sino de hechos reales El Sr. Zulueta observó que esta representación tal vez seria que favorezcan las operaciones de aquellos. apócrifa según la fecha del pasaporte y la de la exposic.on que Declarado el punto suficientemente discutido se votó la pri era muy posterior, y preguntó á la secretaría…</t>
  </si>
  <si>
    <t>…d ningu ■ proyecto, sobre la base de inquilinatos qne fus desechada 7 retí- na, :' /v en estas oerílaríones “: mié1" runfiará--- sino-' _ Jnite rodas las oro—» rando las demas. El Sr. Zulueta presentaba voto particular so vincias no podrán contribuir , y por consiguiente que no habrá bre el art. 2.0 de este dictamen. proporcionalidad : Me opongo pues á este proyecto por ineficaz, El Sr. Isturiz como de la comisión dijo: Las Cortes notarán aunque e…</t>
  </si>
  <si>
    <t>…probarse el dictamen tal como se do prescriben la pena de muerte contra los que ..temen contra el presentaba. sistema constitucional; trátase de saber si los que sirvan empleos El Sr. Zulueta contestó que se trataba de un expediente que de magistratura y judicatura están comprendidos en aquella dis hacia cuatro años estaba para discutirse, y que un año segui posición. No quiero hablar de los que soliciten empleos de esta do habia estado sobre la m…</t>
  </si>
  <si>
    <t>…e sa tículos. lieron heridos se les satisfagan dos mesadas de sus respectivos Declarado el punto por bastante discutido se declaró haber haberes. lugir á votar en la totalidad. El Sr. Zulueta manifestó que en virtud de que solamente las Art. i.° (Véase en la sesión de ayer,) actuales circunstancias en que la Nación se halla ha podidb ha El Sr. Oliver; La comisión cree conveniente que al final de cer que la comisión no señale á esta viuda mas que l…</t>
  </si>
  <si>
    <t>…leza que escrutinio,habiendo tenido 44 votos el Sr. Lillo, 19 cada uno de obligaron á las Cortesa revocarle por unanimidad; de consiguien los Sres. Navarro Tejeiro y Diez , 1 5 el Sr. Zulueta , 7 el se te si volvemos á establecerlo por este proyecto causaremos los mis ñor Rodríguez Paterna, dos cada ur.n de los Sres. Peída y Te mos males, y aun acaso mavores. Si bien es verdad que este oro- mas , y uno los Sres. Somoza, Cuevas , Trujillo, Euruaga,…</t>
  </si>
  <si>
    <t>…reia que era muy justo que tuviesen premio estar ausentes de sus juzgados. los que habían trabajado en dicha causa. Otra sobre el tribunal que debe conocer de las causas de los El Sr. Zulueta, después de manifestar los trámites que había alcaldes constitucionales por las infracciones que cometan en el seguido este proceso, el cual se hallaba parado por no haber quien ejercicio de las funciones de jueces de i.a instancia. pagase, y sin que en ios d…</t>
  </si>
  <si>
    <t>…comprendidas en el de conforme con los principios que rigen en esta metería , v por creto referido. lo tanto debe cesar la oposición del br. preopinante, puesto que A petición del Sr. Zulueta se leyó la parte del presupuesto no es necesaria la aclaración que se da. de Pistado de este año relativa á los auditores de la Rota en Ro Se declaró el punto suficientemente discutido, y se aprobó ma , y en secuida se aprobó el dictamen de la comisión. el di…</t>
  </si>
  <si>
    <t>…rsona y familia de la invasión enemi Suarez , Llórente y dos secretarios. ga , se declare que es llegado el caso provisional de considerar á Se aprobó la siguiente proposición del Sr. Zulueta : «Pido que S. AI. en el del impedimento moral señalado cu el art. 187 de se autorice al Gobierno para que pueda reunir y otorgar iguales la Constitución , y que se nombre una Regencia provisional que auxilios que 5 los beneméritos rnUíciaiiu^ Ui- JvíjUi'u.1…</t>
  </si>
  <si>
    <t>…asen «o c:l los ji-neros y efectos procedentes de al jelV-políl ico «le esta provincia manif■staiúhvr que ert Francia. virtud *c las dificultades 'que había 'espolió «-obre el El -Sr. Zulueta contestó que la comisión había día en que se hablan de colocar en la Catedral «le. esta reconocido los perjuicios «píese seguirían á la indus emulad las cenizas de ios héroes «!«-*! Dos «le maní, se tria por esta cvncc.doti ; pero «pie tm las actuales cir bah…</t>
  </si>
  <si>
    <t>…de presidente , vice-presidente y un secretario. tado. En primer escrutinio para la elección de presidente obtuvo Voto particular del Sr. Castejon. 17 \ otos el Sr. Qaliano, 37 el Sr. Zulueta, 7 el Sr. Afonzo,_ 7 Con mucho sentimiento mió no puedo conformarme con el el Sr. Alonso, 4 el Sr. Escobedo, 2 el Sr. Munarriz, otros 1 dictamen de la comisión en la suspensión que propone del articu el Sr. Somoza, y uno cada uno de los Sres. lsturiz , Cuadra…</t>
  </si>
  <si>
    <t>…debiendo la co Art. g." Los cargamentos de salida pagarán en las respecti misión proponer el duplo del derecho. vas atinarías los derecho, que adeuden, sin embargo de lo depues El Sr. Zulueta*: Aqui no se trata ahora de proteger la nave to en el artículo ib de ¡as rectificaciones de las bases orgánica* del gación española sino de ponerla á salvo, pues no podrá efectuar arancel de- i o do Diciembre de- i8ji. se sino del modo que propone la comisión…</t>
  </si>
  <si>
    <t>…o. hallaba dispuesta á adoptar la observación del Sr. Arguelles, y que éT presentaría una adición, con este objeto.Continuó la discusión del dictamen de la comisión de Comercio El Sr. Zulueta manifestó , que el beneficio que se pretendíasobre la habilitación de banderas neutrales. (Véase en el extrac dar á los buques nacionales, ya lo tenian por las bases orgánicas to de la sesión de ayer.) del arancel general. Art. i.° Aprobado. Declarado el punt…</t>
  </si>
  <si>
    <t>…entregados al que le mandó hacer la impresión , quedará aquel su li gera discusión. jeto á la pena establecida en el art. B.° Aprobado. El Sr. Becerra fue de parecer que siendo el Sr. Zulueta pre Art. n. El dueño de una obra deberá avisar por medio de sidente de las Cortes no debia ponerse á ¡a disposición dei Go la gaceta las señas mas marcadas de la ediccion contrahecha; y el bierno , como de hecho lo estaría si se colocase al frente de que vend…</t>
  </si>
  <si>
    <t>…upo de ellos el de Guadalupe, estos pertenecían á la provin A la comisión de comercio se mandó pasar una adición del cia, d« , Cáceres. Pasando mas adelante habla la comisión déla Sr. Zulueta al decreto sobre habilitación ale bandera extranuera. junta directiva, acerca de la cual pone la comisión un pteámbuLa comisión segunda de Hacienda, en vista de la exposición Ip del que yo no puedo dejar de hablar , y cuyo objeto según lo, de Doña Luisa de Có…</t>
  </si>
  <si>
    <t>…insulto hecho ba que las Cortes podían declarar que ¡a nota á que aludia la pri á la Nación , y de sostenerlo, como es preciso que suceda, con la mera parte de la proposición del Sr. Zulueta quedaba nula y sin intervención visible y constante de una fuerza extranjera. Si la efecto ulterior , y que por lo que toca á la segunda parte no de energía del espíritu nacional no pudiese impedir el establecimien- roga la resolución de las Cortes el art. 18…</t>
  </si>
  <si>
    <t>Zulueta, Clemente</t>
  </si>
  <si>
    <t>Clemente Zulueta</t>
  </si>
  <si>
    <t>…diferencia , abatimiento y yugo. gas , D. Miguel del Pino y I.opez, D. Juan José; del Cabillo, D. Ma Va se sabia la llegada del ministro m&lt;les A Confuí.(inopia , y se tías Olave , D. Clemente Zulueta , D. Prudencio Hernández Santa conc-bian esperanzas de piz, teniendo.as también los griegos de que la Cruz y D. Bernardo de la Peña Díaz , declaró por unanimidad kaht Inglaterra se interesará por ellos. Asi es que el divan estaba ya mas alar lugar á la formac…</t>
  </si>
  <si>
    <t>Zulueta, Joscf</t>
  </si>
  <si>
    <t>Joscf Zulueta</t>
  </si>
  <si>
    <t>…universidad cen para una media-ración de la Sta. Iglesia metropolitana de Manila en las ital de esta H. V. están siguiendo su carrera literaria , y se inscriban islas Filipinas á D. Joscf Zulueta. para hacer el misino servicio, se les considerará el tiempo que le pres ten como de asistencia á sus respectivas cátedras , pudiendo continuar Habiendo hecho renuncia D. Gregorio María de Jove , vecino de su carrera ó curso en la universidad de Sevilla. Gijo…</t>
  </si>
  <si>
    <t>Zulueta, Manuel</t>
  </si>
  <si>
    <t>Manuel Zulueta</t>
  </si>
  <si>
    <t>…Miguel de Nájera. En palacio á 19 de Marzo de 18 23.=A D. Mariano Egca.” D. Marceliano Torio. El conde de Oñate. D. Vicente Segurado. D. Antonio Puiduiiés. D. Francisco Palacios. D. Manuel Zulueta. La diputación provincial de Madrid, en cumplimiento de los decre D. Joaquín Lumbreras. D. Manuel Conchillos. tos de las Cortes de 5 de Eneio y 8 de Febrero últimos, que tratan ds D. Martin de Navas. £&gt;. Sandalio Arias. la formación de la milicia nacional act…</t>
  </si>
  <si>
    <t>…res si de todos los países; tú acabas de dar la independencia á. Euro guientes: D. caturnir-o Lozano, D. Bernardo Asenjo, Don pa ; tu darás al mundo la libertad. . Valentín Recio, D. Manuel Zulueta, D. Josef Valls y Roca, — La diputación provincial á los ciudadanos milicianos y de D Antonio Palacios , D. Santiago Vicente Les, D. Isidro mas patriotas de la provincia de Madrid. Francés Cabañas y D. Nicolás Cano de Luque. «Españoles: El egército francés ha…</t>
  </si>
  <si>
    <t>Zulueta, Pedro Juan de</t>
  </si>
  <si>
    <t>Pedro Juan de Zulueta</t>
  </si>
  <si>
    <t>…imiento, V que con el mismo fin lo circule á quien corgo Eulogio de la Torre, han sido 'de «idos , | aia presidí nte el se raponda—Cádiz 4 de Julio de 1823—Salvador Manzanares ñor D. Pedro Juan de Zulueta, d pura !o por la provincia d-- Cá diz; para vice-prcsiderte el Sr. D. Nicasio Tomas , diputado por No habiendo seguido al Gobierno en su traslación de Sevilla la provincia de Granada , y pura si ere cario el Sr. D. Vicente á Cádiz ni dado cuenta después de s…</t>
  </si>
  <si>
    <t>Zulutta, Pedro Juan de</t>
  </si>
  <si>
    <t>Pedro Juan de Zulutta</t>
  </si>
  <si>
    <t>…umaria formada á los cabecillas Batanero, Pelayo , Ma ” Las Cortes han examinado las proposiciones del Sr. diputa yoral , Gómez y Cruz, principiada'el día 4 de orden' del conde do D. Pedro Juan de Zulutta sobre ei oficio de la junta directi del Abisbal, se entregó ya á este el dr.i 6 á las dos de la tarde. va del Crédito público, relativo á su salida de esta corte para Se-, La energía y actividad es el alma de los negocios. rolla; y en virtud de todo se lian s…</t>
  </si>
  <si>
    <t>Zúñiga, Joaquín Ruiz de</t>
  </si>
  <si>
    <t>Joaquín Ruiz de Zúñiga</t>
  </si>
  <si>
    <t>…sus títulos de la misma, tenga que reccmendar al citado capitán Ruiz y Guzman; al cadete de y quienes en razón de sus sueldos y con anegio al citado decreto cor la rahma compañía D. Joaquín Ruiz de Zúñiga, que mató por sí i un responda tenerlos en papel del sello primero, acudan inmediatamente oficial faccioso; al id ayudante de Sigüenza D. Manuel Peña Espioa que por sí ó per med.o de apoderado á la administración de estancadas de salió h;rido;á los tenientes…</t>
  </si>
  <si>
    <t>Zúniga, Josef de</t>
  </si>
  <si>
    <t>Josef de Zúniga</t>
  </si>
  <si>
    <t>…6. ) derecho al vínculo que fundó en dicha ciudad Doña Estefanía de ZúCircular del ministerio concediendo el pase á un rescripto de la pe ñiga , y especialmente á los parientes de D. Josef de Zúniga , ó á los nitenciaría romana , datado :n 22 de Octubre de 1822 , sobre seculari que lo sean de D. Fernando deGuzman y Bazan , capitán que fue de ca zación de regulares de amb s sexos. (Gaceta del 19-) ballería, á cuya linea llamó la indicada fundadora para la…</t>
  </si>
  <si>
    <t>ZúñiInstrucción, Pedro de Guzman y</t>
  </si>
  <si>
    <t>Pedro de Guzman y ZúñiInstrucción</t>
  </si>
  <si>
    <t>…de ca zación de regulares de amb s sexos. (Gaceta del 19-) ballería, á cuya linea llamó la indicada fundadora para la posesión del Hacienda. propio vínculo después de la muerte de D. Pedro de Guzman y ZúñiInstrucción que ha de regir pata la requisición de caballos. (Ga ga, su hermano, á fin de que dentro del nominado término comparez ceta del s.j can ante dicho juzgado á deducir sus acciones en los autos ds denuncia Aviso de la dirección de papel sellado sobre los títulos…</t>
  </si>
  <si>
    <t>Zutuela</t>
  </si>
  <si>
    <t>…avedad , por pasar á la diputación permanente, y sí que le tomasen en consideración que se traía de un ataque contra la inviolabilidad de los d.putados. direi«mente las (Artes. Ei Sr. Zutuela fu; igualmente de parecer que la» Cortes extraordi En se.-«ida s; dec: aró él punto suficientemente discutido , y habien narias debían tratar de éste negocio , por ser un ataque contra la in- do satisfecho la secretaría á algunas preguntas que le hicieron var…</t>
  </si>
  <si>
    <t>Zu’uíU</t>
  </si>
  <si>
    <t>«Si encareo el Sr. Zu’uíU , quter. contestó que en varias ocasiones, y troyano-dentro de nuestros muros, se esfuerzan en persuadir que cuando prometía un encargo de tsu n.ituraleza ventajas de todas toda resistencia es inútil y aun. temeraria. naturalezas en su favor había sido invita…</t>
  </si>
  <si>
    <t>Fuentes oficiales y criterio de elaboración · 1823</t>
  </si>
  <si>
    <t>429 archivos · 1765 páginas · enlaces al facsímil oficial</t>
  </si>
  <si>
    <t>Archivo</t>
  </si>
  <si>
    <t>Páginas PDF</t>
  </si>
  <si>
    <t>Registros del índice</t>
  </si>
  <si>
    <t>Facsímil completo</t>
  </si>
  <si>
    <t>GMD-1823-1.pdf</t>
  </si>
  <si>
    <t>GMD-1823-2.pdf</t>
  </si>
  <si>
    <t>GMD-1823-3.pdf</t>
  </si>
  <si>
    <t>GMD-1823-4.pdf</t>
  </si>
  <si>
    <t>GMD-1823-5.pdf</t>
  </si>
  <si>
    <t>GMD-1823-6.pdf</t>
  </si>
  <si>
    <t>GMD-1823-7.pdf</t>
  </si>
  <si>
    <t>GMD-1823-8.pdf</t>
  </si>
  <si>
    <t>GMD-1823-9.pdf</t>
  </si>
  <si>
    <t>GMD-1823-10.pdf</t>
  </si>
  <si>
    <t>GMD-1823-11.pdf</t>
  </si>
  <si>
    <t>GMD-1823-12.pdf</t>
  </si>
  <si>
    <t>GMD-1823-13.pdf</t>
  </si>
  <si>
    <t>GMD-1823-14.pdf</t>
  </si>
  <si>
    <t>GMD-1823-15.pdf</t>
  </si>
  <si>
    <t>GMD-1823-16.pdf</t>
  </si>
  <si>
    <t>GMD-1823-17.pdf</t>
  </si>
  <si>
    <t>GMD-1823-18.pdf</t>
  </si>
  <si>
    <t>GMD-1823-19.pdf</t>
  </si>
  <si>
    <t>GMD-1823-20.pdf</t>
  </si>
  <si>
    <t>GMD-1823-21E.pdf</t>
  </si>
  <si>
    <t>GMD-1823-22.pdf</t>
  </si>
  <si>
    <t>GMD-1823-23.pdf</t>
  </si>
  <si>
    <t>GMD-1823-24.pdf</t>
  </si>
  <si>
    <t>GMD-1823-25.pdf</t>
  </si>
  <si>
    <t>GMD-1823-26.pdf</t>
  </si>
  <si>
    <t>GMD-1823-27.pdf</t>
  </si>
  <si>
    <t>GMD-1823-28.pdf</t>
  </si>
  <si>
    <t>GMD-1823-29.pdf</t>
  </si>
  <si>
    <t>GMD-1823-30.pdf</t>
  </si>
  <si>
    <t>GMD-1823-31.pdf</t>
  </si>
  <si>
    <t>GMD-1823-32.pdf</t>
  </si>
  <si>
    <t>GMD-1823-33E.pdf</t>
  </si>
  <si>
    <t>GMD-1823-34.pdf</t>
  </si>
  <si>
    <t>GMD-1823-35.pdf</t>
  </si>
  <si>
    <t>GMD-1823-36.pdf</t>
  </si>
  <si>
    <t>GMD-1823-37.pdf</t>
  </si>
  <si>
    <t>GMD-1823-38.pdf</t>
  </si>
  <si>
    <t>GMD-1823-39.pdf</t>
  </si>
  <si>
    <t>GMD-1823-40.pdf</t>
  </si>
  <si>
    <t>GMD-1823-41.pdf</t>
  </si>
  <si>
    <t>Gaceta de Madrid n.º 42 (extraordinaria)</t>
  </si>
  <si>
    <t>GMD-1823-42E.pdf</t>
  </si>
  <si>
    <t>GMD-1823-43.pdf</t>
  </si>
  <si>
    <t>GMD-1823-44.pdf</t>
  </si>
  <si>
    <t>GMD-1823-45.pdf</t>
  </si>
  <si>
    <t>GMD-1823-46.pdf</t>
  </si>
  <si>
    <t>GMD-1823-47.pdf</t>
  </si>
  <si>
    <t>GMD-1823-48.pdf</t>
  </si>
  <si>
    <t>GMD-1823-49.pdf</t>
  </si>
  <si>
    <t>GMD-1823-50.pdf</t>
  </si>
  <si>
    <t>GMD-1823-51.pdf</t>
  </si>
  <si>
    <t>GMD-1823-52.pdf</t>
  </si>
  <si>
    <t>GMD-1823-53.pdf</t>
  </si>
  <si>
    <t>GMD-1823-54.pdf</t>
  </si>
  <si>
    <t>GMD-1823-55.pdf</t>
  </si>
  <si>
    <t>GMD-1823-56.pdf</t>
  </si>
  <si>
    <t>GMD-1823-57.pdf</t>
  </si>
  <si>
    <t>GMD-1823-58.pdf</t>
  </si>
  <si>
    <t>GMD-1823-59.pdf</t>
  </si>
  <si>
    <t>GMD-1823-60.pdf</t>
  </si>
  <si>
    <t>GMD-1823-61.pdf</t>
  </si>
  <si>
    <t>GMD-1823-62.pdf</t>
  </si>
  <si>
    <t>GMD-1823-63.pdf</t>
  </si>
  <si>
    <t>Gaceta de Madrid n.º 64 (extraordinaria)</t>
  </si>
  <si>
    <t>GMD-1823-64E.pdf</t>
  </si>
  <si>
    <t>GMD-1823-65.pdf</t>
  </si>
  <si>
    <t>GMD-1823-66.pdf</t>
  </si>
  <si>
    <t>GMD-1823-67.pdf</t>
  </si>
  <si>
    <t>GMD-1823-68.pdf</t>
  </si>
  <si>
    <t>GMD-1823-69.pdf</t>
  </si>
  <si>
    <t>GMD-1823-70.pdf</t>
  </si>
  <si>
    <t>GMD-1823-71.pdf</t>
  </si>
  <si>
    <t>GMD-1823-72.pdf</t>
  </si>
  <si>
    <t>GMD-1823-73.pdf</t>
  </si>
  <si>
    <t>GMD-1823-74.pdf</t>
  </si>
  <si>
    <t>GMD-1823-75.pdf</t>
  </si>
  <si>
    <t>GMD-1823-76.pdf</t>
  </si>
  <si>
    <t>GMD-1823-77.pdf</t>
  </si>
  <si>
    <t>GMD-1823-78.pdf</t>
  </si>
  <si>
    <t>GMD-1823-79.pdf</t>
  </si>
  <si>
    <t>GMD-1823-80.pdf</t>
  </si>
  <si>
    <t>GMD-1823-81.pdf</t>
  </si>
  <si>
    <t>GMD-1823-82.pdf</t>
  </si>
  <si>
    <t>GMD-1823-83.pdf</t>
  </si>
  <si>
    <t>GMD-1823-84.pdf</t>
  </si>
  <si>
    <t>GMD-1823-85.pdf</t>
  </si>
  <si>
    <t>GMD-1823-86.pdf</t>
  </si>
  <si>
    <t>GMD-1823-87.pdf</t>
  </si>
  <si>
    <t>GMD-1823-88.pdf</t>
  </si>
  <si>
    <t>GMD-1823-89.pdf</t>
  </si>
  <si>
    <t>GMD-1823-90.pdf</t>
  </si>
  <si>
    <t>GMD-1823-91.pdf</t>
  </si>
  <si>
    <t>GMD-1823-92.pdf</t>
  </si>
  <si>
    <t>GMD-1823-93.pdf</t>
  </si>
  <si>
    <t>GMD-1823-94.pdf</t>
  </si>
  <si>
    <t>GMD-1823-95.pdf</t>
  </si>
  <si>
    <t>GMD-1823-96.pdf</t>
  </si>
  <si>
    <t>GMD-1823-97.pdf</t>
  </si>
  <si>
    <t>GMD-1823-98.pdf</t>
  </si>
  <si>
    <t>GMD-1823-100E.pdf</t>
  </si>
  <si>
    <t>GMD-1823-99.pdf</t>
  </si>
  <si>
    <t>GMD-1823-101.pdf</t>
  </si>
  <si>
    <t>GMD-1823-102.pdf</t>
  </si>
  <si>
    <t>GMD-1823-103.pdf</t>
  </si>
  <si>
    <t>GMD-1823-104.pdf</t>
  </si>
  <si>
    <t>GMD-1823-105.pdf</t>
  </si>
  <si>
    <t>GES-1823-1.pdf</t>
  </si>
  <si>
    <t>GMD-1823-106.pdf</t>
  </si>
  <si>
    <t>GES-1823-2.pdf</t>
  </si>
  <si>
    <t>GMD-1823-107.pdf</t>
  </si>
  <si>
    <t>GES-1823-3.pdf</t>
  </si>
  <si>
    <t>GES-1823-4.pdf</t>
  </si>
  <si>
    <t>GES-1823-5.pdf</t>
  </si>
  <si>
    <t>GES-1823-6.pdf</t>
  </si>
  <si>
    <t>GES-1823-7.pdf</t>
  </si>
  <si>
    <t>GES-1823-8.pdf</t>
  </si>
  <si>
    <t>GES-1823-9.pdf</t>
  </si>
  <si>
    <t>GES-1823-10.pdf</t>
  </si>
  <si>
    <t>GES-1823-11.pdf</t>
  </si>
  <si>
    <t>GES-1823-12.pdf</t>
  </si>
  <si>
    <t>GMD-1823-42.pdf</t>
  </si>
  <si>
    <t>GES-1823-13.pdf</t>
  </si>
  <si>
    <t>GES-1823-14.pdf</t>
  </si>
  <si>
    <t>GES-1823-15.pdf</t>
  </si>
  <si>
    <t>GES-1823-16.pdf</t>
  </si>
  <si>
    <t>GES-1823-17.pdf</t>
  </si>
  <si>
    <t>GES-1823-18.pdf</t>
  </si>
  <si>
    <t>GES-1823-19.pdf</t>
  </si>
  <si>
    <t>GES-1823-20.pdf</t>
  </si>
  <si>
    <t>GES-1823-21.pdf</t>
  </si>
  <si>
    <t>GES-1823-22.pdf</t>
  </si>
  <si>
    <t>GES-1823-23.pdf</t>
  </si>
  <si>
    <t>GES-1823-24.pdf</t>
  </si>
  <si>
    <t>GES-1823-25.pdf</t>
  </si>
  <si>
    <t>GES-1823-26.pdf</t>
  </si>
  <si>
    <t>GES-1823-27.pdf</t>
  </si>
  <si>
    <t>GES-1823-28.pdf</t>
  </si>
  <si>
    <t>GMD-1823-112.pdf</t>
  </si>
  <si>
    <t>GES-1823-29.pdf</t>
  </si>
  <si>
    <t>GES-1823-30.pdf</t>
  </si>
  <si>
    <t>GMD-1823-122.pdf</t>
  </si>
  <si>
    <t>GES-1823-31.pdf</t>
  </si>
  <si>
    <t>GES-1823-32.pdf</t>
  </si>
  <si>
    <t>GES-1823-33.pdf</t>
  </si>
  <si>
    <t>GMD-1823-132.pdf</t>
  </si>
  <si>
    <t>GES-1823-34.pdf</t>
  </si>
  <si>
    <t>GES-1823-35.pdf</t>
  </si>
  <si>
    <t>GMD-1823-142.pdf</t>
  </si>
  <si>
    <t>GES-1823-36.pdf</t>
  </si>
  <si>
    <t>GES-1823-37.pdf</t>
  </si>
  <si>
    <t>GMD-1823-152.pdf</t>
  </si>
  <si>
    <t>GES-1823-38.pdf</t>
  </si>
  <si>
    <t>GES-1823-39.pdf</t>
  </si>
  <si>
    <t>GES-1823-40.pdf</t>
  </si>
  <si>
    <t>GES-1823-41E.pdf</t>
  </si>
  <si>
    <t>GES-1823-42.pdf</t>
  </si>
  <si>
    <t>GES-1823-43.pdf</t>
  </si>
  <si>
    <t>GES-1823-44.pdf</t>
  </si>
  <si>
    <t>GES-1823-45.pdf</t>
  </si>
  <si>
    <t>GES-1823-46.pdf</t>
  </si>
  <si>
    <t>GES-1823-47.pdf</t>
  </si>
  <si>
    <t>GES-1823-48E.pdf</t>
  </si>
  <si>
    <t>GES-1823-49.pdf</t>
  </si>
  <si>
    <t>GMD-1823-13E.pdf</t>
  </si>
  <si>
    <t>GES-1823-50.pdf</t>
  </si>
  <si>
    <t>GES-1823-51E.pdf</t>
  </si>
  <si>
    <t>GES-1823-52.pdf</t>
  </si>
  <si>
    <t>GES-1823-53.pdf</t>
  </si>
  <si>
    <t>GES-1823-54.pdf</t>
  </si>
  <si>
    <t>GMD-1823-33.pdf</t>
  </si>
  <si>
    <t>GES-1823-55.pdf</t>
  </si>
  <si>
    <t>GES-1823-56.pdf</t>
  </si>
  <si>
    <t>GMD-1823-43E.pdf</t>
  </si>
  <si>
    <t>GES-1823-57.pdf</t>
  </si>
  <si>
    <t>GES-1823-58.pdf</t>
  </si>
  <si>
    <t>GES-1823-59.pdf</t>
  </si>
  <si>
    <t>GES-1823-60.pdf</t>
  </si>
  <si>
    <t>GMD-1823-73E.pdf</t>
  </si>
  <si>
    <t>GES-1823-61.pdf</t>
  </si>
  <si>
    <t>GES-1823-62.pdf</t>
  </si>
  <si>
    <t>GES-1823-63.pdf</t>
  </si>
  <si>
    <t>GMD-1823-93E.pdf</t>
  </si>
  <si>
    <t>GES-1823-64.pdf</t>
  </si>
  <si>
    <t>GMD-1823-113E.pdf</t>
  </si>
  <si>
    <t>GES-1823-65.pdf</t>
  </si>
  <si>
    <t>GES-1823-66.pdf</t>
  </si>
  <si>
    <t>GMD-1823-123.pdf</t>
  </si>
  <si>
    <t>GMD-1823-133E.pdf</t>
  </si>
  <si>
    <t>GMD-1823-143E.pdf</t>
  </si>
  <si>
    <t>GMD-1823-153.pdf</t>
  </si>
  <si>
    <t>GMD-1823-163E.pdf</t>
  </si>
  <si>
    <t>GMD-1823-173E.pdf</t>
  </si>
  <si>
    <t>GMD-1823-183.pdf</t>
  </si>
  <si>
    <t>GES-1823-67.pdf</t>
  </si>
  <si>
    <t>GMD-1823-193.pdf</t>
  </si>
  <si>
    <t>GMD-1823-203E.pdf</t>
  </si>
  <si>
    <t>GES-1823-68.pdf</t>
  </si>
  <si>
    <t>GMD-1823-213E.pdf</t>
  </si>
  <si>
    <t>GES-1823-69.pdf</t>
  </si>
  <si>
    <t>GMD-1823-223.pdf</t>
  </si>
  <si>
    <t>GMD-1823-233E.pdf</t>
  </si>
  <si>
    <t>GES-1823-70.pdf</t>
  </si>
  <si>
    <t>GES-1823-71.pdf</t>
  </si>
  <si>
    <t>GMD-1823-243E.pdf</t>
  </si>
  <si>
    <t>GMD-1823-253E.pdf</t>
  </si>
  <si>
    <t>GES-1823-72.pdf</t>
  </si>
  <si>
    <t>GMD-1823-263.pdf</t>
  </si>
  <si>
    <t>GES-1823-75.pdf</t>
  </si>
  <si>
    <t>Gaceta de Madrid n.º 273 (extraordinaria)</t>
  </si>
  <si>
    <t>GMD-1823-273E.pdf</t>
  </si>
  <si>
    <t>GES-1823-76.pdf</t>
  </si>
  <si>
    <t>GMD-1823-283.pdf</t>
  </si>
  <si>
    <t>GES-1823-77.pdf</t>
  </si>
  <si>
    <t>GMD-1823-293E.pdf</t>
  </si>
  <si>
    <t>GES-1823-78.pdf</t>
  </si>
  <si>
    <t>GMD-1823-303.pdf</t>
  </si>
  <si>
    <t>GES-1823-79.pdf</t>
  </si>
  <si>
    <t>GMD-1823-313E.pdf</t>
  </si>
  <si>
    <t>GES-1823-80.pdf</t>
  </si>
  <si>
    <t>GES-1823-81.pdf</t>
  </si>
  <si>
    <t>GMD-1823-323.pdf</t>
  </si>
  <si>
    <t>GES-1823-82.pdf</t>
  </si>
  <si>
    <t>GES-1823-83.pdf</t>
  </si>
  <si>
    <t>GMD-1823-333.pdf</t>
  </si>
  <si>
    <t>GES-1823-84.pdf</t>
  </si>
  <si>
    <t>GES-1823-85.pdf</t>
  </si>
  <si>
    <t>GMD-1823-343.pdf</t>
  </si>
  <si>
    <t>GES-1823-86.pdf</t>
  </si>
  <si>
    <t>GES-1823-87.pdf</t>
  </si>
  <si>
    <t>GES-1823-88.pdf</t>
  </si>
  <si>
    <t>GMD-1823-353.pdf</t>
  </si>
  <si>
    <t>GES-1823-89.pdf</t>
  </si>
  <si>
    <t>GES-1823-90.pdf</t>
  </si>
  <si>
    <t>GMD-1823-363.pdf</t>
  </si>
  <si>
    <t>GMD-1823-373E.pdf</t>
  </si>
  <si>
    <t>GES-1823-91.pdf</t>
  </si>
  <si>
    <t>GMD-1823-383E.pdf</t>
  </si>
  <si>
    <t>GES-1823-92.pdf</t>
  </si>
  <si>
    <t>GMD-1823-393.pdf</t>
  </si>
  <si>
    <t>GES-1823-93.pdf</t>
  </si>
  <si>
    <t>GES-1823-94.pdf</t>
  </si>
  <si>
    <t>GES-1823-95.pdf</t>
  </si>
  <si>
    <t>GMD-1823-403.pdf</t>
  </si>
  <si>
    <t>GES-1823-96.pdf</t>
  </si>
  <si>
    <t>GES-1823-97.pdf</t>
  </si>
  <si>
    <t>GES-1823-98E.pdf</t>
  </si>
  <si>
    <t>GMD-1823-413.pdf</t>
  </si>
  <si>
    <t>GMD-1823-423E.pdf</t>
  </si>
  <si>
    <t>GES-1823-99.pdf</t>
  </si>
  <si>
    <t>GES-1823-100.pdf</t>
  </si>
  <si>
    <t>GMD-1823-433.pdf</t>
  </si>
  <si>
    <t>GES-1823-101.pdf</t>
  </si>
  <si>
    <t>GES-1823-102.pdf</t>
  </si>
  <si>
    <t>GES-1823-103.pdf</t>
  </si>
  <si>
    <t>GMD-1823-443.pdf</t>
  </si>
  <si>
    <t>GMD-1823-453E.pdf</t>
  </si>
  <si>
    <t>GES-1823-104.pdf</t>
  </si>
  <si>
    <t>GES-1823-105.pdf</t>
  </si>
  <si>
    <t>GMD-1823-463.pdf</t>
  </si>
  <si>
    <t>GES-1823-106.pdf</t>
  </si>
  <si>
    <t>GES-1823-107.pdf</t>
  </si>
  <si>
    <t>GMD-1823-473.pdf</t>
  </si>
  <si>
    <t>GES-1823-108.pdf</t>
  </si>
  <si>
    <t>GES-1823-109.pdf</t>
  </si>
  <si>
    <t>GES-1823-110.pdf</t>
  </si>
  <si>
    <t>GMD-1823-483.pdf</t>
  </si>
  <si>
    <t>GES-1823-111.pdf</t>
  </si>
  <si>
    <t>GMD-1823-493E.pdf</t>
  </si>
  <si>
    <t>GES-1823-112.pdf</t>
  </si>
  <si>
    <t>GMD-1823-503.pdf</t>
  </si>
  <si>
    <t>GES-1823-113.pdf</t>
  </si>
  <si>
    <t>GES-1823-114.pdf</t>
  </si>
  <si>
    <t>GMD-1823-513.pdf</t>
  </si>
  <si>
    <t>GES-1823-115.pdf</t>
  </si>
  <si>
    <t>GMD-1823-523E.pdf</t>
  </si>
  <si>
    <t>GES-1823-116.pdf</t>
  </si>
  <si>
    <t>GES-1823-117.pdf</t>
  </si>
  <si>
    <t>Gaceta Española n.º 118 (extraordinaria)</t>
  </si>
  <si>
    <t>GES-1823-118E.pdf</t>
  </si>
  <si>
    <t>GMD-1823-533.pdf</t>
  </si>
  <si>
    <t>GES-1823-119.pdf</t>
  </si>
  <si>
    <t>GES-1823-120.pdf</t>
  </si>
  <si>
    <t>GMD-1823-543.pdf</t>
  </si>
  <si>
    <t>GMD-1823-553E.pdf</t>
  </si>
  <si>
    <t>GES-1823-121.pdf</t>
  </si>
  <si>
    <t>GES-1823-122.pdf</t>
  </si>
  <si>
    <t>GMD-1823-563.pdf</t>
  </si>
  <si>
    <t>Gaceta de Madrid n.º 573 (extraordinaria)</t>
  </si>
  <si>
    <t>GMD-1823-573E.pdf</t>
  </si>
  <si>
    <t>GES-1823-123.pdf</t>
  </si>
  <si>
    <t>GES-1823-124.pdf</t>
  </si>
  <si>
    <t>GES-1823-125.pdf</t>
  </si>
  <si>
    <t>GMD-1823-583.pdf</t>
  </si>
  <si>
    <t>GES-1823-126.pdf</t>
  </si>
  <si>
    <t>GES-1823-127.pdf</t>
  </si>
  <si>
    <t>GMD-1823-593.pdf</t>
  </si>
  <si>
    <t>GES-1823-128.pdf</t>
  </si>
  <si>
    <t>GES-1823-129.pdf</t>
  </si>
  <si>
    <t>GMD-1823-603.pdf</t>
  </si>
  <si>
    <t>GES-1823-130.pdf</t>
  </si>
  <si>
    <t>GES-1823-131.pdf</t>
  </si>
  <si>
    <t>GES-1823-132.pdf</t>
  </si>
  <si>
    <t>GMD-1823-613.pdf</t>
  </si>
  <si>
    <t>GES-1823-133.pdf</t>
  </si>
  <si>
    <t>GES-1823-134.pdf</t>
  </si>
  <si>
    <t>GMD-1823-623.pdf</t>
  </si>
  <si>
    <t>GES-1823-135.pdf</t>
  </si>
  <si>
    <t>GES-1823-136.pdf</t>
  </si>
  <si>
    <t>GMD-1823-633.pdf</t>
  </si>
  <si>
    <t>GES-1823-137.pdf</t>
  </si>
  <si>
    <t>GES-1823-138.pdf</t>
  </si>
  <si>
    <t>GMD-1823-643E.pdf</t>
  </si>
  <si>
    <t>GES-1823-139.pdf</t>
  </si>
  <si>
    <t>GMD-1823-653.pdf</t>
  </si>
  <si>
    <t>GES-1823-140.pdf</t>
  </si>
  <si>
    <t>GES-1823-141.pdf</t>
  </si>
  <si>
    <t>GMD-1823-663.pdf</t>
  </si>
  <si>
    <t>GES-1823-142.pdf</t>
  </si>
  <si>
    <t>GES-1823-143.pdf</t>
  </si>
  <si>
    <t>GMD-1823-673.pdf</t>
  </si>
  <si>
    <t>GES-1823-144.pdf</t>
  </si>
  <si>
    <t>GES-1823-145.pdf</t>
  </si>
  <si>
    <t>GES-1823-146.pdf</t>
  </si>
  <si>
    <t>GMD-1823-683.pdf</t>
  </si>
  <si>
    <t>GES-1823-147.pdf</t>
  </si>
  <si>
    <t>GES-1823-148.pdf</t>
  </si>
  <si>
    <t>GMD-1823-693.pdf</t>
  </si>
  <si>
    <t>Gaceta de Madrid n.º 703 (extraordinaria)</t>
  </si>
  <si>
    <t>GMD-1823-703E.pdf</t>
  </si>
  <si>
    <t>GES-1823-149.pdf</t>
  </si>
  <si>
    <t>GES-1823-150.pdf</t>
  </si>
  <si>
    <t>GMD-1823-713.pdf</t>
  </si>
  <si>
    <t>GES-1823-151.pdf</t>
  </si>
  <si>
    <t>GMD-1823-72E.pdf</t>
  </si>
  <si>
    <t>GES-1823-152.pdf</t>
  </si>
  <si>
    <t>GES-1823-153.pdf</t>
  </si>
  <si>
    <t>GMD-1823-733.pdf</t>
  </si>
  <si>
    <t>GMD-1823-743E.pdf</t>
  </si>
  <si>
    <t>GES-1823-154.pdf</t>
  </si>
  <si>
    <t>GES-1823-155.pdf</t>
  </si>
  <si>
    <t>GMD-1823-753.pdf</t>
  </si>
  <si>
    <t>GMD-1823-763E.pdf</t>
  </si>
  <si>
    <t>GES-1823-156.pdf</t>
  </si>
  <si>
    <t>GES-1823-157.pdf</t>
  </si>
  <si>
    <t>GMD-1823-773.pdf</t>
  </si>
  <si>
    <t>GES-1823-158.pdf</t>
  </si>
  <si>
    <t>GES-1823-159.pdf</t>
  </si>
  <si>
    <t>GES-1823-160.pdf</t>
  </si>
  <si>
    <t>GMD-1823-783.pdf</t>
  </si>
  <si>
    <t>GES-1823-161.pdf</t>
  </si>
  <si>
    <t>GMD-1823-793E.pdf</t>
  </si>
  <si>
    <t>GES-1823-162.pdf</t>
  </si>
  <si>
    <t>GMD-1823-803.pdf</t>
  </si>
  <si>
    <t>GES-1823-163.pdf</t>
  </si>
  <si>
    <t>GES-1823-164.pdf</t>
  </si>
  <si>
    <t>GMD-1823-813.pdf</t>
  </si>
  <si>
    <t>GMD-1823-823E.pdf</t>
  </si>
  <si>
    <t>GES-1823-165.pdf</t>
  </si>
  <si>
    <t>GES-1823-166.pdf</t>
  </si>
  <si>
    <t>GES-1823-167.pdf</t>
  </si>
  <si>
    <t>GMD-1823-833.pdf</t>
  </si>
  <si>
    <t>GMD-1823-843E.pdf</t>
  </si>
  <si>
    <t>GES-1823-168.pdf</t>
  </si>
  <si>
    <t>GES-1823-169.pdf</t>
  </si>
  <si>
    <t>GMD-1823-853.pdf</t>
  </si>
  <si>
    <t>GES-1823-170.pdf</t>
  </si>
  <si>
    <t>GES-1823-171.pdf</t>
  </si>
  <si>
    <t>GMD-1823-863.pdf</t>
  </si>
  <si>
    <t>GES-1823-172.pdf</t>
  </si>
  <si>
    <t>GES-1823-173.pdf</t>
  </si>
  <si>
    <t>Gaceta Española n.º 174</t>
  </si>
  <si>
    <t>GES-1823-174.pdf</t>
  </si>
  <si>
    <t>GMD-1823-873.pdf</t>
  </si>
  <si>
    <t>GES-1823-175.pdf</t>
  </si>
  <si>
    <t>GMD-1823-883E.pdf</t>
  </si>
  <si>
    <t>GES-1823-176.pdf</t>
  </si>
  <si>
    <t>GMD-1823-893.pdf</t>
  </si>
  <si>
    <t>GMD-1823-903E.pdf</t>
  </si>
  <si>
    <t>E00001-00001.pdf</t>
  </si>
  <si>
    <t>GES-1823-177.pdf</t>
  </si>
  <si>
    <t>GMD-1823-913.pdf</t>
  </si>
  <si>
    <t>GMD-1823-923E.pdf</t>
  </si>
  <si>
    <t>GMD-1823-933.pdf</t>
  </si>
  <si>
    <t>GMD-1823-943E.pdf</t>
  </si>
  <si>
    <t>GMD-1823-953.pdf</t>
  </si>
  <si>
    <t>GMD-1823-963.pdf</t>
  </si>
  <si>
    <t>GMD-1823-973.pdf</t>
  </si>
  <si>
    <t>GMD-1823-983.pdf</t>
  </si>
  <si>
    <t>GMD-1823-993.pdf</t>
  </si>
  <si>
    <t>GMD-1823-1003.pdf</t>
  </si>
  <si>
    <t>GMD-1823-1013.pdf</t>
  </si>
  <si>
    <t>GMD-1823-1023.pdf</t>
  </si>
  <si>
    <t>GMD-1823-1033.pdf</t>
  </si>
  <si>
    <t>GMD-1823-1043.pdf</t>
  </si>
  <si>
    <t>GMD-1823-1053.pdf</t>
  </si>
  <si>
    <t>GMD-1823-1063.pdf</t>
  </si>
  <si>
    <t>GMD-1823-1073.pdf</t>
  </si>
  <si>
    <t>GMD-1823-1083.pdf</t>
  </si>
  <si>
    <t>GMD-1823-1093E.pdf</t>
  </si>
  <si>
    <t>GMD-1823-1103.pdf</t>
  </si>
  <si>
    <t>GMD-1823-1113.pdf</t>
  </si>
  <si>
    <t>GMD-1823-1123.pdf</t>
  </si>
  <si>
    <t>GMD-1823-1133.pdf</t>
  </si>
  <si>
    <t>GMD-1823-1143.pdf</t>
  </si>
  <si>
    <t>GMD-1823-1153.pdf</t>
  </si>
  <si>
    <t>GMD-1823-1163.pdf</t>
  </si>
  <si>
    <t>GMD-1823-1173.pdf</t>
  </si>
  <si>
    <t>GMD-1823-1183.pdf</t>
  </si>
  <si>
    <t>GMD-1823-1193.pdf</t>
  </si>
  <si>
    <t>GMD-1823-1203.pdf</t>
  </si>
  <si>
    <t>GMD-1823-1213.pdf</t>
  </si>
  <si>
    <t>GMD-1823-1223.pdf</t>
  </si>
  <si>
    <t>GMD-1823-1233.pdf</t>
  </si>
  <si>
    <t>GMD-1823-1243.pdf</t>
  </si>
  <si>
    <t>GMD-1823-1253.pdf</t>
  </si>
  <si>
    <t>GMD-1823-1263.pdf</t>
  </si>
  <si>
    <t>GMD-1823-1273.pdf</t>
  </si>
  <si>
    <t>GMD-1823-1283.pdf</t>
  </si>
  <si>
    <t>GMD-1823-1293.pdf</t>
  </si>
  <si>
    <t>GMD-1823-1303.pdf</t>
  </si>
  <si>
    <t>GMD-1823-1313.pdf</t>
  </si>
  <si>
    <t>Criterios, alcance y limitaciones</t>
  </si>
  <si>
    <t>Cobertura</t>
  </si>
  <si>
    <t>Se incluyen los 429 archivos localizados en la hemeroteca oficial entre el 1 de enero y el 31 de diciembre de 1823, incluidas 48 ediciones extraordinarias.</t>
  </si>
  <si>
    <t>Cabeceras</t>
  </si>
  <si>
    <t>Gaceta de Madrid (254 archivos); Gaceta Española (175 archivos).</t>
  </si>
  <si>
    <t>Numeración</t>
  </si>
  <si>
    <t>La numeración y las 48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</si>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</sst>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20">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14" fontId="6" fillId="0" borderId="0" xfId="0" applyNumberFormat="1" applyFont="1" applyAlignment="1">
      <alignment horizontal="center" vertical="top" wrapText="1"/>
    </xf>
    <xf numFmtId="14" fontId="0" fillId="0" borderId="0" xfId="0" applyNumberFormat="1"/>
    <xf numFmtId="14"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23" displayName="IndiceOnomasticoAnual1823" ref="A6:K11277" totalsRowShown="0">
  <autoFilter ref="A6:K11277"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23" displayName="FuentesGacetaAnual1823" ref="A4:F433" totalsRowShown="0">
  <autoFilter ref="A4:F433"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11277"/>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9" defaultRowHeight="14.25"/>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9" t="s">
        <v>0</v>
      </c>
      <c r="B1" s="9"/>
      <c r="C1" s="9"/>
      <c r="D1" s="9"/>
      <c r="E1" s="9"/>
      <c r="F1" s="9"/>
      <c r="G1" s="9"/>
      <c r="H1" s="9"/>
      <c r="I1" s="9"/>
      <c r="J1" s="9"/>
      <c r="K1" s="9"/>
    </row>
    <row r="2" spans="1:11" ht="21.95" customHeight="1">
      <c r="A2" s="10" t="s">
        <v>1</v>
      </c>
      <c r="B2" s="10"/>
      <c r="C2" s="10"/>
      <c r="D2" s="10"/>
      <c r="E2" s="10"/>
      <c r="F2" s="10"/>
      <c r="G2" s="10"/>
      <c r="H2" s="10"/>
      <c r="I2" s="10"/>
      <c r="J2" s="10"/>
      <c r="K2" s="10"/>
    </row>
    <row r="3" spans="1:11" ht="33.950000000000003" customHeight="1">
      <c r="A3" s="11" t="s">
        <v>2</v>
      </c>
      <c r="B3" s="11"/>
      <c r="C3" s="11"/>
      <c r="D3" s="11"/>
      <c r="E3" s="11"/>
      <c r="F3" s="11"/>
      <c r="G3" s="11"/>
      <c r="H3" s="11"/>
      <c r="I3" s="11"/>
      <c r="J3" s="11"/>
      <c r="K3" s="11"/>
    </row>
    <row r="4" spans="1:11" ht="21.95" customHeight="1">
      <c r="A4" s="12" t="s">
        <v>3</v>
      </c>
      <c r="B4" s="12"/>
      <c r="C4" s="12"/>
      <c r="D4" s="12"/>
      <c r="E4" s="12"/>
      <c r="F4" s="12"/>
      <c r="G4" s="12"/>
      <c r="H4" s="12"/>
      <c r="I4" s="12"/>
      <c r="J4" s="12"/>
      <c r="K4" s="12"/>
    </row>
    <row r="6" spans="1:11" ht="32.1"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v>-28066</v>
      </c>
      <c r="F7" s="3" t="s">
        <v>19</v>
      </c>
      <c r="G7" s="3" t="s">
        <v>20</v>
      </c>
      <c r="H7" s="2" t="s">
        <v>21</v>
      </c>
      <c r="I7" s="2" t="s">
        <v>22</v>
      </c>
      <c r="J7" s="3" t="str">
        <f>HYPERLINK("https://www.boe.es/gazeta/dias/1823/02/26/pdfs/GMD-1823-60.pdf#page=4","Abrir facsímil")</f>
        <v>Abrir facsímil</v>
      </c>
      <c r="K7" s="3" t="s">
        <v>23</v>
      </c>
    </row>
    <row r="8" spans="1:11" ht="42" customHeight="1">
      <c r="A8" s="2" t="s">
        <v>24</v>
      </c>
      <c r="B8" s="2" t="s">
        <v>25</v>
      </c>
      <c r="C8" s="2" t="s">
        <v>17</v>
      </c>
      <c r="D8" s="2" t="s">
        <v>18</v>
      </c>
      <c r="E8" s="5">
        <v>-28003</v>
      </c>
      <c r="F8" s="3" t="s">
        <v>26</v>
      </c>
      <c r="G8" s="3" t="s">
        <v>27</v>
      </c>
      <c r="H8" s="2" t="s">
        <v>28</v>
      </c>
      <c r="I8" s="2" t="s">
        <v>29</v>
      </c>
      <c r="J8" s="3" t="str">
        <f>HYPERLINK("https://www.boe.es/gazeta/dias/1823/04/30/pdfs/GES-1823-20.pdf#page=2","Abrir facsímil")</f>
        <v>Abrir facsímil</v>
      </c>
      <c r="K8" s="3" t="s">
        <v>30</v>
      </c>
    </row>
    <row r="9" spans="1:11" ht="42" customHeight="1">
      <c r="A9" s="2" t="s">
        <v>31</v>
      </c>
      <c r="B9" s="2" t="s">
        <v>32</v>
      </c>
      <c r="C9" s="2" t="s">
        <v>17</v>
      </c>
      <c r="D9" s="2" t="s">
        <v>18</v>
      </c>
      <c r="E9" s="5">
        <v>-28004</v>
      </c>
      <c r="F9" s="3" t="s">
        <v>33</v>
      </c>
      <c r="G9" s="3" t="s">
        <v>34</v>
      </c>
      <c r="H9" s="2" t="s">
        <v>28</v>
      </c>
      <c r="I9" s="2" t="s">
        <v>35</v>
      </c>
      <c r="J9" s="3" t="str">
        <f>HYPERLINK("https://www.boe.es/gazeta/dias/1823/04/29/pdfs/GES-1823-19.pdf#page=5","Abrir facsímil")</f>
        <v>Abrir facsímil</v>
      </c>
      <c r="K9" s="3" t="s">
        <v>30</v>
      </c>
    </row>
    <row r="10" spans="1:11" ht="42" customHeight="1">
      <c r="A10" s="2" t="s">
        <v>36</v>
      </c>
      <c r="B10" s="2" t="s">
        <v>37</v>
      </c>
      <c r="C10" s="2" t="s">
        <v>17</v>
      </c>
      <c r="D10" s="2" t="s">
        <v>18</v>
      </c>
      <c r="E10" s="5">
        <v>-27910</v>
      </c>
      <c r="F10" s="3" t="s">
        <v>38</v>
      </c>
      <c r="G10" s="3" t="s">
        <v>39</v>
      </c>
      <c r="H10" s="2" t="s">
        <v>28</v>
      </c>
      <c r="I10" s="2" t="s">
        <v>40</v>
      </c>
      <c r="J10" s="3" t="str">
        <f>HYPERLINK("https://www.boe.es/gazeta/dias/1823/08/01/pdfs/GES-1823-113.pdf#page=1","Abrir facsímil")</f>
        <v>Abrir facsímil</v>
      </c>
      <c r="K10" s="3" t="s">
        <v>30</v>
      </c>
    </row>
    <row r="11" spans="1:11" ht="42" customHeight="1">
      <c r="A11" s="2" t="s">
        <v>41</v>
      </c>
      <c r="B11" s="2" t="s">
        <v>42</v>
      </c>
      <c r="C11" s="2" t="s">
        <v>17</v>
      </c>
      <c r="D11" s="2" t="s">
        <v>18</v>
      </c>
      <c r="E11" s="5">
        <v>-28112</v>
      </c>
      <c r="F11" s="3" t="s">
        <v>43</v>
      </c>
      <c r="G11" s="3" t="s">
        <v>39</v>
      </c>
      <c r="H11" s="2" t="s">
        <v>28</v>
      </c>
      <c r="I11" s="2" t="s">
        <v>44</v>
      </c>
      <c r="J11" s="3" t="str">
        <f>HYPERLINK("https://www.boe.es/gazeta/dias/1823/01/11/pdfs/GMD-1823-11.pdf#page=1","Abrir facsímil")</f>
        <v>Abrir facsímil</v>
      </c>
      <c r="K11" s="3" t="s">
        <v>30</v>
      </c>
    </row>
    <row r="12" spans="1:11" ht="42" customHeight="1">
      <c r="A12" s="2" t="s">
        <v>45</v>
      </c>
      <c r="B12" s="2" t="s">
        <v>46</v>
      </c>
      <c r="C12" s="2" t="s">
        <v>17</v>
      </c>
      <c r="D12" s="2" t="s">
        <v>18</v>
      </c>
      <c r="E12" s="5">
        <v>-27975</v>
      </c>
      <c r="F12" s="3" t="s">
        <v>47</v>
      </c>
      <c r="G12" s="3" t="s">
        <v>48</v>
      </c>
      <c r="H12" s="2" t="s">
        <v>28</v>
      </c>
      <c r="I12" s="2" t="s">
        <v>49</v>
      </c>
      <c r="J12" s="3" t="str">
        <f>HYPERLINK("https://www.boe.es/gazeta/dias/1823/05/28/pdfs/GES-1823-50.pdf#page=3","Abrir facsímil")</f>
        <v>Abrir facsímil</v>
      </c>
      <c r="K12" s="3" t="s">
        <v>30</v>
      </c>
    </row>
    <row r="13" spans="1:11" ht="42" customHeight="1">
      <c r="A13" s="2" t="s">
        <v>50</v>
      </c>
      <c r="B13" s="2" t="s">
        <v>51</v>
      </c>
      <c r="C13" s="2" t="s">
        <v>17</v>
      </c>
      <c r="D13" s="2" t="s">
        <v>18</v>
      </c>
      <c r="E13" s="5">
        <v>-27961</v>
      </c>
      <c r="F13" s="3" t="s">
        <v>52</v>
      </c>
      <c r="G13" s="3" t="s">
        <v>20</v>
      </c>
      <c r="H13" s="2" t="s">
        <v>28</v>
      </c>
      <c r="I13" s="2" t="s">
        <v>53</v>
      </c>
      <c r="J13" s="3" t="str">
        <f>HYPERLINK("https://www.boe.es/gazeta/dias/1823/06/11/pdfs/GES-1823-65.pdf#page=4","Abrir facsímil")</f>
        <v>Abrir facsímil</v>
      </c>
      <c r="K13" s="3" t="s">
        <v>30</v>
      </c>
    </row>
    <row r="14" spans="1:11" ht="42" customHeight="1">
      <c r="A14" s="2" t="s">
        <v>54</v>
      </c>
      <c r="B14" s="2" t="s">
        <v>55</v>
      </c>
      <c r="C14" s="2" t="s">
        <v>56</v>
      </c>
      <c r="D14" s="2" t="s">
        <v>57</v>
      </c>
      <c r="E14" s="5">
        <v>-27964</v>
      </c>
      <c r="F14" s="3" t="s">
        <v>58</v>
      </c>
      <c r="G14" s="3" t="s">
        <v>59</v>
      </c>
      <c r="H14" s="2" t="s">
        <v>28</v>
      </c>
      <c r="I14" s="2" t="s">
        <v>60</v>
      </c>
      <c r="J14" s="3" t="str">
        <f>HYPERLINK("https://www.boe.es/gazeta/dias/1823/06/08/pdfs/GES-1823-62.pdf#page=6","Abrir facsímil")</f>
        <v>Abrir facsímil</v>
      </c>
      <c r="K14" s="3" t="s">
        <v>30</v>
      </c>
    </row>
    <row r="15" spans="1:11" ht="42" customHeight="1">
      <c r="A15" s="2" t="s">
        <v>54</v>
      </c>
      <c r="B15" s="2" t="s">
        <v>55</v>
      </c>
      <c r="C15" s="2" t="s">
        <v>17</v>
      </c>
      <c r="D15" s="2" t="s">
        <v>18</v>
      </c>
      <c r="E15" s="5">
        <v>-27884</v>
      </c>
      <c r="F15" s="3" t="s">
        <v>61</v>
      </c>
      <c r="G15" s="3" t="s">
        <v>27</v>
      </c>
      <c r="H15" s="2" t="s">
        <v>28</v>
      </c>
      <c r="I15" s="2" t="s">
        <v>62</v>
      </c>
      <c r="J15" s="3" t="str">
        <f>HYPERLINK("https://www.boe.es/gazeta/dias/1823/08/27/pdfs/GES-1823-140.pdf#page=2","Abrir facsímil")</f>
        <v>Abrir facsímil</v>
      </c>
      <c r="K15" s="3" t="s">
        <v>30</v>
      </c>
    </row>
    <row r="16" spans="1:11" ht="42" customHeight="1">
      <c r="A16" s="2" t="s">
        <v>63</v>
      </c>
      <c r="B16" s="2" t="s">
        <v>64</v>
      </c>
      <c r="C16" s="2" t="s">
        <v>56</v>
      </c>
      <c r="D16" s="2" t="s">
        <v>57</v>
      </c>
      <c r="E16" s="5">
        <v>-27885</v>
      </c>
      <c r="F16" s="3" t="s">
        <v>65</v>
      </c>
      <c r="G16" s="3" t="s">
        <v>27</v>
      </c>
      <c r="H16" s="2" t="s">
        <v>28</v>
      </c>
      <c r="I16" s="2" t="s">
        <v>66</v>
      </c>
      <c r="J16" s="3" t="str">
        <f>HYPERLINK("https://www.boe.es/gazeta/dias/1823/08/26/pdfs/GMD-1823-653.pdf#page=2","Abrir facsímil")</f>
        <v>Abrir facsímil</v>
      </c>
      <c r="K16" s="3" t="s">
        <v>30</v>
      </c>
    </row>
    <row r="17" spans="1:11" ht="42" customHeight="1">
      <c r="A17" s="2" t="s">
        <v>67</v>
      </c>
      <c r="B17" s="2" t="s">
        <v>68</v>
      </c>
      <c r="C17" s="2" t="s">
        <v>17</v>
      </c>
      <c r="D17" s="2" t="s">
        <v>18</v>
      </c>
      <c r="E17" s="5">
        <v>-28043</v>
      </c>
      <c r="F17" s="3" t="s">
        <v>69</v>
      </c>
      <c r="G17" s="3" t="s">
        <v>34</v>
      </c>
      <c r="H17" s="2" t="s">
        <v>28</v>
      </c>
      <c r="I17" s="2" t="s">
        <v>70</v>
      </c>
      <c r="J17" s="3" t="str">
        <f>HYPERLINK("https://www.boe.es/gazeta/dias/1823/03/21/pdfs/GMD-1823-84.pdf#page=5","Abrir facsímil")</f>
        <v>Abrir facsímil</v>
      </c>
      <c r="K17" s="3" t="s">
        <v>30</v>
      </c>
    </row>
    <row r="18" spans="1:11" ht="42" customHeight="1">
      <c r="A18" s="2" t="s">
        <v>71</v>
      </c>
      <c r="B18" s="2" t="s">
        <v>72</v>
      </c>
      <c r="C18" s="2" t="s">
        <v>73</v>
      </c>
      <c r="D18" s="2" t="s">
        <v>74</v>
      </c>
      <c r="E18" s="5">
        <v>-27986</v>
      </c>
      <c r="F18" s="3" t="s">
        <v>75</v>
      </c>
      <c r="G18" s="3" t="s">
        <v>27</v>
      </c>
      <c r="H18" s="2" t="s">
        <v>28</v>
      </c>
      <c r="I18" s="2" t="s">
        <v>76</v>
      </c>
      <c r="J18" s="3" t="str">
        <f>HYPERLINK("https://www.boe.es/gazeta/dias/1823/05/17/pdfs/GES-1823-37.pdf#page=2","Abrir facsímil")</f>
        <v>Abrir facsímil</v>
      </c>
      <c r="K18" s="3" t="s">
        <v>30</v>
      </c>
    </row>
    <row r="19" spans="1:11" ht="42" customHeight="1">
      <c r="A19" s="2" t="s">
        <v>77</v>
      </c>
      <c r="B19" s="2" t="s">
        <v>78</v>
      </c>
      <c r="C19" s="2" t="s">
        <v>79</v>
      </c>
      <c r="D19" s="2" t="s">
        <v>74</v>
      </c>
      <c r="E19" s="5">
        <v>-27908</v>
      </c>
      <c r="F19" s="3" t="s">
        <v>80</v>
      </c>
      <c r="G19" s="3" t="s">
        <v>39</v>
      </c>
      <c r="H19" s="2" t="s">
        <v>28</v>
      </c>
      <c r="I19" s="2" t="s">
        <v>81</v>
      </c>
      <c r="J19" s="3" t="str">
        <f>HYPERLINK("https://www.boe.es/gazeta/dias/1823/08/03/pdfs/GES-1823-115.pdf#page=1","Abrir facsímil")</f>
        <v>Abrir facsímil</v>
      </c>
      <c r="K19" s="3" t="s">
        <v>30</v>
      </c>
    </row>
    <row r="20" spans="1:11" ht="42" customHeight="1">
      <c r="A20" s="2" t="s">
        <v>82</v>
      </c>
      <c r="B20" s="2" t="s">
        <v>83</v>
      </c>
      <c r="C20" s="2" t="s">
        <v>84</v>
      </c>
      <c r="D20" s="2" t="s">
        <v>74</v>
      </c>
      <c r="E20" s="5">
        <v>-28046</v>
      </c>
      <c r="F20" s="3" t="s">
        <v>85</v>
      </c>
      <c r="G20" s="3" t="s">
        <v>20</v>
      </c>
      <c r="H20" s="2" t="s">
        <v>28</v>
      </c>
      <c r="I20" s="2" t="s">
        <v>86</v>
      </c>
      <c r="J20" s="3" t="str">
        <f>HYPERLINK("https://www.boe.es/gazeta/dias/1823/03/18/pdfs/GMD-1823-81.pdf#page=4","Abrir facsímil")</f>
        <v>Abrir facsímil</v>
      </c>
      <c r="K20" s="3" t="s">
        <v>30</v>
      </c>
    </row>
    <row r="21" spans="1:11" ht="42" customHeight="1">
      <c r="A21" s="2" t="s">
        <v>87</v>
      </c>
      <c r="B21" s="2" t="s">
        <v>88</v>
      </c>
      <c r="C21" s="2" t="s">
        <v>79</v>
      </c>
      <c r="D21" s="2" t="s">
        <v>74</v>
      </c>
      <c r="E21" s="5">
        <v>-27925</v>
      </c>
      <c r="F21" s="3" t="s">
        <v>89</v>
      </c>
      <c r="G21" s="3" t="s">
        <v>39</v>
      </c>
      <c r="H21" s="2" t="s">
        <v>28</v>
      </c>
      <c r="I21" s="2" t="s">
        <v>90</v>
      </c>
      <c r="J21" s="3" t="str">
        <f>HYPERLINK("https://www.boe.es/gazeta/dias/1823/07/17/pdfs/GES-1823-97.pdf#page=1","Abrir facsímil")</f>
        <v>Abrir facsímil</v>
      </c>
      <c r="K21" s="3" t="s">
        <v>30</v>
      </c>
    </row>
    <row r="22" spans="1:11" ht="42" customHeight="1">
      <c r="A22" s="2" t="s">
        <v>91</v>
      </c>
      <c r="B22" s="2" t="s">
        <v>92</v>
      </c>
      <c r="C22" s="2" t="s">
        <v>56</v>
      </c>
      <c r="D22" s="2" t="s">
        <v>57</v>
      </c>
      <c r="E22" s="5">
        <v>-28094</v>
      </c>
      <c r="F22" s="3" t="s">
        <v>93</v>
      </c>
      <c r="G22" s="3" t="s">
        <v>39</v>
      </c>
      <c r="H22" s="2" t="s">
        <v>28</v>
      </c>
      <c r="I22" s="2" t="s">
        <v>94</v>
      </c>
      <c r="J22" s="3" t="str">
        <f>HYPERLINK("https://www.boe.es/gazeta/dias/1823/01/29/pdfs/GMD-1823-30.pdf#page=1","Abrir facsímil")</f>
        <v>Abrir facsímil</v>
      </c>
      <c r="K22" s="3" t="s">
        <v>30</v>
      </c>
    </row>
    <row r="23" spans="1:11" ht="42" customHeight="1">
      <c r="A23" s="2" t="s">
        <v>95</v>
      </c>
      <c r="B23" s="2" t="s">
        <v>96</v>
      </c>
      <c r="C23" s="2" t="s">
        <v>73</v>
      </c>
      <c r="D23" s="2" t="s">
        <v>74</v>
      </c>
      <c r="E23" s="5">
        <v>-27999</v>
      </c>
      <c r="F23" s="3" t="s">
        <v>97</v>
      </c>
      <c r="G23" s="3" t="s">
        <v>48</v>
      </c>
      <c r="H23" s="2" t="s">
        <v>28</v>
      </c>
      <c r="I23" s="2" t="s">
        <v>98</v>
      </c>
      <c r="J23" s="3" t="str">
        <f>HYPERLINK("https://www.boe.es/gazeta/dias/1823/05/04/pdfs/GES-1823-24.pdf#page=3","Abrir facsímil")</f>
        <v>Abrir facsímil</v>
      </c>
      <c r="K23" s="3" t="s">
        <v>30</v>
      </c>
    </row>
    <row r="24" spans="1:11" ht="42" customHeight="1">
      <c r="A24" s="2" t="s">
        <v>99</v>
      </c>
      <c r="B24" s="2" t="s">
        <v>100</v>
      </c>
      <c r="C24" s="2" t="s">
        <v>17</v>
      </c>
      <c r="D24" s="2" t="s">
        <v>18</v>
      </c>
      <c r="E24" s="5">
        <v>-27938</v>
      </c>
      <c r="F24" s="3" t="s">
        <v>101</v>
      </c>
      <c r="G24" s="3" t="s">
        <v>48</v>
      </c>
      <c r="H24" s="2" t="s">
        <v>28</v>
      </c>
      <c r="I24" s="2" t="s">
        <v>102</v>
      </c>
      <c r="J24" s="3" t="str">
        <f>HYPERLINK("https://www.boe.es/gazeta/dias/1823/07/04/pdfs/GES-1823-84.pdf#page=3","Abrir facsímil")</f>
        <v>Abrir facsímil</v>
      </c>
      <c r="K24" s="3" t="s">
        <v>30</v>
      </c>
    </row>
    <row r="25" spans="1:11" ht="42" customHeight="1">
      <c r="A25" s="2" t="s">
        <v>103</v>
      </c>
      <c r="B25" s="2" t="s">
        <v>104</v>
      </c>
      <c r="C25" s="2" t="s">
        <v>79</v>
      </c>
      <c r="D25" s="2" t="s">
        <v>74</v>
      </c>
      <c r="E25" s="5">
        <v>-28013</v>
      </c>
      <c r="F25" s="3" t="s">
        <v>105</v>
      </c>
      <c r="G25" s="3" t="s">
        <v>20</v>
      </c>
      <c r="H25" s="2" t="s">
        <v>21</v>
      </c>
      <c r="I25" s="2" t="s">
        <v>106</v>
      </c>
      <c r="J25" s="3" t="str">
        <f>HYPERLINK("https://www.boe.es/gazeta/dias/1823/04/20/pdfs/GMD-1823-32.pdf#page=4","Abrir facsímil")</f>
        <v>Abrir facsímil</v>
      </c>
      <c r="K25" s="3" t="s">
        <v>23</v>
      </c>
    </row>
    <row r="26" spans="1:11" ht="42" customHeight="1">
      <c r="A26" s="2" t="s">
        <v>107</v>
      </c>
      <c r="B26" s="2" t="s">
        <v>108</v>
      </c>
      <c r="C26" s="2" t="s">
        <v>109</v>
      </c>
      <c r="D26" s="2" t="s">
        <v>74</v>
      </c>
      <c r="E26" s="5">
        <v>-27903</v>
      </c>
      <c r="F26" s="3" t="s">
        <v>110</v>
      </c>
      <c r="G26" s="3" t="s">
        <v>27</v>
      </c>
      <c r="H26" s="2" t="s">
        <v>21</v>
      </c>
      <c r="I26" s="2" t="s">
        <v>111</v>
      </c>
      <c r="J26" s="3" t="str">
        <f>HYPERLINK("https://www.boe.es/gazeta/dias/1823/08/08/pdfs/GES-1823-121.pdf#page=2","Abrir facsímil")</f>
        <v>Abrir facsímil</v>
      </c>
      <c r="K26" s="3" t="s">
        <v>23</v>
      </c>
    </row>
    <row r="27" spans="1:11" ht="42" customHeight="1">
      <c r="A27" s="2" t="s">
        <v>112</v>
      </c>
      <c r="B27" s="2" t="s">
        <v>113</v>
      </c>
      <c r="C27" s="2" t="s">
        <v>17</v>
      </c>
      <c r="D27" s="2" t="s">
        <v>18</v>
      </c>
      <c r="E27" s="5">
        <v>-28104</v>
      </c>
      <c r="F27" s="3" t="s">
        <v>114</v>
      </c>
      <c r="G27" s="3" t="s">
        <v>34</v>
      </c>
      <c r="H27" s="2" t="s">
        <v>21</v>
      </c>
      <c r="I27" s="2" t="s">
        <v>115</v>
      </c>
      <c r="J27" s="3" t="str">
        <f>HYPERLINK("https://www.boe.es/gazeta/dias/1823/01/19/pdfs/GMD-1823-19.pdf#page=5","Abrir facsímil")</f>
        <v>Abrir facsímil</v>
      </c>
      <c r="K27" s="3" t="s">
        <v>23</v>
      </c>
    </row>
    <row r="28" spans="1:11" ht="42" customHeight="1">
      <c r="A28" s="2" t="s">
        <v>116</v>
      </c>
      <c r="B28" s="2" t="s">
        <v>116</v>
      </c>
      <c r="C28" s="2" t="s">
        <v>17</v>
      </c>
      <c r="D28" s="2" t="s">
        <v>117</v>
      </c>
      <c r="E28" s="5">
        <v>-27857</v>
      </c>
      <c r="F28" s="3" t="s">
        <v>118</v>
      </c>
      <c r="G28" s="3" t="s">
        <v>39</v>
      </c>
      <c r="H28" s="2" t="s">
        <v>21</v>
      </c>
      <c r="I28" s="2" t="s">
        <v>119</v>
      </c>
      <c r="J28" s="3" t="str">
        <f>HYPERLINK("https://www.boe.es/gazeta/dias/1823/09/23/pdfs/GMD-1823-843E.pdf#page=1","Abrir facsímil")</f>
        <v>Abrir facsímil</v>
      </c>
      <c r="K28" s="3" t="s">
        <v>23</v>
      </c>
    </row>
    <row r="29" spans="1:11" ht="42" customHeight="1">
      <c r="A29" s="2" t="s">
        <v>120</v>
      </c>
      <c r="B29" s="2" t="s">
        <v>121</v>
      </c>
      <c r="C29" s="2" t="s">
        <v>73</v>
      </c>
      <c r="D29" s="2" t="s">
        <v>74</v>
      </c>
      <c r="E29" s="5">
        <v>-27874</v>
      </c>
      <c r="F29" s="3" t="s">
        <v>122</v>
      </c>
      <c r="G29" s="3" t="s">
        <v>39</v>
      </c>
      <c r="H29" s="2" t="s">
        <v>21</v>
      </c>
      <c r="I29" s="2" t="s">
        <v>123</v>
      </c>
      <c r="J29" s="3" t="str">
        <f>HYPERLINK("https://www.boe.es/gazeta/dias/1823/09/06/pdfs/GMD-1823-713.pdf#page=1","Abrir facsímil")</f>
        <v>Abrir facsímil</v>
      </c>
      <c r="K29" s="3" t="s">
        <v>23</v>
      </c>
    </row>
    <row r="30" spans="1:11" ht="42" customHeight="1">
      <c r="A30" s="2" t="s">
        <v>124</v>
      </c>
      <c r="B30" s="2" t="s">
        <v>125</v>
      </c>
      <c r="C30" s="2" t="s">
        <v>56</v>
      </c>
      <c r="D30" s="2" t="s">
        <v>57</v>
      </c>
      <c r="E30" s="5">
        <v>-28039</v>
      </c>
      <c r="F30" s="3" t="s">
        <v>126</v>
      </c>
      <c r="G30" s="3" t="s">
        <v>20</v>
      </c>
      <c r="H30" s="2" t="s">
        <v>21</v>
      </c>
      <c r="I30" s="2" t="s">
        <v>127</v>
      </c>
      <c r="J30" s="3" t="str">
        <f>HYPERLINK("https://www.boe.es/gazeta/dias/1823/03/25/pdfs/GMD-1823-88.pdf#page=4","Abrir facsímil")</f>
        <v>Abrir facsímil</v>
      </c>
      <c r="K30" s="3" t="s">
        <v>23</v>
      </c>
    </row>
    <row r="31" spans="1:11" ht="42" customHeight="1">
      <c r="A31" s="2" t="s">
        <v>128</v>
      </c>
      <c r="B31" s="2" t="s">
        <v>129</v>
      </c>
      <c r="C31" s="2" t="s">
        <v>17</v>
      </c>
      <c r="D31" s="2" t="s">
        <v>18</v>
      </c>
      <c r="E31" s="5">
        <v>-27878</v>
      </c>
      <c r="F31" s="3" t="s">
        <v>130</v>
      </c>
      <c r="G31" s="3" t="s">
        <v>48</v>
      </c>
      <c r="H31" s="2" t="s">
        <v>28</v>
      </c>
      <c r="I31" s="2" t="s">
        <v>131</v>
      </c>
      <c r="J31" s="3" t="str">
        <f>HYPERLINK("https://www.boe.es/gazeta/dias/1823/09/02/pdfs/GES-1823-146.pdf#page=3","Abrir facsímil")</f>
        <v>Abrir facsímil</v>
      </c>
      <c r="K31" s="3" t="s">
        <v>30</v>
      </c>
    </row>
    <row r="32" spans="1:11" ht="42" customHeight="1">
      <c r="A32" s="2" t="s">
        <v>132</v>
      </c>
      <c r="B32" s="2" t="s">
        <v>133</v>
      </c>
      <c r="C32" s="2" t="s">
        <v>17</v>
      </c>
      <c r="D32" s="2" t="s">
        <v>18</v>
      </c>
      <c r="E32" s="5">
        <v>-28116</v>
      </c>
      <c r="F32" s="3" t="s">
        <v>134</v>
      </c>
      <c r="G32" s="3" t="s">
        <v>59</v>
      </c>
      <c r="H32" s="2" t="s">
        <v>21</v>
      </c>
      <c r="I32" s="2" t="s">
        <v>135</v>
      </c>
      <c r="J32" s="3" t="str">
        <f>HYPERLINK("https://www.boe.es/gazeta/dias/1823/01/07/pdfs/GMD-1823-7.pdf#page=6","Abrir facsímil")</f>
        <v>Abrir facsímil</v>
      </c>
      <c r="K32" s="3" t="s">
        <v>23</v>
      </c>
    </row>
    <row r="33" spans="1:11" ht="42" customHeight="1">
      <c r="A33" s="2" t="s">
        <v>136</v>
      </c>
      <c r="B33" s="2" t="s">
        <v>137</v>
      </c>
      <c r="C33" s="2" t="s">
        <v>17</v>
      </c>
      <c r="D33" s="2" t="s">
        <v>18</v>
      </c>
      <c r="E33" s="5">
        <v>-28035</v>
      </c>
      <c r="F33" s="3" t="s">
        <v>138</v>
      </c>
      <c r="G33" s="3" t="s">
        <v>20</v>
      </c>
      <c r="H33" s="2" t="s">
        <v>21</v>
      </c>
      <c r="I33" s="2" t="s">
        <v>139</v>
      </c>
      <c r="J33" s="3" t="str">
        <f>HYPERLINK("https://www.boe.es/gazeta/dias/1823/03/29/pdfs/GMD-1823-92.pdf#page=4","Abrir facsímil")</f>
        <v>Abrir facsímil</v>
      </c>
      <c r="K33" s="3" t="s">
        <v>23</v>
      </c>
    </row>
    <row r="34" spans="1:11" ht="42" customHeight="1">
      <c r="A34" s="2" t="s">
        <v>140</v>
      </c>
      <c r="B34" s="2" t="s">
        <v>140</v>
      </c>
      <c r="C34" s="2" t="s">
        <v>56</v>
      </c>
      <c r="D34" s="2" t="s">
        <v>57</v>
      </c>
      <c r="E34" s="5">
        <v>-28029</v>
      </c>
      <c r="F34" s="3" t="s">
        <v>141</v>
      </c>
      <c r="G34" s="3" t="s">
        <v>48</v>
      </c>
      <c r="H34" s="2" t="s">
        <v>21</v>
      </c>
      <c r="I34" s="2" t="s">
        <v>142</v>
      </c>
      <c r="J34" s="3" t="str">
        <f>HYPERLINK("https://www.boe.es/gazeta/dias/1823/04/04/pdfs/GMD-1823-98.pdf#page=3","Abrir facsímil")</f>
        <v>Abrir facsímil</v>
      </c>
      <c r="K34" s="3" t="s">
        <v>23</v>
      </c>
    </row>
    <row r="35" spans="1:11" ht="42" customHeight="1">
      <c r="A35" s="2" t="s">
        <v>143</v>
      </c>
      <c r="B35" s="2" t="s">
        <v>144</v>
      </c>
      <c r="C35" s="2" t="s">
        <v>56</v>
      </c>
      <c r="D35" s="2" t="s">
        <v>57</v>
      </c>
      <c r="E35" s="5">
        <v>-28030</v>
      </c>
      <c r="F35" s="3" t="s">
        <v>145</v>
      </c>
      <c r="G35" s="3" t="s">
        <v>39</v>
      </c>
      <c r="H35" s="2" t="s">
        <v>21</v>
      </c>
      <c r="I35" s="2" t="s">
        <v>146</v>
      </c>
      <c r="J35" s="3" t="str">
        <f>HYPERLINK("https://www.boe.es/gazeta/dias/1823/04/03/pdfs/GMD-1823-97.pdf#page=1","Abrir facsímil")</f>
        <v>Abrir facsímil</v>
      </c>
      <c r="K35" s="3" t="s">
        <v>23</v>
      </c>
    </row>
    <row r="36" spans="1:11" ht="42" customHeight="1">
      <c r="A36" s="2" t="s">
        <v>147</v>
      </c>
      <c r="B36" s="2" t="s">
        <v>148</v>
      </c>
      <c r="C36" s="2" t="s">
        <v>84</v>
      </c>
      <c r="D36" s="2" t="s">
        <v>74</v>
      </c>
      <c r="E36" s="5">
        <v>-28059</v>
      </c>
      <c r="F36" s="3" t="s">
        <v>149</v>
      </c>
      <c r="G36" s="3" t="s">
        <v>48</v>
      </c>
      <c r="H36" s="2" t="s">
        <v>21</v>
      </c>
      <c r="I36" s="2" t="s">
        <v>150</v>
      </c>
      <c r="J36" s="3" t="str">
        <f>HYPERLINK("https://www.boe.es/gazeta/dias/1823/03/05/pdfs/GMD-1823-68.pdf#page=3","Abrir facsímil")</f>
        <v>Abrir facsímil</v>
      </c>
      <c r="K36" s="3" t="s">
        <v>23</v>
      </c>
    </row>
    <row r="37" spans="1:11" ht="42" customHeight="1">
      <c r="A37" s="2" t="s">
        <v>151</v>
      </c>
      <c r="B37" s="2" t="s">
        <v>152</v>
      </c>
      <c r="C37" s="2" t="s">
        <v>56</v>
      </c>
      <c r="D37" s="2" t="s">
        <v>57</v>
      </c>
      <c r="E37" s="5">
        <v>-28114</v>
      </c>
      <c r="F37" s="3" t="s">
        <v>153</v>
      </c>
      <c r="G37" s="3" t="s">
        <v>27</v>
      </c>
      <c r="H37" s="2" t="s">
        <v>21</v>
      </c>
      <c r="I37" s="2" t="s">
        <v>154</v>
      </c>
      <c r="J37" s="3" t="str">
        <f>HYPERLINK("https://www.boe.es/gazeta/dias/1823/01/09/pdfs/GMD-1823-9.pdf#page=2","Abrir facsímil")</f>
        <v>Abrir facsímil</v>
      </c>
      <c r="K37" s="3" t="s">
        <v>23</v>
      </c>
    </row>
    <row r="38" spans="1:11" ht="42" customHeight="1">
      <c r="A38" s="2" t="s">
        <v>155</v>
      </c>
      <c r="B38" s="2" t="s">
        <v>155</v>
      </c>
      <c r="C38" s="2" t="s">
        <v>17</v>
      </c>
      <c r="D38" s="2" t="s">
        <v>117</v>
      </c>
      <c r="E38" s="5">
        <v>-28092</v>
      </c>
      <c r="F38" s="3" t="s">
        <v>156</v>
      </c>
      <c r="G38" s="3" t="s">
        <v>39</v>
      </c>
      <c r="H38" s="2" t="s">
        <v>21</v>
      </c>
      <c r="I38" s="2" t="s">
        <v>157</v>
      </c>
      <c r="J38" s="3" t="str">
        <f>HYPERLINK("https://www.boe.es/gazeta/dias/1823/01/31/pdfs/GMD-1823-33E.pdf#page=1","Abrir facsímil")</f>
        <v>Abrir facsímil</v>
      </c>
      <c r="K38" s="3" t="s">
        <v>23</v>
      </c>
    </row>
    <row r="39" spans="1:11" ht="42" customHeight="1">
      <c r="A39" s="2" t="s">
        <v>158</v>
      </c>
      <c r="B39" s="2" t="s">
        <v>159</v>
      </c>
      <c r="C39" s="2" t="s">
        <v>17</v>
      </c>
      <c r="D39" s="2" t="s">
        <v>18</v>
      </c>
      <c r="E39" s="5">
        <v>-27873</v>
      </c>
      <c r="F39" s="3" t="s">
        <v>160</v>
      </c>
      <c r="G39" s="3" t="s">
        <v>48</v>
      </c>
      <c r="H39" s="2" t="s">
        <v>21</v>
      </c>
      <c r="I39" s="2" t="s">
        <v>161</v>
      </c>
      <c r="J39" s="3" t="str">
        <f>HYPERLINK("https://www.boe.es/gazeta/dias/1823/09/07/pdfs/GES-1823-151.pdf#page=3","Abrir facsímil")</f>
        <v>Abrir facsímil</v>
      </c>
      <c r="K39" s="3" t="s">
        <v>23</v>
      </c>
    </row>
    <row r="40" spans="1:11" ht="42" customHeight="1">
      <c r="A40" s="2" t="s">
        <v>162</v>
      </c>
      <c r="B40" s="2" t="s">
        <v>162</v>
      </c>
      <c r="C40" s="2" t="s">
        <v>17</v>
      </c>
      <c r="D40" s="2" t="s">
        <v>117</v>
      </c>
      <c r="E40" s="5">
        <v>-27958</v>
      </c>
      <c r="F40" s="3" t="s">
        <v>163</v>
      </c>
      <c r="G40" s="3" t="s">
        <v>39</v>
      </c>
      <c r="H40" s="2" t="s">
        <v>21</v>
      </c>
      <c r="I40" s="2" t="s">
        <v>164</v>
      </c>
      <c r="J40" s="3" t="str">
        <f>HYPERLINK("https://www.boe.es/gazeta/dias/1823/06/14/pdfs/GMD-1823-163E.pdf#page=1","Abrir facsímil")</f>
        <v>Abrir facsímil</v>
      </c>
      <c r="K40" s="3" t="s">
        <v>23</v>
      </c>
    </row>
    <row r="41" spans="1:11" ht="42" customHeight="1">
      <c r="A41" s="2" t="s">
        <v>165</v>
      </c>
      <c r="B41" s="2" t="s">
        <v>165</v>
      </c>
      <c r="C41" s="2" t="s">
        <v>17</v>
      </c>
      <c r="D41" s="2" t="s">
        <v>18</v>
      </c>
      <c r="E41" s="5">
        <v>-27975</v>
      </c>
      <c r="F41" s="3" t="s">
        <v>47</v>
      </c>
      <c r="G41" s="3" t="s">
        <v>27</v>
      </c>
      <c r="H41" s="2" t="s">
        <v>21</v>
      </c>
      <c r="I41" s="2" t="s">
        <v>166</v>
      </c>
      <c r="J41" s="3" t="str">
        <f>HYPERLINK("https://www.boe.es/gazeta/dias/1823/05/28/pdfs/GES-1823-50.pdf#page=2","Abrir facsímil")</f>
        <v>Abrir facsímil</v>
      </c>
      <c r="K41" s="3" t="s">
        <v>23</v>
      </c>
    </row>
    <row r="42" spans="1:11" ht="42" customHeight="1">
      <c r="A42" s="2" t="s">
        <v>165</v>
      </c>
      <c r="B42" s="2" t="s">
        <v>165</v>
      </c>
      <c r="C42" s="2" t="s">
        <v>109</v>
      </c>
      <c r="D42" s="2" t="s">
        <v>74</v>
      </c>
      <c r="E42" s="5">
        <v>-27910</v>
      </c>
      <c r="F42" s="3" t="s">
        <v>38</v>
      </c>
      <c r="G42" s="3" t="s">
        <v>48</v>
      </c>
      <c r="H42" s="2" t="s">
        <v>21</v>
      </c>
      <c r="I42" s="2" t="s">
        <v>167</v>
      </c>
      <c r="J42" s="3" t="str">
        <f>HYPERLINK("https://www.boe.es/gazeta/dias/1823/08/01/pdfs/GES-1823-113.pdf#page=3","Abrir facsímil")</f>
        <v>Abrir facsímil</v>
      </c>
      <c r="K42" s="3" t="s">
        <v>23</v>
      </c>
    </row>
    <row r="43" spans="1:11" ht="42" customHeight="1">
      <c r="A43" s="2" t="s">
        <v>168</v>
      </c>
      <c r="B43" s="2" t="s">
        <v>169</v>
      </c>
      <c r="C43" s="2" t="s">
        <v>79</v>
      </c>
      <c r="D43" s="2" t="s">
        <v>74</v>
      </c>
      <c r="E43" s="5">
        <v>-28081</v>
      </c>
      <c r="F43" s="3" t="s">
        <v>170</v>
      </c>
      <c r="G43" s="3" t="s">
        <v>20</v>
      </c>
      <c r="H43" s="2" t="s">
        <v>21</v>
      </c>
      <c r="I43" s="2" t="s">
        <v>171</v>
      </c>
      <c r="J43" s="3" t="str">
        <f>HYPERLINK("https://www.boe.es/gazeta/dias/1823/02/11/pdfs/GMD-1823-45.pdf#page=4","Abrir facsímil")</f>
        <v>Abrir facsímil</v>
      </c>
      <c r="K43" s="3" t="s">
        <v>23</v>
      </c>
    </row>
    <row r="44" spans="1:11" ht="42" customHeight="1">
      <c r="A44" s="2" t="s">
        <v>172</v>
      </c>
      <c r="B44" s="2" t="s">
        <v>173</v>
      </c>
      <c r="C44" s="2" t="s">
        <v>17</v>
      </c>
      <c r="D44" s="2" t="s">
        <v>18</v>
      </c>
      <c r="E44" s="5">
        <v>-28090</v>
      </c>
      <c r="F44" s="3" t="s">
        <v>174</v>
      </c>
      <c r="G44" s="3" t="s">
        <v>20</v>
      </c>
      <c r="H44" s="2" t="s">
        <v>21</v>
      </c>
      <c r="I44" s="2" t="s">
        <v>175</v>
      </c>
      <c r="J44" s="3" t="str">
        <f>HYPERLINK("https://www.boe.es/gazeta/dias/1823/02/02/pdfs/GMD-1823-35.pdf#page=4","Abrir facsímil")</f>
        <v>Abrir facsímil</v>
      </c>
      <c r="K44" s="3" t="s">
        <v>23</v>
      </c>
    </row>
    <row r="45" spans="1:11" ht="42" customHeight="1">
      <c r="A45" s="2" t="s">
        <v>176</v>
      </c>
      <c r="B45" s="2" t="s">
        <v>176</v>
      </c>
      <c r="C45" s="2" t="s">
        <v>109</v>
      </c>
      <c r="D45" s="2" t="s">
        <v>74</v>
      </c>
      <c r="E45" s="5">
        <v>-28114</v>
      </c>
      <c r="F45" s="3" t="s">
        <v>153</v>
      </c>
      <c r="G45" s="3" t="s">
        <v>20</v>
      </c>
      <c r="H45" s="2" t="s">
        <v>21</v>
      </c>
      <c r="I45" s="2" t="s">
        <v>177</v>
      </c>
      <c r="J45" s="3" t="str">
        <f>HYPERLINK("https://www.boe.es/gazeta/dias/1823/01/09/pdfs/GMD-1823-9.pdf#page=4","Abrir facsímil")</f>
        <v>Abrir facsímil</v>
      </c>
      <c r="K45" s="3" t="s">
        <v>23</v>
      </c>
    </row>
    <row r="46" spans="1:11" ht="42" customHeight="1">
      <c r="A46" s="2" t="s">
        <v>176</v>
      </c>
      <c r="B46" s="2" t="s">
        <v>176</v>
      </c>
      <c r="C46" s="2" t="s">
        <v>17</v>
      </c>
      <c r="D46" s="2" t="s">
        <v>18</v>
      </c>
      <c r="E46" s="5">
        <v>-28079</v>
      </c>
      <c r="F46" s="3" t="s">
        <v>178</v>
      </c>
      <c r="G46" s="3" t="s">
        <v>39</v>
      </c>
      <c r="H46" s="2" t="s">
        <v>21</v>
      </c>
      <c r="I46" s="2" t="s">
        <v>179</v>
      </c>
      <c r="J46" s="3" t="str">
        <f>HYPERLINK("https://www.boe.es/gazeta/dias/1823/02/13/pdfs/GMD-1823-47.pdf#page=1","Abrir facsímil")</f>
        <v>Abrir facsímil</v>
      </c>
      <c r="K46" s="3" t="s">
        <v>23</v>
      </c>
    </row>
    <row r="47" spans="1:11" ht="42" customHeight="1">
      <c r="A47" s="2" t="s">
        <v>176</v>
      </c>
      <c r="B47" s="2" t="s">
        <v>176</v>
      </c>
      <c r="C47" s="2" t="s">
        <v>17</v>
      </c>
      <c r="D47" s="2" t="s">
        <v>18</v>
      </c>
      <c r="E47" s="5">
        <v>-28060</v>
      </c>
      <c r="F47" s="3" t="s">
        <v>180</v>
      </c>
      <c r="G47" s="3" t="s">
        <v>181</v>
      </c>
      <c r="H47" s="2" t="s">
        <v>21</v>
      </c>
      <c r="I47" s="2" t="s">
        <v>182</v>
      </c>
      <c r="J47" s="3" t="str">
        <f>HYPERLINK("https://www.boe.es/gazeta/dias/1823/03/04/pdfs/GMD-1823-67.pdf#page=6","Abrir facsímil")</f>
        <v>Abrir facsímil</v>
      </c>
      <c r="K47" s="3" t="s">
        <v>23</v>
      </c>
    </row>
    <row r="48" spans="1:11" ht="42" customHeight="1">
      <c r="A48" s="2" t="s">
        <v>176</v>
      </c>
      <c r="B48" s="2" t="s">
        <v>176</v>
      </c>
      <c r="C48" s="2" t="s">
        <v>109</v>
      </c>
      <c r="D48" s="2" t="s">
        <v>74</v>
      </c>
      <c r="E48" s="5">
        <v>-28006</v>
      </c>
      <c r="F48" s="3" t="s">
        <v>183</v>
      </c>
      <c r="G48" s="3" t="s">
        <v>48</v>
      </c>
      <c r="H48" s="2" t="s">
        <v>21</v>
      </c>
      <c r="I48" s="2" t="s">
        <v>184</v>
      </c>
      <c r="J48" s="3" t="str">
        <f>HYPERLINK("https://www.boe.es/gazeta/dias/1823/04/27/pdfs/GES-1823-17.pdf#page=3","Abrir facsímil")</f>
        <v>Abrir facsímil</v>
      </c>
      <c r="K48" s="3" t="s">
        <v>23</v>
      </c>
    </row>
    <row r="49" spans="1:11" ht="42" customHeight="1">
      <c r="A49" s="2" t="s">
        <v>176</v>
      </c>
      <c r="B49" s="2" t="s">
        <v>176</v>
      </c>
      <c r="C49" s="2" t="s">
        <v>109</v>
      </c>
      <c r="D49" s="2" t="s">
        <v>74</v>
      </c>
      <c r="E49" s="5">
        <v>-28000</v>
      </c>
      <c r="F49" s="3" t="s">
        <v>138</v>
      </c>
      <c r="G49" s="3" t="s">
        <v>27</v>
      </c>
      <c r="H49" s="2" t="s">
        <v>21</v>
      </c>
      <c r="I49" s="2" t="s">
        <v>185</v>
      </c>
      <c r="J49" s="3" t="str">
        <f>HYPERLINK("https://www.boe.es/gazeta/dias/1823/05/03/pdfs/GMD-1823-92.pdf#page=2","Abrir facsímil")</f>
        <v>Abrir facsímil</v>
      </c>
      <c r="K49" s="3" t="s">
        <v>23</v>
      </c>
    </row>
    <row r="50" spans="1:11" ht="42" customHeight="1">
      <c r="A50" s="2" t="s">
        <v>186</v>
      </c>
      <c r="B50" s="2" t="s">
        <v>187</v>
      </c>
      <c r="C50" s="2" t="s">
        <v>56</v>
      </c>
      <c r="D50" s="2" t="s">
        <v>57</v>
      </c>
      <c r="E50" s="5">
        <v>-27834</v>
      </c>
      <c r="F50" s="3" t="s">
        <v>188</v>
      </c>
      <c r="G50" s="3" t="s">
        <v>39</v>
      </c>
      <c r="H50" s="2" t="s">
        <v>21</v>
      </c>
      <c r="I50" s="2" t="s">
        <v>189</v>
      </c>
      <c r="J50" s="3" t="str">
        <f>HYPERLINK("https://www.boe.es/gazeta/dias/1823/10/16/pdfs/GMD-1823-983.pdf#page=1","Abrir facsímil")</f>
        <v>Abrir facsímil</v>
      </c>
      <c r="K50" s="3" t="s">
        <v>23</v>
      </c>
    </row>
    <row r="51" spans="1:11" ht="42" customHeight="1">
      <c r="A51" s="2" t="s">
        <v>190</v>
      </c>
      <c r="B51" s="2" t="s">
        <v>191</v>
      </c>
      <c r="C51" s="2" t="s">
        <v>84</v>
      </c>
      <c r="D51" s="2" t="s">
        <v>74</v>
      </c>
      <c r="E51" s="5">
        <v>-28037</v>
      </c>
      <c r="F51" s="3" t="s">
        <v>192</v>
      </c>
      <c r="G51" s="3" t="s">
        <v>20</v>
      </c>
      <c r="H51" s="2" t="s">
        <v>21</v>
      </c>
      <c r="I51" s="2" t="s">
        <v>193</v>
      </c>
      <c r="J51" s="3" t="str">
        <f>HYPERLINK("https://www.boe.es/gazeta/dias/1823/03/27/pdfs/GMD-1823-90.pdf#page=4","Abrir facsímil")</f>
        <v>Abrir facsímil</v>
      </c>
      <c r="K51" s="3" t="s">
        <v>23</v>
      </c>
    </row>
    <row r="52" spans="1:11" ht="42" customHeight="1">
      <c r="A52" s="2" t="s">
        <v>194</v>
      </c>
      <c r="B52" s="2" t="s">
        <v>194</v>
      </c>
      <c r="C52" s="2" t="s">
        <v>17</v>
      </c>
      <c r="D52" s="2" t="s">
        <v>18</v>
      </c>
      <c r="E52" s="5">
        <v>-28059</v>
      </c>
      <c r="F52" s="3" t="s">
        <v>149</v>
      </c>
      <c r="G52" s="3" t="s">
        <v>48</v>
      </c>
      <c r="H52" s="2" t="s">
        <v>21</v>
      </c>
      <c r="I52" s="2" t="s">
        <v>195</v>
      </c>
      <c r="J52" s="3" t="str">
        <f>HYPERLINK("https://www.boe.es/gazeta/dias/1823/03/05/pdfs/GMD-1823-68.pdf#page=3","Abrir facsímil")</f>
        <v>Abrir facsímil</v>
      </c>
      <c r="K52" s="3" t="s">
        <v>23</v>
      </c>
    </row>
    <row r="53" spans="1:11" ht="42" customHeight="1">
      <c r="A53" s="2" t="s">
        <v>196</v>
      </c>
      <c r="B53" s="2" t="s">
        <v>197</v>
      </c>
      <c r="C53" s="2" t="s">
        <v>17</v>
      </c>
      <c r="D53" s="2" t="s">
        <v>18</v>
      </c>
      <c r="E53" s="5">
        <v>-28049</v>
      </c>
      <c r="F53" s="3" t="s">
        <v>198</v>
      </c>
      <c r="G53" s="3" t="s">
        <v>20</v>
      </c>
      <c r="H53" s="2" t="s">
        <v>21</v>
      </c>
      <c r="I53" s="2" t="s">
        <v>199</v>
      </c>
      <c r="J53" s="3" t="str">
        <f>HYPERLINK("https://www.boe.es/gazeta/dias/1823/03/15/pdfs/GMD-1823-78.pdf#page=4","Abrir facsímil")</f>
        <v>Abrir facsímil</v>
      </c>
      <c r="K53" s="3" t="s">
        <v>23</v>
      </c>
    </row>
    <row r="54" spans="1:11" ht="42" customHeight="1">
      <c r="A54" s="2" t="s">
        <v>200</v>
      </c>
      <c r="B54" s="2" t="s">
        <v>201</v>
      </c>
      <c r="C54" s="2" t="s">
        <v>17</v>
      </c>
      <c r="D54" s="2" t="s">
        <v>18</v>
      </c>
      <c r="E54" s="5">
        <v>-28112</v>
      </c>
      <c r="F54" s="3" t="s">
        <v>43</v>
      </c>
      <c r="G54" s="3" t="s">
        <v>39</v>
      </c>
      <c r="H54" s="2" t="s">
        <v>21</v>
      </c>
      <c r="I54" s="2" t="s">
        <v>202</v>
      </c>
      <c r="J54" s="3" t="str">
        <f>HYPERLINK("https://www.boe.es/gazeta/dias/1823/01/11/pdfs/GMD-1823-11.pdf#page=1","Abrir facsímil")</f>
        <v>Abrir facsímil</v>
      </c>
      <c r="K54" s="3" t="s">
        <v>23</v>
      </c>
    </row>
    <row r="55" spans="1:11" ht="42" customHeight="1">
      <c r="A55" s="2" t="s">
        <v>203</v>
      </c>
      <c r="B55" s="2" t="s">
        <v>203</v>
      </c>
      <c r="C55" s="2" t="s">
        <v>17</v>
      </c>
      <c r="D55" s="2" t="s">
        <v>18</v>
      </c>
      <c r="E55" s="5">
        <v>-27969</v>
      </c>
      <c r="F55" s="3" t="s">
        <v>204</v>
      </c>
      <c r="G55" s="3" t="s">
        <v>27</v>
      </c>
      <c r="H55" s="2" t="s">
        <v>21</v>
      </c>
      <c r="I55" s="2" t="s">
        <v>205</v>
      </c>
      <c r="J55" s="3" t="str">
        <f>HYPERLINK("https://www.boe.es/gazeta/dias/1823/06/03/pdfs/GMD-1823-53.pdf#page=2","Abrir facsímil")</f>
        <v>Abrir facsímil</v>
      </c>
      <c r="K55" s="3" t="s">
        <v>23</v>
      </c>
    </row>
    <row r="56" spans="1:11" ht="42" customHeight="1">
      <c r="A56" s="2" t="s">
        <v>206</v>
      </c>
      <c r="B56" s="2" t="s">
        <v>207</v>
      </c>
      <c r="C56" s="2" t="s">
        <v>56</v>
      </c>
      <c r="D56" s="2" t="s">
        <v>57</v>
      </c>
      <c r="E56" s="5">
        <v>-27965</v>
      </c>
      <c r="F56" s="3" t="s">
        <v>208</v>
      </c>
      <c r="G56" s="3" t="s">
        <v>27</v>
      </c>
      <c r="H56" s="2" t="s">
        <v>21</v>
      </c>
      <c r="I56" s="2" t="s">
        <v>209</v>
      </c>
      <c r="J56" s="3" t="str">
        <f>HYPERLINK("https://www.boe.es/gazeta/dias/1823/06/07/pdfs/GES-1823-61.pdf#page=2","Abrir facsímil")</f>
        <v>Abrir facsímil</v>
      </c>
      <c r="K56" s="3" t="s">
        <v>23</v>
      </c>
    </row>
    <row r="57" spans="1:11" ht="42" customHeight="1">
      <c r="A57" s="2" t="s">
        <v>210</v>
      </c>
      <c r="B57" s="2" t="s">
        <v>211</v>
      </c>
      <c r="C57" s="2" t="s">
        <v>17</v>
      </c>
      <c r="D57" s="2" t="s">
        <v>18</v>
      </c>
      <c r="E57" s="5">
        <v>-28074</v>
      </c>
      <c r="F57" s="3" t="s">
        <v>212</v>
      </c>
      <c r="G57" s="3" t="s">
        <v>39</v>
      </c>
      <c r="H57" s="2" t="s">
        <v>21</v>
      </c>
      <c r="I57" s="2" t="s">
        <v>213</v>
      </c>
      <c r="J57" s="3" t="str">
        <f>HYPERLINK("https://www.boe.es/gazeta/dias/1823/02/18/pdfs/GMD-1823-52.pdf#page=1","Abrir facsímil")</f>
        <v>Abrir facsímil</v>
      </c>
      <c r="K57" s="3" t="s">
        <v>23</v>
      </c>
    </row>
    <row r="58" spans="1:11" ht="42" customHeight="1">
      <c r="A58" s="2" t="s">
        <v>214</v>
      </c>
      <c r="B58" s="2" t="s">
        <v>214</v>
      </c>
      <c r="C58" s="2" t="s">
        <v>17</v>
      </c>
      <c r="D58" s="2" t="s">
        <v>18</v>
      </c>
      <c r="E58" s="5">
        <v>-27899</v>
      </c>
      <c r="F58" s="3" t="s">
        <v>215</v>
      </c>
      <c r="G58" s="3" t="s">
        <v>48</v>
      </c>
      <c r="H58" s="2" t="s">
        <v>21</v>
      </c>
      <c r="I58" s="2" t="s">
        <v>216</v>
      </c>
      <c r="J58" s="3" t="str">
        <f>HYPERLINK("https://www.boe.es/gazeta/dias/1823/08/12/pdfs/GMD-1823-583.pdf#page=3","Abrir facsímil")</f>
        <v>Abrir facsímil</v>
      </c>
      <c r="K58" s="3" t="s">
        <v>23</v>
      </c>
    </row>
    <row r="59" spans="1:11" ht="42" customHeight="1">
      <c r="A59" s="2" t="s">
        <v>217</v>
      </c>
      <c r="B59" s="2" t="s">
        <v>217</v>
      </c>
      <c r="C59" s="2" t="s">
        <v>17</v>
      </c>
      <c r="D59" s="2" t="s">
        <v>18</v>
      </c>
      <c r="E59" s="5">
        <v>-27918</v>
      </c>
      <c r="F59" s="3" t="s">
        <v>218</v>
      </c>
      <c r="G59" s="3" t="s">
        <v>27</v>
      </c>
      <c r="H59" s="2" t="s">
        <v>21</v>
      </c>
      <c r="I59" s="2" t="s">
        <v>219</v>
      </c>
      <c r="J59" s="3" t="str">
        <f>HYPERLINK("https://www.boe.es/gazeta/dias/1823/07/24/pdfs/GMD-1823-463.pdf#page=2","Abrir facsímil")</f>
        <v>Abrir facsímil</v>
      </c>
      <c r="K59" s="3" t="s">
        <v>23</v>
      </c>
    </row>
    <row r="60" spans="1:11" ht="42" customHeight="1">
      <c r="A60" s="2" t="s">
        <v>220</v>
      </c>
      <c r="B60" s="2" t="s">
        <v>220</v>
      </c>
      <c r="C60" s="2" t="s">
        <v>56</v>
      </c>
      <c r="D60" s="2" t="s">
        <v>57</v>
      </c>
      <c r="E60" s="5">
        <v>-27902</v>
      </c>
      <c r="F60" s="3" t="s">
        <v>221</v>
      </c>
      <c r="G60" s="3" t="s">
        <v>20</v>
      </c>
      <c r="H60" s="2" t="s">
        <v>21</v>
      </c>
      <c r="I60" s="2" t="s">
        <v>222</v>
      </c>
      <c r="J60" s="3" t="str">
        <f>HYPERLINK("https://www.boe.es/gazeta/dias/1823/08/09/pdfs/GES-1823-122.pdf#page=4","Abrir facsímil")</f>
        <v>Abrir facsímil</v>
      </c>
      <c r="K60" s="3" t="s">
        <v>23</v>
      </c>
    </row>
    <row r="61" spans="1:11" ht="42" customHeight="1">
      <c r="A61" s="2" t="s">
        <v>223</v>
      </c>
      <c r="B61" s="2" t="s">
        <v>224</v>
      </c>
      <c r="C61" s="2" t="s">
        <v>84</v>
      </c>
      <c r="D61" s="2" t="s">
        <v>74</v>
      </c>
      <c r="E61" s="5">
        <v>-28003</v>
      </c>
      <c r="F61" s="3" t="s">
        <v>26</v>
      </c>
      <c r="G61" s="3" t="s">
        <v>39</v>
      </c>
      <c r="H61" s="2" t="s">
        <v>28</v>
      </c>
      <c r="I61" s="2" t="s">
        <v>225</v>
      </c>
      <c r="J61" s="3" t="str">
        <f>HYPERLINK("https://www.boe.es/gazeta/dias/1823/04/30/pdfs/GES-1823-20.pdf#page=1","Abrir facsímil")</f>
        <v>Abrir facsímil</v>
      </c>
      <c r="K61" s="3" t="s">
        <v>30</v>
      </c>
    </row>
    <row r="62" spans="1:11" ht="42" customHeight="1">
      <c r="A62" s="2" t="s">
        <v>226</v>
      </c>
      <c r="B62" s="2" t="s">
        <v>227</v>
      </c>
      <c r="C62" s="2" t="s">
        <v>17</v>
      </c>
      <c r="D62" s="2" t="s">
        <v>18</v>
      </c>
      <c r="E62" s="5">
        <v>-27829</v>
      </c>
      <c r="F62" s="3" t="s">
        <v>228</v>
      </c>
      <c r="G62" s="3" t="s">
        <v>20</v>
      </c>
      <c r="H62" s="2" t="s">
        <v>21</v>
      </c>
      <c r="I62" s="2" t="s">
        <v>229</v>
      </c>
      <c r="J62" s="3" t="str">
        <f>HYPERLINK("https://www.boe.es/gazeta/dias/1823/10/21/pdfs/GMD-1823-1003.pdf#page=4","Abrir facsímil")</f>
        <v>Abrir facsímil</v>
      </c>
      <c r="K62" s="3" t="s">
        <v>23</v>
      </c>
    </row>
    <row r="63" spans="1:11" ht="42" customHeight="1">
      <c r="A63" s="2" t="s">
        <v>230</v>
      </c>
      <c r="B63" s="2" t="s">
        <v>231</v>
      </c>
      <c r="C63" s="2" t="s">
        <v>17</v>
      </c>
      <c r="D63" s="2" t="s">
        <v>18</v>
      </c>
      <c r="E63" s="5">
        <v>-27888</v>
      </c>
      <c r="F63" s="3" t="s">
        <v>232</v>
      </c>
      <c r="G63" s="3" t="s">
        <v>59</v>
      </c>
      <c r="H63" s="2" t="s">
        <v>21</v>
      </c>
      <c r="I63" s="2" t="s">
        <v>233</v>
      </c>
      <c r="J63" s="3" t="str">
        <f>HYPERLINK("https://www.boe.es/gazeta/dias/1823/08/23/pdfs/GMD-1823-633.pdf#page=6","Abrir facsímil")</f>
        <v>Abrir facsímil</v>
      </c>
      <c r="K63" s="3" t="s">
        <v>23</v>
      </c>
    </row>
    <row r="64" spans="1:11" ht="42" customHeight="1">
      <c r="A64" s="2" t="s">
        <v>234</v>
      </c>
      <c r="B64" s="2" t="s">
        <v>235</v>
      </c>
      <c r="C64" s="2" t="s">
        <v>73</v>
      </c>
      <c r="D64" s="2" t="s">
        <v>74</v>
      </c>
      <c r="E64" s="5">
        <v>-27905</v>
      </c>
      <c r="F64" s="3" t="s">
        <v>236</v>
      </c>
      <c r="G64" s="3" t="s">
        <v>237</v>
      </c>
      <c r="H64" s="2" t="s">
        <v>21</v>
      </c>
      <c r="I64" s="2" t="s">
        <v>238</v>
      </c>
      <c r="J64" s="3" t="str">
        <f>HYPERLINK("https://www.boe.es/gazeta/dias/1823/08/06/pdfs/GES-1823-119.pdf#page=4","Abrir facsímil")</f>
        <v>Abrir facsímil</v>
      </c>
      <c r="K64" s="3" t="s">
        <v>23</v>
      </c>
    </row>
    <row r="65" spans="1:11" ht="42" customHeight="1">
      <c r="A65" s="2" t="s">
        <v>239</v>
      </c>
      <c r="B65" s="2" t="s">
        <v>240</v>
      </c>
      <c r="C65" s="2" t="s">
        <v>17</v>
      </c>
      <c r="D65" s="2" t="s">
        <v>18</v>
      </c>
      <c r="E65" s="5">
        <v>-27906</v>
      </c>
      <c r="F65" s="3" t="s">
        <v>241</v>
      </c>
      <c r="G65" s="3" t="s">
        <v>34</v>
      </c>
      <c r="H65" s="2" t="s">
        <v>21</v>
      </c>
      <c r="I65" s="2" t="s">
        <v>242</v>
      </c>
      <c r="J65" s="3" t="str">
        <f>HYPERLINK("https://www.boe.es/gazeta/dias/1823/08/05/pdfs/GES-1823-117.pdf#page=5","Abrir facsímil")</f>
        <v>Abrir facsímil</v>
      </c>
      <c r="K65" s="3" t="s">
        <v>23</v>
      </c>
    </row>
    <row r="66" spans="1:11" ht="42" customHeight="1">
      <c r="A66" s="2" t="s">
        <v>243</v>
      </c>
      <c r="B66" s="2" t="s">
        <v>244</v>
      </c>
      <c r="C66" s="2" t="s">
        <v>79</v>
      </c>
      <c r="D66" s="2" t="s">
        <v>74</v>
      </c>
      <c r="E66" s="5">
        <v>-28002</v>
      </c>
      <c r="F66" s="3" t="s">
        <v>245</v>
      </c>
      <c r="G66" s="3" t="s">
        <v>48</v>
      </c>
      <c r="H66" s="2" t="s">
        <v>21</v>
      </c>
      <c r="I66" s="2" t="s">
        <v>246</v>
      </c>
      <c r="J66" s="3" t="str">
        <f>HYPERLINK("https://www.boe.es/gazeta/dias/1823/05/01/pdfs/GMD-1823-82.pdf#page=3","Abrir facsímil")</f>
        <v>Abrir facsímil</v>
      </c>
      <c r="K66" s="3" t="s">
        <v>23</v>
      </c>
    </row>
    <row r="67" spans="1:11" ht="42" customHeight="1">
      <c r="A67" s="2" t="s">
        <v>243</v>
      </c>
      <c r="B67" s="2" t="s">
        <v>244</v>
      </c>
      <c r="C67" s="2" t="s">
        <v>17</v>
      </c>
      <c r="D67" s="2" t="s">
        <v>18</v>
      </c>
      <c r="E67" s="5">
        <v>-27906</v>
      </c>
      <c r="F67" s="3" t="s">
        <v>241</v>
      </c>
      <c r="G67" s="3" t="s">
        <v>59</v>
      </c>
      <c r="H67" s="2" t="s">
        <v>21</v>
      </c>
      <c r="I67" s="2" t="s">
        <v>247</v>
      </c>
      <c r="J67" s="3" t="str">
        <f>HYPERLINK("https://www.boe.es/gazeta/dias/1823/08/05/pdfs/GES-1823-117.pdf#page=6","Abrir facsímil")</f>
        <v>Abrir facsímil</v>
      </c>
      <c r="K67" s="3" t="s">
        <v>23</v>
      </c>
    </row>
    <row r="68" spans="1:11" ht="42" customHeight="1">
      <c r="A68" s="2" t="s">
        <v>248</v>
      </c>
      <c r="B68" s="2" t="s">
        <v>248</v>
      </c>
      <c r="C68" s="2" t="s">
        <v>109</v>
      </c>
      <c r="D68" s="2" t="s">
        <v>74</v>
      </c>
      <c r="E68" s="5">
        <v>-28110</v>
      </c>
      <c r="F68" s="3" t="s">
        <v>249</v>
      </c>
      <c r="G68" s="3" t="s">
        <v>39</v>
      </c>
      <c r="H68" s="2" t="s">
        <v>21</v>
      </c>
      <c r="I68" s="2" t="s">
        <v>250</v>
      </c>
      <c r="J68" s="3" t="str">
        <f>HYPERLINK("https://www.boe.es/gazeta/dias/1823/01/13/pdfs/GMD-1823-13.pdf#page=1","Abrir facsímil")</f>
        <v>Abrir facsímil</v>
      </c>
      <c r="K68" s="3" t="s">
        <v>23</v>
      </c>
    </row>
    <row r="69" spans="1:11" ht="42" customHeight="1">
      <c r="A69" s="2" t="s">
        <v>251</v>
      </c>
      <c r="B69" s="2" t="s">
        <v>251</v>
      </c>
      <c r="C69" s="2" t="s">
        <v>109</v>
      </c>
      <c r="D69" s="2" t="s">
        <v>74</v>
      </c>
      <c r="E69" s="5">
        <v>-28118</v>
      </c>
      <c r="F69" s="3" t="s">
        <v>252</v>
      </c>
      <c r="G69" s="3" t="s">
        <v>253</v>
      </c>
      <c r="H69" s="2" t="s">
        <v>21</v>
      </c>
      <c r="I69" s="2" t="s">
        <v>254</v>
      </c>
      <c r="J69" s="3" t="str">
        <f>HYPERLINK("https://www.boe.es/gazeta/dias/1823/01/05/pdfs/GMD-1823-5.pdf#page=2","Abrir facsímil")</f>
        <v>Abrir facsímil</v>
      </c>
      <c r="K69" s="3" t="s">
        <v>23</v>
      </c>
    </row>
    <row r="70" spans="1:11" ht="42" customHeight="1">
      <c r="A70" s="2" t="s">
        <v>251</v>
      </c>
      <c r="B70" s="2" t="s">
        <v>251</v>
      </c>
      <c r="C70" s="2" t="s">
        <v>84</v>
      </c>
      <c r="D70" s="2" t="s">
        <v>74</v>
      </c>
      <c r="E70" s="5">
        <v>-28114</v>
      </c>
      <c r="F70" s="3" t="s">
        <v>153</v>
      </c>
      <c r="G70" s="3" t="s">
        <v>39</v>
      </c>
      <c r="H70" s="2" t="s">
        <v>21</v>
      </c>
      <c r="I70" s="2" t="s">
        <v>255</v>
      </c>
      <c r="J70" s="3" t="str">
        <f>HYPERLINK("https://www.boe.es/gazeta/dias/1823/01/09/pdfs/GMD-1823-9.pdf#page=1","Abrir facsímil")</f>
        <v>Abrir facsímil</v>
      </c>
      <c r="K70" s="3" t="s">
        <v>23</v>
      </c>
    </row>
    <row r="71" spans="1:11" ht="42" customHeight="1">
      <c r="A71" s="2" t="s">
        <v>251</v>
      </c>
      <c r="B71" s="2" t="s">
        <v>251</v>
      </c>
      <c r="C71" s="2" t="s">
        <v>17</v>
      </c>
      <c r="D71" s="2" t="s">
        <v>18</v>
      </c>
      <c r="E71" s="5">
        <v>-28110</v>
      </c>
      <c r="F71" s="3" t="s">
        <v>249</v>
      </c>
      <c r="G71" s="3" t="s">
        <v>39</v>
      </c>
      <c r="H71" s="2" t="s">
        <v>21</v>
      </c>
      <c r="I71" s="2" t="s">
        <v>256</v>
      </c>
      <c r="J71" s="3" t="str">
        <f>HYPERLINK("https://www.boe.es/gazeta/dias/1823/01/13/pdfs/GMD-1823-13.pdf#page=1","Abrir facsímil")</f>
        <v>Abrir facsímil</v>
      </c>
      <c r="K71" s="3" t="s">
        <v>23</v>
      </c>
    </row>
    <row r="72" spans="1:11" ht="42" customHeight="1">
      <c r="A72" s="2" t="s">
        <v>257</v>
      </c>
      <c r="B72" s="2" t="s">
        <v>258</v>
      </c>
      <c r="C72" s="2" t="s">
        <v>17</v>
      </c>
      <c r="D72" s="2" t="s">
        <v>18</v>
      </c>
      <c r="E72" s="5">
        <v>-27902</v>
      </c>
      <c r="F72" s="3" t="s">
        <v>259</v>
      </c>
      <c r="G72" s="3" t="s">
        <v>39</v>
      </c>
      <c r="H72" s="2" t="s">
        <v>21</v>
      </c>
      <c r="I72" s="2" t="s">
        <v>260</v>
      </c>
      <c r="J72" s="3" t="str">
        <f>HYPERLINK("https://www.boe.es/gazeta/dias/1823/08/09/pdfs/GMD-1823-563.pdf#page=1","Abrir facsímil")</f>
        <v>Abrir facsímil</v>
      </c>
      <c r="K72" s="3" t="s">
        <v>23</v>
      </c>
    </row>
    <row r="73" spans="1:11" ht="42" customHeight="1">
      <c r="A73" s="2" t="s">
        <v>261</v>
      </c>
      <c r="B73" s="2" t="s">
        <v>262</v>
      </c>
      <c r="C73" s="2" t="s">
        <v>17</v>
      </c>
      <c r="D73" s="2" t="s">
        <v>18</v>
      </c>
      <c r="E73" s="5">
        <v>-27839</v>
      </c>
      <c r="F73" s="3" t="s">
        <v>263</v>
      </c>
      <c r="G73" s="3" t="s">
        <v>39</v>
      </c>
      <c r="H73" s="2" t="s">
        <v>21</v>
      </c>
      <c r="I73" s="2" t="s">
        <v>264</v>
      </c>
      <c r="J73" s="3" t="str">
        <f>HYPERLINK("https://www.boe.es/gazeta/dias/1823/10/11/pdfs/GMD-1823-963.pdf#page=1","Abrir facsímil")</f>
        <v>Abrir facsímil</v>
      </c>
      <c r="K73" s="3" t="s">
        <v>23</v>
      </c>
    </row>
    <row r="74" spans="1:11" ht="42" customHeight="1">
      <c r="A74" s="2" t="s">
        <v>265</v>
      </c>
      <c r="B74" s="2" t="s">
        <v>266</v>
      </c>
      <c r="C74" s="2" t="s">
        <v>79</v>
      </c>
      <c r="D74" s="2" t="s">
        <v>74</v>
      </c>
      <c r="E74" s="5">
        <v>-28118</v>
      </c>
      <c r="F74" s="3" t="s">
        <v>252</v>
      </c>
      <c r="G74" s="3" t="s">
        <v>59</v>
      </c>
      <c r="H74" s="2" t="s">
        <v>21</v>
      </c>
      <c r="I74" s="2" t="s">
        <v>267</v>
      </c>
      <c r="J74" s="3" t="str">
        <f>HYPERLINK("https://www.boe.es/gazeta/dias/1823/01/05/pdfs/GMD-1823-5.pdf#page=6","Abrir facsímil")</f>
        <v>Abrir facsímil</v>
      </c>
      <c r="K74" s="3" t="s">
        <v>23</v>
      </c>
    </row>
    <row r="75" spans="1:11" ht="42" customHeight="1">
      <c r="A75" s="2" t="s">
        <v>268</v>
      </c>
      <c r="B75" s="2" t="s">
        <v>268</v>
      </c>
      <c r="C75" s="2" t="s">
        <v>109</v>
      </c>
      <c r="D75" s="2" t="s">
        <v>74</v>
      </c>
      <c r="E75" s="5">
        <v>-28122</v>
      </c>
      <c r="F75" s="3" t="s">
        <v>269</v>
      </c>
      <c r="G75" s="3" t="s">
        <v>27</v>
      </c>
      <c r="H75" s="2" t="s">
        <v>21</v>
      </c>
      <c r="I75" s="2" t="s">
        <v>270</v>
      </c>
      <c r="J75" s="3" t="str">
        <f>HYPERLINK("https://www.boe.es/gazeta/dias/1823/01/01/pdfs/GMD-1823-1.pdf#page=2","Abrir facsímil")</f>
        <v>Abrir facsímil</v>
      </c>
      <c r="K75" s="3" t="s">
        <v>23</v>
      </c>
    </row>
    <row r="76" spans="1:11" ht="42" customHeight="1">
      <c r="A76" s="2" t="s">
        <v>268</v>
      </c>
      <c r="B76" s="2" t="s">
        <v>268</v>
      </c>
      <c r="C76" s="2" t="s">
        <v>109</v>
      </c>
      <c r="D76" s="2" t="s">
        <v>74</v>
      </c>
      <c r="E76" s="5">
        <v>-28117</v>
      </c>
      <c r="F76" s="3" t="s">
        <v>271</v>
      </c>
      <c r="G76" s="3" t="s">
        <v>48</v>
      </c>
      <c r="H76" s="2" t="s">
        <v>21</v>
      </c>
      <c r="I76" s="2" t="s">
        <v>272</v>
      </c>
      <c r="J76" s="3" t="str">
        <f>HYPERLINK("https://www.boe.es/gazeta/dias/1823/01/06/pdfs/GMD-1823-6.pdf#page=3","Abrir facsímil")</f>
        <v>Abrir facsímil</v>
      </c>
      <c r="K76" s="3" t="s">
        <v>23</v>
      </c>
    </row>
    <row r="77" spans="1:11" ht="42" customHeight="1">
      <c r="A77" s="2" t="s">
        <v>273</v>
      </c>
      <c r="B77" s="2" t="s">
        <v>273</v>
      </c>
      <c r="C77" s="2" t="s">
        <v>73</v>
      </c>
      <c r="D77" s="2" t="s">
        <v>74</v>
      </c>
      <c r="E77" s="5">
        <v>-28114</v>
      </c>
      <c r="F77" s="3" t="s">
        <v>153</v>
      </c>
      <c r="G77" s="3" t="s">
        <v>48</v>
      </c>
      <c r="H77" s="2" t="s">
        <v>21</v>
      </c>
      <c r="I77" s="2" t="s">
        <v>274</v>
      </c>
      <c r="J77" s="3" t="str">
        <f>HYPERLINK("https://www.boe.es/gazeta/dias/1823/01/09/pdfs/GMD-1823-9.pdf#page=3","Abrir facsímil")</f>
        <v>Abrir facsímil</v>
      </c>
      <c r="K77" s="3" t="s">
        <v>23</v>
      </c>
    </row>
    <row r="78" spans="1:11" ht="42" customHeight="1">
      <c r="A78" s="2" t="s">
        <v>268</v>
      </c>
      <c r="B78" s="2" t="s">
        <v>268</v>
      </c>
      <c r="C78" s="2" t="s">
        <v>56</v>
      </c>
      <c r="D78" s="2" t="s">
        <v>57</v>
      </c>
      <c r="E78" s="5">
        <v>-28111</v>
      </c>
      <c r="F78" s="3" t="s">
        <v>275</v>
      </c>
      <c r="G78" s="3" t="s">
        <v>276</v>
      </c>
      <c r="H78" s="2" t="s">
        <v>21</v>
      </c>
      <c r="I78" s="2" t="s">
        <v>277</v>
      </c>
      <c r="J78" s="3" t="str">
        <f>HYPERLINK("https://www.boe.es/gazeta/dias/1823/01/12/pdfs/GMD-1823-12.pdf#page=7","Abrir facsímil")</f>
        <v>Abrir facsímil</v>
      </c>
      <c r="K78" s="3" t="s">
        <v>23</v>
      </c>
    </row>
    <row r="79" spans="1:11" ht="42" customHeight="1">
      <c r="A79" s="2" t="s">
        <v>268</v>
      </c>
      <c r="B79" s="2" t="s">
        <v>268</v>
      </c>
      <c r="C79" s="2" t="s">
        <v>79</v>
      </c>
      <c r="D79" s="2" t="s">
        <v>74</v>
      </c>
      <c r="E79" s="5">
        <v>-28107</v>
      </c>
      <c r="F79" s="3" t="s">
        <v>278</v>
      </c>
      <c r="G79" s="3" t="s">
        <v>20</v>
      </c>
      <c r="H79" s="2" t="s">
        <v>21</v>
      </c>
      <c r="I79" s="2" t="s">
        <v>279</v>
      </c>
      <c r="J79" s="3" t="str">
        <f>HYPERLINK("https://www.boe.es/gazeta/dias/1823/01/16/pdfs/GMD-1823-16.pdf#page=4","Abrir facsímil")</f>
        <v>Abrir facsímil</v>
      </c>
      <c r="K79" s="3" t="s">
        <v>23</v>
      </c>
    </row>
    <row r="80" spans="1:11" ht="42" customHeight="1">
      <c r="A80" s="2" t="s">
        <v>268</v>
      </c>
      <c r="B80" s="2" t="s">
        <v>268</v>
      </c>
      <c r="C80" s="2" t="s">
        <v>109</v>
      </c>
      <c r="D80" s="2" t="s">
        <v>74</v>
      </c>
      <c r="E80" s="5">
        <v>-28106</v>
      </c>
      <c r="F80" s="3" t="s">
        <v>280</v>
      </c>
      <c r="G80" s="3" t="s">
        <v>281</v>
      </c>
      <c r="H80" s="2" t="s">
        <v>21</v>
      </c>
      <c r="I80" s="2" t="s">
        <v>282</v>
      </c>
      <c r="J80" s="3" t="str">
        <f>HYPERLINK("https://www.boe.es/gazeta/dias/1823/01/17/pdfs/GMD-1823-17.pdf#page=2","Abrir facsímil")</f>
        <v>Abrir facsímil</v>
      </c>
      <c r="K80" s="3" t="s">
        <v>23</v>
      </c>
    </row>
    <row r="81" spans="1:11" ht="42" customHeight="1">
      <c r="A81" s="2" t="s">
        <v>268</v>
      </c>
      <c r="B81" s="2" t="s">
        <v>268</v>
      </c>
      <c r="C81" s="2" t="s">
        <v>17</v>
      </c>
      <c r="D81" s="2" t="s">
        <v>18</v>
      </c>
      <c r="E81" s="5">
        <v>-28104</v>
      </c>
      <c r="F81" s="3" t="s">
        <v>114</v>
      </c>
      <c r="G81" s="3" t="s">
        <v>39</v>
      </c>
      <c r="H81" s="2" t="s">
        <v>21</v>
      </c>
      <c r="I81" s="2" t="s">
        <v>283</v>
      </c>
      <c r="J81" s="3" t="str">
        <f>HYPERLINK("https://www.boe.es/gazeta/dias/1823/01/19/pdfs/GMD-1823-19.pdf#page=1","Abrir facsímil")</f>
        <v>Abrir facsímil</v>
      </c>
      <c r="K81" s="3" t="s">
        <v>23</v>
      </c>
    </row>
    <row r="82" spans="1:11" ht="42" customHeight="1">
      <c r="A82" s="2" t="s">
        <v>268</v>
      </c>
      <c r="B82" s="2" t="s">
        <v>268</v>
      </c>
      <c r="C82" s="2" t="s">
        <v>79</v>
      </c>
      <c r="D82" s="2" t="s">
        <v>74</v>
      </c>
      <c r="E82" s="5">
        <v>-28104</v>
      </c>
      <c r="F82" s="3" t="s">
        <v>114</v>
      </c>
      <c r="G82" s="3" t="s">
        <v>27</v>
      </c>
      <c r="H82" s="2" t="s">
        <v>21</v>
      </c>
      <c r="I82" s="2" t="s">
        <v>284</v>
      </c>
      <c r="J82" s="3" t="str">
        <f>HYPERLINK("https://www.boe.es/gazeta/dias/1823/01/19/pdfs/GMD-1823-19.pdf#page=2","Abrir facsímil")</f>
        <v>Abrir facsímil</v>
      </c>
      <c r="K82" s="3" t="s">
        <v>23</v>
      </c>
    </row>
    <row r="83" spans="1:11" ht="42" customHeight="1">
      <c r="A83" s="2" t="s">
        <v>268</v>
      </c>
      <c r="B83" s="2" t="s">
        <v>268</v>
      </c>
      <c r="C83" s="2" t="s">
        <v>56</v>
      </c>
      <c r="D83" s="2" t="s">
        <v>57</v>
      </c>
      <c r="E83" s="5">
        <v>-28103</v>
      </c>
      <c r="F83" s="3" t="s">
        <v>285</v>
      </c>
      <c r="G83" s="3" t="s">
        <v>48</v>
      </c>
      <c r="H83" s="2" t="s">
        <v>21</v>
      </c>
      <c r="I83" s="2" t="s">
        <v>286</v>
      </c>
      <c r="J83" s="3" t="str">
        <f>HYPERLINK("https://www.boe.es/gazeta/dias/1823/01/20/pdfs/GMD-1823-20.pdf#page=3","Abrir facsímil")</f>
        <v>Abrir facsímil</v>
      </c>
      <c r="K83" s="3" t="s">
        <v>23</v>
      </c>
    </row>
    <row r="84" spans="1:11" ht="42" customHeight="1">
      <c r="A84" s="2" t="s">
        <v>268</v>
      </c>
      <c r="B84" s="2" t="s">
        <v>268</v>
      </c>
      <c r="C84" s="2" t="s">
        <v>56</v>
      </c>
      <c r="D84" s="2" t="s">
        <v>57</v>
      </c>
      <c r="E84" s="5">
        <v>-28102</v>
      </c>
      <c r="F84" s="3" t="s">
        <v>287</v>
      </c>
      <c r="G84" s="3" t="s">
        <v>48</v>
      </c>
      <c r="H84" s="2" t="s">
        <v>21</v>
      </c>
      <c r="I84" s="2" t="s">
        <v>288</v>
      </c>
      <c r="J84" s="3" t="str">
        <f>HYPERLINK("https://www.boe.es/gazeta/dias/1823/01/21/pdfs/GMD-1823-22.pdf#page=3","Abrir facsímil")</f>
        <v>Abrir facsímil</v>
      </c>
      <c r="K84" s="3" t="s">
        <v>23</v>
      </c>
    </row>
    <row r="85" spans="1:11" ht="42" customHeight="1">
      <c r="A85" s="2" t="s">
        <v>268</v>
      </c>
      <c r="B85" s="2" t="s">
        <v>268</v>
      </c>
      <c r="C85" s="2" t="s">
        <v>79</v>
      </c>
      <c r="D85" s="2" t="s">
        <v>74</v>
      </c>
      <c r="E85" s="5">
        <v>-28086</v>
      </c>
      <c r="F85" s="3" t="s">
        <v>289</v>
      </c>
      <c r="G85" s="3" t="s">
        <v>39</v>
      </c>
      <c r="H85" s="2" t="s">
        <v>21</v>
      </c>
      <c r="I85" s="2" t="s">
        <v>290</v>
      </c>
      <c r="J85" s="3" t="str">
        <f>HYPERLINK("https://www.boe.es/gazeta/dias/1823/02/06/pdfs/GMD-1823-39.pdf#page=1","Abrir facsímil")</f>
        <v>Abrir facsímil</v>
      </c>
      <c r="K85" s="3" t="s">
        <v>23</v>
      </c>
    </row>
    <row r="86" spans="1:11" ht="42" customHeight="1">
      <c r="A86" s="2" t="s">
        <v>268</v>
      </c>
      <c r="B86" s="2" t="s">
        <v>268</v>
      </c>
      <c r="C86" s="2" t="s">
        <v>84</v>
      </c>
      <c r="D86" s="2" t="s">
        <v>74</v>
      </c>
      <c r="E86" s="5">
        <v>-28083</v>
      </c>
      <c r="F86" s="3" t="s">
        <v>291</v>
      </c>
      <c r="G86" s="3" t="s">
        <v>48</v>
      </c>
      <c r="H86" s="2" t="s">
        <v>21</v>
      </c>
      <c r="I86" s="2" t="s">
        <v>292</v>
      </c>
      <c r="J86" s="3" t="str">
        <f>HYPERLINK("https://www.boe.es/gazeta/dias/1823/02/09/pdfs/GMD-1823-43.pdf#page=3","Abrir facsímil")</f>
        <v>Abrir facsímil</v>
      </c>
      <c r="K86" s="3" t="s">
        <v>23</v>
      </c>
    </row>
    <row r="87" spans="1:11" ht="42" customHeight="1">
      <c r="A87" s="2" t="s">
        <v>268</v>
      </c>
      <c r="B87" s="2" t="s">
        <v>268</v>
      </c>
      <c r="C87" s="2" t="s">
        <v>293</v>
      </c>
      <c r="D87" s="2" t="s">
        <v>74</v>
      </c>
      <c r="E87" s="5">
        <v>-28083</v>
      </c>
      <c r="F87" s="3" t="s">
        <v>291</v>
      </c>
      <c r="G87" s="3" t="s">
        <v>20</v>
      </c>
      <c r="H87" s="2" t="s">
        <v>21</v>
      </c>
      <c r="I87" s="2" t="s">
        <v>294</v>
      </c>
      <c r="J87" s="3" t="str">
        <f>HYPERLINK("https://www.boe.es/gazeta/dias/1823/02/09/pdfs/GMD-1823-43.pdf#page=4","Abrir facsímil")</f>
        <v>Abrir facsímil</v>
      </c>
      <c r="K87" s="3" t="s">
        <v>23</v>
      </c>
    </row>
    <row r="88" spans="1:11" ht="42" customHeight="1">
      <c r="A88" s="2" t="s">
        <v>268</v>
      </c>
      <c r="B88" s="2" t="s">
        <v>268</v>
      </c>
      <c r="C88" s="2" t="s">
        <v>17</v>
      </c>
      <c r="D88" s="2" t="s">
        <v>18</v>
      </c>
      <c r="E88" s="5">
        <v>-28081</v>
      </c>
      <c r="F88" s="3" t="s">
        <v>170</v>
      </c>
      <c r="G88" s="3" t="s">
        <v>48</v>
      </c>
      <c r="H88" s="2" t="s">
        <v>21</v>
      </c>
      <c r="I88" s="2" t="s">
        <v>295</v>
      </c>
      <c r="J88" s="3" t="str">
        <f>HYPERLINK("https://www.boe.es/gazeta/dias/1823/02/11/pdfs/GMD-1823-45.pdf#page=3","Abrir facsímil")</f>
        <v>Abrir facsímil</v>
      </c>
      <c r="K88" s="3" t="s">
        <v>23</v>
      </c>
    </row>
    <row r="89" spans="1:11" ht="42" customHeight="1">
      <c r="A89" s="2" t="s">
        <v>268</v>
      </c>
      <c r="B89" s="2" t="s">
        <v>268</v>
      </c>
      <c r="C89" s="2" t="s">
        <v>73</v>
      </c>
      <c r="D89" s="2" t="s">
        <v>74</v>
      </c>
      <c r="E89" s="5">
        <v>-28074</v>
      </c>
      <c r="F89" s="3" t="s">
        <v>212</v>
      </c>
      <c r="G89" s="3" t="s">
        <v>296</v>
      </c>
      <c r="H89" s="2" t="s">
        <v>21</v>
      </c>
      <c r="I89" s="2" t="s">
        <v>297</v>
      </c>
      <c r="J89" s="3" t="str">
        <f>HYPERLINK("https://www.boe.es/gazeta/dias/1823/02/18/pdfs/GMD-1823-52.pdf#page=2","Abrir facsímil")</f>
        <v>Abrir facsímil</v>
      </c>
      <c r="K89" s="3" t="s">
        <v>23</v>
      </c>
    </row>
    <row r="90" spans="1:11" ht="42" customHeight="1">
      <c r="A90" s="2" t="s">
        <v>268</v>
      </c>
      <c r="B90" s="2" t="s">
        <v>268</v>
      </c>
      <c r="C90" s="2" t="s">
        <v>109</v>
      </c>
      <c r="D90" s="2" t="s">
        <v>74</v>
      </c>
      <c r="E90" s="5">
        <v>-28073</v>
      </c>
      <c r="F90" s="3" t="s">
        <v>204</v>
      </c>
      <c r="G90" s="3" t="s">
        <v>27</v>
      </c>
      <c r="H90" s="2" t="s">
        <v>21</v>
      </c>
      <c r="I90" s="2" t="s">
        <v>298</v>
      </c>
      <c r="J90" s="3" t="str">
        <f>HYPERLINK("https://www.boe.es/gazeta/dias/1823/02/19/pdfs/GMD-1823-53.pdf#page=2","Abrir facsímil")</f>
        <v>Abrir facsímil</v>
      </c>
      <c r="K90" s="3" t="s">
        <v>23</v>
      </c>
    </row>
    <row r="91" spans="1:11" ht="42" customHeight="1">
      <c r="A91" s="2" t="s">
        <v>268</v>
      </c>
      <c r="B91" s="2" t="s">
        <v>268</v>
      </c>
      <c r="C91" s="2" t="s">
        <v>56</v>
      </c>
      <c r="D91" s="2" t="s">
        <v>57</v>
      </c>
      <c r="E91" s="5">
        <v>-28060</v>
      </c>
      <c r="F91" s="3" t="s">
        <v>180</v>
      </c>
      <c r="G91" s="3" t="s">
        <v>48</v>
      </c>
      <c r="H91" s="2" t="s">
        <v>21</v>
      </c>
      <c r="I91" s="2" t="s">
        <v>299</v>
      </c>
      <c r="J91" s="3" t="str">
        <f>HYPERLINK("https://www.boe.es/gazeta/dias/1823/03/04/pdfs/GMD-1823-67.pdf#page=3","Abrir facsímil")</f>
        <v>Abrir facsímil</v>
      </c>
      <c r="K91" s="3" t="s">
        <v>23</v>
      </c>
    </row>
    <row r="92" spans="1:11" ht="42" customHeight="1">
      <c r="A92" s="2" t="s">
        <v>268</v>
      </c>
      <c r="B92" s="2" t="s">
        <v>268</v>
      </c>
      <c r="C92" s="2" t="s">
        <v>17</v>
      </c>
      <c r="D92" s="2" t="s">
        <v>18</v>
      </c>
      <c r="E92" s="5">
        <v>-28059</v>
      </c>
      <c r="F92" s="3" t="s">
        <v>149</v>
      </c>
      <c r="G92" s="3" t="s">
        <v>20</v>
      </c>
      <c r="H92" s="2" t="s">
        <v>21</v>
      </c>
      <c r="I92" s="2" t="s">
        <v>300</v>
      </c>
      <c r="J92" s="3" t="str">
        <f>HYPERLINK("https://www.boe.es/gazeta/dias/1823/03/05/pdfs/GMD-1823-68.pdf#page=4","Abrir facsímil")</f>
        <v>Abrir facsímil</v>
      </c>
      <c r="K92" s="3" t="s">
        <v>23</v>
      </c>
    </row>
    <row r="93" spans="1:11" ht="42" customHeight="1">
      <c r="A93" s="2" t="s">
        <v>268</v>
      </c>
      <c r="B93" s="2" t="s">
        <v>268</v>
      </c>
      <c r="C93" s="2" t="s">
        <v>109</v>
      </c>
      <c r="D93" s="2" t="s">
        <v>74</v>
      </c>
      <c r="E93" s="5">
        <v>-28057</v>
      </c>
      <c r="F93" s="3" t="s">
        <v>301</v>
      </c>
      <c r="G93" s="3" t="s">
        <v>48</v>
      </c>
      <c r="H93" s="2" t="s">
        <v>21</v>
      </c>
      <c r="I93" s="2" t="s">
        <v>302</v>
      </c>
      <c r="J93" s="3" t="str">
        <f>HYPERLINK("https://www.boe.es/gazeta/dias/1823/03/07/pdfs/GMD-1823-70.pdf#page=3","Abrir facsímil")</f>
        <v>Abrir facsímil</v>
      </c>
      <c r="K93" s="3" t="s">
        <v>23</v>
      </c>
    </row>
    <row r="94" spans="1:11" ht="42" customHeight="1">
      <c r="A94" s="2" t="s">
        <v>268</v>
      </c>
      <c r="B94" s="2" t="s">
        <v>268</v>
      </c>
      <c r="C94" s="2" t="s">
        <v>109</v>
      </c>
      <c r="D94" s="2" t="s">
        <v>74</v>
      </c>
      <c r="E94" s="5">
        <v>-28053</v>
      </c>
      <c r="F94" s="3" t="s">
        <v>303</v>
      </c>
      <c r="G94" s="3" t="s">
        <v>27</v>
      </c>
      <c r="H94" s="2" t="s">
        <v>21</v>
      </c>
      <c r="I94" s="2" t="s">
        <v>304</v>
      </c>
      <c r="J94" s="3" t="str">
        <f>HYPERLINK("https://www.boe.es/gazeta/dias/1823/03/11/pdfs/GMD-1823-74.pdf#page=2","Abrir facsímil")</f>
        <v>Abrir facsímil</v>
      </c>
      <c r="K94" s="3" t="s">
        <v>23</v>
      </c>
    </row>
    <row r="95" spans="1:11" ht="42" customHeight="1">
      <c r="A95" s="2" t="s">
        <v>268</v>
      </c>
      <c r="B95" s="2" t="s">
        <v>268</v>
      </c>
      <c r="C95" s="2" t="s">
        <v>73</v>
      </c>
      <c r="D95" s="2" t="s">
        <v>74</v>
      </c>
      <c r="E95" s="5">
        <v>-28051</v>
      </c>
      <c r="F95" s="3" t="s">
        <v>305</v>
      </c>
      <c r="G95" s="3" t="s">
        <v>48</v>
      </c>
      <c r="H95" s="2" t="s">
        <v>21</v>
      </c>
      <c r="I95" s="2" t="s">
        <v>306</v>
      </c>
      <c r="J95" s="3" t="str">
        <f>HYPERLINK("https://www.boe.es/gazeta/dias/1823/03/13/pdfs/GMD-1823-76.pdf#page=3","Abrir facsímil")</f>
        <v>Abrir facsímil</v>
      </c>
      <c r="K95" s="3" t="s">
        <v>23</v>
      </c>
    </row>
    <row r="96" spans="1:11" ht="42" customHeight="1">
      <c r="A96" s="2" t="s">
        <v>268</v>
      </c>
      <c r="B96" s="2" t="s">
        <v>268</v>
      </c>
      <c r="C96" s="2" t="s">
        <v>17</v>
      </c>
      <c r="D96" s="2" t="s">
        <v>18</v>
      </c>
      <c r="E96" s="5">
        <v>-28009</v>
      </c>
      <c r="F96" s="3" t="s">
        <v>307</v>
      </c>
      <c r="G96" s="3" t="s">
        <v>34</v>
      </c>
      <c r="H96" s="2" t="s">
        <v>21</v>
      </c>
      <c r="I96" s="2" t="s">
        <v>308</v>
      </c>
      <c r="J96" s="3" t="str">
        <f>HYPERLINK("https://www.boe.es/gazeta/dias/1823/04/24/pdfs/GES-1823-14.pdf#page=5","Abrir facsímil")</f>
        <v>Abrir facsímil</v>
      </c>
      <c r="K96" s="3" t="s">
        <v>23</v>
      </c>
    </row>
    <row r="97" spans="1:11" ht="42" customHeight="1">
      <c r="A97" s="2" t="s">
        <v>268</v>
      </c>
      <c r="B97" s="2" t="s">
        <v>268</v>
      </c>
      <c r="C97" s="2" t="s">
        <v>17</v>
      </c>
      <c r="D97" s="2" t="s">
        <v>18</v>
      </c>
      <c r="E97" s="5">
        <v>-28008</v>
      </c>
      <c r="F97" s="3" t="s">
        <v>309</v>
      </c>
      <c r="G97" s="3" t="s">
        <v>27</v>
      </c>
      <c r="H97" s="2" t="s">
        <v>21</v>
      </c>
      <c r="I97" s="2" t="s">
        <v>310</v>
      </c>
      <c r="J97" s="3" t="str">
        <f>HYPERLINK("https://www.boe.es/gazeta/dias/1823/04/25/pdfs/GES-1823-15.pdf#page=2","Abrir facsímil")</f>
        <v>Abrir facsímil</v>
      </c>
      <c r="K97" s="3" t="s">
        <v>23</v>
      </c>
    </row>
    <row r="98" spans="1:11" ht="42" customHeight="1">
      <c r="A98" s="2" t="s">
        <v>268</v>
      </c>
      <c r="B98" s="2" t="s">
        <v>268</v>
      </c>
      <c r="C98" s="2" t="s">
        <v>17</v>
      </c>
      <c r="D98" s="2" t="s">
        <v>18</v>
      </c>
      <c r="E98" s="5">
        <v>-28007</v>
      </c>
      <c r="F98" s="3" t="s">
        <v>311</v>
      </c>
      <c r="G98" s="3" t="s">
        <v>27</v>
      </c>
      <c r="H98" s="2" t="s">
        <v>21</v>
      </c>
      <c r="I98" s="2" t="s">
        <v>312</v>
      </c>
      <c r="J98" s="3" t="str">
        <f>HYPERLINK("https://www.boe.es/gazeta/dias/1823/04/26/pdfs/GES-1823-16.pdf#page=2","Abrir facsímil")</f>
        <v>Abrir facsímil</v>
      </c>
      <c r="K98" s="3" t="s">
        <v>23</v>
      </c>
    </row>
    <row r="99" spans="1:11" ht="42" customHeight="1">
      <c r="A99" s="2" t="s">
        <v>268</v>
      </c>
      <c r="B99" s="2" t="s">
        <v>268</v>
      </c>
      <c r="C99" s="2" t="s">
        <v>17</v>
      </c>
      <c r="D99" s="2" t="s">
        <v>18</v>
      </c>
      <c r="E99" s="5">
        <v>-28004</v>
      </c>
      <c r="F99" s="3" t="s">
        <v>313</v>
      </c>
      <c r="G99" s="3" t="s">
        <v>48</v>
      </c>
      <c r="H99" s="2" t="s">
        <v>21</v>
      </c>
      <c r="I99" s="2" t="s">
        <v>314</v>
      </c>
      <c r="J99" s="3" t="str">
        <f>HYPERLINK("https://www.boe.es/gazeta/dias/1823/04/29/pdfs/GMD-1823-72.pdf#page=3","Abrir facsímil")</f>
        <v>Abrir facsímil</v>
      </c>
      <c r="K99" s="3" t="s">
        <v>23</v>
      </c>
    </row>
    <row r="100" spans="1:11" ht="42" customHeight="1">
      <c r="A100" s="2" t="s">
        <v>273</v>
      </c>
      <c r="B100" s="2" t="s">
        <v>273</v>
      </c>
      <c r="C100" s="2" t="s">
        <v>56</v>
      </c>
      <c r="D100" s="2" t="s">
        <v>57</v>
      </c>
      <c r="E100" s="5">
        <v>-28002</v>
      </c>
      <c r="F100" s="3" t="s">
        <v>315</v>
      </c>
      <c r="G100" s="3" t="s">
        <v>27</v>
      </c>
      <c r="H100" s="2" t="s">
        <v>21</v>
      </c>
      <c r="I100" s="2" t="s">
        <v>316</v>
      </c>
      <c r="J100" s="3" t="str">
        <f>HYPERLINK("https://www.boe.es/gazeta/dias/1823/05/01/pdfs/GES-1823-21.pdf#page=2","Abrir facsímil")</f>
        <v>Abrir facsímil</v>
      </c>
      <c r="K100" s="3" t="s">
        <v>23</v>
      </c>
    </row>
    <row r="101" spans="1:11" ht="42" customHeight="1">
      <c r="A101" s="2" t="s">
        <v>268</v>
      </c>
      <c r="B101" s="2" t="s">
        <v>268</v>
      </c>
      <c r="C101" s="2" t="s">
        <v>109</v>
      </c>
      <c r="D101" s="2" t="s">
        <v>74</v>
      </c>
      <c r="E101" s="5">
        <v>-27997</v>
      </c>
      <c r="F101" s="3" t="s">
        <v>317</v>
      </c>
      <c r="G101" s="3" t="s">
        <v>318</v>
      </c>
      <c r="H101" s="2" t="s">
        <v>21</v>
      </c>
      <c r="I101" s="2" t="s">
        <v>319</v>
      </c>
      <c r="J101" s="3" t="str">
        <f>HYPERLINK("https://www.boe.es/gazeta/dias/1823/05/06/pdfs/GES-1823-26.pdf#page=3","Abrir facsímil")</f>
        <v>Abrir facsímil</v>
      </c>
      <c r="K101" s="3" t="s">
        <v>23</v>
      </c>
    </row>
    <row r="102" spans="1:11" ht="42" customHeight="1">
      <c r="A102" s="2" t="s">
        <v>268</v>
      </c>
      <c r="B102" s="2" t="s">
        <v>268</v>
      </c>
      <c r="C102" s="2" t="s">
        <v>109</v>
      </c>
      <c r="D102" s="2" t="s">
        <v>74</v>
      </c>
      <c r="E102" s="5">
        <v>-27995</v>
      </c>
      <c r="F102" s="3" t="s">
        <v>320</v>
      </c>
      <c r="G102" s="3" t="s">
        <v>321</v>
      </c>
      <c r="H102" s="2" t="s">
        <v>21</v>
      </c>
      <c r="I102" s="2" t="s">
        <v>322</v>
      </c>
      <c r="J102" s="3" t="str">
        <f>HYPERLINK("https://www.boe.es/gazeta/dias/1823/05/08/pdfs/GES-1823-28.pdf#page=3","Abrir facsímil")</f>
        <v>Abrir facsímil</v>
      </c>
      <c r="K102" s="3" t="s">
        <v>23</v>
      </c>
    </row>
    <row r="103" spans="1:11" ht="42" customHeight="1">
      <c r="A103" s="2" t="s">
        <v>268</v>
      </c>
      <c r="B103" s="2" t="s">
        <v>268</v>
      </c>
      <c r="C103" s="2" t="s">
        <v>73</v>
      </c>
      <c r="D103" s="2" t="s">
        <v>74</v>
      </c>
      <c r="E103" s="5">
        <v>-27995</v>
      </c>
      <c r="F103" s="3" t="s">
        <v>320</v>
      </c>
      <c r="G103" s="3" t="s">
        <v>39</v>
      </c>
      <c r="H103" s="2" t="s">
        <v>21</v>
      </c>
      <c r="I103" s="2" t="s">
        <v>323</v>
      </c>
      <c r="J103" s="3" t="str">
        <f>HYPERLINK("https://www.boe.es/gazeta/dias/1823/05/08/pdfs/GES-1823-28.pdf#page=1","Abrir facsímil")</f>
        <v>Abrir facsímil</v>
      </c>
      <c r="K103" s="3" t="s">
        <v>23</v>
      </c>
    </row>
    <row r="104" spans="1:11" ht="42" customHeight="1">
      <c r="A104" s="2" t="s">
        <v>268</v>
      </c>
      <c r="B104" s="2" t="s">
        <v>268</v>
      </c>
      <c r="C104" s="2" t="s">
        <v>56</v>
      </c>
      <c r="D104" s="2" t="s">
        <v>57</v>
      </c>
      <c r="E104" s="5">
        <v>-27995</v>
      </c>
      <c r="F104" s="3" t="s">
        <v>320</v>
      </c>
      <c r="G104" s="3" t="s">
        <v>34</v>
      </c>
      <c r="H104" s="2" t="s">
        <v>21</v>
      </c>
      <c r="I104" s="2" t="s">
        <v>324</v>
      </c>
      <c r="J104" s="3" t="str">
        <f>HYPERLINK("https://www.boe.es/gazeta/dias/1823/05/08/pdfs/GES-1823-28.pdf#page=5","Abrir facsímil")</f>
        <v>Abrir facsímil</v>
      </c>
      <c r="K104" s="3" t="s">
        <v>23</v>
      </c>
    </row>
    <row r="105" spans="1:11" ht="42" customHeight="1">
      <c r="A105" s="2" t="s">
        <v>268</v>
      </c>
      <c r="B105" s="2" t="s">
        <v>268</v>
      </c>
      <c r="C105" s="2" t="s">
        <v>325</v>
      </c>
      <c r="D105" s="2" t="s">
        <v>74</v>
      </c>
      <c r="E105" s="5">
        <v>-27995</v>
      </c>
      <c r="F105" s="3" t="s">
        <v>326</v>
      </c>
      <c r="G105" s="3" t="s">
        <v>27</v>
      </c>
      <c r="H105" s="2" t="s">
        <v>21</v>
      </c>
      <c r="I105" s="2" t="s">
        <v>327</v>
      </c>
      <c r="J105" s="3" t="str">
        <f>HYPERLINK("https://www.boe.es/gazeta/dias/1823/05/08/pdfs/GMD-1823-112.pdf#page=2","Abrir facsímil")</f>
        <v>Abrir facsímil</v>
      </c>
      <c r="K105" s="3" t="s">
        <v>23</v>
      </c>
    </row>
    <row r="106" spans="1:11" ht="42" customHeight="1">
      <c r="A106" s="2" t="s">
        <v>268</v>
      </c>
      <c r="B106" s="2" t="s">
        <v>268</v>
      </c>
      <c r="C106" s="2" t="s">
        <v>56</v>
      </c>
      <c r="D106" s="2" t="s">
        <v>57</v>
      </c>
      <c r="E106" s="5">
        <v>-27991</v>
      </c>
      <c r="F106" s="3" t="s">
        <v>328</v>
      </c>
      <c r="G106" s="3" t="s">
        <v>48</v>
      </c>
      <c r="H106" s="2" t="s">
        <v>21</v>
      </c>
      <c r="I106" s="2" t="s">
        <v>329</v>
      </c>
      <c r="J106" s="3" t="str">
        <f>HYPERLINK("https://www.boe.es/gazeta/dias/1823/05/12/pdfs/GES-1823-32.pdf#page=3","Abrir facsímil")</f>
        <v>Abrir facsímil</v>
      </c>
      <c r="K106" s="3" t="s">
        <v>23</v>
      </c>
    </row>
    <row r="107" spans="1:11" ht="42" customHeight="1">
      <c r="A107" s="2" t="s">
        <v>268</v>
      </c>
      <c r="B107" s="2" t="s">
        <v>268</v>
      </c>
      <c r="C107" s="2" t="s">
        <v>79</v>
      </c>
      <c r="D107" s="2" t="s">
        <v>74</v>
      </c>
      <c r="E107" s="5">
        <v>-27990</v>
      </c>
      <c r="F107" s="3" t="s">
        <v>330</v>
      </c>
      <c r="G107" s="3" t="s">
        <v>48</v>
      </c>
      <c r="H107" s="2" t="s">
        <v>21</v>
      </c>
      <c r="I107" s="2" t="s">
        <v>331</v>
      </c>
      <c r="J107" s="3" t="str">
        <f>HYPERLINK("https://www.boe.es/gazeta/dias/1823/05/13/pdfs/GMD-1823-132.pdf#page=3","Abrir facsímil")</f>
        <v>Abrir facsímil</v>
      </c>
      <c r="K107" s="3" t="s">
        <v>23</v>
      </c>
    </row>
    <row r="108" spans="1:11" ht="42" customHeight="1">
      <c r="A108" s="2" t="s">
        <v>268</v>
      </c>
      <c r="B108" s="2" t="s">
        <v>268</v>
      </c>
      <c r="C108" s="2" t="s">
        <v>109</v>
      </c>
      <c r="D108" s="2" t="s">
        <v>74</v>
      </c>
      <c r="E108" s="5">
        <v>-27987</v>
      </c>
      <c r="F108" s="3" t="s">
        <v>332</v>
      </c>
      <c r="G108" s="3" t="s">
        <v>333</v>
      </c>
      <c r="H108" s="2" t="s">
        <v>21</v>
      </c>
      <c r="I108" s="2" t="s">
        <v>334</v>
      </c>
      <c r="J108" s="3" t="str">
        <f>HYPERLINK("https://www.boe.es/gazeta/dias/1823/05/16/pdfs/GES-1823-36.pdf#page=2","Abrir facsímil")</f>
        <v>Abrir facsímil</v>
      </c>
      <c r="K108" s="3" t="s">
        <v>23</v>
      </c>
    </row>
    <row r="109" spans="1:11" ht="42" customHeight="1">
      <c r="A109" s="2" t="s">
        <v>268</v>
      </c>
      <c r="B109" s="2" t="s">
        <v>268</v>
      </c>
      <c r="C109" s="2" t="s">
        <v>17</v>
      </c>
      <c r="D109" s="2" t="s">
        <v>18</v>
      </c>
      <c r="E109" s="5">
        <v>-27984</v>
      </c>
      <c r="F109" s="3" t="s">
        <v>335</v>
      </c>
      <c r="G109" s="3" t="s">
        <v>34</v>
      </c>
      <c r="H109" s="2" t="s">
        <v>21</v>
      </c>
      <c r="I109" s="2" t="s">
        <v>336</v>
      </c>
      <c r="J109" s="3" t="str">
        <f>HYPERLINK("https://www.boe.es/gazeta/dias/1823/05/19/pdfs/GES-1823-39.pdf#page=5","Abrir facsímil")</f>
        <v>Abrir facsímil</v>
      </c>
      <c r="K109" s="3" t="s">
        <v>23</v>
      </c>
    </row>
    <row r="110" spans="1:11" ht="42" customHeight="1">
      <c r="A110" s="2" t="s">
        <v>268</v>
      </c>
      <c r="B110" s="2" t="s">
        <v>268</v>
      </c>
      <c r="C110" s="2" t="s">
        <v>17</v>
      </c>
      <c r="D110" s="2" t="s">
        <v>18</v>
      </c>
      <c r="E110" s="5">
        <v>-27983</v>
      </c>
      <c r="F110" s="3" t="s">
        <v>337</v>
      </c>
      <c r="G110" s="3" t="s">
        <v>27</v>
      </c>
      <c r="H110" s="2" t="s">
        <v>21</v>
      </c>
      <c r="I110" s="2" t="s">
        <v>338</v>
      </c>
      <c r="J110" s="3" t="str">
        <f>HYPERLINK("https://www.boe.es/gazeta/dias/1823/05/20/pdfs/GES-1823-40.pdf#page=2","Abrir facsímil")</f>
        <v>Abrir facsímil</v>
      </c>
      <c r="K110" s="3" t="s">
        <v>23</v>
      </c>
    </row>
    <row r="111" spans="1:11" ht="42" customHeight="1">
      <c r="A111" s="2" t="s">
        <v>268</v>
      </c>
      <c r="B111" s="2" t="s">
        <v>268</v>
      </c>
      <c r="C111" s="2" t="s">
        <v>79</v>
      </c>
      <c r="D111" s="2" t="s">
        <v>74</v>
      </c>
      <c r="E111" s="5">
        <v>-27983</v>
      </c>
      <c r="F111" s="3" t="s">
        <v>337</v>
      </c>
      <c r="G111" s="3" t="s">
        <v>48</v>
      </c>
      <c r="H111" s="2" t="s">
        <v>21</v>
      </c>
      <c r="I111" s="2" t="s">
        <v>339</v>
      </c>
      <c r="J111" s="3" t="str">
        <f>HYPERLINK("https://www.boe.es/gazeta/dias/1823/05/20/pdfs/GES-1823-40.pdf#page=3","Abrir facsímil")</f>
        <v>Abrir facsímil</v>
      </c>
      <c r="K111" s="3" t="s">
        <v>23</v>
      </c>
    </row>
    <row r="112" spans="1:11" ht="42" customHeight="1">
      <c r="A112" s="2" t="s">
        <v>268</v>
      </c>
      <c r="B112" s="2" t="s">
        <v>268</v>
      </c>
      <c r="C112" s="2" t="s">
        <v>79</v>
      </c>
      <c r="D112" s="2" t="s">
        <v>74</v>
      </c>
      <c r="E112" s="5">
        <v>-27982</v>
      </c>
      <c r="F112" s="3" t="s">
        <v>340</v>
      </c>
      <c r="G112" s="3" t="s">
        <v>48</v>
      </c>
      <c r="H112" s="2" t="s">
        <v>21</v>
      </c>
      <c r="I112" s="2" t="s">
        <v>341</v>
      </c>
      <c r="J112" s="3" t="str">
        <f>HYPERLINK("https://www.boe.es/gazeta/dias/1823/05/21/pdfs/GES-1823-42.pdf#page=3","Abrir facsímil")</f>
        <v>Abrir facsímil</v>
      </c>
      <c r="K112" s="3" t="s">
        <v>23</v>
      </c>
    </row>
    <row r="113" spans="1:11" ht="42" customHeight="1">
      <c r="A113" s="2" t="s">
        <v>268</v>
      </c>
      <c r="B113" s="2" t="s">
        <v>268</v>
      </c>
      <c r="C113" s="2" t="s">
        <v>109</v>
      </c>
      <c r="D113" s="2" t="s">
        <v>74</v>
      </c>
      <c r="E113" s="5">
        <v>-27978</v>
      </c>
      <c r="F113" s="3" t="s">
        <v>342</v>
      </c>
      <c r="G113" s="3" t="s">
        <v>27</v>
      </c>
      <c r="H113" s="2" t="s">
        <v>21</v>
      </c>
      <c r="I113" s="2" t="s">
        <v>343</v>
      </c>
      <c r="J113" s="3" t="str">
        <f>HYPERLINK("https://www.boe.es/gazeta/dias/1823/05/25/pdfs/GES-1823-46.pdf#page=2","Abrir facsímil")</f>
        <v>Abrir facsímil</v>
      </c>
      <c r="K113" s="3" t="s">
        <v>23</v>
      </c>
    </row>
    <row r="114" spans="1:11" ht="42" customHeight="1">
      <c r="A114" s="2" t="s">
        <v>268</v>
      </c>
      <c r="B114" s="2" t="s">
        <v>268</v>
      </c>
      <c r="C114" s="2" t="s">
        <v>17</v>
      </c>
      <c r="D114" s="2" t="s">
        <v>18</v>
      </c>
      <c r="E114" s="5">
        <v>-27963</v>
      </c>
      <c r="F114" s="3" t="s">
        <v>344</v>
      </c>
      <c r="G114" s="3" t="s">
        <v>27</v>
      </c>
      <c r="H114" s="2" t="s">
        <v>21</v>
      </c>
      <c r="I114" s="2" t="s">
        <v>345</v>
      </c>
      <c r="J114" s="3" t="str">
        <f>HYPERLINK("https://www.boe.es/gazeta/dias/1823/06/09/pdfs/GES-1823-63.pdf#page=2","Abrir facsímil")</f>
        <v>Abrir facsímil</v>
      </c>
      <c r="K114" s="3" t="s">
        <v>23</v>
      </c>
    </row>
    <row r="115" spans="1:11" ht="42" customHeight="1">
      <c r="A115" s="2" t="s">
        <v>268</v>
      </c>
      <c r="B115" s="2" t="s">
        <v>268</v>
      </c>
      <c r="C115" s="2" t="s">
        <v>17</v>
      </c>
      <c r="D115" s="2" t="s">
        <v>18</v>
      </c>
      <c r="E115" s="5">
        <v>-27943</v>
      </c>
      <c r="F115" s="3" t="s">
        <v>346</v>
      </c>
      <c r="G115" s="3" t="s">
        <v>27</v>
      </c>
      <c r="H115" s="2" t="s">
        <v>21</v>
      </c>
      <c r="I115" s="2" t="s">
        <v>347</v>
      </c>
      <c r="J115" s="3" t="str">
        <f>HYPERLINK("https://www.boe.es/gazeta/dias/1823/06/29/pdfs/GES-1823-79.pdf#page=2","Abrir facsímil")</f>
        <v>Abrir facsímil</v>
      </c>
      <c r="K115" s="3" t="s">
        <v>23</v>
      </c>
    </row>
    <row r="116" spans="1:11" ht="42" customHeight="1">
      <c r="A116" s="2" t="s">
        <v>273</v>
      </c>
      <c r="B116" s="2" t="s">
        <v>273</v>
      </c>
      <c r="C116" s="2" t="s">
        <v>73</v>
      </c>
      <c r="D116" s="2" t="s">
        <v>74</v>
      </c>
      <c r="E116" s="5">
        <v>-27940</v>
      </c>
      <c r="F116" s="3" t="s">
        <v>348</v>
      </c>
      <c r="G116" s="3" t="s">
        <v>48</v>
      </c>
      <c r="H116" s="2" t="s">
        <v>21</v>
      </c>
      <c r="I116" s="2" t="s">
        <v>349</v>
      </c>
      <c r="J116" s="3" t="str">
        <f>HYPERLINK("https://www.boe.es/gazeta/dias/1823/07/02/pdfs/GES-1823-82.pdf#page=3","Abrir facsímil")</f>
        <v>Abrir facsímil</v>
      </c>
      <c r="K116" s="3" t="s">
        <v>23</v>
      </c>
    </row>
    <row r="117" spans="1:11" ht="42" customHeight="1">
      <c r="A117" s="2" t="s">
        <v>268</v>
      </c>
      <c r="B117" s="2" t="s">
        <v>268</v>
      </c>
      <c r="C117" s="2" t="s">
        <v>73</v>
      </c>
      <c r="D117" s="2" t="s">
        <v>74</v>
      </c>
      <c r="E117" s="5">
        <v>-27935</v>
      </c>
      <c r="F117" s="3" t="s">
        <v>350</v>
      </c>
      <c r="G117" s="3" t="s">
        <v>27</v>
      </c>
      <c r="H117" s="2" t="s">
        <v>21</v>
      </c>
      <c r="I117" s="2" t="s">
        <v>351</v>
      </c>
      <c r="J117" s="3" t="str">
        <f>HYPERLINK("https://www.boe.es/gazeta/dias/1823/07/07/pdfs/GES-1823-87.pdf#page=2","Abrir facsímil")</f>
        <v>Abrir facsímil</v>
      </c>
      <c r="K117" s="3" t="s">
        <v>23</v>
      </c>
    </row>
    <row r="118" spans="1:11" ht="42" customHeight="1">
      <c r="A118" s="2" t="s">
        <v>268</v>
      </c>
      <c r="B118" s="2" t="s">
        <v>268</v>
      </c>
      <c r="C118" s="2" t="s">
        <v>109</v>
      </c>
      <c r="D118" s="2" t="s">
        <v>74</v>
      </c>
      <c r="E118" s="5">
        <v>-27935</v>
      </c>
      <c r="F118" s="3" t="s">
        <v>350</v>
      </c>
      <c r="G118" s="3" t="s">
        <v>48</v>
      </c>
      <c r="H118" s="2" t="s">
        <v>21</v>
      </c>
      <c r="I118" s="2" t="s">
        <v>352</v>
      </c>
      <c r="J118" s="3" t="str">
        <f>HYPERLINK("https://www.boe.es/gazeta/dias/1823/07/07/pdfs/GES-1823-87.pdf#page=3","Abrir facsímil")</f>
        <v>Abrir facsímil</v>
      </c>
      <c r="K118" s="3" t="s">
        <v>23</v>
      </c>
    </row>
    <row r="119" spans="1:11" ht="42" customHeight="1">
      <c r="A119" s="2" t="s">
        <v>268</v>
      </c>
      <c r="B119" s="2" t="s">
        <v>268</v>
      </c>
      <c r="C119" s="2" t="s">
        <v>84</v>
      </c>
      <c r="D119" s="2" t="s">
        <v>74</v>
      </c>
      <c r="E119" s="5">
        <v>-27925</v>
      </c>
      <c r="F119" s="3" t="s">
        <v>89</v>
      </c>
      <c r="G119" s="3" t="s">
        <v>27</v>
      </c>
      <c r="H119" s="2" t="s">
        <v>21</v>
      </c>
      <c r="I119" s="2" t="s">
        <v>353</v>
      </c>
      <c r="J119" s="3" t="str">
        <f>HYPERLINK("https://www.boe.es/gazeta/dias/1823/07/17/pdfs/GES-1823-97.pdf#page=2","Abrir facsímil")</f>
        <v>Abrir facsímil</v>
      </c>
      <c r="K119" s="3" t="s">
        <v>23</v>
      </c>
    </row>
    <row r="120" spans="1:11" ht="42" customHeight="1">
      <c r="A120" s="2" t="s">
        <v>268</v>
      </c>
      <c r="B120" s="2" t="s">
        <v>268</v>
      </c>
      <c r="C120" s="2" t="s">
        <v>109</v>
      </c>
      <c r="D120" s="2" t="s">
        <v>74</v>
      </c>
      <c r="E120" s="5">
        <v>-27923</v>
      </c>
      <c r="F120" s="3" t="s">
        <v>354</v>
      </c>
      <c r="G120" s="3" t="s">
        <v>39</v>
      </c>
      <c r="H120" s="2" t="s">
        <v>21</v>
      </c>
      <c r="I120" s="2" t="s">
        <v>355</v>
      </c>
      <c r="J120" s="3" t="str">
        <f>HYPERLINK("https://www.boe.es/gazeta/dias/1823/07/19/pdfs/GES-1823-100.pdf#page=1","Abrir facsímil")</f>
        <v>Abrir facsímil</v>
      </c>
      <c r="K120" s="3" t="s">
        <v>23</v>
      </c>
    </row>
    <row r="121" spans="1:11" ht="42" customHeight="1">
      <c r="A121" s="2" t="s">
        <v>268</v>
      </c>
      <c r="B121" s="2" t="s">
        <v>268</v>
      </c>
      <c r="C121" s="2" t="s">
        <v>79</v>
      </c>
      <c r="D121" s="2" t="s">
        <v>74</v>
      </c>
      <c r="E121" s="5">
        <v>-27921</v>
      </c>
      <c r="F121" s="3" t="s">
        <v>356</v>
      </c>
      <c r="G121" s="3" t="s">
        <v>27</v>
      </c>
      <c r="H121" s="2" t="s">
        <v>21</v>
      </c>
      <c r="I121" s="2" t="s">
        <v>357</v>
      </c>
      <c r="J121" s="3" t="str">
        <f>HYPERLINK("https://www.boe.es/gazeta/dias/1823/07/21/pdfs/GES-1823-102.pdf#page=2","Abrir facsímil")</f>
        <v>Abrir facsímil</v>
      </c>
      <c r="K121" s="3" t="s">
        <v>23</v>
      </c>
    </row>
    <row r="122" spans="1:11" ht="42" customHeight="1">
      <c r="A122" s="2" t="s">
        <v>268</v>
      </c>
      <c r="B122" s="2" t="s">
        <v>268</v>
      </c>
      <c r="C122" s="2" t="s">
        <v>56</v>
      </c>
      <c r="D122" s="2" t="s">
        <v>57</v>
      </c>
      <c r="E122" s="5">
        <v>-27920</v>
      </c>
      <c r="F122" s="3" t="s">
        <v>358</v>
      </c>
      <c r="G122" s="3" t="s">
        <v>39</v>
      </c>
      <c r="H122" s="2" t="s">
        <v>21</v>
      </c>
      <c r="I122" s="2" t="s">
        <v>359</v>
      </c>
      <c r="J122" s="3" t="str">
        <f>HYPERLINK("https://www.boe.es/gazeta/dias/1823/07/22/pdfs/GES-1823-103.pdf#page=1","Abrir facsímil")</f>
        <v>Abrir facsímil</v>
      </c>
      <c r="K122" s="3" t="s">
        <v>23</v>
      </c>
    </row>
    <row r="123" spans="1:11" ht="42" customHeight="1">
      <c r="A123" s="2" t="s">
        <v>268</v>
      </c>
      <c r="B123" s="2" t="s">
        <v>268</v>
      </c>
      <c r="C123" s="2" t="s">
        <v>56</v>
      </c>
      <c r="D123" s="2" t="s">
        <v>57</v>
      </c>
      <c r="E123" s="5">
        <v>-27920</v>
      </c>
      <c r="F123" s="3" t="s">
        <v>358</v>
      </c>
      <c r="G123" s="3" t="s">
        <v>27</v>
      </c>
      <c r="H123" s="2" t="s">
        <v>21</v>
      </c>
      <c r="I123" s="2" t="s">
        <v>360</v>
      </c>
      <c r="J123" s="3" t="str">
        <f>HYPERLINK("https://www.boe.es/gazeta/dias/1823/07/22/pdfs/GES-1823-103.pdf#page=2","Abrir facsímil")</f>
        <v>Abrir facsímil</v>
      </c>
      <c r="K123" s="3" t="s">
        <v>23</v>
      </c>
    </row>
    <row r="124" spans="1:11" ht="42" customHeight="1">
      <c r="A124" s="2" t="s">
        <v>268</v>
      </c>
      <c r="B124" s="2" t="s">
        <v>268</v>
      </c>
      <c r="C124" s="2" t="s">
        <v>79</v>
      </c>
      <c r="D124" s="2" t="s">
        <v>74</v>
      </c>
      <c r="E124" s="5">
        <v>-27919</v>
      </c>
      <c r="F124" s="3" t="s">
        <v>361</v>
      </c>
      <c r="G124" s="3" t="s">
        <v>27</v>
      </c>
      <c r="H124" s="2" t="s">
        <v>21</v>
      </c>
      <c r="I124" s="2" t="s">
        <v>362</v>
      </c>
      <c r="J124" s="3" t="str">
        <f>HYPERLINK("https://www.boe.es/gazeta/dias/1823/07/23/pdfs/GES-1823-104.pdf#page=2","Abrir facsímil")</f>
        <v>Abrir facsímil</v>
      </c>
      <c r="K124" s="3" t="s">
        <v>23</v>
      </c>
    </row>
    <row r="125" spans="1:11" ht="42" customHeight="1">
      <c r="A125" s="2" t="s">
        <v>268</v>
      </c>
      <c r="B125" s="2" t="s">
        <v>268</v>
      </c>
      <c r="C125" s="2" t="s">
        <v>17</v>
      </c>
      <c r="D125" s="2" t="s">
        <v>18</v>
      </c>
      <c r="E125" s="5">
        <v>-27917</v>
      </c>
      <c r="F125" s="3" t="s">
        <v>363</v>
      </c>
      <c r="G125" s="3" t="s">
        <v>48</v>
      </c>
      <c r="H125" s="2" t="s">
        <v>21</v>
      </c>
      <c r="I125" s="2" t="s">
        <v>364</v>
      </c>
      <c r="J125" s="3" t="str">
        <f>HYPERLINK("https://www.boe.es/gazeta/dias/1823/07/25/pdfs/GES-1823-106.pdf#page=3","Abrir facsímil")</f>
        <v>Abrir facsímil</v>
      </c>
      <c r="K125" s="3" t="s">
        <v>23</v>
      </c>
    </row>
    <row r="126" spans="1:11" ht="42" customHeight="1">
      <c r="A126" s="2" t="s">
        <v>268</v>
      </c>
      <c r="B126" s="2" t="s">
        <v>268</v>
      </c>
      <c r="C126" s="2" t="s">
        <v>73</v>
      </c>
      <c r="D126" s="2" t="s">
        <v>74</v>
      </c>
      <c r="E126" s="5">
        <v>-27912</v>
      </c>
      <c r="F126" s="3" t="s">
        <v>365</v>
      </c>
      <c r="G126" s="3" t="s">
        <v>366</v>
      </c>
      <c r="H126" s="2" t="s">
        <v>21</v>
      </c>
      <c r="I126" s="2" t="s">
        <v>367</v>
      </c>
      <c r="J126" s="3" t="str">
        <f>HYPERLINK("https://www.boe.es/gazeta/dias/1823/07/30/pdfs/GES-1823-111.pdf#page=4","Abrir facsímil")</f>
        <v>Abrir facsímil</v>
      </c>
      <c r="K126" s="3" t="s">
        <v>23</v>
      </c>
    </row>
    <row r="127" spans="1:11" ht="42" customHeight="1">
      <c r="A127" s="2" t="s">
        <v>268</v>
      </c>
      <c r="B127" s="2" t="s">
        <v>268</v>
      </c>
      <c r="C127" s="2" t="s">
        <v>17</v>
      </c>
      <c r="D127" s="2" t="s">
        <v>18</v>
      </c>
      <c r="E127" s="5">
        <v>-27911</v>
      </c>
      <c r="F127" s="3" t="s">
        <v>368</v>
      </c>
      <c r="G127" s="3" t="s">
        <v>48</v>
      </c>
      <c r="H127" s="2" t="s">
        <v>21</v>
      </c>
      <c r="I127" s="2" t="s">
        <v>369</v>
      </c>
      <c r="J127" s="3" t="str">
        <f>HYPERLINK("https://www.boe.es/gazeta/dias/1823/07/31/pdfs/GES-1823-112.pdf#page=3","Abrir facsímil")</f>
        <v>Abrir facsímil</v>
      </c>
      <c r="K127" s="3" t="s">
        <v>23</v>
      </c>
    </row>
    <row r="128" spans="1:11" ht="42" customHeight="1">
      <c r="A128" s="2" t="s">
        <v>268</v>
      </c>
      <c r="B128" s="2" t="s">
        <v>268</v>
      </c>
      <c r="C128" s="2" t="s">
        <v>56</v>
      </c>
      <c r="D128" s="2" t="s">
        <v>57</v>
      </c>
      <c r="E128" s="5">
        <v>-27907</v>
      </c>
      <c r="F128" s="3" t="s">
        <v>370</v>
      </c>
      <c r="G128" s="3" t="s">
        <v>39</v>
      </c>
      <c r="H128" s="2" t="s">
        <v>21</v>
      </c>
      <c r="I128" s="2" t="s">
        <v>371</v>
      </c>
      <c r="J128" s="3" t="str">
        <f>HYPERLINK("https://www.boe.es/gazeta/dias/1823/08/04/pdfs/GES-1823-116.pdf#page=1","Abrir facsímil")</f>
        <v>Abrir facsímil</v>
      </c>
      <c r="K128" s="3" t="s">
        <v>23</v>
      </c>
    </row>
    <row r="129" spans="1:11" ht="42" customHeight="1">
      <c r="A129" s="2" t="s">
        <v>273</v>
      </c>
      <c r="B129" s="2" t="s">
        <v>273</v>
      </c>
      <c r="C129" s="2" t="s">
        <v>73</v>
      </c>
      <c r="D129" s="2" t="s">
        <v>74</v>
      </c>
      <c r="E129" s="5">
        <v>-27905</v>
      </c>
      <c r="F129" s="3" t="s">
        <v>236</v>
      </c>
      <c r="G129" s="3" t="s">
        <v>372</v>
      </c>
      <c r="H129" s="2" t="s">
        <v>21</v>
      </c>
      <c r="I129" s="2" t="s">
        <v>373</v>
      </c>
      <c r="J129" s="3" t="str">
        <f>HYPERLINK("https://www.boe.es/gazeta/dias/1823/08/06/pdfs/GES-1823-119.pdf#page=1","Abrir facsímil")</f>
        <v>Abrir facsímil</v>
      </c>
      <c r="K129" s="3" t="s">
        <v>23</v>
      </c>
    </row>
    <row r="130" spans="1:11" ht="42" customHeight="1">
      <c r="A130" s="2" t="s">
        <v>268</v>
      </c>
      <c r="B130" s="2" t="s">
        <v>268</v>
      </c>
      <c r="C130" s="2" t="s">
        <v>109</v>
      </c>
      <c r="D130" s="2" t="s">
        <v>74</v>
      </c>
      <c r="E130" s="5">
        <v>-27872</v>
      </c>
      <c r="F130" s="3" t="s">
        <v>374</v>
      </c>
      <c r="G130" s="3" t="s">
        <v>27</v>
      </c>
      <c r="H130" s="2" t="s">
        <v>21</v>
      </c>
      <c r="I130" s="2" t="s">
        <v>375</v>
      </c>
      <c r="J130" s="3" t="str">
        <f>HYPERLINK("https://www.boe.es/gazeta/dias/1823/09/08/pdfs/GES-1823-152.pdf#page=2","Abrir facsímil")</f>
        <v>Abrir facsímil</v>
      </c>
      <c r="K130" s="3" t="s">
        <v>23</v>
      </c>
    </row>
    <row r="131" spans="1:11" ht="42" customHeight="1">
      <c r="A131" s="2" t="s">
        <v>268</v>
      </c>
      <c r="B131" s="2" t="s">
        <v>268</v>
      </c>
      <c r="C131" s="2" t="s">
        <v>17</v>
      </c>
      <c r="D131" s="2" t="s">
        <v>18</v>
      </c>
      <c r="E131" s="5">
        <v>-27870</v>
      </c>
      <c r="F131" s="3" t="s">
        <v>376</v>
      </c>
      <c r="G131" s="3" t="s">
        <v>48</v>
      </c>
      <c r="H131" s="2" t="s">
        <v>21</v>
      </c>
      <c r="I131" s="2" t="s">
        <v>377</v>
      </c>
      <c r="J131" s="3" t="str">
        <f>HYPERLINK("https://www.boe.es/gazeta/dias/1823/09/10/pdfs/GES-1823-154.pdf#page=3","Abrir facsímil")</f>
        <v>Abrir facsímil</v>
      </c>
      <c r="K131" s="3" t="s">
        <v>23</v>
      </c>
    </row>
    <row r="132" spans="1:11" ht="42" customHeight="1">
      <c r="A132" s="2" t="s">
        <v>268</v>
      </c>
      <c r="B132" s="2" t="s">
        <v>268</v>
      </c>
      <c r="C132" s="2" t="s">
        <v>17</v>
      </c>
      <c r="D132" s="2" t="s">
        <v>18</v>
      </c>
      <c r="E132" s="5">
        <v>-27857</v>
      </c>
      <c r="F132" s="3" t="s">
        <v>378</v>
      </c>
      <c r="G132" s="3" t="s">
        <v>59</v>
      </c>
      <c r="H132" s="2" t="s">
        <v>21</v>
      </c>
      <c r="I132" s="2" t="s">
        <v>379</v>
      </c>
      <c r="J132" s="3" t="str">
        <f>HYPERLINK("https://www.boe.es/gazeta/dias/1823/09/23/pdfs/GMD-1823-833.pdf#page=6","Abrir facsímil")</f>
        <v>Abrir facsímil</v>
      </c>
      <c r="K132" s="3" t="s">
        <v>23</v>
      </c>
    </row>
    <row r="133" spans="1:11" ht="42" customHeight="1">
      <c r="A133" s="2" t="s">
        <v>268</v>
      </c>
      <c r="B133" s="2" t="s">
        <v>268</v>
      </c>
      <c r="C133" s="2" t="s">
        <v>79</v>
      </c>
      <c r="D133" s="2" t="s">
        <v>74</v>
      </c>
      <c r="E133" s="5">
        <v>-27855</v>
      </c>
      <c r="F133" s="3" t="s">
        <v>380</v>
      </c>
      <c r="G133" s="3" t="s">
        <v>20</v>
      </c>
      <c r="H133" s="2" t="s">
        <v>21</v>
      </c>
      <c r="I133" s="2" t="s">
        <v>381</v>
      </c>
      <c r="J133" s="3" t="str">
        <f>HYPERLINK("https://www.boe.es/gazeta/dias/1823/09/25/pdfs/GMD-1823-853.pdf#page=4","Abrir facsímil")</f>
        <v>Abrir facsímil</v>
      </c>
      <c r="K133" s="3" t="s">
        <v>23</v>
      </c>
    </row>
    <row r="134" spans="1:11" ht="42" customHeight="1">
      <c r="A134" s="2" t="s">
        <v>382</v>
      </c>
      <c r="B134" s="2" t="s">
        <v>383</v>
      </c>
      <c r="C134" s="2" t="s">
        <v>17</v>
      </c>
      <c r="D134" s="2" t="s">
        <v>18</v>
      </c>
      <c r="E134" s="5">
        <v>-28023</v>
      </c>
      <c r="F134" s="3" t="s">
        <v>384</v>
      </c>
      <c r="G134" s="3" t="s">
        <v>27</v>
      </c>
      <c r="H134" s="2" t="s">
        <v>21</v>
      </c>
      <c r="I134" s="2" t="s">
        <v>385</v>
      </c>
      <c r="J134" s="3" t="str">
        <f>HYPERLINK("https://www.boe.es/gazeta/dias/1823/04/10/pdfs/GMD-1823-105.pdf#page=2","Abrir facsímil")</f>
        <v>Abrir facsímil</v>
      </c>
      <c r="K134" s="3" t="s">
        <v>23</v>
      </c>
    </row>
    <row r="135" spans="1:11" ht="42" customHeight="1">
      <c r="A135" s="2" t="s">
        <v>386</v>
      </c>
      <c r="B135" s="2" t="s">
        <v>386</v>
      </c>
      <c r="C135" s="2" t="s">
        <v>17</v>
      </c>
      <c r="D135" s="2" t="s">
        <v>18</v>
      </c>
      <c r="E135" s="5">
        <v>-28060</v>
      </c>
      <c r="F135" s="3" t="s">
        <v>180</v>
      </c>
      <c r="G135" s="3" t="s">
        <v>20</v>
      </c>
      <c r="H135" s="2" t="s">
        <v>21</v>
      </c>
      <c r="I135" s="2" t="s">
        <v>387</v>
      </c>
      <c r="J135" s="3" t="str">
        <f>HYPERLINK("https://www.boe.es/gazeta/dias/1823/03/04/pdfs/GMD-1823-67.pdf#page=4","Abrir facsímil")</f>
        <v>Abrir facsímil</v>
      </c>
      <c r="K135" s="3" t="s">
        <v>23</v>
      </c>
    </row>
    <row r="136" spans="1:11" ht="42" customHeight="1">
      <c r="A136" s="2" t="s">
        <v>388</v>
      </c>
      <c r="B136" s="2" t="s">
        <v>388</v>
      </c>
      <c r="C136" s="2" t="s">
        <v>109</v>
      </c>
      <c r="D136" s="2" t="s">
        <v>74</v>
      </c>
      <c r="E136" s="5">
        <v>-27921</v>
      </c>
      <c r="F136" s="3" t="s">
        <v>356</v>
      </c>
      <c r="G136" s="3" t="s">
        <v>27</v>
      </c>
      <c r="H136" s="2" t="s">
        <v>21</v>
      </c>
      <c r="I136" s="2" t="s">
        <v>389</v>
      </c>
      <c r="J136" s="3" t="str">
        <f>HYPERLINK("https://www.boe.es/gazeta/dias/1823/07/21/pdfs/GES-1823-102.pdf#page=2","Abrir facsímil")</f>
        <v>Abrir facsímil</v>
      </c>
      <c r="K136" s="3" t="s">
        <v>23</v>
      </c>
    </row>
    <row r="137" spans="1:11" ht="42" customHeight="1">
      <c r="A137" s="2" t="s">
        <v>390</v>
      </c>
      <c r="B137" s="2" t="s">
        <v>390</v>
      </c>
      <c r="C137" s="2" t="s">
        <v>56</v>
      </c>
      <c r="D137" s="2" t="s">
        <v>57</v>
      </c>
      <c r="E137" s="5">
        <v>-28083</v>
      </c>
      <c r="F137" s="3" t="s">
        <v>291</v>
      </c>
      <c r="G137" s="3" t="s">
        <v>48</v>
      </c>
      <c r="H137" s="2" t="s">
        <v>21</v>
      </c>
      <c r="I137" s="2" t="s">
        <v>391</v>
      </c>
      <c r="J137" s="3" t="str">
        <f>HYPERLINK("https://www.boe.es/gazeta/dias/1823/02/09/pdfs/GMD-1823-43.pdf#page=3","Abrir facsímil")</f>
        <v>Abrir facsímil</v>
      </c>
      <c r="K137" s="3" t="s">
        <v>23</v>
      </c>
    </row>
    <row r="138" spans="1:11" ht="42" customHeight="1">
      <c r="A138" s="2" t="s">
        <v>392</v>
      </c>
      <c r="B138" s="2" t="s">
        <v>392</v>
      </c>
      <c r="C138" s="2" t="s">
        <v>79</v>
      </c>
      <c r="D138" s="2" t="s">
        <v>74</v>
      </c>
      <c r="E138" s="5">
        <v>-27987</v>
      </c>
      <c r="F138" s="3" t="s">
        <v>332</v>
      </c>
      <c r="G138" s="3" t="s">
        <v>20</v>
      </c>
      <c r="H138" s="2" t="s">
        <v>21</v>
      </c>
      <c r="I138" s="2" t="s">
        <v>393</v>
      </c>
      <c r="J138" s="3" t="str">
        <f>HYPERLINK("https://www.boe.es/gazeta/dias/1823/05/16/pdfs/GES-1823-36.pdf#page=4","Abrir facsímil")</f>
        <v>Abrir facsímil</v>
      </c>
      <c r="K138" s="3" t="s">
        <v>23</v>
      </c>
    </row>
    <row r="139" spans="1:11" ht="42" customHeight="1">
      <c r="A139" s="2" t="s">
        <v>394</v>
      </c>
      <c r="B139" s="2" t="s">
        <v>394</v>
      </c>
      <c r="C139" s="2" t="s">
        <v>17</v>
      </c>
      <c r="D139" s="2" t="s">
        <v>18</v>
      </c>
      <c r="E139" s="5">
        <v>-27864</v>
      </c>
      <c r="F139" s="3" t="s">
        <v>395</v>
      </c>
      <c r="G139" s="3" t="s">
        <v>48</v>
      </c>
      <c r="H139" s="2" t="s">
        <v>21</v>
      </c>
      <c r="I139" s="2" t="s">
        <v>396</v>
      </c>
      <c r="J139" s="3" t="str">
        <f>HYPERLINK("https://www.boe.es/gazeta/dias/1823/09/16/pdfs/GMD-1823-783.pdf#page=3","Abrir facsímil")</f>
        <v>Abrir facsímil</v>
      </c>
      <c r="K139" s="3" t="s">
        <v>23</v>
      </c>
    </row>
    <row r="140" spans="1:11" ht="42" customHeight="1">
      <c r="A140" s="2" t="s">
        <v>397</v>
      </c>
      <c r="B140" s="2" t="s">
        <v>398</v>
      </c>
      <c r="C140" s="2" t="s">
        <v>56</v>
      </c>
      <c r="D140" s="2" t="s">
        <v>57</v>
      </c>
      <c r="E140" s="5">
        <v>-28048</v>
      </c>
      <c r="F140" s="3" t="s">
        <v>399</v>
      </c>
      <c r="G140" s="3" t="s">
        <v>34</v>
      </c>
      <c r="H140" s="2" t="s">
        <v>21</v>
      </c>
      <c r="I140" s="2" t="s">
        <v>400</v>
      </c>
      <c r="J140" s="3" t="str">
        <f>HYPERLINK("https://www.boe.es/gazeta/dias/1823/03/16/pdfs/GMD-1823-79.pdf#page=5","Abrir facsímil")</f>
        <v>Abrir facsímil</v>
      </c>
      <c r="K140" s="3" t="s">
        <v>23</v>
      </c>
    </row>
    <row r="141" spans="1:11" ht="42" customHeight="1">
      <c r="A141" s="2" t="s">
        <v>401</v>
      </c>
      <c r="B141" s="2" t="s">
        <v>401</v>
      </c>
      <c r="C141" s="2" t="s">
        <v>56</v>
      </c>
      <c r="D141" s="2" t="s">
        <v>57</v>
      </c>
      <c r="E141" s="5">
        <v>-27943</v>
      </c>
      <c r="F141" s="3" t="s">
        <v>346</v>
      </c>
      <c r="G141" s="3" t="s">
        <v>27</v>
      </c>
      <c r="H141" s="2" t="s">
        <v>21</v>
      </c>
      <c r="I141" s="2" t="s">
        <v>402</v>
      </c>
      <c r="J141" s="3" t="str">
        <f>HYPERLINK("https://www.boe.es/gazeta/dias/1823/06/29/pdfs/GES-1823-79.pdf#page=2","Abrir facsímil")</f>
        <v>Abrir facsímil</v>
      </c>
      <c r="K141" s="3" t="s">
        <v>23</v>
      </c>
    </row>
    <row r="142" spans="1:11" ht="42" customHeight="1">
      <c r="A142" s="2" t="s">
        <v>403</v>
      </c>
      <c r="B142" s="2" t="s">
        <v>403</v>
      </c>
      <c r="C142" s="2" t="s">
        <v>109</v>
      </c>
      <c r="D142" s="2" t="s">
        <v>74</v>
      </c>
      <c r="E142" s="5">
        <v>-27961</v>
      </c>
      <c r="F142" s="3" t="s">
        <v>52</v>
      </c>
      <c r="G142" s="3" t="s">
        <v>39</v>
      </c>
      <c r="H142" s="2" t="s">
        <v>21</v>
      </c>
      <c r="I142" s="2" t="s">
        <v>404</v>
      </c>
      <c r="J142" s="3" t="str">
        <f>HYPERLINK("https://www.boe.es/gazeta/dias/1823/06/11/pdfs/GES-1823-65.pdf#page=1","Abrir facsímil")</f>
        <v>Abrir facsímil</v>
      </c>
      <c r="K142" s="3" t="s">
        <v>23</v>
      </c>
    </row>
    <row r="143" spans="1:11" ht="42" customHeight="1">
      <c r="A143" s="2" t="s">
        <v>405</v>
      </c>
      <c r="B143" s="2" t="s">
        <v>405</v>
      </c>
      <c r="C143" s="2" t="s">
        <v>109</v>
      </c>
      <c r="D143" s="2" t="s">
        <v>74</v>
      </c>
      <c r="E143" s="5">
        <v>-28108</v>
      </c>
      <c r="F143" s="3" t="s">
        <v>406</v>
      </c>
      <c r="G143" s="3" t="s">
        <v>27</v>
      </c>
      <c r="H143" s="2" t="s">
        <v>21</v>
      </c>
      <c r="I143" s="2" t="s">
        <v>407</v>
      </c>
      <c r="J143" s="3" t="str">
        <f>HYPERLINK("https://www.boe.es/gazeta/dias/1823/01/15/pdfs/GMD-1823-15.pdf#page=2","Abrir facsímil")</f>
        <v>Abrir facsímil</v>
      </c>
      <c r="K143" s="3" t="s">
        <v>23</v>
      </c>
    </row>
    <row r="144" spans="1:11" ht="42" customHeight="1">
      <c r="A144" s="2" t="s">
        <v>405</v>
      </c>
      <c r="B144" s="2" t="s">
        <v>405</v>
      </c>
      <c r="C144" s="2" t="s">
        <v>79</v>
      </c>
      <c r="D144" s="2" t="s">
        <v>74</v>
      </c>
      <c r="E144" s="5">
        <v>-27964</v>
      </c>
      <c r="F144" s="3" t="s">
        <v>58</v>
      </c>
      <c r="G144" s="3" t="s">
        <v>27</v>
      </c>
      <c r="H144" s="2" t="s">
        <v>21</v>
      </c>
      <c r="I144" s="2" t="s">
        <v>408</v>
      </c>
      <c r="J144" s="3" t="str">
        <f>HYPERLINK("https://www.boe.es/gazeta/dias/1823/06/08/pdfs/GES-1823-62.pdf#page=2","Abrir facsímil")</f>
        <v>Abrir facsímil</v>
      </c>
      <c r="K144" s="3" t="s">
        <v>23</v>
      </c>
    </row>
    <row r="145" spans="1:11" ht="42" customHeight="1">
      <c r="A145" s="2" t="s">
        <v>405</v>
      </c>
      <c r="B145" s="2" t="s">
        <v>405</v>
      </c>
      <c r="C145" s="2" t="s">
        <v>79</v>
      </c>
      <c r="D145" s="2" t="s">
        <v>74</v>
      </c>
      <c r="E145" s="5">
        <v>-27961</v>
      </c>
      <c r="F145" s="3" t="s">
        <v>52</v>
      </c>
      <c r="G145" s="3" t="s">
        <v>39</v>
      </c>
      <c r="H145" s="2" t="s">
        <v>21</v>
      </c>
      <c r="I145" s="2" t="s">
        <v>409</v>
      </c>
      <c r="J145" s="3" t="str">
        <f>HYPERLINK("https://www.boe.es/gazeta/dias/1823/06/11/pdfs/GES-1823-65.pdf#page=1","Abrir facsímil")</f>
        <v>Abrir facsímil</v>
      </c>
      <c r="K145" s="3" t="s">
        <v>23</v>
      </c>
    </row>
    <row r="146" spans="1:11" ht="42" customHeight="1">
      <c r="A146" s="2" t="s">
        <v>405</v>
      </c>
      <c r="B146" s="2" t="s">
        <v>405</v>
      </c>
      <c r="C146" s="2" t="s">
        <v>56</v>
      </c>
      <c r="D146" s="2" t="s">
        <v>57</v>
      </c>
      <c r="E146" s="5">
        <v>-27935</v>
      </c>
      <c r="F146" s="3" t="s">
        <v>350</v>
      </c>
      <c r="G146" s="3" t="s">
        <v>39</v>
      </c>
      <c r="H146" s="2" t="s">
        <v>21</v>
      </c>
      <c r="I146" s="2" t="s">
        <v>410</v>
      </c>
      <c r="J146" s="3" t="str">
        <f>HYPERLINK("https://www.boe.es/gazeta/dias/1823/07/07/pdfs/GES-1823-87.pdf#page=1","Abrir facsímil")</f>
        <v>Abrir facsímil</v>
      </c>
      <c r="K146" s="3" t="s">
        <v>23</v>
      </c>
    </row>
    <row r="147" spans="1:11" ht="42" customHeight="1">
      <c r="A147" s="2" t="s">
        <v>411</v>
      </c>
      <c r="B147" s="2" t="s">
        <v>411</v>
      </c>
      <c r="C147" s="2" t="s">
        <v>79</v>
      </c>
      <c r="D147" s="2" t="s">
        <v>74</v>
      </c>
      <c r="E147" s="5">
        <v>-27967</v>
      </c>
      <c r="F147" s="3" t="s">
        <v>412</v>
      </c>
      <c r="G147" s="3" t="s">
        <v>39</v>
      </c>
      <c r="H147" s="2" t="s">
        <v>21</v>
      </c>
      <c r="I147" s="2" t="s">
        <v>413</v>
      </c>
      <c r="J147" s="3" t="str">
        <f>HYPERLINK("https://www.boe.es/gazeta/dias/1823/06/05/pdfs/GES-1823-59.pdf#page=1","Abrir facsímil")</f>
        <v>Abrir facsímil</v>
      </c>
      <c r="K147" s="3" t="s">
        <v>23</v>
      </c>
    </row>
    <row r="148" spans="1:11" ht="42" customHeight="1">
      <c r="A148" s="2" t="s">
        <v>414</v>
      </c>
      <c r="B148" s="2" t="s">
        <v>414</v>
      </c>
      <c r="C148" s="2" t="s">
        <v>17</v>
      </c>
      <c r="D148" s="2" t="s">
        <v>18</v>
      </c>
      <c r="E148" s="5">
        <v>-27759</v>
      </c>
      <c r="F148" s="3" t="s">
        <v>415</v>
      </c>
      <c r="G148" s="3" t="s">
        <v>48</v>
      </c>
      <c r="H148" s="2" t="s">
        <v>21</v>
      </c>
      <c r="I148" s="2" t="s">
        <v>416</v>
      </c>
      <c r="J148" s="3" t="str">
        <f>HYPERLINK("https://www.boe.es/gazeta/dias/1823/12/30/pdfs/GMD-1823-1313.pdf#page=3","Abrir facsímil")</f>
        <v>Abrir facsímil</v>
      </c>
      <c r="K148" s="3" t="s">
        <v>23</v>
      </c>
    </row>
    <row r="149" spans="1:11" ht="42" customHeight="1">
      <c r="A149" s="2" t="s">
        <v>417</v>
      </c>
      <c r="B149" s="2" t="s">
        <v>418</v>
      </c>
      <c r="C149" s="2" t="s">
        <v>17</v>
      </c>
      <c r="D149" s="2" t="s">
        <v>18</v>
      </c>
      <c r="E149" s="5">
        <v>-27905</v>
      </c>
      <c r="F149" s="3" t="s">
        <v>236</v>
      </c>
      <c r="G149" s="3" t="s">
        <v>237</v>
      </c>
      <c r="H149" s="2" t="s">
        <v>21</v>
      </c>
      <c r="I149" s="2" t="s">
        <v>419</v>
      </c>
      <c r="J149" s="3" t="str">
        <f>HYPERLINK("https://www.boe.es/gazeta/dias/1823/08/06/pdfs/GES-1823-119.pdf#page=4","Abrir facsímil")</f>
        <v>Abrir facsímil</v>
      </c>
      <c r="K149" s="3" t="s">
        <v>23</v>
      </c>
    </row>
    <row r="150" spans="1:11" ht="42" customHeight="1">
      <c r="A150" s="2" t="s">
        <v>420</v>
      </c>
      <c r="B150" s="2" t="s">
        <v>421</v>
      </c>
      <c r="C150" s="2" t="s">
        <v>73</v>
      </c>
      <c r="D150" s="2" t="s">
        <v>74</v>
      </c>
      <c r="E150" s="5">
        <v>-28118</v>
      </c>
      <c r="F150" s="3" t="s">
        <v>252</v>
      </c>
      <c r="G150" s="3" t="s">
        <v>59</v>
      </c>
      <c r="H150" s="2" t="s">
        <v>21</v>
      </c>
      <c r="I150" s="2" t="s">
        <v>422</v>
      </c>
      <c r="J150" s="3" t="str">
        <f>HYPERLINK("https://www.boe.es/gazeta/dias/1823/01/05/pdfs/GMD-1823-5.pdf#page=6","Abrir facsímil")</f>
        <v>Abrir facsímil</v>
      </c>
      <c r="K150" s="3" t="s">
        <v>23</v>
      </c>
    </row>
    <row r="151" spans="1:11" ht="42" customHeight="1">
      <c r="A151" s="2" t="s">
        <v>423</v>
      </c>
      <c r="B151" s="2" t="s">
        <v>424</v>
      </c>
      <c r="C151" s="2" t="s">
        <v>17</v>
      </c>
      <c r="D151" s="2" t="s">
        <v>18</v>
      </c>
      <c r="E151" s="5">
        <v>-27861</v>
      </c>
      <c r="F151" s="3" t="s">
        <v>425</v>
      </c>
      <c r="G151" s="3" t="s">
        <v>27</v>
      </c>
      <c r="H151" s="2" t="s">
        <v>21</v>
      </c>
      <c r="I151" s="2" t="s">
        <v>426</v>
      </c>
      <c r="J151" s="3" t="str">
        <f>HYPERLINK("https://www.boe.es/gazeta/dias/1823/09/19/pdfs/GES-1823-163.pdf#page=2","Abrir facsímil")</f>
        <v>Abrir facsímil</v>
      </c>
      <c r="K151" s="3" t="s">
        <v>23</v>
      </c>
    </row>
    <row r="152" spans="1:11" ht="42" customHeight="1">
      <c r="A152" s="2" t="s">
        <v>427</v>
      </c>
      <c r="B152" s="2" t="s">
        <v>428</v>
      </c>
      <c r="C152" s="2" t="s">
        <v>17</v>
      </c>
      <c r="D152" s="2" t="s">
        <v>18</v>
      </c>
      <c r="E152" s="5">
        <v>-27972</v>
      </c>
      <c r="F152" s="3" t="s">
        <v>429</v>
      </c>
      <c r="G152" s="3" t="s">
        <v>20</v>
      </c>
      <c r="H152" s="2" t="s">
        <v>21</v>
      </c>
      <c r="I152" s="2" t="s">
        <v>430</v>
      </c>
      <c r="J152" s="3" t="str">
        <f>HYPERLINK("https://www.boe.es/gazeta/dias/1823/05/31/pdfs/GES-1823-54.pdf#page=4","Abrir facsímil")</f>
        <v>Abrir facsímil</v>
      </c>
      <c r="K152" s="3" t="s">
        <v>23</v>
      </c>
    </row>
    <row r="153" spans="1:11" ht="42" customHeight="1">
      <c r="A153" s="2" t="s">
        <v>431</v>
      </c>
      <c r="B153" s="2" t="s">
        <v>432</v>
      </c>
      <c r="C153" s="2" t="s">
        <v>73</v>
      </c>
      <c r="D153" s="2" t="s">
        <v>74</v>
      </c>
      <c r="E153" s="5">
        <v>-28114</v>
      </c>
      <c r="F153" s="3" t="s">
        <v>153</v>
      </c>
      <c r="G153" s="3" t="s">
        <v>59</v>
      </c>
      <c r="H153" s="2" t="s">
        <v>21</v>
      </c>
      <c r="I153" s="2" t="s">
        <v>433</v>
      </c>
      <c r="J153" s="3" t="str">
        <f>HYPERLINK("https://www.boe.es/gazeta/dias/1823/01/09/pdfs/GMD-1823-9.pdf#page=6","Abrir facsímil")</f>
        <v>Abrir facsímil</v>
      </c>
      <c r="K153" s="3" t="s">
        <v>23</v>
      </c>
    </row>
    <row r="154" spans="1:11" ht="42" customHeight="1">
      <c r="A154" s="2" t="s">
        <v>434</v>
      </c>
      <c r="B154" s="2" t="s">
        <v>435</v>
      </c>
      <c r="C154" s="2" t="s">
        <v>17</v>
      </c>
      <c r="D154" s="2" t="s">
        <v>18</v>
      </c>
      <c r="E154" s="5">
        <v>-27995</v>
      </c>
      <c r="F154" s="3" t="s">
        <v>326</v>
      </c>
      <c r="G154" s="3" t="s">
        <v>39</v>
      </c>
      <c r="H154" s="2" t="s">
        <v>21</v>
      </c>
      <c r="I154" s="2" t="s">
        <v>436</v>
      </c>
      <c r="J154" s="3" t="str">
        <f>HYPERLINK("https://www.boe.es/gazeta/dias/1823/05/08/pdfs/GMD-1823-112.pdf#page=1","Abrir facsímil")</f>
        <v>Abrir facsímil</v>
      </c>
      <c r="K154" s="3" t="s">
        <v>23</v>
      </c>
    </row>
    <row r="155" spans="1:11" ht="42" customHeight="1">
      <c r="A155" s="2" t="s">
        <v>437</v>
      </c>
      <c r="B155" s="2" t="s">
        <v>438</v>
      </c>
      <c r="C155" s="2" t="s">
        <v>17</v>
      </c>
      <c r="D155" s="2" t="s">
        <v>18</v>
      </c>
      <c r="E155" s="5">
        <v>-28022</v>
      </c>
      <c r="F155" s="3" t="s">
        <v>439</v>
      </c>
      <c r="G155" s="3" t="s">
        <v>20</v>
      </c>
      <c r="H155" s="2" t="s">
        <v>21</v>
      </c>
      <c r="I155" s="2" t="s">
        <v>440</v>
      </c>
      <c r="J155" s="3" t="str">
        <f>HYPERLINK("https://www.boe.es/gazeta/dias/1823/04/11/pdfs/GMD-1823-106.pdf#page=4","Abrir facsímil")</f>
        <v>Abrir facsímil</v>
      </c>
      <c r="K155" s="3" t="s">
        <v>23</v>
      </c>
    </row>
    <row r="156" spans="1:11" ht="42" customHeight="1">
      <c r="A156" s="2" t="s">
        <v>441</v>
      </c>
      <c r="B156" s="2" t="s">
        <v>442</v>
      </c>
      <c r="C156" s="2" t="s">
        <v>56</v>
      </c>
      <c r="D156" s="2" t="s">
        <v>57</v>
      </c>
      <c r="E156" s="5">
        <v>-28013</v>
      </c>
      <c r="F156" s="3" t="s">
        <v>105</v>
      </c>
      <c r="G156" s="3" t="s">
        <v>20</v>
      </c>
      <c r="H156" s="2" t="s">
        <v>21</v>
      </c>
      <c r="I156" s="2" t="s">
        <v>443</v>
      </c>
      <c r="J156" s="3" t="str">
        <f>HYPERLINK("https://www.boe.es/gazeta/dias/1823/04/20/pdfs/GMD-1823-32.pdf#page=4","Abrir facsímil")</f>
        <v>Abrir facsímil</v>
      </c>
      <c r="K156" s="3" t="s">
        <v>23</v>
      </c>
    </row>
    <row r="157" spans="1:11" ht="42" customHeight="1">
      <c r="A157" s="2" t="s">
        <v>444</v>
      </c>
      <c r="B157" s="2" t="s">
        <v>445</v>
      </c>
      <c r="C157" s="2" t="s">
        <v>17</v>
      </c>
      <c r="D157" s="2" t="s">
        <v>18</v>
      </c>
      <c r="E157" s="5">
        <v>-28059</v>
      </c>
      <c r="F157" s="3" t="s">
        <v>149</v>
      </c>
      <c r="G157" s="3" t="s">
        <v>27</v>
      </c>
      <c r="H157" s="2" t="s">
        <v>21</v>
      </c>
      <c r="I157" s="2" t="s">
        <v>446</v>
      </c>
      <c r="J157" s="3" t="str">
        <f>HYPERLINK("https://www.boe.es/gazeta/dias/1823/03/05/pdfs/GMD-1823-68.pdf#page=2","Abrir facsímil")</f>
        <v>Abrir facsímil</v>
      </c>
      <c r="K157" s="3" t="s">
        <v>23</v>
      </c>
    </row>
    <row r="158" spans="1:11" ht="42" customHeight="1">
      <c r="A158" s="2" t="s">
        <v>447</v>
      </c>
      <c r="B158" s="2" t="s">
        <v>447</v>
      </c>
      <c r="C158" s="2" t="s">
        <v>84</v>
      </c>
      <c r="D158" s="2" t="s">
        <v>74</v>
      </c>
      <c r="E158" s="5">
        <v>-28020</v>
      </c>
      <c r="F158" s="3" t="s">
        <v>448</v>
      </c>
      <c r="G158" s="3" t="s">
        <v>39</v>
      </c>
      <c r="H158" s="2" t="s">
        <v>21</v>
      </c>
      <c r="I158" s="2" t="s">
        <v>449</v>
      </c>
      <c r="J158" s="3" t="str">
        <f>HYPERLINK("https://www.boe.es/gazeta/dias/1823/04/13/pdfs/GES-1823-3.pdf#page=1","Abrir facsímil")</f>
        <v>Abrir facsímil</v>
      </c>
      <c r="K158" s="3" t="s">
        <v>23</v>
      </c>
    </row>
    <row r="159" spans="1:11" ht="42" customHeight="1">
      <c r="A159" s="2" t="s">
        <v>450</v>
      </c>
      <c r="B159" s="2" t="s">
        <v>451</v>
      </c>
      <c r="C159" s="2" t="s">
        <v>56</v>
      </c>
      <c r="D159" s="2" t="s">
        <v>57</v>
      </c>
      <c r="E159" s="5">
        <v>-27888</v>
      </c>
      <c r="F159" s="3" t="s">
        <v>232</v>
      </c>
      <c r="G159" s="3" t="s">
        <v>59</v>
      </c>
      <c r="H159" s="2" t="s">
        <v>28</v>
      </c>
      <c r="I159" s="2" t="s">
        <v>452</v>
      </c>
      <c r="J159" s="3" t="str">
        <f>HYPERLINK("https://www.boe.es/gazeta/dias/1823/08/23/pdfs/GMD-1823-633.pdf#page=6","Abrir facsímil")</f>
        <v>Abrir facsímil</v>
      </c>
      <c r="K159" s="3" t="s">
        <v>30</v>
      </c>
    </row>
    <row r="160" spans="1:11" ht="42" customHeight="1">
      <c r="A160" s="2" t="s">
        <v>453</v>
      </c>
      <c r="B160" s="2" t="s">
        <v>454</v>
      </c>
      <c r="C160" s="2" t="s">
        <v>56</v>
      </c>
      <c r="D160" s="2" t="s">
        <v>57</v>
      </c>
      <c r="E160" s="5">
        <v>-27978</v>
      </c>
      <c r="F160" s="3" t="s">
        <v>342</v>
      </c>
      <c r="G160" s="3" t="s">
        <v>59</v>
      </c>
      <c r="H160" s="2" t="s">
        <v>21</v>
      </c>
      <c r="I160" s="2" t="s">
        <v>455</v>
      </c>
      <c r="J160" s="3" t="str">
        <f>HYPERLINK("https://www.boe.es/gazeta/dias/1823/05/25/pdfs/GES-1823-46.pdf#page=6","Abrir facsímil")</f>
        <v>Abrir facsímil</v>
      </c>
      <c r="K160" s="3" t="s">
        <v>23</v>
      </c>
    </row>
    <row r="161" spans="1:11" ht="42" customHeight="1">
      <c r="A161" s="2" t="s">
        <v>456</v>
      </c>
      <c r="B161" s="2" t="s">
        <v>457</v>
      </c>
      <c r="C161" s="2" t="s">
        <v>17</v>
      </c>
      <c r="D161" s="2" t="s">
        <v>18</v>
      </c>
      <c r="E161" s="5">
        <v>-28085</v>
      </c>
      <c r="F161" s="3" t="s">
        <v>458</v>
      </c>
      <c r="G161" s="3" t="s">
        <v>27</v>
      </c>
      <c r="H161" s="2" t="s">
        <v>21</v>
      </c>
      <c r="I161" s="2" t="s">
        <v>459</v>
      </c>
      <c r="J161" s="3" t="str">
        <f>HYPERLINK("https://www.boe.es/gazeta/dias/1823/02/07/pdfs/GMD-1823-40.pdf#page=2","Abrir facsímil")</f>
        <v>Abrir facsímil</v>
      </c>
      <c r="K161" s="3" t="s">
        <v>23</v>
      </c>
    </row>
    <row r="162" spans="1:11" ht="42" customHeight="1">
      <c r="A162" s="2" t="s">
        <v>460</v>
      </c>
      <c r="B162" s="2" t="s">
        <v>461</v>
      </c>
      <c r="C162" s="2" t="s">
        <v>79</v>
      </c>
      <c r="D162" s="2" t="s">
        <v>74</v>
      </c>
      <c r="E162" s="5">
        <v>-27907</v>
      </c>
      <c r="F162" s="3" t="s">
        <v>370</v>
      </c>
      <c r="G162" s="3" t="s">
        <v>20</v>
      </c>
      <c r="H162" s="2" t="s">
        <v>21</v>
      </c>
      <c r="I162" s="2" t="s">
        <v>462</v>
      </c>
      <c r="J162" s="3" t="str">
        <f>HYPERLINK("https://www.boe.es/gazeta/dias/1823/08/04/pdfs/GES-1823-116.pdf#page=4","Abrir facsímil")</f>
        <v>Abrir facsímil</v>
      </c>
      <c r="K162" s="3" t="s">
        <v>23</v>
      </c>
    </row>
    <row r="163" spans="1:11" ht="42" customHeight="1">
      <c r="A163" s="2" t="s">
        <v>463</v>
      </c>
      <c r="B163" s="2" t="s">
        <v>464</v>
      </c>
      <c r="C163" s="2" t="s">
        <v>17</v>
      </c>
      <c r="D163" s="2" t="s">
        <v>18</v>
      </c>
      <c r="E163" s="5">
        <v>-28048</v>
      </c>
      <c r="F163" s="3" t="s">
        <v>399</v>
      </c>
      <c r="G163" s="3" t="s">
        <v>59</v>
      </c>
      <c r="H163" s="2" t="s">
        <v>21</v>
      </c>
      <c r="I163" s="2" t="s">
        <v>465</v>
      </c>
      <c r="J163" s="3" t="str">
        <f>HYPERLINK("https://www.boe.es/gazeta/dias/1823/03/16/pdfs/GMD-1823-79.pdf#page=6","Abrir facsímil")</f>
        <v>Abrir facsímil</v>
      </c>
      <c r="K163" s="3" t="s">
        <v>23</v>
      </c>
    </row>
    <row r="164" spans="1:11" ht="42" customHeight="1">
      <c r="A164" s="2" t="s">
        <v>466</v>
      </c>
      <c r="B164" s="2" t="s">
        <v>467</v>
      </c>
      <c r="C164" s="2" t="s">
        <v>325</v>
      </c>
      <c r="D164" s="2" t="s">
        <v>74</v>
      </c>
      <c r="E164" s="5">
        <v>-28082</v>
      </c>
      <c r="F164" s="3" t="s">
        <v>468</v>
      </c>
      <c r="G164" s="3" t="s">
        <v>59</v>
      </c>
      <c r="H164" s="2" t="s">
        <v>21</v>
      </c>
      <c r="I164" s="2" t="s">
        <v>469</v>
      </c>
      <c r="J164" s="3" t="str">
        <f>HYPERLINK("https://www.boe.es/gazeta/dias/1823/02/10/pdfs/GMD-1823-44.pdf#page=6","Abrir facsímil")</f>
        <v>Abrir facsímil</v>
      </c>
      <c r="K164" s="3" t="s">
        <v>23</v>
      </c>
    </row>
    <row r="165" spans="1:11" ht="42" customHeight="1">
      <c r="A165" s="2" t="s">
        <v>466</v>
      </c>
      <c r="B165" s="2" t="s">
        <v>467</v>
      </c>
      <c r="C165" s="2" t="s">
        <v>17</v>
      </c>
      <c r="D165" s="2" t="s">
        <v>18</v>
      </c>
      <c r="E165" s="5">
        <v>-28060</v>
      </c>
      <c r="F165" s="3" t="s">
        <v>180</v>
      </c>
      <c r="G165" s="3" t="s">
        <v>181</v>
      </c>
      <c r="H165" s="2" t="s">
        <v>21</v>
      </c>
      <c r="I165" s="2" t="s">
        <v>470</v>
      </c>
      <c r="J165" s="3" t="str">
        <f>HYPERLINK("https://www.boe.es/gazeta/dias/1823/03/04/pdfs/GMD-1823-67.pdf#page=6","Abrir facsímil")</f>
        <v>Abrir facsímil</v>
      </c>
      <c r="K165" s="3" t="s">
        <v>23</v>
      </c>
    </row>
    <row r="166" spans="1:11" ht="42" customHeight="1">
      <c r="A166" s="2" t="s">
        <v>471</v>
      </c>
      <c r="B166" s="2" t="s">
        <v>472</v>
      </c>
      <c r="C166" s="2" t="s">
        <v>17</v>
      </c>
      <c r="D166" s="2" t="s">
        <v>18</v>
      </c>
      <c r="E166" s="5">
        <v>-28050</v>
      </c>
      <c r="F166" s="3" t="s">
        <v>473</v>
      </c>
      <c r="G166" s="3" t="s">
        <v>27</v>
      </c>
      <c r="H166" s="2" t="s">
        <v>21</v>
      </c>
      <c r="I166" s="2" t="s">
        <v>474</v>
      </c>
      <c r="J166" s="3" t="str">
        <f>HYPERLINK("https://www.boe.es/gazeta/dias/1823/03/14/pdfs/GMD-1823-77.pdf#page=2","Abrir facsímil")</f>
        <v>Abrir facsímil</v>
      </c>
      <c r="K166" s="3" t="s">
        <v>23</v>
      </c>
    </row>
    <row r="167" spans="1:11" ht="42" customHeight="1">
      <c r="A167" s="2" t="s">
        <v>475</v>
      </c>
      <c r="B167" s="2" t="s">
        <v>476</v>
      </c>
      <c r="C167" s="2" t="s">
        <v>73</v>
      </c>
      <c r="D167" s="2" t="s">
        <v>74</v>
      </c>
      <c r="E167" s="5">
        <v>-28025</v>
      </c>
      <c r="F167" s="3" t="s">
        <v>477</v>
      </c>
      <c r="G167" s="3" t="s">
        <v>20</v>
      </c>
      <c r="H167" s="2" t="s">
        <v>21</v>
      </c>
      <c r="I167" s="2" t="s">
        <v>478</v>
      </c>
      <c r="J167" s="3" t="str">
        <f>HYPERLINK("https://www.boe.es/gazeta/dias/1823/04/08/pdfs/GMD-1823-103.pdf#page=4","Abrir facsímil")</f>
        <v>Abrir facsímil</v>
      </c>
      <c r="K167" s="3" t="s">
        <v>23</v>
      </c>
    </row>
    <row r="168" spans="1:11" ht="42" customHeight="1">
      <c r="A168" s="2" t="s">
        <v>479</v>
      </c>
      <c r="B168" s="2" t="s">
        <v>480</v>
      </c>
      <c r="C168" s="2" t="s">
        <v>79</v>
      </c>
      <c r="D168" s="2" t="s">
        <v>74</v>
      </c>
      <c r="E168" s="5">
        <v>-28057</v>
      </c>
      <c r="F168" s="3" t="s">
        <v>301</v>
      </c>
      <c r="G168" s="3" t="s">
        <v>20</v>
      </c>
      <c r="H168" s="2" t="s">
        <v>21</v>
      </c>
      <c r="I168" s="2" t="s">
        <v>481</v>
      </c>
      <c r="J168" s="3" t="str">
        <f>HYPERLINK("https://www.boe.es/gazeta/dias/1823/03/07/pdfs/GMD-1823-70.pdf#page=4","Abrir facsímil")</f>
        <v>Abrir facsímil</v>
      </c>
      <c r="K168" s="3" t="s">
        <v>23</v>
      </c>
    </row>
    <row r="169" spans="1:11" ht="42" customHeight="1">
      <c r="A169" s="2" t="s">
        <v>479</v>
      </c>
      <c r="B169" s="2" t="s">
        <v>480</v>
      </c>
      <c r="C169" s="2" t="s">
        <v>56</v>
      </c>
      <c r="D169" s="2" t="s">
        <v>57</v>
      </c>
      <c r="E169" s="5">
        <v>-27873</v>
      </c>
      <c r="F169" s="3" t="s">
        <v>160</v>
      </c>
      <c r="G169" s="3" t="s">
        <v>27</v>
      </c>
      <c r="H169" s="2" t="s">
        <v>21</v>
      </c>
      <c r="I169" s="2" t="s">
        <v>482</v>
      </c>
      <c r="J169" s="3" t="str">
        <f>HYPERLINK("https://www.boe.es/gazeta/dias/1823/09/07/pdfs/GES-1823-151.pdf#page=2","Abrir facsímil")</f>
        <v>Abrir facsímil</v>
      </c>
      <c r="K169" s="3" t="s">
        <v>23</v>
      </c>
    </row>
    <row r="170" spans="1:11" ht="42" customHeight="1">
      <c r="A170" s="2" t="s">
        <v>483</v>
      </c>
      <c r="B170" s="2" t="s">
        <v>484</v>
      </c>
      <c r="C170" s="2" t="s">
        <v>84</v>
      </c>
      <c r="D170" s="2" t="s">
        <v>74</v>
      </c>
      <c r="E170" s="5">
        <v>-27881</v>
      </c>
      <c r="F170" s="3" t="s">
        <v>485</v>
      </c>
      <c r="G170" s="3" t="s">
        <v>20</v>
      </c>
      <c r="H170" s="2" t="s">
        <v>21</v>
      </c>
      <c r="I170" s="2" t="s">
        <v>486</v>
      </c>
      <c r="J170" s="3" t="str">
        <f>HYPERLINK("https://www.boe.es/gazeta/dias/1823/08/30/pdfs/GES-1823-143.pdf#page=4","Abrir facsímil")</f>
        <v>Abrir facsímil</v>
      </c>
      <c r="K170" s="3" t="s">
        <v>23</v>
      </c>
    </row>
    <row r="171" spans="1:11" ht="42" customHeight="1">
      <c r="A171" s="2" t="s">
        <v>487</v>
      </c>
      <c r="B171" s="2" t="s">
        <v>488</v>
      </c>
      <c r="C171" s="2" t="s">
        <v>17</v>
      </c>
      <c r="D171" s="2" t="s">
        <v>18</v>
      </c>
      <c r="E171" s="5">
        <v>-28003</v>
      </c>
      <c r="F171" s="3" t="s">
        <v>26</v>
      </c>
      <c r="G171" s="3" t="s">
        <v>27</v>
      </c>
      <c r="H171" s="2" t="s">
        <v>21</v>
      </c>
      <c r="I171" s="2" t="s">
        <v>489</v>
      </c>
      <c r="J171" s="3" t="str">
        <f>HYPERLINK("https://www.boe.es/gazeta/dias/1823/04/30/pdfs/GES-1823-20.pdf#page=2","Abrir facsímil")</f>
        <v>Abrir facsímil</v>
      </c>
      <c r="K171" s="3" t="s">
        <v>23</v>
      </c>
    </row>
    <row r="172" spans="1:11" ht="42" customHeight="1">
      <c r="A172" s="2" t="s">
        <v>490</v>
      </c>
      <c r="B172" s="2" t="s">
        <v>491</v>
      </c>
      <c r="C172" s="2" t="s">
        <v>109</v>
      </c>
      <c r="D172" s="2" t="s">
        <v>74</v>
      </c>
      <c r="E172" s="5">
        <v>-27881</v>
      </c>
      <c r="F172" s="3" t="s">
        <v>485</v>
      </c>
      <c r="G172" s="3" t="s">
        <v>20</v>
      </c>
      <c r="H172" s="2" t="s">
        <v>21</v>
      </c>
      <c r="I172" s="2" t="s">
        <v>492</v>
      </c>
      <c r="J172" s="3" t="str">
        <f>HYPERLINK("https://www.boe.es/gazeta/dias/1823/08/30/pdfs/GES-1823-143.pdf#page=4","Abrir facsímil")</f>
        <v>Abrir facsímil</v>
      </c>
      <c r="K172" s="3" t="s">
        <v>23</v>
      </c>
    </row>
    <row r="173" spans="1:11" ht="42" customHeight="1">
      <c r="A173" s="2" t="s">
        <v>493</v>
      </c>
      <c r="B173" s="2" t="s">
        <v>494</v>
      </c>
      <c r="C173" s="2" t="s">
        <v>79</v>
      </c>
      <c r="D173" s="2" t="s">
        <v>74</v>
      </c>
      <c r="E173" s="5">
        <v>-27870</v>
      </c>
      <c r="F173" s="3" t="s">
        <v>376</v>
      </c>
      <c r="G173" s="3" t="s">
        <v>20</v>
      </c>
      <c r="H173" s="2" t="s">
        <v>21</v>
      </c>
      <c r="I173" s="2" t="s">
        <v>495</v>
      </c>
      <c r="J173" s="3" t="str">
        <f>HYPERLINK("https://www.boe.es/gazeta/dias/1823/09/10/pdfs/GES-1823-154.pdf#page=4","Abrir facsímil")</f>
        <v>Abrir facsímil</v>
      </c>
      <c r="K173" s="3" t="s">
        <v>23</v>
      </c>
    </row>
    <row r="174" spans="1:11" ht="42" customHeight="1">
      <c r="A174" s="2" t="s">
        <v>496</v>
      </c>
      <c r="B174" s="2" t="s">
        <v>496</v>
      </c>
      <c r="C174" s="2" t="s">
        <v>79</v>
      </c>
      <c r="D174" s="2" t="s">
        <v>74</v>
      </c>
      <c r="E174" s="5">
        <v>-28035</v>
      </c>
      <c r="F174" s="3" t="s">
        <v>138</v>
      </c>
      <c r="G174" s="3" t="s">
        <v>20</v>
      </c>
      <c r="H174" s="2" t="s">
        <v>21</v>
      </c>
      <c r="I174" s="2" t="s">
        <v>497</v>
      </c>
      <c r="J174" s="3" t="str">
        <f>HYPERLINK("https://www.boe.es/gazeta/dias/1823/03/29/pdfs/GMD-1823-92.pdf#page=4","Abrir facsímil")</f>
        <v>Abrir facsímil</v>
      </c>
      <c r="K174" s="3" t="s">
        <v>23</v>
      </c>
    </row>
    <row r="175" spans="1:11" ht="42" customHeight="1">
      <c r="A175" s="2" t="s">
        <v>498</v>
      </c>
      <c r="B175" s="2" t="s">
        <v>499</v>
      </c>
      <c r="C175" s="2" t="s">
        <v>56</v>
      </c>
      <c r="D175" s="2" t="s">
        <v>57</v>
      </c>
      <c r="E175" s="5">
        <v>-28048</v>
      </c>
      <c r="F175" s="3" t="s">
        <v>399</v>
      </c>
      <c r="G175" s="3" t="s">
        <v>34</v>
      </c>
      <c r="H175" s="2" t="s">
        <v>21</v>
      </c>
      <c r="I175" s="2" t="s">
        <v>500</v>
      </c>
      <c r="J175" s="3" t="str">
        <f>HYPERLINK("https://www.boe.es/gazeta/dias/1823/03/16/pdfs/GMD-1823-79.pdf#page=5","Abrir facsímil")</f>
        <v>Abrir facsímil</v>
      </c>
      <c r="K175" s="3" t="s">
        <v>23</v>
      </c>
    </row>
    <row r="176" spans="1:11" ht="42" customHeight="1">
      <c r="A176" s="2" t="s">
        <v>501</v>
      </c>
      <c r="B176" s="2" t="s">
        <v>501</v>
      </c>
      <c r="C176" s="2" t="s">
        <v>109</v>
      </c>
      <c r="D176" s="2" t="s">
        <v>74</v>
      </c>
      <c r="E176" s="5">
        <v>-28105</v>
      </c>
      <c r="F176" s="3" t="s">
        <v>502</v>
      </c>
      <c r="G176" s="3" t="s">
        <v>20</v>
      </c>
      <c r="H176" s="2" t="s">
        <v>21</v>
      </c>
      <c r="I176" s="2" t="s">
        <v>503</v>
      </c>
      <c r="J176" s="3" t="str">
        <f>HYPERLINK("https://www.boe.es/gazeta/dias/1823/01/18/pdfs/GMD-1823-18.pdf#page=4","Abrir facsímil")</f>
        <v>Abrir facsímil</v>
      </c>
      <c r="K176" s="3" t="s">
        <v>23</v>
      </c>
    </row>
    <row r="177" spans="1:11" ht="42" customHeight="1">
      <c r="A177" s="2" t="s">
        <v>501</v>
      </c>
      <c r="B177" s="2" t="s">
        <v>501</v>
      </c>
      <c r="C177" s="2" t="s">
        <v>17</v>
      </c>
      <c r="D177" s="2" t="s">
        <v>18</v>
      </c>
      <c r="E177" s="5">
        <v>-28094</v>
      </c>
      <c r="F177" s="3" t="s">
        <v>93</v>
      </c>
      <c r="G177" s="3" t="s">
        <v>27</v>
      </c>
      <c r="H177" s="2" t="s">
        <v>21</v>
      </c>
      <c r="I177" s="2" t="s">
        <v>504</v>
      </c>
      <c r="J177" s="3" t="str">
        <f>HYPERLINK("https://www.boe.es/gazeta/dias/1823/01/29/pdfs/GMD-1823-30.pdf#page=2","Abrir facsímil")</f>
        <v>Abrir facsímil</v>
      </c>
      <c r="K177" s="3" t="s">
        <v>23</v>
      </c>
    </row>
    <row r="178" spans="1:11" ht="42" customHeight="1">
      <c r="A178" s="2" t="s">
        <v>501</v>
      </c>
      <c r="B178" s="2" t="s">
        <v>501</v>
      </c>
      <c r="C178" s="2" t="s">
        <v>17</v>
      </c>
      <c r="D178" s="2" t="s">
        <v>18</v>
      </c>
      <c r="E178" s="5">
        <v>-27999</v>
      </c>
      <c r="F178" s="3" t="s">
        <v>97</v>
      </c>
      <c r="G178" s="3" t="s">
        <v>20</v>
      </c>
      <c r="H178" s="2" t="s">
        <v>21</v>
      </c>
      <c r="I178" s="2" t="s">
        <v>505</v>
      </c>
      <c r="J178" s="3" t="str">
        <f>HYPERLINK("https://www.boe.es/gazeta/dias/1823/05/04/pdfs/GES-1823-24.pdf#page=4","Abrir facsímil")</f>
        <v>Abrir facsímil</v>
      </c>
      <c r="K178" s="3" t="s">
        <v>23</v>
      </c>
    </row>
    <row r="179" spans="1:11" ht="42" customHeight="1">
      <c r="A179" s="2" t="s">
        <v>506</v>
      </c>
      <c r="B179" s="2" t="s">
        <v>507</v>
      </c>
      <c r="C179" s="2" t="s">
        <v>17</v>
      </c>
      <c r="D179" s="2" t="s">
        <v>18</v>
      </c>
      <c r="E179" s="5">
        <v>-28078</v>
      </c>
      <c r="F179" s="3" t="s">
        <v>508</v>
      </c>
      <c r="G179" s="3" t="s">
        <v>59</v>
      </c>
      <c r="H179" s="2" t="s">
        <v>21</v>
      </c>
      <c r="I179" s="2" t="s">
        <v>509</v>
      </c>
      <c r="J179" s="3" t="str">
        <f>HYPERLINK("https://www.boe.es/gazeta/dias/1823/02/14/pdfs/GMD-1823-48.pdf#page=6","Abrir facsímil")</f>
        <v>Abrir facsímil</v>
      </c>
      <c r="K179" s="3" t="s">
        <v>23</v>
      </c>
    </row>
    <row r="180" spans="1:11" ht="42" customHeight="1">
      <c r="A180" s="2" t="s">
        <v>510</v>
      </c>
      <c r="B180" s="2" t="s">
        <v>511</v>
      </c>
      <c r="C180" s="2" t="s">
        <v>17</v>
      </c>
      <c r="D180" s="2" t="s">
        <v>18</v>
      </c>
      <c r="E180" s="5">
        <v>-28030</v>
      </c>
      <c r="F180" s="3" t="s">
        <v>145</v>
      </c>
      <c r="G180" s="3" t="s">
        <v>20</v>
      </c>
      <c r="H180" s="2" t="s">
        <v>21</v>
      </c>
      <c r="I180" s="2" t="s">
        <v>512</v>
      </c>
      <c r="J180" s="3" t="str">
        <f>HYPERLINK("https://www.boe.es/gazeta/dias/1823/04/03/pdfs/GMD-1823-97.pdf#page=4","Abrir facsímil")</f>
        <v>Abrir facsímil</v>
      </c>
      <c r="K180" s="3" t="s">
        <v>23</v>
      </c>
    </row>
    <row r="181" spans="1:11" ht="42" customHeight="1">
      <c r="A181" s="2" t="s">
        <v>510</v>
      </c>
      <c r="B181" s="2" t="s">
        <v>511</v>
      </c>
      <c r="C181" s="2" t="s">
        <v>17</v>
      </c>
      <c r="D181" s="2" t="s">
        <v>18</v>
      </c>
      <c r="E181" s="5">
        <v>-27773</v>
      </c>
      <c r="F181" s="3" t="s">
        <v>513</v>
      </c>
      <c r="G181" s="3" t="s">
        <v>39</v>
      </c>
      <c r="H181" s="2" t="s">
        <v>21</v>
      </c>
      <c r="I181" s="2" t="s">
        <v>514</v>
      </c>
      <c r="J181" s="3" t="str">
        <f>HYPERLINK("https://www.boe.es/gazeta/dias/1823/12/16/pdfs/GMD-1823-1253.pdf#page=1","Abrir facsímil")</f>
        <v>Abrir facsímil</v>
      </c>
      <c r="K181" s="3" t="s">
        <v>23</v>
      </c>
    </row>
    <row r="182" spans="1:11" ht="42" customHeight="1">
      <c r="A182" s="2" t="s">
        <v>515</v>
      </c>
      <c r="B182" s="2" t="s">
        <v>516</v>
      </c>
      <c r="C182" s="2" t="s">
        <v>79</v>
      </c>
      <c r="D182" s="2" t="s">
        <v>74</v>
      </c>
      <c r="E182" s="5">
        <v>-28104</v>
      </c>
      <c r="F182" s="3" t="s">
        <v>114</v>
      </c>
      <c r="G182" s="3" t="s">
        <v>34</v>
      </c>
      <c r="H182" s="2" t="s">
        <v>21</v>
      </c>
      <c r="I182" s="2" t="s">
        <v>517</v>
      </c>
      <c r="J182" s="3" t="str">
        <f>HYPERLINK("https://www.boe.es/gazeta/dias/1823/01/19/pdfs/GMD-1823-19.pdf#page=5","Abrir facsímil")</f>
        <v>Abrir facsímil</v>
      </c>
      <c r="K182" s="3" t="s">
        <v>23</v>
      </c>
    </row>
    <row r="183" spans="1:11" ht="42" customHeight="1">
      <c r="A183" s="2" t="s">
        <v>518</v>
      </c>
      <c r="B183" s="2" t="s">
        <v>519</v>
      </c>
      <c r="C183" s="2" t="s">
        <v>17</v>
      </c>
      <c r="D183" s="2" t="s">
        <v>18</v>
      </c>
      <c r="E183" s="5">
        <v>-27869</v>
      </c>
      <c r="F183" s="3" t="s">
        <v>520</v>
      </c>
      <c r="G183" s="3" t="s">
        <v>48</v>
      </c>
      <c r="H183" s="2" t="s">
        <v>21</v>
      </c>
      <c r="I183" s="2" t="s">
        <v>521</v>
      </c>
      <c r="J183" s="3" t="str">
        <f>HYPERLINK("https://www.boe.es/gazeta/dias/1823/09/11/pdfs/GMD-1823-753.pdf#page=3","Abrir facsímil")</f>
        <v>Abrir facsímil</v>
      </c>
      <c r="K183" s="3" t="s">
        <v>23</v>
      </c>
    </row>
    <row r="184" spans="1:11" ht="42" customHeight="1">
      <c r="A184" s="2" t="s">
        <v>522</v>
      </c>
      <c r="B184" s="2" t="s">
        <v>522</v>
      </c>
      <c r="C184" s="2" t="s">
        <v>17</v>
      </c>
      <c r="D184" s="2" t="s">
        <v>18</v>
      </c>
      <c r="E184" s="5">
        <v>-27967</v>
      </c>
      <c r="F184" s="3" t="s">
        <v>412</v>
      </c>
      <c r="G184" s="3" t="s">
        <v>34</v>
      </c>
      <c r="H184" s="2" t="s">
        <v>21</v>
      </c>
      <c r="I184" s="2" t="s">
        <v>523</v>
      </c>
      <c r="J184" s="3" t="str">
        <f>HYPERLINK("https://www.boe.es/gazeta/dias/1823/06/05/pdfs/GES-1823-59.pdf#page=5","Abrir facsímil")</f>
        <v>Abrir facsímil</v>
      </c>
      <c r="K184" s="3" t="s">
        <v>23</v>
      </c>
    </row>
    <row r="185" spans="1:11" ht="42" customHeight="1">
      <c r="A185" s="2" t="s">
        <v>522</v>
      </c>
      <c r="B185" s="2" t="s">
        <v>522</v>
      </c>
      <c r="C185" s="2" t="s">
        <v>17</v>
      </c>
      <c r="D185" s="2" t="s">
        <v>18</v>
      </c>
      <c r="E185" s="5">
        <v>-27915</v>
      </c>
      <c r="F185" s="3" t="s">
        <v>524</v>
      </c>
      <c r="G185" s="3" t="s">
        <v>27</v>
      </c>
      <c r="H185" s="2" t="s">
        <v>21</v>
      </c>
      <c r="I185" s="2" t="s">
        <v>525</v>
      </c>
      <c r="J185" s="3" t="str">
        <f>HYPERLINK("https://www.boe.es/gazeta/dias/1823/07/27/pdfs/GES-1823-108.pdf#page=2","Abrir facsímil")</f>
        <v>Abrir facsímil</v>
      </c>
      <c r="K185" s="3" t="s">
        <v>23</v>
      </c>
    </row>
    <row r="186" spans="1:11" ht="42" customHeight="1">
      <c r="A186" s="2" t="s">
        <v>526</v>
      </c>
      <c r="B186" s="2" t="s">
        <v>526</v>
      </c>
      <c r="C186" s="2" t="s">
        <v>79</v>
      </c>
      <c r="D186" s="2" t="s">
        <v>74</v>
      </c>
      <c r="E186" s="5">
        <v>-27941</v>
      </c>
      <c r="F186" s="3" t="s">
        <v>527</v>
      </c>
      <c r="G186" s="3" t="s">
        <v>48</v>
      </c>
      <c r="H186" s="2" t="s">
        <v>21</v>
      </c>
      <c r="I186" s="2" t="s">
        <v>528</v>
      </c>
      <c r="J186" s="3" t="str">
        <f>HYPERLINK("https://www.boe.es/gazeta/dias/1823/07/01/pdfs/GES-1823-81.pdf#page=3","Abrir facsímil")</f>
        <v>Abrir facsímil</v>
      </c>
      <c r="K186" s="3" t="s">
        <v>23</v>
      </c>
    </row>
    <row r="187" spans="1:11" ht="42" customHeight="1">
      <c r="A187" s="2" t="s">
        <v>529</v>
      </c>
      <c r="B187" s="2" t="s">
        <v>530</v>
      </c>
      <c r="C187" s="2" t="s">
        <v>17</v>
      </c>
      <c r="D187" s="2" t="s">
        <v>18</v>
      </c>
      <c r="E187" s="5">
        <v>-27827</v>
      </c>
      <c r="F187" s="3" t="s">
        <v>531</v>
      </c>
      <c r="G187" s="3" t="s">
        <v>48</v>
      </c>
      <c r="H187" s="2" t="s">
        <v>21</v>
      </c>
      <c r="I187" s="2" t="s">
        <v>532</v>
      </c>
      <c r="J187" s="3" t="str">
        <f>HYPERLINK("https://www.boe.es/gazeta/dias/1823/10/23/pdfs/GMD-1823-1013.pdf#page=3","Abrir facsímil")</f>
        <v>Abrir facsímil</v>
      </c>
      <c r="K187" s="3" t="s">
        <v>23</v>
      </c>
    </row>
    <row r="188" spans="1:11" ht="42" customHeight="1">
      <c r="A188" s="2" t="s">
        <v>533</v>
      </c>
      <c r="B188" s="2" t="s">
        <v>533</v>
      </c>
      <c r="C188" s="2" t="s">
        <v>17</v>
      </c>
      <c r="D188" s="2" t="s">
        <v>18</v>
      </c>
      <c r="E188" s="5">
        <v>-28096</v>
      </c>
      <c r="F188" s="3" t="s">
        <v>534</v>
      </c>
      <c r="G188" s="3" t="s">
        <v>48</v>
      </c>
      <c r="H188" s="2" t="s">
        <v>21</v>
      </c>
      <c r="I188" s="2" t="s">
        <v>535</v>
      </c>
      <c r="J188" s="3" t="str">
        <f>HYPERLINK("https://www.boe.es/gazeta/dias/1823/01/27/pdfs/GMD-1823-28.pdf#page=3","Abrir facsímil")</f>
        <v>Abrir facsímil</v>
      </c>
      <c r="K188" s="3" t="s">
        <v>23</v>
      </c>
    </row>
    <row r="189" spans="1:11" ht="42" customHeight="1">
      <c r="A189" s="2" t="s">
        <v>533</v>
      </c>
      <c r="B189" s="2" t="s">
        <v>533</v>
      </c>
      <c r="C189" s="2" t="s">
        <v>79</v>
      </c>
      <c r="D189" s="2" t="s">
        <v>74</v>
      </c>
      <c r="E189" s="5">
        <v>-28077</v>
      </c>
      <c r="F189" s="3" t="s">
        <v>536</v>
      </c>
      <c r="G189" s="3" t="s">
        <v>39</v>
      </c>
      <c r="H189" s="2" t="s">
        <v>21</v>
      </c>
      <c r="I189" s="2" t="s">
        <v>537</v>
      </c>
      <c r="J189" s="3" t="str">
        <f>HYPERLINK("https://www.boe.es/gazeta/dias/1823/02/15/pdfs/GMD-1823-49.pdf#page=1","Abrir facsímil")</f>
        <v>Abrir facsímil</v>
      </c>
      <c r="K189" s="3" t="s">
        <v>23</v>
      </c>
    </row>
    <row r="190" spans="1:11" ht="42" customHeight="1">
      <c r="A190" s="2" t="s">
        <v>533</v>
      </c>
      <c r="B190" s="2" t="s">
        <v>533</v>
      </c>
      <c r="C190" s="2" t="s">
        <v>56</v>
      </c>
      <c r="D190" s="2" t="s">
        <v>57</v>
      </c>
      <c r="E190" s="5">
        <v>-27982</v>
      </c>
      <c r="F190" s="3" t="s">
        <v>340</v>
      </c>
      <c r="G190" s="3" t="s">
        <v>27</v>
      </c>
      <c r="H190" s="2" t="s">
        <v>21</v>
      </c>
      <c r="I190" s="2" t="s">
        <v>538</v>
      </c>
      <c r="J190" s="3" t="str">
        <f>HYPERLINK("https://www.boe.es/gazeta/dias/1823/05/21/pdfs/GES-1823-42.pdf#page=2","Abrir facsímil")</f>
        <v>Abrir facsímil</v>
      </c>
      <c r="K190" s="3" t="s">
        <v>23</v>
      </c>
    </row>
    <row r="191" spans="1:11" ht="42" customHeight="1">
      <c r="A191" s="2" t="s">
        <v>533</v>
      </c>
      <c r="B191" s="2" t="s">
        <v>533</v>
      </c>
      <c r="C191" s="2" t="s">
        <v>56</v>
      </c>
      <c r="D191" s="2" t="s">
        <v>57</v>
      </c>
      <c r="E191" s="5">
        <v>-27853</v>
      </c>
      <c r="F191" s="3" t="s">
        <v>539</v>
      </c>
      <c r="G191" s="3" t="s">
        <v>20</v>
      </c>
      <c r="H191" s="2" t="s">
        <v>21</v>
      </c>
      <c r="I191" s="2" t="s">
        <v>540</v>
      </c>
      <c r="J191" s="3" t="str">
        <f>HYPERLINK("https://www.boe.es/gazeta/dias/1823/09/27/pdfs/GMD-1823-863.pdf#page=4","Abrir facsímil")</f>
        <v>Abrir facsímil</v>
      </c>
      <c r="K191" s="3" t="s">
        <v>23</v>
      </c>
    </row>
    <row r="192" spans="1:11" ht="42" customHeight="1">
      <c r="A192" s="2" t="s">
        <v>541</v>
      </c>
      <c r="B192" s="2" t="s">
        <v>541</v>
      </c>
      <c r="C192" s="2" t="s">
        <v>17</v>
      </c>
      <c r="D192" s="2" t="s">
        <v>18</v>
      </c>
      <c r="E192" s="5">
        <v>-28088</v>
      </c>
      <c r="F192" s="3" t="s">
        <v>542</v>
      </c>
      <c r="G192" s="3" t="s">
        <v>27</v>
      </c>
      <c r="H192" s="2" t="s">
        <v>21</v>
      </c>
      <c r="I192" s="2" t="s">
        <v>543</v>
      </c>
      <c r="J192" s="3" t="str">
        <f>HYPERLINK("https://www.boe.es/gazeta/dias/1823/02/04/pdfs/GMD-1823-37.pdf#page=2","Abrir facsímil")</f>
        <v>Abrir facsímil</v>
      </c>
      <c r="K192" s="3" t="s">
        <v>23</v>
      </c>
    </row>
    <row r="193" spans="1:11" ht="42" customHeight="1">
      <c r="A193" s="2" t="s">
        <v>544</v>
      </c>
      <c r="B193" s="2" t="s">
        <v>544</v>
      </c>
      <c r="C193" s="2" t="s">
        <v>17</v>
      </c>
      <c r="D193" s="2" t="s">
        <v>18</v>
      </c>
      <c r="E193" s="5">
        <v>-28119</v>
      </c>
      <c r="F193" s="3" t="s">
        <v>545</v>
      </c>
      <c r="G193" s="3" t="s">
        <v>34</v>
      </c>
      <c r="H193" s="2" t="s">
        <v>21</v>
      </c>
      <c r="I193" s="2" t="s">
        <v>546</v>
      </c>
      <c r="J193" s="3" t="str">
        <f>HYPERLINK("https://www.boe.es/gazeta/dias/1823/01/04/pdfs/GMD-1823-4.pdf#page=5","Abrir facsímil")</f>
        <v>Abrir facsímil</v>
      </c>
      <c r="K193" s="3" t="s">
        <v>23</v>
      </c>
    </row>
    <row r="194" spans="1:11" ht="42" customHeight="1">
      <c r="A194" s="2" t="s">
        <v>547</v>
      </c>
      <c r="B194" s="2" t="s">
        <v>547</v>
      </c>
      <c r="C194" s="2" t="s">
        <v>56</v>
      </c>
      <c r="D194" s="2" t="s">
        <v>57</v>
      </c>
      <c r="E194" s="5">
        <v>-27951</v>
      </c>
      <c r="F194" s="3" t="s">
        <v>548</v>
      </c>
      <c r="G194" s="3" t="s">
        <v>20</v>
      </c>
      <c r="H194" s="2" t="s">
        <v>21</v>
      </c>
      <c r="I194" s="2" t="s">
        <v>549</v>
      </c>
      <c r="J194" s="3" t="str">
        <f>HYPERLINK("https://www.boe.es/gazeta/dias/1823/06/21/pdfs/GES-1823-69.pdf#page=4","Abrir facsímil")</f>
        <v>Abrir facsímil</v>
      </c>
      <c r="K194" s="3" t="s">
        <v>23</v>
      </c>
    </row>
    <row r="195" spans="1:11" ht="42" customHeight="1">
      <c r="A195" s="2" t="s">
        <v>550</v>
      </c>
      <c r="B195" s="2" t="s">
        <v>551</v>
      </c>
      <c r="C195" s="2" t="s">
        <v>293</v>
      </c>
      <c r="D195" s="2" t="s">
        <v>74</v>
      </c>
      <c r="E195" s="5">
        <v>-28118</v>
      </c>
      <c r="F195" s="3" t="s">
        <v>252</v>
      </c>
      <c r="G195" s="3" t="s">
        <v>59</v>
      </c>
      <c r="H195" s="2" t="s">
        <v>21</v>
      </c>
      <c r="I195" s="2" t="s">
        <v>552</v>
      </c>
      <c r="J195" s="3" t="str">
        <f>HYPERLINK("https://www.boe.es/gazeta/dias/1823/01/05/pdfs/GMD-1823-5.pdf#page=6","Abrir facsímil")</f>
        <v>Abrir facsímil</v>
      </c>
      <c r="K195" s="3" t="s">
        <v>23</v>
      </c>
    </row>
    <row r="196" spans="1:11" ht="42" customHeight="1">
      <c r="A196" s="2" t="s">
        <v>553</v>
      </c>
      <c r="B196" s="2" t="s">
        <v>554</v>
      </c>
      <c r="C196" s="2" t="s">
        <v>17</v>
      </c>
      <c r="D196" s="2" t="s">
        <v>18</v>
      </c>
      <c r="E196" s="5">
        <v>-28112</v>
      </c>
      <c r="F196" s="3" t="s">
        <v>43</v>
      </c>
      <c r="G196" s="3" t="s">
        <v>39</v>
      </c>
      <c r="H196" s="2" t="s">
        <v>21</v>
      </c>
      <c r="I196" s="2" t="s">
        <v>555</v>
      </c>
      <c r="J196" s="3" t="str">
        <f>HYPERLINK("https://www.boe.es/gazeta/dias/1823/01/11/pdfs/GMD-1823-11.pdf#page=1","Abrir facsímil")</f>
        <v>Abrir facsímil</v>
      </c>
      <c r="K196" s="3" t="s">
        <v>23</v>
      </c>
    </row>
    <row r="197" spans="1:11" ht="42" customHeight="1">
      <c r="A197" s="2" t="s">
        <v>556</v>
      </c>
      <c r="B197" s="2" t="s">
        <v>557</v>
      </c>
      <c r="C197" s="2" t="s">
        <v>79</v>
      </c>
      <c r="D197" s="2" t="s">
        <v>74</v>
      </c>
      <c r="E197" s="5">
        <v>-28066</v>
      </c>
      <c r="F197" s="3" t="s">
        <v>19</v>
      </c>
      <c r="G197" s="3" t="s">
        <v>20</v>
      </c>
      <c r="H197" s="2" t="s">
        <v>21</v>
      </c>
      <c r="I197" s="2" t="s">
        <v>558</v>
      </c>
      <c r="J197" s="3" t="str">
        <f>HYPERLINK("https://www.boe.es/gazeta/dias/1823/02/26/pdfs/GMD-1823-60.pdf#page=4","Abrir facsímil")</f>
        <v>Abrir facsímil</v>
      </c>
      <c r="K197" s="3" t="s">
        <v>23</v>
      </c>
    </row>
    <row r="198" spans="1:11" ht="42" customHeight="1">
      <c r="A198" s="2" t="s">
        <v>559</v>
      </c>
      <c r="B198" s="2" t="s">
        <v>560</v>
      </c>
      <c r="C198" s="2" t="s">
        <v>17</v>
      </c>
      <c r="D198" s="2" t="s">
        <v>18</v>
      </c>
      <c r="E198" s="5">
        <v>-28079</v>
      </c>
      <c r="F198" s="3" t="s">
        <v>178</v>
      </c>
      <c r="G198" s="3" t="s">
        <v>48</v>
      </c>
      <c r="H198" s="2" t="s">
        <v>21</v>
      </c>
      <c r="I198" s="2" t="s">
        <v>561</v>
      </c>
      <c r="J198" s="3" t="str">
        <f>HYPERLINK("https://www.boe.es/gazeta/dias/1823/02/13/pdfs/GMD-1823-47.pdf#page=3","Abrir facsímil")</f>
        <v>Abrir facsímil</v>
      </c>
      <c r="K198" s="3" t="s">
        <v>23</v>
      </c>
    </row>
    <row r="199" spans="1:11" ht="42" customHeight="1">
      <c r="A199" s="2" t="s">
        <v>562</v>
      </c>
      <c r="B199" s="2" t="s">
        <v>562</v>
      </c>
      <c r="C199" s="2" t="s">
        <v>84</v>
      </c>
      <c r="D199" s="2" t="s">
        <v>74</v>
      </c>
      <c r="E199" s="5">
        <v>-27961</v>
      </c>
      <c r="F199" s="3" t="s">
        <v>52</v>
      </c>
      <c r="G199" s="3" t="s">
        <v>48</v>
      </c>
      <c r="H199" s="2" t="s">
        <v>21</v>
      </c>
      <c r="I199" s="2" t="s">
        <v>563</v>
      </c>
      <c r="J199" s="3" t="str">
        <f>HYPERLINK("https://www.boe.es/gazeta/dias/1823/06/11/pdfs/GES-1823-65.pdf#page=3","Abrir facsímil")</f>
        <v>Abrir facsímil</v>
      </c>
      <c r="K199" s="3" t="s">
        <v>23</v>
      </c>
    </row>
    <row r="200" spans="1:11" ht="42" customHeight="1">
      <c r="A200" s="2" t="s">
        <v>564</v>
      </c>
      <c r="B200" s="2" t="s">
        <v>564</v>
      </c>
      <c r="C200" s="2" t="s">
        <v>56</v>
      </c>
      <c r="D200" s="2" t="s">
        <v>57</v>
      </c>
      <c r="E200" s="5">
        <v>-27992</v>
      </c>
      <c r="F200" s="3" t="s">
        <v>565</v>
      </c>
      <c r="G200" s="3" t="s">
        <v>48</v>
      </c>
      <c r="H200" s="2" t="s">
        <v>21</v>
      </c>
      <c r="I200" s="2" t="s">
        <v>566</v>
      </c>
      <c r="J200" s="3" t="str">
        <f>HYPERLINK("https://www.boe.es/gazeta/dias/1823/05/11/pdfs/GES-1823-31.pdf#page=3","Abrir facsímil")</f>
        <v>Abrir facsímil</v>
      </c>
      <c r="K200" s="3" t="s">
        <v>23</v>
      </c>
    </row>
    <row r="201" spans="1:11" ht="42" customHeight="1">
      <c r="A201" s="2" t="s">
        <v>567</v>
      </c>
      <c r="B201" s="2" t="s">
        <v>567</v>
      </c>
      <c r="C201" s="2" t="s">
        <v>17</v>
      </c>
      <c r="D201" s="2" t="s">
        <v>18</v>
      </c>
      <c r="E201" s="5">
        <v>-27923</v>
      </c>
      <c r="F201" s="3" t="s">
        <v>354</v>
      </c>
      <c r="G201" s="3" t="s">
        <v>39</v>
      </c>
      <c r="H201" s="2" t="s">
        <v>21</v>
      </c>
      <c r="I201" s="2" t="s">
        <v>568</v>
      </c>
      <c r="J201" s="3" t="str">
        <f>HYPERLINK("https://www.boe.es/gazeta/dias/1823/07/19/pdfs/GES-1823-100.pdf#page=1","Abrir facsímil")</f>
        <v>Abrir facsímil</v>
      </c>
      <c r="K201" s="3" t="s">
        <v>23</v>
      </c>
    </row>
    <row r="202" spans="1:11" ht="42" customHeight="1">
      <c r="A202" s="2" t="s">
        <v>567</v>
      </c>
      <c r="B202" s="2" t="s">
        <v>567</v>
      </c>
      <c r="C202" s="2" t="s">
        <v>17</v>
      </c>
      <c r="D202" s="2" t="s">
        <v>18</v>
      </c>
      <c r="E202" s="5">
        <v>-27867</v>
      </c>
      <c r="F202" s="3" t="s">
        <v>569</v>
      </c>
      <c r="G202" s="3" t="s">
        <v>27</v>
      </c>
      <c r="H202" s="2" t="s">
        <v>21</v>
      </c>
      <c r="I202" s="2" t="s">
        <v>570</v>
      </c>
      <c r="J202" s="3" t="str">
        <f>HYPERLINK("https://www.boe.es/gazeta/dias/1823/09/13/pdfs/GES-1823-157.pdf#page=2","Abrir facsímil")</f>
        <v>Abrir facsímil</v>
      </c>
      <c r="K202" s="3" t="s">
        <v>23</v>
      </c>
    </row>
    <row r="203" spans="1:11" ht="42" customHeight="1">
      <c r="A203" s="2" t="s">
        <v>571</v>
      </c>
      <c r="B203" s="2" t="s">
        <v>571</v>
      </c>
      <c r="C203" s="2" t="s">
        <v>79</v>
      </c>
      <c r="D203" s="2" t="s">
        <v>74</v>
      </c>
      <c r="E203" s="5">
        <v>-28056</v>
      </c>
      <c r="F203" s="3" t="s">
        <v>572</v>
      </c>
      <c r="G203" s="3" t="s">
        <v>34</v>
      </c>
      <c r="H203" s="2" t="s">
        <v>21</v>
      </c>
      <c r="I203" s="2" t="s">
        <v>573</v>
      </c>
      <c r="J203" s="3" t="str">
        <f>HYPERLINK("https://www.boe.es/gazeta/dias/1823/03/08/pdfs/GMD-1823-71.pdf#page=5","Abrir facsímil")</f>
        <v>Abrir facsímil</v>
      </c>
      <c r="K203" s="3" t="s">
        <v>23</v>
      </c>
    </row>
    <row r="204" spans="1:11" ht="42" customHeight="1">
      <c r="A204" s="2" t="s">
        <v>574</v>
      </c>
      <c r="B204" s="2" t="s">
        <v>574</v>
      </c>
      <c r="C204" s="2" t="s">
        <v>109</v>
      </c>
      <c r="D204" s="2" t="s">
        <v>74</v>
      </c>
      <c r="E204" s="5">
        <v>-28121</v>
      </c>
      <c r="F204" s="3" t="s">
        <v>575</v>
      </c>
      <c r="G204" s="3" t="s">
        <v>576</v>
      </c>
      <c r="H204" s="2" t="s">
        <v>21</v>
      </c>
      <c r="I204" s="2" t="s">
        <v>577</v>
      </c>
      <c r="J204" s="3" t="str">
        <f>HYPERLINK("https://www.boe.es/gazeta/dias/1823/01/02/pdfs/GMD-1823-2.pdf#page=2","Abrir facsímil")</f>
        <v>Abrir facsímil</v>
      </c>
      <c r="K204" s="3" t="s">
        <v>23</v>
      </c>
    </row>
    <row r="205" spans="1:11" ht="42" customHeight="1">
      <c r="A205" s="2" t="s">
        <v>574</v>
      </c>
      <c r="B205" s="2" t="s">
        <v>574</v>
      </c>
      <c r="C205" s="2" t="s">
        <v>109</v>
      </c>
      <c r="D205" s="2" t="s">
        <v>74</v>
      </c>
      <c r="E205" s="5">
        <v>-28119</v>
      </c>
      <c r="F205" s="3" t="s">
        <v>545</v>
      </c>
      <c r="G205" s="3" t="s">
        <v>20</v>
      </c>
      <c r="H205" s="2" t="s">
        <v>21</v>
      </c>
      <c r="I205" s="2" t="s">
        <v>578</v>
      </c>
      <c r="J205" s="3" t="str">
        <f>HYPERLINK("https://www.boe.es/gazeta/dias/1823/01/04/pdfs/GMD-1823-4.pdf#page=4","Abrir facsímil")</f>
        <v>Abrir facsímil</v>
      </c>
      <c r="K205" s="3" t="s">
        <v>23</v>
      </c>
    </row>
    <row r="206" spans="1:11" ht="42" customHeight="1">
      <c r="A206" s="2" t="s">
        <v>574</v>
      </c>
      <c r="B206" s="2" t="s">
        <v>574</v>
      </c>
      <c r="C206" s="2" t="s">
        <v>79</v>
      </c>
      <c r="D206" s="2" t="s">
        <v>74</v>
      </c>
      <c r="E206" s="5">
        <v>-28115</v>
      </c>
      <c r="F206" s="3" t="s">
        <v>579</v>
      </c>
      <c r="G206" s="3" t="s">
        <v>27</v>
      </c>
      <c r="H206" s="2" t="s">
        <v>21</v>
      </c>
      <c r="I206" s="2" t="s">
        <v>580</v>
      </c>
      <c r="J206" s="3" t="str">
        <f>HYPERLINK("https://www.boe.es/gazeta/dias/1823/01/08/pdfs/GMD-1823-8.pdf#page=2","Abrir facsímil")</f>
        <v>Abrir facsímil</v>
      </c>
      <c r="K206" s="3" t="s">
        <v>23</v>
      </c>
    </row>
    <row r="207" spans="1:11" ht="42" customHeight="1">
      <c r="A207" s="2" t="s">
        <v>574</v>
      </c>
      <c r="B207" s="2" t="s">
        <v>574</v>
      </c>
      <c r="C207" s="2" t="s">
        <v>17</v>
      </c>
      <c r="D207" s="2" t="s">
        <v>18</v>
      </c>
      <c r="E207" s="5">
        <v>-28114</v>
      </c>
      <c r="F207" s="3" t="s">
        <v>153</v>
      </c>
      <c r="G207" s="3" t="s">
        <v>48</v>
      </c>
      <c r="H207" s="2" t="s">
        <v>21</v>
      </c>
      <c r="I207" s="2" t="s">
        <v>581</v>
      </c>
      <c r="J207" s="3" t="str">
        <f>HYPERLINK("https://www.boe.es/gazeta/dias/1823/01/09/pdfs/GMD-1823-9.pdf#page=3","Abrir facsímil")</f>
        <v>Abrir facsímil</v>
      </c>
      <c r="K207" s="3" t="s">
        <v>23</v>
      </c>
    </row>
    <row r="208" spans="1:11" ht="42" customHeight="1">
      <c r="A208" s="2" t="s">
        <v>574</v>
      </c>
      <c r="B208" s="2" t="s">
        <v>574</v>
      </c>
      <c r="C208" s="2" t="s">
        <v>79</v>
      </c>
      <c r="D208" s="2" t="s">
        <v>74</v>
      </c>
      <c r="E208" s="5">
        <v>-28107</v>
      </c>
      <c r="F208" s="3" t="s">
        <v>278</v>
      </c>
      <c r="G208" s="3" t="s">
        <v>20</v>
      </c>
      <c r="H208" s="2" t="s">
        <v>21</v>
      </c>
      <c r="I208" s="2" t="s">
        <v>582</v>
      </c>
      <c r="J208" s="3" t="str">
        <f>HYPERLINK("https://www.boe.es/gazeta/dias/1823/01/16/pdfs/GMD-1823-16.pdf#page=4","Abrir facsímil")</f>
        <v>Abrir facsímil</v>
      </c>
      <c r="K208" s="3" t="s">
        <v>23</v>
      </c>
    </row>
    <row r="209" spans="1:11" ht="42" customHeight="1">
      <c r="A209" s="2" t="s">
        <v>574</v>
      </c>
      <c r="B209" s="2" t="s">
        <v>574</v>
      </c>
      <c r="C209" s="2" t="s">
        <v>17</v>
      </c>
      <c r="D209" s="2" t="s">
        <v>18</v>
      </c>
      <c r="E209" s="5">
        <v>-28106</v>
      </c>
      <c r="F209" s="3" t="s">
        <v>280</v>
      </c>
      <c r="G209" s="3" t="s">
        <v>48</v>
      </c>
      <c r="H209" s="2" t="s">
        <v>21</v>
      </c>
      <c r="I209" s="2" t="s">
        <v>583</v>
      </c>
      <c r="J209" s="3" t="str">
        <f>HYPERLINK("https://www.boe.es/gazeta/dias/1823/01/17/pdfs/GMD-1823-17.pdf#page=3","Abrir facsímil")</f>
        <v>Abrir facsímil</v>
      </c>
      <c r="K209" s="3" t="s">
        <v>23</v>
      </c>
    </row>
    <row r="210" spans="1:11" ht="42" customHeight="1">
      <c r="A210" s="2" t="s">
        <v>574</v>
      </c>
      <c r="B210" s="2" t="s">
        <v>574</v>
      </c>
      <c r="C210" s="2" t="s">
        <v>109</v>
      </c>
      <c r="D210" s="2" t="s">
        <v>74</v>
      </c>
      <c r="E210" s="5">
        <v>-28102</v>
      </c>
      <c r="F210" s="3" t="s">
        <v>287</v>
      </c>
      <c r="G210" s="3" t="s">
        <v>48</v>
      </c>
      <c r="H210" s="2" t="s">
        <v>21</v>
      </c>
      <c r="I210" s="2" t="s">
        <v>584</v>
      </c>
      <c r="J210" s="3" t="str">
        <f>HYPERLINK("https://www.boe.es/gazeta/dias/1823/01/21/pdfs/GMD-1823-22.pdf#page=3","Abrir facsímil")</f>
        <v>Abrir facsímil</v>
      </c>
      <c r="K210" s="3" t="s">
        <v>23</v>
      </c>
    </row>
    <row r="211" spans="1:11" ht="42" customHeight="1">
      <c r="A211" s="2" t="s">
        <v>574</v>
      </c>
      <c r="B211" s="2" t="s">
        <v>574</v>
      </c>
      <c r="C211" s="2" t="s">
        <v>56</v>
      </c>
      <c r="D211" s="2" t="s">
        <v>57</v>
      </c>
      <c r="E211" s="5">
        <v>-28081</v>
      </c>
      <c r="F211" s="3" t="s">
        <v>170</v>
      </c>
      <c r="G211" s="3" t="s">
        <v>48</v>
      </c>
      <c r="H211" s="2" t="s">
        <v>21</v>
      </c>
      <c r="I211" s="2" t="s">
        <v>585</v>
      </c>
      <c r="J211" s="3" t="str">
        <f>HYPERLINK("https://www.boe.es/gazeta/dias/1823/02/11/pdfs/GMD-1823-45.pdf#page=3","Abrir facsímil")</f>
        <v>Abrir facsímil</v>
      </c>
      <c r="K211" s="3" t="s">
        <v>23</v>
      </c>
    </row>
    <row r="212" spans="1:11" ht="42" customHeight="1">
      <c r="A212" s="2" t="s">
        <v>574</v>
      </c>
      <c r="B212" s="2" t="s">
        <v>574</v>
      </c>
      <c r="C212" s="2" t="s">
        <v>17</v>
      </c>
      <c r="D212" s="2" t="s">
        <v>18</v>
      </c>
      <c r="E212" s="5">
        <v>-28079</v>
      </c>
      <c r="F212" s="3" t="s">
        <v>178</v>
      </c>
      <c r="G212" s="3" t="s">
        <v>27</v>
      </c>
      <c r="H212" s="2" t="s">
        <v>21</v>
      </c>
      <c r="I212" s="2" t="s">
        <v>586</v>
      </c>
      <c r="J212" s="3" t="str">
        <f>HYPERLINK("https://www.boe.es/gazeta/dias/1823/02/13/pdfs/GMD-1823-47.pdf#page=2","Abrir facsímil")</f>
        <v>Abrir facsímil</v>
      </c>
      <c r="K212" s="3" t="s">
        <v>23</v>
      </c>
    </row>
    <row r="213" spans="1:11" ht="42" customHeight="1">
      <c r="A213" s="2" t="s">
        <v>574</v>
      </c>
      <c r="B213" s="2" t="s">
        <v>574</v>
      </c>
      <c r="C213" s="2" t="s">
        <v>79</v>
      </c>
      <c r="D213" s="2" t="s">
        <v>74</v>
      </c>
      <c r="E213" s="5">
        <v>-28071</v>
      </c>
      <c r="F213" s="3" t="s">
        <v>587</v>
      </c>
      <c r="G213" s="3" t="s">
        <v>27</v>
      </c>
      <c r="H213" s="2" t="s">
        <v>21</v>
      </c>
      <c r="I213" s="2" t="s">
        <v>588</v>
      </c>
      <c r="J213" s="3" t="str">
        <f>HYPERLINK("https://www.boe.es/gazeta/dias/1823/02/21/pdfs/GMD-1823-55.pdf#page=2","Abrir facsímil")</f>
        <v>Abrir facsímil</v>
      </c>
      <c r="K213" s="3" t="s">
        <v>23</v>
      </c>
    </row>
    <row r="214" spans="1:11" ht="42" customHeight="1">
      <c r="A214" s="2" t="s">
        <v>574</v>
      </c>
      <c r="B214" s="2" t="s">
        <v>574</v>
      </c>
      <c r="C214" s="2" t="s">
        <v>79</v>
      </c>
      <c r="D214" s="2" t="s">
        <v>74</v>
      </c>
      <c r="E214" s="5">
        <v>-28057</v>
      </c>
      <c r="F214" s="3" t="s">
        <v>301</v>
      </c>
      <c r="G214" s="3" t="s">
        <v>20</v>
      </c>
      <c r="H214" s="2" t="s">
        <v>21</v>
      </c>
      <c r="I214" s="2" t="s">
        <v>589</v>
      </c>
      <c r="J214" s="3" t="str">
        <f>HYPERLINK("https://www.boe.es/gazeta/dias/1823/03/07/pdfs/GMD-1823-70.pdf#page=4","Abrir facsímil")</f>
        <v>Abrir facsímil</v>
      </c>
      <c r="K214" s="3" t="s">
        <v>23</v>
      </c>
    </row>
    <row r="215" spans="1:11" ht="42" customHeight="1">
      <c r="A215" s="2" t="s">
        <v>574</v>
      </c>
      <c r="B215" s="2" t="s">
        <v>574</v>
      </c>
      <c r="C215" s="2" t="s">
        <v>17</v>
      </c>
      <c r="D215" s="2" t="s">
        <v>18</v>
      </c>
      <c r="E215" s="5">
        <v>-27982</v>
      </c>
      <c r="F215" s="3" t="s">
        <v>340</v>
      </c>
      <c r="G215" s="3" t="s">
        <v>590</v>
      </c>
      <c r="H215" s="2" t="s">
        <v>21</v>
      </c>
      <c r="I215" s="2" t="s">
        <v>591</v>
      </c>
      <c r="J215" s="3" t="str">
        <f>HYPERLINK("https://www.boe.es/gazeta/dias/1823/05/21/pdfs/GES-1823-42.pdf#page=5","Abrir facsímil")</f>
        <v>Abrir facsímil</v>
      </c>
      <c r="K215" s="3" t="s">
        <v>23</v>
      </c>
    </row>
    <row r="216" spans="1:11" ht="42" customHeight="1">
      <c r="A216" s="2" t="s">
        <v>574</v>
      </c>
      <c r="B216" s="2" t="s">
        <v>574</v>
      </c>
      <c r="C216" s="2" t="s">
        <v>56</v>
      </c>
      <c r="D216" s="2" t="s">
        <v>57</v>
      </c>
      <c r="E216" s="5">
        <v>-27967</v>
      </c>
      <c r="F216" s="3" t="s">
        <v>412</v>
      </c>
      <c r="G216" s="3" t="s">
        <v>592</v>
      </c>
      <c r="H216" s="2" t="s">
        <v>21</v>
      </c>
      <c r="I216" s="2" t="s">
        <v>593</v>
      </c>
      <c r="J216" s="3" t="str">
        <f>HYPERLINK("https://www.boe.es/gazeta/dias/1823/06/05/pdfs/GES-1823-59.pdf#page=3","Abrir facsímil")</f>
        <v>Abrir facsímil</v>
      </c>
      <c r="K216" s="3" t="s">
        <v>23</v>
      </c>
    </row>
    <row r="217" spans="1:11" ht="42" customHeight="1">
      <c r="A217" s="2" t="s">
        <v>574</v>
      </c>
      <c r="B217" s="2" t="s">
        <v>574</v>
      </c>
      <c r="C217" s="2" t="s">
        <v>73</v>
      </c>
      <c r="D217" s="2" t="s">
        <v>74</v>
      </c>
      <c r="E217" s="5">
        <v>-27962</v>
      </c>
      <c r="F217" s="3" t="s">
        <v>594</v>
      </c>
      <c r="G217" s="3" t="s">
        <v>39</v>
      </c>
      <c r="H217" s="2" t="s">
        <v>21</v>
      </c>
      <c r="I217" s="2" t="s">
        <v>595</v>
      </c>
      <c r="J217" s="3" t="str">
        <f>HYPERLINK("https://www.boe.es/gazeta/dias/1823/06/10/pdfs/GES-1823-64.pdf#page=1","Abrir facsímil")</f>
        <v>Abrir facsímil</v>
      </c>
      <c r="K217" s="3" t="s">
        <v>23</v>
      </c>
    </row>
    <row r="218" spans="1:11" ht="42" customHeight="1">
      <c r="A218" s="2" t="s">
        <v>574</v>
      </c>
      <c r="B218" s="2" t="s">
        <v>574</v>
      </c>
      <c r="C218" s="2" t="s">
        <v>56</v>
      </c>
      <c r="D218" s="2" t="s">
        <v>57</v>
      </c>
      <c r="E218" s="5">
        <v>-27942</v>
      </c>
      <c r="F218" s="3" t="s">
        <v>596</v>
      </c>
      <c r="G218" s="3" t="s">
        <v>48</v>
      </c>
      <c r="H218" s="2" t="s">
        <v>21</v>
      </c>
      <c r="I218" s="2" t="s">
        <v>597</v>
      </c>
      <c r="J218" s="3" t="str">
        <f>HYPERLINK("https://www.boe.es/gazeta/dias/1823/06/30/pdfs/GES-1823-80.pdf#page=3","Abrir facsímil")</f>
        <v>Abrir facsímil</v>
      </c>
      <c r="K218" s="3" t="s">
        <v>23</v>
      </c>
    </row>
    <row r="219" spans="1:11" ht="42" customHeight="1">
      <c r="A219" s="2" t="s">
        <v>574</v>
      </c>
      <c r="B219" s="2" t="s">
        <v>574</v>
      </c>
      <c r="C219" s="2" t="s">
        <v>56</v>
      </c>
      <c r="D219" s="2" t="s">
        <v>57</v>
      </c>
      <c r="E219" s="5">
        <v>-27929</v>
      </c>
      <c r="F219" s="3" t="s">
        <v>598</v>
      </c>
      <c r="G219" s="3" t="s">
        <v>27</v>
      </c>
      <c r="H219" s="2" t="s">
        <v>21</v>
      </c>
      <c r="I219" s="2" t="s">
        <v>599</v>
      </c>
      <c r="J219" s="3" t="str">
        <f>HYPERLINK("https://www.boe.es/gazeta/dias/1823/07/13/pdfs/GES-1823-93.pdf#page=2","Abrir facsímil")</f>
        <v>Abrir facsímil</v>
      </c>
      <c r="K219" s="3" t="s">
        <v>23</v>
      </c>
    </row>
    <row r="220" spans="1:11" ht="42" customHeight="1">
      <c r="A220" s="2" t="s">
        <v>574</v>
      </c>
      <c r="B220" s="2" t="s">
        <v>574</v>
      </c>
      <c r="C220" s="2" t="s">
        <v>56</v>
      </c>
      <c r="D220" s="2" t="s">
        <v>57</v>
      </c>
      <c r="E220" s="5">
        <v>-27921</v>
      </c>
      <c r="F220" s="3" t="s">
        <v>356</v>
      </c>
      <c r="G220" s="3" t="s">
        <v>27</v>
      </c>
      <c r="H220" s="2" t="s">
        <v>21</v>
      </c>
      <c r="I220" s="2" t="s">
        <v>600</v>
      </c>
      <c r="J220" s="3" t="str">
        <f>HYPERLINK("https://www.boe.es/gazeta/dias/1823/07/21/pdfs/GES-1823-102.pdf#page=2","Abrir facsímil")</f>
        <v>Abrir facsímil</v>
      </c>
      <c r="K220" s="3" t="s">
        <v>23</v>
      </c>
    </row>
    <row r="221" spans="1:11" ht="42" customHeight="1">
      <c r="A221" s="2" t="s">
        <v>574</v>
      </c>
      <c r="B221" s="2" t="s">
        <v>574</v>
      </c>
      <c r="C221" s="2" t="s">
        <v>17</v>
      </c>
      <c r="D221" s="2" t="s">
        <v>18</v>
      </c>
      <c r="E221" s="5">
        <v>-27920</v>
      </c>
      <c r="F221" s="3" t="s">
        <v>358</v>
      </c>
      <c r="G221" s="3" t="s">
        <v>27</v>
      </c>
      <c r="H221" s="2" t="s">
        <v>21</v>
      </c>
      <c r="I221" s="2" t="s">
        <v>601</v>
      </c>
      <c r="J221" s="3" t="str">
        <f>HYPERLINK("https://www.boe.es/gazeta/dias/1823/07/22/pdfs/GES-1823-103.pdf#page=2","Abrir facsímil")</f>
        <v>Abrir facsímil</v>
      </c>
      <c r="K221" s="3" t="s">
        <v>23</v>
      </c>
    </row>
    <row r="222" spans="1:11" ht="42" customHeight="1">
      <c r="A222" s="2" t="s">
        <v>574</v>
      </c>
      <c r="B222" s="2" t="s">
        <v>574</v>
      </c>
      <c r="C222" s="2" t="s">
        <v>109</v>
      </c>
      <c r="D222" s="2" t="s">
        <v>74</v>
      </c>
      <c r="E222" s="5">
        <v>-27907</v>
      </c>
      <c r="F222" s="3" t="s">
        <v>370</v>
      </c>
      <c r="G222" s="3" t="s">
        <v>39</v>
      </c>
      <c r="H222" s="2" t="s">
        <v>21</v>
      </c>
      <c r="I222" s="2" t="s">
        <v>602</v>
      </c>
      <c r="J222" s="3" t="str">
        <f>HYPERLINK("https://www.boe.es/gazeta/dias/1823/08/04/pdfs/GES-1823-116.pdf#page=1","Abrir facsímil")</f>
        <v>Abrir facsímil</v>
      </c>
      <c r="K222" s="3" t="s">
        <v>23</v>
      </c>
    </row>
    <row r="223" spans="1:11" ht="42" customHeight="1">
      <c r="A223" s="2" t="s">
        <v>574</v>
      </c>
      <c r="B223" s="2" t="s">
        <v>574</v>
      </c>
      <c r="C223" s="2" t="s">
        <v>17</v>
      </c>
      <c r="D223" s="2" t="s">
        <v>18</v>
      </c>
      <c r="E223" s="5">
        <v>-27906</v>
      </c>
      <c r="F223" s="3" t="s">
        <v>241</v>
      </c>
      <c r="G223" s="3" t="s">
        <v>39</v>
      </c>
      <c r="H223" s="2" t="s">
        <v>21</v>
      </c>
      <c r="I223" s="2" t="s">
        <v>603</v>
      </c>
      <c r="J223" s="3" t="str">
        <f>HYPERLINK("https://www.boe.es/gazeta/dias/1823/08/05/pdfs/GES-1823-117.pdf#page=1","Abrir facsímil")</f>
        <v>Abrir facsímil</v>
      </c>
      <c r="K223" s="3" t="s">
        <v>23</v>
      </c>
    </row>
    <row r="224" spans="1:11" ht="42" customHeight="1">
      <c r="A224" s="2" t="s">
        <v>574</v>
      </c>
      <c r="B224" s="2" t="s">
        <v>574</v>
      </c>
      <c r="C224" s="2" t="s">
        <v>17</v>
      </c>
      <c r="D224" s="2" t="s">
        <v>18</v>
      </c>
      <c r="E224" s="5">
        <v>-27873</v>
      </c>
      <c r="F224" s="3" t="s">
        <v>160</v>
      </c>
      <c r="G224" s="3" t="s">
        <v>48</v>
      </c>
      <c r="H224" s="2" t="s">
        <v>21</v>
      </c>
      <c r="I224" s="2" t="s">
        <v>604</v>
      </c>
      <c r="J224" s="3" t="str">
        <f>HYPERLINK("https://www.boe.es/gazeta/dias/1823/09/07/pdfs/GES-1823-151.pdf#page=3","Abrir facsímil")</f>
        <v>Abrir facsímil</v>
      </c>
      <c r="K224" s="3" t="s">
        <v>23</v>
      </c>
    </row>
    <row r="225" spans="1:11" ht="42" customHeight="1">
      <c r="A225" s="2" t="s">
        <v>574</v>
      </c>
      <c r="B225" s="2" t="s">
        <v>574</v>
      </c>
      <c r="C225" s="2" t="s">
        <v>109</v>
      </c>
      <c r="D225" s="2" t="s">
        <v>74</v>
      </c>
      <c r="E225" s="5">
        <v>-27857</v>
      </c>
      <c r="F225" s="3" t="s">
        <v>378</v>
      </c>
      <c r="G225" s="3" t="s">
        <v>59</v>
      </c>
      <c r="H225" s="2" t="s">
        <v>21</v>
      </c>
      <c r="I225" s="2" t="s">
        <v>605</v>
      </c>
      <c r="J225" s="3" t="str">
        <f>HYPERLINK("https://www.boe.es/gazeta/dias/1823/09/23/pdfs/GMD-1823-833.pdf#page=6","Abrir facsímil")</f>
        <v>Abrir facsímil</v>
      </c>
      <c r="K225" s="3" t="s">
        <v>23</v>
      </c>
    </row>
    <row r="226" spans="1:11" ht="42" customHeight="1">
      <c r="A226" s="2" t="s">
        <v>606</v>
      </c>
      <c r="B226" s="2" t="s">
        <v>606</v>
      </c>
      <c r="C226" s="2" t="s">
        <v>79</v>
      </c>
      <c r="D226" s="2" t="s">
        <v>74</v>
      </c>
      <c r="E226" s="5">
        <v>-27986</v>
      </c>
      <c r="F226" s="3" t="s">
        <v>607</v>
      </c>
      <c r="G226" s="3" t="s">
        <v>48</v>
      </c>
      <c r="H226" s="2" t="s">
        <v>21</v>
      </c>
      <c r="I226" s="2" t="s">
        <v>608</v>
      </c>
      <c r="J226" s="3" t="str">
        <f>HYPERLINK("https://www.boe.es/gazeta/dias/1823/05/17/pdfs/GMD-1823-152.pdf#page=3","Abrir facsímil")</f>
        <v>Abrir facsímil</v>
      </c>
      <c r="K226" s="3" t="s">
        <v>23</v>
      </c>
    </row>
    <row r="227" spans="1:11" ht="42" customHeight="1">
      <c r="A227" s="2" t="s">
        <v>609</v>
      </c>
      <c r="B227" s="2" t="s">
        <v>610</v>
      </c>
      <c r="C227" s="2" t="s">
        <v>17</v>
      </c>
      <c r="D227" s="2" t="s">
        <v>18</v>
      </c>
      <c r="E227" s="5">
        <v>-27792</v>
      </c>
      <c r="F227" s="3" t="s">
        <v>611</v>
      </c>
      <c r="G227" s="3" t="s">
        <v>48</v>
      </c>
      <c r="H227" s="2" t="s">
        <v>21</v>
      </c>
      <c r="I227" s="2" t="s">
        <v>612</v>
      </c>
      <c r="J227" s="3" t="str">
        <f>HYPERLINK("https://www.boe.es/gazeta/dias/1823/11/27/pdfs/GMD-1823-1173.pdf#page=3","Abrir facsímil")</f>
        <v>Abrir facsímil</v>
      </c>
      <c r="K227" s="3" t="s">
        <v>23</v>
      </c>
    </row>
    <row r="228" spans="1:11" ht="42" customHeight="1">
      <c r="A228" s="2" t="s">
        <v>613</v>
      </c>
      <c r="B228" s="2" t="s">
        <v>614</v>
      </c>
      <c r="C228" s="2" t="s">
        <v>17</v>
      </c>
      <c r="D228" s="2" t="s">
        <v>18</v>
      </c>
      <c r="E228" s="5">
        <v>-27907</v>
      </c>
      <c r="F228" s="3" t="s">
        <v>370</v>
      </c>
      <c r="G228" s="3" t="s">
        <v>39</v>
      </c>
      <c r="H228" s="2" t="s">
        <v>21</v>
      </c>
      <c r="I228" s="2" t="s">
        <v>615</v>
      </c>
      <c r="J228" s="3" t="str">
        <f>HYPERLINK("https://www.boe.es/gazeta/dias/1823/08/04/pdfs/GES-1823-116.pdf#page=1","Abrir facsímil")</f>
        <v>Abrir facsímil</v>
      </c>
      <c r="K228" s="3" t="s">
        <v>23</v>
      </c>
    </row>
    <row r="229" spans="1:11" ht="42" customHeight="1">
      <c r="A229" s="2" t="s">
        <v>616</v>
      </c>
      <c r="B229" s="2" t="s">
        <v>617</v>
      </c>
      <c r="C229" s="2" t="s">
        <v>17</v>
      </c>
      <c r="D229" s="2" t="s">
        <v>18</v>
      </c>
      <c r="E229" s="5">
        <v>-27974</v>
      </c>
      <c r="F229" s="3" t="s">
        <v>618</v>
      </c>
      <c r="G229" s="3" t="s">
        <v>34</v>
      </c>
      <c r="H229" s="2" t="s">
        <v>21</v>
      </c>
      <c r="I229" s="2" t="s">
        <v>619</v>
      </c>
      <c r="J229" s="3" t="str">
        <f>HYPERLINK("https://www.boe.es/gazeta/dias/1823/05/29/pdfs/GES-1823-52.pdf#page=5","Abrir facsímil")</f>
        <v>Abrir facsímil</v>
      </c>
      <c r="K229" s="3" t="s">
        <v>23</v>
      </c>
    </row>
    <row r="230" spans="1:11" ht="42" customHeight="1">
      <c r="A230" s="2" t="s">
        <v>620</v>
      </c>
      <c r="B230" s="2" t="s">
        <v>620</v>
      </c>
      <c r="C230" s="2" t="s">
        <v>56</v>
      </c>
      <c r="D230" s="2" t="s">
        <v>57</v>
      </c>
      <c r="E230" s="5">
        <v>-27991</v>
      </c>
      <c r="F230" s="3" t="s">
        <v>328</v>
      </c>
      <c r="G230" s="3" t="s">
        <v>48</v>
      </c>
      <c r="H230" s="2" t="s">
        <v>21</v>
      </c>
      <c r="I230" s="2" t="s">
        <v>621</v>
      </c>
      <c r="J230" s="3" t="str">
        <f>HYPERLINK("https://www.boe.es/gazeta/dias/1823/05/12/pdfs/GES-1823-32.pdf#page=3","Abrir facsímil")</f>
        <v>Abrir facsímil</v>
      </c>
      <c r="K230" s="3" t="s">
        <v>23</v>
      </c>
    </row>
    <row r="231" spans="1:11" ht="42" customHeight="1">
      <c r="A231" s="2" t="s">
        <v>622</v>
      </c>
      <c r="B231" s="2" t="s">
        <v>622</v>
      </c>
      <c r="C231" s="2" t="s">
        <v>17</v>
      </c>
      <c r="D231" s="2" t="s">
        <v>117</v>
      </c>
      <c r="E231" s="5">
        <v>-27958</v>
      </c>
      <c r="F231" s="3" t="s">
        <v>163</v>
      </c>
      <c r="G231" s="3" t="s">
        <v>27</v>
      </c>
      <c r="H231" s="2" t="s">
        <v>21</v>
      </c>
      <c r="I231" s="2" t="s">
        <v>623</v>
      </c>
      <c r="J231" s="3" t="str">
        <f>HYPERLINK("https://www.boe.es/gazeta/dias/1823/06/14/pdfs/GMD-1823-163E.pdf#page=2","Abrir facsímil")</f>
        <v>Abrir facsímil</v>
      </c>
      <c r="K231" s="3" t="s">
        <v>23</v>
      </c>
    </row>
    <row r="232" spans="1:11" ht="42" customHeight="1">
      <c r="A232" s="2" t="s">
        <v>624</v>
      </c>
      <c r="B232" s="2" t="s">
        <v>625</v>
      </c>
      <c r="C232" s="2" t="s">
        <v>17</v>
      </c>
      <c r="D232" s="2" t="s">
        <v>18</v>
      </c>
      <c r="E232" s="5">
        <v>-28119</v>
      </c>
      <c r="F232" s="3" t="s">
        <v>545</v>
      </c>
      <c r="G232" s="3" t="s">
        <v>34</v>
      </c>
      <c r="H232" s="2" t="s">
        <v>21</v>
      </c>
      <c r="I232" s="2" t="s">
        <v>626</v>
      </c>
      <c r="J232" s="3" t="str">
        <f>HYPERLINK("https://www.boe.es/gazeta/dias/1823/01/04/pdfs/GMD-1823-4.pdf#page=5","Abrir facsímil")</f>
        <v>Abrir facsímil</v>
      </c>
      <c r="K232" s="3" t="s">
        <v>23</v>
      </c>
    </row>
    <row r="233" spans="1:11" ht="42" customHeight="1">
      <c r="A233" s="2" t="s">
        <v>627</v>
      </c>
      <c r="B233" s="2" t="s">
        <v>627</v>
      </c>
      <c r="C233" s="2" t="s">
        <v>84</v>
      </c>
      <c r="D233" s="2" t="s">
        <v>74</v>
      </c>
      <c r="E233" s="5">
        <v>-27945</v>
      </c>
      <c r="F233" s="3" t="s">
        <v>628</v>
      </c>
      <c r="G233" s="3" t="s">
        <v>27</v>
      </c>
      <c r="H233" s="2" t="s">
        <v>21</v>
      </c>
      <c r="I233" s="2" t="s">
        <v>629</v>
      </c>
      <c r="J233" s="3" t="str">
        <f>HYPERLINK("https://www.boe.es/gazeta/dias/1823/06/27/pdfs/GES-1823-77.pdf#page=2","Abrir facsímil")</f>
        <v>Abrir facsímil</v>
      </c>
      <c r="K233" s="3" t="s">
        <v>23</v>
      </c>
    </row>
    <row r="234" spans="1:11" ht="42" customHeight="1">
      <c r="A234" s="2" t="s">
        <v>630</v>
      </c>
      <c r="B234" s="2" t="s">
        <v>630</v>
      </c>
      <c r="C234" s="2" t="s">
        <v>109</v>
      </c>
      <c r="D234" s="2" t="s">
        <v>74</v>
      </c>
      <c r="E234" s="5">
        <v>-27908</v>
      </c>
      <c r="F234" s="3" t="s">
        <v>80</v>
      </c>
      <c r="G234" s="3" t="s">
        <v>27</v>
      </c>
      <c r="H234" s="2" t="s">
        <v>21</v>
      </c>
      <c r="I234" s="2" t="s">
        <v>631</v>
      </c>
      <c r="J234" s="3" t="str">
        <f>HYPERLINK("https://www.boe.es/gazeta/dias/1823/08/03/pdfs/GES-1823-115.pdf#page=2","Abrir facsímil")</f>
        <v>Abrir facsímil</v>
      </c>
      <c r="K234" s="3" t="s">
        <v>23</v>
      </c>
    </row>
    <row r="235" spans="1:11" ht="42" customHeight="1">
      <c r="A235" s="2" t="s">
        <v>632</v>
      </c>
      <c r="B235" s="2" t="s">
        <v>633</v>
      </c>
      <c r="C235" s="2" t="s">
        <v>17</v>
      </c>
      <c r="D235" s="2" t="s">
        <v>18</v>
      </c>
      <c r="E235" s="5">
        <v>-27934</v>
      </c>
      <c r="F235" s="3" t="s">
        <v>634</v>
      </c>
      <c r="G235" s="3" t="s">
        <v>20</v>
      </c>
      <c r="H235" s="2" t="s">
        <v>21</v>
      </c>
      <c r="I235" s="2" t="s">
        <v>635</v>
      </c>
      <c r="J235" s="3" t="str">
        <f>HYPERLINK("https://www.boe.es/gazeta/dias/1823/07/08/pdfs/GMD-1823-353.pdf#page=4","Abrir facsímil")</f>
        <v>Abrir facsímil</v>
      </c>
      <c r="K235" s="3" t="s">
        <v>23</v>
      </c>
    </row>
    <row r="236" spans="1:11" ht="42" customHeight="1">
      <c r="A236" s="2" t="s">
        <v>636</v>
      </c>
      <c r="B236" s="2" t="s">
        <v>637</v>
      </c>
      <c r="C236" s="2" t="s">
        <v>56</v>
      </c>
      <c r="D236" s="2" t="s">
        <v>57</v>
      </c>
      <c r="E236" s="5">
        <v>-27879</v>
      </c>
      <c r="F236" s="3" t="s">
        <v>638</v>
      </c>
      <c r="G236" s="3" t="s">
        <v>20</v>
      </c>
      <c r="H236" s="2" t="s">
        <v>21</v>
      </c>
      <c r="I236" s="2" t="s">
        <v>639</v>
      </c>
      <c r="J236" s="3" t="str">
        <f>HYPERLINK("https://www.boe.es/gazeta/dias/1823/09/01/pdfs/GES-1823-145.pdf#page=4","Abrir facsímil")</f>
        <v>Abrir facsímil</v>
      </c>
      <c r="K236" s="3" t="s">
        <v>23</v>
      </c>
    </row>
    <row r="237" spans="1:11" ht="42" customHeight="1">
      <c r="A237" s="2" t="s">
        <v>640</v>
      </c>
      <c r="B237" s="2" t="s">
        <v>641</v>
      </c>
      <c r="C237" s="2" t="s">
        <v>17</v>
      </c>
      <c r="D237" s="2" t="s">
        <v>18</v>
      </c>
      <c r="E237" s="5">
        <v>-27879</v>
      </c>
      <c r="F237" s="3" t="s">
        <v>638</v>
      </c>
      <c r="G237" s="3" t="s">
        <v>20</v>
      </c>
      <c r="H237" s="2" t="s">
        <v>21</v>
      </c>
      <c r="I237" s="2" t="s">
        <v>642</v>
      </c>
      <c r="J237" s="3" t="str">
        <f>HYPERLINK("https://www.boe.es/gazeta/dias/1823/09/01/pdfs/GES-1823-145.pdf#page=4","Abrir facsímil")</f>
        <v>Abrir facsímil</v>
      </c>
      <c r="K237" s="3" t="s">
        <v>23</v>
      </c>
    </row>
    <row r="238" spans="1:11" ht="42" customHeight="1">
      <c r="A238" s="2" t="s">
        <v>643</v>
      </c>
      <c r="B238" s="2" t="s">
        <v>644</v>
      </c>
      <c r="C238" s="2" t="s">
        <v>17</v>
      </c>
      <c r="D238" s="2" t="s">
        <v>18</v>
      </c>
      <c r="E238" s="5">
        <v>-28004</v>
      </c>
      <c r="F238" s="3" t="s">
        <v>313</v>
      </c>
      <c r="G238" s="3" t="s">
        <v>20</v>
      </c>
      <c r="H238" s="2" t="s">
        <v>21</v>
      </c>
      <c r="I238" s="2" t="s">
        <v>645</v>
      </c>
      <c r="J238" s="3" t="str">
        <f>HYPERLINK("https://www.boe.es/gazeta/dias/1823/04/29/pdfs/GMD-1823-72.pdf#page=4","Abrir facsímil")</f>
        <v>Abrir facsímil</v>
      </c>
      <c r="K238" s="3" t="s">
        <v>23</v>
      </c>
    </row>
    <row r="239" spans="1:11" ht="42" customHeight="1">
      <c r="A239" s="2" t="s">
        <v>646</v>
      </c>
      <c r="B239" s="2" t="s">
        <v>647</v>
      </c>
      <c r="C239" s="2" t="s">
        <v>56</v>
      </c>
      <c r="D239" s="2" t="s">
        <v>57</v>
      </c>
      <c r="E239" s="5">
        <v>-28008</v>
      </c>
      <c r="F239" s="3" t="s">
        <v>309</v>
      </c>
      <c r="G239" s="3" t="s">
        <v>20</v>
      </c>
      <c r="H239" s="2" t="s">
        <v>21</v>
      </c>
      <c r="I239" s="2" t="s">
        <v>648</v>
      </c>
      <c r="J239" s="3" t="str">
        <f>HYPERLINK("https://www.boe.es/gazeta/dias/1823/04/25/pdfs/GES-1823-15.pdf#page=4","Abrir facsímil")</f>
        <v>Abrir facsímil</v>
      </c>
      <c r="K239" s="3" t="s">
        <v>23</v>
      </c>
    </row>
    <row r="240" spans="1:11" ht="42" customHeight="1">
      <c r="A240" s="2" t="s">
        <v>649</v>
      </c>
      <c r="B240" s="2" t="s">
        <v>650</v>
      </c>
      <c r="C240" s="2" t="s">
        <v>17</v>
      </c>
      <c r="D240" s="2" t="s">
        <v>18</v>
      </c>
      <c r="E240" s="5">
        <v>-27863</v>
      </c>
      <c r="F240" s="3" t="s">
        <v>651</v>
      </c>
      <c r="G240" s="3" t="s">
        <v>27</v>
      </c>
      <c r="H240" s="2" t="s">
        <v>28</v>
      </c>
      <c r="I240" s="2" t="s">
        <v>652</v>
      </c>
      <c r="J240" s="3" t="str">
        <f>HYPERLINK("https://www.boe.es/gazeta/dias/1823/09/17/pdfs/GES-1823-161.pdf#page=2","Abrir facsímil")</f>
        <v>Abrir facsímil</v>
      </c>
      <c r="K240" s="3" t="s">
        <v>30</v>
      </c>
    </row>
    <row r="241" spans="1:11" ht="42" customHeight="1">
      <c r="A241" s="2" t="s">
        <v>653</v>
      </c>
      <c r="B241" s="2" t="s">
        <v>654</v>
      </c>
      <c r="C241" s="2" t="s">
        <v>109</v>
      </c>
      <c r="D241" s="2" t="s">
        <v>74</v>
      </c>
      <c r="E241" s="5">
        <v>-27962</v>
      </c>
      <c r="F241" s="3" t="s">
        <v>594</v>
      </c>
      <c r="G241" s="3" t="s">
        <v>39</v>
      </c>
      <c r="H241" s="2" t="s">
        <v>21</v>
      </c>
      <c r="I241" s="2" t="s">
        <v>655</v>
      </c>
      <c r="J241" s="3" t="str">
        <f>HYPERLINK("https://www.boe.es/gazeta/dias/1823/06/10/pdfs/GES-1823-64.pdf#page=1","Abrir facsímil")</f>
        <v>Abrir facsímil</v>
      </c>
      <c r="K241" s="3" t="s">
        <v>23</v>
      </c>
    </row>
    <row r="242" spans="1:11" ht="42" customHeight="1">
      <c r="A242" s="2" t="s">
        <v>656</v>
      </c>
      <c r="B242" s="2" t="s">
        <v>657</v>
      </c>
      <c r="C242" s="2" t="s">
        <v>79</v>
      </c>
      <c r="D242" s="2" t="s">
        <v>74</v>
      </c>
      <c r="E242" s="5">
        <v>-27944</v>
      </c>
      <c r="F242" s="3" t="s">
        <v>658</v>
      </c>
      <c r="G242" s="3" t="s">
        <v>48</v>
      </c>
      <c r="H242" s="2" t="s">
        <v>21</v>
      </c>
      <c r="I242" s="2" t="s">
        <v>659</v>
      </c>
      <c r="J242" s="3" t="str">
        <f>HYPERLINK("https://www.boe.es/gazeta/dias/1823/06/28/pdfs/GMD-1823-303.pdf#page=3","Abrir facsímil")</f>
        <v>Abrir facsímil</v>
      </c>
      <c r="K242" s="3" t="s">
        <v>23</v>
      </c>
    </row>
    <row r="243" spans="1:11" ht="42" customHeight="1">
      <c r="A243" s="2" t="s">
        <v>660</v>
      </c>
      <c r="B243" s="2" t="s">
        <v>661</v>
      </c>
      <c r="C243" s="2" t="s">
        <v>17</v>
      </c>
      <c r="D243" s="2" t="s">
        <v>18</v>
      </c>
      <c r="E243" s="5">
        <v>-28055</v>
      </c>
      <c r="F243" s="3" t="s">
        <v>313</v>
      </c>
      <c r="G243" s="3" t="s">
        <v>20</v>
      </c>
      <c r="H243" s="2" t="s">
        <v>21</v>
      </c>
      <c r="I243" s="2" t="s">
        <v>662</v>
      </c>
      <c r="J243" s="3" t="str">
        <f>HYPERLINK("https://www.boe.es/gazeta/dias/1823/03/09/pdfs/GMD-1823-72.pdf#page=4","Abrir facsímil")</f>
        <v>Abrir facsímil</v>
      </c>
      <c r="K243" s="3" t="s">
        <v>23</v>
      </c>
    </row>
    <row r="244" spans="1:11" ht="42" customHeight="1">
      <c r="A244" s="2" t="s">
        <v>663</v>
      </c>
      <c r="B244" s="2" t="s">
        <v>664</v>
      </c>
      <c r="C244" s="2" t="s">
        <v>17</v>
      </c>
      <c r="D244" s="2" t="s">
        <v>18</v>
      </c>
      <c r="E244" s="5">
        <v>-27879</v>
      </c>
      <c r="F244" s="3" t="s">
        <v>638</v>
      </c>
      <c r="G244" s="3" t="s">
        <v>20</v>
      </c>
      <c r="H244" s="2" t="s">
        <v>21</v>
      </c>
      <c r="I244" s="2" t="s">
        <v>665</v>
      </c>
      <c r="J244" s="3" t="str">
        <f>HYPERLINK("https://www.boe.es/gazeta/dias/1823/09/01/pdfs/GES-1823-145.pdf#page=4","Abrir facsímil")</f>
        <v>Abrir facsímil</v>
      </c>
      <c r="K244" s="3" t="s">
        <v>23</v>
      </c>
    </row>
    <row r="245" spans="1:11" ht="42" customHeight="1">
      <c r="A245" s="2" t="s">
        <v>666</v>
      </c>
      <c r="B245" s="2" t="s">
        <v>667</v>
      </c>
      <c r="C245" s="2" t="s">
        <v>84</v>
      </c>
      <c r="D245" s="2" t="s">
        <v>74</v>
      </c>
      <c r="E245" s="5">
        <v>-28032</v>
      </c>
      <c r="F245" s="3" t="s">
        <v>668</v>
      </c>
      <c r="G245" s="3" t="s">
        <v>20</v>
      </c>
      <c r="H245" s="2" t="s">
        <v>21</v>
      </c>
      <c r="I245" s="2" t="s">
        <v>669</v>
      </c>
      <c r="J245" s="3" t="str">
        <f>HYPERLINK("https://www.boe.es/gazeta/dias/1823/04/01/pdfs/GMD-1823-95.pdf#page=4","Abrir facsímil")</f>
        <v>Abrir facsímil</v>
      </c>
      <c r="K245" s="3" t="s">
        <v>23</v>
      </c>
    </row>
    <row r="246" spans="1:11" ht="42" customHeight="1">
      <c r="A246" s="2" t="s">
        <v>670</v>
      </c>
      <c r="B246" s="2" t="s">
        <v>671</v>
      </c>
      <c r="C246" s="2" t="s">
        <v>79</v>
      </c>
      <c r="D246" s="2" t="s">
        <v>74</v>
      </c>
      <c r="E246" s="5">
        <v>-28004</v>
      </c>
      <c r="F246" s="3" t="s">
        <v>313</v>
      </c>
      <c r="G246" s="3" t="s">
        <v>27</v>
      </c>
      <c r="H246" s="2" t="s">
        <v>21</v>
      </c>
      <c r="I246" s="2" t="s">
        <v>672</v>
      </c>
      <c r="J246" s="3" t="str">
        <f>HYPERLINK("https://www.boe.es/gazeta/dias/1823/04/29/pdfs/GMD-1823-72.pdf#page=2","Abrir facsímil")</f>
        <v>Abrir facsímil</v>
      </c>
      <c r="K246" s="3" t="s">
        <v>23</v>
      </c>
    </row>
    <row r="247" spans="1:11" ht="42" customHeight="1">
      <c r="A247" s="2" t="s">
        <v>673</v>
      </c>
      <c r="B247" s="2" t="s">
        <v>674</v>
      </c>
      <c r="C247" s="2" t="s">
        <v>109</v>
      </c>
      <c r="D247" s="2" t="s">
        <v>74</v>
      </c>
      <c r="E247" s="5">
        <v>-27966</v>
      </c>
      <c r="F247" s="3" t="s">
        <v>675</v>
      </c>
      <c r="G247" s="3" t="s">
        <v>39</v>
      </c>
      <c r="H247" s="2" t="s">
        <v>21</v>
      </c>
      <c r="I247" s="2" t="s">
        <v>676</v>
      </c>
      <c r="J247" s="3" t="str">
        <f>HYPERLINK("https://www.boe.es/gazeta/dias/1823/06/06/pdfs/GES-1823-60.pdf#page=1","Abrir facsímil")</f>
        <v>Abrir facsímil</v>
      </c>
      <c r="K247" s="3" t="s">
        <v>23</v>
      </c>
    </row>
    <row r="248" spans="1:11" ht="42" customHeight="1">
      <c r="A248" s="2" t="s">
        <v>677</v>
      </c>
      <c r="B248" s="2" t="s">
        <v>678</v>
      </c>
      <c r="C248" s="2" t="s">
        <v>17</v>
      </c>
      <c r="D248" s="2" t="s">
        <v>18</v>
      </c>
      <c r="E248" s="5">
        <v>-27855</v>
      </c>
      <c r="F248" s="3" t="s">
        <v>679</v>
      </c>
      <c r="G248" s="3" t="s">
        <v>27</v>
      </c>
      <c r="H248" s="2" t="s">
        <v>28</v>
      </c>
      <c r="I248" s="2" t="s">
        <v>680</v>
      </c>
      <c r="J248" s="3" t="str">
        <f>HYPERLINK("https://www.boe.es/gazeta/dias/1823/09/25/pdfs/GES-1823-169.pdf#page=2","Abrir facsímil")</f>
        <v>Abrir facsímil</v>
      </c>
      <c r="K248" s="3" t="s">
        <v>30</v>
      </c>
    </row>
    <row r="249" spans="1:11" ht="42" customHeight="1">
      <c r="A249" s="2" t="s">
        <v>681</v>
      </c>
      <c r="B249" s="2" t="s">
        <v>681</v>
      </c>
      <c r="C249" s="2" t="s">
        <v>17</v>
      </c>
      <c r="D249" s="2" t="s">
        <v>18</v>
      </c>
      <c r="E249" s="5">
        <v>-27960</v>
      </c>
      <c r="F249" s="3" t="s">
        <v>682</v>
      </c>
      <c r="G249" s="3" t="s">
        <v>34</v>
      </c>
      <c r="H249" s="2" t="s">
        <v>21</v>
      </c>
      <c r="I249" s="2" t="s">
        <v>683</v>
      </c>
      <c r="J249" s="3" t="str">
        <f>HYPERLINK("https://www.boe.es/gazeta/dias/1823/06/12/pdfs/GMD-1823-123.pdf#page=5","Abrir facsímil")</f>
        <v>Abrir facsímil</v>
      </c>
      <c r="K249" s="3" t="s">
        <v>23</v>
      </c>
    </row>
    <row r="250" spans="1:11" ht="42" customHeight="1">
      <c r="A250" s="2" t="s">
        <v>684</v>
      </c>
      <c r="B250" s="2" t="s">
        <v>685</v>
      </c>
      <c r="C250" s="2" t="s">
        <v>17</v>
      </c>
      <c r="D250" s="2" t="s">
        <v>18</v>
      </c>
      <c r="E250" s="5">
        <v>-28065</v>
      </c>
      <c r="F250" s="3" t="s">
        <v>686</v>
      </c>
      <c r="G250" s="3" t="s">
        <v>20</v>
      </c>
      <c r="H250" s="2" t="s">
        <v>21</v>
      </c>
      <c r="I250" s="2" t="s">
        <v>687</v>
      </c>
      <c r="J250" s="3" t="str">
        <f>HYPERLINK("https://www.boe.es/gazeta/dias/1823/02/27/pdfs/GMD-1823-61.pdf#page=4","Abrir facsímil")</f>
        <v>Abrir facsímil</v>
      </c>
      <c r="K250" s="3" t="s">
        <v>23</v>
      </c>
    </row>
    <row r="251" spans="1:11" ht="42" customHeight="1">
      <c r="A251" s="2" t="s">
        <v>688</v>
      </c>
      <c r="B251" s="2" t="s">
        <v>689</v>
      </c>
      <c r="C251" s="2" t="s">
        <v>17</v>
      </c>
      <c r="D251" s="2" t="s">
        <v>18</v>
      </c>
      <c r="E251" s="5">
        <v>-27918</v>
      </c>
      <c r="F251" s="3" t="s">
        <v>218</v>
      </c>
      <c r="G251" s="3" t="s">
        <v>48</v>
      </c>
      <c r="H251" s="2" t="s">
        <v>21</v>
      </c>
      <c r="I251" s="2" t="s">
        <v>690</v>
      </c>
      <c r="J251" s="3" t="str">
        <f>HYPERLINK("https://www.boe.es/gazeta/dias/1823/07/24/pdfs/GMD-1823-463.pdf#page=3","Abrir facsímil")</f>
        <v>Abrir facsímil</v>
      </c>
      <c r="K251" s="3" t="s">
        <v>23</v>
      </c>
    </row>
    <row r="252" spans="1:11" ht="42" customHeight="1">
      <c r="A252" s="2" t="s">
        <v>691</v>
      </c>
      <c r="B252" s="2" t="s">
        <v>691</v>
      </c>
      <c r="C252" s="2" t="s">
        <v>79</v>
      </c>
      <c r="D252" s="2" t="s">
        <v>74</v>
      </c>
      <c r="E252" s="5">
        <v>-27988</v>
      </c>
      <c r="F252" s="3" t="s">
        <v>692</v>
      </c>
      <c r="G252" s="3" t="s">
        <v>48</v>
      </c>
      <c r="H252" s="2" t="s">
        <v>21</v>
      </c>
      <c r="I252" s="2" t="s">
        <v>693</v>
      </c>
      <c r="J252" s="3" t="str">
        <f>HYPERLINK("https://www.boe.es/gazeta/dias/1823/05/15/pdfs/GES-1823-35.pdf#page=3","Abrir facsímil")</f>
        <v>Abrir facsímil</v>
      </c>
      <c r="K252" s="3" t="s">
        <v>23</v>
      </c>
    </row>
    <row r="253" spans="1:11" ht="42" customHeight="1">
      <c r="A253" s="2" t="s">
        <v>694</v>
      </c>
      <c r="B253" s="2" t="s">
        <v>694</v>
      </c>
      <c r="C253" s="2" t="s">
        <v>79</v>
      </c>
      <c r="D253" s="2" t="s">
        <v>74</v>
      </c>
      <c r="E253" s="5">
        <v>-27996</v>
      </c>
      <c r="F253" s="3" t="s">
        <v>695</v>
      </c>
      <c r="G253" s="3" t="s">
        <v>27</v>
      </c>
      <c r="H253" s="2" t="s">
        <v>21</v>
      </c>
      <c r="I253" s="2" t="s">
        <v>696</v>
      </c>
      <c r="J253" s="3" t="str">
        <f>HYPERLINK("https://www.boe.es/gazeta/dias/1823/05/07/pdfs/GES-1823-27.pdf#page=2","Abrir facsímil")</f>
        <v>Abrir facsímil</v>
      </c>
      <c r="K253" s="3" t="s">
        <v>23</v>
      </c>
    </row>
    <row r="254" spans="1:11" ht="42" customHeight="1">
      <c r="A254" s="2" t="s">
        <v>697</v>
      </c>
      <c r="B254" s="2" t="s">
        <v>698</v>
      </c>
      <c r="C254" s="2" t="s">
        <v>17</v>
      </c>
      <c r="D254" s="2" t="s">
        <v>18</v>
      </c>
      <c r="E254" s="5">
        <v>-27964</v>
      </c>
      <c r="F254" s="3" t="s">
        <v>58</v>
      </c>
      <c r="G254" s="3" t="s">
        <v>34</v>
      </c>
      <c r="H254" s="2" t="s">
        <v>21</v>
      </c>
      <c r="I254" s="2" t="s">
        <v>699</v>
      </c>
      <c r="J254" s="3" t="str">
        <f>HYPERLINK("https://www.boe.es/gazeta/dias/1823/06/08/pdfs/GES-1823-62.pdf#page=5","Abrir facsímil")</f>
        <v>Abrir facsímil</v>
      </c>
      <c r="K254" s="3" t="s">
        <v>23</v>
      </c>
    </row>
    <row r="255" spans="1:11" ht="42" customHeight="1">
      <c r="A255" s="2" t="s">
        <v>700</v>
      </c>
      <c r="B255" s="2" t="s">
        <v>700</v>
      </c>
      <c r="C255" s="2" t="s">
        <v>84</v>
      </c>
      <c r="D255" s="2" t="s">
        <v>74</v>
      </c>
      <c r="E255" s="5">
        <v>-27941</v>
      </c>
      <c r="F255" s="3" t="s">
        <v>527</v>
      </c>
      <c r="G255" s="3" t="s">
        <v>27</v>
      </c>
      <c r="H255" s="2" t="s">
        <v>21</v>
      </c>
      <c r="I255" s="2" t="s">
        <v>701</v>
      </c>
      <c r="J255" s="3" t="str">
        <f>HYPERLINK("https://www.boe.es/gazeta/dias/1823/07/01/pdfs/GES-1823-81.pdf#page=2","Abrir facsímil")</f>
        <v>Abrir facsímil</v>
      </c>
      <c r="K255" s="3" t="s">
        <v>23</v>
      </c>
    </row>
    <row r="256" spans="1:11" ht="42" customHeight="1">
      <c r="A256" s="2" t="s">
        <v>700</v>
      </c>
      <c r="B256" s="2" t="s">
        <v>700</v>
      </c>
      <c r="C256" s="2" t="s">
        <v>56</v>
      </c>
      <c r="D256" s="2" t="s">
        <v>57</v>
      </c>
      <c r="E256" s="5">
        <v>-27917</v>
      </c>
      <c r="F256" s="3" t="s">
        <v>363</v>
      </c>
      <c r="G256" s="3" t="s">
        <v>48</v>
      </c>
      <c r="H256" s="2" t="s">
        <v>21</v>
      </c>
      <c r="I256" s="2" t="s">
        <v>702</v>
      </c>
      <c r="J256" s="3" t="str">
        <f>HYPERLINK("https://www.boe.es/gazeta/dias/1823/07/25/pdfs/GES-1823-106.pdf#page=3","Abrir facsímil")</f>
        <v>Abrir facsímil</v>
      </c>
      <c r="K256" s="3" t="s">
        <v>23</v>
      </c>
    </row>
    <row r="257" spans="1:11" ht="42" customHeight="1">
      <c r="A257" s="2" t="s">
        <v>703</v>
      </c>
      <c r="B257" s="2" t="s">
        <v>703</v>
      </c>
      <c r="C257" s="2" t="s">
        <v>17</v>
      </c>
      <c r="D257" s="2" t="s">
        <v>18</v>
      </c>
      <c r="E257" s="5">
        <v>-28061</v>
      </c>
      <c r="F257" s="3" t="s">
        <v>704</v>
      </c>
      <c r="G257" s="3" t="s">
        <v>48</v>
      </c>
      <c r="H257" s="2" t="s">
        <v>21</v>
      </c>
      <c r="I257" s="2" t="s">
        <v>705</v>
      </c>
      <c r="J257" s="3" t="str">
        <f>HYPERLINK("https://www.boe.es/gazeta/dias/1823/03/03/pdfs/GMD-1823-66.pdf#page=3","Abrir facsímil")</f>
        <v>Abrir facsímil</v>
      </c>
      <c r="K257" s="3" t="s">
        <v>23</v>
      </c>
    </row>
    <row r="258" spans="1:11" ht="42" customHeight="1">
      <c r="A258" s="2" t="s">
        <v>703</v>
      </c>
      <c r="B258" s="2" t="s">
        <v>703</v>
      </c>
      <c r="C258" s="2" t="s">
        <v>79</v>
      </c>
      <c r="D258" s="2" t="s">
        <v>74</v>
      </c>
      <c r="E258" s="5">
        <v>-27941</v>
      </c>
      <c r="F258" s="3" t="s">
        <v>527</v>
      </c>
      <c r="G258" s="3" t="s">
        <v>27</v>
      </c>
      <c r="H258" s="2" t="s">
        <v>21</v>
      </c>
      <c r="I258" s="2" t="s">
        <v>706</v>
      </c>
      <c r="J258" s="3" t="str">
        <f>HYPERLINK("https://www.boe.es/gazeta/dias/1823/07/01/pdfs/GES-1823-81.pdf#page=2","Abrir facsímil")</f>
        <v>Abrir facsímil</v>
      </c>
      <c r="K258" s="3" t="s">
        <v>23</v>
      </c>
    </row>
    <row r="259" spans="1:11" ht="42" customHeight="1">
      <c r="A259" s="2" t="s">
        <v>703</v>
      </c>
      <c r="B259" s="2" t="s">
        <v>703</v>
      </c>
      <c r="C259" s="2" t="s">
        <v>56</v>
      </c>
      <c r="D259" s="2" t="s">
        <v>57</v>
      </c>
      <c r="E259" s="5">
        <v>-27932</v>
      </c>
      <c r="F259" s="3" t="s">
        <v>707</v>
      </c>
      <c r="G259" s="3" t="s">
        <v>39</v>
      </c>
      <c r="H259" s="2" t="s">
        <v>21</v>
      </c>
      <c r="I259" s="2" t="s">
        <v>708</v>
      </c>
      <c r="J259" s="3" t="str">
        <f>HYPERLINK("https://www.boe.es/gazeta/dias/1823/07/10/pdfs/GES-1823-90.pdf#page=1","Abrir facsímil")</f>
        <v>Abrir facsímil</v>
      </c>
      <c r="K259" s="3" t="s">
        <v>23</v>
      </c>
    </row>
    <row r="260" spans="1:11" ht="42" customHeight="1">
      <c r="A260" s="2" t="s">
        <v>709</v>
      </c>
      <c r="B260" s="2" t="s">
        <v>710</v>
      </c>
      <c r="C260" s="2" t="s">
        <v>293</v>
      </c>
      <c r="D260" s="2" t="s">
        <v>74</v>
      </c>
      <c r="E260" s="5">
        <v>-28106</v>
      </c>
      <c r="F260" s="3" t="s">
        <v>280</v>
      </c>
      <c r="G260" s="3" t="s">
        <v>20</v>
      </c>
      <c r="H260" s="2" t="s">
        <v>21</v>
      </c>
      <c r="I260" s="2" t="s">
        <v>711</v>
      </c>
      <c r="J260" s="3" t="str">
        <f>HYPERLINK("https://www.boe.es/gazeta/dias/1823/01/17/pdfs/GMD-1823-17.pdf#page=4","Abrir facsímil")</f>
        <v>Abrir facsímil</v>
      </c>
      <c r="K260" s="3" t="s">
        <v>23</v>
      </c>
    </row>
    <row r="261" spans="1:11" ht="42" customHeight="1">
      <c r="A261" s="2" t="s">
        <v>712</v>
      </c>
      <c r="B261" s="2" t="s">
        <v>713</v>
      </c>
      <c r="C261" s="2" t="s">
        <v>73</v>
      </c>
      <c r="D261" s="2" t="s">
        <v>74</v>
      </c>
      <c r="E261" s="5">
        <v>-27994</v>
      </c>
      <c r="F261" s="3" t="s">
        <v>714</v>
      </c>
      <c r="G261" s="3" t="s">
        <v>715</v>
      </c>
      <c r="H261" s="2" t="s">
        <v>21</v>
      </c>
      <c r="I261" s="2" t="s">
        <v>716</v>
      </c>
      <c r="J261" s="3" t="str">
        <f>HYPERLINK("https://www.boe.es/gazeta/dias/1823/05/09/pdfs/GES-1823-29.pdf#page=8","Abrir facsímil")</f>
        <v>Abrir facsímil</v>
      </c>
      <c r="K261" s="3" t="s">
        <v>23</v>
      </c>
    </row>
    <row r="262" spans="1:11" ht="42" customHeight="1">
      <c r="A262" s="2" t="s">
        <v>717</v>
      </c>
      <c r="B262" s="2" t="s">
        <v>718</v>
      </c>
      <c r="C262" s="2" t="s">
        <v>84</v>
      </c>
      <c r="D262" s="2" t="s">
        <v>74</v>
      </c>
      <c r="E262" s="5">
        <v>-28114</v>
      </c>
      <c r="F262" s="3" t="s">
        <v>153</v>
      </c>
      <c r="G262" s="3" t="s">
        <v>59</v>
      </c>
      <c r="H262" s="2" t="s">
        <v>21</v>
      </c>
      <c r="I262" s="2" t="s">
        <v>719</v>
      </c>
      <c r="J262" s="3" t="str">
        <f>HYPERLINK("https://www.boe.es/gazeta/dias/1823/01/09/pdfs/GMD-1823-9.pdf#page=6","Abrir facsímil")</f>
        <v>Abrir facsímil</v>
      </c>
      <c r="K262" s="3" t="s">
        <v>23</v>
      </c>
    </row>
    <row r="263" spans="1:11" ht="42" customHeight="1">
      <c r="A263" s="2" t="s">
        <v>720</v>
      </c>
      <c r="B263" s="2" t="s">
        <v>720</v>
      </c>
      <c r="C263" s="2" t="s">
        <v>56</v>
      </c>
      <c r="D263" s="2" t="s">
        <v>57</v>
      </c>
      <c r="E263" s="5">
        <v>-27841</v>
      </c>
      <c r="F263" s="3" t="s">
        <v>721</v>
      </c>
      <c r="G263" s="3" t="s">
        <v>20</v>
      </c>
      <c r="H263" s="2" t="s">
        <v>21</v>
      </c>
      <c r="I263" s="2" t="s">
        <v>722</v>
      </c>
      <c r="J263" s="3" t="str">
        <f>HYPERLINK("https://www.boe.es/gazeta/dias/1823/10/09/pdfs/GMD-1823-953.pdf#page=4","Abrir facsímil")</f>
        <v>Abrir facsímil</v>
      </c>
      <c r="K263" s="3" t="s">
        <v>23</v>
      </c>
    </row>
    <row r="264" spans="1:11" ht="42" customHeight="1">
      <c r="A264" s="2" t="s">
        <v>723</v>
      </c>
      <c r="B264" s="2" t="s">
        <v>724</v>
      </c>
      <c r="C264" s="2" t="s">
        <v>17</v>
      </c>
      <c r="D264" s="2" t="s">
        <v>18</v>
      </c>
      <c r="E264" s="5">
        <v>-27881</v>
      </c>
      <c r="F264" s="3" t="s">
        <v>725</v>
      </c>
      <c r="G264" s="3" t="s">
        <v>39</v>
      </c>
      <c r="H264" s="2" t="s">
        <v>21</v>
      </c>
      <c r="I264" s="2" t="s">
        <v>726</v>
      </c>
      <c r="J264" s="3" t="str">
        <f>HYPERLINK("https://www.boe.es/gazeta/dias/1823/08/30/pdfs/GMD-1823-673.pdf#page=1","Abrir facsímil")</f>
        <v>Abrir facsímil</v>
      </c>
      <c r="K264" s="3" t="s">
        <v>23</v>
      </c>
    </row>
    <row r="265" spans="1:11" ht="42" customHeight="1">
      <c r="A265" s="2" t="s">
        <v>727</v>
      </c>
      <c r="B265" s="2" t="s">
        <v>727</v>
      </c>
      <c r="C265" s="2" t="s">
        <v>17</v>
      </c>
      <c r="D265" s="2" t="s">
        <v>18</v>
      </c>
      <c r="E265" s="5">
        <v>-28008</v>
      </c>
      <c r="F265" s="3" t="s">
        <v>309</v>
      </c>
      <c r="G265" s="3" t="s">
        <v>27</v>
      </c>
      <c r="H265" s="2" t="s">
        <v>21</v>
      </c>
      <c r="I265" s="2" t="s">
        <v>728</v>
      </c>
      <c r="J265" s="3" t="str">
        <f>HYPERLINK("https://www.boe.es/gazeta/dias/1823/04/25/pdfs/GES-1823-15.pdf#page=2","Abrir facsímil")</f>
        <v>Abrir facsímil</v>
      </c>
      <c r="K265" s="3" t="s">
        <v>23</v>
      </c>
    </row>
    <row r="266" spans="1:11" ht="42" customHeight="1">
      <c r="A266" s="2" t="s">
        <v>729</v>
      </c>
      <c r="B266" s="2" t="s">
        <v>729</v>
      </c>
      <c r="C266" s="2" t="s">
        <v>73</v>
      </c>
      <c r="D266" s="2" t="s">
        <v>74</v>
      </c>
      <c r="E266" s="5">
        <v>-27937</v>
      </c>
      <c r="F266" s="3" t="s">
        <v>730</v>
      </c>
      <c r="G266" s="3" t="s">
        <v>39</v>
      </c>
      <c r="H266" s="2" t="s">
        <v>21</v>
      </c>
      <c r="I266" s="2" t="s">
        <v>731</v>
      </c>
      <c r="J266" s="3" t="str">
        <f>HYPERLINK("https://www.boe.es/gazeta/dias/1823/07/05/pdfs/GES-1823-85.pdf#page=1","Abrir facsímil")</f>
        <v>Abrir facsímil</v>
      </c>
      <c r="K266" s="3" t="s">
        <v>23</v>
      </c>
    </row>
    <row r="267" spans="1:11" ht="42" customHeight="1">
      <c r="A267" s="2" t="s">
        <v>732</v>
      </c>
      <c r="B267" s="2" t="s">
        <v>733</v>
      </c>
      <c r="C267" s="2" t="s">
        <v>17</v>
      </c>
      <c r="D267" s="2" t="s">
        <v>18</v>
      </c>
      <c r="E267" s="5">
        <v>-27895</v>
      </c>
      <c r="F267" s="3" t="s">
        <v>734</v>
      </c>
      <c r="G267" s="3" t="s">
        <v>39</v>
      </c>
      <c r="H267" s="2" t="s">
        <v>21</v>
      </c>
      <c r="I267" s="2" t="s">
        <v>735</v>
      </c>
      <c r="J267" s="3" t="str">
        <f>HYPERLINK("https://www.boe.es/gazeta/dias/1823/08/16/pdfs/GES-1823-129.pdf#page=1","Abrir facsímil")</f>
        <v>Abrir facsímil</v>
      </c>
      <c r="K267" s="3" t="s">
        <v>23</v>
      </c>
    </row>
    <row r="268" spans="1:11" ht="42" customHeight="1">
      <c r="A268" s="2" t="s">
        <v>736</v>
      </c>
      <c r="B268" s="2" t="s">
        <v>736</v>
      </c>
      <c r="C268" s="2" t="s">
        <v>17</v>
      </c>
      <c r="D268" s="2" t="s">
        <v>18</v>
      </c>
      <c r="E268" s="5">
        <v>-28100</v>
      </c>
      <c r="F268" s="3" t="s">
        <v>737</v>
      </c>
      <c r="G268" s="3" t="s">
        <v>48</v>
      </c>
      <c r="H268" s="2" t="s">
        <v>21</v>
      </c>
      <c r="I268" s="2" t="s">
        <v>738</v>
      </c>
      <c r="J268" s="3" t="str">
        <f>HYPERLINK("https://www.boe.es/gazeta/dias/1823/01/23/pdfs/GMD-1823-24.pdf#page=3","Abrir facsímil")</f>
        <v>Abrir facsímil</v>
      </c>
      <c r="K268" s="3" t="s">
        <v>23</v>
      </c>
    </row>
    <row r="269" spans="1:11" ht="42" customHeight="1">
      <c r="A269" s="2" t="s">
        <v>736</v>
      </c>
      <c r="B269" s="2" t="s">
        <v>736</v>
      </c>
      <c r="C269" s="2" t="s">
        <v>17</v>
      </c>
      <c r="D269" s="2" t="s">
        <v>18</v>
      </c>
      <c r="E269" s="5">
        <v>-28056</v>
      </c>
      <c r="F269" s="3" t="s">
        <v>572</v>
      </c>
      <c r="G269" s="3" t="s">
        <v>34</v>
      </c>
      <c r="H269" s="2" t="s">
        <v>21</v>
      </c>
      <c r="I269" s="2" t="s">
        <v>739</v>
      </c>
      <c r="J269" s="3" t="str">
        <f>HYPERLINK("https://www.boe.es/gazeta/dias/1823/03/08/pdfs/GMD-1823-71.pdf#page=5","Abrir facsímil")</f>
        <v>Abrir facsímil</v>
      </c>
      <c r="K269" s="3" t="s">
        <v>23</v>
      </c>
    </row>
    <row r="270" spans="1:11" ht="42" customHeight="1">
      <c r="A270" s="2" t="s">
        <v>736</v>
      </c>
      <c r="B270" s="2" t="s">
        <v>736</v>
      </c>
      <c r="C270" s="2" t="s">
        <v>17</v>
      </c>
      <c r="D270" s="2" t="s">
        <v>18</v>
      </c>
      <c r="E270" s="5">
        <v>-28045</v>
      </c>
      <c r="F270" s="3" t="s">
        <v>245</v>
      </c>
      <c r="G270" s="3" t="s">
        <v>27</v>
      </c>
      <c r="H270" s="2" t="s">
        <v>21</v>
      </c>
      <c r="I270" s="2" t="s">
        <v>740</v>
      </c>
      <c r="J270" s="3" t="str">
        <f>HYPERLINK("https://www.boe.es/gazeta/dias/1823/03/19/pdfs/GMD-1823-82.pdf#page=2","Abrir facsímil")</f>
        <v>Abrir facsímil</v>
      </c>
      <c r="K270" s="3" t="s">
        <v>23</v>
      </c>
    </row>
    <row r="271" spans="1:11" ht="42" customHeight="1">
      <c r="A271" s="2" t="s">
        <v>736</v>
      </c>
      <c r="B271" s="2" t="s">
        <v>736</v>
      </c>
      <c r="C271" s="2" t="s">
        <v>73</v>
      </c>
      <c r="D271" s="2" t="s">
        <v>74</v>
      </c>
      <c r="E271" s="5">
        <v>-27960</v>
      </c>
      <c r="F271" s="3" t="s">
        <v>741</v>
      </c>
      <c r="G271" s="3" t="s">
        <v>27</v>
      </c>
      <c r="H271" s="2" t="s">
        <v>21</v>
      </c>
      <c r="I271" s="2" t="s">
        <v>742</v>
      </c>
      <c r="J271" s="3" t="str">
        <f>HYPERLINK("https://www.boe.es/gazeta/dias/1823/06/12/pdfs/GES-1823-66.pdf#page=2","Abrir facsímil")</f>
        <v>Abrir facsímil</v>
      </c>
      <c r="K271" s="3" t="s">
        <v>23</v>
      </c>
    </row>
    <row r="272" spans="1:11" ht="42" customHeight="1">
      <c r="A272" s="2" t="s">
        <v>736</v>
      </c>
      <c r="B272" s="2" t="s">
        <v>736</v>
      </c>
      <c r="C272" s="2" t="s">
        <v>79</v>
      </c>
      <c r="D272" s="2" t="s">
        <v>74</v>
      </c>
      <c r="E272" s="5">
        <v>-27951</v>
      </c>
      <c r="F272" s="3" t="s">
        <v>548</v>
      </c>
      <c r="G272" s="3" t="s">
        <v>20</v>
      </c>
      <c r="H272" s="2" t="s">
        <v>21</v>
      </c>
      <c r="I272" s="2" t="s">
        <v>743</v>
      </c>
      <c r="J272" s="3" t="str">
        <f>HYPERLINK("https://www.boe.es/gazeta/dias/1823/06/21/pdfs/GES-1823-69.pdf#page=4","Abrir facsímil")</f>
        <v>Abrir facsímil</v>
      </c>
      <c r="K272" s="3" t="s">
        <v>23</v>
      </c>
    </row>
    <row r="273" spans="1:11" ht="42" customHeight="1">
      <c r="A273" s="2" t="s">
        <v>736</v>
      </c>
      <c r="B273" s="2" t="s">
        <v>736</v>
      </c>
      <c r="C273" s="2" t="s">
        <v>17</v>
      </c>
      <c r="D273" s="2" t="s">
        <v>18</v>
      </c>
      <c r="E273" s="5">
        <v>-27860</v>
      </c>
      <c r="F273" s="3" t="s">
        <v>744</v>
      </c>
      <c r="G273" s="3" t="s">
        <v>745</v>
      </c>
      <c r="H273" s="2" t="s">
        <v>21</v>
      </c>
      <c r="I273" s="2" t="s">
        <v>746</v>
      </c>
      <c r="J273" s="3" t="str">
        <f>HYPERLINK("https://www.boe.es/gazeta/dias/1823/09/20/pdfs/GES-1823-164.pdf#page=2","Abrir facsímil")</f>
        <v>Abrir facsímil</v>
      </c>
      <c r="K273" s="3" t="s">
        <v>23</v>
      </c>
    </row>
    <row r="274" spans="1:11" ht="42" customHeight="1">
      <c r="A274" s="2" t="s">
        <v>736</v>
      </c>
      <c r="B274" s="2" t="s">
        <v>736</v>
      </c>
      <c r="C274" s="2" t="s">
        <v>17</v>
      </c>
      <c r="D274" s="2" t="s">
        <v>18</v>
      </c>
      <c r="E274" s="5">
        <v>-27794</v>
      </c>
      <c r="F274" s="3" t="s">
        <v>747</v>
      </c>
      <c r="G274" s="3" t="s">
        <v>27</v>
      </c>
      <c r="H274" s="2" t="s">
        <v>21</v>
      </c>
      <c r="I274" s="2" t="s">
        <v>748</v>
      </c>
      <c r="J274" s="3" t="str">
        <f>HYPERLINK("https://www.boe.es/gazeta/dias/1823/11/25/pdfs/GMD-1823-1163.pdf#page=2","Abrir facsímil")</f>
        <v>Abrir facsímil</v>
      </c>
      <c r="K274" s="3" t="s">
        <v>23</v>
      </c>
    </row>
    <row r="275" spans="1:11" ht="42" customHeight="1">
      <c r="A275" s="2" t="s">
        <v>749</v>
      </c>
      <c r="B275" s="2" t="s">
        <v>750</v>
      </c>
      <c r="C275" s="2" t="s">
        <v>17</v>
      </c>
      <c r="D275" s="2" t="s">
        <v>18</v>
      </c>
      <c r="E275" s="5">
        <v>-28023</v>
      </c>
      <c r="F275" s="3" t="s">
        <v>384</v>
      </c>
      <c r="G275" s="3" t="s">
        <v>20</v>
      </c>
      <c r="H275" s="2" t="s">
        <v>21</v>
      </c>
      <c r="I275" s="2" t="s">
        <v>751</v>
      </c>
      <c r="J275" s="3" t="str">
        <f>HYPERLINK("https://www.boe.es/gazeta/dias/1823/04/10/pdfs/GMD-1823-105.pdf#page=4","Abrir facsímil")</f>
        <v>Abrir facsímil</v>
      </c>
      <c r="K275" s="3" t="s">
        <v>23</v>
      </c>
    </row>
    <row r="276" spans="1:11" ht="42" customHeight="1">
      <c r="A276" s="2" t="s">
        <v>752</v>
      </c>
      <c r="B276" s="2" t="s">
        <v>753</v>
      </c>
      <c r="C276" s="2" t="s">
        <v>17</v>
      </c>
      <c r="D276" s="2" t="s">
        <v>18</v>
      </c>
      <c r="E276" s="5">
        <v>-27921</v>
      </c>
      <c r="F276" s="3" t="s">
        <v>356</v>
      </c>
      <c r="G276" s="3" t="s">
        <v>20</v>
      </c>
      <c r="H276" s="2" t="s">
        <v>21</v>
      </c>
      <c r="I276" s="2" t="s">
        <v>754</v>
      </c>
      <c r="J276" s="3" t="str">
        <f>HYPERLINK("https://www.boe.es/gazeta/dias/1823/07/21/pdfs/GES-1823-102.pdf#page=4","Abrir facsímil")</f>
        <v>Abrir facsímil</v>
      </c>
      <c r="K276" s="3" t="s">
        <v>23</v>
      </c>
    </row>
    <row r="277" spans="1:11" ht="42" customHeight="1">
      <c r="A277" s="2" t="s">
        <v>752</v>
      </c>
      <c r="B277" s="2" t="s">
        <v>753</v>
      </c>
      <c r="C277" s="2" t="s">
        <v>17</v>
      </c>
      <c r="D277" s="2" t="s">
        <v>18</v>
      </c>
      <c r="E277" s="5">
        <v>-27873</v>
      </c>
      <c r="F277" s="3" t="s">
        <v>160</v>
      </c>
      <c r="G277" s="3" t="s">
        <v>48</v>
      </c>
      <c r="H277" s="2" t="s">
        <v>21</v>
      </c>
      <c r="I277" s="2" t="s">
        <v>755</v>
      </c>
      <c r="J277" s="3" t="str">
        <f>HYPERLINK("https://www.boe.es/gazeta/dias/1823/09/07/pdfs/GES-1823-151.pdf#page=3","Abrir facsímil")</f>
        <v>Abrir facsímil</v>
      </c>
      <c r="K277" s="3" t="s">
        <v>23</v>
      </c>
    </row>
    <row r="278" spans="1:11" ht="42" customHeight="1">
      <c r="A278" s="2" t="s">
        <v>756</v>
      </c>
      <c r="B278" s="2" t="s">
        <v>757</v>
      </c>
      <c r="C278" s="2" t="s">
        <v>17</v>
      </c>
      <c r="D278" s="2" t="s">
        <v>18</v>
      </c>
      <c r="E278" s="5">
        <v>-27973</v>
      </c>
      <c r="F278" s="3" t="s">
        <v>758</v>
      </c>
      <c r="G278" s="3" t="s">
        <v>48</v>
      </c>
      <c r="H278" s="2" t="s">
        <v>21</v>
      </c>
      <c r="I278" s="2" t="s">
        <v>759</v>
      </c>
      <c r="J278" s="3" t="str">
        <f>HYPERLINK("https://www.boe.es/gazeta/dias/1823/05/30/pdfs/GES-1823-53.pdf#page=3","Abrir facsímil")</f>
        <v>Abrir facsímil</v>
      </c>
      <c r="K278" s="3" t="s">
        <v>23</v>
      </c>
    </row>
    <row r="279" spans="1:11" ht="42" customHeight="1">
      <c r="A279" s="2" t="s">
        <v>760</v>
      </c>
      <c r="B279" s="2" t="s">
        <v>760</v>
      </c>
      <c r="C279" s="2" t="s">
        <v>79</v>
      </c>
      <c r="D279" s="2" t="s">
        <v>74</v>
      </c>
      <c r="E279" s="5">
        <v>-27912</v>
      </c>
      <c r="F279" s="3" t="s">
        <v>365</v>
      </c>
      <c r="G279" s="3" t="s">
        <v>27</v>
      </c>
      <c r="H279" s="2" t="s">
        <v>21</v>
      </c>
      <c r="I279" s="2" t="s">
        <v>761</v>
      </c>
      <c r="J279" s="3" t="str">
        <f>HYPERLINK("https://www.boe.es/gazeta/dias/1823/07/30/pdfs/GES-1823-111.pdf#page=2","Abrir facsímil")</f>
        <v>Abrir facsímil</v>
      </c>
      <c r="K279" s="3" t="s">
        <v>23</v>
      </c>
    </row>
    <row r="280" spans="1:11" ht="42" customHeight="1">
      <c r="A280" s="2" t="s">
        <v>762</v>
      </c>
      <c r="B280" s="2" t="s">
        <v>763</v>
      </c>
      <c r="C280" s="2" t="s">
        <v>56</v>
      </c>
      <c r="D280" s="2" t="s">
        <v>57</v>
      </c>
      <c r="E280" s="5">
        <v>-28043</v>
      </c>
      <c r="F280" s="3" t="s">
        <v>69</v>
      </c>
      <c r="G280" s="3" t="s">
        <v>59</v>
      </c>
      <c r="H280" s="2" t="s">
        <v>21</v>
      </c>
      <c r="I280" s="2" t="s">
        <v>764</v>
      </c>
      <c r="J280" s="3" t="str">
        <f>HYPERLINK("https://www.boe.es/gazeta/dias/1823/03/21/pdfs/GMD-1823-84.pdf#page=6","Abrir facsímil")</f>
        <v>Abrir facsímil</v>
      </c>
      <c r="K280" s="3" t="s">
        <v>23</v>
      </c>
    </row>
    <row r="281" spans="1:11" ht="42" customHeight="1">
      <c r="A281" s="2" t="s">
        <v>765</v>
      </c>
      <c r="B281" s="2" t="s">
        <v>765</v>
      </c>
      <c r="C281" s="2" t="s">
        <v>79</v>
      </c>
      <c r="D281" s="2" t="s">
        <v>74</v>
      </c>
      <c r="E281" s="5">
        <v>-28079</v>
      </c>
      <c r="F281" s="3" t="s">
        <v>178</v>
      </c>
      <c r="G281" s="3" t="s">
        <v>39</v>
      </c>
      <c r="H281" s="2" t="s">
        <v>21</v>
      </c>
      <c r="I281" s="2" t="s">
        <v>766</v>
      </c>
      <c r="J281" s="3" t="str">
        <f>HYPERLINK("https://www.boe.es/gazeta/dias/1823/02/13/pdfs/GMD-1823-47.pdf#page=1","Abrir facsímil")</f>
        <v>Abrir facsímil</v>
      </c>
      <c r="K281" s="3" t="s">
        <v>23</v>
      </c>
    </row>
    <row r="282" spans="1:11" ht="42" customHeight="1">
      <c r="A282" s="2" t="s">
        <v>765</v>
      </c>
      <c r="B282" s="2" t="s">
        <v>765</v>
      </c>
      <c r="C282" s="2" t="s">
        <v>17</v>
      </c>
      <c r="D282" s="2" t="s">
        <v>18</v>
      </c>
      <c r="E282" s="5">
        <v>-28008</v>
      </c>
      <c r="F282" s="3" t="s">
        <v>309</v>
      </c>
      <c r="G282" s="3" t="s">
        <v>27</v>
      </c>
      <c r="H282" s="2" t="s">
        <v>21</v>
      </c>
      <c r="I282" s="2" t="s">
        <v>767</v>
      </c>
      <c r="J282" s="3" t="str">
        <f>HYPERLINK("https://www.boe.es/gazeta/dias/1823/04/25/pdfs/GES-1823-15.pdf#page=2","Abrir facsímil")</f>
        <v>Abrir facsímil</v>
      </c>
      <c r="K282" s="3" t="s">
        <v>23</v>
      </c>
    </row>
    <row r="283" spans="1:11" ht="42" customHeight="1">
      <c r="A283" s="2" t="s">
        <v>765</v>
      </c>
      <c r="B283" s="2" t="s">
        <v>765</v>
      </c>
      <c r="C283" s="2" t="s">
        <v>17</v>
      </c>
      <c r="D283" s="2" t="s">
        <v>18</v>
      </c>
      <c r="E283" s="5">
        <v>-28001</v>
      </c>
      <c r="F283" s="3" t="s">
        <v>768</v>
      </c>
      <c r="G283" s="3" t="s">
        <v>34</v>
      </c>
      <c r="H283" s="2" t="s">
        <v>21</v>
      </c>
      <c r="I283" s="2" t="s">
        <v>769</v>
      </c>
      <c r="J283" s="3" t="str">
        <f>HYPERLINK("https://www.boe.es/gazeta/dias/1823/05/02/pdfs/GES-1823-22.pdf#page=5","Abrir facsímil")</f>
        <v>Abrir facsímil</v>
      </c>
      <c r="K283" s="3" t="s">
        <v>23</v>
      </c>
    </row>
    <row r="284" spans="1:11" ht="42" customHeight="1">
      <c r="A284" s="2" t="s">
        <v>765</v>
      </c>
      <c r="B284" s="2" t="s">
        <v>765</v>
      </c>
      <c r="C284" s="2" t="s">
        <v>17</v>
      </c>
      <c r="D284" s="2" t="s">
        <v>18</v>
      </c>
      <c r="E284" s="5">
        <v>-27986</v>
      </c>
      <c r="F284" s="3" t="s">
        <v>75</v>
      </c>
      <c r="G284" s="3" t="s">
        <v>39</v>
      </c>
      <c r="H284" s="2" t="s">
        <v>21</v>
      </c>
      <c r="I284" s="2" t="s">
        <v>770</v>
      </c>
      <c r="J284" s="3" t="str">
        <f>HYPERLINK("https://www.boe.es/gazeta/dias/1823/05/17/pdfs/GES-1823-37.pdf#page=1","Abrir facsímil")</f>
        <v>Abrir facsímil</v>
      </c>
      <c r="K284" s="3" t="s">
        <v>23</v>
      </c>
    </row>
    <row r="285" spans="1:11" ht="42" customHeight="1">
      <c r="A285" s="2" t="s">
        <v>765</v>
      </c>
      <c r="B285" s="2" t="s">
        <v>765</v>
      </c>
      <c r="C285" s="2" t="s">
        <v>17</v>
      </c>
      <c r="D285" s="2" t="s">
        <v>18</v>
      </c>
      <c r="E285" s="5">
        <v>-27960</v>
      </c>
      <c r="F285" s="3" t="s">
        <v>741</v>
      </c>
      <c r="G285" s="3" t="s">
        <v>27</v>
      </c>
      <c r="H285" s="2" t="s">
        <v>21</v>
      </c>
      <c r="I285" s="2" t="s">
        <v>771</v>
      </c>
      <c r="J285" s="3" t="str">
        <f>HYPERLINK("https://www.boe.es/gazeta/dias/1823/06/12/pdfs/GES-1823-66.pdf#page=2","Abrir facsímil")</f>
        <v>Abrir facsímil</v>
      </c>
      <c r="K285" s="3" t="s">
        <v>23</v>
      </c>
    </row>
    <row r="286" spans="1:11" ht="42" customHeight="1">
      <c r="A286" s="2" t="s">
        <v>765</v>
      </c>
      <c r="B286" s="2" t="s">
        <v>765</v>
      </c>
      <c r="C286" s="2" t="s">
        <v>56</v>
      </c>
      <c r="D286" s="2" t="s">
        <v>57</v>
      </c>
      <c r="E286" s="5">
        <v>-27916</v>
      </c>
      <c r="F286" s="3" t="s">
        <v>772</v>
      </c>
      <c r="G286" s="3" t="s">
        <v>27</v>
      </c>
      <c r="H286" s="2" t="s">
        <v>21</v>
      </c>
      <c r="I286" s="2" t="s">
        <v>773</v>
      </c>
      <c r="J286" s="3" t="str">
        <f>HYPERLINK("https://www.boe.es/gazeta/dias/1823/07/26/pdfs/GES-1823-107.pdf#page=2","Abrir facsímil")</f>
        <v>Abrir facsímil</v>
      </c>
      <c r="K286" s="3" t="s">
        <v>23</v>
      </c>
    </row>
    <row r="287" spans="1:11" ht="42" customHeight="1">
      <c r="A287" s="2" t="s">
        <v>765</v>
      </c>
      <c r="B287" s="2" t="s">
        <v>765</v>
      </c>
      <c r="C287" s="2" t="s">
        <v>56</v>
      </c>
      <c r="D287" s="2" t="s">
        <v>57</v>
      </c>
      <c r="E287" s="5">
        <v>-27915</v>
      </c>
      <c r="F287" s="3" t="s">
        <v>524</v>
      </c>
      <c r="G287" s="3" t="s">
        <v>39</v>
      </c>
      <c r="H287" s="2" t="s">
        <v>21</v>
      </c>
      <c r="I287" s="2" t="s">
        <v>774</v>
      </c>
      <c r="J287" s="3" t="str">
        <f>HYPERLINK("https://www.boe.es/gazeta/dias/1823/07/27/pdfs/GES-1823-108.pdf#page=1","Abrir facsímil")</f>
        <v>Abrir facsímil</v>
      </c>
      <c r="K287" s="3" t="s">
        <v>23</v>
      </c>
    </row>
    <row r="288" spans="1:11" ht="42" customHeight="1">
      <c r="A288" s="2" t="s">
        <v>765</v>
      </c>
      <c r="B288" s="2" t="s">
        <v>765</v>
      </c>
      <c r="C288" s="2" t="s">
        <v>79</v>
      </c>
      <c r="D288" s="2" t="s">
        <v>74</v>
      </c>
      <c r="E288" s="5">
        <v>-27915</v>
      </c>
      <c r="F288" s="3" t="s">
        <v>524</v>
      </c>
      <c r="G288" s="3" t="s">
        <v>27</v>
      </c>
      <c r="H288" s="2" t="s">
        <v>21</v>
      </c>
      <c r="I288" s="2" t="s">
        <v>775</v>
      </c>
      <c r="J288" s="3" t="str">
        <f>HYPERLINK("https://www.boe.es/gazeta/dias/1823/07/27/pdfs/GES-1823-108.pdf#page=2","Abrir facsímil")</f>
        <v>Abrir facsímil</v>
      </c>
      <c r="K288" s="3" t="s">
        <v>23</v>
      </c>
    </row>
    <row r="289" spans="1:11" ht="42" customHeight="1">
      <c r="A289" s="2" t="s">
        <v>765</v>
      </c>
      <c r="B289" s="2" t="s">
        <v>765</v>
      </c>
      <c r="C289" s="2" t="s">
        <v>109</v>
      </c>
      <c r="D289" s="2" t="s">
        <v>74</v>
      </c>
      <c r="E289" s="5">
        <v>-27914</v>
      </c>
      <c r="F289" s="3" t="s">
        <v>776</v>
      </c>
      <c r="G289" s="3" t="s">
        <v>27</v>
      </c>
      <c r="H289" s="2" t="s">
        <v>21</v>
      </c>
      <c r="I289" s="2" t="s">
        <v>777</v>
      </c>
      <c r="J289" s="3" t="str">
        <f>HYPERLINK("https://www.boe.es/gazeta/dias/1823/07/28/pdfs/GES-1823-109.pdf#page=2","Abrir facsímil")</f>
        <v>Abrir facsímil</v>
      </c>
      <c r="K289" s="3" t="s">
        <v>23</v>
      </c>
    </row>
    <row r="290" spans="1:11" ht="42" customHeight="1">
      <c r="A290" s="2" t="s">
        <v>765</v>
      </c>
      <c r="B290" s="2" t="s">
        <v>765</v>
      </c>
      <c r="C290" s="2" t="s">
        <v>56</v>
      </c>
      <c r="D290" s="2" t="s">
        <v>57</v>
      </c>
      <c r="E290" s="5">
        <v>-27912</v>
      </c>
      <c r="F290" s="3" t="s">
        <v>365</v>
      </c>
      <c r="G290" s="3" t="s">
        <v>27</v>
      </c>
      <c r="H290" s="2" t="s">
        <v>21</v>
      </c>
      <c r="I290" s="2" t="s">
        <v>778</v>
      </c>
      <c r="J290" s="3" t="str">
        <f>HYPERLINK("https://www.boe.es/gazeta/dias/1823/07/30/pdfs/GES-1823-111.pdf#page=2","Abrir facsímil")</f>
        <v>Abrir facsímil</v>
      </c>
      <c r="K290" s="3" t="s">
        <v>23</v>
      </c>
    </row>
    <row r="291" spans="1:11" ht="42" customHeight="1">
      <c r="A291" s="2" t="s">
        <v>765</v>
      </c>
      <c r="B291" s="2" t="s">
        <v>765</v>
      </c>
      <c r="C291" s="2" t="s">
        <v>109</v>
      </c>
      <c r="D291" s="2" t="s">
        <v>74</v>
      </c>
      <c r="E291" s="5">
        <v>-27912</v>
      </c>
      <c r="F291" s="3" t="s">
        <v>365</v>
      </c>
      <c r="G291" s="3" t="s">
        <v>48</v>
      </c>
      <c r="H291" s="2" t="s">
        <v>21</v>
      </c>
      <c r="I291" s="2" t="s">
        <v>779</v>
      </c>
      <c r="J291" s="3" t="str">
        <f>HYPERLINK("https://www.boe.es/gazeta/dias/1823/07/30/pdfs/GES-1823-111.pdf#page=3","Abrir facsímil")</f>
        <v>Abrir facsímil</v>
      </c>
      <c r="K291" s="3" t="s">
        <v>23</v>
      </c>
    </row>
    <row r="292" spans="1:11" ht="42" customHeight="1">
      <c r="A292" s="2" t="s">
        <v>765</v>
      </c>
      <c r="B292" s="2" t="s">
        <v>765</v>
      </c>
      <c r="C292" s="2" t="s">
        <v>109</v>
      </c>
      <c r="D292" s="2" t="s">
        <v>74</v>
      </c>
      <c r="E292" s="5">
        <v>-27910</v>
      </c>
      <c r="F292" s="3" t="s">
        <v>38</v>
      </c>
      <c r="G292" s="3" t="s">
        <v>48</v>
      </c>
      <c r="H292" s="2" t="s">
        <v>21</v>
      </c>
      <c r="I292" s="2" t="s">
        <v>780</v>
      </c>
      <c r="J292" s="3" t="str">
        <f>HYPERLINK("https://www.boe.es/gazeta/dias/1823/08/01/pdfs/GES-1823-113.pdf#page=3","Abrir facsímil")</f>
        <v>Abrir facsímil</v>
      </c>
      <c r="K292" s="3" t="s">
        <v>23</v>
      </c>
    </row>
    <row r="293" spans="1:11" ht="42" customHeight="1">
      <c r="A293" s="2" t="s">
        <v>765</v>
      </c>
      <c r="B293" s="2" t="s">
        <v>765</v>
      </c>
      <c r="C293" s="2" t="s">
        <v>109</v>
      </c>
      <c r="D293" s="2" t="s">
        <v>74</v>
      </c>
      <c r="E293" s="5">
        <v>-27872</v>
      </c>
      <c r="F293" s="3" t="s">
        <v>374</v>
      </c>
      <c r="G293" s="3" t="s">
        <v>48</v>
      </c>
      <c r="H293" s="2" t="s">
        <v>21</v>
      </c>
      <c r="I293" s="2" t="s">
        <v>781</v>
      </c>
      <c r="J293" s="3" t="str">
        <f>HYPERLINK("https://www.boe.es/gazeta/dias/1823/09/08/pdfs/GES-1823-152.pdf#page=3","Abrir facsímil")</f>
        <v>Abrir facsímil</v>
      </c>
      <c r="K293" s="3" t="s">
        <v>23</v>
      </c>
    </row>
    <row r="294" spans="1:11" ht="42" customHeight="1">
      <c r="A294" s="2" t="s">
        <v>765</v>
      </c>
      <c r="B294" s="2" t="s">
        <v>765</v>
      </c>
      <c r="C294" s="2" t="s">
        <v>79</v>
      </c>
      <c r="D294" s="2" t="s">
        <v>74</v>
      </c>
      <c r="E294" s="5">
        <v>-27871</v>
      </c>
      <c r="F294" s="3" t="s">
        <v>782</v>
      </c>
      <c r="G294" s="3" t="s">
        <v>48</v>
      </c>
      <c r="H294" s="2" t="s">
        <v>21</v>
      </c>
      <c r="I294" s="2" t="s">
        <v>783</v>
      </c>
      <c r="J294" s="3" t="str">
        <f>HYPERLINK("https://www.boe.es/gazeta/dias/1823/09/09/pdfs/GES-1823-153.pdf#page=3","Abrir facsímil")</f>
        <v>Abrir facsímil</v>
      </c>
      <c r="K294" s="3" t="s">
        <v>23</v>
      </c>
    </row>
    <row r="295" spans="1:11" ht="42" customHeight="1">
      <c r="A295" s="2" t="s">
        <v>784</v>
      </c>
      <c r="B295" s="2" t="s">
        <v>785</v>
      </c>
      <c r="C295" s="2" t="s">
        <v>17</v>
      </c>
      <c r="D295" s="2" t="s">
        <v>18</v>
      </c>
      <c r="E295" s="5">
        <v>-27932</v>
      </c>
      <c r="F295" s="3" t="s">
        <v>786</v>
      </c>
      <c r="G295" s="3" t="s">
        <v>48</v>
      </c>
      <c r="H295" s="2" t="s">
        <v>21</v>
      </c>
      <c r="I295" s="2" t="s">
        <v>787</v>
      </c>
      <c r="J295" s="3" t="str">
        <f>HYPERLINK("https://www.boe.es/gazeta/dias/1823/07/10/pdfs/GMD-1823-363.pdf#page=3","Abrir facsímil")</f>
        <v>Abrir facsímil</v>
      </c>
      <c r="K295" s="3" t="s">
        <v>23</v>
      </c>
    </row>
    <row r="296" spans="1:11" ht="42" customHeight="1">
      <c r="A296" s="2" t="s">
        <v>788</v>
      </c>
      <c r="B296" s="2" t="s">
        <v>789</v>
      </c>
      <c r="C296" s="2" t="s">
        <v>293</v>
      </c>
      <c r="D296" s="2" t="s">
        <v>74</v>
      </c>
      <c r="E296" s="5">
        <v>-27843</v>
      </c>
      <c r="F296" s="3" t="s">
        <v>790</v>
      </c>
      <c r="G296" s="3" t="s">
        <v>20</v>
      </c>
      <c r="H296" s="2" t="s">
        <v>21</v>
      </c>
      <c r="I296" s="2" t="s">
        <v>791</v>
      </c>
      <c r="J296" s="3" t="str">
        <f>HYPERLINK("https://www.boe.es/gazeta/dias/1823/10/07/pdfs/GMD-1823-933.pdf#page=4","Abrir facsímil")</f>
        <v>Abrir facsímil</v>
      </c>
      <c r="K296" s="3" t="s">
        <v>23</v>
      </c>
    </row>
    <row r="297" spans="1:11" ht="42" customHeight="1">
      <c r="A297" s="2" t="s">
        <v>792</v>
      </c>
      <c r="B297" s="2" t="s">
        <v>793</v>
      </c>
      <c r="C297" s="2" t="s">
        <v>56</v>
      </c>
      <c r="D297" s="2" t="s">
        <v>57</v>
      </c>
      <c r="E297" s="5">
        <v>-27964</v>
      </c>
      <c r="F297" s="3" t="s">
        <v>58</v>
      </c>
      <c r="G297" s="3" t="s">
        <v>48</v>
      </c>
      <c r="H297" s="2" t="s">
        <v>21</v>
      </c>
      <c r="I297" s="2" t="s">
        <v>794</v>
      </c>
      <c r="J297" s="3" t="str">
        <f>HYPERLINK("https://www.boe.es/gazeta/dias/1823/06/08/pdfs/GES-1823-62.pdf#page=3","Abrir facsímil")</f>
        <v>Abrir facsímil</v>
      </c>
      <c r="K297" s="3" t="s">
        <v>23</v>
      </c>
    </row>
    <row r="298" spans="1:11" ht="42" customHeight="1">
      <c r="A298" s="2" t="s">
        <v>795</v>
      </c>
      <c r="B298" s="2" t="s">
        <v>796</v>
      </c>
      <c r="C298" s="2" t="s">
        <v>17</v>
      </c>
      <c r="D298" s="2" t="s">
        <v>18</v>
      </c>
      <c r="E298" s="5">
        <v>-28056</v>
      </c>
      <c r="F298" s="3" t="s">
        <v>572</v>
      </c>
      <c r="G298" s="3" t="s">
        <v>27</v>
      </c>
      <c r="H298" s="2" t="s">
        <v>21</v>
      </c>
      <c r="I298" s="2" t="s">
        <v>797</v>
      </c>
      <c r="J298" s="3" t="str">
        <f>HYPERLINK("https://www.boe.es/gazeta/dias/1823/03/08/pdfs/GMD-1823-71.pdf#page=2","Abrir facsímil")</f>
        <v>Abrir facsímil</v>
      </c>
      <c r="K298" s="3" t="s">
        <v>23</v>
      </c>
    </row>
    <row r="299" spans="1:11" ht="42" customHeight="1">
      <c r="A299" s="2" t="s">
        <v>798</v>
      </c>
      <c r="B299" s="2" t="s">
        <v>799</v>
      </c>
      <c r="C299" s="2" t="s">
        <v>56</v>
      </c>
      <c r="D299" s="2" t="s">
        <v>57</v>
      </c>
      <c r="E299" s="5">
        <v>-27801</v>
      </c>
      <c r="F299" s="3" t="s">
        <v>800</v>
      </c>
      <c r="G299" s="3" t="s">
        <v>20</v>
      </c>
      <c r="H299" s="2" t="s">
        <v>21</v>
      </c>
      <c r="I299" s="2" t="s">
        <v>801</v>
      </c>
      <c r="J299" s="3" t="str">
        <f>HYPERLINK("https://www.boe.es/gazeta/dias/1823/11/18/pdfs/GMD-1823-1133.pdf#page=4","Abrir facsímil")</f>
        <v>Abrir facsímil</v>
      </c>
      <c r="K299" s="3" t="s">
        <v>23</v>
      </c>
    </row>
    <row r="300" spans="1:11" ht="42" customHeight="1">
      <c r="A300" s="2" t="s">
        <v>802</v>
      </c>
      <c r="B300" s="2" t="s">
        <v>803</v>
      </c>
      <c r="C300" s="2" t="s">
        <v>17</v>
      </c>
      <c r="D300" s="2" t="s">
        <v>18</v>
      </c>
      <c r="E300" s="5">
        <v>-28022</v>
      </c>
      <c r="F300" s="3" t="s">
        <v>439</v>
      </c>
      <c r="G300" s="3" t="s">
        <v>20</v>
      </c>
      <c r="H300" s="2" t="s">
        <v>21</v>
      </c>
      <c r="I300" s="2" t="s">
        <v>804</v>
      </c>
      <c r="J300" s="3" t="str">
        <f>HYPERLINK("https://www.boe.es/gazeta/dias/1823/04/11/pdfs/GMD-1823-106.pdf#page=4","Abrir facsímil")</f>
        <v>Abrir facsímil</v>
      </c>
      <c r="K300" s="3" t="s">
        <v>23</v>
      </c>
    </row>
    <row r="301" spans="1:11" ht="42" customHeight="1">
      <c r="A301" s="2" t="s">
        <v>805</v>
      </c>
      <c r="B301" s="2" t="s">
        <v>806</v>
      </c>
      <c r="C301" s="2" t="s">
        <v>17</v>
      </c>
      <c r="D301" s="2" t="s">
        <v>18</v>
      </c>
      <c r="E301" s="5">
        <v>-28025</v>
      </c>
      <c r="F301" s="3" t="s">
        <v>477</v>
      </c>
      <c r="G301" s="3" t="s">
        <v>20</v>
      </c>
      <c r="H301" s="2" t="s">
        <v>21</v>
      </c>
      <c r="I301" s="2" t="s">
        <v>807</v>
      </c>
      <c r="J301" s="3" t="str">
        <f>HYPERLINK("https://www.boe.es/gazeta/dias/1823/04/08/pdfs/GMD-1823-103.pdf#page=4","Abrir facsímil")</f>
        <v>Abrir facsímil</v>
      </c>
      <c r="K301" s="3" t="s">
        <v>23</v>
      </c>
    </row>
    <row r="302" spans="1:11" ht="42" customHeight="1">
      <c r="A302" s="2" t="s">
        <v>805</v>
      </c>
      <c r="B302" s="2" t="s">
        <v>806</v>
      </c>
      <c r="C302" s="2" t="s">
        <v>17</v>
      </c>
      <c r="D302" s="2" t="s">
        <v>18</v>
      </c>
      <c r="E302" s="5">
        <v>-28010</v>
      </c>
      <c r="F302" s="3" t="s">
        <v>808</v>
      </c>
      <c r="G302" s="3" t="s">
        <v>20</v>
      </c>
      <c r="H302" s="2" t="s">
        <v>21</v>
      </c>
      <c r="I302" s="2" t="s">
        <v>809</v>
      </c>
      <c r="J302" s="3" t="str">
        <f>HYPERLINK("https://www.boe.es/gazeta/dias/1823/04/23/pdfs/GES-1823-13.pdf#page=4","Abrir facsímil")</f>
        <v>Abrir facsímil</v>
      </c>
      <c r="K302" s="3" t="s">
        <v>23</v>
      </c>
    </row>
    <row r="303" spans="1:11" ht="42" customHeight="1">
      <c r="A303" s="2" t="s">
        <v>810</v>
      </c>
      <c r="B303" s="2" t="s">
        <v>811</v>
      </c>
      <c r="C303" s="2" t="s">
        <v>17</v>
      </c>
      <c r="D303" s="2" t="s">
        <v>18</v>
      </c>
      <c r="E303" s="5">
        <v>-28020</v>
      </c>
      <c r="F303" s="3" t="s">
        <v>448</v>
      </c>
      <c r="G303" s="3" t="s">
        <v>20</v>
      </c>
      <c r="H303" s="2" t="s">
        <v>21</v>
      </c>
      <c r="I303" s="2" t="s">
        <v>812</v>
      </c>
      <c r="J303" s="3" t="str">
        <f>HYPERLINK("https://www.boe.es/gazeta/dias/1823/04/13/pdfs/GES-1823-3.pdf#page=4","Abrir facsímil")</f>
        <v>Abrir facsímil</v>
      </c>
      <c r="K303" s="3" t="s">
        <v>23</v>
      </c>
    </row>
    <row r="304" spans="1:11" ht="42" customHeight="1">
      <c r="A304" s="2" t="s">
        <v>813</v>
      </c>
      <c r="B304" s="2" t="s">
        <v>814</v>
      </c>
      <c r="C304" s="2" t="s">
        <v>17</v>
      </c>
      <c r="D304" s="2" t="s">
        <v>18</v>
      </c>
      <c r="E304" s="5">
        <v>-27960</v>
      </c>
      <c r="F304" s="3" t="s">
        <v>682</v>
      </c>
      <c r="G304" s="3" t="s">
        <v>815</v>
      </c>
      <c r="H304" s="2" t="s">
        <v>21</v>
      </c>
      <c r="I304" s="2" t="s">
        <v>816</v>
      </c>
      <c r="J304" s="3" t="str">
        <f>HYPERLINK("https://www.boe.es/gazeta/dias/1823/06/12/pdfs/GMD-1823-123.pdf#page=6","Abrir facsímil")</f>
        <v>Abrir facsímil</v>
      </c>
      <c r="K304" s="3" t="s">
        <v>23</v>
      </c>
    </row>
    <row r="305" spans="1:11" ht="42" customHeight="1">
      <c r="A305" s="2" t="s">
        <v>817</v>
      </c>
      <c r="B305" s="2" t="s">
        <v>818</v>
      </c>
      <c r="C305" s="2" t="s">
        <v>79</v>
      </c>
      <c r="D305" s="2" t="s">
        <v>74</v>
      </c>
      <c r="E305" s="5">
        <v>-28020</v>
      </c>
      <c r="F305" s="3" t="s">
        <v>448</v>
      </c>
      <c r="G305" s="3" t="s">
        <v>20</v>
      </c>
      <c r="H305" s="2" t="s">
        <v>21</v>
      </c>
      <c r="I305" s="2" t="s">
        <v>819</v>
      </c>
      <c r="J305" s="3" t="str">
        <f>HYPERLINK("https://www.boe.es/gazeta/dias/1823/04/13/pdfs/GES-1823-3.pdf#page=4","Abrir facsímil")</f>
        <v>Abrir facsímil</v>
      </c>
      <c r="K305" s="3" t="s">
        <v>23</v>
      </c>
    </row>
    <row r="306" spans="1:11" ht="42" customHeight="1">
      <c r="A306" s="2" t="s">
        <v>820</v>
      </c>
      <c r="B306" s="2" t="s">
        <v>820</v>
      </c>
      <c r="C306" s="2" t="s">
        <v>109</v>
      </c>
      <c r="D306" s="2" t="s">
        <v>74</v>
      </c>
      <c r="E306" s="5">
        <v>-27913</v>
      </c>
      <c r="F306" s="3" t="s">
        <v>821</v>
      </c>
      <c r="G306" s="3" t="s">
        <v>39</v>
      </c>
      <c r="H306" s="2" t="s">
        <v>21</v>
      </c>
      <c r="I306" s="2" t="s">
        <v>822</v>
      </c>
      <c r="J306" s="3" t="str">
        <f>HYPERLINK("https://www.boe.es/gazeta/dias/1823/07/29/pdfs/GES-1823-110.pdf#page=1","Abrir facsímil")</f>
        <v>Abrir facsímil</v>
      </c>
      <c r="K306" s="3" t="s">
        <v>23</v>
      </c>
    </row>
    <row r="307" spans="1:11" ht="42" customHeight="1">
      <c r="A307" s="2" t="s">
        <v>823</v>
      </c>
      <c r="B307" s="2" t="s">
        <v>824</v>
      </c>
      <c r="C307" s="2" t="s">
        <v>17</v>
      </c>
      <c r="D307" s="2" t="s">
        <v>18</v>
      </c>
      <c r="E307" s="5">
        <v>-27891</v>
      </c>
      <c r="F307" s="3" t="s">
        <v>825</v>
      </c>
      <c r="G307" s="3" t="s">
        <v>20</v>
      </c>
      <c r="H307" s="2" t="s">
        <v>21</v>
      </c>
      <c r="I307" s="2" t="s">
        <v>826</v>
      </c>
      <c r="J307" s="3" t="str">
        <f>HYPERLINK("https://www.boe.es/gazeta/dias/1823/08/20/pdfs/GES-1823-133.pdf#page=4","Abrir facsímil")</f>
        <v>Abrir facsímil</v>
      </c>
      <c r="K307" s="3" t="s">
        <v>23</v>
      </c>
    </row>
    <row r="308" spans="1:11" ht="42" customHeight="1">
      <c r="A308" s="2" t="s">
        <v>827</v>
      </c>
      <c r="B308" s="2" t="s">
        <v>828</v>
      </c>
      <c r="C308" s="2" t="s">
        <v>17</v>
      </c>
      <c r="D308" s="2" t="s">
        <v>18</v>
      </c>
      <c r="E308" s="5">
        <v>-27913</v>
      </c>
      <c r="F308" s="3" t="s">
        <v>829</v>
      </c>
      <c r="G308" s="3" t="s">
        <v>715</v>
      </c>
      <c r="H308" s="2" t="s">
        <v>21</v>
      </c>
      <c r="I308" s="2" t="s">
        <v>830</v>
      </c>
      <c r="J308" s="3" t="str">
        <f>HYPERLINK("https://www.boe.es/gazeta/dias/1823/07/29/pdfs/GMD-1823-483.pdf#page=8","Abrir facsímil")</f>
        <v>Abrir facsímil</v>
      </c>
      <c r="K308" s="3" t="s">
        <v>23</v>
      </c>
    </row>
    <row r="309" spans="1:11" ht="42" customHeight="1">
      <c r="A309" s="2" t="s">
        <v>831</v>
      </c>
      <c r="B309" s="2" t="s">
        <v>831</v>
      </c>
      <c r="C309" s="2" t="s">
        <v>56</v>
      </c>
      <c r="D309" s="2" t="s">
        <v>57</v>
      </c>
      <c r="E309" s="5">
        <v>-28082</v>
      </c>
      <c r="F309" s="3" t="s">
        <v>468</v>
      </c>
      <c r="G309" s="3" t="s">
        <v>27</v>
      </c>
      <c r="H309" s="2" t="s">
        <v>21</v>
      </c>
      <c r="I309" s="2" t="s">
        <v>832</v>
      </c>
      <c r="J309" s="3" t="str">
        <f>HYPERLINK("https://www.boe.es/gazeta/dias/1823/02/10/pdfs/GMD-1823-44.pdf#page=2","Abrir facsímil")</f>
        <v>Abrir facsímil</v>
      </c>
      <c r="K309" s="3" t="s">
        <v>23</v>
      </c>
    </row>
    <row r="310" spans="1:11" ht="42" customHeight="1">
      <c r="A310" s="2" t="s">
        <v>831</v>
      </c>
      <c r="B310" s="2" t="s">
        <v>831</v>
      </c>
      <c r="C310" s="2" t="s">
        <v>56</v>
      </c>
      <c r="D310" s="2" t="s">
        <v>57</v>
      </c>
      <c r="E310" s="5">
        <v>-27841</v>
      </c>
      <c r="F310" s="3" t="s">
        <v>721</v>
      </c>
      <c r="G310" s="3" t="s">
        <v>20</v>
      </c>
      <c r="H310" s="2" t="s">
        <v>21</v>
      </c>
      <c r="I310" s="2" t="s">
        <v>833</v>
      </c>
      <c r="J310" s="3" t="str">
        <f>HYPERLINK("https://www.boe.es/gazeta/dias/1823/10/09/pdfs/GMD-1823-953.pdf#page=4","Abrir facsímil")</f>
        <v>Abrir facsímil</v>
      </c>
      <c r="K310" s="3" t="s">
        <v>23</v>
      </c>
    </row>
    <row r="311" spans="1:11" ht="42" customHeight="1">
      <c r="A311" s="2" t="s">
        <v>831</v>
      </c>
      <c r="B311" s="2" t="s">
        <v>831</v>
      </c>
      <c r="C311" s="2" t="s">
        <v>17</v>
      </c>
      <c r="D311" s="2" t="s">
        <v>18</v>
      </c>
      <c r="E311" s="5">
        <v>-27811</v>
      </c>
      <c r="F311" s="3" t="s">
        <v>834</v>
      </c>
      <c r="G311" s="3" t="s">
        <v>48</v>
      </c>
      <c r="H311" s="2" t="s">
        <v>21</v>
      </c>
      <c r="I311" s="2" t="s">
        <v>835</v>
      </c>
      <c r="J311" s="3" t="str">
        <f>HYPERLINK("https://www.boe.es/gazeta/dias/1823/11/08/pdfs/GMD-1823-1083.pdf#page=3","Abrir facsímil")</f>
        <v>Abrir facsímil</v>
      </c>
      <c r="K311" s="3" t="s">
        <v>23</v>
      </c>
    </row>
    <row r="312" spans="1:11" ht="42" customHeight="1">
      <c r="A312" s="2" t="s">
        <v>831</v>
      </c>
      <c r="B312" s="2" t="s">
        <v>831</v>
      </c>
      <c r="C312" s="2" t="s">
        <v>17</v>
      </c>
      <c r="D312" s="2" t="s">
        <v>18</v>
      </c>
      <c r="E312" s="5">
        <v>-27804</v>
      </c>
      <c r="F312" s="3" t="s">
        <v>836</v>
      </c>
      <c r="G312" s="3" t="s">
        <v>20</v>
      </c>
      <c r="H312" s="2" t="s">
        <v>21</v>
      </c>
      <c r="I312" s="2" t="s">
        <v>837</v>
      </c>
      <c r="J312" s="3" t="str">
        <f>HYPERLINK("https://www.boe.es/gazeta/dias/1823/11/15/pdfs/GMD-1823-1123.pdf#page=4","Abrir facsímil")</f>
        <v>Abrir facsímil</v>
      </c>
      <c r="K312" s="3" t="s">
        <v>23</v>
      </c>
    </row>
    <row r="313" spans="1:11" ht="42" customHeight="1">
      <c r="A313" s="2" t="s">
        <v>838</v>
      </c>
      <c r="B313" s="2" t="s">
        <v>839</v>
      </c>
      <c r="C313" s="2" t="s">
        <v>17</v>
      </c>
      <c r="D313" s="2" t="s">
        <v>18</v>
      </c>
      <c r="E313" s="5">
        <v>-27901</v>
      </c>
      <c r="F313" s="3" t="s">
        <v>840</v>
      </c>
      <c r="G313" s="3" t="s">
        <v>20</v>
      </c>
      <c r="H313" s="2" t="s">
        <v>21</v>
      </c>
      <c r="I313" s="2" t="s">
        <v>841</v>
      </c>
      <c r="J313" s="3" t="str">
        <f>HYPERLINK("https://www.boe.es/gazeta/dias/1823/08/10/pdfs/GES-1823-123.pdf#page=4","Abrir facsímil")</f>
        <v>Abrir facsímil</v>
      </c>
      <c r="K313" s="3" t="s">
        <v>23</v>
      </c>
    </row>
    <row r="314" spans="1:11" ht="42" customHeight="1">
      <c r="A314" s="2" t="s">
        <v>842</v>
      </c>
      <c r="B314" s="2" t="s">
        <v>843</v>
      </c>
      <c r="C314" s="2" t="s">
        <v>17</v>
      </c>
      <c r="D314" s="2" t="s">
        <v>18</v>
      </c>
      <c r="E314" s="5">
        <v>-27877</v>
      </c>
      <c r="F314" s="3" t="s">
        <v>844</v>
      </c>
      <c r="G314" s="3" t="s">
        <v>20</v>
      </c>
      <c r="H314" s="2" t="s">
        <v>21</v>
      </c>
      <c r="I314" s="2" t="s">
        <v>845</v>
      </c>
      <c r="J314" s="3" t="str">
        <f>HYPERLINK("https://www.boe.es/gazeta/dias/1823/09/03/pdfs/GES-1823-147.pdf#page=4","Abrir facsímil")</f>
        <v>Abrir facsímil</v>
      </c>
      <c r="K314" s="3" t="s">
        <v>23</v>
      </c>
    </row>
    <row r="315" spans="1:11" ht="42" customHeight="1">
      <c r="A315" s="2" t="s">
        <v>846</v>
      </c>
      <c r="B315" s="2" t="s">
        <v>846</v>
      </c>
      <c r="C315" s="2" t="s">
        <v>109</v>
      </c>
      <c r="D315" s="2" t="s">
        <v>74</v>
      </c>
      <c r="E315" s="5">
        <v>-28088</v>
      </c>
      <c r="F315" s="3" t="s">
        <v>542</v>
      </c>
      <c r="G315" s="3" t="s">
        <v>27</v>
      </c>
      <c r="H315" s="2" t="s">
        <v>21</v>
      </c>
      <c r="I315" s="2" t="s">
        <v>847</v>
      </c>
      <c r="J315" s="3" t="str">
        <f>HYPERLINK("https://www.boe.es/gazeta/dias/1823/02/04/pdfs/GMD-1823-37.pdf#page=2","Abrir facsímil")</f>
        <v>Abrir facsímil</v>
      </c>
      <c r="K315" s="3" t="s">
        <v>23</v>
      </c>
    </row>
    <row r="316" spans="1:11" ht="42" customHeight="1">
      <c r="A316" s="2" t="s">
        <v>848</v>
      </c>
      <c r="B316" s="2" t="s">
        <v>849</v>
      </c>
      <c r="C316" s="2" t="s">
        <v>17</v>
      </c>
      <c r="D316" s="2" t="s">
        <v>18</v>
      </c>
      <c r="E316" s="5">
        <v>-27901</v>
      </c>
      <c r="F316" s="3" t="s">
        <v>840</v>
      </c>
      <c r="G316" s="3" t="s">
        <v>20</v>
      </c>
      <c r="H316" s="2" t="s">
        <v>21</v>
      </c>
      <c r="I316" s="2" t="s">
        <v>850</v>
      </c>
      <c r="J316" s="3" t="str">
        <f>HYPERLINK("https://www.boe.es/gazeta/dias/1823/08/10/pdfs/GES-1823-123.pdf#page=4","Abrir facsímil")</f>
        <v>Abrir facsímil</v>
      </c>
      <c r="K316" s="3" t="s">
        <v>23</v>
      </c>
    </row>
    <row r="317" spans="1:11" ht="42" customHeight="1">
      <c r="A317" s="2" t="s">
        <v>848</v>
      </c>
      <c r="B317" s="2" t="s">
        <v>849</v>
      </c>
      <c r="C317" s="2" t="s">
        <v>79</v>
      </c>
      <c r="D317" s="2" t="s">
        <v>74</v>
      </c>
      <c r="E317" s="5">
        <v>-27891</v>
      </c>
      <c r="F317" s="3" t="s">
        <v>825</v>
      </c>
      <c r="G317" s="3" t="s">
        <v>20</v>
      </c>
      <c r="H317" s="2" t="s">
        <v>21</v>
      </c>
      <c r="I317" s="2" t="s">
        <v>851</v>
      </c>
      <c r="J317" s="3" t="str">
        <f>HYPERLINK("https://www.boe.es/gazeta/dias/1823/08/20/pdfs/GES-1823-133.pdf#page=4","Abrir facsímil")</f>
        <v>Abrir facsímil</v>
      </c>
      <c r="K317" s="3" t="s">
        <v>23</v>
      </c>
    </row>
    <row r="318" spans="1:11" ht="42" customHeight="1">
      <c r="A318" s="2" t="s">
        <v>848</v>
      </c>
      <c r="B318" s="2" t="s">
        <v>849</v>
      </c>
      <c r="C318" s="2" t="s">
        <v>79</v>
      </c>
      <c r="D318" s="2" t="s">
        <v>74</v>
      </c>
      <c r="E318" s="5">
        <v>-27879</v>
      </c>
      <c r="F318" s="3" t="s">
        <v>638</v>
      </c>
      <c r="G318" s="3" t="s">
        <v>20</v>
      </c>
      <c r="H318" s="2" t="s">
        <v>21</v>
      </c>
      <c r="I318" s="2" t="s">
        <v>852</v>
      </c>
      <c r="J318" s="3" t="str">
        <f>HYPERLINK("https://www.boe.es/gazeta/dias/1823/09/01/pdfs/GES-1823-145.pdf#page=4","Abrir facsímil")</f>
        <v>Abrir facsímil</v>
      </c>
      <c r="K318" s="3" t="s">
        <v>23</v>
      </c>
    </row>
    <row r="319" spans="1:11" ht="42" customHeight="1">
      <c r="A319" s="2" t="s">
        <v>853</v>
      </c>
      <c r="B319" s="2" t="s">
        <v>854</v>
      </c>
      <c r="C319" s="2" t="s">
        <v>56</v>
      </c>
      <c r="D319" s="2" t="s">
        <v>57</v>
      </c>
      <c r="E319" s="5">
        <v>-27969</v>
      </c>
      <c r="F319" s="3" t="s">
        <v>855</v>
      </c>
      <c r="G319" s="3" t="s">
        <v>39</v>
      </c>
      <c r="H319" s="2" t="s">
        <v>21</v>
      </c>
      <c r="I319" s="2" t="s">
        <v>856</v>
      </c>
      <c r="J319" s="3" t="str">
        <f>HYPERLINK("https://www.boe.es/gazeta/dias/1823/06/03/pdfs/GES-1823-57.pdf#page=1","Abrir facsímil")</f>
        <v>Abrir facsímil</v>
      </c>
      <c r="K319" s="3" t="s">
        <v>23</v>
      </c>
    </row>
    <row r="320" spans="1:11" ht="42" customHeight="1">
      <c r="A320" s="2" t="s">
        <v>857</v>
      </c>
      <c r="B320" s="2" t="s">
        <v>858</v>
      </c>
      <c r="C320" s="2" t="s">
        <v>17</v>
      </c>
      <c r="D320" s="2" t="s">
        <v>18</v>
      </c>
      <c r="E320" s="5">
        <v>-28056</v>
      </c>
      <c r="F320" s="3" t="s">
        <v>572</v>
      </c>
      <c r="G320" s="3" t="s">
        <v>59</v>
      </c>
      <c r="H320" s="2" t="s">
        <v>21</v>
      </c>
      <c r="I320" s="2" t="s">
        <v>859</v>
      </c>
      <c r="J320" s="3" t="str">
        <f>HYPERLINK("https://www.boe.es/gazeta/dias/1823/03/08/pdfs/GMD-1823-71.pdf#page=6","Abrir facsímil")</f>
        <v>Abrir facsímil</v>
      </c>
      <c r="K320" s="3" t="s">
        <v>23</v>
      </c>
    </row>
    <row r="321" spans="1:11" ht="42" customHeight="1">
      <c r="A321" s="2" t="s">
        <v>860</v>
      </c>
      <c r="B321" s="2" t="s">
        <v>861</v>
      </c>
      <c r="C321" s="2" t="s">
        <v>17</v>
      </c>
      <c r="D321" s="2" t="s">
        <v>18</v>
      </c>
      <c r="E321" s="5">
        <v>-28043</v>
      </c>
      <c r="F321" s="3" t="s">
        <v>69</v>
      </c>
      <c r="G321" s="3" t="s">
        <v>59</v>
      </c>
      <c r="H321" s="2" t="s">
        <v>21</v>
      </c>
      <c r="I321" s="2" t="s">
        <v>862</v>
      </c>
      <c r="J321" s="3" t="str">
        <f>HYPERLINK("https://www.boe.es/gazeta/dias/1823/03/21/pdfs/GMD-1823-84.pdf#page=6","Abrir facsímil")</f>
        <v>Abrir facsímil</v>
      </c>
      <c r="K321" s="3" t="s">
        <v>23</v>
      </c>
    </row>
    <row r="322" spans="1:11" ht="42" customHeight="1">
      <c r="A322" s="2" t="s">
        <v>863</v>
      </c>
      <c r="B322" s="2" t="s">
        <v>864</v>
      </c>
      <c r="C322" s="2" t="s">
        <v>293</v>
      </c>
      <c r="D322" s="2" t="s">
        <v>74</v>
      </c>
      <c r="E322" s="5">
        <v>-27787</v>
      </c>
      <c r="F322" s="3" t="s">
        <v>865</v>
      </c>
      <c r="G322" s="3" t="s">
        <v>39</v>
      </c>
      <c r="H322" s="2" t="s">
        <v>21</v>
      </c>
      <c r="I322" s="2" t="s">
        <v>866</v>
      </c>
      <c r="J322" s="3" t="str">
        <f>HYPERLINK("https://www.boe.es/gazeta/dias/1823/12/02/pdfs/GMD-1823-1193.pdf#page=1","Abrir facsímil")</f>
        <v>Abrir facsímil</v>
      </c>
      <c r="K322" s="3" t="s">
        <v>23</v>
      </c>
    </row>
    <row r="323" spans="1:11" ht="42" customHeight="1">
      <c r="A323" s="2" t="s">
        <v>867</v>
      </c>
      <c r="B323" s="2" t="s">
        <v>868</v>
      </c>
      <c r="C323" s="2" t="s">
        <v>17</v>
      </c>
      <c r="D323" s="2" t="s">
        <v>18</v>
      </c>
      <c r="E323" s="5">
        <v>-28056</v>
      </c>
      <c r="F323" s="3" t="s">
        <v>572</v>
      </c>
      <c r="G323" s="3" t="s">
        <v>59</v>
      </c>
      <c r="H323" s="2" t="s">
        <v>21</v>
      </c>
      <c r="I323" s="2" t="s">
        <v>869</v>
      </c>
      <c r="J323" s="3" t="str">
        <f>HYPERLINK("https://www.boe.es/gazeta/dias/1823/03/08/pdfs/GMD-1823-71.pdf#page=6","Abrir facsímil")</f>
        <v>Abrir facsímil</v>
      </c>
      <c r="K323" s="3" t="s">
        <v>23</v>
      </c>
    </row>
    <row r="324" spans="1:11" ht="42" customHeight="1">
      <c r="A324" s="2" t="s">
        <v>867</v>
      </c>
      <c r="B324" s="2" t="s">
        <v>868</v>
      </c>
      <c r="C324" s="2" t="s">
        <v>79</v>
      </c>
      <c r="D324" s="2" t="s">
        <v>74</v>
      </c>
      <c r="E324" s="5">
        <v>-28037</v>
      </c>
      <c r="F324" s="3" t="s">
        <v>192</v>
      </c>
      <c r="G324" s="3" t="s">
        <v>48</v>
      </c>
      <c r="H324" s="2" t="s">
        <v>21</v>
      </c>
      <c r="I324" s="2" t="s">
        <v>870</v>
      </c>
      <c r="J324" s="3" t="str">
        <f>HYPERLINK("https://www.boe.es/gazeta/dias/1823/03/27/pdfs/GMD-1823-90.pdf#page=3","Abrir facsímil")</f>
        <v>Abrir facsímil</v>
      </c>
      <c r="K324" s="3" t="s">
        <v>23</v>
      </c>
    </row>
    <row r="325" spans="1:11" ht="42" customHeight="1">
      <c r="A325" s="2" t="s">
        <v>871</v>
      </c>
      <c r="B325" s="2" t="s">
        <v>872</v>
      </c>
      <c r="C325" s="2" t="s">
        <v>79</v>
      </c>
      <c r="D325" s="2" t="s">
        <v>74</v>
      </c>
      <c r="E325" s="5">
        <v>-28041</v>
      </c>
      <c r="F325" s="3" t="s">
        <v>873</v>
      </c>
      <c r="G325" s="3" t="s">
        <v>366</v>
      </c>
      <c r="H325" s="2" t="s">
        <v>21</v>
      </c>
      <c r="I325" s="2" t="s">
        <v>874</v>
      </c>
      <c r="J325" s="3" t="str">
        <f>HYPERLINK("https://www.boe.es/gazeta/dias/1823/03/23/pdfs/GMD-1823-86.pdf#page=4","Abrir facsímil")</f>
        <v>Abrir facsímil</v>
      </c>
      <c r="K325" s="3" t="s">
        <v>23</v>
      </c>
    </row>
    <row r="326" spans="1:11" ht="42" customHeight="1">
      <c r="A326" s="2" t="s">
        <v>875</v>
      </c>
      <c r="B326" s="2" t="s">
        <v>876</v>
      </c>
      <c r="C326" s="2" t="s">
        <v>79</v>
      </c>
      <c r="D326" s="2" t="s">
        <v>74</v>
      </c>
      <c r="E326" s="5">
        <v>-28061</v>
      </c>
      <c r="F326" s="3" t="s">
        <v>704</v>
      </c>
      <c r="G326" s="3" t="s">
        <v>59</v>
      </c>
      <c r="H326" s="2" t="s">
        <v>21</v>
      </c>
      <c r="I326" s="2" t="s">
        <v>877</v>
      </c>
      <c r="J326" s="3" t="str">
        <f>HYPERLINK("https://www.boe.es/gazeta/dias/1823/03/03/pdfs/GMD-1823-66.pdf#page=6","Abrir facsímil")</f>
        <v>Abrir facsímil</v>
      </c>
      <c r="K326" s="3" t="s">
        <v>23</v>
      </c>
    </row>
    <row r="327" spans="1:11" ht="42" customHeight="1">
      <c r="A327" s="2" t="s">
        <v>878</v>
      </c>
      <c r="B327" s="2" t="s">
        <v>879</v>
      </c>
      <c r="C327" s="2" t="s">
        <v>56</v>
      </c>
      <c r="D327" s="2" t="s">
        <v>57</v>
      </c>
      <c r="E327" s="5">
        <v>-27983</v>
      </c>
      <c r="F327" s="3" t="s">
        <v>337</v>
      </c>
      <c r="G327" s="3" t="s">
        <v>34</v>
      </c>
      <c r="H327" s="2" t="s">
        <v>21</v>
      </c>
      <c r="I327" s="2" t="s">
        <v>880</v>
      </c>
      <c r="J327" s="3" t="str">
        <f>HYPERLINK("https://www.boe.es/gazeta/dias/1823/05/20/pdfs/GES-1823-40.pdf#page=5","Abrir facsímil")</f>
        <v>Abrir facsímil</v>
      </c>
      <c r="K327" s="3" t="s">
        <v>23</v>
      </c>
    </row>
    <row r="328" spans="1:11" ht="42" customHeight="1">
      <c r="A328" s="2" t="s">
        <v>881</v>
      </c>
      <c r="B328" s="2" t="s">
        <v>882</v>
      </c>
      <c r="C328" s="2" t="s">
        <v>73</v>
      </c>
      <c r="D328" s="2" t="s">
        <v>74</v>
      </c>
      <c r="E328" s="5">
        <v>-27787</v>
      </c>
      <c r="F328" s="3" t="s">
        <v>865</v>
      </c>
      <c r="G328" s="3" t="s">
        <v>39</v>
      </c>
      <c r="H328" s="2" t="s">
        <v>21</v>
      </c>
      <c r="I328" s="2" t="s">
        <v>883</v>
      </c>
      <c r="J328" s="3" t="str">
        <f>HYPERLINK("https://www.boe.es/gazeta/dias/1823/12/02/pdfs/GMD-1823-1193.pdf#page=1","Abrir facsímil")</f>
        <v>Abrir facsímil</v>
      </c>
      <c r="K328" s="3" t="s">
        <v>23</v>
      </c>
    </row>
    <row r="329" spans="1:11" ht="42" customHeight="1">
      <c r="A329" s="2" t="s">
        <v>884</v>
      </c>
      <c r="B329" s="2" t="s">
        <v>885</v>
      </c>
      <c r="C329" s="2" t="s">
        <v>56</v>
      </c>
      <c r="D329" s="2" t="s">
        <v>57</v>
      </c>
      <c r="E329" s="5">
        <v>-28119</v>
      </c>
      <c r="F329" s="3" t="s">
        <v>545</v>
      </c>
      <c r="G329" s="3" t="s">
        <v>27</v>
      </c>
      <c r="H329" s="2" t="s">
        <v>21</v>
      </c>
      <c r="I329" s="2" t="s">
        <v>886</v>
      </c>
      <c r="J329" s="3" t="str">
        <f>HYPERLINK("https://www.boe.es/gazeta/dias/1823/01/04/pdfs/GMD-1823-4.pdf#page=2","Abrir facsímil")</f>
        <v>Abrir facsímil</v>
      </c>
      <c r="K329" s="3" t="s">
        <v>23</v>
      </c>
    </row>
    <row r="330" spans="1:11" ht="42" customHeight="1">
      <c r="A330" s="2" t="s">
        <v>887</v>
      </c>
      <c r="B330" s="2" t="s">
        <v>888</v>
      </c>
      <c r="C330" s="2" t="s">
        <v>109</v>
      </c>
      <c r="D330" s="2" t="s">
        <v>74</v>
      </c>
      <c r="E330" s="5">
        <v>-28109</v>
      </c>
      <c r="F330" s="3" t="s">
        <v>889</v>
      </c>
      <c r="G330" s="3" t="s">
        <v>27</v>
      </c>
      <c r="H330" s="2" t="s">
        <v>21</v>
      </c>
      <c r="I330" s="2" t="s">
        <v>890</v>
      </c>
      <c r="J330" s="3" t="str">
        <f>HYPERLINK("https://www.boe.es/gazeta/dias/1823/01/14/pdfs/GMD-1823-14.pdf#page=2","Abrir facsímil")</f>
        <v>Abrir facsímil</v>
      </c>
      <c r="K330" s="3" t="s">
        <v>23</v>
      </c>
    </row>
    <row r="331" spans="1:11" ht="42" customHeight="1">
      <c r="A331" s="2" t="s">
        <v>891</v>
      </c>
      <c r="B331" s="2" t="s">
        <v>892</v>
      </c>
      <c r="C331" s="2" t="s">
        <v>17</v>
      </c>
      <c r="D331" s="2" t="s">
        <v>18</v>
      </c>
      <c r="E331" s="5">
        <v>-28028</v>
      </c>
      <c r="F331" s="3" t="s">
        <v>893</v>
      </c>
      <c r="G331" s="3" t="s">
        <v>20</v>
      </c>
      <c r="H331" s="2" t="s">
        <v>21</v>
      </c>
      <c r="I331" s="2" t="s">
        <v>894</v>
      </c>
      <c r="J331" s="3" t="str">
        <f>HYPERLINK("https://www.boe.es/gazeta/dias/1823/04/05/pdfs/GMD-1823-99.pdf#page=4","Abrir facsímil")</f>
        <v>Abrir facsímil</v>
      </c>
      <c r="K331" s="3" t="s">
        <v>23</v>
      </c>
    </row>
    <row r="332" spans="1:11" ht="42" customHeight="1">
      <c r="A332" s="2" t="s">
        <v>895</v>
      </c>
      <c r="B332" s="2" t="s">
        <v>896</v>
      </c>
      <c r="C332" s="2" t="s">
        <v>56</v>
      </c>
      <c r="D332" s="2" t="s">
        <v>57</v>
      </c>
      <c r="E332" s="5">
        <v>-27937</v>
      </c>
      <c r="F332" s="3" t="s">
        <v>897</v>
      </c>
      <c r="G332" s="3" t="s">
        <v>48</v>
      </c>
      <c r="H332" s="2" t="s">
        <v>21</v>
      </c>
      <c r="I332" s="2" t="s">
        <v>898</v>
      </c>
      <c r="J332" s="3" t="str">
        <f>HYPERLINK("https://www.boe.es/gazeta/dias/1823/07/05/pdfs/GMD-1823-343.pdf#page=3","Abrir facsímil")</f>
        <v>Abrir facsímil</v>
      </c>
      <c r="K332" s="3" t="s">
        <v>23</v>
      </c>
    </row>
    <row r="333" spans="1:11" ht="42" customHeight="1">
      <c r="A333" s="2" t="s">
        <v>899</v>
      </c>
      <c r="B333" s="2" t="s">
        <v>900</v>
      </c>
      <c r="C333" s="2" t="s">
        <v>79</v>
      </c>
      <c r="D333" s="2" t="s">
        <v>74</v>
      </c>
      <c r="E333" s="5">
        <v>-27964</v>
      </c>
      <c r="F333" s="3" t="s">
        <v>58</v>
      </c>
      <c r="G333" s="3" t="s">
        <v>34</v>
      </c>
      <c r="H333" s="2" t="s">
        <v>21</v>
      </c>
      <c r="I333" s="2" t="s">
        <v>901</v>
      </c>
      <c r="J333" s="3" t="str">
        <f>HYPERLINK("https://www.boe.es/gazeta/dias/1823/06/08/pdfs/GES-1823-62.pdf#page=5","Abrir facsímil")</f>
        <v>Abrir facsímil</v>
      </c>
      <c r="K333" s="3" t="s">
        <v>23</v>
      </c>
    </row>
    <row r="334" spans="1:11" ht="42" customHeight="1">
      <c r="A334" s="2" t="s">
        <v>902</v>
      </c>
      <c r="B334" s="2" t="s">
        <v>903</v>
      </c>
      <c r="C334" s="2" t="s">
        <v>17</v>
      </c>
      <c r="D334" s="2" t="s">
        <v>18</v>
      </c>
      <c r="E334" s="5">
        <v>-27911</v>
      </c>
      <c r="F334" s="3" t="s">
        <v>368</v>
      </c>
      <c r="G334" s="3" t="s">
        <v>39</v>
      </c>
      <c r="H334" s="2" t="s">
        <v>21</v>
      </c>
      <c r="I334" s="2" t="s">
        <v>904</v>
      </c>
      <c r="J334" s="3" t="str">
        <f>HYPERLINK("https://www.boe.es/gazeta/dias/1823/07/31/pdfs/GES-1823-112.pdf#page=1","Abrir facsímil")</f>
        <v>Abrir facsímil</v>
      </c>
      <c r="K334" s="3" t="s">
        <v>23</v>
      </c>
    </row>
    <row r="335" spans="1:11" ht="42" customHeight="1">
      <c r="A335" s="2" t="s">
        <v>905</v>
      </c>
      <c r="B335" s="2" t="s">
        <v>906</v>
      </c>
      <c r="C335" s="2" t="s">
        <v>17</v>
      </c>
      <c r="D335" s="2" t="s">
        <v>18</v>
      </c>
      <c r="E335" s="5">
        <v>-27996</v>
      </c>
      <c r="F335" s="3" t="s">
        <v>695</v>
      </c>
      <c r="G335" s="3" t="s">
        <v>39</v>
      </c>
      <c r="H335" s="2" t="s">
        <v>21</v>
      </c>
      <c r="I335" s="2" t="s">
        <v>907</v>
      </c>
      <c r="J335" s="3" t="str">
        <f>HYPERLINK("https://www.boe.es/gazeta/dias/1823/05/07/pdfs/GES-1823-27.pdf#page=1","Abrir facsímil")</f>
        <v>Abrir facsímil</v>
      </c>
      <c r="K335" s="3" t="s">
        <v>23</v>
      </c>
    </row>
    <row r="336" spans="1:11" ht="42" customHeight="1">
      <c r="A336" s="2" t="s">
        <v>908</v>
      </c>
      <c r="B336" s="2" t="s">
        <v>909</v>
      </c>
      <c r="C336" s="2" t="s">
        <v>17</v>
      </c>
      <c r="D336" s="2" t="s">
        <v>18</v>
      </c>
      <c r="E336" s="5">
        <v>-27850</v>
      </c>
      <c r="F336" s="3" t="s">
        <v>910</v>
      </c>
      <c r="G336" s="3" t="s">
        <v>39</v>
      </c>
      <c r="H336" s="2" t="s">
        <v>21</v>
      </c>
      <c r="I336" s="2" t="s">
        <v>911</v>
      </c>
      <c r="J336" s="3" t="str">
        <f>HYPERLINK("https://www.boe.es/gazeta/dias/1823/09/30/pdfs/GMD-1823-873.pdf#page=1","Abrir facsímil")</f>
        <v>Abrir facsímil</v>
      </c>
      <c r="K336" s="3" t="s">
        <v>23</v>
      </c>
    </row>
    <row r="337" spans="1:11" ht="42" customHeight="1">
      <c r="A337" s="2" t="s">
        <v>912</v>
      </c>
      <c r="B337" s="2" t="s">
        <v>913</v>
      </c>
      <c r="C337" s="2" t="s">
        <v>109</v>
      </c>
      <c r="D337" s="2" t="s">
        <v>74</v>
      </c>
      <c r="E337" s="5">
        <v>-27975</v>
      </c>
      <c r="F337" s="3" t="s">
        <v>47</v>
      </c>
      <c r="G337" s="3" t="s">
        <v>27</v>
      </c>
      <c r="H337" s="2" t="s">
        <v>21</v>
      </c>
      <c r="I337" s="2" t="s">
        <v>914</v>
      </c>
      <c r="J337" s="3" t="str">
        <f>HYPERLINK("https://www.boe.es/gazeta/dias/1823/05/28/pdfs/GES-1823-50.pdf#page=2","Abrir facsímil")</f>
        <v>Abrir facsímil</v>
      </c>
      <c r="K337" s="3" t="s">
        <v>23</v>
      </c>
    </row>
    <row r="338" spans="1:11" ht="42" customHeight="1">
      <c r="A338" s="2" t="s">
        <v>915</v>
      </c>
      <c r="B338" s="2" t="s">
        <v>915</v>
      </c>
      <c r="C338" s="2" t="s">
        <v>293</v>
      </c>
      <c r="D338" s="2" t="s">
        <v>74</v>
      </c>
      <c r="E338" s="5">
        <v>-27963</v>
      </c>
      <c r="F338" s="3" t="s">
        <v>344</v>
      </c>
      <c r="G338" s="3" t="s">
        <v>48</v>
      </c>
      <c r="H338" s="2" t="s">
        <v>21</v>
      </c>
      <c r="I338" s="2" t="s">
        <v>916</v>
      </c>
      <c r="J338" s="3" t="str">
        <f>HYPERLINK("https://www.boe.es/gazeta/dias/1823/06/09/pdfs/GES-1823-63.pdf#page=3","Abrir facsímil")</f>
        <v>Abrir facsímil</v>
      </c>
      <c r="K338" s="3" t="s">
        <v>23</v>
      </c>
    </row>
    <row r="339" spans="1:11" ht="42" customHeight="1">
      <c r="A339" s="2" t="s">
        <v>917</v>
      </c>
      <c r="B339" s="2" t="s">
        <v>918</v>
      </c>
      <c r="C339" s="2" t="s">
        <v>56</v>
      </c>
      <c r="D339" s="2" t="s">
        <v>57</v>
      </c>
      <c r="E339" s="5">
        <v>-27941</v>
      </c>
      <c r="F339" s="3" t="s">
        <v>527</v>
      </c>
      <c r="G339" s="3" t="s">
        <v>20</v>
      </c>
      <c r="H339" s="2" t="s">
        <v>21</v>
      </c>
      <c r="I339" s="2" t="s">
        <v>919</v>
      </c>
      <c r="J339" s="3" t="str">
        <f>HYPERLINK("https://www.boe.es/gazeta/dias/1823/07/01/pdfs/GES-1823-81.pdf#page=4","Abrir facsímil")</f>
        <v>Abrir facsímil</v>
      </c>
      <c r="K339" s="3" t="s">
        <v>23</v>
      </c>
    </row>
    <row r="340" spans="1:11" ht="42" customHeight="1">
      <c r="A340" s="2" t="s">
        <v>920</v>
      </c>
      <c r="B340" s="2" t="s">
        <v>921</v>
      </c>
      <c r="C340" s="2" t="s">
        <v>17</v>
      </c>
      <c r="D340" s="2" t="s">
        <v>18</v>
      </c>
      <c r="E340" s="5">
        <v>-28025</v>
      </c>
      <c r="F340" s="3" t="s">
        <v>477</v>
      </c>
      <c r="G340" s="3" t="s">
        <v>20</v>
      </c>
      <c r="H340" s="2" t="s">
        <v>21</v>
      </c>
      <c r="I340" s="2" t="s">
        <v>922</v>
      </c>
      <c r="J340" s="3" t="str">
        <f>HYPERLINK("https://www.boe.es/gazeta/dias/1823/04/08/pdfs/GMD-1823-103.pdf#page=4","Abrir facsímil")</f>
        <v>Abrir facsímil</v>
      </c>
      <c r="K340" s="3" t="s">
        <v>23</v>
      </c>
    </row>
    <row r="341" spans="1:11" ht="42" customHeight="1">
      <c r="A341" s="2" t="s">
        <v>923</v>
      </c>
      <c r="B341" s="2" t="s">
        <v>923</v>
      </c>
      <c r="C341" s="2" t="s">
        <v>17</v>
      </c>
      <c r="D341" s="2" t="s">
        <v>18</v>
      </c>
      <c r="E341" s="5">
        <v>-28048</v>
      </c>
      <c r="F341" s="3" t="s">
        <v>399</v>
      </c>
      <c r="G341" s="3" t="s">
        <v>59</v>
      </c>
      <c r="H341" s="2" t="s">
        <v>21</v>
      </c>
      <c r="I341" s="2" t="s">
        <v>924</v>
      </c>
      <c r="J341" s="3" t="str">
        <f>HYPERLINK("https://www.boe.es/gazeta/dias/1823/03/16/pdfs/GMD-1823-79.pdf#page=6","Abrir facsímil")</f>
        <v>Abrir facsímil</v>
      </c>
      <c r="K341" s="3" t="s">
        <v>23</v>
      </c>
    </row>
    <row r="342" spans="1:11" ht="42" customHeight="1">
      <c r="A342" s="2" t="s">
        <v>925</v>
      </c>
      <c r="B342" s="2" t="s">
        <v>926</v>
      </c>
      <c r="C342" s="2" t="s">
        <v>17</v>
      </c>
      <c r="D342" s="2" t="s">
        <v>18</v>
      </c>
      <c r="E342" s="5">
        <v>-27982</v>
      </c>
      <c r="F342" s="3" t="s">
        <v>340</v>
      </c>
      <c r="G342" s="3" t="s">
        <v>39</v>
      </c>
      <c r="H342" s="2" t="s">
        <v>28</v>
      </c>
      <c r="I342" s="2" t="s">
        <v>927</v>
      </c>
      <c r="J342" s="3" t="str">
        <f>HYPERLINK("https://www.boe.es/gazeta/dias/1823/05/21/pdfs/GES-1823-42.pdf#page=1","Abrir facsímil")</f>
        <v>Abrir facsímil</v>
      </c>
      <c r="K342" s="3" t="s">
        <v>30</v>
      </c>
    </row>
    <row r="343" spans="1:11" ht="42" customHeight="1">
      <c r="A343" s="2" t="s">
        <v>928</v>
      </c>
      <c r="B343" s="2" t="s">
        <v>928</v>
      </c>
      <c r="C343" s="2" t="s">
        <v>79</v>
      </c>
      <c r="D343" s="2" t="s">
        <v>74</v>
      </c>
      <c r="E343" s="5">
        <v>-27952</v>
      </c>
      <c r="F343" s="3" t="s">
        <v>929</v>
      </c>
      <c r="G343" s="3" t="s">
        <v>27</v>
      </c>
      <c r="H343" s="2" t="s">
        <v>21</v>
      </c>
      <c r="I343" s="2" t="s">
        <v>930</v>
      </c>
      <c r="J343" s="3" t="str">
        <f>HYPERLINK("https://www.boe.es/gazeta/dias/1823/06/20/pdfs/GES-1823-68.pdf#page=2","Abrir facsímil")</f>
        <v>Abrir facsímil</v>
      </c>
      <c r="K343" s="3" t="s">
        <v>23</v>
      </c>
    </row>
    <row r="344" spans="1:11" ht="42" customHeight="1">
      <c r="A344" s="2" t="s">
        <v>931</v>
      </c>
      <c r="B344" s="2" t="s">
        <v>931</v>
      </c>
      <c r="C344" s="2" t="s">
        <v>17</v>
      </c>
      <c r="D344" s="2" t="s">
        <v>18</v>
      </c>
      <c r="E344" s="5">
        <v>-27942</v>
      </c>
      <c r="F344" s="3" t="s">
        <v>596</v>
      </c>
      <c r="G344" s="3" t="s">
        <v>20</v>
      </c>
      <c r="H344" s="2" t="s">
        <v>21</v>
      </c>
      <c r="I344" s="2" t="s">
        <v>932</v>
      </c>
      <c r="J344" s="3" t="str">
        <f>HYPERLINK("https://www.boe.es/gazeta/dias/1823/06/30/pdfs/GES-1823-80.pdf#page=4","Abrir facsímil")</f>
        <v>Abrir facsímil</v>
      </c>
      <c r="K344" s="3" t="s">
        <v>23</v>
      </c>
    </row>
    <row r="345" spans="1:11" ht="42" customHeight="1">
      <c r="A345" s="2" t="s">
        <v>931</v>
      </c>
      <c r="B345" s="2" t="s">
        <v>931</v>
      </c>
      <c r="C345" s="2" t="s">
        <v>56</v>
      </c>
      <c r="D345" s="2" t="s">
        <v>57</v>
      </c>
      <c r="E345" s="5">
        <v>-27854</v>
      </c>
      <c r="F345" s="3" t="s">
        <v>933</v>
      </c>
      <c r="G345" s="3" t="s">
        <v>27</v>
      </c>
      <c r="H345" s="2" t="s">
        <v>21</v>
      </c>
      <c r="I345" s="2" t="s">
        <v>934</v>
      </c>
      <c r="J345" s="3" t="str">
        <f>HYPERLINK("https://www.boe.es/gazeta/dias/1823/09/26/pdfs/GES-1823-170.pdf#page=2","Abrir facsímil")</f>
        <v>Abrir facsímil</v>
      </c>
      <c r="K345" s="3" t="s">
        <v>23</v>
      </c>
    </row>
    <row r="346" spans="1:11" ht="42" customHeight="1">
      <c r="A346" s="2" t="s">
        <v>935</v>
      </c>
      <c r="B346" s="2" t="s">
        <v>936</v>
      </c>
      <c r="C346" s="2" t="s">
        <v>17</v>
      </c>
      <c r="D346" s="2" t="s">
        <v>18</v>
      </c>
      <c r="E346" s="5">
        <v>-27997</v>
      </c>
      <c r="F346" s="3" t="s">
        <v>937</v>
      </c>
      <c r="G346" s="3" t="s">
        <v>39</v>
      </c>
      <c r="H346" s="2" t="s">
        <v>21</v>
      </c>
      <c r="I346" s="2" t="s">
        <v>938</v>
      </c>
      <c r="J346" s="3" t="str">
        <f>HYPERLINK("https://www.boe.es/gazeta/dias/1823/05/06/pdfs/GMD-1823-102.pdf#page=1","Abrir facsímil")</f>
        <v>Abrir facsímil</v>
      </c>
      <c r="K346" s="3" t="s">
        <v>23</v>
      </c>
    </row>
    <row r="347" spans="1:11" ht="42" customHeight="1">
      <c r="A347" s="2" t="s">
        <v>939</v>
      </c>
      <c r="B347" s="2" t="s">
        <v>940</v>
      </c>
      <c r="C347" s="2" t="s">
        <v>17</v>
      </c>
      <c r="D347" s="2" t="s">
        <v>18</v>
      </c>
      <c r="E347" s="5">
        <v>-27783</v>
      </c>
      <c r="F347" s="3" t="s">
        <v>941</v>
      </c>
      <c r="G347" s="3" t="s">
        <v>39</v>
      </c>
      <c r="H347" s="2" t="s">
        <v>21</v>
      </c>
      <c r="I347" s="2" t="s">
        <v>942</v>
      </c>
      <c r="J347" s="3" t="str">
        <f>HYPERLINK("https://www.boe.es/gazeta/dias/1823/12/06/pdfs/GMD-1823-1213.pdf#page=1","Abrir facsímil")</f>
        <v>Abrir facsímil</v>
      </c>
      <c r="K347" s="3" t="s">
        <v>23</v>
      </c>
    </row>
    <row r="348" spans="1:11" ht="42" customHeight="1">
      <c r="A348" s="2" t="s">
        <v>943</v>
      </c>
      <c r="B348" s="2" t="s">
        <v>944</v>
      </c>
      <c r="C348" s="2" t="s">
        <v>17</v>
      </c>
      <c r="D348" s="2" t="s">
        <v>18</v>
      </c>
      <c r="E348" s="5">
        <v>-28002</v>
      </c>
      <c r="F348" s="3" t="s">
        <v>315</v>
      </c>
      <c r="G348" s="3" t="s">
        <v>34</v>
      </c>
      <c r="H348" s="2" t="s">
        <v>21</v>
      </c>
      <c r="I348" s="2" t="s">
        <v>945</v>
      </c>
      <c r="J348" s="3" t="str">
        <f>HYPERLINK("https://www.boe.es/gazeta/dias/1823/05/01/pdfs/GES-1823-21.pdf#page=5","Abrir facsímil")</f>
        <v>Abrir facsímil</v>
      </c>
      <c r="K348" s="3" t="s">
        <v>23</v>
      </c>
    </row>
    <row r="349" spans="1:11" ht="42" customHeight="1">
      <c r="A349" s="2" t="s">
        <v>946</v>
      </c>
      <c r="B349" s="2" t="s">
        <v>947</v>
      </c>
      <c r="C349" s="2" t="s">
        <v>17</v>
      </c>
      <c r="D349" s="2" t="s">
        <v>18</v>
      </c>
      <c r="E349" s="5">
        <v>-27909</v>
      </c>
      <c r="F349" s="3" t="s">
        <v>948</v>
      </c>
      <c r="G349" s="3" t="s">
        <v>27</v>
      </c>
      <c r="H349" s="2" t="s">
        <v>21</v>
      </c>
      <c r="I349" s="2" t="s">
        <v>949</v>
      </c>
      <c r="J349" s="3" t="str">
        <f>HYPERLINK("https://www.boe.es/gazeta/dias/1823/08/02/pdfs/GES-1823-114.pdf#page=2","Abrir facsímil")</f>
        <v>Abrir facsímil</v>
      </c>
      <c r="K349" s="3" t="s">
        <v>23</v>
      </c>
    </row>
    <row r="350" spans="1:11" ht="42" customHeight="1">
      <c r="A350" s="2" t="s">
        <v>950</v>
      </c>
      <c r="B350" s="2" t="s">
        <v>950</v>
      </c>
      <c r="C350" s="2" t="s">
        <v>109</v>
      </c>
      <c r="D350" s="2" t="s">
        <v>74</v>
      </c>
      <c r="E350" s="5">
        <v>-27985</v>
      </c>
      <c r="F350" s="3" t="s">
        <v>951</v>
      </c>
      <c r="G350" s="3" t="s">
        <v>27</v>
      </c>
      <c r="H350" s="2" t="s">
        <v>21</v>
      </c>
      <c r="I350" s="2" t="s">
        <v>952</v>
      </c>
      <c r="J350" s="3" t="str">
        <f>HYPERLINK("https://www.boe.es/gazeta/dias/1823/05/18/pdfs/GES-1823-38.pdf#page=2","Abrir facsímil")</f>
        <v>Abrir facsímil</v>
      </c>
      <c r="K350" s="3" t="s">
        <v>23</v>
      </c>
    </row>
    <row r="351" spans="1:11" ht="42" customHeight="1">
      <c r="A351" s="2" t="s">
        <v>953</v>
      </c>
      <c r="B351" s="2" t="s">
        <v>953</v>
      </c>
      <c r="C351" s="2" t="s">
        <v>17</v>
      </c>
      <c r="D351" s="2" t="s">
        <v>18</v>
      </c>
      <c r="E351" s="5">
        <v>-27964</v>
      </c>
      <c r="F351" s="3" t="s">
        <v>58</v>
      </c>
      <c r="G351" s="3" t="s">
        <v>34</v>
      </c>
      <c r="H351" s="2" t="s">
        <v>21</v>
      </c>
      <c r="I351" s="2" t="s">
        <v>954</v>
      </c>
      <c r="J351" s="3" t="str">
        <f>HYPERLINK("https://www.boe.es/gazeta/dias/1823/06/08/pdfs/GES-1823-62.pdf#page=5","Abrir facsímil")</f>
        <v>Abrir facsímil</v>
      </c>
      <c r="K351" s="3" t="s">
        <v>23</v>
      </c>
    </row>
    <row r="352" spans="1:11" ht="42" customHeight="1">
      <c r="A352" s="2" t="s">
        <v>955</v>
      </c>
      <c r="B352" s="2" t="s">
        <v>955</v>
      </c>
      <c r="C352" s="2" t="s">
        <v>56</v>
      </c>
      <c r="D352" s="2" t="s">
        <v>57</v>
      </c>
      <c r="E352" s="5">
        <v>-27967</v>
      </c>
      <c r="F352" s="3" t="s">
        <v>412</v>
      </c>
      <c r="G352" s="3" t="s">
        <v>27</v>
      </c>
      <c r="H352" s="2" t="s">
        <v>21</v>
      </c>
      <c r="I352" s="2" t="s">
        <v>956</v>
      </c>
      <c r="J352" s="3" t="str">
        <f>HYPERLINK("https://www.boe.es/gazeta/dias/1823/06/05/pdfs/GES-1823-59.pdf#page=2","Abrir facsímil")</f>
        <v>Abrir facsímil</v>
      </c>
      <c r="K352" s="3" t="s">
        <v>23</v>
      </c>
    </row>
    <row r="353" spans="1:11" ht="42" customHeight="1">
      <c r="A353" s="2" t="s">
        <v>955</v>
      </c>
      <c r="B353" s="2" t="s">
        <v>955</v>
      </c>
      <c r="C353" s="2" t="s">
        <v>109</v>
      </c>
      <c r="D353" s="2" t="s">
        <v>74</v>
      </c>
      <c r="E353" s="5">
        <v>-27964</v>
      </c>
      <c r="F353" s="3" t="s">
        <v>58</v>
      </c>
      <c r="G353" s="3" t="s">
        <v>34</v>
      </c>
      <c r="H353" s="2" t="s">
        <v>21</v>
      </c>
      <c r="I353" s="2" t="s">
        <v>957</v>
      </c>
      <c r="J353" s="3" t="str">
        <f>HYPERLINK("https://www.boe.es/gazeta/dias/1823/06/08/pdfs/GES-1823-62.pdf#page=5","Abrir facsímil")</f>
        <v>Abrir facsímil</v>
      </c>
      <c r="K353" s="3" t="s">
        <v>23</v>
      </c>
    </row>
    <row r="354" spans="1:11" ht="42" customHeight="1">
      <c r="A354" s="2" t="s">
        <v>958</v>
      </c>
      <c r="B354" s="2" t="s">
        <v>958</v>
      </c>
      <c r="C354" s="2" t="s">
        <v>17</v>
      </c>
      <c r="D354" s="2" t="s">
        <v>18</v>
      </c>
      <c r="E354" s="5">
        <v>-27948</v>
      </c>
      <c r="F354" s="3" t="s">
        <v>959</v>
      </c>
      <c r="G354" s="3" t="s">
        <v>48</v>
      </c>
      <c r="H354" s="2" t="s">
        <v>21</v>
      </c>
      <c r="I354" s="2" t="s">
        <v>960</v>
      </c>
      <c r="J354" s="3" t="str">
        <f>HYPERLINK("https://www.boe.es/gazeta/dias/1823/06/24/pdfs/GES-1823-72.pdf#page=3","Abrir facsímil")</f>
        <v>Abrir facsímil</v>
      </c>
      <c r="K354" s="3" t="s">
        <v>23</v>
      </c>
    </row>
    <row r="355" spans="1:11" ht="42" customHeight="1">
      <c r="A355" s="2" t="s">
        <v>961</v>
      </c>
      <c r="B355" s="2" t="s">
        <v>961</v>
      </c>
      <c r="C355" s="2" t="s">
        <v>17</v>
      </c>
      <c r="D355" s="2" t="s">
        <v>117</v>
      </c>
      <c r="E355" s="5">
        <v>-27966</v>
      </c>
      <c r="F355" s="3" t="s">
        <v>962</v>
      </c>
      <c r="G355" s="3" t="s">
        <v>39</v>
      </c>
      <c r="H355" s="2" t="s">
        <v>21</v>
      </c>
      <c r="I355" s="2" t="s">
        <v>963</v>
      </c>
      <c r="J355" s="3" t="str">
        <f>HYPERLINK("https://www.boe.es/gazeta/dias/1823/06/06/pdfs/GMD-1823-73E.pdf#page=1","Abrir facsímil")</f>
        <v>Abrir facsímil</v>
      </c>
      <c r="K355" s="3" t="s">
        <v>23</v>
      </c>
    </row>
    <row r="356" spans="1:11" ht="42" customHeight="1">
      <c r="A356" s="2" t="s">
        <v>964</v>
      </c>
      <c r="B356" s="2" t="s">
        <v>965</v>
      </c>
      <c r="C356" s="2" t="s">
        <v>79</v>
      </c>
      <c r="D356" s="2" t="s">
        <v>74</v>
      </c>
      <c r="E356" s="5">
        <v>-28032</v>
      </c>
      <c r="F356" s="3" t="s">
        <v>668</v>
      </c>
      <c r="G356" s="3" t="s">
        <v>39</v>
      </c>
      <c r="H356" s="2" t="s">
        <v>21</v>
      </c>
      <c r="I356" s="2" t="s">
        <v>966</v>
      </c>
      <c r="J356" s="3" t="str">
        <f>HYPERLINK("https://www.boe.es/gazeta/dias/1823/04/01/pdfs/GMD-1823-95.pdf#page=1","Abrir facsímil")</f>
        <v>Abrir facsímil</v>
      </c>
      <c r="K356" s="3" t="s">
        <v>23</v>
      </c>
    </row>
    <row r="357" spans="1:11" ht="42" customHeight="1">
      <c r="A357" s="2" t="s">
        <v>967</v>
      </c>
      <c r="B357" s="2" t="s">
        <v>968</v>
      </c>
      <c r="C357" s="2" t="s">
        <v>56</v>
      </c>
      <c r="D357" s="2" t="s">
        <v>57</v>
      </c>
      <c r="E357" s="5">
        <v>-27773</v>
      </c>
      <c r="F357" s="3" t="s">
        <v>513</v>
      </c>
      <c r="G357" s="3" t="s">
        <v>27</v>
      </c>
      <c r="H357" s="2" t="s">
        <v>21</v>
      </c>
      <c r="I357" s="2" t="s">
        <v>969</v>
      </c>
      <c r="J357" s="3" t="str">
        <f>HYPERLINK("https://www.boe.es/gazeta/dias/1823/12/16/pdfs/GMD-1823-1253.pdf#page=2","Abrir facsímil")</f>
        <v>Abrir facsímil</v>
      </c>
      <c r="K357" s="3" t="s">
        <v>23</v>
      </c>
    </row>
    <row r="358" spans="1:11" ht="42" customHeight="1">
      <c r="A358" s="2" t="s">
        <v>970</v>
      </c>
      <c r="B358" s="2" t="s">
        <v>970</v>
      </c>
      <c r="C358" s="2" t="s">
        <v>17</v>
      </c>
      <c r="D358" s="2" t="s">
        <v>18</v>
      </c>
      <c r="E358" s="5">
        <v>-28104</v>
      </c>
      <c r="F358" s="3" t="s">
        <v>114</v>
      </c>
      <c r="G358" s="3" t="s">
        <v>27</v>
      </c>
      <c r="H358" s="2" t="s">
        <v>21</v>
      </c>
      <c r="I358" s="2" t="s">
        <v>971</v>
      </c>
      <c r="J358" s="3" t="str">
        <f>HYPERLINK("https://www.boe.es/gazeta/dias/1823/01/19/pdfs/GMD-1823-19.pdf#page=2","Abrir facsímil")</f>
        <v>Abrir facsímil</v>
      </c>
      <c r="K358" s="3" t="s">
        <v>23</v>
      </c>
    </row>
    <row r="359" spans="1:11" ht="42" customHeight="1">
      <c r="A359" s="2" t="s">
        <v>970</v>
      </c>
      <c r="B359" s="2" t="s">
        <v>970</v>
      </c>
      <c r="C359" s="2" t="s">
        <v>17</v>
      </c>
      <c r="D359" s="2" t="s">
        <v>18</v>
      </c>
      <c r="E359" s="5">
        <v>-28070</v>
      </c>
      <c r="F359" s="3" t="s">
        <v>972</v>
      </c>
      <c r="G359" s="3" t="s">
        <v>39</v>
      </c>
      <c r="H359" s="2" t="s">
        <v>21</v>
      </c>
      <c r="I359" s="2" t="s">
        <v>973</v>
      </c>
      <c r="J359" s="3" t="str">
        <f>HYPERLINK("https://www.boe.es/gazeta/dias/1823/02/22/pdfs/GMD-1823-56.pdf#page=1","Abrir facsímil")</f>
        <v>Abrir facsímil</v>
      </c>
      <c r="K359" s="3" t="s">
        <v>23</v>
      </c>
    </row>
    <row r="360" spans="1:11" ht="42" customHeight="1">
      <c r="A360" s="2" t="s">
        <v>970</v>
      </c>
      <c r="B360" s="2" t="s">
        <v>970</v>
      </c>
      <c r="C360" s="2" t="s">
        <v>17</v>
      </c>
      <c r="D360" s="2" t="s">
        <v>18</v>
      </c>
      <c r="E360" s="5">
        <v>-28060</v>
      </c>
      <c r="F360" s="3" t="s">
        <v>180</v>
      </c>
      <c r="G360" s="3" t="s">
        <v>27</v>
      </c>
      <c r="H360" s="2" t="s">
        <v>21</v>
      </c>
      <c r="I360" s="2" t="s">
        <v>974</v>
      </c>
      <c r="J360" s="3" t="str">
        <f>HYPERLINK("https://www.boe.es/gazeta/dias/1823/03/04/pdfs/GMD-1823-67.pdf#page=2","Abrir facsímil")</f>
        <v>Abrir facsímil</v>
      </c>
      <c r="K360" s="3" t="s">
        <v>23</v>
      </c>
    </row>
    <row r="361" spans="1:11" ht="42" customHeight="1">
      <c r="A361" s="2" t="s">
        <v>970</v>
      </c>
      <c r="B361" s="2" t="s">
        <v>970</v>
      </c>
      <c r="C361" s="2" t="s">
        <v>17</v>
      </c>
      <c r="D361" s="2" t="s">
        <v>18</v>
      </c>
      <c r="E361" s="5">
        <v>-28059</v>
      </c>
      <c r="F361" s="3" t="s">
        <v>149</v>
      </c>
      <c r="G361" s="3" t="s">
        <v>48</v>
      </c>
      <c r="H361" s="2" t="s">
        <v>21</v>
      </c>
      <c r="I361" s="2" t="s">
        <v>975</v>
      </c>
      <c r="J361" s="3" t="str">
        <f>HYPERLINK("https://www.boe.es/gazeta/dias/1823/03/05/pdfs/GMD-1823-68.pdf#page=3","Abrir facsímil")</f>
        <v>Abrir facsímil</v>
      </c>
      <c r="K361" s="3" t="s">
        <v>23</v>
      </c>
    </row>
    <row r="362" spans="1:11" ht="42" customHeight="1">
      <c r="A362" s="2" t="s">
        <v>970</v>
      </c>
      <c r="B362" s="2" t="s">
        <v>970</v>
      </c>
      <c r="C362" s="2" t="s">
        <v>79</v>
      </c>
      <c r="D362" s="2" t="s">
        <v>74</v>
      </c>
      <c r="E362" s="5">
        <v>-28056</v>
      </c>
      <c r="F362" s="3" t="s">
        <v>572</v>
      </c>
      <c r="G362" s="3" t="s">
        <v>34</v>
      </c>
      <c r="H362" s="2" t="s">
        <v>21</v>
      </c>
      <c r="I362" s="2" t="s">
        <v>976</v>
      </c>
      <c r="J362" s="3" t="str">
        <f>HYPERLINK("https://www.boe.es/gazeta/dias/1823/03/08/pdfs/GMD-1823-71.pdf#page=5","Abrir facsímil")</f>
        <v>Abrir facsímil</v>
      </c>
      <c r="K362" s="3" t="s">
        <v>23</v>
      </c>
    </row>
    <row r="363" spans="1:11" ht="42" customHeight="1">
      <c r="A363" s="2" t="s">
        <v>970</v>
      </c>
      <c r="B363" s="2" t="s">
        <v>970</v>
      </c>
      <c r="C363" s="2" t="s">
        <v>17</v>
      </c>
      <c r="D363" s="2" t="s">
        <v>18</v>
      </c>
      <c r="E363" s="5">
        <v>-27993</v>
      </c>
      <c r="F363" s="3" t="s">
        <v>977</v>
      </c>
      <c r="G363" s="3" t="s">
        <v>978</v>
      </c>
      <c r="H363" s="2" t="s">
        <v>21</v>
      </c>
      <c r="I363" s="2" t="s">
        <v>979</v>
      </c>
      <c r="J363" s="3" t="str">
        <f>HYPERLINK("https://www.boe.es/gazeta/dias/1823/05/10/pdfs/GES-1823-30.pdf#page=4","Abrir facsímil")</f>
        <v>Abrir facsímil</v>
      </c>
      <c r="K363" s="3" t="s">
        <v>23</v>
      </c>
    </row>
    <row r="364" spans="1:11" ht="42" customHeight="1">
      <c r="A364" s="2" t="s">
        <v>980</v>
      </c>
      <c r="B364" s="2" t="s">
        <v>981</v>
      </c>
      <c r="C364" s="2" t="s">
        <v>84</v>
      </c>
      <c r="D364" s="2" t="s">
        <v>74</v>
      </c>
      <c r="E364" s="5">
        <v>-27907</v>
      </c>
      <c r="F364" s="3" t="s">
        <v>370</v>
      </c>
      <c r="G364" s="3" t="s">
        <v>20</v>
      </c>
      <c r="H364" s="2" t="s">
        <v>21</v>
      </c>
      <c r="I364" s="2" t="s">
        <v>982</v>
      </c>
      <c r="J364" s="3" t="str">
        <f>HYPERLINK("https://www.boe.es/gazeta/dias/1823/08/04/pdfs/GES-1823-116.pdf#page=4","Abrir facsímil")</f>
        <v>Abrir facsímil</v>
      </c>
      <c r="K364" s="3" t="s">
        <v>23</v>
      </c>
    </row>
    <row r="365" spans="1:11" ht="42" customHeight="1">
      <c r="A365" s="2" t="s">
        <v>983</v>
      </c>
      <c r="B365" s="2" t="s">
        <v>984</v>
      </c>
      <c r="C365" s="2" t="s">
        <v>17</v>
      </c>
      <c r="D365" s="2" t="s">
        <v>18</v>
      </c>
      <c r="E365" s="5">
        <v>-28015</v>
      </c>
      <c r="F365" s="3" t="s">
        <v>985</v>
      </c>
      <c r="G365" s="3" t="s">
        <v>20</v>
      </c>
      <c r="H365" s="2" t="s">
        <v>21</v>
      </c>
      <c r="I365" s="2" t="s">
        <v>986</v>
      </c>
      <c r="J365" s="3" t="str">
        <f>HYPERLINK("https://www.boe.es/gazeta/dias/1823/04/18/pdfs/GES-1823-8.pdf#page=4","Abrir facsímil")</f>
        <v>Abrir facsímil</v>
      </c>
      <c r="K365" s="3" t="s">
        <v>23</v>
      </c>
    </row>
    <row r="366" spans="1:11" ht="42" customHeight="1">
      <c r="A366" s="2" t="s">
        <v>987</v>
      </c>
      <c r="B366" s="2" t="s">
        <v>988</v>
      </c>
      <c r="C366" s="2" t="s">
        <v>17</v>
      </c>
      <c r="D366" s="2" t="s">
        <v>18</v>
      </c>
      <c r="E366" s="5">
        <v>-27921</v>
      </c>
      <c r="F366" s="3" t="s">
        <v>356</v>
      </c>
      <c r="G366" s="3" t="s">
        <v>39</v>
      </c>
      <c r="H366" s="2" t="s">
        <v>21</v>
      </c>
      <c r="I366" s="2" t="s">
        <v>989</v>
      </c>
      <c r="J366" s="3" t="str">
        <f>HYPERLINK("https://www.boe.es/gazeta/dias/1823/07/21/pdfs/GES-1823-102.pdf#page=1","Abrir facsímil")</f>
        <v>Abrir facsímil</v>
      </c>
      <c r="K366" s="3" t="s">
        <v>23</v>
      </c>
    </row>
    <row r="367" spans="1:11" ht="42" customHeight="1">
      <c r="A367" s="2" t="s">
        <v>990</v>
      </c>
      <c r="B367" s="2" t="s">
        <v>991</v>
      </c>
      <c r="C367" s="2" t="s">
        <v>56</v>
      </c>
      <c r="D367" s="2" t="s">
        <v>57</v>
      </c>
      <c r="E367" s="5">
        <v>-27822</v>
      </c>
      <c r="F367" s="3" t="s">
        <v>992</v>
      </c>
      <c r="G367" s="3" t="s">
        <v>48</v>
      </c>
      <c r="H367" s="2" t="s">
        <v>21</v>
      </c>
      <c r="I367" s="2" t="s">
        <v>993</v>
      </c>
      <c r="J367" s="3" t="str">
        <f>HYPERLINK("https://www.boe.es/gazeta/dias/1823/10/28/pdfs/GMD-1823-1033.pdf#page=3","Abrir facsímil")</f>
        <v>Abrir facsímil</v>
      </c>
      <c r="K367" s="3" t="s">
        <v>23</v>
      </c>
    </row>
    <row r="368" spans="1:11" ht="42" customHeight="1">
      <c r="A368" s="2" t="s">
        <v>994</v>
      </c>
      <c r="B368" s="2" t="s">
        <v>994</v>
      </c>
      <c r="C368" s="2" t="s">
        <v>17</v>
      </c>
      <c r="D368" s="2" t="s">
        <v>18</v>
      </c>
      <c r="E368" s="5">
        <v>-27960</v>
      </c>
      <c r="F368" s="3" t="s">
        <v>741</v>
      </c>
      <c r="G368" s="3" t="s">
        <v>48</v>
      </c>
      <c r="H368" s="2" t="s">
        <v>21</v>
      </c>
      <c r="I368" s="2" t="s">
        <v>995</v>
      </c>
      <c r="J368" s="3" t="str">
        <f>HYPERLINK("https://www.boe.es/gazeta/dias/1823/06/12/pdfs/GES-1823-66.pdf#page=3","Abrir facsímil")</f>
        <v>Abrir facsímil</v>
      </c>
      <c r="K368" s="3" t="s">
        <v>23</v>
      </c>
    </row>
    <row r="369" spans="1:11" ht="42" customHeight="1">
      <c r="A369" s="2" t="s">
        <v>996</v>
      </c>
      <c r="B369" s="2" t="s">
        <v>997</v>
      </c>
      <c r="C369" s="2" t="s">
        <v>56</v>
      </c>
      <c r="D369" s="2" t="s">
        <v>57</v>
      </c>
      <c r="E369" s="5">
        <v>-27860</v>
      </c>
      <c r="F369" s="3" t="s">
        <v>998</v>
      </c>
      <c r="G369" s="3" t="s">
        <v>715</v>
      </c>
      <c r="H369" s="2" t="s">
        <v>21</v>
      </c>
      <c r="I369" s="2" t="s">
        <v>999</v>
      </c>
      <c r="J369" s="3" t="str">
        <f>HYPERLINK("https://www.boe.es/gazeta/dias/1823/09/20/pdfs/GMD-1823-813.pdf#page=8","Abrir facsímil")</f>
        <v>Abrir facsímil</v>
      </c>
      <c r="K369" s="3" t="s">
        <v>23</v>
      </c>
    </row>
    <row r="370" spans="1:11" ht="42" customHeight="1">
      <c r="A370" s="2" t="s">
        <v>1000</v>
      </c>
      <c r="B370" s="2" t="s">
        <v>1001</v>
      </c>
      <c r="C370" s="2" t="s">
        <v>56</v>
      </c>
      <c r="D370" s="2" t="s">
        <v>57</v>
      </c>
      <c r="E370" s="5">
        <v>-28116</v>
      </c>
      <c r="F370" s="3" t="s">
        <v>134</v>
      </c>
      <c r="G370" s="3" t="s">
        <v>59</v>
      </c>
      <c r="H370" s="2" t="s">
        <v>21</v>
      </c>
      <c r="I370" s="2" t="s">
        <v>1002</v>
      </c>
      <c r="J370" s="3" t="str">
        <f>HYPERLINK("https://www.boe.es/gazeta/dias/1823/01/07/pdfs/GMD-1823-7.pdf#page=6","Abrir facsímil")</f>
        <v>Abrir facsímil</v>
      </c>
      <c r="K370" s="3" t="s">
        <v>23</v>
      </c>
    </row>
    <row r="371" spans="1:11" ht="42" customHeight="1">
      <c r="A371" s="2" t="s">
        <v>1003</v>
      </c>
      <c r="B371" s="2" t="s">
        <v>1004</v>
      </c>
      <c r="C371" s="2" t="s">
        <v>109</v>
      </c>
      <c r="D371" s="2" t="s">
        <v>74</v>
      </c>
      <c r="E371" s="5">
        <v>-27986</v>
      </c>
      <c r="F371" s="3" t="s">
        <v>75</v>
      </c>
      <c r="G371" s="3" t="s">
        <v>27</v>
      </c>
      <c r="H371" s="2" t="s">
        <v>21</v>
      </c>
      <c r="I371" s="2" t="s">
        <v>1005</v>
      </c>
      <c r="J371" s="3" t="str">
        <f>HYPERLINK("https://www.boe.es/gazeta/dias/1823/05/17/pdfs/GES-1823-37.pdf#page=2","Abrir facsímil")</f>
        <v>Abrir facsímil</v>
      </c>
      <c r="K371" s="3" t="s">
        <v>23</v>
      </c>
    </row>
    <row r="372" spans="1:11" ht="42" customHeight="1">
      <c r="A372" s="2" t="s">
        <v>1006</v>
      </c>
      <c r="B372" s="2" t="s">
        <v>1007</v>
      </c>
      <c r="C372" s="2" t="s">
        <v>56</v>
      </c>
      <c r="D372" s="2" t="s">
        <v>57</v>
      </c>
      <c r="E372" s="5">
        <v>-27994</v>
      </c>
      <c r="F372" s="3" t="s">
        <v>714</v>
      </c>
      <c r="G372" s="3" t="s">
        <v>276</v>
      </c>
      <c r="H372" s="2" t="s">
        <v>21</v>
      </c>
      <c r="I372" s="2" t="s">
        <v>1008</v>
      </c>
      <c r="J372" s="3" t="str">
        <f>HYPERLINK("https://www.boe.es/gazeta/dias/1823/05/09/pdfs/GES-1823-29.pdf#page=7","Abrir facsímil")</f>
        <v>Abrir facsímil</v>
      </c>
      <c r="K372" s="3" t="s">
        <v>23</v>
      </c>
    </row>
    <row r="373" spans="1:11" ht="42" customHeight="1">
      <c r="A373" s="2" t="s">
        <v>1009</v>
      </c>
      <c r="B373" s="2" t="s">
        <v>1009</v>
      </c>
      <c r="C373" s="2" t="s">
        <v>17</v>
      </c>
      <c r="D373" s="2" t="s">
        <v>18</v>
      </c>
      <c r="E373" s="5">
        <v>-28080</v>
      </c>
      <c r="F373" s="3" t="s">
        <v>1010</v>
      </c>
      <c r="G373" s="3" t="s">
        <v>27</v>
      </c>
      <c r="H373" s="2" t="s">
        <v>21</v>
      </c>
      <c r="I373" s="2" t="s">
        <v>1011</v>
      </c>
      <c r="J373" s="3" t="str">
        <f>HYPERLINK("https://www.boe.es/gazeta/dias/1823/02/12/pdfs/GMD-1823-46.pdf#page=2","Abrir facsímil")</f>
        <v>Abrir facsímil</v>
      </c>
      <c r="K373" s="3" t="s">
        <v>23</v>
      </c>
    </row>
    <row r="374" spans="1:11" ht="42" customHeight="1">
      <c r="A374" s="2" t="s">
        <v>1012</v>
      </c>
      <c r="B374" s="2" t="s">
        <v>1013</v>
      </c>
      <c r="C374" s="2" t="s">
        <v>56</v>
      </c>
      <c r="D374" s="2" t="s">
        <v>57</v>
      </c>
      <c r="E374" s="5">
        <v>-27910</v>
      </c>
      <c r="F374" s="3" t="s">
        <v>38</v>
      </c>
      <c r="G374" s="3" t="s">
        <v>20</v>
      </c>
      <c r="H374" s="2" t="s">
        <v>21</v>
      </c>
      <c r="I374" s="2" t="s">
        <v>1014</v>
      </c>
      <c r="J374" s="3" t="str">
        <f>HYPERLINK("https://www.boe.es/gazeta/dias/1823/08/01/pdfs/GES-1823-113.pdf#page=4","Abrir facsímil")</f>
        <v>Abrir facsímil</v>
      </c>
      <c r="K374" s="3" t="s">
        <v>23</v>
      </c>
    </row>
    <row r="375" spans="1:11" ht="42" customHeight="1">
      <c r="A375" s="2" t="s">
        <v>1015</v>
      </c>
      <c r="B375" s="2" t="s">
        <v>1015</v>
      </c>
      <c r="C375" s="2" t="s">
        <v>79</v>
      </c>
      <c r="D375" s="2" t="s">
        <v>74</v>
      </c>
      <c r="E375" s="5">
        <v>-27913</v>
      </c>
      <c r="F375" s="3" t="s">
        <v>821</v>
      </c>
      <c r="G375" s="3" t="s">
        <v>20</v>
      </c>
      <c r="H375" s="2" t="s">
        <v>21</v>
      </c>
      <c r="I375" s="2" t="s">
        <v>1016</v>
      </c>
      <c r="J375" s="3" t="str">
        <f>HYPERLINK("https://www.boe.es/gazeta/dias/1823/07/29/pdfs/GES-1823-110.pdf#page=4","Abrir facsímil")</f>
        <v>Abrir facsímil</v>
      </c>
      <c r="K375" s="3" t="s">
        <v>23</v>
      </c>
    </row>
    <row r="376" spans="1:11" ht="42" customHeight="1">
      <c r="A376" s="2" t="s">
        <v>1017</v>
      </c>
      <c r="B376" s="2" t="s">
        <v>1017</v>
      </c>
      <c r="C376" s="2" t="s">
        <v>17</v>
      </c>
      <c r="D376" s="2" t="s">
        <v>18</v>
      </c>
      <c r="E376" s="5">
        <v>-28117</v>
      </c>
      <c r="F376" s="3" t="s">
        <v>271</v>
      </c>
      <c r="G376" s="3" t="s">
        <v>20</v>
      </c>
      <c r="H376" s="2" t="s">
        <v>21</v>
      </c>
      <c r="I376" s="2" t="s">
        <v>1018</v>
      </c>
      <c r="J376" s="3" t="str">
        <f>HYPERLINK("https://www.boe.es/gazeta/dias/1823/01/06/pdfs/GMD-1823-6.pdf#page=4","Abrir facsímil")</f>
        <v>Abrir facsímil</v>
      </c>
      <c r="K376" s="3" t="s">
        <v>23</v>
      </c>
    </row>
    <row r="377" spans="1:11" ht="42" customHeight="1">
      <c r="A377" s="2" t="s">
        <v>1019</v>
      </c>
      <c r="B377" s="2" t="s">
        <v>1019</v>
      </c>
      <c r="C377" s="2" t="s">
        <v>17</v>
      </c>
      <c r="D377" s="2" t="s">
        <v>18</v>
      </c>
      <c r="E377" s="5">
        <v>-27902</v>
      </c>
      <c r="F377" s="3" t="s">
        <v>259</v>
      </c>
      <c r="G377" s="3" t="s">
        <v>20</v>
      </c>
      <c r="H377" s="2" t="s">
        <v>21</v>
      </c>
      <c r="I377" s="2" t="s">
        <v>1020</v>
      </c>
      <c r="J377" s="3" t="str">
        <f>HYPERLINK("https://www.boe.es/gazeta/dias/1823/08/09/pdfs/GMD-1823-563.pdf#page=4","Abrir facsímil")</f>
        <v>Abrir facsímil</v>
      </c>
      <c r="K377" s="3" t="s">
        <v>23</v>
      </c>
    </row>
    <row r="378" spans="1:11" ht="42" customHeight="1">
      <c r="A378" s="2" t="s">
        <v>1021</v>
      </c>
      <c r="B378" s="2" t="s">
        <v>1021</v>
      </c>
      <c r="C378" s="2" t="s">
        <v>56</v>
      </c>
      <c r="D378" s="2" t="s">
        <v>57</v>
      </c>
      <c r="E378" s="5">
        <v>-27993</v>
      </c>
      <c r="F378" s="3" t="s">
        <v>977</v>
      </c>
      <c r="G378" s="3" t="s">
        <v>48</v>
      </c>
      <c r="H378" s="2" t="s">
        <v>21</v>
      </c>
      <c r="I378" s="2" t="s">
        <v>1022</v>
      </c>
      <c r="J378" s="3" t="str">
        <f>HYPERLINK("https://www.boe.es/gazeta/dias/1823/05/10/pdfs/GES-1823-30.pdf#page=3","Abrir facsímil")</f>
        <v>Abrir facsímil</v>
      </c>
      <c r="K378" s="3" t="s">
        <v>23</v>
      </c>
    </row>
    <row r="379" spans="1:11" ht="42" customHeight="1">
      <c r="A379" s="2" t="s">
        <v>1023</v>
      </c>
      <c r="B379" s="2" t="s">
        <v>1024</v>
      </c>
      <c r="C379" s="2" t="s">
        <v>17</v>
      </c>
      <c r="D379" s="2" t="s">
        <v>18</v>
      </c>
      <c r="E379" s="5">
        <v>-28052</v>
      </c>
      <c r="F379" s="3" t="s">
        <v>1025</v>
      </c>
      <c r="G379" s="3" t="s">
        <v>59</v>
      </c>
      <c r="H379" s="2" t="s">
        <v>21</v>
      </c>
      <c r="I379" s="2" t="s">
        <v>1026</v>
      </c>
      <c r="J379" s="3" t="str">
        <f>HYPERLINK("https://www.boe.es/gazeta/dias/1823/03/12/pdfs/GMD-1823-75.pdf#page=6","Abrir facsímil")</f>
        <v>Abrir facsímil</v>
      </c>
      <c r="K379" s="3" t="s">
        <v>23</v>
      </c>
    </row>
    <row r="380" spans="1:11" ht="42" customHeight="1">
      <c r="A380" s="2" t="s">
        <v>1027</v>
      </c>
      <c r="B380" s="2" t="s">
        <v>1028</v>
      </c>
      <c r="C380" s="2" t="s">
        <v>109</v>
      </c>
      <c r="D380" s="2" t="s">
        <v>74</v>
      </c>
      <c r="E380" s="5">
        <v>-27985</v>
      </c>
      <c r="F380" s="3" t="s">
        <v>951</v>
      </c>
      <c r="G380" s="3" t="s">
        <v>48</v>
      </c>
      <c r="H380" s="2" t="s">
        <v>21</v>
      </c>
      <c r="I380" s="2" t="s">
        <v>1029</v>
      </c>
      <c r="J380" s="3" t="str">
        <f>HYPERLINK("https://www.boe.es/gazeta/dias/1823/05/18/pdfs/GES-1823-38.pdf#page=3","Abrir facsímil")</f>
        <v>Abrir facsímil</v>
      </c>
      <c r="K380" s="3" t="s">
        <v>23</v>
      </c>
    </row>
    <row r="381" spans="1:11" ht="42" customHeight="1">
      <c r="A381" s="2" t="s">
        <v>1027</v>
      </c>
      <c r="B381" s="2" t="s">
        <v>1028</v>
      </c>
      <c r="C381" s="2" t="s">
        <v>73</v>
      </c>
      <c r="D381" s="2" t="s">
        <v>74</v>
      </c>
      <c r="E381" s="5">
        <v>-27970</v>
      </c>
      <c r="F381" s="3" t="s">
        <v>1030</v>
      </c>
      <c r="G381" s="3" t="s">
        <v>27</v>
      </c>
      <c r="H381" s="2" t="s">
        <v>21</v>
      </c>
      <c r="I381" s="2" t="s">
        <v>1031</v>
      </c>
      <c r="J381" s="3" t="str">
        <f>HYPERLINK("https://www.boe.es/gazeta/dias/1823/06/02/pdfs/GES-1823-56.pdf#page=2","Abrir facsímil")</f>
        <v>Abrir facsímil</v>
      </c>
      <c r="K381" s="3" t="s">
        <v>23</v>
      </c>
    </row>
    <row r="382" spans="1:11" ht="42" customHeight="1">
      <c r="A382" s="2" t="s">
        <v>1032</v>
      </c>
      <c r="B382" s="2" t="s">
        <v>1032</v>
      </c>
      <c r="C382" s="2" t="s">
        <v>17</v>
      </c>
      <c r="D382" s="2" t="s">
        <v>18</v>
      </c>
      <c r="E382" s="5">
        <v>-27975</v>
      </c>
      <c r="F382" s="3" t="s">
        <v>47</v>
      </c>
      <c r="G382" s="3" t="s">
        <v>27</v>
      </c>
      <c r="H382" s="2" t="s">
        <v>21</v>
      </c>
      <c r="I382" s="2" t="s">
        <v>1033</v>
      </c>
      <c r="J382" s="3" t="str">
        <f>HYPERLINK("https://www.boe.es/gazeta/dias/1823/05/28/pdfs/GES-1823-50.pdf#page=2","Abrir facsímil")</f>
        <v>Abrir facsímil</v>
      </c>
      <c r="K382" s="3" t="s">
        <v>23</v>
      </c>
    </row>
    <row r="383" spans="1:11" ht="42" customHeight="1">
      <c r="A383" s="2" t="s">
        <v>1034</v>
      </c>
      <c r="B383" s="2" t="s">
        <v>1034</v>
      </c>
      <c r="C383" s="2" t="s">
        <v>17</v>
      </c>
      <c r="D383" s="2" t="s">
        <v>18</v>
      </c>
      <c r="E383" s="5">
        <v>-28122</v>
      </c>
      <c r="F383" s="3" t="s">
        <v>269</v>
      </c>
      <c r="G383" s="3" t="s">
        <v>39</v>
      </c>
      <c r="H383" s="2" t="s">
        <v>21</v>
      </c>
      <c r="I383" s="2" t="s">
        <v>1035</v>
      </c>
      <c r="J383" s="3" t="str">
        <f>HYPERLINK("https://www.boe.es/gazeta/dias/1823/01/01/pdfs/GMD-1823-1.pdf#page=1","Abrir facsímil")</f>
        <v>Abrir facsímil</v>
      </c>
      <c r="K383" s="3" t="s">
        <v>23</v>
      </c>
    </row>
    <row r="384" spans="1:11" ht="42" customHeight="1">
      <c r="A384" s="2" t="s">
        <v>1034</v>
      </c>
      <c r="B384" s="2" t="s">
        <v>1034</v>
      </c>
      <c r="C384" s="2" t="s">
        <v>56</v>
      </c>
      <c r="D384" s="2" t="s">
        <v>57</v>
      </c>
      <c r="E384" s="5">
        <v>-28117</v>
      </c>
      <c r="F384" s="3" t="s">
        <v>271</v>
      </c>
      <c r="G384" s="3" t="s">
        <v>20</v>
      </c>
      <c r="H384" s="2" t="s">
        <v>21</v>
      </c>
      <c r="I384" s="2" t="s">
        <v>1036</v>
      </c>
      <c r="J384" s="3" t="str">
        <f>HYPERLINK("https://www.boe.es/gazeta/dias/1823/01/06/pdfs/GMD-1823-6.pdf#page=4","Abrir facsímil")</f>
        <v>Abrir facsímil</v>
      </c>
      <c r="K384" s="3" t="s">
        <v>23</v>
      </c>
    </row>
    <row r="385" spans="1:11" ht="42" customHeight="1">
      <c r="A385" s="2" t="s">
        <v>1034</v>
      </c>
      <c r="B385" s="2" t="s">
        <v>1034</v>
      </c>
      <c r="C385" s="2" t="s">
        <v>79</v>
      </c>
      <c r="D385" s="2" t="s">
        <v>74</v>
      </c>
      <c r="E385" s="5">
        <v>-28114</v>
      </c>
      <c r="F385" s="3" t="s">
        <v>153</v>
      </c>
      <c r="G385" s="3" t="s">
        <v>27</v>
      </c>
      <c r="H385" s="2" t="s">
        <v>21</v>
      </c>
      <c r="I385" s="2" t="s">
        <v>1037</v>
      </c>
      <c r="J385" s="3" t="str">
        <f>HYPERLINK("https://www.boe.es/gazeta/dias/1823/01/09/pdfs/GMD-1823-9.pdf#page=2","Abrir facsímil")</f>
        <v>Abrir facsímil</v>
      </c>
      <c r="K385" s="3" t="s">
        <v>23</v>
      </c>
    </row>
    <row r="386" spans="1:11" ht="42" customHeight="1">
      <c r="A386" s="2" t="s">
        <v>1034</v>
      </c>
      <c r="B386" s="2" t="s">
        <v>1034</v>
      </c>
      <c r="C386" s="2" t="s">
        <v>56</v>
      </c>
      <c r="D386" s="2" t="s">
        <v>57</v>
      </c>
      <c r="E386" s="5">
        <v>-28112</v>
      </c>
      <c r="F386" s="3" t="s">
        <v>43</v>
      </c>
      <c r="G386" s="3" t="s">
        <v>39</v>
      </c>
      <c r="H386" s="2" t="s">
        <v>21</v>
      </c>
      <c r="I386" s="2" t="s">
        <v>1038</v>
      </c>
      <c r="J386" s="3" t="str">
        <f>HYPERLINK("https://www.boe.es/gazeta/dias/1823/01/11/pdfs/GMD-1823-11.pdf#page=1","Abrir facsímil")</f>
        <v>Abrir facsímil</v>
      </c>
      <c r="K386" s="3" t="s">
        <v>23</v>
      </c>
    </row>
    <row r="387" spans="1:11" ht="42" customHeight="1">
      <c r="A387" s="2" t="s">
        <v>1034</v>
      </c>
      <c r="B387" s="2" t="s">
        <v>1034</v>
      </c>
      <c r="C387" s="2" t="s">
        <v>17</v>
      </c>
      <c r="D387" s="2" t="s">
        <v>18</v>
      </c>
      <c r="E387" s="5">
        <v>-28105</v>
      </c>
      <c r="F387" s="3" t="s">
        <v>502</v>
      </c>
      <c r="G387" s="3" t="s">
        <v>27</v>
      </c>
      <c r="H387" s="2" t="s">
        <v>21</v>
      </c>
      <c r="I387" s="2" t="s">
        <v>1039</v>
      </c>
      <c r="J387" s="3" t="str">
        <f>HYPERLINK("https://www.boe.es/gazeta/dias/1823/01/18/pdfs/GMD-1823-18.pdf#page=2","Abrir facsímil")</f>
        <v>Abrir facsímil</v>
      </c>
      <c r="K387" s="3" t="s">
        <v>23</v>
      </c>
    </row>
    <row r="388" spans="1:11" ht="42" customHeight="1">
      <c r="A388" s="2" t="s">
        <v>1034</v>
      </c>
      <c r="B388" s="2" t="s">
        <v>1034</v>
      </c>
      <c r="C388" s="2" t="s">
        <v>79</v>
      </c>
      <c r="D388" s="2" t="s">
        <v>74</v>
      </c>
      <c r="E388" s="5">
        <v>-28105</v>
      </c>
      <c r="F388" s="3" t="s">
        <v>502</v>
      </c>
      <c r="G388" s="3" t="s">
        <v>48</v>
      </c>
      <c r="H388" s="2" t="s">
        <v>21</v>
      </c>
      <c r="I388" s="2" t="s">
        <v>1040</v>
      </c>
      <c r="J388" s="3" t="str">
        <f>HYPERLINK("https://www.boe.es/gazeta/dias/1823/01/18/pdfs/GMD-1823-18.pdf#page=3","Abrir facsímil")</f>
        <v>Abrir facsímil</v>
      </c>
      <c r="K388" s="3" t="s">
        <v>23</v>
      </c>
    </row>
    <row r="389" spans="1:11" ht="42" customHeight="1">
      <c r="A389" s="2" t="s">
        <v>1034</v>
      </c>
      <c r="B389" s="2" t="s">
        <v>1034</v>
      </c>
      <c r="C389" s="2" t="s">
        <v>17</v>
      </c>
      <c r="D389" s="2" t="s">
        <v>18</v>
      </c>
      <c r="E389" s="5">
        <v>-28101</v>
      </c>
      <c r="F389" s="3" t="s">
        <v>1041</v>
      </c>
      <c r="G389" s="3" t="s">
        <v>27</v>
      </c>
      <c r="H389" s="2" t="s">
        <v>21</v>
      </c>
      <c r="I389" s="2" t="s">
        <v>1042</v>
      </c>
      <c r="J389" s="3" t="str">
        <f>HYPERLINK("https://www.boe.es/gazeta/dias/1823/01/22/pdfs/GMD-1823-23.pdf#page=2","Abrir facsímil")</f>
        <v>Abrir facsímil</v>
      </c>
      <c r="K389" s="3" t="s">
        <v>23</v>
      </c>
    </row>
    <row r="390" spans="1:11" ht="42" customHeight="1">
      <c r="A390" s="2" t="s">
        <v>1034</v>
      </c>
      <c r="B390" s="2" t="s">
        <v>1034</v>
      </c>
      <c r="C390" s="2" t="s">
        <v>56</v>
      </c>
      <c r="D390" s="2" t="s">
        <v>57</v>
      </c>
      <c r="E390" s="5">
        <v>-28100</v>
      </c>
      <c r="F390" s="3" t="s">
        <v>737</v>
      </c>
      <c r="G390" s="3" t="s">
        <v>27</v>
      </c>
      <c r="H390" s="2" t="s">
        <v>21</v>
      </c>
      <c r="I390" s="2" t="s">
        <v>1043</v>
      </c>
      <c r="J390" s="3" t="str">
        <f>HYPERLINK("https://www.boe.es/gazeta/dias/1823/01/23/pdfs/GMD-1823-24.pdf#page=2","Abrir facsímil")</f>
        <v>Abrir facsímil</v>
      </c>
      <c r="K390" s="3" t="s">
        <v>23</v>
      </c>
    </row>
    <row r="391" spans="1:11" ht="42" customHeight="1">
      <c r="A391" s="2" t="s">
        <v>1034</v>
      </c>
      <c r="B391" s="2" t="s">
        <v>1034</v>
      </c>
      <c r="C391" s="2" t="s">
        <v>56</v>
      </c>
      <c r="D391" s="2" t="s">
        <v>57</v>
      </c>
      <c r="E391" s="5">
        <v>-28093</v>
      </c>
      <c r="F391" s="3" t="s">
        <v>1044</v>
      </c>
      <c r="G391" s="3" t="s">
        <v>27</v>
      </c>
      <c r="H391" s="2" t="s">
        <v>21</v>
      </c>
      <c r="I391" s="2" t="s">
        <v>1045</v>
      </c>
      <c r="J391" s="3" t="str">
        <f>HYPERLINK("https://www.boe.es/gazeta/dias/1823/01/30/pdfs/GMD-1823-31.pdf#page=2","Abrir facsímil")</f>
        <v>Abrir facsímil</v>
      </c>
      <c r="K391" s="3" t="s">
        <v>23</v>
      </c>
    </row>
    <row r="392" spans="1:11" ht="42" customHeight="1">
      <c r="A392" s="2" t="s">
        <v>1034</v>
      </c>
      <c r="B392" s="2" t="s">
        <v>1034</v>
      </c>
      <c r="C392" s="2" t="s">
        <v>79</v>
      </c>
      <c r="D392" s="2" t="s">
        <v>74</v>
      </c>
      <c r="E392" s="5">
        <v>-28092</v>
      </c>
      <c r="F392" s="3" t="s">
        <v>105</v>
      </c>
      <c r="G392" s="3" t="s">
        <v>27</v>
      </c>
      <c r="H392" s="2" t="s">
        <v>21</v>
      </c>
      <c r="I392" s="2" t="s">
        <v>1046</v>
      </c>
      <c r="J392" s="3" t="str">
        <f>HYPERLINK("https://www.boe.es/gazeta/dias/1823/01/31/pdfs/GMD-1823-32.pdf#page=2","Abrir facsímil")</f>
        <v>Abrir facsímil</v>
      </c>
      <c r="K392" s="3" t="s">
        <v>23</v>
      </c>
    </row>
    <row r="393" spans="1:11" ht="42" customHeight="1">
      <c r="A393" s="2" t="s">
        <v>1034</v>
      </c>
      <c r="B393" s="2" t="s">
        <v>1034</v>
      </c>
      <c r="C393" s="2" t="s">
        <v>17</v>
      </c>
      <c r="D393" s="2" t="s">
        <v>18</v>
      </c>
      <c r="E393" s="5">
        <v>-28091</v>
      </c>
      <c r="F393" s="3" t="s">
        <v>1047</v>
      </c>
      <c r="G393" s="3" t="s">
        <v>27</v>
      </c>
      <c r="H393" s="2" t="s">
        <v>21</v>
      </c>
      <c r="I393" s="2" t="s">
        <v>1048</v>
      </c>
      <c r="J393" s="3" t="str">
        <f>HYPERLINK("https://www.boe.es/gazeta/dias/1823/02/01/pdfs/GMD-1823-34.pdf#page=2","Abrir facsímil")</f>
        <v>Abrir facsímil</v>
      </c>
      <c r="K393" s="3" t="s">
        <v>23</v>
      </c>
    </row>
    <row r="394" spans="1:11" ht="42" customHeight="1">
      <c r="A394" s="2" t="s">
        <v>1034</v>
      </c>
      <c r="B394" s="2" t="s">
        <v>1034</v>
      </c>
      <c r="C394" s="2" t="s">
        <v>17</v>
      </c>
      <c r="D394" s="2" t="s">
        <v>18</v>
      </c>
      <c r="E394" s="5">
        <v>-28084</v>
      </c>
      <c r="F394" s="3" t="s">
        <v>1049</v>
      </c>
      <c r="G394" s="3" t="s">
        <v>48</v>
      </c>
      <c r="H394" s="2" t="s">
        <v>21</v>
      </c>
      <c r="I394" s="2" t="s">
        <v>1050</v>
      </c>
      <c r="J394" s="3" t="str">
        <f>HYPERLINK("https://www.boe.es/gazeta/dias/1823/02/08/pdfs/GMD-1823-41.pdf#page=3","Abrir facsímil")</f>
        <v>Abrir facsímil</v>
      </c>
      <c r="K394" s="3" t="s">
        <v>23</v>
      </c>
    </row>
    <row r="395" spans="1:11" ht="42" customHeight="1">
      <c r="A395" s="2" t="s">
        <v>1034</v>
      </c>
      <c r="B395" s="2" t="s">
        <v>1034</v>
      </c>
      <c r="C395" s="2" t="s">
        <v>73</v>
      </c>
      <c r="D395" s="2" t="s">
        <v>74</v>
      </c>
      <c r="E395" s="5">
        <v>-28078</v>
      </c>
      <c r="F395" s="3" t="s">
        <v>508</v>
      </c>
      <c r="G395" s="3" t="s">
        <v>39</v>
      </c>
      <c r="H395" s="2" t="s">
        <v>21</v>
      </c>
      <c r="I395" s="2" t="s">
        <v>1051</v>
      </c>
      <c r="J395" s="3" t="str">
        <f>HYPERLINK("https://www.boe.es/gazeta/dias/1823/02/14/pdfs/GMD-1823-48.pdf#page=1","Abrir facsímil")</f>
        <v>Abrir facsímil</v>
      </c>
      <c r="K395" s="3" t="s">
        <v>23</v>
      </c>
    </row>
    <row r="396" spans="1:11" ht="42" customHeight="1">
      <c r="A396" s="2" t="s">
        <v>1034</v>
      </c>
      <c r="B396" s="2" t="s">
        <v>1034</v>
      </c>
      <c r="C396" s="2" t="s">
        <v>109</v>
      </c>
      <c r="D396" s="2" t="s">
        <v>74</v>
      </c>
      <c r="E396" s="5">
        <v>-28060</v>
      </c>
      <c r="F396" s="3" t="s">
        <v>180</v>
      </c>
      <c r="G396" s="3" t="s">
        <v>48</v>
      </c>
      <c r="H396" s="2" t="s">
        <v>21</v>
      </c>
      <c r="I396" s="2" t="s">
        <v>1052</v>
      </c>
      <c r="J396" s="3" t="str">
        <f>HYPERLINK("https://www.boe.es/gazeta/dias/1823/03/04/pdfs/GMD-1823-67.pdf#page=3","Abrir facsímil")</f>
        <v>Abrir facsímil</v>
      </c>
      <c r="K396" s="3" t="s">
        <v>23</v>
      </c>
    </row>
    <row r="397" spans="1:11" ht="42" customHeight="1">
      <c r="A397" s="2" t="s">
        <v>1034</v>
      </c>
      <c r="B397" s="2" t="s">
        <v>1034</v>
      </c>
      <c r="C397" s="2" t="s">
        <v>79</v>
      </c>
      <c r="D397" s="2" t="s">
        <v>74</v>
      </c>
      <c r="E397" s="5">
        <v>-28059</v>
      </c>
      <c r="F397" s="3" t="s">
        <v>149</v>
      </c>
      <c r="G397" s="3" t="s">
        <v>48</v>
      </c>
      <c r="H397" s="2" t="s">
        <v>21</v>
      </c>
      <c r="I397" s="2" t="s">
        <v>1053</v>
      </c>
      <c r="J397" s="3" t="str">
        <f>HYPERLINK("https://www.boe.es/gazeta/dias/1823/03/05/pdfs/GMD-1823-68.pdf#page=3","Abrir facsímil")</f>
        <v>Abrir facsímil</v>
      </c>
      <c r="K397" s="3" t="s">
        <v>23</v>
      </c>
    </row>
    <row r="398" spans="1:11" ht="42" customHeight="1">
      <c r="A398" s="2" t="s">
        <v>1034</v>
      </c>
      <c r="B398" s="2" t="s">
        <v>1034</v>
      </c>
      <c r="C398" s="2" t="s">
        <v>17</v>
      </c>
      <c r="D398" s="2" t="s">
        <v>18</v>
      </c>
      <c r="E398" s="5">
        <v>-28021</v>
      </c>
      <c r="F398" s="3" t="s">
        <v>1054</v>
      </c>
      <c r="G398" s="3" t="s">
        <v>1055</v>
      </c>
      <c r="H398" s="2" t="s">
        <v>21</v>
      </c>
      <c r="I398" s="2" t="s">
        <v>1056</v>
      </c>
      <c r="J398" s="3" t="str">
        <f>HYPERLINK("https://www.boe.es/gazeta/dias/1823/04/12/pdfs/GMD-1823-107.pdf#page=4","Abrir facsímil")</f>
        <v>Abrir facsímil</v>
      </c>
      <c r="K398" s="3" t="s">
        <v>23</v>
      </c>
    </row>
    <row r="399" spans="1:11" ht="42" customHeight="1">
      <c r="A399" s="2" t="s">
        <v>1034</v>
      </c>
      <c r="B399" s="2" t="s">
        <v>1034</v>
      </c>
      <c r="C399" s="2" t="s">
        <v>17</v>
      </c>
      <c r="D399" s="2" t="s">
        <v>18</v>
      </c>
      <c r="E399" s="5">
        <v>-28008</v>
      </c>
      <c r="F399" s="3" t="s">
        <v>309</v>
      </c>
      <c r="G399" s="3" t="s">
        <v>27</v>
      </c>
      <c r="H399" s="2" t="s">
        <v>21</v>
      </c>
      <c r="I399" s="2" t="s">
        <v>1057</v>
      </c>
      <c r="J399" s="3" t="str">
        <f>HYPERLINK("https://www.boe.es/gazeta/dias/1823/04/25/pdfs/GES-1823-15.pdf#page=2","Abrir facsímil")</f>
        <v>Abrir facsímil</v>
      </c>
      <c r="K399" s="3" t="s">
        <v>23</v>
      </c>
    </row>
    <row r="400" spans="1:11" ht="42" customHeight="1">
      <c r="A400" s="2" t="s">
        <v>1034</v>
      </c>
      <c r="B400" s="2" t="s">
        <v>1034</v>
      </c>
      <c r="C400" s="2" t="s">
        <v>17</v>
      </c>
      <c r="D400" s="2" t="s">
        <v>18</v>
      </c>
      <c r="E400" s="5">
        <v>-27998</v>
      </c>
      <c r="F400" s="3" t="s">
        <v>1058</v>
      </c>
      <c r="G400" s="3" t="s">
        <v>34</v>
      </c>
      <c r="H400" s="2" t="s">
        <v>21</v>
      </c>
      <c r="I400" s="2" t="s">
        <v>1059</v>
      </c>
      <c r="J400" s="3" t="str">
        <f>HYPERLINK("https://www.boe.es/gazeta/dias/1823/05/05/pdfs/GES-1823-25.pdf#page=5","Abrir facsímil")</f>
        <v>Abrir facsímil</v>
      </c>
      <c r="K400" s="3" t="s">
        <v>23</v>
      </c>
    </row>
    <row r="401" spans="1:11" ht="42" customHeight="1">
      <c r="A401" s="2" t="s">
        <v>1034</v>
      </c>
      <c r="B401" s="2" t="s">
        <v>1034</v>
      </c>
      <c r="C401" s="2" t="s">
        <v>17</v>
      </c>
      <c r="D401" s="2" t="s">
        <v>18</v>
      </c>
      <c r="E401" s="5">
        <v>-27997</v>
      </c>
      <c r="F401" s="3" t="s">
        <v>937</v>
      </c>
      <c r="G401" s="3" t="s">
        <v>48</v>
      </c>
      <c r="H401" s="2" t="s">
        <v>21</v>
      </c>
      <c r="I401" s="2" t="s">
        <v>1060</v>
      </c>
      <c r="J401" s="3" t="str">
        <f>HYPERLINK("https://www.boe.es/gazeta/dias/1823/05/06/pdfs/GMD-1823-102.pdf#page=3","Abrir facsímil")</f>
        <v>Abrir facsímil</v>
      </c>
      <c r="K401" s="3" t="s">
        <v>23</v>
      </c>
    </row>
    <row r="402" spans="1:11" ht="42" customHeight="1">
      <c r="A402" s="2" t="s">
        <v>1034</v>
      </c>
      <c r="B402" s="2" t="s">
        <v>1034</v>
      </c>
      <c r="C402" s="2" t="s">
        <v>17</v>
      </c>
      <c r="D402" s="2" t="s">
        <v>18</v>
      </c>
      <c r="E402" s="5">
        <v>-27993</v>
      </c>
      <c r="F402" s="3" t="s">
        <v>977</v>
      </c>
      <c r="G402" s="3" t="s">
        <v>48</v>
      </c>
      <c r="H402" s="2" t="s">
        <v>21</v>
      </c>
      <c r="I402" s="2" t="s">
        <v>1061</v>
      </c>
      <c r="J402" s="3" t="str">
        <f>HYPERLINK("https://www.boe.es/gazeta/dias/1823/05/10/pdfs/GES-1823-30.pdf#page=3","Abrir facsímil")</f>
        <v>Abrir facsímil</v>
      </c>
      <c r="K402" s="3" t="s">
        <v>23</v>
      </c>
    </row>
    <row r="403" spans="1:11" ht="42" customHeight="1">
      <c r="A403" s="2" t="s">
        <v>1034</v>
      </c>
      <c r="B403" s="2" t="s">
        <v>1034</v>
      </c>
      <c r="C403" s="2" t="s">
        <v>17</v>
      </c>
      <c r="D403" s="2" t="s">
        <v>18</v>
      </c>
      <c r="E403" s="5">
        <v>-27993</v>
      </c>
      <c r="F403" s="3" t="s">
        <v>1062</v>
      </c>
      <c r="G403" s="3" t="s">
        <v>34</v>
      </c>
      <c r="H403" s="2" t="s">
        <v>21</v>
      </c>
      <c r="I403" s="2" t="s">
        <v>1063</v>
      </c>
      <c r="J403" s="3" t="str">
        <f>HYPERLINK("https://www.boe.es/gazeta/dias/1823/05/10/pdfs/GMD-1823-122.pdf#page=5","Abrir facsímil")</f>
        <v>Abrir facsímil</v>
      </c>
      <c r="K403" s="3" t="s">
        <v>23</v>
      </c>
    </row>
    <row r="404" spans="1:11" ht="42" customHeight="1">
      <c r="A404" s="2" t="s">
        <v>1034</v>
      </c>
      <c r="B404" s="2" t="s">
        <v>1034</v>
      </c>
      <c r="C404" s="2" t="s">
        <v>109</v>
      </c>
      <c r="D404" s="2" t="s">
        <v>74</v>
      </c>
      <c r="E404" s="5">
        <v>-27986</v>
      </c>
      <c r="F404" s="3" t="s">
        <v>75</v>
      </c>
      <c r="G404" s="3" t="s">
        <v>20</v>
      </c>
      <c r="H404" s="2" t="s">
        <v>21</v>
      </c>
      <c r="I404" s="2" t="s">
        <v>1064</v>
      </c>
      <c r="J404" s="3" t="str">
        <f>HYPERLINK("https://www.boe.es/gazeta/dias/1823/05/17/pdfs/GES-1823-37.pdf#page=4","Abrir facsímil")</f>
        <v>Abrir facsímil</v>
      </c>
      <c r="K404" s="3" t="s">
        <v>23</v>
      </c>
    </row>
    <row r="405" spans="1:11" ht="42" customHeight="1">
      <c r="A405" s="2" t="s">
        <v>1034</v>
      </c>
      <c r="B405" s="2" t="s">
        <v>1034</v>
      </c>
      <c r="C405" s="2" t="s">
        <v>109</v>
      </c>
      <c r="D405" s="2" t="s">
        <v>74</v>
      </c>
      <c r="E405" s="5">
        <v>-27986</v>
      </c>
      <c r="F405" s="3" t="s">
        <v>75</v>
      </c>
      <c r="G405" s="3" t="s">
        <v>59</v>
      </c>
      <c r="H405" s="2" t="s">
        <v>21</v>
      </c>
      <c r="I405" s="2" t="s">
        <v>1065</v>
      </c>
      <c r="J405" s="3" t="str">
        <f>HYPERLINK("https://www.boe.es/gazeta/dias/1823/05/17/pdfs/GES-1823-37.pdf#page=6","Abrir facsímil")</f>
        <v>Abrir facsímil</v>
      </c>
      <c r="K405" s="3" t="s">
        <v>23</v>
      </c>
    </row>
    <row r="406" spans="1:11" ht="42" customHeight="1">
      <c r="A406" s="2" t="s">
        <v>1034</v>
      </c>
      <c r="B406" s="2" t="s">
        <v>1034</v>
      </c>
      <c r="C406" s="2" t="s">
        <v>109</v>
      </c>
      <c r="D406" s="2" t="s">
        <v>74</v>
      </c>
      <c r="E406" s="5">
        <v>-27982</v>
      </c>
      <c r="F406" s="3" t="s">
        <v>340</v>
      </c>
      <c r="G406" s="3" t="s">
        <v>27</v>
      </c>
      <c r="H406" s="2" t="s">
        <v>21</v>
      </c>
      <c r="I406" s="2" t="s">
        <v>1066</v>
      </c>
      <c r="J406" s="3" t="str">
        <f>HYPERLINK("https://www.boe.es/gazeta/dias/1823/05/21/pdfs/GES-1823-42.pdf#page=2","Abrir facsímil")</f>
        <v>Abrir facsímil</v>
      </c>
      <c r="K406" s="3" t="s">
        <v>23</v>
      </c>
    </row>
    <row r="407" spans="1:11" ht="42" customHeight="1">
      <c r="A407" s="2" t="s">
        <v>1034</v>
      </c>
      <c r="B407" s="2" t="s">
        <v>1034</v>
      </c>
      <c r="C407" s="2" t="s">
        <v>109</v>
      </c>
      <c r="D407" s="2" t="s">
        <v>74</v>
      </c>
      <c r="E407" s="5">
        <v>-27982</v>
      </c>
      <c r="F407" s="3" t="s">
        <v>340</v>
      </c>
      <c r="G407" s="3" t="s">
        <v>20</v>
      </c>
      <c r="H407" s="2" t="s">
        <v>21</v>
      </c>
      <c r="I407" s="2" t="s">
        <v>1067</v>
      </c>
      <c r="J407" s="3" t="str">
        <f>HYPERLINK("https://www.boe.es/gazeta/dias/1823/05/21/pdfs/GES-1823-42.pdf#page=4","Abrir facsímil")</f>
        <v>Abrir facsímil</v>
      </c>
      <c r="K407" s="3" t="s">
        <v>23</v>
      </c>
    </row>
    <row r="408" spans="1:11" ht="42" customHeight="1">
      <c r="A408" s="2" t="s">
        <v>1034</v>
      </c>
      <c r="B408" s="2" t="s">
        <v>1034</v>
      </c>
      <c r="C408" s="2" t="s">
        <v>17</v>
      </c>
      <c r="D408" s="2" t="s">
        <v>18</v>
      </c>
      <c r="E408" s="5">
        <v>-27980</v>
      </c>
      <c r="F408" s="3" t="s">
        <v>1068</v>
      </c>
      <c r="G408" s="3" t="s">
        <v>39</v>
      </c>
      <c r="H408" s="2" t="s">
        <v>21</v>
      </c>
      <c r="I408" s="2" t="s">
        <v>1069</v>
      </c>
      <c r="J408" s="3" t="str">
        <f>HYPERLINK("https://www.boe.es/gazeta/dias/1823/05/23/pdfs/GES-1823-44.pdf#page=1","Abrir facsímil")</f>
        <v>Abrir facsímil</v>
      </c>
      <c r="K408" s="3" t="s">
        <v>23</v>
      </c>
    </row>
    <row r="409" spans="1:11" ht="42" customHeight="1">
      <c r="A409" s="2" t="s">
        <v>1034</v>
      </c>
      <c r="B409" s="2" t="s">
        <v>1034</v>
      </c>
      <c r="C409" s="2" t="s">
        <v>109</v>
      </c>
      <c r="D409" s="2" t="s">
        <v>74</v>
      </c>
      <c r="E409" s="5">
        <v>-27980</v>
      </c>
      <c r="F409" s="3" t="s">
        <v>1068</v>
      </c>
      <c r="G409" s="3" t="s">
        <v>20</v>
      </c>
      <c r="H409" s="2" t="s">
        <v>21</v>
      </c>
      <c r="I409" s="2" t="s">
        <v>1070</v>
      </c>
      <c r="J409" s="3" t="str">
        <f>HYPERLINK("https://www.boe.es/gazeta/dias/1823/05/23/pdfs/GES-1823-44.pdf#page=4","Abrir facsímil")</f>
        <v>Abrir facsímil</v>
      </c>
      <c r="K409" s="3" t="s">
        <v>23</v>
      </c>
    </row>
    <row r="410" spans="1:11" ht="42" customHeight="1">
      <c r="A410" s="2" t="s">
        <v>1034</v>
      </c>
      <c r="B410" s="2" t="s">
        <v>1034</v>
      </c>
      <c r="C410" s="2" t="s">
        <v>17</v>
      </c>
      <c r="D410" s="2" t="s">
        <v>18</v>
      </c>
      <c r="E410" s="5">
        <v>-27979</v>
      </c>
      <c r="F410" s="3" t="s">
        <v>1071</v>
      </c>
      <c r="G410" s="3" t="s">
        <v>27</v>
      </c>
      <c r="H410" s="2" t="s">
        <v>21</v>
      </c>
      <c r="I410" s="2" t="s">
        <v>1072</v>
      </c>
      <c r="J410" s="3" t="str">
        <f>HYPERLINK("https://www.boe.es/gazeta/dias/1823/05/24/pdfs/GES-1823-45.pdf#page=2","Abrir facsímil")</f>
        <v>Abrir facsímil</v>
      </c>
      <c r="K410" s="3" t="s">
        <v>23</v>
      </c>
    </row>
    <row r="411" spans="1:11" ht="42" customHeight="1">
      <c r="A411" s="2" t="s">
        <v>1034</v>
      </c>
      <c r="B411" s="2" t="s">
        <v>1034</v>
      </c>
      <c r="C411" s="2" t="s">
        <v>73</v>
      </c>
      <c r="D411" s="2" t="s">
        <v>74</v>
      </c>
      <c r="E411" s="5">
        <v>-27970</v>
      </c>
      <c r="F411" s="3" t="s">
        <v>1030</v>
      </c>
      <c r="G411" s="3" t="s">
        <v>39</v>
      </c>
      <c r="H411" s="2" t="s">
        <v>21</v>
      </c>
      <c r="I411" s="2" t="s">
        <v>1073</v>
      </c>
      <c r="J411" s="3" t="str">
        <f>HYPERLINK("https://www.boe.es/gazeta/dias/1823/06/02/pdfs/GES-1823-56.pdf#page=1","Abrir facsímil")</f>
        <v>Abrir facsímil</v>
      </c>
      <c r="K411" s="3" t="s">
        <v>23</v>
      </c>
    </row>
    <row r="412" spans="1:11" ht="42" customHeight="1">
      <c r="A412" s="2" t="s">
        <v>1034</v>
      </c>
      <c r="B412" s="2" t="s">
        <v>1034</v>
      </c>
      <c r="C412" s="2" t="s">
        <v>73</v>
      </c>
      <c r="D412" s="2" t="s">
        <v>74</v>
      </c>
      <c r="E412" s="5">
        <v>-27970</v>
      </c>
      <c r="F412" s="3" t="s">
        <v>1030</v>
      </c>
      <c r="G412" s="3" t="s">
        <v>27</v>
      </c>
      <c r="H412" s="2" t="s">
        <v>21</v>
      </c>
      <c r="I412" s="2" t="s">
        <v>1074</v>
      </c>
      <c r="J412" s="3" t="str">
        <f>HYPERLINK("https://www.boe.es/gazeta/dias/1823/06/02/pdfs/GES-1823-56.pdf#page=2","Abrir facsímil")</f>
        <v>Abrir facsímil</v>
      </c>
      <c r="K412" s="3" t="s">
        <v>23</v>
      </c>
    </row>
    <row r="413" spans="1:11" ht="42" customHeight="1">
      <c r="A413" s="2" t="s">
        <v>1034</v>
      </c>
      <c r="B413" s="2" t="s">
        <v>1034</v>
      </c>
      <c r="C413" s="2" t="s">
        <v>17</v>
      </c>
      <c r="D413" s="2" t="s">
        <v>18</v>
      </c>
      <c r="E413" s="5">
        <v>-27970</v>
      </c>
      <c r="F413" s="3" t="s">
        <v>1030</v>
      </c>
      <c r="G413" s="3" t="s">
        <v>48</v>
      </c>
      <c r="H413" s="2" t="s">
        <v>21</v>
      </c>
      <c r="I413" s="2" t="s">
        <v>1075</v>
      </c>
      <c r="J413" s="3" t="str">
        <f>HYPERLINK("https://www.boe.es/gazeta/dias/1823/06/02/pdfs/GES-1823-56.pdf#page=3","Abrir facsímil")</f>
        <v>Abrir facsímil</v>
      </c>
      <c r="K413" s="3" t="s">
        <v>23</v>
      </c>
    </row>
    <row r="414" spans="1:11" ht="42" customHeight="1">
      <c r="A414" s="2" t="s">
        <v>1034</v>
      </c>
      <c r="B414" s="2" t="s">
        <v>1034</v>
      </c>
      <c r="C414" s="2" t="s">
        <v>109</v>
      </c>
      <c r="D414" s="2" t="s">
        <v>74</v>
      </c>
      <c r="E414" s="5">
        <v>-27939</v>
      </c>
      <c r="F414" s="3" t="s">
        <v>1076</v>
      </c>
      <c r="G414" s="3" t="s">
        <v>48</v>
      </c>
      <c r="H414" s="2" t="s">
        <v>21</v>
      </c>
      <c r="I414" s="2" t="s">
        <v>1077</v>
      </c>
      <c r="J414" s="3" t="str">
        <f>HYPERLINK("https://www.boe.es/gazeta/dias/1823/07/03/pdfs/GES-1823-83.pdf#page=3","Abrir facsímil")</f>
        <v>Abrir facsímil</v>
      </c>
      <c r="K414" s="3" t="s">
        <v>23</v>
      </c>
    </row>
    <row r="415" spans="1:11" ht="42" customHeight="1">
      <c r="A415" s="2" t="s">
        <v>1034</v>
      </c>
      <c r="B415" s="2" t="s">
        <v>1034</v>
      </c>
      <c r="C415" s="2" t="s">
        <v>79</v>
      </c>
      <c r="D415" s="2" t="s">
        <v>74</v>
      </c>
      <c r="E415" s="5">
        <v>-27935</v>
      </c>
      <c r="F415" s="3" t="s">
        <v>350</v>
      </c>
      <c r="G415" s="3" t="s">
        <v>39</v>
      </c>
      <c r="H415" s="2" t="s">
        <v>21</v>
      </c>
      <c r="I415" s="2" t="s">
        <v>1078</v>
      </c>
      <c r="J415" s="3" t="str">
        <f>HYPERLINK("https://www.boe.es/gazeta/dias/1823/07/07/pdfs/GES-1823-87.pdf#page=1","Abrir facsímil")</f>
        <v>Abrir facsímil</v>
      </c>
      <c r="K415" s="3" t="s">
        <v>23</v>
      </c>
    </row>
    <row r="416" spans="1:11" ht="42" customHeight="1">
      <c r="A416" s="2" t="s">
        <v>1034</v>
      </c>
      <c r="B416" s="2" t="s">
        <v>1034</v>
      </c>
      <c r="C416" s="2" t="s">
        <v>56</v>
      </c>
      <c r="D416" s="2" t="s">
        <v>57</v>
      </c>
      <c r="E416" s="5">
        <v>-27933</v>
      </c>
      <c r="F416" s="3" t="s">
        <v>1079</v>
      </c>
      <c r="G416" s="3" t="s">
        <v>48</v>
      </c>
      <c r="H416" s="2" t="s">
        <v>21</v>
      </c>
      <c r="I416" s="2" t="s">
        <v>1080</v>
      </c>
      <c r="J416" s="3" t="str">
        <f>HYPERLINK("https://www.boe.es/gazeta/dias/1823/07/09/pdfs/GES-1823-89.pdf#page=3","Abrir facsímil")</f>
        <v>Abrir facsímil</v>
      </c>
      <c r="K416" s="3" t="s">
        <v>23</v>
      </c>
    </row>
    <row r="417" spans="1:11" ht="42" customHeight="1">
      <c r="A417" s="2" t="s">
        <v>1081</v>
      </c>
      <c r="B417" s="2" t="s">
        <v>1082</v>
      </c>
      <c r="C417" s="2" t="s">
        <v>17</v>
      </c>
      <c r="D417" s="2" t="s">
        <v>18</v>
      </c>
      <c r="E417" s="5">
        <v>-27848</v>
      </c>
      <c r="F417" s="3" t="s">
        <v>1083</v>
      </c>
      <c r="G417" s="3" t="s">
        <v>1084</v>
      </c>
      <c r="H417" s="2" t="s">
        <v>21</v>
      </c>
      <c r="I417" s="2" t="s">
        <v>1085</v>
      </c>
      <c r="J417" s="3" t="str">
        <f>HYPERLINK("https://www.boe.es/gazeta/dias/1823/10/02/pdfs/GES-1823-176.pdf#page=3","Abrir facsímil")</f>
        <v>Abrir facsímil</v>
      </c>
      <c r="K417" s="3" t="s">
        <v>23</v>
      </c>
    </row>
    <row r="418" spans="1:11" ht="42" customHeight="1">
      <c r="A418" s="2" t="s">
        <v>1086</v>
      </c>
      <c r="B418" s="2" t="s">
        <v>1087</v>
      </c>
      <c r="C418" s="2" t="s">
        <v>17</v>
      </c>
      <c r="D418" s="2" t="s">
        <v>18</v>
      </c>
      <c r="E418" s="5">
        <v>-27995</v>
      </c>
      <c r="F418" s="3" t="s">
        <v>326</v>
      </c>
      <c r="G418" s="3" t="s">
        <v>39</v>
      </c>
      <c r="H418" s="2" t="s">
        <v>21</v>
      </c>
      <c r="I418" s="2" t="s">
        <v>1088</v>
      </c>
      <c r="J418" s="3" t="str">
        <f>HYPERLINK("https://www.boe.es/gazeta/dias/1823/05/08/pdfs/GMD-1823-112.pdf#page=1","Abrir facsímil")</f>
        <v>Abrir facsímil</v>
      </c>
      <c r="K418" s="3" t="s">
        <v>23</v>
      </c>
    </row>
    <row r="419" spans="1:11" ht="42" customHeight="1">
      <c r="A419" s="2" t="s">
        <v>1089</v>
      </c>
      <c r="B419" s="2" t="s">
        <v>1090</v>
      </c>
      <c r="C419" s="2" t="s">
        <v>56</v>
      </c>
      <c r="D419" s="2" t="s">
        <v>57</v>
      </c>
      <c r="E419" s="5">
        <v>-28085</v>
      </c>
      <c r="F419" s="3" t="s">
        <v>458</v>
      </c>
      <c r="G419" s="3" t="s">
        <v>20</v>
      </c>
      <c r="H419" s="2" t="s">
        <v>21</v>
      </c>
      <c r="I419" s="2" t="s">
        <v>1091</v>
      </c>
      <c r="J419" s="3" t="str">
        <f>HYPERLINK("https://www.boe.es/gazeta/dias/1823/02/07/pdfs/GMD-1823-40.pdf#page=4","Abrir facsímil")</f>
        <v>Abrir facsímil</v>
      </c>
      <c r="K419" s="3" t="s">
        <v>23</v>
      </c>
    </row>
    <row r="420" spans="1:11" ht="42" customHeight="1">
      <c r="A420" s="2" t="s">
        <v>1092</v>
      </c>
      <c r="B420" s="2" t="s">
        <v>1093</v>
      </c>
      <c r="C420" s="2" t="s">
        <v>73</v>
      </c>
      <c r="D420" s="2" t="s">
        <v>74</v>
      </c>
      <c r="E420" s="5">
        <v>-28119</v>
      </c>
      <c r="F420" s="3" t="s">
        <v>545</v>
      </c>
      <c r="G420" s="3" t="s">
        <v>20</v>
      </c>
      <c r="H420" s="2" t="s">
        <v>21</v>
      </c>
      <c r="I420" s="2" t="s">
        <v>1094</v>
      </c>
      <c r="J420" s="3" t="str">
        <f>HYPERLINK("https://www.boe.es/gazeta/dias/1823/01/04/pdfs/GMD-1823-4.pdf#page=4","Abrir facsímil")</f>
        <v>Abrir facsímil</v>
      </c>
      <c r="K420" s="3" t="s">
        <v>23</v>
      </c>
    </row>
    <row r="421" spans="1:11" ht="42" customHeight="1">
      <c r="A421" s="2" t="s">
        <v>1092</v>
      </c>
      <c r="B421" s="2" t="s">
        <v>1093</v>
      </c>
      <c r="C421" s="2" t="s">
        <v>79</v>
      </c>
      <c r="D421" s="2" t="s">
        <v>74</v>
      </c>
      <c r="E421" s="5">
        <v>-28119</v>
      </c>
      <c r="F421" s="3" t="s">
        <v>545</v>
      </c>
      <c r="G421" s="3" t="s">
        <v>34</v>
      </c>
      <c r="H421" s="2" t="s">
        <v>21</v>
      </c>
      <c r="I421" s="2" t="s">
        <v>1095</v>
      </c>
      <c r="J421" s="3" t="str">
        <f>HYPERLINK("https://www.boe.es/gazeta/dias/1823/01/04/pdfs/GMD-1823-4.pdf#page=5","Abrir facsímil")</f>
        <v>Abrir facsímil</v>
      </c>
      <c r="K421" s="3" t="s">
        <v>23</v>
      </c>
    </row>
    <row r="422" spans="1:11" ht="42" customHeight="1">
      <c r="A422" s="2" t="s">
        <v>1092</v>
      </c>
      <c r="B422" s="2" t="s">
        <v>1093</v>
      </c>
      <c r="C422" s="2" t="s">
        <v>79</v>
      </c>
      <c r="D422" s="2" t="s">
        <v>74</v>
      </c>
      <c r="E422" s="5">
        <v>-28118</v>
      </c>
      <c r="F422" s="3" t="s">
        <v>252</v>
      </c>
      <c r="G422" s="3" t="s">
        <v>48</v>
      </c>
      <c r="H422" s="2" t="s">
        <v>21</v>
      </c>
      <c r="I422" s="2" t="s">
        <v>1096</v>
      </c>
      <c r="J422" s="3" t="str">
        <f>HYPERLINK("https://www.boe.es/gazeta/dias/1823/01/05/pdfs/GMD-1823-5.pdf#page=3","Abrir facsímil")</f>
        <v>Abrir facsímil</v>
      </c>
      <c r="K422" s="3" t="s">
        <v>23</v>
      </c>
    </row>
    <row r="423" spans="1:11" ht="42" customHeight="1">
      <c r="A423" s="2" t="s">
        <v>1092</v>
      </c>
      <c r="B423" s="2" t="s">
        <v>1093</v>
      </c>
      <c r="C423" s="2" t="s">
        <v>79</v>
      </c>
      <c r="D423" s="2" t="s">
        <v>74</v>
      </c>
      <c r="E423" s="5">
        <v>-28109</v>
      </c>
      <c r="F423" s="3" t="s">
        <v>889</v>
      </c>
      <c r="G423" s="3" t="s">
        <v>48</v>
      </c>
      <c r="H423" s="2" t="s">
        <v>21</v>
      </c>
      <c r="I423" s="2" t="s">
        <v>1097</v>
      </c>
      <c r="J423" s="3" t="str">
        <f>HYPERLINK("https://www.boe.es/gazeta/dias/1823/01/14/pdfs/GMD-1823-14.pdf#page=3","Abrir facsímil")</f>
        <v>Abrir facsímil</v>
      </c>
      <c r="K423" s="3" t="s">
        <v>23</v>
      </c>
    </row>
    <row r="424" spans="1:11" ht="42" customHeight="1">
      <c r="A424" s="2" t="s">
        <v>1092</v>
      </c>
      <c r="B424" s="2" t="s">
        <v>1093</v>
      </c>
      <c r="C424" s="2" t="s">
        <v>79</v>
      </c>
      <c r="D424" s="2" t="s">
        <v>74</v>
      </c>
      <c r="E424" s="5">
        <v>-28108</v>
      </c>
      <c r="F424" s="3" t="s">
        <v>406</v>
      </c>
      <c r="G424" s="3" t="s">
        <v>27</v>
      </c>
      <c r="H424" s="2" t="s">
        <v>21</v>
      </c>
      <c r="I424" s="2" t="s">
        <v>1098</v>
      </c>
      <c r="J424" s="3" t="str">
        <f>HYPERLINK("https://www.boe.es/gazeta/dias/1823/01/15/pdfs/GMD-1823-15.pdf#page=2","Abrir facsímil")</f>
        <v>Abrir facsímil</v>
      </c>
      <c r="K424" s="3" t="s">
        <v>23</v>
      </c>
    </row>
    <row r="425" spans="1:11" ht="42" customHeight="1">
      <c r="A425" s="2" t="s">
        <v>1092</v>
      </c>
      <c r="B425" s="2" t="s">
        <v>1093</v>
      </c>
      <c r="C425" s="2" t="s">
        <v>56</v>
      </c>
      <c r="D425" s="2" t="s">
        <v>57</v>
      </c>
      <c r="E425" s="5">
        <v>-28107</v>
      </c>
      <c r="F425" s="3" t="s">
        <v>278</v>
      </c>
      <c r="G425" s="3" t="s">
        <v>27</v>
      </c>
      <c r="H425" s="2" t="s">
        <v>21</v>
      </c>
      <c r="I425" s="2" t="s">
        <v>1099</v>
      </c>
      <c r="J425" s="3" t="str">
        <f>HYPERLINK("https://www.boe.es/gazeta/dias/1823/01/16/pdfs/GMD-1823-16.pdf#page=2","Abrir facsímil")</f>
        <v>Abrir facsímil</v>
      </c>
      <c r="K425" s="3" t="s">
        <v>23</v>
      </c>
    </row>
    <row r="426" spans="1:11" ht="42" customHeight="1">
      <c r="A426" s="2" t="s">
        <v>1092</v>
      </c>
      <c r="B426" s="2" t="s">
        <v>1093</v>
      </c>
      <c r="C426" s="2" t="s">
        <v>17</v>
      </c>
      <c r="D426" s="2" t="s">
        <v>18</v>
      </c>
      <c r="E426" s="5">
        <v>-28103</v>
      </c>
      <c r="F426" s="3" t="s">
        <v>285</v>
      </c>
      <c r="G426" s="3" t="s">
        <v>27</v>
      </c>
      <c r="H426" s="2" t="s">
        <v>21</v>
      </c>
      <c r="I426" s="2" t="s">
        <v>1100</v>
      </c>
      <c r="J426" s="3" t="str">
        <f>HYPERLINK("https://www.boe.es/gazeta/dias/1823/01/20/pdfs/GMD-1823-20.pdf#page=2","Abrir facsímil")</f>
        <v>Abrir facsímil</v>
      </c>
      <c r="K426" s="3" t="s">
        <v>23</v>
      </c>
    </row>
    <row r="427" spans="1:11" ht="42" customHeight="1">
      <c r="A427" s="2" t="s">
        <v>1092</v>
      </c>
      <c r="B427" s="2" t="s">
        <v>1093</v>
      </c>
      <c r="C427" s="2" t="s">
        <v>17</v>
      </c>
      <c r="D427" s="2" t="s">
        <v>18</v>
      </c>
      <c r="E427" s="5">
        <v>-28098</v>
      </c>
      <c r="F427" s="3" t="s">
        <v>1101</v>
      </c>
      <c r="G427" s="3" t="s">
        <v>48</v>
      </c>
      <c r="H427" s="2" t="s">
        <v>21</v>
      </c>
      <c r="I427" s="2" t="s">
        <v>1102</v>
      </c>
      <c r="J427" s="3" t="str">
        <f>HYPERLINK("https://www.boe.es/gazeta/dias/1823/01/25/pdfs/GMD-1823-26.pdf#page=3","Abrir facsímil")</f>
        <v>Abrir facsímil</v>
      </c>
      <c r="K427" s="3" t="s">
        <v>23</v>
      </c>
    </row>
    <row r="428" spans="1:11" ht="42" customHeight="1">
      <c r="A428" s="2" t="s">
        <v>1092</v>
      </c>
      <c r="B428" s="2" t="s">
        <v>1093</v>
      </c>
      <c r="C428" s="2" t="s">
        <v>79</v>
      </c>
      <c r="D428" s="2" t="s">
        <v>74</v>
      </c>
      <c r="E428" s="5">
        <v>-28090</v>
      </c>
      <c r="F428" s="3" t="s">
        <v>174</v>
      </c>
      <c r="G428" s="3" t="s">
        <v>1103</v>
      </c>
      <c r="H428" s="2" t="s">
        <v>21</v>
      </c>
      <c r="I428" s="2" t="s">
        <v>1104</v>
      </c>
      <c r="J428" s="3" t="str">
        <f>HYPERLINK("https://www.boe.es/gazeta/dias/1823/02/02/pdfs/GMD-1823-35.pdf#page=2","Abrir facsímil")</f>
        <v>Abrir facsímil</v>
      </c>
      <c r="K428" s="3" t="s">
        <v>23</v>
      </c>
    </row>
    <row r="429" spans="1:11" ht="42" customHeight="1">
      <c r="A429" s="2" t="s">
        <v>1092</v>
      </c>
      <c r="B429" s="2" t="s">
        <v>1093</v>
      </c>
      <c r="C429" s="2" t="s">
        <v>109</v>
      </c>
      <c r="D429" s="2" t="s">
        <v>74</v>
      </c>
      <c r="E429" s="5">
        <v>-28085</v>
      </c>
      <c r="F429" s="3" t="s">
        <v>458</v>
      </c>
      <c r="G429" s="3" t="s">
        <v>48</v>
      </c>
      <c r="H429" s="2" t="s">
        <v>21</v>
      </c>
      <c r="I429" s="2" t="s">
        <v>1105</v>
      </c>
      <c r="J429" s="3" t="str">
        <f>HYPERLINK("https://www.boe.es/gazeta/dias/1823/02/07/pdfs/GMD-1823-40.pdf#page=3","Abrir facsímil")</f>
        <v>Abrir facsímil</v>
      </c>
      <c r="K429" s="3" t="s">
        <v>23</v>
      </c>
    </row>
    <row r="430" spans="1:11" ht="42" customHeight="1">
      <c r="A430" s="2" t="s">
        <v>1092</v>
      </c>
      <c r="B430" s="2" t="s">
        <v>1093</v>
      </c>
      <c r="C430" s="2" t="s">
        <v>17</v>
      </c>
      <c r="D430" s="2" t="s">
        <v>18</v>
      </c>
      <c r="E430" s="5">
        <v>-28085</v>
      </c>
      <c r="F430" s="3" t="s">
        <v>458</v>
      </c>
      <c r="G430" s="3" t="s">
        <v>20</v>
      </c>
      <c r="H430" s="2" t="s">
        <v>21</v>
      </c>
      <c r="I430" s="2" t="s">
        <v>1106</v>
      </c>
      <c r="J430" s="3" t="str">
        <f>HYPERLINK("https://www.boe.es/gazeta/dias/1823/02/07/pdfs/GMD-1823-40.pdf#page=4","Abrir facsímil")</f>
        <v>Abrir facsímil</v>
      </c>
      <c r="K430" s="3" t="s">
        <v>23</v>
      </c>
    </row>
    <row r="431" spans="1:11" ht="42" customHeight="1">
      <c r="A431" s="2" t="s">
        <v>1092</v>
      </c>
      <c r="B431" s="2" t="s">
        <v>1093</v>
      </c>
      <c r="C431" s="2" t="s">
        <v>17</v>
      </c>
      <c r="D431" s="2" t="s">
        <v>18</v>
      </c>
      <c r="E431" s="5">
        <v>-28060</v>
      </c>
      <c r="F431" s="3" t="s">
        <v>180</v>
      </c>
      <c r="G431" s="3" t="s">
        <v>27</v>
      </c>
      <c r="H431" s="2" t="s">
        <v>21</v>
      </c>
      <c r="I431" s="2" t="s">
        <v>1107</v>
      </c>
      <c r="J431" s="3" t="str">
        <f>HYPERLINK("https://www.boe.es/gazeta/dias/1823/03/04/pdfs/GMD-1823-67.pdf#page=2","Abrir facsímil")</f>
        <v>Abrir facsímil</v>
      </c>
      <c r="K431" s="3" t="s">
        <v>23</v>
      </c>
    </row>
    <row r="432" spans="1:11" ht="42" customHeight="1">
      <c r="A432" s="2" t="s">
        <v>1092</v>
      </c>
      <c r="B432" s="2" t="s">
        <v>1093</v>
      </c>
      <c r="C432" s="2" t="s">
        <v>17</v>
      </c>
      <c r="D432" s="2" t="s">
        <v>18</v>
      </c>
      <c r="E432" s="5">
        <v>-28057</v>
      </c>
      <c r="F432" s="3" t="s">
        <v>301</v>
      </c>
      <c r="G432" s="3" t="s">
        <v>20</v>
      </c>
      <c r="H432" s="2" t="s">
        <v>21</v>
      </c>
      <c r="I432" s="2" t="s">
        <v>1108</v>
      </c>
      <c r="J432" s="3" t="str">
        <f>HYPERLINK("https://www.boe.es/gazeta/dias/1823/03/07/pdfs/GMD-1823-70.pdf#page=4","Abrir facsímil")</f>
        <v>Abrir facsímil</v>
      </c>
      <c r="K432" s="3" t="s">
        <v>23</v>
      </c>
    </row>
    <row r="433" spans="1:11" ht="42" customHeight="1">
      <c r="A433" s="2" t="s">
        <v>1092</v>
      </c>
      <c r="B433" s="2" t="s">
        <v>1093</v>
      </c>
      <c r="C433" s="2" t="s">
        <v>17</v>
      </c>
      <c r="D433" s="2" t="s">
        <v>18</v>
      </c>
      <c r="E433" s="5">
        <v>-28055</v>
      </c>
      <c r="F433" s="3" t="s">
        <v>313</v>
      </c>
      <c r="G433" s="3" t="s">
        <v>27</v>
      </c>
      <c r="H433" s="2" t="s">
        <v>21</v>
      </c>
      <c r="I433" s="2" t="s">
        <v>1109</v>
      </c>
      <c r="J433" s="3" t="str">
        <f>HYPERLINK("https://www.boe.es/gazeta/dias/1823/03/09/pdfs/GMD-1823-72.pdf#page=2","Abrir facsímil")</f>
        <v>Abrir facsímil</v>
      </c>
      <c r="K433" s="3" t="s">
        <v>23</v>
      </c>
    </row>
    <row r="434" spans="1:11" ht="42" customHeight="1">
      <c r="A434" s="2" t="s">
        <v>1092</v>
      </c>
      <c r="B434" s="2" t="s">
        <v>1093</v>
      </c>
      <c r="C434" s="2" t="s">
        <v>17</v>
      </c>
      <c r="D434" s="2" t="s">
        <v>18</v>
      </c>
      <c r="E434" s="5">
        <v>-28009</v>
      </c>
      <c r="F434" s="3" t="s">
        <v>307</v>
      </c>
      <c r="G434" s="3" t="s">
        <v>48</v>
      </c>
      <c r="H434" s="2" t="s">
        <v>21</v>
      </c>
      <c r="I434" s="2" t="s">
        <v>1110</v>
      </c>
      <c r="J434" s="3" t="str">
        <f>HYPERLINK("https://www.boe.es/gazeta/dias/1823/04/24/pdfs/GES-1823-14.pdf#page=3","Abrir facsímil")</f>
        <v>Abrir facsímil</v>
      </c>
      <c r="K434" s="3" t="s">
        <v>23</v>
      </c>
    </row>
    <row r="435" spans="1:11" ht="42" customHeight="1">
      <c r="A435" s="2" t="s">
        <v>1092</v>
      </c>
      <c r="B435" s="2" t="s">
        <v>1093</v>
      </c>
      <c r="C435" s="2" t="s">
        <v>17</v>
      </c>
      <c r="D435" s="2" t="s">
        <v>18</v>
      </c>
      <c r="E435" s="5">
        <v>-28008</v>
      </c>
      <c r="F435" s="3" t="s">
        <v>309</v>
      </c>
      <c r="G435" s="3" t="s">
        <v>27</v>
      </c>
      <c r="H435" s="2" t="s">
        <v>21</v>
      </c>
      <c r="I435" s="2" t="s">
        <v>1111</v>
      </c>
      <c r="J435" s="3" t="str">
        <f>HYPERLINK("https://www.boe.es/gazeta/dias/1823/04/25/pdfs/GES-1823-15.pdf#page=2","Abrir facsímil")</f>
        <v>Abrir facsímil</v>
      </c>
      <c r="K435" s="3" t="s">
        <v>23</v>
      </c>
    </row>
    <row r="436" spans="1:11" ht="42" customHeight="1">
      <c r="A436" s="2" t="s">
        <v>1092</v>
      </c>
      <c r="B436" s="2" t="s">
        <v>1093</v>
      </c>
      <c r="C436" s="2" t="s">
        <v>17</v>
      </c>
      <c r="D436" s="2" t="s">
        <v>18</v>
      </c>
      <c r="E436" s="5">
        <v>-28008</v>
      </c>
      <c r="F436" s="3" t="s">
        <v>309</v>
      </c>
      <c r="G436" s="3" t="s">
        <v>48</v>
      </c>
      <c r="H436" s="2" t="s">
        <v>21</v>
      </c>
      <c r="I436" s="2" t="s">
        <v>1112</v>
      </c>
      <c r="J436" s="3" t="str">
        <f>HYPERLINK("https://www.boe.es/gazeta/dias/1823/04/25/pdfs/GES-1823-15.pdf#page=3","Abrir facsímil")</f>
        <v>Abrir facsímil</v>
      </c>
      <c r="K436" s="3" t="s">
        <v>23</v>
      </c>
    </row>
    <row r="437" spans="1:11" ht="42" customHeight="1">
      <c r="A437" s="2" t="s">
        <v>1092</v>
      </c>
      <c r="B437" s="2" t="s">
        <v>1093</v>
      </c>
      <c r="C437" s="2" t="s">
        <v>17</v>
      </c>
      <c r="D437" s="2" t="s">
        <v>18</v>
      </c>
      <c r="E437" s="5">
        <v>-28004</v>
      </c>
      <c r="F437" s="3" t="s">
        <v>33</v>
      </c>
      <c r="G437" s="3" t="s">
        <v>34</v>
      </c>
      <c r="H437" s="2" t="s">
        <v>21</v>
      </c>
      <c r="I437" s="2" t="s">
        <v>1113</v>
      </c>
      <c r="J437" s="3" t="str">
        <f>HYPERLINK("https://www.boe.es/gazeta/dias/1823/04/29/pdfs/GES-1823-19.pdf#page=5","Abrir facsímil")</f>
        <v>Abrir facsímil</v>
      </c>
      <c r="K437" s="3" t="s">
        <v>23</v>
      </c>
    </row>
    <row r="438" spans="1:11" ht="42" customHeight="1">
      <c r="A438" s="2" t="s">
        <v>1092</v>
      </c>
      <c r="B438" s="2" t="s">
        <v>1093</v>
      </c>
      <c r="C438" s="2" t="s">
        <v>73</v>
      </c>
      <c r="D438" s="2" t="s">
        <v>74</v>
      </c>
      <c r="E438" s="5">
        <v>-28003</v>
      </c>
      <c r="F438" s="3" t="s">
        <v>26</v>
      </c>
      <c r="G438" s="3" t="s">
        <v>1114</v>
      </c>
      <c r="H438" s="2" t="s">
        <v>21</v>
      </c>
      <c r="I438" s="2" t="s">
        <v>1115</v>
      </c>
      <c r="J438" s="3" t="str">
        <f>HYPERLINK("https://www.boe.es/gazeta/dias/1823/04/30/pdfs/GES-1823-20.pdf#page=6","Abrir facsímil")</f>
        <v>Abrir facsímil</v>
      </c>
      <c r="K438" s="3" t="s">
        <v>23</v>
      </c>
    </row>
    <row r="439" spans="1:11" ht="42" customHeight="1">
      <c r="A439" s="2" t="s">
        <v>1092</v>
      </c>
      <c r="B439" s="2" t="s">
        <v>1093</v>
      </c>
      <c r="C439" s="2" t="s">
        <v>56</v>
      </c>
      <c r="D439" s="2" t="s">
        <v>57</v>
      </c>
      <c r="E439" s="5">
        <v>-28002</v>
      </c>
      <c r="F439" s="3" t="s">
        <v>315</v>
      </c>
      <c r="G439" s="3" t="s">
        <v>1116</v>
      </c>
      <c r="H439" s="2" t="s">
        <v>21</v>
      </c>
      <c r="I439" s="2" t="s">
        <v>1117</v>
      </c>
      <c r="J439" s="3" t="str">
        <f>HYPERLINK("https://www.boe.es/gazeta/dias/1823/05/01/pdfs/GES-1823-21.pdf#page=4","Abrir facsímil")</f>
        <v>Abrir facsímil</v>
      </c>
      <c r="K439" s="3" t="s">
        <v>23</v>
      </c>
    </row>
    <row r="440" spans="1:11" ht="42" customHeight="1">
      <c r="A440" s="2" t="s">
        <v>1092</v>
      </c>
      <c r="B440" s="2" t="s">
        <v>1093</v>
      </c>
      <c r="C440" s="2" t="s">
        <v>79</v>
      </c>
      <c r="D440" s="2" t="s">
        <v>74</v>
      </c>
      <c r="E440" s="5">
        <v>-28000</v>
      </c>
      <c r="F440" s="3" t="s">
        <v>1118</v>
      </c>
      <c r="G440" s="3" t="s">
        <v>20</v>
      </c>
      <c r="H440" s="2" t="s">
        <v>21</v>
      </c>
      <c r="I440" s="2" t="s">
        <v>1119</v>
      </c>
      <c r="J440" s="3" t="str">
        <f>HYPERLINK("https://www.boe.es/gazeta/dias/1823/05/03/pdfs/GES-1823-23.pdf#page=4","Abrir facsímil")</f>
        <v>Abrir facsímil</v>
      </c>
      <c r="K440" s="3" t="s">
        <v>23</v>
      </c>
    </row>
    <row r="441" spans="1:11" ht="42" customHeight="1">
      <c r="A441" s="2" t="s">
        <v>1092</v>
      </c>
      <c r="B441" s="2" t="s">
        <v>1093</v>
      </c>
      <c r="C441" s="2" t="s">
        <v>56</v>
      </c>
      <c r="D441" s="2" t="s">
        <v>57</v>
      </c>
      <c r="E441" s="5">
        <v>-27999</v>
      </c>
      <c r="F441" s="3" t="s">
        <v>97</v>
      </c>
      <c r="G441" s="3" t="s">
        <v>20</v>
      </c>
      <c r="H441" s="2" t="s">
        <v>21</v>
      </c>
      <c r="I441" s="2" t="s">
        <v>1120</v>
      </c>
      <c r="J441" s="3" t="str">
        <f>HYPERLINK("https://www.boe.es/gazeta/dias/1823/05/04/pdfs/GES-1823-24.pdf#page=4","Abrir facsímil")</f>
        <v>Abrir facsímil</v>
      </c>
      <c r="K441" s="3" t="s">
        <v>23</v>
      </c>
    </row>
    <row r="442" spans="1:11" ht="42" customHeight="1">
      <c r="A442" s="2" t="s">
        <v>1092</v>
      </c>
      <c r="B442" s="2" t="s">
        <v>1093</v>
      </c>
      <c r="C442" s="2" t="s">
        <v>84</v>
      </c>
      <c r="D442" s="2" t="s">
        <v>74</v>
      </c>
      <c r="E442" s="5">
        <v>-27998</v>
      </c>
      <c r="F442" s="3" t="s">
        <v>1058</v>
      </c>
      <c r="G442" s="3" t="s">
        <v>20</v>
      </c>
      <c r="H442" s="2" t="s">
        <v>21</v>
      </c>
      <c r="I442" s="2" t="s">
        <v>1121</v>
      </c>
      <c r="J442" s="3" t="str">
        <f>HYPERLINK("https://www.boe.es/gazeta/dias/1823/05/05/pdfs/GES-1823-25.pdf#page=4","Abrir facsímil")</f>
        <v>Abrir facsímil</v>
      </c>
      <c r="K442" s="3" t="s">
        <v>23</v>
      </c>
    </row>
    <row r="443" spans="1:11" ht="42" customHeight="1">
      <c r="A443" s="2" t="s">
        <v>1092</v>
      </c>
      <c r="B443" s="2" t="s">
        <v>1093</v>
      </c>
      <c r="C443" s="2" t="s">
        <v>17</v>
      </c>
      <c r="D443" s="2" t="s">
        <v>18</v>
      </c>
      <c r="E443" s="5">
        <v>-27998</v>
      </c>
      <c r="F443" s="3" t="s">
        <v>1058</v>
      </c>
      <c r="G443" s="3" t="s">
        <v>34</v>
      </c>
      <c r="H443" s="2" t="s">
        <v>21</v>
      </c>
      <c r="I443" s="2" t="s">
        <v>1122</v>
      </c>
      <c r="J443" s="3" t="str">
        <f>HYPERLINK("https://www.boe.es/gazeta/dias/1823/05/05/pdfs/GES-1823-25.pdf#page=5","Abrir facsímil")</f>
        <v>Abrir facsímil</v>
      </c>
      <c r="K443" s="3" t="s">
        <v>23</v>
      </c>
    </row>
    <row r="444" spans="1:11" ht="42" customHeight="1">
      <c r="A444" s="2" t="s">
        <v>1092</v>
      </c>
      <c r="B444" s="2" t="s">
        <v>1093</v>
      </c>
      <c r="C444" s="2" t="s">
        <v>109</v>
      </c>
      <c r="D444" s="2" t="s">
        <v>74</v>
      </c>
      <c r="E444" s="5">
        <v>-27998</v>
      </c>
      <c r="F444" s="3" t="s">
        <v>1058</v>
      </c>
      <c r="G444" s="3" t="s">
        <v>59</v>
      </c>
      <c r="H444" s="2" t="s">
        <v>21</v>
      </c>
      <c r="I444" s="2" t="s">
        <v>1123</v>
      </c>
      <c r="J444" s="3" t="str">
        <f>HYPERLINK("https://www.boe.es/gazeta/dias/1823/05/05/pdfs/GES-1823-25.pdf#page=6","Abrir facsímil")</f>
        <v>Abrir facsímil</v>
      </c>
      <c r="K444" s="3" t="s">
        <v>23</v>
      </c>
    </row>
    <row r="445" spans="1:11" ht="42" customHeight="1">
      <c r="A445" s="2" t="s">
        <v>1092</v>
      </c>
      <c r="B445" s="2" t="s">
        <v>1093</v>
      </c>
      <c r="C445" s="2" t="s">
        <v>17</v>
      </c>
      <c r="D445" s="2" t="s">
        <v>18</v>
      </c>
      <c r="E445" s="5">
        <v>-27997</v>
      </c>
      <c r="F445" s="3" t="s">
        <v>317</v>
      </c>
      <c r="G445" s="3" t="s">
        <v>1124</v>
      </c>
      <c r="H445" s="2" t="s">
        <v>21</v>
      </c>
      <c r="I445" s="2" t="s">
        <v>1125</v>
      </c>
      <c r="J445" s="3" t="str">
        <f>HYPERLINK("https://www.boe.es/gazeta/dias/1823/05/06/pdfs/GES-1823-26.pdf#page=2","Abrir facsímil")</f>
        <v>Abrir facsímil</v>
      </c>
      <c r="K445" s="3" t="s">
        <v>23</v>
      </c>
    </row>
    <row r="446" spans="1:11" ht="42" customHeight="1">
      <c r="A446" s="2" t="s">
        <v>1092</v>
      </c>
      <c r="B446" s="2" t="s">
        <v>1093</v>
      </c>
      <c r="C446" s="2" t="s">
        <v>56</v>
      </c>
      <c r="D446" s="2" t="s">
        <v>57</v>
      </c>
      <c r="E446" s="5">
        <v>-27997</v>
      </c>
      <c r="F446" s="3" t="s">
        <v>937</v>
      </c>
      <c r="G446" s="3" t="s">
        <v>20</v>
      </c>
      <c r="H446" s="2" t="s">
        <v>21</v>
      </c>
      <c r="I446" s="2" t="s">
        <v>1126</v>
      </c>
      <c r="J446" s="3" t="str">
        <f>HYPERLINK("https://www.boe.es/gazeta/dias/1823/05/06/pdfs/GMD-1823-102.pdf#page=4","Abrir facsímil")</f>
        <v>Abrir facsímil</v>
      </c>
      <c r="K446" s="3" t="s">
        <v>23</v>
      </c>
    </row>
    <row r="447" spans="1:11" ht="42" customHeight="1">
      <c r="A447" s="2" t="s">
        <v>1092</v>
      </c>
      <c r="B447" s="2" t="s">
        <v>1093</v>
      </c>
      <c r="C447" s="2" t="s">
        <v>17</v>
      </c>
      <c r="D447" s="2" t="s">
        <v>18</v>
      </c>
      <c r="E447" s="5">
        <v>-27995</v>
      </c>
      <c r="F447" s="3" t="s">
        <v>320</v>
      </c>
      <c r="G447" s="3" t="s">
        <v>27</v>
      </c>
      <c r="H447" s="2" t="s">
        <v>21</v>
      </c>
      <c r="I447" s="2" t="s">
        <v>1127</v>
      </c>
      <c r="J447" s="3" t="str">
        <f>HYPERLINK("https://www.boe.es/gazeta/dias/1823/05/08/pdfs/GES-1823-28.pdf#page=2","Abrir facsímil")</f>
        <v>Abrir facsímil</v>
      </c>
      <c r="K447" s="3" t="s">
        <v>23</v>
      </c>
    </row>
    <row r="448" spans="1:11" ht="42" customHeight="1">
      <c r="A448" s="2" t="s">
        <v>1092</v>
      </c>
      <c r="B448" s="2" t="s">
        <v>1093</v>
      </c>
      <c r="C448" s="2" t="s">
        <v>109</v>
      </c>
      <c r="D448" s="2" t="s">
        <v>74</v>
      </c>
      <c r="E448" s="5">
        <v>-27995</v>
      </c>
      <c r="F448" s="3" t="s">
        <v>326</v>
      </c>
      <c r="G448" s="3" t="s">
        <v>27</v>
      </c>
      <c r="H448" s="2" t="s">
        <v>21</v>
      </c>
      <c r="I448" s="2" t="s">
        <v>1128</v>
      </c>
      <c r="J448" s="3" t="str">
        <f>HYPERLINK("https://www.boe.es/gazeta/dias/1823/05/08/pdfs/GMD-1823-112.pdf#page=2","Abrir facsímil")</f>
        <v>Abrir facsímil</v>
      </c>
      <c r="K448" s="3" t="s">
        <v>23</v>
      </c>
    </row>
    <row r="449" spans="1:11" ht="42" customHeight="1">
      <c r="A449" s="2" t="s">
        <v>1092</v>
      </c>
      <c r="B449" s="2" t="s">
        <v>1093</v>
      </c>
      <c r="C449" s="2" t="s">
        <v>109</v>
      </c>
      <c r="D449" s="2" t="s">
        <v>74</v>
      </c>
      <c r="E449" s="5">
        <v>-27993</v>
      </c>
      <c r="F449" s="3" t="s">
        <v>977</v>
      </c>
      <c r="G449" s="3" t="s">
        <v>48</v>
      </c>
      <c r="H449" s="2" t="s">
        <v>21</v>
      </c>
      <c r="I449" s="2" t="s">
        <v>1129</v>
      </c>
      <c r="J449" s="3" t="str">
        <f>HYPERLINK("https://www.boe.es/gazeta/dias/1823/05/10/pdfs/GES-1823-30.pdf#page=3","Abrir facsímil")</f>
        <v>Abrir facsímil</v>
      </c>
      <c r="K449" s="3" t="s">
        <v>23</v>
      </c>
    </row>
    <row r="450" spans="1:11" ht="42" customHeight="1">
      <c r="A450" s="2" t="s">
        <v>1092</v>
      </c>
      <c r="B450" s="2" t="s">
        <v>1093</v>
      </c>
      <c r="C450" s="2" t="s">
        <v>56</v>
      </c>
      <c r="D450" s="2" t="s">
        <v>57</v>
      </c>
      <c r="E450" s="5">
        <v>-27993</v>
      </c>
      <c r="F450" s="3" t="s">
        <v>1062</v>
      </c>
      <c r="G450" s="3" t="s">
        <v>20</v>
      </c>
      <c r="H450" s="2" t="s">
        <v>21</v>
      </c>
      <c r="I450" s="2" t="s">
        <v>1130</v>
      </c>
      <c r="J450" s="3" t="str">
        <f>HYPERLINK("https://www.boe.es/gazeta/dias/1823/05/10/pdfs/GMD-1823-122.pdf#page=4","Abrir facsímil")</f>
        <v>Abrir facsímil</v>
      </c>
      <c r="K450" s="3" t="s">
        <v>23</v>
      </c>
    </row>
    <row r="451" spans="1:11" ht="42" customHeight="1">
      <c r="A451" s="2" t="s">
        <v>1092</v>
      </c>
      <c r="B451" s="2" t="s">
        <v>1093</v>
      </c>
      <c r="C451" s="2" t="s">
        <v>79</v>
      </c>
      <c r="D451" s="2" t="s">
        <v>74</v>
      </c>
      <c r="E451" s="5">
        <v>-27992</v>
      </c>
      <c r="F451" s="3" t="s">
        <v>565</v>
      </c>
      <c r="G451" s="3" t="s">
        <v>48</v>
      </c>
      <c r="H451" s="2" t="s">
        <v>21</v>
      </c>
      <c r="I451" s="2" t="s">
        <v>1131</v>
      </c>
      <c r="J451" s="3" t="str">
        <f>HYPERLINK("https://www.boe.es/gazeta/dias/1823/05/11/pdfs/GES-1823-31.pdf#page=3","Abrir facsímil")</f>
        <v>Abrir facsímil</v>
      </c>
      <c r="K451" s="3" t="s">
        <v>23</v>
      </c>
    </row>
    <row r="452" spans="1:11" ht="42" customHeight="1">
      <c r="A452" s="2" t="s">
        <v>1092</v>
      </c>
      <c r="B452" s="2" t="s">
        <v>1093</v>
      </c>
      <c r="C452" s="2" t="s">
        <v>17</v>
      </c>
      <c r="D452" s="2" t="s">
        <v>18</v>
      </c>
      <c r="E452" s="5">
        <v>-27990</v>
      </c>
      <c r="F452" s="3" t="s">
        <v>1132</v>
      </c>
      <c r="G452" s="3" t="s">
        <v>20</v>
      </c>
      <c r="H452" s="2" t="s">
        <v>21</v>
      </c>
      <c r="I452" s="2" t="s">
        <v>1133</v>
      </c>
      <c r="J452" s="3" t="str">
        <f>HYPERLINK("https://www.boe.es/gazeta/dias/1823/05/13/pdfs/GES-1823-33.pdf#page=4","Abrir facsímil")</f>
        <v>Abrir facsímil</v>
      </c>
      <c r="K452" s="3" t="s">
        <v>23</v>
      </c>
    </row>
    <row r="453" spans="1:11" ht="42" customHeight="1">
      <c r="A453" s="2" t="s">
        <v>1092</v>
      </c>
      <c r="B453" s="2" t="s">
        <v>1093</v>
      </c>
      <c r="C453" s="2" t="s">
        <v>17</v>
      </c>
      <c r="D453" s="2" t="s">
        <v>18</v>
      </c>
      <c r="E453" s="5">
        <v>-27989</v>
      </c>
      <c r="F453" s="3" t="s">
        <v>1134</v>
      </c>
      <c r="G453" s="3" t="s">
        <v>20</v>
      </c>
      <c r="H453" s="2" t="s">
        <v>21</v>
      </c>
      <c r="I453" s="2" t="s">
        <v>1135</v>
      </c>
      <c r="J453" s="3" t="str">
        <f>HYPERLINK("https://www.boe.es/gazeta/dias/1823/05/14/pdfs/GES-1823-34.pdf#page=4","Abrir facsímil")</f>
        <v>Abrir facsímil</v>
      </c>
      <c r="K453" s="3" t="s">
        <v>23</v>
      </c>
    </row>
    <row r="454" spans="1:11" ht="42" customHeight="1">
      <c r="A454" s="2" t="s">
        <v>1092</v>
      </c>
      <c r="B454" s="2" t="s">
        <v>1093</v>
      </c>
      <c r="C454" s="2" t="s">
        <v>79</v>
      </c>
      <c r="D454" s="2" t="s">
        <v>74</v>
      </c>
      <c r="E454" s="5">
        <v>-27987</v>
      </c>
      <c r="F454" s="3" t="s">
        <v>332</v>
      </c>
      <c r="G454" s="3" t="s">
        <v>20</v>
      </c>
      <c r="H454" s="2" t="s">
        <v>21</v>
      </c>
      <c r="I454" s="2" t="s">
        <v>1136</v>
      </c>
      <c r="J454" s="3" t="str">
        <f>HYPERLINK("https://www.boe.es/gazeta/dias/1823/05/16/pdfs/GES-1823-36.pdf#page=4","Abrir facsímil")</f>
        <v>Abrir facsímil</v>
      </c>
      <c r="K454" s="3" t="s">
        <v>23</v>
      </c>
    </row>
    <row r="455" spans="1:11" ht="42" customHeight="1">
      <c r="A455" s="2" t="s">
        <v>1092</v>
      </c>
      <c r="B455" s="2" t="s">
        <v>1093</v>
      </c>
      <c r="C455" s="2" t="s">
        <v>56</v>
      </c>
      <c r="D455" s="2" t="s">
        <v>57</v>
      </c>
      <c r="E455" s="5">
        <v>-27986</v>
      </c>
      <c r="F455" s="3" t="s">
        <v>75</v>
      </c>
      <c r="G455" s="3" t="s">
        <v>48</v>
      </c>
      <c r="H455" s="2" t="s">
        <v>21</v>
      </c>
      <c r="I455" s="2" t="s">
        <v>1137</v>
      </c>
      <c r="J455" s="3" t="str">
        <f>HYPERLINK("https://www.boe.es/gazeta/dias/1823/05/17/pdfs/GES-1823-37.pdf#page=3","Abrir facsímil")</f>
        <v>Abrir facsímil</v>
      </c>
      <c r="K455" s="3" t="s">
        <v>23</v>
      </c>
    </row>
    <row r="456" spans="1:11" ht="42" customHeight="1">
      <c r="A456" s="2" t="s">
        <v>1092</v>
      </c>
      <c r="B456" s="2" t="s">
        <v>1093</v>
      </c>
      <c r="C456" s="2" t="s">
        <v>17</v>
      </c>
      <c r="D456" s="2" t="s">
        <v>18</v>
      </c>
      <c r="E456" s="5">
        <v>-27986</v>
      </c>
      <c r="F456" s="3" t="s">
        <v>75</v>
      </c>
      <c r="G456" s="3" t="s">
        <v>20</v>
      </c>
      <c r="H456" s="2" t="s">
        <v>21</v>
      </c>
      <c r="I456" s="2" t="s">
        <v>1138</v>
      </c>
      <c r="J456" s="3" t="str">
        <f>HYPERLINK("https://www.boe.es/gazeta/dias/1823/05/17/pdfs/GES-1823-37.pdf#page=4","Abrir facsímil")</f>
        <v>Abrir facsímil</v>
      </c>
      <c r="K456" s="3" t="s">
        <v>23</v>
      </c>
    </row>
    <row r="457" spans="1:11" ht="42" customHeight="1">
      <c r="A457" s="2" t="s">
        <v>1092</v>
      </c>
      <c r="B457" s="2" t="s">
        <v>1093</v>
      </c>
      <c r="C457" s="2" t="s">
        <v>79</v>
      </c>
      <c r="D457" s="2" t="s">
        <v>74</v>
      </c>
      <c r="E457" s="5">
        <v>-27986</v>
      </c>
      <c r="F457" s="3" t="s">
        <v>607</v>
      </c>
      <c r="G457" s="3" t="s">
        <v>20</v>
      </c>
      <c r="H457" s="2" t="s">
        <v>21</v>
      </c>
      <c r="I457" s="2" t="s">
        <v>1139</v>
      </c>
      <c r="J457" s="3" t="str">
        <f>HYPERLINK("https://www.boe.es/gazeta/dias/1823/05/17/pdfs/GMD-1823-152.pdf#page=4","Abrir facsímil")</f>
        <v>Abrir facsímil</v>
      </c>
      <c r="K457" s="3" t="s">
        <v>23</v>
      </c>
    </row>
    <row r="458" spans="1:11" ht="42" customHeight="1">
      <c r="A458" s="2" t="s">
        <v>1092</v>
      </c>
      <c r="B458" s="2" t="s">
        <v>1093</v>
      </c>
      <c r="C458" s="2" t="s">
        <v>79</v>
      </c>
      <c r="D458" s="2" t="s">
        <v>74</v>
      </c>
      <c r="E458" s="5">
        <v>-27985</v>
      </c>
      <c r="F458" s="3" t="s">
        <v>951</v>
      </c>
      <c r="G458" s="3" t="s">
        <v>1140</v>
      </c>
      <c r="H458" s="2" t="s">
        <v>21</v>
      </c>
      <c r="I458" s="2" t="s">
        <v>1141</v>
      </c>
      <c r="J458" s="3" t="str">
        <f>HYPERLINK("https://www.boe.es/gazeta/dias/1823/05/18/pdfs/GES-1823-38.pdf#page=5","Abrir facsímil")</f>
        <v>Abrir facsímil</v>
      </c>
      <c r="K458" s="3" t="s">
        <v>23</v>
      </c>
    </row>
    <row r="459" spans="1:11" ht="42" customHeight="1">
      <c r="A459" s="2" t="s">
        <v>1092</v>
      </c>
      <c r="B459" s="2" t="s">
        <v>1093</v>
      </c>
      <c r="C459" s="2" t="s">
        <v>73</v>
      </c>
      <c r="D459" s="2" t="s">
        <v>74</v>
      </c>
      <c r="E459" s="5">
        <v>-27985</v>
      </c>
      <c r="F459" s="3" t="s">
        <v>951</v>
      </c>
      <c r="G459" s="3" t="s">
        <v>39</v>
      </c>
      <c r="H459" s="2" t="s">
        <v>21</v>
      </c>
      <c r="I459" s="2" t="s">
        <v>1142</v>
      </c>
      <c r="J459" s="3" t="str">
        <f>HYPERLINK("https://www.boe.es/gazeta/dias/1823/05/18/pdfs/GES-1823-38.pdf#page=1","Abrir facsímil")</f>
        <v>Abrir facsímil</v>
      </c>
      <c r="K459" s="3" t="s">
        <v>23</v>
      </c>
    </row>
    <row r="460" spans="1:11" ht="42" customHeight="1">
      <c r="A460" s="2" t="s">
        <v>1092</v>
      </c>
      <c r="B460" s="2" t="s">
        <v>1093</v>
      </c>
      <c r="C460" s="2" t="s">
        <v>84</v>
      </c>
      <c r="D460" s="2" t="s">
        <v>74</v>
      </c>
      <c r="E460" s="5">
        <v>-27985</v>
      </c>
      <c r="F460" s="3" t="s">
        <v>951</v>
      </c>
      <c r="G460" s="3" t="s">
        <v>27</v>
      </c>
      <c r="H460" s="2" t="s">
        <v>21</v>
      </c>
      <c r="I460" s="2" t="s">
        <v>1143</v>
      </c>
      <c r="J460" s="3" t="str">
        <f>HYPERLINK("https://www.boe.es/gazeta/dias/1823/05/18/pdfs/GES-1823-38.pdf#page=2","Abrir facsímil")</f>
        <v>Abrir facsímil</v>
      </c>
      <c r="K460" s="3" t="s">
        <v>23</v>
      </c>
    </row>
    <row r="461" spans="1:11" ht="42" customHeight="1">
      <c r="A461" s="2" t="s">
        <v>1092</v>
      </c>
      <c r="B461" s="2" t="s">
        <v>1093</v>
      </c>
      <c r="C461" s="2" t="s">
        <v>79</v>
      </c>
      <c r="D461" s="2" t="s">
        <v>74</v>
      </c>
      <c r="E461" s="5">
        <v>-27985</v>
      </c>
      <c r="F461" s="3" t="s">
        <v>951</v>
      </c>
      <c r="G461" s="3" t="s">
        <v>20</v>
      </c>
      <c r="H461" s="2" t="s">
        <v>21</v>
      </c>
      <c r="I461" s="2" t="s">
        <v>1144</v>
      </c>
      <c r="J461" s="3" t="str">
        <f>HYPERLINK("https://www.boe.es/gazeta/dias/1823/05/18/pdfs/GES-1823-38.pdf#page=4","Abrir facsímil")</f>
        <v>Abrir facsímil</v>
      </c>
      <c r="K461" s="3" t="s">
        <v>23</v>
      </c>
    </row>
    <row r="462" spans="1:11" ht="42" customHeight="1">
      <c r="A462" s="2" t="s">
        <v>1092</v>
      </c>
      <c r="B462" s="2" t="s">
        <v>1093</v>
      </c>
      <c r="C462" s="2" t="s">
        <v>17</v>
      </c>
      <c r="D462" s="2" t="s">
        <v>18</v>
      </c>
      <c r="E462" s="5">
        <v>-27984</v>
      </c>
      <c r="F462" s="3" t="s">
        <v>335</v>
      </c>
      <c r="G462" s="3" t="s">
        <v>27</v>
      </c>
      <c r="H462" s="2" t="s">
        <v>21</v>
      </c>
      <c r="I462" s="2" t="s">
        <v>1145</v>
      </c>
      <c r="J462" s="3" t="str">
        <f>HYPERLINK("https://www.boe.es/gazeta/dias/1823/05/19/pdfs/GES-1823-39.pdf#page=2","Abrir facsímil")</f>
        <v>Abrir facsímil</v>
      </c>
      <c r="K462" s="3" t="s">
        <v>23</v>
      </c>
    </row>
    <row r="463" spans="1:11" ht="42" customHeight="1">
      <c r="A463" s="2" t="s">
        <v>1092</v>
      </c>
      <c r="B463" s="2" t="s">
        <v>1093</v>
      </c>
      <c r="C463" s="2" t="s">
        <v>84</v>
      </c>
      <c r="D463" s="2" t="s">
        <v>74</v>
      </c>
      <c r="E463" s="5">
        <v>-27984</v>
      </c>
      <c r="F463" s="3" t="s">
        <v>335</v>
      </c>
      <c r="G463" s="3" t="s">
        <v>48</v>
      </c>
      <c r="H463" s="2" t="s">
        <v>21</v>
      </c>
      <c r="I463" s="2" t="s">
        <v>1146</v>
      </c>
      <c r="J463" s="3" t="str">
        <f>HYPERLINK("https://www.boe.es/gazeta/dias/1823/05/19/pdfs/GES-1823-39.pdf#page=3","Abrir facsímil")</f>
        <v>Abrir facsímil</v>
      </c>
      <c r="K463" s="3" t="s">
        <v>23</v>
      </c>
    </row>
    <row r="464" spans="1:11" ht="42" customHeight="1">
      <c r="A464" s="2" t="s">
        <v>1092</v>
      </c>
      <c r="B464" s="2" t="s">
        <v>1093</v>
      </c>
      <c r="C464" s="2" t="s">
        <v>79</v>
      </c>
      <c r="D464" s="2" t="s">
        <v>74</v>
      </c>
      <c r="E464" s="5">
        <v>-27984</v>
      </c>
      <c r="F464" s="3" t="s">
        <v>335</v>
      </c>
      <c r="G464" s="3" t="s">
        <v>20</v>
      </c>
      <c r="H464" s="2" t="s">
        <v>21</v>
      </c>
      <c r="I464" s="2" t="s">
        <v>1147</v>
      </c>
      <c r="J464" s="3" t="str">
        <f>HYPERLINK("https://www.boe.es/gazeta/dias/1823/05/19/pdfs/GES-1823-39.pdf#page=4","Abrir facsímil")</f>
        <v>Abrir facsímil</v>
      </c>
      <c r="K464" s="3" t="s">
        <v>23</v>
      </c>
    </row>
    <row r="465" spans="1:11" ht="42" customHeight="1">
      <c r="A465" s="2" t="s">
        <v>1092</v>
      </c>
      <c r="B465" s="2" t="s">
        <v>1093</v>
      </c>
      <c r="C465" s="2" t="s">
        <v>109</v>
      </c>
      <c r="D465" s="2" t="s">
        <v>74</v>
      </c>
      <c r="E465" s="5">
        <v>-27984</v>
      </c>
      <c r="F465" s="3" t="s">
        <v>335</v>
      </c>
      <c r="G465" s="3" t="s">
        <v>34</v>
      </c>
      <c r="H465" s="2" t="s">
        <v>21</v>
      </c>
      <c r="I465" s="2" t="s">
        <v>1148</v>
      </c>
      <c r="J465" s="3" t="str">
        <f>HYPERLINK("https://www.boe.es/gazeta/dias/1823/05/19/pdfs/GES-1823-39.pdf#page=5","Abrir facsímil")</f>
        <v>Abrir facsímil</v>
      </c>
      <c r="K465" s="3" t="s">
        <v>23</v>
      </c>
    </row>
    <row r="466" spans="1:11" ht="42" customHeight="1">
      <c r="A466" s="2" t="s">
        <v>1092</v>
      </c>
      <c r="B466" s="2" t="s">
        <v>1093</v>
      </c>
      <c r="C466" s="2" t="s">
        <v>56</v>
      </c>
      <c r="D466" s="2" t="s">
        <v>57</v>
      </c>
      <c r="E466" s="5">
        <v>-27983</v>
      </c>
      <c r="F466" s="3" t="s">
        <v>337</v>
      </c>
      <c r="G466" s="3" t="s">
        <v>48</v>
      </c>
      <c r="H466" s="2" t="s">
        <v>21</v>
      </c>
      <c r="I466" s="2" t="s">
        <v>1149</v>
      </c>
      <c r="J466" s="3" t="str">
        <f>HYPERLINK("https://www.boe.es/gazeta/dias/1823/05/20/pdfs/GES-1823-40.pdf#page=3","Abrir facsímil")</f>
        <v>Abrir facsímil</v>
      </c>
      <c r="K466" s="3" t="s">
        <v>23</v>
      </c>
    </row>
    <row r="467" spans="1:11" ht="42" customHeight="1">
      <c r="A467" s="2" t="s">
        <v>1092</v>
      </c>
      <c r="B467" s="2" t="s">
        <v>1093</v>
      </c>
      <c r="C467" s="2" t="s">
        <v>56</v>
      </c>
      <c r="D467" s="2" t="s">
        <v>57</v>
      </c>
      <c r="E467" s="5">
        <v>-27983</v>
      </c>
      <c r="F467" s="3" t="s">
        <v>337</v>
      </c>
      <c r="G467" s="3" t="s">
        <v>20</v>
      </c>
      <c r="H467" s="2" t="s">
        <v>21</v>
      </c>
      <c r="I467" s="2" t="s">
        <v>1150</v>
      </c>
      <c r="J467" s="3" t="str">
        <f>HYPERLINK("https://www.boe.es/gazeta/dias/1823/05/20/pdfs/GES-1823-40.pdf#page=4","Abrir facsímil")</f>
        <v>Abrir facsímil</v>
      </c>
      <c r="K467" s="3" t="s">
        <v>23</v>
      </c>
    </row>
    <row r="468" spans="1:11" ht="42" customHeight="1">
      <c r="A468" s="2" t="s">
        <v>1092</v>
      </c>
      <c r="B468" s="2" t="s">
        <v>1093</v>
      </c>
      <c r="C468" s="2" t="s">
        <v>73</v>
      </c>
      <c r="D468" s="2" t="s">
        <v>74</v>
      </c>
      <c r="E468" s="5">
        <v>-27982</v>
      </c>
      <c r="F468" s="3" t="s">
        <v>340</v>
      </c>
      <c r="G468" s="3" t="s">
        <v>27</v>
      </c>
      <c r="H468" s="2" t="s">
        <v>21</v>
      </c>
      <c r="I468" s="2" t="s">
        <v>1151</v>
      </c>
      <c r="J468" s="3" t="str">
        <f>HYPERLINK("https://www.boe.es/gazeta/dias/1823/05/21/pdfs/GES-1823-42.pdf#page=2","Abrir facsímil")</f>
        <v>Abrir facsímil</v>
      </c>
      <c r="K468" s="3" t="s">
        <v>23</v>
      </c>
    </row>
    <row r="469" spans="1:11" ht="42" customHeight="1">
      <c r="A469" s="2" t="s">
        <v>1092</v>
      </c>
      <c r="B469" s="2" t="s">
        <v>1093</v>
      </c>
      <c r="C469" s="2" t="s">
        <v>79</v>
      </c>
      <c r="D469" s="2" t="s">
        <v>74</v>
      </c>
      <c r="E469" s="5">
        <v>-27982</v>
      </c>
      <c r="F469" s="3" t="s">
        <v>340</v>
      </c>
      <c r="G469" s="3" t="s">
        <v>48</v>
      </c>
      <c r="H469" s="2" t="s">
        <v>21</v>
      </c>
      <c r="I469" s="2" t="s">
        <v>1152</v>
      </c>
      <c r="J469" s="3" t="str">
        <f>HYPERLINK("https://www.boe.es/gazeta/dias/1823/05/21/pdfs/GES-1823-42.pdf#page=3","Abrir facsímil")</f>
        <v>Abrir facsímil</v>
      </c>
      <c r="K469" s="3" t="s">
        <v>23</v>
      </c>
    </row>
    <row r="470" spans="1:11" ht="42" customHeight="1">
      <c r="A470" s="2" t="s">
        <v>1092</v>
      </c>
      <c r="B470" s="2" t="s">
        <v>1093</v>
      </c>
      <c r="C470" s="2" t="s">
        <v>56</v>
      </c>
      <c r="D470" s="2" t="s">
        <v>57</v>
      </c>
      <c r="E470" s="5">
        <v>-27980</v>
      </c>
      <c r="F470" s="3" t="s">
        <v>1068</v>
      </c>
      <c r="G470" s="3" t="s">
        <v>20</v>
      </c>
      <c r="H470" s="2" t="s">
        <v>21</v>
      </c>
      <c r="I470" s="2" t="s">
        <v>1153</v>
      </c>
      <c r="J470" s="3" t="str">
        <f>HYPERLINK("https://www.boe.es/gazeta/dias/1823/05/23/pdfs/GES-1823-44.pdf#page=4","Abrir facsímil")</f>
        <v>Abrir facsímil</v>
      </c>
      <c r="K470" s="3" t="s">
        <v>23</v>
      </c>
    </row>
    <row r="471" spans="1:11" ht="42" customHeight="1">
      <c r="A471" s="2" t="s">
        <v>1092</v>
      </c>
      <c r="B471" s="2" t="s">
        <v>1093</v>
      </c>
      <c r="C471" s="2" t="s">
        <v>17</v>
      </c>
      <c r="D471" s="2" t="s">
        <v>18</v>
      </c>
      <c r="E471" s="5">
        <v>-27980</v>
      </c>
      <c r="F471" s="3" t="s">
        <v>1068</v>
      </c>
      <c r="G471" s="3" t="s">
        <v>34</v>
      </c>
      <c r="H471" s="2" t="s">
        <v>21</v>
      </c>
      <c r="I471" s="2" t="s">
        <v>1154</v>
      </c>
      <c r="J471" s="3" t="str">
        <f>HYPERLINK("https://www.boe.es/gazeta/dias/1823/05/23/pdfs/GES-1823-44.pdf#page=5","Abrir facsímil")</f>
        <v>Abrir facsímil</v>
      </c>
      <c r="K471" s="3" t="s">
        <v>23</v>
      </c>
    </row>
    <row r="472" spans="1:11" ht="42" customHeight="1">
      <c r="A472" s="2" t="s">
        <v>1092</v>
      </c>
      <c r="B472" s="2" t="s">
        <v>1093</v>
      </c>
      <c r="C472" s="2" t="s">
        <v>109</v>
      </c>
      <c r="D472" s="2" t="s">
        <v>74</v>
      </c>
      <c r="E472" s="5">
        <v>-27978</v>
      </c>
      <c r="F472" s="3" t="s">
        <v>342</v>
      </c>
      <c r="G472" s="3" t="s">
        <v>27</v>
      </c>
      <c r="H472" s="2" t="s">
        <v>21</v>
      </c>
      <c r="I472" s="2" t="s">
        <v>1155</v>
      </c>
      <c r="J472" s="3" t="str">
        <f>HYPERLINK("https://www.boe.es/gazeta/dias/1823/05/25/pdfs/GES-1823-46.pdf#page=2","Abrir facsímil")</f>
        <v>Abrir facsímil</v>
      </c>
      <c r="K472" s="3" t="s">
        <v>23</v>
      </c>
    </row>
    <row r="473" spans="1:11" ht="42" customHeight="1">
      <c r="A473" s="2" t="s">
        <v>1092</v>
      </c>
      <c r="B473" s="2" t="s">
        <v>1093</v>
      </c>
      <c r="C473" s="2" t="s">
        <v>293</v>
      </c>
      <c r="D473" s="2" t="s">
        <v>74</v>
      </c>
      <c r="E473" s="5">
        <v>-27976</v>
      </c>
      <c r="F473" s="3" t="s">
        <v>1156</v>
      </c>
      <c r="G473" s="3" t="s">
        <v>39</v>
      </c>
      <c r="H473" s="2" t="s">
        <v>21</v>
      </c>
      <c r="I473" s="2" t="s">
        <v>1157</v>
      </c>
      <c r="J473" s="3" t="str">
        <f>HYPERLINK("https://www.boe.es/gazeta/dias/1823/05/27/pdfs/GES-1823-49.pdf#page=1","Abrir facsímil")</f>
        <v>Abrir facsímil</v>
      </c>
      <c r="K473" s="3" t="s">
        <v>23</v>
      </c>
    </row>
    <row r="474" spans="1:11" ht="42" customHeight="1">
      <c r="A474" s="2" t="s">
        <v>1092</v>
      </c>
      <c r="B474" s="2" t="s">
        <v>1093</v>
      </c>
      <c r="C474" s="2" t="s">
        <v>17</v>
      </c>
      <c r="D474" s="2" t="s">
        <v>18</v>
      </c>
      <c r="E474" s="5">
        <v>-27969</v>
      </c>
      <c r="F474" s="3" t="s">
        <v>855</v>
      </c>
      <c r="G474" s="3" t="s">
        <v>1158</v>
      </c>
      <c r="H474" s="2" t="s">
        <v>21</v>
      </c>
      <c r="I474" s="2" t="s">
        <v>1159</v>
      </c>
      <c r="J474" s="3" t="str">
        <f>HYPERLINK("https://www.boe.es/gazeta/dias/1823/06/03/pdfs/GES-1823-57.pdf#page=2","Abrir facsímil")</f>
        <v>Abrir facsímil</v>
      </c>
      <c r="K474" s="3" t="s">
        <v>23</v>
      </c>
    </row>
    <row r="475" spans="1:11" ht="42" customHeight="1">
      <c r="A475" s="2" t="s">
        <v>1092</v>
      </c>
      <c r="B475" s="2" t="s">
        <v>1093</v>
      </c>
      <c r="C475" s="2" t="s">
        <v>56</v>
      </c>
      <c r="D475" s="2" t="s">
        <v>57</v>
      </c>
      <c r="E475" s="5">
        <v>-27968</v>
      </c>
      <c r="F475" s="3" t="s">
        <v>1160</v>
      </c>
      <c r="G475" s="3" t="s">
        <v>27</v>
      </c>
      <c r="H475" s="2" t="s">
        <v>21</v>
      </c>
      <c r="I475" s="2" t="s">
        <v>1161</v>
      </c>
      <c r="J475" s="3" t="str">
        <f>HYPERLINK("https://www.boe.es/gazeta/dias/1823/06/04/pdfs/GES-1823-58.pdf#page=2","Abrir facsímil")</f>
        <v>Abrir facsímil</v>
      </c>
      <c r="K475" s="3" t="s">
        <v>23</v>
      </c>
    </row>
    <row r="476" spans="1:11" ht="42" customHeight="1">
      <c r="A476" s="2" t="s">
        <v>1092</v>
      </c>
      <c r="B476" s="2" t="s">
        <v>1093</v>
      </c>
      <c r="C476" s="2" t="s">
        <v>56</v>
      </c>
      <c r="D476" s="2" t="s">
        <v>57</v>
      </c>
      <c r="E476" s="5">
        <v>-27949</v>
      </c>
      <c r="F476" s="3" t="s">
        <v>1162</v>
      </c>
      <c r="G476" s="3" t="s">
        <v>48</v>
      </c>
      <c r="H476" s="2" t="s">
        <v>21</v>
      </c>
      <c r="I476" s="2" t="s">
        <v>1163</v>
      </c>
      <c r="J476" s="3" t="str">
        <f>HYPERLINK("https://www.boe.es/gazeta/dias/1823/06/23/pdfs/GES-1823-71.pdf#page=3","Abrir facsímil")</f>
        <v>Abrir facsímil</v>
      </c>
      <c r="K476" s="3" t="s">
        <v>23</v>
      </c>
    </row>
    <row r="477" spans="1:11" ht="42" customHeight="1">
      <c r="A477" s="2" t="s">
        <v>1092</v>
      </c>
      <c r="B477" s="2" t="s">
        <v>1093</v>
      </c>
      <c r="C477" s="2" t="s">
        <v>79</v>
      </c>
      <c r="D477" s="2" t="s">
        <v>74</v>
      </c>
      <c r="E477" s="5">
        <v>-27938</v>
      </c>
      <c r="F477" s="3" t="s">
        <v>101</v>
      </c>
      <c r="G477" s="3" t="s">
        <v>48</v>
      </c>
      <c r="H477" s="2" t="s">
        <v>21</v>
      </c>
      <c r="I477" s="2" t="s">
        <v>1164</v>
      </c>
      <c r="J477" s="3" t="str">
        <f>HYPERLINK("https://www.boe.es/gazeta/dias/1823/07/04/pdfs/GES-1823-84.pdf#page=3","Abrir facsímil")</f>
        <v>Abrir facsímil</v>
      </c>
      <c r="K477" s="3" t="s">
        <v>23</v>
      </c>
    </row>
    <row r="478" spans="1:11" ht="42" customHeight="1">
      <c r="A478" s="2" t="s">
        <v>1092</v>
      </c>
      <c r="B478" s="2" t="s">
        <v>1093</v>
      </c>
      <c r="C478" s="2" t="s">
        <v>17</v>
      </c>
      <c r="D478" s="2" t="s">
        <v>18</v>
      </c>
      <c r="E478" s="5">
        <v>-27916</v>
      </c>
      <c r="F478" s="3" t="s">
        <v>772</v>
      </c>
      <c r="G478" s="3" t="s">
        <v>27</v>
      </c>
      <c r="H478" s="2" t="s">
        <v>21</v>
      </c>
      <c r="I478" s="2" t="s">
        <v>1165</v>
      </c>
      <c r="J478" s="3" t="str">
        <f>HYPERLINK("https://www.boe.es/gazeta/dias/1823/07/26/pdfs/GES-1823-107.pdf#page=2","Abrir facsímil")</f>
        <v>Abrir facsímil</v>
      </c>
      <c r="K478" s="3" t="s">
        <v>23</v>
      </c>
    </row>
    <row r="479" spans="1:11" ht="42" customHeight="1">
      <c r="A479" s="2" t="s">
        <v>1092</v>
      </c>
      <c r="B479" s="2" t="s">
        <v>1093</v>
      </c>
      <c r="C479" s="2" t="s">
        <v>17</v>
      </c>
      <c r="D479" s="2" t="s">
        <v>18</v>
      </c>
      <c r="E479" s="5">
        <v>-27908</v>
      </c>
      <c r="F479" s="3" t="s">
        <v>80</v>
      </c>
      <c r="G479" s="3" t="s">
        <v>27</v>
      </c>
      <c r="H479" s="2" t="s">
        <v>21</v>
      </c>
      <c r="I479" s="2" t="s">
        <v>1166</v>
      </c>
      <c r="J479" s="3" t="str">
        <f>HYPERLINK("https://www.boe.es/gazeta/dias/1823/08/03/pdfs/GES-1823-115.pdf#page=2","Abrir facsímil")</f>
        <v>Abrir facsímil</v>
      </c>
      <c r="K479" s="3" t="s">
        <v>23</v>
      </c>
    </row>
    <row r="480" spans="1:11" ht="42" customHeight="1">
      <c r="A480" s="2" t="s">
        <v>1167</v>
      </c>
      <c r="B480" s="2" t="s">
        <v>1168</v>
      </c>
      <c r="C480" s="2" t="s">
        <v>17</v>
      </c>
      <c r="D480" s="2" t="s">
        <v>18</v>
      </c>
      <c r="E480" s="5">
        <v>-28104</v>
      </c>
      <c r="F480" s="3" t="s">
        <v>114</v>
      </c>
      <c r="G480" s="3" t="s">
        <v>34</v>
      </c>
      <c r="H480" s="2" t="s">
        <v>21</v>
      </c>
      <c r="I480" s="2" t="s">
        <v>1169</v>
      </c>
      <c r="J480" s="3" t="str">
        <f>HYPERLINK("https://www.boe.es/gazeta/dias/1823/01/19/pdfs/GMD-1823-19.pdf#page=5","Abrir facsímil")</f>
        <v>Abrir facsímil</v>
      </c>
      <c r="K480" s="3" t="s">
        <v>23</v>
      </c>
    </row>
    <row r="481" spans="1:11" ht="42" customHeight="1">
      <c r="A481" s="2" t="s">
        <v>1170</v>
      </c>
      <c r="B481" s="2" t="s">
        <v>1171</v>
      </c>
      <c r="C481" s="2" t="s">
        <v>79</v>
      </c>
      <c r="D481" s="2" t="s">
        <v>74</v>
      </c>
      <c r="E481" s="5">
        <v>-28037</v>
      </c>
      <c r="F481" s="3" t="s">
        <v>192</v>
      </c>
      <c r="G481" s="3" t="s">
        <v>48</v>
      </c>
      <c r="H481" s="2" t="s">
        <v>21</v>
      </c>
      <c r="I481" s="2" t="s">
        <v>1172</v>
      </c>
      <c r="J481" s="3" t="str">
        <f>HYPERLINK("https://www.boe.es/gazeta/dias/1823/03/27/pdfs/GMD-1823-90.pdf#page=3","Abrir facsímil")</f>
        <v>Abrir facsímil</v>
      </c>
      <c r="K481" s="3" t="s">
        <v>23</v>
      </c>
    </row>
    <row r="482" spans="1:11" ht="42" customHeight="1">
      <c r="A482" s="2" t="s">
        <v>1170</v>
      </c>
      <c r="B482" s="2" t="s">
        <v>1171</v>
      </c>
      <c r="C482" s="2" t="s">
        <v>325</v>
      </c>
      <c r="D482" s="2" t="s">
        <v>74</v>
      </c>
      <c r="E482" s="5">
        <v>-28008</v>
      </c>
      <c r="F482" s="3" t="s">
        <v>309</v>
      </c>
      <c r="G482" s="3" t="s">
        <v>20</v>
      </c>
      <c r="H482" s="2" t="s">
        <v>21</v>
      </c>
      <c r="I482" s="2" t="s">
        <v>1173</v>
      </c>
      <c r="J482" s="3" t="str">
        <f>HYPERLINK("https://www.boe.es/gazeta/dias/1823/04/25/pdfs/GES-1823-15.pdf#page=4","Abrir facsímil")</f>
        <v>Abrir facsímil</v>
      </c>
      <c r="K482" s="3" t="s">
        <v>23</v>
      </c>
    </row>
    <row r="483" spans="1:11" ht="42" customHeight="1">
      <c r="A483" s="2" t="s">
        <v>1174</v>
      </c>
      <c r="B483" s="2" t="s">
        <v>1175</v>
      </c>
      <c r="C483" s="2" t="s">
        <v>17</v>
      </c>
      <c r="D483" s="2" t="s">
        <v>18</v>
      </c>
      <c r="E483" s="5">
        <v>-28093</v>
      </c>
      <c r="F483" s="3" t="s">
        <v>1044</v>
      </c>
      <c r="G483" s="3" t="s">
        <v>59</v>
      </c>
      <c r="H483" s="2" t="s">
        <v>21</v>
      </c>
      <c r="I483" s="2" t="s">
        <v>1176</v>
      </c>
      <c r="J483" s="3" t="str">
        <f>HYPERLINK("https://www.boe.es/gazeta/dias/1823/01/30/pdfs/GMD-1823-31.pdf#page=6","Abrir facsímil")</f>
        <v>Abrir facsímil</v>
      </c>
      <c r="K483" s="3" t="s">
        <v>23</v>
      </c>
    </row>
    <row r="484" spans="1:11" ht="42" customHeight="1">
      <c r="A484" s="2" t="s">
        <v>1177</v>
      </c>
      <c r="B484" s="2" t="s">
        <v>1178</v>
      </c>
      <c r="C484" s="2" t="s">
        <v>17</v>
      </c>
      <c r="D484" s="2" t="s">
        <v>18</v>
      </c>
      <c r="E484" s="5">
        <v>-28015</v>
      </c>
      <c r="F484" s="3" t="s">
        <v>985</v>
      </c>
      <c r="G484" s="3" t="s">
        <v>39</v>
      </c>
      <c r="H484" s="2" t="s">
        <v>21</v>
      </c>
      <c r="I484" s="2" t="s">
        <v>1179</v>
      </c>
      <c r="J484" s="3" t="str">
        <f>HYPERLINK("https://www.boe.es/gazeta/dias/1823/04/18/pdfs/GES-1823-8.pdf#page=1","Abrir facsímil")</f>
        <v>Abrir facsímil</v>
      </c>
      <c r="K484" s="3" t="s">
        <v>23</v>
      </c>
    </row>
    <row r="485" spans="1:11" ht="42" customHeight="1">
      <c r="A485" s="2" t="s">
        <v>1180</v>
      </c>
      <c r="B485" s="2" t="s">
        <v>1181</v>
      </c>
      <c r="C485" s="2" t="s">
        <v>17</v>
      </c>
      <c r="D485" s="2" t="s">
        <v>18</v>
      </c>
      <c r="E485" s="5">
        <v>-28055</v>
      </c>
      <c r="F485" s="3" t="s">
        <v>313</v>
      </c>
      <c r="G485" s="3" t="s">
        <v>20</v>
      </c>
      <c r="H485" s="2" t="s">
        <v>28</v>
      </c>
      <c r="I485" s="2" t="s">
        <v>1182</v>
      </c>
      <c r="J485" s="3" t="str">
        <f>HYPERLINK("https://www.boe.es/gazeta/dias/1823/03/09/pdfs/GMD-1823-72.pdf#page=4","Abrir facsímil")</f>
        <v>Abrir facsímil</v>
      </c>
      <c r="K485" s="3" t="s">
        <v>30</v>
      </c>
    </row>
    <row r="486" spans="1:11" ht="42" customHeight="1">
      <c r="A486" s="2" t="s">
        <v>1183</v>
      </c>
      <c r="B486" s="2" t="s">
        <v>1184</v>
      </c>
      <c r="C486" s="2" t="s">
        <v>17</v>
      </c>
      <c r="D486" s="2" t="s">
        <v>18</v>
      </c>
      <c r="E486" s="5">
        <v>-28028</v>
      </c>
      <c r="F486" s="3" t="s">
        <v>893</v>
      </c>
      <c r="G486" s="3" t="s">
        <v>27</v>
      </c>
      <c r="H486" s="2" t="s">
        <v>21</v>
      </c>
      <c r="I486" s="2" t="s">
        <v>1185</v>
      </c>
      <c r="J486" s="3" t="str">
        <f>HYPERLINK("https://www.boe.es/gazeta/dias/1823/04/05/pdfs/GMD-1823-99.pdf#page=2","Abrir facsímil")</f>
        <v>Abrir facsímil</v>
      </c>
      <c r="K486" s="3" t="s">
        <v>23</v>
      </c>
    </row>
    <row r="487" spans="1:11" ht="42" customHeight="1">
      <c r="A487" s="2" t="s">
        <v>1186</v>
      </c>
      <c r="B487" s="2" t="s">
        <v>1187</v>
      </c>
      <c r="C487" s="2" t="s">
        <v>56</v>
      </c>
      <c r="D487" s="2" t="s">
        <v>57</v>
      </c>
      <c r="E487" s="5">
        <v>-27841</v>
      </c>
      <c r="F487" s="3" t="s">
        <v>721</v>
      </c>
      <c r="G487" s="3" t="s">
        <v>20</v>
      </c>
      <c r="H487" s="2" t="s">
        <v>21</v>
      </c>
      <c r="I487" s="2" t="s">
        <v>1188</v>
      </c>
      <c r="J487" s="3" t="str">
        <f>HYPERLINK("https://www.boe.es/gazeta/dias/1823/10/09/pdfs/GMD-1823-953.pdf#page=4","Abrir facsímil")</f>
        <v>Abrir facsímil</v>
      </c>
      <c r="K487" s="3" t="s">
        <v>23</v>
      </c>
    </row>
    <row r="488" spans="1:11" ht="42" customHeight="1">
      <c r="A488" s="2" t="s">
        <v>1189</v>
      </c>
      <c r="B488" s="2" t="s">
        <v>1189</v>
      </c>
      <c r="C488" s="2" t="s">
        <v>17</v>
      </c>
      <c r="D488" s="2" t="s">
        <v>18</v>
      </c>
      <c r="E488" s="5">
        <v>-28007</v>
      </c>
      <c r="F488" s="3" t="s">
        <v>1190</v>
      </c>
      <c r="G488" s="3" t="s">
        <v>48</v>
      </c>
      <c r="H488" s="2" t="s">
        <v>21</v>
      </c>
      <c r="I488" s="2" t="s">
        <v>1191</v>
      </c>
      <c r="J488" s="3" t="str">
        <f>HYPERLINK("https://www.boe.es/gazeta/dias/1823/04/26/pdfs/GMD-1823-62.pdf#page=3","Abrir facsímil")</f>
        <v>Abrir facsímil</v>
      </c>
      <c r="K488" s="3" t="s">
        <v>23</v>
      </c>
    </row>
    <row r="489" spans="1:11" ht="42" customHeight="1">
      <c r="A489" s="2" t="s">
        <v>1192</v>
      </c>
      <c r="B489" s="2" t="s">
        <v>1192</v>
      </c>
      <c r="C489" s="2" t="s">
        <v>17</v>
      </c>
      <c r="D489" s="2" t="s">
        <v>18</v>
      </c>
      <c r="E489" s="5">
        <v>-28041</v>
      </c>
      <c r="F489" s="3" t="s">
        <v>873</v>
      </c>
      <c r="G489" s="3" t="s">
        <v>366</v>
      </c>
      <c r="H489" s="2" t="s">
        <v>21</v>
      </c>
      <c r="I489" s="2" t="s">
        <v>1193</v>
      </c>
      <c r="J489" s="3" t="str">
        <f>HYPERLINK("https://www.boe.es/gazeta/dias/1823/03/23/pdfs/GMD-1823-86.pdf#page=4","Abrir facsímil")</f>
        <v>Abrir facsímil</v>
      </c>
      <c r="K489" s="3" t="s">
        <v>23</v>
      </c>
    </row>
    <row r="490" spans="1:11" ht="42" customHeight="1">
      <c r="A490" s="2" t="s">
        <v>1194</v>
      </c>
      <c r="B490" s="2" t="s">
        <v>1195</v>
      </c>
      <c r="C490" s="2" t="s">
        <v>17</v>
      </c>
      <c r="D490" s="2" t="s">
        <v>18</v>
      </c>
      <c r="E490" s="5">
        <v>-27887</v>
      </c>
      <c r="F490" s="3" t="s">
        <v>1196</v>
      </c>
      <c r="G490" s="3" t="s">
        <v>20</v>
      </c>
      <c r="H490" s="2" t="s">
        <v>21</v>
      </c>
      <c r="I490" s="2" t="s">
        <v>1197</v>
      </c>
      <c r="J490" s="3" t="str">
        <f>HYPERLINK("https://www.boe.es/gazeta/dias/1823/08/24/pdfs/GES-1823-137.pdf#page=4","Abrir facsímil")</f>
        <v>Abrir facsímil</v>
      </c>
      <c r="K490" s="3" t="s">
        <v>23</v>
      </c>
    </row>
    <row r="491" spans="1:11" ht="42" customHeight="1">
      <c r="A491" s="2" t="s">
        <v>1198</v>
      </c>
      <c r="B491" s="2" t="s">
        <v>1198</v>
      </c>
      <c r="C491" s="2" t="s">
        <v>109</v>
      </c>
      <c r="D491" s="2" t="s">
        <v>74</v>
      </c>
      <c r="E491" s="5">
        <v>-27968</v>
      </c>
      <c r="F491" s="3" t="s">
        <v>1160</v>
      </c>
      <c r="G491" s="3" t="s">
        <v>48</v>
      </c>
      <c r="H491" s="2" t="s">
        <v>21</v>
      </c>
      <c r="I491" s="2" t="s">
        <v>1199</v>
      </c>
      <c r="J491" s="3" t="str">
        <f>HYPERLINK("https://www.boe.es/gazeta/dias/1823/06/04/pdfs/GES-1823-58.pdf#page=3","Abrir facsímil")</f>
        <v>Abrir facsímil</v>
      </c>
      <c r="K491" s="3" t="s">
        <v>23</v>
      </c>
    </row>
    <row r="492" spans="1:11" ht="42" customHeight="1">
      <c r="A492" s="2" t="s">
        <v>1200</v>
      </c>
      <c r="B492" s="2" t="s">
        <v>1201</v>
      </c>
      <c r="C492" s="2" t="s">
        <v>56</v>
      </c>
      <c r="D492" s="2" t="s">
        <v>57</v>
      </c>
      <c r="E492" s="5">
        <v>-28103</v>
      </c>
      <c r="F492" s="3" t="s">
        <v>285</v>
      </c>
      <c r="G492" s="3" t="s">
        <v>20</v>
      </c>
      <c r="H492" s="2" t="s">
        <v>21</v>
      </c>
      <c r="I492" s="2" t="s">
        <v>1202</v>
      </c>
      <c r="J492" s="3" t="str">
        <f>HYPERLINK("https://www.boe.es/gazeta/dias/1823/01/20/pdfs/GMD-1823-20.pdf#page=4","Abrir facsímil")</f>
        <v>Abrir facsímil</v>
      </c>
      <c r="K492" s="3" t="s">
        <v>23</v>
      </c>
    </row>
    <row r="493" spans="1:11" ht="42" customHeight="1">
      <c r="A493" s="2" t="s">
        <v>1203</v>
      </c>
      <c r="B493" s="2" t="s">
        <v>1203</v>
      </c>
      <c r="C493" s="2" t="s">
        <v>56</v>
      </c>
      <c r="D493" s="2" t="s">
        <v>57</v>
      </c>
      <c r="E493" s="5">
        <v>-27913</v>
      </c>
      <c r="F493" s="3" t="s">
        <v>821</v>
      </c>
      <c r="G493" s="3" t="s">
        <v>1204</v>
      </c>
      <c r="H493" s="2" t="s">
        <v>21</v>
      </c>
      <c r="I493" s="2" t="s">
        <v>1205</v>
      </c>
      <c r="J493" s="3" t="str">
        <f>HYPERLINK("https://www.boe.es/gazeta/dias/1823/07/29/pdfs/GES-1823-110.pdf#page=2","Abrir facsímil")</f>
        <v>Abrir facsímil</v>
      </c>
      <c r="K493" s="3" t="s">
        <v>23</v>
      </c>
    </row>
    <row r="494" spans="1:11" ht="42" customHeight="1">
      <c r="A494" s="2" t="s">
        <v>1206</v>
      </c>
      <c r="B494" s="2" t="s">
        <v>1207</v>
      </c>
      <c r="C494" s="2" t="s">
        <v>17</v>
      </c>
      <c r="D494" s="2" t="s">
        <v>18</v>
      </c>
      <c r="E494" s="5">
        <v>-27877</v>
      </c>
      <c r="F494" s="3" t="s">
        <v>844</v>
      </c>
      <c r="G494" s="3" t="s">
        <v>20</v>
      </c>
      <c r="H494" s="2" t="s">
        <v>21</v>
      </c>
      <c r="I494" s="2" t="s">
        <v>1208</v>
      </c>
      <c r="J494" s="3" t="str">
        <f>HYPERLINK("https://www.boe.es/gazeta/dias/1823/09/03/pdfs/GES-1823-147.pdf#page=4","Abrir facsímil")</f>
        <v>Abrir facsímil</v>
      </c>
      <c r="K494" s="3" t="s">
        <v>23</v>
      </c>
    </row>
    <row r="495" spans="1:11" ht="42" customHeight="1">
      <c r="A495" s="2" t="s">
        <v>1209</v>
      </c>
      <c r="B495" s="2" t="s">
        <v>1210</v>
      </c>
      <c r="C495" s="2" t="s">
        <v>79</v>
      </c>
      <c r="D495" s="2" t="s">
        <v>74</v>
      </c>
      <c r="E495" s="5">
        <v>-28031</v>
      </c>
      <c r="F495" s="3" t="s">
        <v>1211</v>
      </c>
      <c r="G495" s="3" t="s">
        <v>20</v>
      </c>
      <c r="H495" s="2" t="s">
        <v>21</v>
      </c>
      <c r="I495" s="2" t="s">
        <v>1212</v>
      </c>
      <c r="J495" s="3" t="str">
        <f>HYPERLINK("https://www.boe.es/gazeta/dias/1823/04/02/pdfs/GMD-1823-96.pdf#page=4","Abrir facsímil")</f>
        <v>Abrir facsímil</v>
      </c>
      <c r="K495" s="3" t="s">
        <v>23</v>
      </c>
    </row>
    <row r="496" spans="1:11" ht="42" customHeight="1">
      <c r="A496" s="2" t="s">
        <v>1213</v>
      </c>
      <c r="B496" s="2" t="s">
        <v>1214</v>
      </c>
      <c r="C496" s="2" t="s">
        <v>325</v>
      </c>
      <c r="D496" s="2" t="s">
        <v>74</v>
      </c>
      <c r="E496" s="5">
        <v>-28029</v>
      </c>
      <c r="F496" s="3" t="s">
        <v>141</v>
      </c>
      <c r="G496" s="3" t="s">
        <v>20</v>
      </c>
      <c r="H496" s="2" t="s">
        <v>21</v>
      </c>
      <c r="I496" s="2" t="s">
        <v>1215</v>
      </c>
      <c r="J496" s="3" t="str">
        <f>HYPERLINK("https://www.boe.es/gazeta/dias/1823/04/04/pdfs/GMD-1823-98.pdf#page=4","Abrir facsímil")</f>
        <v>Abrir facsímil</v>
      </c>
      <c r="K496" s="3" t="s">
        <v>23</v>
      </c>
    </row>
    <row r="497" spans="1:11" ht="42" customHeight="1">
      <c r="A497" s="2" t="s">
        <v>1216</v>
      </c>
      <c r="B497" s="2" t="s">
        <v>1217</v>
      </c>
      <c r="C497" s="2" t="s">
        <v>17</v>
      </c>
      <c r="D497" s="2" t="s">
        <v>18</v>
      </c>
      <c r="E497" s="5">
        <v>-28042</v>
      </c>
      <c r="F497" s="3" t="s">
        <v>1218</v>
      </c>
      <c r="G497" s="3" t="s">
        <v>20</v>
      </c>
      <c r="H497" s="2" t="s">
        <v>21</v>
      </c>
      <c r="I497" s="2" t="s">
        <v>1219</v>
      </c>
      <c r="J497" s="3" t="str">
        <f>HYPERLINK("https://www.boe.es/gazeta/dias/1823/03/22/pdfs/GMD-1823-85.pdf#page=4","Abrir facsímil")</f>
        <v>Abrir facsímil</v>
      </c>
      <c r="K497" s="3" t="s">
        <v>23</v>
      </c>
    </row>
    <row r="498" spans="1:11" ht="42" customHeight="1">
      <c r="A498" s="2" t="s">
        <v>1220</v>
      </c>
      <c r="B498" s="2" t="s">
        <v>1220</v>
      </c>
      <c r="C498" s="2" t="s">
        <v>17</v>
      </c>
      <c r="D498" s="2" t="s">
        <v>18</v>
      </c>
      <c r="E498" s="5">
        <v>-27937</v>
      </c>
      <c r="F498" s="3" t="s">
        <v>730</v>
      </c>
      <c r="G498" s="3" t="s">
        <v>27</v>
      </c>
      <c r="H498" s="2" t="s">
        <v>21</v>
      </c>
      <c r="I498" s="2" t="s">
        <v>1221</v>
      </c>
      <c r="J498" s="3" t="str">
        <f>HYPERLINK("https://www.boe.es/gazeta/dias/1823/07/05/pdfs/GES-1823-85.pdf#page=2","Abrir facsímil")</f>
        <v>Abrir facsímil</v>
      </c>
      <c r="K498" s="3" t="s">
        <v>23</v>
      </c>
    </row>
    <row r="499" spans="1:11" ht="42" customHeight="1">
      <c r="A499" s="2" t="s">
        <v>1222</v>
      </c>
      <c r="B499" s="2" t="s">
        <v>1222</v>
      </c>
      <c r="C499" s="2" t="s">
        <v>17</v>
      </c>
      <c r="D499" s="2" t="s">
        <v>18</v>
      </c>
      <c r="E499" s="5">
        <v>-27937</v>
      </c>
      <c r="F499" s="3" t="s">
        <v>730</v>
      </c>
      <c r="G499" s="3" t="s">
        <v>27</v>
      </c>
      <c r="H499" s="2" t="s">
        <v>21</v>
      </c>
      <c r="I499" s="2" t="s">
        <v>1223</v>
      </c>
      <c r="J499" s="3" t="str">
        <f>HYPERLINK("https://www.boe.es/gazeta/dias/1823/07/05/pdfs/GES-1823-85.pdf#page=2","Abrir facsímil")</f>
        <v>Abrir facsímil</v>
      </c>
      <c r="K499" s="3" t="s">
        <v>23</v>
      </c>
    </row>
    <row r="500" spans="1:11" ht="42" customHeight="1">
      <c r="A500" s="2" t="s">
        <v>1222</v>
      </c>
      <c r="B500" s="2" t="s">
        <v>1222</v>
      </c>
      <c r="C500" s="2" t="s">
        <v>17</v>
      </c>
      <c r="D500" s="2" t="s">
        <v>18</v>
      </c>
      <c r="E500" s="5">
        <v>-27937</v>
      </c>
      <c r="F500" s="3" t="s">
        <v>730</v>
      </c>
      <c r="G500" s="3" t="s">
        <v>20</v>
      </c>
      <c r="H500" s="2" t="s">
        <v>21</v>
      </c>
      <c r="I500" s="2" t="s">
        <v>1224</v>
      </c>
      <c r="J500" s="3" t="str">
        <f>HYPERLINK("https://www.boe.es/gazeta/dias/1823/07/05/pdfs/GES-1823-85.pdf#page=4","Abrir facsímil")</f>
        <v>Abrir facsímil</v>
      </c>
      <c r="K500" s="3" t="s">
        <v>23</v>
      </c>
    </row>
    <row r="501" spans="1:11" ht="42" customHeight="1">
      <c r="A501" s="2" t="s">
        <v>1222</v>
      </c>
      <c r="B501" s="2" t="s">
        <v>1222</v>
      </c>
      <c r="C501" s="2" t="s">
        <v>17</v>
      </c>
      <c r="D501" s="2" t="s">
        <v>18</v>
      </c>
      <c r="E501" s="5">
        <v>-27923</v>
      </c>
      <c r="F501" s="3" t="s">
        <v>1225</v>
      </c>
      <c r="G501" s="3" t="s">
        <v>48</v>
      </c>
      <c r="H501" s="2" t="s">
        <v>21</v>
      </c>
      <c r="I501" s="2" t="s">
        <v>1226</v>
      </c>
      <c r="J501" s="3" t="str">
        <f>HYPERLINK("https://www.boe.es/gazeta/dias/1823/07/19/pdfs/GMD-1823-433.pdf#page=3","Abrir facsímil")</f>
        <v>Abrir facsímil</v>
      </c>
      <c r="K501" s="3" t="s">
        <v>23</v>
      </c>
    </row>
    <row r="502" spans="1:11" ht="42" customHeight="1">
      <c r="A502" s="2" t="s">
        <v>1222</v>
      </c>
      <c r="B502" s="2" t="s">
        <v>1222</v>
      </c>
      <c r="C502" s="2" t="s">
        <v>17</v>
      </c>
      <c r="D502" s="2" t="s">
        <v>18</v>
      </c>
      <c r="E502" s="5">
        <v>-27904</v>
      </c>
      <c r="F502" s="3" t="s">
        <v>1227</v>
      </c>
      <c r="G502" s="3" t="s">
        <v>27</v>
      </c>
      <c r="H502" s="2" t="s">
        <v>21</v>
      </c>
      <c r="I502" s="2" t="s">
        <v>1228</v>
      </c>
      <c r="J502" s="3" t="str">
        <f>HYPERLINK("https://www.boe.es/gazeta/dias/1823/08/07/pdfs/GMD-1823-543.pdf#page=2","Abrir facsímil")</f>
        <v>Abrir facsímil</v>
      </c>
      <c r="K502" s="3" t="s">
        <v>23</v>
      </c>
    </row>
    <row r="503" spans="1:11" ht="42" customHeight="1">
      <c r="A503" s="2" t="s">
        <v>1222</v>
      </c>
      <c r="B503" s="2" t="s">
        <v>1222</v>
      </c>
      <c r="C503" s="2" t="s">
        <v>17</v>
      </c>
      <c r="D503" s="2" t="s">
        <v>18</v>
      </c>
      <c r="E503" s="5">
        <v>-27892</v>
      </c>
      <c r="F503" s="3" t="s">
        <v>1229</v>
      </c>
      <c r="G503" s="3" t="s">
        <v>39</v>
      </c>
      <c r="H503" s="2" t="s">
        <v>21</v>
      </c>
      <c r="I503" s="2" t="s">
        <v>1230</v>
      </c>
      <c r="J503" s="3" t="str">
        <f>HYPERLINK("https://www.boe.es/gazeta/dias/1823/08/19/pdfs/GES-1823-132.pdf#page=1","Abrir facsímil")</f>
        <v>Abrir facsímil</v>
      </c>
      <c r="K503" s="3" t="s">
        <v>23</v>
      </c>
    </row>
    <row r="504" spans="1:11" ht="42" customHeight="1">
      <c r="A504" s="2" t="s">
        <v>1231</v>
      </c>
      <c r="B504" s="2" t="s">
        <v>1232</v>
      </c>
      <c r="C504" s="2" t="s">
        <v>17</v>
      </c>
      <c r="D504" s="2" t="s">
        <v>18</v>
      </c>
      <c r="E504" s="5">
        <v>-27937</v>
      </c>
      <c r="F504" s="3" t="s">
        <v>730</v>
      </c>
      <c r="G504" s="3" t="s">
        <v>27</v>
      </c>
      <c r="H504" s="2" t="s">
        <v>21</v>
      </c>
      <c r="I504" s="2" t="s">
        <v>1233</v>
      </c>
      <c r="J504" s="3" t="str">
        <f>HYPERLINK("https://www.boe.es/gazeta/dias/1823/07/05/pdfs/GES-1823-85.pdf#page=2","Abrir facsímil")</f>
        <v>Abrir facsímil</v>
      </c>
      <c r="K504" s="3" t="s">
        <v>23</v>
      </c>
    </row>
    <row r="505" spans="1:11" ht="42" customHeight="1">
      <c r="A505" s="2" t="s">
        <v>1234</v>
      </c>
      <c r="B505" s="2" t="s">
        <v>1235</v>
      </c>
      <c r="C505" s="2" t="s">
        <v>84</v>
      </c>
      <c r="D505" s="2" t="s">
        <v>74</v>
      </c>
      <c r="E505" s="5">
        <v>-27870</v>
      </c>
      <c r="F505" s="3" t="s">
        <v>376</v>
      </c>
      <c r="G505" s="3" t="s">
        <v>20</v>
      </c>
      <c r="H505" s="2" t="s">
        <v>21</v>
      </c>
      <c r="I505" s="2" t="s">
        <v>1236</v>
      </c>
      <c r="J505" s="3" t="str">
        <f>HYPERLINK("https://www.boe.es/gazeta/dias/1823/09/10/pdfs/GES-1823-154.pdf#page=4","Abrir facsímil")</f>
        <v>Abrir facsímil</v>
      </c>
      <c r="K505" s="3" t="s">
        <v>23</v>
      </c>
    </row>
    <row r="506" spans="1:11" ht="42" customHeight="1">
      <c r="A506" s="2" t="s">
        <v>1237</v>
      </c>
      <c r="B506" s="2" t="s">
        <v>1237</v>
      </c>
      <c r="C506" s="2" t="s">
        <v>17</v>
      </c>
      <c r="D506" s="2" t="s">
        <v>18</v>
      </c>
      <c r="E506" s="5">
        <v>-27909</v>
      </c>
      <c r="F506" s="3" t="s">
        <v>948</v>
      </c>
      <c r="G506" s="3" t="s">
        <v>20</v>
      </c>
      <c r="H506" s="2" t="s">
        <v>21</v>
      </c>
      <c r="I506" s="2" t="s">
        <v>1238</v>
      </c>
      <c r="J506" s="3" t="str">
        <f>HYPERLINK("https://www.boe.es/gazeta/dias/1823/08/02/pdfs/GES-1823-114.pdf#page=4","Abrir facsímil")</f>
        <v>Abrir facsímil</v>
      </c>
      <c r="K506" s="3" t="s">
        <v>23</v>
      </c>
    </row>
    <row r="507" spans="1:11" ht="42" customHeight="1">
      <c r="A507" s="2" t="s">
        <v>1237</v>
      </c>
      <c r="B507" s="2" t="s">
        <v>1237</v>
      </c>
      <c r="C507" s="2" t="s">
        <v>109</v>
      </c>
      <c r="D507" s="2" t="s">
        <v>74</v>
      </c>
      <c r="E507" s="5">
        <v>-27908</v>
      </c>
      <c r="F507" s="3" t="s">
        <v>80</v>
      </c>
      <c r="G507" s="3" t="s">
        <v>27</v>
      </c>
      <c r="H507" s="2" t="s">
        <v>21</v>
      </c>
      <c r="I507" s="2" t="s">
        <v>1239</v>
      </c>
      <c r="J507" s="3" t="str">
        <f>HYPERLINK("https://www.boe.es/gazeta/dias/1823/08/03/pdfs/GES-1823-115.pdf#page=2","Abrir facsímil")</f>
        <v>Abrir facsímil</v>
      </c>
      <c r="K507" s="3" t="s">
        <v>23</v>
      </c>
    </row>
    <row r="508" spans="1:11" ht="42" customHeight="1">
      <c r="A508" s="2" t="s">
        <v>1240</v>
      </c>
      <c r="B508" s="2" t="s">
        <v>1240</v>
      </c>
      <c r="C508" s="2" t="s">
        <v>56</v>
      </c>
      <c r="D508" s="2" t="s">
        <v>57</v>
      </c>
      <c r="E508" s="5">
        <v>-28057</v>
      </c>
      <c r="F508" s="3" t="s">
        <v>301</v>
      </c>
      <c r="G508" s="3" t="s">
        <v>20</v>
      </c>
      <c r="H508" s="2" t="s">
        <v>21</v>
      </c>
      <c r="I508" s="2" t="s">
        <v>1241</v>
      </c>
      <c r="J508" s="3" t="str">
        <f>HYPERLINK("https://www.boe.es/gazeta/dias/1823/03/07/pdfs/GMD-1823-70.pdf#page=4","Abrir facsímil")</f>
        <v>Abrir facsímil</v>
      </c>
      <c r="K508" s="3" t="s">
        <v>23</v>
      </c>
    </row>
    <row r="509" spans="1:11" ht="42" customHeight="1">
      <c r="A509" s="2" t="s">
        <v>1240</v>
      </c>
      <c r="B509" s="2" t="s">
        <v>1240</v>
      </c>
      <c r="C509" s="2" t="s">
        <v>293</v>
      </c>
      <c r="D509" s="2" t="s">
        <v>74</v>
      </c>
      <c r="E509" s="5">
        <v>-27972</v>
      </c>
      <c r="F509" s="3" t="s">
        <v>429</v>
      </c>
      <c r="G509" s="3" t="s">
        <v>39</v>
      </c>
      <c r="H509" s="2" t="s">
        <v>21</v>
      </c>
      <c r="I509" s="2" t="s">
        <v>1242</v>
      </c>
      <c r="J509" s="3" t="str">
        <f>HYPERLINK("https://www.boe.es/gazeta/dias/1823/05/31/pdfs/GES-1823-54.pdf#page=1","Abrir facsímil")</f>
        <v>Abrir facsímil</v>
      </c>
      <c r="K509" s="3" t="s">
        <v>23</v>
      </c>
    </row>
    <row r="510" spans="1:11" ht="42" customHeight="1">
      <c r="A510" s="2" t="s">
        <v>1240</v>
      </c>
      <c r="B510" s="2" t="s">
        <v>1240</v>
      </c>
      <c r="C510" s="2" t="s">
        <v>109</v>
      </c>
      <c r="D510" s="2" t="s">
        <v>74</v>
      </c>
      <c r="E510" s="5">
        <v>-27923</v>
      </c>
      <c r="F510" s="3" t="s">
        <v>354</v>
      </c>
      <c r="G510" s="3" t="s">
        <v>39</v>
      </c>
      <c r="H510" s="2" t="s">
        <v>21</v>
      </c>
      <c r="I510" s="2" t="s">
        <v>1243</v>
      </c>
      <c r="J510" s="3" t="str">
        <f>HYPERLINK("https://www.boe.es/gazeta/dias/1823/07/19/pdfs/GES-1823-100.pdf#page=1","Abrir facsímil")</f>
        <v>Abrir facsímil</v>
      </c>
      <c r="K510" s="3" t="s">
        <v>23</v>
      </c>
    </row>
    <row r="511" spans="1:11" ht="42" customHeight="1">
      <c r="A511" s="2" t="s">
        <v>1240</v>
      </c>
      <c r="B511" s="2" t="s">
        <v>1240</v>
      </c>
      <c r="C511" s="2" t="s">
        <v>79</v>
      </c>
      <c r="D511" s="2" t="s">
        <v>74</v>
      </c>
      <c r="E511" s="5">
        <v>-27913</v>
      </c>
      <c r="F511" s="3" t="s">
        <v>821</v>
      </c>
      <c r="G511" s="3" t="s">
        <v>1204</v>
      </c>
      <c r="H511" s="2" t="s">
        <v>21</v>
      </c>
      <c r="I511" s="2" t="s">
        <v>1244</v>
      </c>
      <c r="J511" s="3" t="str">
        <f>HYPERLINK("https://www.boe.es/gazeta/dias/1823/07/29/pdfs/GES-1823-110.pdf#page=2","Abrir facsímil")</f>
        <v>Abrir facsímil</v>
      </c>
      <c r="K511" s="3" t="s">
        <v>23</v>
      </c>
    </row>
    <row r="512" spans="1:11" ht="42" customHeight="1">
      <c r="A512" s="2" t="s">
        <v>1240</v>
      </c>
      <c r="B512" s="2" t="s">
        <v>1240</v>
      </c>
      <c r="C512" s="2" t="s">
        <v>109</v>
      </c>
      <c r="D512" s="2" t="s">
        <v>74</v>
      </c>
      <c r="E512" s="5">
        <v>-27911</v>
      </c>
      <c r="F512" s="3" t="s">
        <v>368</v>
      </c>
      <c r="G512" s="3" t="s">
        <v>48</v>
      </c>
      <c r="H512" s="2" t="s">
        <v>21</v>
      </c>
      <c r="I512" s="2" t="s">
        <v>1245</v>
      </c>
      <c r="J512" s="3" t="str">
        <f>HYPERLINK("https://www.boe.es/gazeta/dias/1823/07/31/pdfs/GES-1823-112.pdf#page=3","Abrir facsímil")</f>
        <v>Abrir facsímil</v>
      </c>
      <c r="K512" s="3" t="s">
        <v>23</v>
      </c>
    </row>
    <row r="513" spans="1:11" ht="42" customHeight="1">
      <c r="A513" s="2" t="s">
        <v>1240</v>
      </c>
      <c r="B513" s="2" t="s">
        <v>1240</v>
      </c>
      <c r="C513" s="2" t="s">
        <v>293</v>
      </c>
      <c r="D513" s="2" t="s">
        <v>74</v>
      </c>
      <c r="E513" s="5">
        <v>-27910</v>
      </c>
      <c r="F513" s="3" t="s">
        <v>38</v>
      </c>
      <c r="G513" s="3" t="s">
        <v>20</v>
      </c>
      <c r="H513" s="2" t="s">
        <v>21</v>
      </c>
      <c r="I513" s="2" t="s">
        <v>1246</v>
      </c>
      <c r="J513" s="3" t="str">
        <f>HYPERLINK("https://www.boe.es/gazeta/dias/1823/08/01/pdfs/GES-1823-113.pdf#page=4","Abrir facsímil")</f>
        <v>Abrir facsímil</v>
      </c>
      <c r="K513" s="3" t="s">
        <v>23</v>
      </c>
    </row>
    <row r="514" spans="1:11" ht="42" customHeight="1">
      <c r="A514" s="2" t="s">
        <v>1247</v>
      </c>
      <c r="B514" s="2" t="s">
        <v>1248</v>
      </c>
      <c r="C514" s="2" t="s">
        <v>17</v>
      </c>
      <c r="D514" s="2" t="s">
        <v>18</v>
      </c>
      <c r="E514" s="5">
        <v>-27998</v>
      </c>
      <c r="F514" s="3" t="s">
        <v>1058</v>
      </c>
      <c r="G514" s="3" t="s">
        <v>59</v>
      </c>
      <c r="H514" s="2" t="s">
        <v>21</v>
      </c>
      <c r="I514" s="2" t="s">
        <v>1249</v>
      </c>
      <c r="J514" s="3" t="str">
        <f>HYPERLINK("https://www.boe.es/gazeta/dias/1823/05/05/pdfs/GES-1823-25.pdf#page=6","Abrir facsímil")</f>
        <v>Abrir facsímil</v>
      </c>
      <c r="K514" s="3" t="s">
        <v>23</v>
      </c>
    </row>
    <row r="515" spans="1:11" ht="42" customHeight="1">
      <c r="A515" s="2" t="s">
        <v>1247</v>
      </c>
      <c r="B515" s="2" t="s">
        <v>1248</v>
      </c>
      <c r="C515" s="2" t="s">
        <v>17</v>
      </c>
      <c r="D515" s="2" t="s">
        <v>18</v>
      </c>
      <c r="E515" s="5">
        <v>-27994</v>
      </c>
      <c r="F515" s="3" t="s">
        <v>714</v>
      </c>
      <c r="G515" s="3" t="s">
        <v>715</v>
      </c>
      <c r="H515" s="2" t="s">
        <v>21</v>
      </c>
      <c r="I515" s="2" t="s">
        <v>1250</v>
      </c>
      <c r="J515" s="3" t="str">
        <f>HYPERLINK("https://www.boe.es/gazeta/dias/1823/05/09/pdfs/GES-1823-29.pdf#page=8","Abrir facsímil")</f>
        <v>Abrir facsímil</v>
      </c>
      <c r="K515" s="3" t="s">
        <v>23</v>
      </c>
    </row>
    <row r="516" spans="1:11" ht="42" customHeight="1">
      <c r="A516" s="2" t="s">
        <v>1247</v>
      </c>
      <c r="B516" s="2" t="s">
        <v>1248</v>
      </c>
      <c r="C516" s="2" t="s">
        <v>56</v>
      </c>
      <c r="D516" s="2" t="s">
        <v>57</v>
      </c>
      <c r="E516" s="5">
        <v>-27991</v>
      </c>
      <c r="F516" s="3" t="s">
        <v>328</v>
      </c>
      <c r="G516" s="3" t="s">
        <v>59</v>
      </c>
      <c r="H516" s="2" t="s">
        <v>21</v>
      </c>
      <c r="I516" s="2" t="s">
        <v>1251</v>
      </c>
      <c r="J516" s="3" t="str">
        <f>HYPERLINK("https://www.boe.es/gazeta/dias/1823/05/12/pdfs/GES-1823-32.pdf#page=6","Abrir facsímil")</f>
        <v>Abrir facsímil</v>
      </c>
      <c r="K516" s="3" t="s">
        <v>23</v>
      </c>
    </row>
    <row r="517" spans="1:11" ht="42" customHeight="1">
      <c r="A517" s="2" t="s">
        <v>1252</v>
      </c>
      <c r="B517" s="2" t="s">
        <v>1253</v>
      </c>
      <c r="C517" s="2" t="s">
        <v>17</v>
      </c>
      <c r="D517" s="2" t="s">
        <v>18</v>
      </c>
      <c r="E517" s="5">
        <v>-28081</v>
      </c>
      <c r="F517" s="3" t="s">
        <v>170</v>
      </c>
      <c r="G517" s="3" t="s">
        <v>20</v>
      </c>
      <c r="H517" s="2" t="s">
        <v>21</v>
      </c>
      <c r="I517" s="2" t="s">
        <v>1254</v>
      </c>
      <c r="J517" s="3" t="str">
        <f>HYPERLINK("https://www.boe.es/gazeta/dias/1823/02/11/pdfs/GMD-1823-45.pdf#page=4","Abrir facsímil")</f>
        <v>Abrir facsímil</v>
      </c>
      <c r="K517" s="3" t="s">
        <v>23</v>
      </c>
    </row>
    <row r="518" spans="1:11" ht="42" customHeight="1">
      <c r="A518" s="2" t="s">
        <v>1255</v>
      </c>
      <c r="B518" s="2" t="s">
        <v>1256</v>
      </c>
      <c r="C518" s="2" t="s">
        <v>17</v>
      </c>
      <c r="D518" s="2" t="s">
        <v>18</v>
      </c>
      <c r="E518" s="5">
        <v>-27937</v>
      </c>
      <c r="F518" s="3" t="s">
        <v>897</v>
      </c>
      <c r="G518" s="3" t="s">
        <v>1257</v>
      </c>
      <c r="H518" s="2" t="s">
        <v>21</v>
      </c>
      <c r="I518" s="2" t="s">
        <v>1258</v>
      </c>
      <c r="J518" s="3" t="str">
        <f>HYPERLINK("https://www.boe.es/gazeta/dias/1823/07/05/pdfs/GMD-1823-343.pdf#page=6","Abrir facsímil")</f>
        <v>Abrir facsímil</v>
      </c>
      <c r="K518" s="3" t="s">
        <v>23</v>
      </c>
    </row>
    <row r="519" spans="1:11" ht="42" customHeight="1">
      <c r="A519" s="2" t="s">
        <v>1259</v>
      </c>
      <c r="B519" s="2" t="s">
        <v>1260</v>
      </c>
      <c r="C519" s="2" t="s">
        <v>79</v>
      </c>
      <c r="D519" s="2" t="s">
        <v>74</v>
      </c>
      <c r="E519" s="5">
        <v>-27995</v>
      </c>
      <c r="F519" s="3" t="s">
        <v>320</v>
      </c>
      <c r="G519" s="3" t="s">
        <v>59</v>
      </c>
      <c r="H519" s="2" t="s">
        <v>21</v>
      </c>
      <c r="I519" s="2" t="s">
        <v>1261</v>
      </c>
      <c r="J519" s="3" t="str">
        <f>HYPERLINK("https://www.boe.es/gazeta/dias/1823/05/08/pdfs/GES-1823-28.pdf#page=6","Abrir facsímil")</f>
        <v>Abrir facsímil</v>
      </c>
      <c r="K519" s="3" t="s">
        <v>23</v>
      </c>
    </row>
    <row r="520" spans="1:11" ht="42" customHeight="1">
      <c r="A520" s="2" t="s">
        <v>1259</v>
      </c>
      <c r="B520" s="2" t="s">
        <v>1260</v>
      </c>
      <c r="C520" s="2" t="s">
        <v>84</v>
      </c>
      <c r="D520" s="2" t="s">
        <v>74</v>
      </c>
      <c r="E520" s="5">
        <v>-27866</v>
      </c>
      <c r="F520" s="3" t="s">
        <v>1262</v>
      </c>
      <c r="G520" s="3" t="s">
        <v>20</v>
      </c>
      <c r="H520" s="2" t="s">
        <v>21</v>
      </c>
      <c r="I520" s="2" t="s">
        <v>1263</v>
      </c>
      <c r="J520" s="3" t="str">
        <f>HYPERLINK("https://www.boe.es/gazeta/dias/1823/09/14/pdfs/GES-1823-158.pdf#page=4","Abrir facsímil")</f>
        <v>Abrir facsímil</v>
      </c>
      <c r="K520" s="3" t="s">
        <v>23</v>
      </c>
    </row>
    <row r="521" spans="1:11" ht="42" customHeight="1">
      <c r="A521" s="2" t="s">
        <v>1264</v>
      </c>
      <c r="B521" s="2" t="s">
        <v>1265</v>
      </c>
      <c r="C521" s="2" t="s">
        <v>17</v>
      </c>
      <c r="D521" s="2" t="s">
        <v>18</v>
      </c>
      <c r="E521" s="5">
        <v>-27815</v>
      </c>
      <c r="F521" s="3" t="s">
        <v>1266</v>
      </c>
      <c r="G521" s="3" t="s">
        <v>48</v>
      </c>
      <c r="H521" s="2" t="s">
        <v>21</v>
      </c>
      <c r="I521" s="2" t="s">
        <v>1267</v>
      </c>
      <c r="J521" s="3" t="str">
        <f>HYPERLINK("https://www.boe.es/gazeta/dias/1823/11/04/pdfs/GMD-1823-1063.pdf#page=3","Abrir facsímil")</f>
        <v>Abrir facsímil</v>
      </c>
      <c r="K521" s="3" t="s">
        <v>23</v>
      </c>
    </row>
    <row r="522" spans="1:11" ht="42" customHeight="1">
      <c r="A522" s="2" t="s">
        <v>1268</v>
      </c>
      <c r="B522" s="2" t="s">
        <v>1269</v>
      </c>
      <c r="C522" s="2" t="s">
        <v>17</v>
      </c>
      <c r="D522" s="2" t="s">
        <v>18</v>
      </c>
      <c r="E522" s="5">
        <v>-27829</v>
      </c>
      <c r="F522" s="3" t="s">
        <v>228</v>
      </c>
      <c r="G522" s="3" t="s">
        <v>20</v>
      </c>
      <c r="H522" s="2" t="s">
        <v>21</v>
      </c>
      <c r="I522" s="2" t="s">
        <v>1270</v>
      </c>
      <c r="J522" s="3" t="str">
        <f>HYPERLINK("https://www.boe.es/gazeta/dias/1823/10/21/pdfs/GMD-1823-1003.pdf#page=4","Abrir facsímil")</f>
        <v>Abrir facsímil</v>
      </c>
      <c r="K522" s="3" t="s">
        <v>23</v>
      </c>
    </row>
    <row r="523" spans="1:11" ht="42" customHeight="1">
      <c r="A523" s="2" t="s">
        <v>1271</v>
      </c>
      <c r="B523" s="2" t="s">
        <v>1272</v>
      </c>
      <c r="C523" s="2" t="s">
        <v>56</v>
      </c>
      <c r="D523" s="2" t="s">
        <v>57</v>
      </c>
      <c r="E523" s="5">
        <v>-27901</v>
      </c>
      <c r="F523" s="3" t="s">
        <v>840</v>
      </c>
      <c r="G523" s="3" t="s">
        <v>20</v>
      </c>
      <c r="H523" s="2" t="s">
        <v>21</v>
      </c>
      <c r="I523" s="2" t="s">
        <v>1273</v>
      </c>
      <c r="J523" s="3" t="str">
        <f>HYPERLINK("https://www.boe.es/gazeta/dias/1823/08/10/pdfs/GES-1823-123.pdf#page=4","Abrir facsímil")</f>
        <v>Abrir facsímil</v>
      </c>
      <c r="K523" s="3" t="s">
        <v>23</v>
      </c>
    </row>
    <row r="524" spans="1:11" ht="42" customHeight="1">
      <c r="A524" s="2" t="s">
        <v>1274</v>
      </c>
      <c r="B524" s="2" t="s">
        <v>1275</v>
      </c>
      <c r="C524" s="2" t="s">
        <v>56</v>
      </c>
      <c r="D524" s="2" t="s">
        <v>57</v>
      </c>
      <c r="E524" s="5">
        <v>-27996</v>
      </c>
      <c r="F524" s="3" t="s">
        <v>695</v>
      </c>
      <c r="G524" s="3" t="s">
        <v>27</v>
      </c>
      <c r="H524" s="2" t="s">
        <v>28</v>
      </c>
      <c r="I524" s="2" t="s">
        <v>1276</v>
      </c>
      <c r="J524" s="3" t="str">
        <f>HYPERLINK("https://www.boe.es/gazeta/dias/1823/05/07/pdfs/GES-1823-27.pdf#page=2","Abrir facsímil")</f>
        <v>Abrir facsímil</v>
      </c>
      <c r="K524" s="3" t="s">
        <v>30</v>
      </c>
    </row>
    <row r="525" spans="1:11" ht="42" customHeight="1">
      <c r="A525" s="2" t="s">
        <v>1277</v>
      </c>
      <c r="B525" s="2" t="s">
        <v>1278</v>
      </c>
      <c r="C525" s="2" t="s">
        <v>17</v>
      </c>
      <c r="D525" s="2" t="s">
        <v>18</v>
      </c>
      <c r="E525" s="5">
        <v>-27992</v>
      </c>
      <c r="F525" s="3" t="s">
        <v>565</v>
      </c>
      <c r="G525" s="3" t="s">
        <v>1279</v>
      </c>
      <c r="H525" s="2" t="s">
        <v>21</v>
      </c>
      <c r="I525" s="2" t="s">
        <v>1280</v>
      </c>
      <c r="J525" s="3" t="str">
        <f>HYPERLINK("https://www.boe.es/gazeta/dias/1823/05/11/pdfs/GES-1823-31.pdf#page=2","Abrir facsímil")</f>
        <v>Abrir facsímil</v>
      </c>
      <c r="K525" s="3" t="s">
        <v>23</v>
      </c>
    </row>
    <row r="526" spans="1:11" ht="42" customHeight="1">
      <c r="A526" s="2" t="s">
        <v>1281</v>
      </c>
      <c r="B526" s="2" t="s">
        <v>1281</v>
      </c>
      <c r="C526" s="2" t="s">
        <v>56</v>
      </c>
      <c r="D526" s="2" t="s">
        <v>57</v>
      </c>
      <c r="E526" s="5">
        <v>-28058</v>
      </c>
      <c r="F526" s="3" t="s">
        <v>1282</v>
      </c>
      <c r="G526" s="3" t="s">
        <v>34</v>
      </c>
      <c r="H526" s="2" t="s">
        <v>21</v>
      </c>
      <c r="I526" s="2" t="s">
        <v>1283</v>
      </c>
      <c r="J526" s="3" t="str">
        <f>HYPERLINK("https://www.boe.es/gazeta/dias/1823/03/06/pdfs/GMD-1823-69.pdf#page=5","Abrir facsímil")</f>
        <v>Abrir facsímil</v>
      </c>
      <c r="K526" s="3" t="s">
        <v>23</v>
      </c>
    </row>
    <row r="527" spans="1:11" ht="42" customHeight="1">
      <c r="A527" s="2" t="s">
        <v>1281</v>
      </c>
      <c r="B527" s="2" t="s">
        <v>1281</v>
      </c>
      <c r="C527" s="2" t="s">
        <v>17</v>
      </c>
      <c r="D527" s="2" t="s">
        <v>18</v>
      </c>
      <c r="E527" s="5">
        <v>-27914</v>
      </c>
      <c r="F527" s="3" t="s">
        <v>776</v>
      </c>
      <c r="G527" s="3" t="s">
        <v>27</v>
      </c>
      <c r="H527" s="2" t="s">
        <v>21</v>
      </c>
      <c r="I527" s="2" t="s">
        <v>1284</v>
      </c>
      <c r="J527" s="3" t="str">
        <f>HYPERLINK("https://www.boe.es/gazeta/dias/1823/07/28/pdfs/GES-1823-109.pdf#page=2","Abrir facsímil")</f>
        <v>Abrir facsímil</v>
      </c>
      <c r="K527" s="3" t="s">
        <v>23</v>
      </c>
    </row>
    <row r="528" spans="1:11" ht="42" customHeight="1">
      <c r="A528" s="2" t="s">
        <v>1285</v>
      </c>
      <c r="B528" s="2" t="s">
        <v>1286</v>
      </c>
      <c r="C528" s="2" t="s">
        <v>17</v>
      </c>
      <c r="D528" s="2" t="s">
        <v>18</v>
      </c>
      <c r="E528" s="5">
        <v>-28031</v>
      </c>
      <c r="F528" s="3" t="s">
        <v>1211</v>
      </c>
      <c r="G528" s="3" t="s">
        <v>48</v>
      </c>
      <c r="H528" s="2" t="s">
        <v>21</v>
      </c>
      <c r="I528" s="2" t="s">
        <v>1287</v>
      </c>
      <c r="J528" s="3" t="str">
        <f>HYPERLINK("https://www.boe.es/gazeta/dias/1823/04/02/pdfs/GMD-1823-96.pdf#page=3","Abrir facsímil")</f>
        <v>Abrir facsímil</v>
      </c>
      <c r="K528" s="3" t="s">
        <v>23</v>
      </c>
    </row>
    <row r="529" spans="1:11" ht="42" customHeight="1">
      <c r="A529" s="2" t="s">
        <v>1288</v>
      </c>
      <c r="B529" s="2" t="s">
        <v>1288</v>
      </c>
      <c r="C529" s="2" t="s">
        <v>73</v>
      </c>
      <c r="D529" s="2" t="s">
        <v>74</v>
      </c>
      <c r="E529" s="5">
        <v>-27915</v>
      </c>
      <c r="F529" s="3" t="s">
        <v>524</v>
      </c>
      <c r="G529" s="3" t="s">
        <v>39</v>
      </c>
      <c r="H529" s="2" t="s">
        <v>21</v>
      </c>
      <c r="I529" s="2" t="s">
        <v>1289</v>
      </c>
      <c r="J529" s="3" t="str">
        <f>HYPERLINK("https://www.boe.es/gazeta/dias/1823/07/27/pdfs/GES-1823-108.pdf#page=1","Abrir facsímil")</f>
        <v>Abrir facsímil</v>
      </c>
      <c r="K529" s="3" t="s">
        <v>23</v>
      </c>
    </row>
    <row r="530" spans="1:11" ht="42" customHeight="1">
      <c r="A530" s="2" t="s">
        <v>1290</v>
      </c>
      <c r="B530" s="2" t="s">
        <v>1290</v>
      </c>
      <c r="C530" s="2" t="s">
        <v>17</v>
      </c>
      <c r="D530" s="2" t="s">
        <v>18</v>
      </c>
      <c r="E530" s="5">
        <v>-28073</v>
      </c>
      <c r="F530" s="3" t="s">
        <v>204</v>
      </c>
      <c r="G530" s="3" t="s">
        <v>27</v>
      </c>
      <c r="H530" s="2" t="s">
        <v>21</v>
      </c>
      <c r="I530" s="2" t="s">
        <v>1291</v>
      </c>
      <c r="J530" s="3" t="str">
        <f>HYPERLINK("https://www.boe.es/gazeta/dias/1823/02/19/pdfs/GMD-1823-53.pdf#page=2","Abrir facsímil")</f>
        <v>Abrir facsímil</v>
      </c>
      <c r="K530" s="3" t="s">
        <v>23</v>
      </c>
    </row>
    <row r="531" spans="1:11" ht="42" customHeight="1">
      <c r="A531" s="2" t="s">
        <v>1290</v>
      </c>
      <c r="B531" s="2" t="s">
        <v>1290</v>
      </c>
      <c r="C531" s="2" t="s">
        <v>109</v>
      </c>
      <c r="D531" s="2" t="s">
        <v>74</v>
      </c>
      <c r="E531" s="5">
        <v>-28054</v>
      </c>
      <c r="F531" s="3" t="s">
        <v>1292</v>
      </c>
      <c r="G531" s="3" t="s">
        <v>48</v>
      </c>
      <c r="H531" s="2" t="s">
        <v>21</v>
      </c>
      <c r="I531" s="2" t="s">
        <v>1293</v>
      </c>
      <c r="J531" s="3" t="str">
        <f>HYPERLINK("https://www.boe.es/gazeta/dias/1823/03/10/pdfs/GMD-1823-73.pdf#page=3","Abrir facsímil")</f>
        <v>Abrir facsímil</v>
      </c>
      <c r="K531" s="3" t="s">
        <v>23</v>
      </c>
    </row>
    <row r="532" spans="1:11" ht="42" customHeight="1">
      <c r="A532" s="2" t="s">
        <v>1294</v>
      </c>
      <c r="B532" s="2" t="s">
        <v>1295</v>
      </c>
      <c r="C532" s="2" t="s">
        <v>109</v>
      </c>
      <c r="D532" s="2" t="s">
        <v>74</v>
      </c>
      <c r="E532" s="5">
        <v>-28055</v>
      </c>
      <c r="F532" s="3" t="s">
        <v>313</v>
      </c>
      <c r="G532" s="3" t="s">
        <v>27</v>
      </c>
      <c r="H532" s="2" t="s">
        <v>21</v>
      </c>
      <c r="I532" s="2" t="s">
        <v>1296</v>
      </c>
      <c r="J532" s="3" t="str">
        <f>HYPERLINK("https://www.boe.es/gazeta/dias/1823/03/09/pdfs/GMD-1823-72.pdf#page=2","Abrir facsímil")</f>
        <v>Abrir facsímil</v>
      </c>
      <c r="K532" s="3" t="s">
        <v>23</v>
      </c>
    </row>
    <row r="533" spans="1:11" ht="42" customHeight="1">
      <c r="A533" s="2" t="s">
        <v>1297</v>
      </c>
      <c r="B533" s="2" t="s">
        <v>1298</v>
      </c>
      <c r="C533" s="2" t="s">
        <v>17</v>
      </c>
      <c r="D533" s="2" t="s">
        <v>18</v>
      </c>
      <c r="E533" s="5">
        <v>-27891</v>
      </c>
      <c r="F533" s="3" t="s">
        <v>825</v>
      </c>
      <c r="G533" s="3" t="s">
        <v>20</v>
      </c>
      <c r="H533" s="2" t="s">
        <v>21</v>
      </c>
      <c r="I533" s="2" t="s">
        <v>1299</v>
      </c>
      <c r="J533" s="3" t="str">
        <f>HYPERLINK("https://www.boe.es/gazeta/dias/1823/08/20/pdfs/GES-1823-133.pdf#page=4","Abrir facsímil")</f>
        <v>Abrir facsímil</v>
      </c>
      <c r="K533" s="3" t="s">
        <v>23</v>
      </c>
    </row>
    <row r="534" spans="1:11" ht="42" customHeight="1">
      <c r="A534" s="2" t="s">
        <v>1300</v>
      </c>
      <c r="B534" s="2" t="s">
        <v>1300</v>
      </c>
      <c r="C534" s="2" t="s">
        <v>17</v>
      </c>
      <c r="D534" s="2" t="s">
        <v>18</v>
      </c>
      <c r="E534" s="5">
        <v>-27864</v>
      </c>
      <c r="F534" s="3" t="s">
        <v>1301</v>
      </c>
      <c r="G534" s="3" t="s">
        <v>1302</v>
      </c>
      <c r="H534" s="2" t="s">
        <v>21</v>
      </c>
      <c r="I534" s="2" t="s">
        <v>1303</v>
      </c>
      <c r="J534" s="3" t="str">
        <f>HYPERLINK("https://www.boe.es/gazeta/dias/1823/09/16/pdfs/GES-1823-160.pdf#page=1","Abrir facsímil")</f>
        <v>Abrir facsímil</v>
      </c>
      <c r="K534" s="3" t="s">
        <v>23</v>
      </c>
    </row>
    <row r="535" spans="1:11" ht="42" customHeight="1">
      <c r="A535" s="2" t="s">
        <v>1304</v>
      </c>
      <c r="B535" s="2" t="s">
        <v>1305</v>
      </c>
      <c r="C535" s="2" t="s">
        <v>17</v>
      </c>
      <c r="D535" s="2" t="s">
        <v>18</v>
      </c>
      <c r="E535" s="5">
        <v>-27889</v>
      </c>
      <c r="F535" s="3" t="s">
        <v>1306</v>
      </c>
      <c r="G535" s="3" t="s">
        <v>20</v>
      </c>
      <c r="H535" s="2" t="s">
        <v>21</v>
      </c>
      <c r="I535" s="2" t="s">
        <v>1307</v>
      </c>
      <c r="J535" s="3" t="str">
        <f>HYPERLINK("https://www.boe.es/gazeta/dias/1823/08/22/pdfs/GES-1823-135.pdf#page=4","Abrir facsímil")</f>
        <v>Abrir facsímil</v>
      </c>
      <c r="K535" s="3" t="s">
        <v>23</v>
      </c>
    </row>
    <row r="536" spans="1:11" ht="42" customHeight="1">
      <c r="A536" s="2" t="s">
        <v>1308</v>
      </c>
      <c r="B536" s="2" t="s">
        <v>1309</v>
      </c>
      <c r="C536" s="2" t="s">
        <v>17</v>
      </c>
      <c r="D536" s="2" t="s">
        <v>18</v>
      </c>
      <c r="E536" s="5">
        <v>-28114</v>
      </c>
      <c r="F536" s="3" t="s">
        <v>153</v>
      </c>
      <c r="G536" s="3" t="s">
        <v>39</v>
      </c>
      <c r="H536" s="2" t="s">
        <v>28</v>
      </c>
      <c r="I536" s="2" t="s">
        <v>1310</v>
      </c>
      <c r="J536" s="3" t="str">
        <f>HYPERLINK("https://www.boe.es/gazeta/dias/1823/01/09/pdfs/GMD-1823-9.pdf#page=1","Abrir facsímil")</f>
        <v>Abrir facsímil</v>
      </c>
      <c r="K536" s="3" t="s">
        <v>30</v>
      </c>
    </row>
    <row r="537" spans="1:11" ht="42" customHeight="1">
      <c r="A537" s="2" t="s">
        <v>1311</v>
      </c>
      <c r="B537" s="2" t="s">
        <v>1312</v>
      </c>
      <c r="C537" s="2" t="s">
        <v>17</v>
      </c>
      <c r="D537" s="2" t="s">
        <v>18</v>
      </c>
      <c r="E537" s="5">
        <v>-27972</v>
      </c>
      <c r="F537" s="3" t="s">
        <v>429</v>
      </c>
      <c r="G537" s="3" t="s">
        <v>48</v>
      </c>
      <c r="H537" s="2" t="s">
        <v>21</v>
      </c>
      <c r="I537" s="2" t="s">
        <v>1313</v>
      </c>
      <c r="J537" s="3" t="str">
        <f>HYPERLINK("https://www.boe.es/gazeta/dias/1823/05/31/pdfs/GES-1823-54.pdf#page=3","Abrir facsímil")</f>
        <v>Abrir facsímil</v>
      </c>
      <c r="K537" s="3" t="s">
        <v>23</v>
      </c>
    </row>
    <row r="538" spans="1:11" ht="42" customHeight="1">
      <c r="A538" s="2" t="s">
        <v>1314</v>
      </c>
      <c r="B538" s="2" t="s">
        <v>1315</v>
      </c>
      <c r="C538" s="2" t="s">
        <v>17</v>
      </c>
      <c r="D538" s="2" t="s">
        <v>18</v>
      </c>
      <c r="E538" s="5">
        <v>-27928</v>
      </c>
      <c r="F538" s="3" t="s">
        <v>1316</v>
      </c>
      <c r="G538" s="3" t="s">
        <v>48</v>
      </c>
      <c r="H538" s="2" t="s">
        <v>21</v>
      </c>
      <c r="I538" s="2" t="s">
        <v>1317</v>
      </c>
      <c r="J538" s="3" t="str">
        <f>HYPERLINK("https://www.boe.es/gazeta/dias/1823/07/14/pdfs/GES-1823-94.pdf#page=3","Abrir facsímil")</f>
        <v>Abrir facsímil</v>
      </c>
      <c r="K538" s="3" t="s">
        <v>23</v>
      </c>
    </row>
    <row r="539" spans="1:11" ht="42" customHeight="1">
      <c r="A539" s="2" t="s">
        <v>1318</v>
      </c>
      <c r="B539" s="2" t="s">
        <v>1319</v>
      </c>
      <c r="C539" s="2" t="s">
        <v>79</v>
      </c>
      <c r="D539" s="2" t="s">
        <v>74</v>
      </c>
      <c r="E539" s="5">
        <v>-27966</v>
      </c>
      <c r="F539" s="3" t="s">
        <v>675</v>
      </c>
      <c r="G539" s="3" t="s">
        <v>34</v>
      </c>
      <c r="H539" s="2" t="s">
        <v>21</v>
      </c>
      <c r="I539" s="2" t="s">
        <v>1320</v>
      </c>
      <c r="J539" s="3" t="str">
        <f>HYPERLINK("https://www.boe.es/gazeta/dias/1823/06/06/pdfs/GES-1823-60.pdf#page=5","Abrir facsímil")</f>
        <v>Abrir facsímil</v>
      </c>
      <c r="K539" s="3" t="s">
        <v>23</v>
      </c>
    </row>
    <row r="540" spans="1:11" ht="42" customHeight="1">
      <c r="A540" s="2" t="s">
        <v>1318</v>
      </c>
      <c r="B540" s="2" t="s">
        <v>1319</v>
      </c>
      <c r="C540" s="2" t="s">
        <v>17</v>
      </c>
      <c r="D540" s="2" t="s">
        <v>18</v>
      </c>
      <c r="E540" s="5">
        <v>-27963</v>
      </c>
      <c r="F540" s="3" t="s">
        <v>344</v>
      </c>
      <c r="G540" s="3" t="s">
        <v>48</v>
      </c>
      <c r="H540" s="2" t="s">
        <v>21</v>
      </c>
      <c r="I540" s="2" t="s">
        <v>1321</v>
      </c>
      <c r="J540" s="3" t="str">
        <f>HYPERLINK("https://www.boe.es/gazeta/dias/1823/06/09/pdfs/GES-1823-63.pdf#page=3","Abrir facsímil")</f>
        <v>Abrir facsímil</v>
      </c>
      <c r="K540" s="3" t="s">
        <v>23</v>
      </c>
    </row>
    <row r="541" spans="1:11" ht="42" customHeight="1">
      <c r="A541" s="2" t="s">
        <v>1322</v>
      </c>
      <c r="B541" s="2" t="s">
        <v>1323</v>
      </c>
      <c r="C541" s="2" t="s">
        <v>109</v>
      </c>
      <c r="D541" s="2" t="s">
        <v>74</v>
      </c>
      <c r="E541" s="5">
        <v>-28098</v>
      </c>
      <c r="F541" s="3" t="s">
        <v>1101</v>
      </c>
      <c r="G541" s="3" t="s">
        <v>20</v>
      </c>
      <c r="H541" s="2" t="s">
        <v>21</v>
      </c>
      <c r="I541" s="2" t="s">
        <v>1324</v>
      </c>
      <c r="J541" s="3" t="str">
        <f>HYPERLINK("https://www.boe.es/gazeta/dias/1823/01/25/pdfs/GMD-1823-26.pdf#page=4","Abrir facsímil")</f>
        <v>Abrir facsímil</v>
      </c>
      <c r="K541" s="3" t="s">
        <v>23</v>
      </c>
    </row>
    <row r="542" spans="1:11" ht="42" customHeight="1">
      <c r="A542" s="2" t="s">
        <v>1322</v>
      </c>
      <c r="B542" s="2" t="s">
        <v>1323</v>
      </c>
      <c r="C542" s="2" t="s">
        <v>17</v>
      </c>
      <c r="D542" s="2" t="s">
        <v>18</v>
      </c>
      <c r="E542" s="5">
        <v>-28068</v>
      </c>
      <c r="F542" s="3" t="s">
        <v>1325</v>
      </c>
      <c r="G542" s="3" t="s">
        <v>20</v>
      </c>
      <c r="H542" s="2" t="s">
        <v>21</v>
      </c>
      <c r="I542" s="2" t="s">
        <v>1326</v>
      </c>
      <c r="J542" s="3" t="str">
        <f>HYPERLINK("https://www.boe.es/gazeta/dias/1823/02/24/pdfs/GMD-1823-58.pdf#page=4","Abrir facsímil")</f>
        <v>Abrir facsímil</v>
      </c>
      <c r="K542" s="3" t="s">
        <v>23</v>
      </c>
    </row>
    <row r="543" spans="1:11" ht="42" customHeight="1">
      <c r="A543" s="2" t="s">
        <v>1327</v>
      </c>
      <c r="B543" s="2" t="s">
        <v>1328</v>
      </c>
      <c r="C543" s="2" t="s">
        <v>56</v>
      </c>
      <c r="D543" s="2" t="s">
        <v>57</v>
      </c>
      <c r="E543" s="5">
        <v>-27913</v>
      </c>
      <c r="F543" s="3" t="s">
        <v>829</v>
      </c>
      <c r="G543" s="3" t="s">
        <v>715</v>
      </c>
      <c r="H543" s="2" t="s">
        <v>21</v>
      </c>
      <c r="I543" s="2" t="s">
        <v>1329</v>
      </c>
      <c r="J543" s="3" t="str">
        <f>HYPERLINK("https://www.boe.es/gazeta/dias/1823/07/29/pdfs/GMD-1823-483.pdf#page=8","Abrir facsímil")</f>
        <v>Abrir facsímil</v>
      </c>
      <c r="K543" s="3" t="s">
        <v>23</v>
      </c>
    </row>
    <row r="544" spans="1:11" ht="42" customHeight="1">
      <c r="A544" s="2" t="s">
        <v>1327</v>
      </c>
      <c r="B544" s="2" t="s">
        <v>1328</v>
      </c>
      <c r="C544" s="2" t="s">
        <v>17</v>
      </c>
      <c r="D544" s="2" t="s">
        <v>18</v>
      </c>
      <c r="E544" s="5">
        <v>-27871</v>
      </c>
      <c r="F544" s="3" t="s">
        <v>1330</v>
      </c>
      <c r="G544" s="3" t="s">
        <v>20</v>
      </c>
      <c r="H544" s="2" t="s">
        <v>21</v>
      </c>
      <c r="I544" s="2" t="s">
        <v>1331</v>
      </c>
      <c r="J544" s="3" t="str">
        <f>HYPERLINK("https://www.boe.es/gazeta/dias/1823/09/09/pdfs/GMD-1823-733.pdf#page=4","Abrir facsímil")</f>
        <v>Abrir facsímil</v>
      </c>
      <c r="K544" s="3" t="s">
        <v>23</v>
      </c>
    </row>
    <row r="545" spans="1:11" ht="42" customHeight="1">
      <c r="A545" s="2" t="s">
        <v>1332</v>
      </c>
      <c r="B545" s="2" t="s">
        <v>1333</v>
      </c>
      <c r="C545" s="2" t="s">
        <v>79</v>
      </c>
      <c r="D545" s="2" t="s">
        <v>74</v>
      </c>
      <c r="E545" s="5">
        <v>-27920</v>
      </c>
      <c r="F545" s="3" t="s">
        <v>1334</v>
      </c>
      <c r="G545" s="3" t="s">
        <v>715</v>
      </c>
      <c r="H545" s="2" t="s">
        <v>21</v>
      </c>
      <c r="I545" s="2" t="s">
        <v>1335</v>
      </c>
      <c r="J545" s="3" t="str">
        <f>HYPERLINK("https://www.boe.es/gazeta/dias/1823/07/22/pdfs/GMD-1823-443.pdf#page=8","Abrir facsímil")</f>
        <v>Abrir facsímil</v>
      </c>
      <c r="K545" s="3" t="s">
        <v>23</v>
      </c>
    </row>
    <row r="546" spans="1:11" ht="42" customHeight="1">
      <c r="A546" s="2" t="s">
        <v>1332</v>
      </c>
      <c r="B546" s="2" t="s">
        <v>1333</v>
      </c>
      <c r="C546" s="2" t="s">
        <v>79</v>
      </c>
      <c r="D546" s="2" t="s">
        <v>74</v>
      </c>
      <c r="E546" s="5">
        <v>-27794</v>
      </c>
      <c r="F546" s="3" t="s">
        <v>747</v>
      </c>
      <c r="G546" s="3" t="s">
        <v>20</v>
      </c>
      <c r="H546" s="2" t="s">
        <v>21</v>
      </c>
      <c r="I546" s="2" t="s">
        <v>1336</v>
      </c>
      <c r="J546" s="3" t="str">
        <f>HYPERLINK("https://www.boe.es/gazeta/dias/1823/11/25/pdfs/GMD-1823-1163.pdf#page=4","Abrir facsímil")</f>
        <v>Abrir facsímil</v>
      </c>
      <c r="K546" s="3" t="s">
        <v>23</v>
      </c>
    </row>
    <row r="547" spans="1:11" ht="42" customHeight="1">
      <c r="A547" s="2" t="s">
        <v>1337</v>
      </c>
      <c r="B547" s="2" t="s">
        <v>1338</v>
      </c>
      <c r="C547" s="2" t="s">
        <v>84</v>
      </c>
      <c r="D547" s="2" t="s">
        <v>74</v>
      </c>
      <c r="E547" s="5">
        <v>-27920</v>
      </c>
      <c r="F547" s="3" t="s">
        <v>1334</v>
      </c>
      <c r="G547" s="3" t="s">
        <v>715</v>
      </c>
      <c r="H547" s="2" t="s">
        <v>21</v>
      </c>
      <c r="I547" s="2" t="s">
        <v>1339</v>
      </c>
      <c r="J547" s="3" t="str">
        <f>HYPERLINK("https://www.boe.es/gazeta/dias/1823/07/22/pdfs/GMD-1823-443.pdf#page=8","Abrir facsímil")</f>
        <v>Abrir facsímil</v>
      </c>
      <c r="K547" s="3" t="s">
        <v>23</v>
      </c>
    </row>
    <row r="548" spans="1:11" ht="42" customHeight="1">
      <c r="A548" s="2" t="s">
        <v>1340</v>
      </c>
      <c r="B548" s="2" t="s">
        <v>1340</v>
      </c>
      <c r="C548" s="2" t="s">
        <v>17</v>
      </c>
      <c r="D548" s="2" t="s">
        <v>18</v>
      </c>
      <c r="E548" s="5">
        <v>-27792</v>
      </c>
      <c r="F548" s="3" t="s">
        <v>611</v>
      </c>
      <c r="G548" s="3" t="s">
        <v>48</v>
      </c>
      <c r="H548" s="2" t="s">
        <v>21</v>
      </c>
      <c r="I548" s="2" t="s">
        <v>1341</v>
      </c>
      <c r="J548" s="3" t="str">
        <f>HYPERLINK("https://www.boe.es/gazeta/dias/1823/11/27/pdfs/GMD-1823-1173.pdf#page=3","Abrir facsímil")</f>
        <v>Abrir facsímil</v>
      </c>
      <c r="K548" s="3" t="s">
        <v>23</v>
      </c>
    </row>
    <row r="549" spans="1:11" ht="42" customHeight="1">
      <c r="A549" s="2" t="s">
        <v>1342</v>
      </c>
      <c r="B549" s="2" t="s">
        <v>1342</v>
      </c>
      <c r="C549" s="2" t="s">
        <v>17</v>
      </c>
      <c r="D549" s="2" t="s">
        <v>18</v>
      </c>
      <c r="E549" s="5">
        <v>-27778</v>
      </c>
      <c r="F549" s="3" t="s">
        <v>1343</v>
      </c>
      <c r="G549" s="3" t="s">
        <v>48</v>
      </c>
      <c r="H549" s="2" t="s">
        <v>21</v>
      </c>
      <c r="I549" s="2" t="s">
        <v>1344</v>
      </c>
      <c r="J549" s="3" t="str">
        <f>HYPERLINK("https://www.boe.es/gazeta/dias/1823/12/11/pdfs/GMD-1823-1233.pdf#page=3","Abrir facsímil")</f>
        <v>Abrir facsímil</v>
      </c>
      <c r="K549" s="3" t="s">
        <v>23</v>
      </c>
    </row>
    <row r="550" spans="1:11" ht="42" customHeight="1">
      <c r="A550" s="2" t="s">
        <v>1345</v>
      </c>
      <c r="B550" s="2" t="s">
        <v>1345</v>
      </c>
      <c r="C550" s="2" t="s">
        <v>17</v>
      </c>
      <c r="D550" s="2" t="s">
        <v>18</v>
      </c>
      <c r="E550" s="5">
        <v>-27863</v>
      </c>
      <c r="F550" s="3" t="s">
        <v>651</v>
      </c>
      <c r="G550" s="3" t="s">
        <v>39</v>
      </c>
      <c r="H550" s="2" t="s">
        <v>21</v>
      </c>
      <c r="I550" s="2" t="s">
        <v>1346</v>
      </c>
      <c r="J550" s="3" t="str">
        <f>HYPERLINK("https://www.boe.es/gazeta/dias/1823/09/17/pdfs/GES-1823-161.pdf#page=1","Abrir facsímil")</f>
        <v>Abrir facsímil</v>
      </c>
      <c r="K550" s="3" t="s">
        <v>23</v>
      </c>
    </row>
    <row r="551" spans="1:11" ht="42" customHeight="1">
      <c r="A551" s="2" t="s">
        <v>1345</v>
      </c>
      <c r="B551" s="2" t="s">
        <v>1345</v>
      </c>
      <c r="C551" s="2" t="s">
        <v>17</v>
      </c>
      <c r="D551" s="2" t="s">
        <v>18</v>
      </c>
      <c r="E551" s="5">
        <v>-27863</v>
      </c>
      <c r="F551" s="3" t="s">
        <v>651</v>
      </c>
      <c r="G551" s="3" t="s">
        <v>27</v>
      </c>
      <c r="H551" s="2" t="s">
        <v>21</v>
      </c>
      <c r="I551" s="2" t="s">
        <v>1347</v>
      </c>
      <c r="J551" s="3" t="str">
        <f>HYPERLINK("https://www.boe.es/gazeta/dias/1823/09/17/pdfs/GES-1823-161.pdf#page=2","Abrir facsímil")</f>
        <v>Abrir facsímil</v>
      </c>
      <c r="K551" s="3" t="s">
        <v>23</v>
      </c>
    </row>
    <row r="552" spans="1:11" ht="42" customHeight="1">
      <c r="A552" s="2" t="s">
        <v>1345</v>
      </c>
      <c r="B552" s="2" t="s">
        <v>1345</v>
      </c>
      <c r="C552" s="2" t="s">
        <v>17</v>
      </c>
      <c r="D552" s="2" t="s">
        <v>18</v>
      </c>
      <c r="E552" s="5">
        <v>-27861</v>
      </c>
      <c r="F552" s="3" t="s">
        <v>425</v>
      </c>
      <c r="G552" s="3" t="s">
        <v>27</v>
      </c>
      <c r="H552" s="2" t="s">
        <v>21</v>
      </c>
      <c r="I552" s="2" t="s">
        <v>1348</v>
      </c>
      <c r="J552" s="3" t="str">
        <f>HYPERLINK("https://www.boe.es/gazeta/dias/1823/09/19/pdfs/GES-1823-163.pdf#page=2","Abrir facsímil")</f>
        <v>Abrir facsímil</v>
      </c>
      <c r="K552" s="3" t="s">
        <v>23</v>
      </c>
    </row>
    <row r="553" spans="1:11" ht="42" customHeight="1">
      <c r="A553" s="2" t="s">
        <v>1349</v>
      </c>
      <c r="B553" s="2" t="s">
        <v>1350</v>
      </c>
      <c r="C553" s="2" t="s">
        <v>17</v>
      </c>
      <c r="D553" s="2" t="s">
        <v>18</v>
      </c>
      <c r="E553" s="5">
        <v>-27863</v>
      </c>
      <c r="F553" s="3" t="s">
        <v>651</v>
      </c>
      <c r="G553" s="3" t="s">
        <v>27</v>
      </c>
      <c r="H553" s="2" t="s">
        <v>21</v>
      </c>
      <c r="I553" s="2" t="s">
        <v>1351</v>
      </c>
      <c r="J553" s="3" t="str">
        <f>HYPERLINK("https://www.boe.es/gazeta/dias/1823/09/17/pdfs/GES-1823-161.pdf#page=2","Abrir facsímil")</f>
        <v>Abrir facsímil</v>
      </c>
      <c r="K553" s="3" t="s">
        <v>23</v>
      </c>
    </row>
    <row r="554" spans="1:11" ht="42" customHeight="1">
      <c r="A554" s="2" t="s">
        <v>1352</v>
      </c>
      <c r="B554" s="2" t="s">
        <v>1353</v>
      </c>
      <c r="C554" s="2" t="s">
        <v>79</v>
      </c>
      <c r="D554" s="2" t="s">
        <v>74</v>
      </c>
      <c r="E554" s="5">
        <v>-28021</v>
      </c>
      <c r="F554" s="3" t="s">
        <v>1054</v>
      </c>
      <c r="G554" s="3" t="s">
        <v>1055</v>
      </c>
      <c r="H554" s="2" t="s">
        <v>21</v>
      </c>
      <c r="I554" s="2" t="s">
        <v>1354</v>
      </c>
      <c r="J554" s="3" t="str">
        <f>HYPERLINK("https://www.boe.es/gazeta/dias/1823/04/12/pdfs/GMD-1823-107.pdf#page=4","Abrir facsímil")</f>
        <v>Abrir facsímil</v>
      </c>
      <c r="K554" s="3" t="s">
        <v>23</v>
      </c>
    </row>
    <row r="555" spans="1:11" ht="42" customHeight="1">
      <c r="A555" s="2" t="s">
        <v>1355</v>
      </c>
      <c r="B555" s="2" t="s">
        <v>1356</v>
      </c>
      <c r="C555" s="2" t="s">
        <v>17</v>
      </c>
      <c r="D555" s="2" t="s">
        <v>18</v>
      </c>
      <c r="E555" s="5">
        <v>-28062</v>
      </c>
      <c r="F555" s="3" t="s">
        <v>1357</v>
      </c>
      <c r="G555" s="3" t="s">
        <v>20</v>
      </c>
      <c r="H555" s="2" t="s">
        <v>21</v>
      </c>
      <c r="I555" s="2" t="s">
        <v>1358</v>
      </c>
      <c r="J555" s="3" t="str">
        <f>HYPERLINK("https://www.boe.es/gazeta/dias/1823/03/02/pdfs/GMD-1823-65.pdf#page=4","Abrir facsímil")</f>
        <v>Abrir facsímil</v>
      </c>
      <c r="K555" s="3" t="s">
        <v>23</v>
      </c>
    </row>
    <row r="556" spans="1:11" ht="42" customHeight="1">
      <c r="A556" s="2" t="s">
        <v>1359</v>
      </c>
      <c r="B556" s="2" t="s">
        <v>1359</v>
      </c>
      <c r="C556" s="2" t="s">
        <v>79</v>
      </c>
      <c r="D556" s="2" t="s">
        <v>74</v>
      </c>
      <c r="E556" s="5">
        <v>-28077</v>
      </c>
      <c r="F556" s="3" t="s">
        <v>536</v>
      </c>
      <c r="G556" s="3" t="s">
        <v>39</v>
      </c>
      <c r="H556" s="2" t="s">
        <v>21</v>
      </c>
      <c r="I556" s="2" t="s">
        <v>1360</v>
      </c>
      <c r="J556" s="3" t="str">
        <f>HYPERLINK("https://www.boe.es/gazeta/dias/1823/02/15/pdfs/GMD-1823-49.pdf#page=1","Abrir facsímil")</f>
        <v>Abrir facsímil</v>
      </c>
      <c r="K556" s="3" t="s">
        <v>23</v>
      </c>
    </row>
    <row r="557" spans="1:11" ht="42" customHeight="1">
      <c r="A557" s="2" t="s">
        <v>1361</v>
      </c>
      <c r="B557" s="2" t="s">
        <v>1362</v>
      </c>
      <c r="C557" s="2" t="s">
        <v>17</v>
      </c>
      <c r="D557" s="2" t="s">
        <v>18</v>
      </c>
      <c r="E557" s="5">
        <v>-27987</v>
      </c>
      <c r="F557" s="3" t="s">
        <v>332</v>
      </c>
      <c r="G557" s="3" t="s">
        <v>34</v>
      </c>
      <c r="H557" s="2" t="s">
        <v>21</v>
      </c>
      <c r="I557" s="2" t="s">
        <v>1363</v>
      </c>
      <c r="J557" s="3" t="str">
        <f>HYPERLINK("https://www.boe.es/gazeta/dias/1823/05/16/pdfs/GES-1823-36.pdf#page=5","Abrir facsímil")</f>
        <v>Abrir facsímil</v>
      </c>
      <c r="K557" s="3" t="s">
        <v>23</v>
      </c>
    </row>
    <row r="558" spans="1:11" ht="42" customHeight="1">
      <c r="A558" s="2" t="s">
        <v>1364</v>
      </c>
      <c r="B558" s="2" t="s">
        <v>1364</v>
      </c>
      <c r="C558" s="2" t="s">
        <v>79</v>
      </c>
      <c r="D558" s="2" t="s">
        <v>74</v>
      </c>
      <c r="E558" s="5">
        <v>-28000</v>
      </c>
      <c r="F558" s="3" t="s">
        <v>138</v>
      </c>
      <c r="G558" s="3" t="s">
        <v>27</v>
      </c>
      <c r="H558" s="2" t="s">
        <v>21</v>
      </c>
      <c r="I558" s="2" t="s">
        <v>1365</v>
      </c>
      <c r="J558" s="3" t="str">
        <f>HYPERLINK("https://www.boe.es/gazeta/dias/1823/05/03/pdfs/GMD-1823-92.pdf#page=2","Abrir facsímil")</f>
        <v>Abrir facsímil</v>
      </c>
      <c r="K558" s="3" t="s">
        <v>23</v>
      </c>
    </row>
    <row r="559" spans="1:11" ht="42" customHeight="1">
      <c r="A559" s="2" t="s">
        <v>1366</v>
      </c>
      <c r="B559" s="2" t="s">
        <v>1367</v>
      </c>
      <c r="C559" s="2" t="s">
        <v>325</v>
      </c>
      <c r="D559" s="2" t="s">
        <v>74</v>
      </c>
      <c r="E559" s="5">
        <v>-28097</v>
      </c>
      <c r="F559" s="3" t="s">
        <v>1368</v>
      </c>
      <c r="G559" s="3" t="s">
        <v>20</v>
      </c>
      <c r="H559" s="2" t="s">
        <v>21</v>
      </c>
      <c r="I559" s="2" t="s">
        <v>1369</v>
      </c>
      <c r="J559" s="3" t="str">
        <f>HYPERLINK("https://www.boe.es/gazeta/dias/1823/01/26/pdfs/GMD-1823-27.pdf#page=4","Abrir facsímil")</f>
        <v>Abrir facsímil</v>
      </c>
      <c r="K559" s="3" t="s">
        <v>23</v>
      </c>
    </row>
    <row r="560" spans="1:11" ht="42" customHeight="1">
      <c r="A560" s="2" t="s">
        <v>1370</v>
      </c>
      <c r="B560" s="2" t="s">
        <v>1371</v>
      </c>
      <c r="C560" s="2" t="s">
        <v>17</v>
      </c>
      <c r="D560" s="2" t="s">
        <v>18</v>
      </c>
      <c r="E560" s="5">
        <v>-28033</v>
      </c>
      <c r="F560" s="3" t="s">
        <v>1372</v>
      </c>
      <c r="G560" s="3" t="s">
        <v>20</v>
      </c>
      <c r="H560" s="2" t="s">
        <v>21</v>
      </c>
      <c r="I560" s="2" t="s">
        <v>1373</v>
      </c>
      <c r="J560" s="3" t="str">
        <f>HYPERLINK("https://www.boe.es/gazeta/dias/1823/03/31/pdfs/GMD-1823-94.pdf#page=4","Abrir facsímil")</f>
        <v>Abrir facsímil</v>
      </c>
      <c r="K560" s="3" t="s">
        <v>23</v>
      </c>
    </row>
    <row r="561" spans="1:11" ht="42" customHeight="1">
      <c r="A561" s="2" t="s">
        <v>1370</v>
      </c>
      <c r="B561" s="2" t="s">
        <v>1371</v>
      </c>
      <c r="C561" s="2" t="s">
        <v>17</v>
      </c>
      <c r="D561" s="2" t="s">
        <v>18</v>
      </c>
      <c r="E561" s="5">
        <v>-28007</v>
      </c>
      <c r="F561" s="3" t="s">
        <v>1190</v>
      </c>
      <c r="G561" s="3" t="s">
        <v>20</v>
      </c>
      <c r="H561" s="2" t="s">
        <v>21</v>
      </c>
      <c r="I561" s="2" t="s">
        <v>1374</v>
      </c>
      <c r="J561" s="3" t="str">
        <f>HYPERLINK("https://www.boe.es/gazeta/dias/1823/04/26/pdfs/GMD-1823-62.pdf#page=4","Abrir facsímil")</f>
        <v>Abrir facsímil</v>
      </c>
      <c r="K561" s="3" t="s">
        <v>23</v>
      </c>
    </row>
    <row r="562" spans="1:11" ht="42" customHeight="1">
      <c r="A562" s="2" t="s">
        <v>1370</v>
      </c>
      <c r="B562" s="2" t="s">
        <v>1371</v>
      </c>
      <c r="C562" s="2" t="s">
        <v>17</v>
      </c>
      <c r="D562" s="2" t="s">
        <v>18</v>
      </c>
      <c r="E562" s="5">
        <v>-28003</v>
      </c>
      <c r="F562" s="3" t="s">
        <v>26</v>
      </c>
      <c r="G562" s="3" t="s">
        <v>27</v>
      </c>
      <c r="H562" s="2" t="s">
        <v>21</v>
      </c>
      <c r="I562" s="2" t="s">
        <v>1375</v>
      </c>
      <c r="J562" s="3" t="str">
        <f>HYPERLINK("https://www.boe.es/gazeta/dias/1823/04/30/pdfs/GES-1823-20.pdf#page=2","Abrir facsímil")</f>
        <v>Abrir facsímil</v>
      </c>
      <c r="K562" s="3" t="s">
        <v>23</v>
      </c>
    </row>
    <row r="563" spans="1:11" ht="42" customHeight="1">
      <c r="A563" s="2" t="s">
        <v>1376</v>
      </c>
      <c r="B563" s="2" t="s">
        <v>1377</v>
      </c>
      <c r="C563" s="2" t="s">
        <v>56</v>
      </c>
      <c r="D563" s="2" t="s">
        <v>57</v>
      </c>
      <c r="E563" s="5">
        <v>-28068</v>
      </c>
      <c r="F563" s="3" t="s">
        <v>1325</v>
      </c>
      <c r="G563" s="3" t="s">
        <v>20</v>
      </c>
      <c r="H563" s="2" t="s">
        <v>21</v>
      </c>
      <c r="I563" s="2" t="s">
        <v>1378</v>
      </c>
      <c r="J563" s="3" t="str">
        <f>HYPERLINK("https://www.boe.es/gazeta/dias/1823/02/24/pdfs/GMD-1823-58.pdf#page=4","Abrir facsímil")</f>
        <v>Abrir facsímil</v>
      </c>
      <c r="K563" s="3" t="s">
        <v>23</v>
      </c>
    </row>
    <row r="564" spans="1:11" ht="42" customHeight="1">
      <c r="A564" s="2" t="s">
        <v>1379</v>
      </c>
      <c r="B564" s="2" t="s">
        <v>1379</v>
      </c>
      <c r="C564" s="2" t="s">
        <v>109</v>
      </c>
      <c r="D564" s="2" t="s">
        <v>74</v>
      </c>
      <c r="E564" s="5">
        <v>-28092</v>
      </c>
      <c r="F564" s="3" t="s">
        <v>105</v>
      </c>
      <c r="G564" s="3" t="s">
        <v>20</v>
      </c>
      <c r="H564" s="2" t="s">
        <v>21</v>
      </c>
      <c r="I564" s="2" t="s">
        <v>1380</v>
      </c>
      <c r="J564" s="3" t="str">
        <f>HYPERLINK("https://www.boe.es/gazeta/dias/1823/01/31/pdfs/GMD-1823-32.pdf#page=4","Abrir facsímil")</f>
        <v>Abrir facsímil</v>
      </c>
      <c r="K564" s="3" t="s">
        <v>23</v>
      </c>
    </row>
    <row r="565" spans="1:11" ht="42" customHeight="1">
      <c r="A565" s="2" t="s">
        <v>1379</v>
      </c>
      <c r="B565" s="2" t="s">
        <v>1379</v>
      </c>
      <c r="C565" s="2" t="s">
        <v>79</v>
      </c>
      <c r="D565" s="2" t="s">
        <v>74</v>
      </c>
      <c r="E565" s="5">
        <v>-28091</v>
      </c>
      <c r="F565" s="3" t="s">
        <v>1047</v>
      </c>
      <c r="G565" s="3" t="s">
        <v>39</v>
      </c>
      <c r="H565" s="2" t="s">
        <v>21</v>
      </c>
      <c r="I565" s="2" t="s">
        <v>1381</v>
      </c>
      <c r="J565" s="3" t="str">
        <f>HYPERLINK("https://www.boe.es/gazeta/dias/1823/02/01/pdfs/GMD-1823-34.pdf#page=1","Abrir facsímil")</f>
        <v>Abrir facsímil</v>
      </c>
      <c r="K565" s="3" t="s">
        <v>23</v>
      </c>
    </row>
    <row r="566" spans="1:11" ht="42" customHeight="1">
      <c r="A566" s="2" t="s">
        <v>1379</v>
      </c>
      <c r="B566" s="2" t="s">
        <v>1379</v>
      </c>
      <c r="C566" s="2" t="s">
        <v>17</v>
      </c>
      <c r="D566" s="2" t="s">
        <v>18</v>
      </c>
      <c r="E566" s="5">
        <v>-28080</v>
      </c>
      <c r="F566" s="3" t="s">
        <v>1010</v>
      </c>
      <c r="G566" s="3" t="s">
        <v>1382</v>
      </c>
      <c r="H566" s="2" t="s">
        <v>21</v>
      </c>
      <c r="I566" s="2" t="s">
        <v>1383</v>
      </c>
      <c r="J566" s="3" t="str">
        <f>HYPERLINK("https://www.boe.es/gazeta/dias/1823/02/12/pdfs/GMD-1823-46.pdf#page=4","Abrir facsímil")</f>
        <v>Abrir facsímil</v>
      </c>
      <c r="K566" s="3" t="s">
        <v>23</v>
      </c>
    </row>
    <row r="567" spans="1:11" ht="42" customHeight="1">
      <c r="A567" s="2" t="s">
        <v>1379</v>
      </c>
      <c r="B567" s="2" t="s">
        <v>1379</v>
      </c>
      <c r="C567" s="2" t="s">
        <v>17</v>
      </c>
      <c r="D567" s="2" t="s">
        <v>18</v>
      </c>
      <c r="E567" s="5">
        <v>-28064</v>
      </c>
      <c r="F567" s="3" t="s">
        <v>1190</v>
      </c>
      <c r="G567" s="3" t="s">
        <v>20</v>
      </c>
      <c r="H567" s="2" t="s">
        <v>21</v>
      </c>
      <c r="I567" s="2" t="s">
        <v>1384</v>
      </c>
      <c r="J567" s="3" t="str">
        <f>HYPERLINK("https://www.boe.es/gazeta/dias/1823/02/28/pdfs/GMD-1823-62.pdf#page=4","Abrir facsímil")</f>
        <v>Abrir facsímil</v>
      </c>
      <c r="K567" s="3" t="s">
        <v>23</v>
      </c>
    </row>
    <row r="568" spans="1:11" ht="42" customHeight="1">
      <c r="A568" s="2" t="s">
        <v>1379</v>
      </c>
      <c r="B568" s="2" t="s">
        <v>1379</v>
      </c>
      <c r="C568" s="2" t="s">
        <v>84</v>
      </c>
      <c r="D568" s="2" t="s">
        <v>74</v>
      </c>
      <c r="E568" s="5">
        <v>-28048</v>
      </c>
      <c r="F568" s="3" t="s">
        <v>399</v>
      </c>
      <c r="G568" s="3" t="s">
        <v>34</v>
      </c>
      <c r="H568" s="2" t="s">
        <v>21</v>
      </c>
      <c r="I568" s="2" t="s">
        <v>1385</v>
      </c>
      <c r="J568" s="3" t="str">
        <f>HYPERLINK("https://www.boe.es/gazeta/dias/1823/03/16/pdfs/GMD-1823-79.pdf#page=5","Abrir facsímil")</f>
        <v>Abrir facsímil</v>
      </c>
      <c r="K568" s="3" t="s">
        <v>23</v>
      </c>
    </row>
    <row r="569" spans="1:11" ht="42" customHeight="1">
      <c r="A569" s="2" t="s">
        <v>1379</v>
      </c>
      <c r="B569" s="2" t="s">
        <v>1379</v>
      </c>
      <c r="C569" s="2" t="s">
        <v>109</v>
      </c>
      <c r="D569" s="2" t="s">
        <v>74</v>
      </c>
      <c r="E569" s="5">
        <v>-28043</v>
      </c>
      <c r="F569" s="3" t="s">
        <v>69</v>
      </c>
      <c r="G569" s="3" t="s">
        <v>48</v>
      </c>
      <c r="H569" s="2" t="s">
        <v>21</v>
      </c>
      <c r="I569" s="2" t="s">
        <v>1386</v>
      </c>
      <c r="J569" s="3" t="str">
        <f>HYPERLINK("https://www.boe.es/gazeta/dias/1823/03/21/pdfs/GMD-1823-84.pdf#page=3","Abrir facsímil")</f>
        <v>Abrir facsímil</v>
      </c>
      <c r="K569" s="3" t="s">
        <v>23</v>
      </c>
    </row>
    <row r="570" spans="1:11" ht="42" customHeight="1">
      <c r="A570" s="2" t="s">
        <v>1379</v>
      </c>
      <c r="B570" s="2" t="s">
        <v>1379</v>
      </c>
      <c r="C570" s="2" t="s">
        <v>109</v>
      </c>
      <c r="D570" s="2" t="s">
        <v>74</v>
      </c>
      <c r="E570" s="5">
        <v>-28031</v>
      </c>
      <c r="F570" s="3" t="s">
        <v>1211</v>
      </c>
      <c r="G570" s="3" t="s">
        <v>20</v>
      </c>
      <c r="H570" s="2" t="s">
        <v>21</v>
      </c>
      <c r="I570" s="2" t="s">
        <v>1387</v>
      </c>
      <c r="J570" s="3" t="str">
        <f>HYPERLINK("https://www.boe.es/gazeta/dias/1823/04/02/pdfs/GMD-1823-96.pdf#page=4","Abrir facsímil")</f>
        <v>Abrir facsímil</v>
      </c>
      <c r="K570" s="3" t="s">
        <v>23</v>
      </c>
    </row>
    <row r="571" spans="1:11" ht="42" customHeight="1">
      <c r="A571" s="2" t="s">
        <v>1379</v>
      </c>
      <c r="B571" s="2" t="s">
        <v>1379</v>
      </c>
      <c r="C571" s="2" t="s">
        <v>17</v>
      </c>
      <c r="D571" s="2" t="s">
        <v>18</v>
      </c>
      <c r="E571" s="5">
        <v>-28009</v>
      </c>
      <c r="F571" s="3" t="s">
        <v>307</v>
      </c>
      <c r="G571" s="3" t="s">
        <v>59</v>
      </c>
      <c r="H571" s="2" t="s">
        <v>21</v>
      </c>
      <c r="I571" s="2" t="s">
        <v>1388</v>
      </c>
      <c r="J571" s="3" t="str">
        <f>HYPERLINK("https://www.boe.es/gazeta/dias/1823/04/24/pdfs/GES-1823-14.pdf#page=6","Abrir facsímil")</f>
        <v>Abrir facsímil</v>
      </c>
      <c r="K571" s="3" t="s">
        <v>23</v>
      </c>
    </row>
    <row r="572" spans="1:11" ht="42" customHeight="1">
      <c r="A572" s="2" t="s">
        <v>1379</v>
      </c>
      <c r="B572" s="2" t="s">
        <v>1379</v>
      </c>
      <c r="C572" s="2" t="s">
        <v>56</v>
      </c>
      <c r="D572" s="2" t="s">
        <v>57</v>
      </c>
      <c r="E572" s="5">
        <v>-28008</v>
      </c>
      <c r="F572" s="3" t="s">
        <v>309</v>
      </c>
      <c r="G572" s="3" t="s">
        <v>20</v>
      </c>
      <c r="H572" s="2" t="s">
        <v>21</v>
      </c>
      <c r="I572" s="2" t="s">
        <v>1389</v>
      </c>
      <c r="J572" s="3" t="str">
        <f>HYPERLINK("https://www.boe.es/gazeta/dias/1823/04/25/pdfs/GES-1823-15.pdf#page=4","Abrir facsímil")</f>
        <v>Abrir facsímil</v>
      </c>
      <c r="K572" s="3" t="s">
        <v>23</v>
      </c>
    </row>
    <row r="573" spans="1:11" ht="42" customHeight="1">
      <c r="A573" s="2" t="s">
        <v>1379</v>
      </c>
      <c r="B573" s="2" t="s">
        <v>1379</v>
      </c>
      <c r="C573" s="2" t="s">
        <v>17</v>
      </c>
      <c r="D573" s="2" t="s">
        <v>18</v>
      </c>
      <c r="E573" s="5">
        <v>-27974</v>
      </c>
      <c r="F573" s="3" t="s">
        <v>618</v>
      </c>
      <c r="G573" s="3" t="s">
        <v>39</v>
      </c>
      <c r="H573" s="2" t="s">
        <v>21</v>
      </c>
      <c r="I573" s="2" t="s">
        <v>1390</v>
      </c>
      <c r="J573" s="3" t="str">
        <f>HYPERLINK("https://www.boe.es/gazeta/dias/1823/05/29/pdfs/GES-1823-52.pdf#page=1","Abrir facsímil")</f>
        <v>Abrir facsímil</v>
      </c>
      <c r="K573" s="3" t="s">
        <v>23</v>
      </c>
    </row>
    <row r="574" spans="1:11" ht="42" customHeight="1">
      <c r="A574" s="2" t="s">
        <v>1379</v>
      </c>
      <c r="B574" s="2" t="s">
        <v>1379</v>
      </c>
      <c r="C574" s="2" t="s">
        <v>293</v>
      </c>
      <c r="D574" s="2" t="s">
        <v>74</v>
      </c>
      <c r="E574" s="5">
        <v>-27942</v>
      </c>
      <c r="F574" s="3" t="s">
        <v>596</v>
      </c>
      <c r="G574" s="3" t="s">
        <v>48</v>
      </c>
      <c r="H574" s="2" t="s">
        <v>21</v>
      </c>
      <c r="I574" s="2" t="s">
        <v>1391</v>
      </c>
      <c r="J574" s="3" t="str">
        <f>HYPERLINK("https://www.boe.es/gazeta/dias/1823/06/30/pdfs/GES-1823-80.pdf#page=3","Abrir facsímil")</f>
        <v>Abrir facsímil</v>
      </c>
      <c r="K574" s="3" t="s">
        <v>23</v>
      </c>
    </row>
    <row r="575" spans="1:11" ht="42" customHeight="1">
      <c r="A575" s="2" t="s">
        <v>1379</v>
      </c>
      <c r="B575" s="2" t="s">
        <v>1379</v>
      </c>
      <c r="C575" s="2" t="s">
        <v>109</v>
      </c>
      <c r="D575" s="2" t="s">
        <v>74</v>
      </c>
      <c r="E575" s="5">
        <v>-27916</v>
      </c>
      <c r="F575" s="3" t="s">
        <v>772</v>
      </c>
      <c r="G575" s="3" t="s">
        <v>27</v>
      </c>
      <c r="H575" s="2" t="s">
        <v>21</v>
      </c>
      <c r="I575" s="2" t="s">
        <v>1392</v>
      </c>
      <c r="J575" s="3" t="str">
        <f>HYPERLINK("https://www.boe.es/gazeta/dias/1823/07/26/pdfs/GES-1823-107.pdf#page=2","Abrir facsímil")</f>
        <v>Abrir facsímil</v>
      </c>
      <c r="K575" s="3" t="s">
        <v>23</v>
      </c>
    </row>
    <row r="576" spans="1:11" ht="42" customHeight="1">
      <c r="A576" s="2" t="s">
        <v>1379</v>
      </c>
      <c r="B576" s="2" t="s">
        <v>1379</v>
      </c>
      <c r="C576" s="2" t="s">
        <v>17</v>
      </c>
      <c r="D576" s="2" t="s">
        <v>18</v>
      </c>
      <c r="E576" s="5">
        <v>-27911</v>
      </c>
      <c r="F576" s="3" t="s">
        <v>1393</v>
      </c>
      <c r="G576" s="3" t="s">
        <v>20</v>
      </c>
      <c r="H576" s="2" t="s">
        <v>21</v>
      </c>
      <c r="I576" s="2" t="s">
        <v>1394</v>
      </c>
      <c r="J576" s="3" t="str">
        <f>HYPERLINK("https://www.boe.es/gazeta/dias/1823/07/31/pdfs/GMD-1823-503.pdf#page=4","Abrir facsímil")</f>
        <v>Abrir facsímil</v>
      </c>
      <c r="K576" s="3" t="s">
        <v>23</v>
      </c>
    </row>
    <row r="577" spans="1:11" ht="42" customHeight="1">
      <c r="A577" s="2" t="s">
        <v>1379</v>
      </c>
      <c r="B577" s="2" t="s">
        <v>1379</v>
      </c>
      <c r="C577" s="2" t="s">
        <v>109</v>
      </c>
      <c r="D577" s="2" t="s">
        <v>74</v>
      </c>
      <c r="E577" s="5">
        <v>-27887</v>
      </c>
      <c r="F577" s="3" t="s">
        <v>1196</v>
      </c>
      <c r="G577" s="3" t="s">
        <v>20</v>
      </c>
      <c r="H577" s="2" t="s">
        <v>21</v>
      </c>
      <c r="I577" s="2" t="s">
        <v>1395</v>
      </c>
      <c r="J577" s="3" t="str">
        <f>HYPERLINK("https://www.boe.es/gazeta/dias/1823/08/24/pdfs/GES-1823-137.pdf#page=4","Abrir facsímil")</f>
        <v>Abrir facsímil</v>
      </c>
      <c r="K577" s="3" t="s">
        <v>23</v>
      </c>
    </row>
    <row r="578" spans="1:11" ht="42" customHeight="1">
      <c r="A578" s="2" t="s">
        <v>1379</v>
      </c>
      <c r="B578" s="2" t="s">
        <v>1379</v>
      </c>
      <c r="C578" s="2" t="s">
        <v>17</v>
      </c>
      <c r="D578" s="2" t="s">
        <v>18</v>
      </c>
      <c r="E578" s="5">
        <v>-27857</v>
      </c>
      <c r="F578" s="3" t="s">
        <v>378</v>
      </c>
      <c r="G578" s="3" t="s">
        <v>20</v>
      </c>
      <c r="H578" s="2" t="s">
        <v>21</v>
      </c>
      <c r="I578" s="2" t="s">
        <v>1396</v>
      </c>
      <c r="J578" s="3" t="str">
        <f>HYPERLINK("https://www.boe.es/gazeta/dias/1823/09/23/pdfs/GMD-1823-833.pdf#page=4","Abrir facsímil")</f>
        <v>Abrir facsímil</v>
      </c>
      <c r="K578" s="3" t="s">
        <v>23</v>
      </c>
    </row>
    <row r="579" spans="1:11" ht="42" customHeight="1">
      <c r="A579" s="2" t="s">
        <v>1379</v>
      </c>
      <c r="B579" s="2" t="s">
        <v>1379</v>
      </c>
      <c r="C579" s="2" t="s">
        <v>293</v>
      </c>
      <c r="D579" s="2" t="s">
        <v>74</v>
      </c>
      <c r="E579" s="5">
        <v>-27785</v>
      </c>
      <c r="F579" s="3" t="s">
        <v>1397</v>
      </c>
      <c r="G579" s="3" t="s">
        <v>20</v>
      </c>
      <c r="H579" s="2" t="s">
        <v>21</v>
      </c>
      <c r="I579" s="2" t="s">
        <v>1398</v>
      </c>
      <c r="J579" s="3" t="str">
        <f>HYPERLINK("https://www.boe.es/gazeta/dias/1823/12/04/pdfs/GMD-1823-1203.pdf#page=4","Abrir facsímil")</f>
        <v>Abrir facsímil</v>
      </c>
      <c r="K579" s="3" t="s">
        <v>23</v>
      </c>
    </row>
    <row r="580" spans="1:11" ht="42" customHeight="1">
      <c r="A580" s="2" t="s">
        <v>1379</v>
      </c>
      <c r="B580" s="2" t="s">
        <v>1379</v>
      </c>
      <c r="C580" s="2" t="s">
        <v>79</v>
      </c>
      <c r="D580" s="2" t="s">
        <v>74</v>
      </c>
      <c r="E580" s="5">
        <v>-27776</v>
      </c>
      <c r="F580" s="3" t="s">
        <v>1399</v>
      </c>
      <c r="G580" s="3" t="s">
        <v>39</v>
      </c>
      <c r="H580" s="2" t="s">
        <v>21</v>
      </c>
      <c r="I580" s="2" t="s">
        <v>1400</v>
      </c>
      <c r="J580" s="3" t="str">
        <f>HYPERLINK("https://www.boe.es/gazeta/dias/1823/12/13/pdfs/GMD-1823-1243.pdf#page=1","Abrir facsímil")</f>
        <v>Abrir facsímil</v>
      </c>
      <c r="K580" s="3" t="s">
        <v>23</v>
      </c>
    </row>
    <row r="581" spans="1:11" ht="42" customHeight="1">
      <c r="A581" s="2" t="s">
        <v>1401</v>
      </c>
      <c r="B581" s="2" t="s">
        <v>1402</v>
      </c>
      <c r="C581" s="2" t="s">
        <v>79</v>
      </c>
      <c r="D581" s="2" t="s">
        <v>74</v>
      </c>
      <c r="E581" s="5">
        <v>-27939</v>
      </c>
      <c r="F581" s="3" t="s">
        <v>1403</v>
      </c>
      <c r="G581" s="3" t="s">
        <v>27</v>
      </c>
      <c r="H581" s="2" t="s">
        <v>21</v>
      </c>
      <c r="I581" s="2" t="s">
        <v>1404</v>
      </c>
      <c r="J581" s="3" t="str">
        <f>HYPERLINK("https://www.boe.es/gazeta/dias/1823/07/03/pdfs/GMD-1823-333.pdf#page=2","Abrir facsímil")</f>
        <v>Abrir facsímil</v>
      </c>
      <c r="K581" s="3" t="s">
        <v>23</v>
      </c>
    </row>
    <row r="582" spans="1:11" ht="42" customHeight="1">
      <c r="A582" s="2" t="s">
        <v>1405</v>
      </c>
      <c r="B582" s="2" t="s">
        <v>1406</v>
      </c>
      <c r="C582" s="2" t="s">
        <v>17</v>
      </c>
      <c r="D582" s="2" t="s">
        <v>18</v>
      </c>
      <c r="E582" s="5">
        <v>-27995</v>
      </c>
      <c r="F582" s="3" t="s">
        <v>320</v>
      </c>
      <c r="G582" s="3" t="s">
        <v>321</v>
      </c>
      <c r="H582" s="2" t="s">
        <v>21</v>
      </c>
      <c r="I582" s="2" t="s">
        <v>1407</v>
      </c>
      <c r="J582" s="3" t="str">
        <f>HYPERLINK("https://www.boe.es/gazeta/dias/1823/05/08/pdfs/GES-1823-28.pdf#page=3","Abrir facsímil")</f>
        <v>Abrir facsímil</v>
      </c>
      <c r="K582" s="3" t="s">
        <v>23</v>
      </c>
    </row>
    <row r="583" spans="1:11" ht="42" customHeight="1">
      <c r="A583" s="2" t="s">
        <v>1408</v>
      </c>
      <c r="B583" s="2" t="s">
        <v>1409</v>
      </c>
      <c r="C583" s="2" t="s">
        <v>17</v>
      </c>
      <c r="D583" s="2" t="s">
        <v>18</v>
      </c>
      <c r="E583" s="5">
        <v>-27874</v>
      </c>
      <c r="F583" s="3" t="s">
        <v>1410</v>
      </c>
      <c r="G583" s="3" t="s">
        <v>39</v>
      </c>
      <c r="H583" s="2" t="s">
        <v>28</v>
      </c>
      <c r="I583" s="2" t="s">
        <v>1411</v>
      </c>
      <c r="J583" s="3" t="str">
        <f>HYPERLINK("https://www.boe.es/gazeta/dias/1823/09/06/pdfs/GES-1823-150.pdf#page=1","Abrir facsímil")</f>
        <v>Abrir facsímil</v>
      </c>
      <c r="K583" s="3" t="s">
        <v>30</v>
      </c>
    </row>
    <row r="584" spans="1:11" ht="42" customHeight="1">
      <c r="A584" s="2" t="s">
        <v>1412</v>
      </c>
      <c r="B584" s="2" t="s">
        <v>1413</v>
      </c>
      <c r="C584" s="2" t="s">
        <v>17</v>
      </c>
      <c r="D584" s="2" t="s">
        <v>18</v>
      </c>
      <c r="E584" s="5">
        <v>-27857</v>
      </c>
      <c r="F584" s="3" t="s">
        <v>378</v>
      </c>
      <c r="G584" s="3" t="s">
        <v>20</v>
      </c>
      <c r="H584" s="2" t="s">
        <v>21</v>
      </c>
      <c r="I584" s="2" t="s">
        <v>1414</v>
      </c>
      <c r="J584" s="3" t="str">
        <f>HYPERLINK("https://www.boe.es/gazeta/dias/1823/09/23/pdfs/GMD-1823-833.pdf#page=4","Abrir facsímil")</f>
        <v>Abrir facsímil</v>
      </c>
      <c r="K584" s="3" t="s">
        <v>23</v>
      </c>
    </row>
    <row r="585" spans="1:11" ht="42" customHeight="1">
      <c r="A585" s="2" t="s">
        <v>1415</v>
      </c>
      <c r="B585" s="2" t="s">
        <v>1416</v>
      </c>
      <c r="C585" s="2" t="s">
        <v>73</v>
      </c>
      <c r="D585" s="2" t="s">
        <v>74</v>
      </c>
      <c r="E585" s="5">
        <v>-28049</v>
      </c>
      <c r="F585" s="3" t="s">
        <v>198</v>
      </c>
      <c r="G585" s="3" t="s">
        <v>48</v>
      </c>
      <c r="H585" s="2" t="s">
        <v>21</v>
      </c>
      <c r="I585" s="2" t="s">
        <v>1417</v>
      </c>
      <c r="J585" s="3" t="str">
        <f>HYPERLINK("https://www.boe.es/gazeta/dias/1823/03/15/pdfs/GMD-1823-78.pdf#page=3","Abrir facsímil")</f>
        <v>Abrir facsímil</v>
      </c>
      <c r="K585" s="3" t="s">
        <v>23</v>
      </c>
    </row>
    <row r="586" spans="1:11" ht="42" customHeight="1">
      <c r="A586" s="2" t="s">
        <v>1418</v>
      </c>
      <c r="B586" s="2" t="s">
        <v>1419</v>
      </c>
      <c r="C586" s="2" t="s">
        <v>56</v>
      </c>
      <c r="D586" s="2" t="s">
        <v>57</v>
      </c>
      <c r="E586" s="5">
        <v>-28031</v>
      </c>
      <c r="F586" s="3" t="s">
        <v>1211</v>
      </c>
      <c r="G586" s="3" t="s">
        <v>20</v>
      </c>
      <c r="H586" s="2" t="s">
        <v>21</v>
      </c>
      <c r="I586" s="2" t="s">
        <v>1420</v>
      </c>
      <c r="J586" s="3" t="str">
        <f>HYPERLINK("https://www.boe.es/gazeta/dias/1823/04/02/pdfs/GMD-1823-96.pdf#page=4","Abrir facsímil")</f>
        <v>Abrir facsímil</v>
      </c>
      <c r="K586" s="3" t="s">
        <v>23</v>
      </c>
    </row>
    <row r="587" spans="1:11" ht="42" customHeight="1">
      <c r="A587" s="2" t="s">
        <v>1421</v>
      </c>
      <c r="B587" s="2" t="s">
        <v>1422</v>
      </c>
      <c r="C587" s="2" t="s">
        <v>17</v>
      </c>
      <c r="D587" s="2" t="s">
        <v>18</v>
      </c>
      <c r="E587" s="5">
        <v>-27996</v>
      </c>
      <c r="F587" s="3" t="s">
        <v>695</v>
      </c>
      <c r="G587" s="3" t="s">
        <v>20</v>
      </c>
      <c r="H587" s="2" t="s">
        <v>21</v>
      </c>
      <c r="I587" s="2" t="s">
        <v>1423</v>
      </c>
      <c r="J587" s="3" t="str">
        <f>HYPERLINK("https://www.boe.es/gazeta/dias/1823/05/07/pdfs/GES-1823-27.pdf#page=4","Abrir facsímil")</f>
        <v>Abrir facsímil</v>
      </c>
      <c r="K587" s="3" t="s">
        <v>23</v>
      </c>
    </row>
    <row r="588" spans="1:11" ht="42" customHeight="1">
      <c r="A588" s="2" t="s">
        <v>1424</v>
      </c>
      <c r="B588" s="2" t="s">
        <v>1425</v>
      </c>
      <c r="C588" s="2" t="s">
        <v>79</v>
      </c>
      <c r="D588" s="2" t="s">
        <v>74</v>
      </c>
      <c r="E588" s="5">
        <v>-27927</v>
      </c>
      <c r="F588" s="3" t="s">
        <v>1426</v>
      </c>
      <c r="G588" s="3" t="s">
        <v>27</v>
      </c>
      <c r="H588" s="2" t="s">
        <v>21</v>
      </c>
      <c r="I588" s="2" t="s">
        <v>1427</v>
      </c>
      <c r="J588" s="3" t="str">
        <f>HYPERLINK("https://www.boe.es/gazeta/dias/1823/07/15/pdfs/GES-1823-95.pdf#page=2","Abrir facsímil")</f>
        <v>Abrir facsímil</v>
      </c>
      <c r="K588" s="3" t="s">
        <v>23</v>
      </c>
    </row>
    <row r="589" spans="1:11" ht="42" customHeight="1">
      <c r="A589" s="2" t="s">
        <v>1428</v>
      </c>
      <c r="B589" s="2" t="s">
        <v>1429</v>
      </c>
      <c r="C589" s="2" t="s">
        <v>79</v>
      </c>
      <c r="D589" s="2" t="s">
        <v>74</v>
      </c>
      <c r="E589" s="5">
        <v>-28048</v>
      </c>
      <c r="F589" s="3" t="s">
        <v>399</v>
      </c>
      <c r="G589" s="3" t="s">
        <v>20</v>
      </c>
      <c r="H589" s="2" t="s">
        <v>21</v>
      </c>
      <c r="I589" s="2" t="s">
        <v>1430</v>
      </c>
      <c r="J589" s="3" t="str">
        <f>HYPERLINK("https://www.boe.es/gazeta/dias/1823/03/16/pdfs/GMD-1823-79.pdf#page=4","Abrir facsímil")</f>
        <v>Abrir facsímil</v>
      </c>
      <c r="K589" s="3" t="s">
        <v>23</v>
      </c>
    </row>
    <row r="590" spans="1:11" ht="42" customHeight="1">
      <c r="A590" s="2" t="s">
        <v>1431</v>
      </c>
      <c r="B590" s="2" t="s">
        <v>1432</v>
      </c>
      <c r="C590" s="2" t="s">
        <v>17</v>
      </c>
      <c r="D590" s="2" t="s">
        <v>18</v>
      </c>
      <c r="E590" s="5">
        <v>-27989</v>
      </c>
      <c r="F590" s="3" t="s">
        <v>1134</v>
      </c>
      <c r="G590" s="3" t="s">
        <v>59</v>
      </c>
      <c r="H590" s="2" t="s">
        <v>21</v>
      </c>
      <c r="I590" s="2" t="s">
        <v>1433</v>
      </c>
      <c r="J590" s="3" t="str">
        <f>HYPERLINK("https://www.boe.es/gazeta/dias/1823/05/14/pdfs/GES-1823-34.pdf#page=6","Abrir facsímil")</f>
        <v>Abrir facsímil</v>
      </c>
      <c r="K590" s="3" t="s">
        <v>23</v>
      </c>
    </row>
    <row r="591" spans="1:11" ht="42" customHeight="1">
      <c r="A591" s="2" t="s">
        <v>1434</v>
      </c>
      <c r="B591" s="2" t="s">
        <v>1434</v>
      </c>
      <c r="C591" s="2" t="s">
        <v>79</v>
      </c>
      <c r="D591" s="2" t="s">
        <v>74</v>
      </c>
      <c r="E591" s="5">
        <v>-27979</v>
      </c>
      <c r="F591" s="3" t="s">
        <v>1071</v>
      </c>
      <c r="G591" s="3" t="s">
        <v>39</v>
      </c>
      <c r="H591" s="2" t="s">
        <v>21</v>
      </c>
      <c r="I591" s="2" t="s">
        <v>1435</v>
      </c>
      <c r="J591" s="3" t="str">
        <f>HYPERLINK("https://www.boe.es/gazeta/dias/1823/05/24/pdfs/GES-1823-45.pdf#page=1","Abrir facsímil")</f>
        <v>Abrir facsímil</v>
      </c>
      <c r="K591" s="3" t="s">
        <v>23</v>
      </c>
    </row>
    <row r="592" spans="1:11" ht="42" customHeight="1">
      <c r="A592" s="2" t="s">
        <v>1436</v>
      </c>
      <c r="B592" s="2" t="s">
        <v>1437</v>
      </c>
      <c r="C592" s="2" t="s">
        <v>17</v>
      </c>
      <c r="D592" s="2" t="s">
        <v>18</v>
      </c>
      <c r="E592" s="5">
        <v>-28015</v>
      </c>
      <c r="F592" s="3" t="s">
        <v>985</v>
      </c>
      <c r="G592" s="3" t="s">
        <v>27</v>
      </c>
      <c r="H592" s="2" t="s">
        <v>21</v>
      </c>
      <c r="I592" s="2" t="s">
        <v>1438</v>
      </c>
      <c r="J592" s="3" t="str">
        <f>HYPERLINK("https://www.boe.es/gazeta/dias/1823/04/18/pdfs/GES-1823-8.pdf#page=2","Abrir facsímil")</f>
        <v>Abrir facsímil</v>
      </c>
      <c r="K592" s="3" t="s">
        <v>23</v>
      </c>
    </row>
    <row r="593" spans="1:11" ht="42" customHeight="1">
      <c r="A593" s="2" t="s">
        <v>1436</v>
      </c>
      <c r="B593" s="2" t="s">
        <v>1437</v>
      </c>
      <c r="C593" s="2" t="s">
        <v>17</v>
      </c>
      <c r="D593" s="2" t="s">
        <v>18</v>
      </c>
      <c r="E593" s="5">
        <v>-28009</v>
      </c>
      <c r="F593" s="3" t="s">
        <v>212</v>
      </c>
      <c r="G593" s="3" t="s">
        <v>48</v>
      </c>
      <c r="H593" s="2" t="s">
        <v>21</v>
      </c>
      <c r="I593" s="2" t="s">
        <v>1439</v>
      </c>
      <c r="J593" s="3" t="str">
        <f>HYPERLINK("https://www.boe.es/gazeta/dias/1823/04/24/pdfs/GMD-1823-52.pdf#page=3","Abrir facsímil")</f>
        <v>Abrir facsímil</v>
      </c>
      <c r="K593" s="3" t="s">
        <v>23</v>
      </c>
    </row>
    <row r="594" spans="1:11" ht="42" customHeight="1">
      <c r="A594" s="2" t="s">
        <v>1440</v>
      </c>
      <c r="B594" s="2" t="s">
        <v>1441</v>
      </c>
      <c r="C594" s="2" t="s">
        <v>56</v>
      </c>
      <c r="D594" s="2" t="s">
        <v>57</v>
      </c>
      <c r="E594" s="5">
        <v>-27785</v>
      </c>
      <c r="F594" s="3" t="s">
        <v>1397</v>
      </c>
      <c r="G594" s="3" t="s">
        <v>20</v>
      </c>
      <c r="H594" s="2" t="s">
        <v>28</v>
      </c>
      <c r="I594" s="2" t="s">
        <v>1442</v>
      </c>
      <c r="J594" s="3" t="str">
        <f>HYPERLINK("https://www.boe.es/gazeta/dias/1823/12/04/pdfs/GMD-1823-1203.pdf#page=4","Abrir facsímil")</f>
        <v>Abrir facsímil</v>
      </c>
      <c r="K594" s="3" t="s">
        <v>30</v>
      </c>
    </row>
    <row r="595" spans="1:11" ht="42" customHeight="1">
      <c r="A595" s="2" t="s">
        <v>1443</v>
      </c>
      <c r="B595" s="2" t="s">
        <v>1444</v>
      </c>
      <c r="C595" s="2" t="s">
        <v>17</v>
      </c>
      <c r="D595" s="2" t="s">
        <v>18</v>
      </c>
      <c r="E595" s="5">
        <v>-27983</v>
      </c>
      <c r="F595" s="3" t="s">
        <v>337</v>
      </c>
      <c r="G595" s="3" t="s">
        <v>39</v>
      </c>
      <c r="H595" s="2" t="s">
        <v>21</v>
      </c>
      <c r="I595" s="2" t="s">
        <v>1445</v>
      </c>
      <c r="J595" s="3" t="str">
        <f>HYPERLINK("https://www.boe.es/gazeta/dias/1823/05/20/pdfs/GES-1823-40.pdf#page=1","Abrir facsímil")</f>
        <v>Abrir facsímil</v>
      </c>
      <c r="K595" s="3" t="s">
        <v>23</v>
      </c>
    </row>
    <row r="596" spans="1:11" ht="42" customHeight="1">
      <c r="A596" s="2" t="s">
        <v>1446</v>
      </c>
      <c r="B596" s="2" t="s">
        <v>1446</v>
      </c>
      <c r="C596" s="2" t="s">
        <v>17</v>
      </c>
      <c r="D596" s="2" t="s">
        <v>18</v>
      </c>
      <c r="E596" s="5">
        <v>-27863</v>
      </c>
      <c r="F596" s="3" t="s">
        <v>651</v>
      </c>
      <c r="G596" s="3" t="s">
        <v>39</v>
      </c>
      <c r="H596" s="2" t="s">
        <v>21</v>
      </c>
      <c r="I596" s="2" t="s">
        <v>1447</v>
      </c>
      <c r="J596" s="3" t="str">
        <f>HYPERLINK("https://www.boe.es/gazeta/dias/1823/09/17/pdfs/GES-1823-161.pdf#page=1","Abrir facsímil")</f>
        <v>Abrir facsímil</v>
      </c>
      <c r="K596" s="3" t="s">
        <v>23</v>
      </c>
    </row>
    <row r="597" spans="1:11" ht="42" customHeight="1">
      <c r="A597" s="2" t="s">
        <v>1448</v>
      </c>
      <c r="B597" s="2" t="s">
        <v>1449</v>
      </c>
      <c r="C597" s="2" t="s">
        <v>17</v>
      </c>
      <c r="D597" s="2" t="s">
        <v>18</v>
      </c>
      <c r="E597" s="5">
        <v>-28037</v>
      </c>
      <c r="F597" s="3" t="s">
        <v>192</v>
      </c>
      <c r="G597" s="3" t="s">
        <v>48</v>
      </c>
      <c r="H597" s="2" t="s">
        <v>28</v>
      </c>
      <c r="I597" s="2" t="s">
        <v>1450</v>
      </c>
      <c r="J597" s="3" t="str">
        <f>HYPERLINK("https://www.boe.es/gazeta/dias/1823/03/27/pdfs/GMD-1823-90.pdf#page=3","Abrir facsímil")</f>
        <v>Abrir facsímil</v>
      </c>
      <c r="K597" s="3" t="s">
        <v>30</v>
      </c>
    </row>
    <row r="598" spans="1:11" ht="42" customHeight="1">
      <c r="A598" s="2" t="s">
        <v>1451</v>
      </c>
      <c r="B598" s="2" t="s">
        <v>1451</v>
      </c>
      <c r="C598" s="2" t="s">
        <v>79</v>
      </c>
      <c r="D598" s="2" t="s">
        <v>74</v>
      </c>
      <c r="E598" s="5">
        <v>-27773</v>
      </c>
      <c r="F598" s="3" t="s">
        <v>513</v>
      </c>
      <c r="G598" s="3" t="s">
        <v>39</v>
      </c>
      <c r="H598" s="2" t="s">
        <v>21</v>
      </c>
      <c r="I598" s="2" t="s">
        <v>1452</v>
      </c>
      <c r="J598" s="3" t="str">
        <f>HYPERLINK("https://www.boe.es/gazeta/dias/1823/12/16/pdfs/GMD-1823-1253.pdf#page=1","Abrir facsímil")</f>
        <v>Abrir facsímil</v>
      </c>
      <c r="K598" s="3" t="s">
        <v>23</v>
      </c>
    </row>
    <row r="599" spans="1:11" ht="42" customHeight="1">
      <c r="A599" s="2" t="s">
        <v>1453</v>
      </c>
      <c r="B599" s="2" t="s">
        <v>1454</v>
      </c>
      <c r="C599" s="2" t="s">
        <v>17</v>
      </c>
      <c r="D599" s="2" t="s">
        <v>18</v>
      </c>
      <c r="E599" s="5">
        <v>-27997</v>
      </c>
      <c r="F599" s="3" t="s">
        <v>317</v>
      </c>
      <c r="G599" s="3" t="s">
        <v>1124</v>
      </c>
      <c r="H599" s="2" t="s">
        <v>21</v>
      </c>
      <c r="I599" s="2" t="s">
        <v>1455</v>
      </c>
      <c r="J599" s="3" t="str">
        <f>HYPERLINK("https://www.boe.es/gazeta/dias/1823/05/06/pdfs/GES-1823-26.pdf#page=2","Abrir facsímil")</f>
        <v>Abrir facsímil</v>
      </c>
      <c r="K599" s="3" t="s">
        <v>23</v>
      </c>
    </row>
    <row r="600" spans="1:11" ht="42" customHeight="1">
      <c r="A600" s="2" t="s">
        <v>1456</v>
      </c>
      <c r="B600" s="2" t="s">
        <v>1456</v>
      </c>
      <c r="C600" s="2" t="s">
        <v>17</v>
      </c>
      <c r="D600" s="2" t="s">
        <v>18</v>
      </c>
      <c r="E600" s="5">
        <v>-28119</v>
      </c>
      <c r="F600" s="3" t="s">
        <v>545</v>
      </c>
      <c r="G600" s="3" t="s">
        <v>59</v>
      </c>
      <c r="H600" s="2" t="s">
        <v>21</v>
      </c>
      <c r="I600" s="2" t="s">
        <v>1457</v>
      </c>
      <c r="J600" s="3" t="str">
        <f>HYPERLINK("https://www.boe.es/gazeta/dias/1823/01/04/pdfs/GMD-1823-4.pdf#page=6","Abrir facsímil")</f>
        <v>Abrir facsímil</v>
      </c>
      <c r="K600" s="3" t="s">
        <v>23</v>
      </c>
    </row>
    <row r="601" spans="1:11" ht="42" customHeight="1">
      <c r="A601" s="2" t="s">
        <v>1456</v>
      </c>
      <c r="B601" s="2" t="s">
        <v>1456</v>
      </c>
      <c r="C601" s="2" t="s">
        <v>17</v>
      </c>
      <c r="D601" s="2" t="s">
        <v>18</v>
      </c>
      <c r="E601" s="5">
        <v>-28115</v>
      </c>
      <c r="F601" s="3" t="s">
        <v>579</v>
      </c>
      <c r="G601" s="3" t="s">
        <v>1458</v>
      </c>
      <c r="H601" s="2" t="s">
        <v>21</v>
      </c>
      <c r="I601" s="2" t="s">
        <v>1459</v>
      </c>
      <c r="J601" s="3" t="str">
        <f>HYPERLINK("https://www.boe.es/gazeta/dias/1823/01/08/pdfs/GMD-1823-8.pdf#page=4","Abrir facsímil")</f>
        <v>Abrir facsímil</v>
      </c>
      <c r="K601" s="3" t="s">
        <v>23</v>
      </c>
    </row>
    <row r="602" spans="1:11" ht="42" customHeight="1">
      <c r="A602" s="2" t="s">
        <v>1456</v>
      </c>
      <c r="B602" s="2" t="s">
        <v>1456</v>
      </c>
      <c r="C602" s="2" t="s">
        <v>79</v>
      </c>
      <c r="D602" s="2" t="s">
        <v>74</v>
      </c>
      <c r="E602" s="5">
        <v>-28041</v>
      </c>
      <c r="F602" s="3" t="s">
        <v>873</v>
      </c>
      <c r="G602" s="3" t="s">
        <v>366</v>
      </c>
      <c r="H602" s="2" t="s">
        <v>21</v>
      </c>
      <c r="I602" s="2" t="s">
        <v>1460</v>
      </c>
      <c r="J602" s="3" t="str">
        <f>HYPERLINK("https://www.boe.es/gazeta/dias/1823/03/23/pdfs/GMD-1823-86.pdf#page=4","Abrir facsímil")</f>
        <v>Abrir facsímil</v>
      </c>
      <c r="K602" s="3" t="s">
        <v>23</v>
      </c>
    </row>
    <row r="603" spans="1:11" ht="42" customHeight="1">
      <c r="A603" s="2" t="s">
        <v>1461</v>
      </c>
      <c r="B603" s="2" t="s">
        <v>1461</v>
      </c>
      <c r="C603" s="2" t="s">
        <v>79</v>
      </c>
      <c r="D603" s="2" t="s">
        <v>74</v>
      </c>
      <c r="E603" s="5">
        <v>-28048</v>
      </c>
      <c r="F603" s="3" t="s">
        <v>399</v>
      </c>
      <c r="G603" s="3" t="s">
        <v>20</v>
      </c>
      <c r="H603" s="2" t="s">
        <v>21</v>
      </c>
      <c r="I603" s="2" t="s">
        <v>1462</v>
      </c>
      <c r="J603" s="3" t="str">
        <f>HYPERLINK("https://www.boe.es/gazeta/dias/1823/03/16/pdfs/GMD-1823-79.pdf#page=4","Abrir facsímil")</f>
        <v>Abrir facsímil</v>
      </c>
      <c r="K603" s="3" t="s">
        <v>23</v>
      </c>
    </row>
    <row r="604" spans="1:11" ht="42" customHeight="1">
      <c r="A604" s="2" t="s">
        <v>1463</v>
      </c>
      <c r="B604" s="2" t="s">
        <v>1464</v>
      </c>
      <c r="C604" s="2" t="s">
        <v>17</v>
      </c>
      <c r="D604" s="2" t="s">
        <v>18</v>
      </c>
      <c r="E604" s="5">
        <v>-28053</v>
      </c>
      <c r="F604" s="3" t="s">
        <v>303</v>
      </c>
      <c r="G604" s="3" t="s">
        <v>20</v>
      </c>
      <c r="H604" s="2" t="s">
        <v>21</v>
      </c>
      <c r="I604" s="2" t="s">
        <v>1465</v>
      </c>
      <c r="J604" s="3" t="str">
        <f>HYPERLINK("https://www.boe.es/gazeta/dias/1823/03/11/pdfs/GMD-1823-74.pdf#page=4","Abrir facsímil")</f>
        <v>Abrir facsímil</v>
      </c>
      <c r="K604" s="3" t="s">
        <v>23</v>
      </c>
    </row>
    <row r="605" spans="1:11" ht="42" customHeight="1">
      <c r="A605" s="2" t="s">
        <v>1466</v>
      </c>
      <c r="B605" s="2" t="s">
        <v>1467</v>
      </c>
      <c r="C605" s="2" t="s">
        <v>17</v>
      </c>
      <c r="D605" s="2" t="s">
        <v>18</v>
      </c>
      <c r="E605" s="5">
        <v>-27906</v>
      </c>
      <c r="F605" s="3" t="s">
        <v>241</v>
      </c>
      <c r="G605" s="3" t="s">
        <v>34</v>
      </c>
      <c r="H605" s="2" t="s">
        <v>21</v>
      </c>
      <c r="I605" s="2" t="s">
        <v>1468</v>
      </c>
      <c r="J605" s="3" t="str">
        <f>HYPERLINK("https://www.boe.es/gazeta/dias/1823/08/05/pdfs/GES-1823-117.pdf#page=5","Abrir facsímil")</f>
        <v>Abrir facsímil</v>
      </c>
      <c r="K605" s="3" t="s">
        <v>23</v>
      </c>
    </row>
    <row r="606" spans="1:11" ht="42" customHeight="1">
      <c r="A606" s="2" t="s">
        <v>1466</v>
      </c>
      <c r="B606" s="2" t="s">
        <v>1467</v>
      </c>
      <c r="C606" s="2" t="s">
        <v>17</v>
      </c>
      <c r="D606" s="2" t="s">
        <v>18</v>
      </c>
      <c r="E606" s="5">
        <v>-27906</v>
      </c>
      <c r="F606" s="3" t="s">
        <v>241</v>
      </c>
      <c r="G606" s="3" t="s">
        <v>59</v>
      </c>
      <c r="H606" s="2" t="s">
        <v>21</v>
      </c>
      <c r="I606" s="2" t="s">
        <v>1469</v>
      </c>
      <c r="J606" s="3" t="str">
        <f>HYPERLINK("https://www.boe.es/gazeta/dias/1823/08/05/pdfs/GES-1823-117.pdf#page=6","Abrir facsímil")</f>
        <v>Abrir facsímil</v>
      </c>
      <c r="K606" s="3" t="s">
        <v>23</v>
      </c>
    </row>
    <row r="607" spans="1:11" ht="42" customHeight="1">
      <c r="A607" s="2" t="s">
        <v>1470</v>
      </c>
      <c r="B607" s="2" t="s">
        <v>1471</v>
      </c>
      <c r="C607" s="2" t="s">
        <v>17</v>
      </c>
      <c r="D607" s="2" t="s">
        <v>18</v>
      </c>
      <c r="E607" s="5">
        <v>-28037</v>
      </c>
      <c r="F607" s="3" t="s">
        <v>192</v>
      </c>
      <c r="G607" s="3" t="s">
        <v>48</v>
      </c>
      <c r="H607" s="2" t="s">
        <v>21</v>
      </c>
      <c r="I607" s="2" t="s">
        <v>1472</v>
      </c>
      <c r="J607" s="3" t="str">
        <f>HYPERLINK("https://www.boe.es/gazeta/dias/1823/03/27/pdfs/GMD-1823-90.pdf#page=3","Abrir facsímil")</f>
        <v>Abrir facsímil</v>
      </c>
      <c r="K607" s="3" t="s">
        <v>23</v>
      </c>
    </row>
    <row r="608" spans="1:11" ht="42" customHeight="1">
      <c r="A608" s="2" t="s">
        <v>1473</v>
      </c>
      <c r="B608" s="2" t="s">
        <v>1474</v>
      </c>
      <c r="C608" s="2" t="s">
        <v>109</v>
      </c>
      <c r="D608" s="2" t="s">
        <v>74</v>
      </c>
      <c r="E608" s="5">
        <v>-28098</v>
      </c>
      <c r="F608" s="3" t="s">
        <v>1101</v>
      </c>
      <c r="G608" s="3" t="s">
        <v>20</v>
      </c>
      <c r="H608" s="2" t="s">
        <v>21</v>
      </c>
      <c r="I608" s="2" t="s">
        <v>1475</v>
      </c>
      <c r="J608" s="3" t="str">
        <f>HYPERLINK("https://www.boe.es/gazeta/dias/1823/01/25/pdfs/GMD-1823-26.pdf#page=4","Abrir facsímil")</f>
        <v>Abrir facsímil</v>
      </c>
      <c r="K608" s="3" t="s">
        <v>23</v>
      </c>
    </row>
    <row r="609" spans="1:11" ht="42" customHeight="1">
      <c r="A609" s="2" t="s">
        <v>1473</v>
      </c>
      <c r="B609" s="2" t="s">
        <v>1474</v>
      </c>
      <c r="C609" s="2" t="s">
        <v>17</v>
      </c>
      <c r="D609" s="2" t="s">
        <v>18</v>
      </c>
      <c r="E609" s="5">
        <v>-28061</v>
      </c>
      <c r="F609" s="3" t="s">
        <v>704</v>
      </c>
      <c r="G609" s="3" t="s">
        <v>59</v>
      </c>
      <c r="H609" s="2" t="s">
        <v>21</v>
      </c>
      <c r="I609" s="2" t="s">
        <v>1476</v>
      </c>
      <c r="J609" s="3" t="str">
        <f>HYPERLINK("https://www.boe.es/gazeta/dias/1823/03/03/pdfs/GMD-1823-66.pdf#page=6","Abrir facsímil")</f>
        <v>Abrir facsímil</v>
      </c>
      <c r="K609" s="3" t="s">
        <v>23</v>
      </c>
    </row>
    <row r="610" spans="1:11" ht="42" customHeight="1">
      <c r="A610" s="2" t="s">
        <v>1473</v>
      </c>
      <c r="B610" s="2" t="s">
        <v>1474</v>
      </c>
      <c r="C610" s="2" t="s">
        <v>1477</v>
      </c>
      <c r="D610" s="2" t="s">
        <v>57</v>
      </c>
      <c r="E610" s="5">
        <v>-28055</v>
      </c>
      <c r="F610" s="3" t="s">
        <v>313</v>
      </c>
      <c r="G610" s="3" t="s">
        <v>20</v>
      </c>
      <c r="H610" s="2" t="s">
        <v>21</v>
      </c>
      <c r="I610" s="2" t="s">
        <v>1478</v>
      </c>
      <c r="J610" s="3" t="str">
        <f>HYPERLINK("https://www.boe.es/gazeta/dias/1823/03/09/pdfs/GMD-1823-72.pdf#page=4","Abrir facsímil")</f>
        <v>Abrir facsímil</v>
      </c>
      <c r="K610" s="3" t="s">
        <v>23</v>
      </c>
    </row>
    <row r="611" spans="1:11" ht="42" customHeight="1">
      <c r="A611" s="2" t="s">
        <v>1473</v>
      </c>
      <c r="B611" s="2" t="s">
        <v>1474</v>
      </c>
      <c r="C611" s="2" t="s">
        <v>109</v>
      </c>
      <c r="D611" s="2" t="s">
        <v>74</v>
      </c>
      <c r="E611" s="5">
        <v>-28043</v>
      </c>
      <c r="F611" s="3" t="s">
        <v>69</v>
      </c>
      <c r="G611" s="3" t="s">
        <v>59</v>
      </c>
      <c r="H611" s="2" t="s">
        <v>21</v>
      </c>
      <c r="I611" s="2" t="s">
        <v>1479</v>
      </c>
      <c r="J611" s="3" t="str">
        <f>HYPERLINK("https://www.boe.es/gazeta/dias/1823/03/21/pdfs/GMD-1823-84.pdf#page=6","Abrir facsímil")</f>
        <v>Abrir facsímil</v>
      </c>
      <c r="K611" s="3" t="s">
        <v>23</v>
      </c>
    </row>
    <row r="612" spans="1:11" ht="42" customHeight="1">
      <c r="A612" s="2" t="s">
        <v>1480</v>
      </c>
      <c r="B612" s="2" t="s">
        <v>1481</v>
      </c>
      <c r="C612" s="2" t="s">
        <v>17</v>
      </c>
      <c r="D612" s="2" t="s">
        <v>18</v>
      </c>
      <c r="E612" s="5">
        <v>-28066</v>
      </c>
      <c r="F612" s="3" t="s">
        <v>19</v>
      </c>
      <c r="G612" s="3" t="s">
        <v>20</v>
      </c>
      <c r="H612" s="2" t="s">
        <v>21</v>
      </c>
      <c r="I612" s="2" t="s">
        <v>1482</v>
      </c>
      <c r="J612" s="3" t="str">
        <f>HYPERLINK("https://www.boe.es/gazeta/dias/1823/02/26/pdfs/GMD-1823-60.pdf#page=4","Abrir facsímil")</f>
        <v>Abrir facsímil</v>
      </c>
      <c r="K612" s="3" t="s">
        <v>23</v>
      </c>
    </row>
    <row r="613" spans="1:11" ht="42" customHeight="1">
      <c r="A613" s="2" t="s">
        <v>1483</v>
      </c>
      <c r="B613" s="2" t="s">
        <v>1483</v>
      </c>
      <c r="C613" s="2" t="s">
        <v>79</v>
      </c>
      <c r="D613" s="2" t="s">
        <v>74</v>
      </c>
      <c r="E613" s="5">
        <v>-27962</v>
      </c>
      <c r="F613" s="3" t="s">
        <v>594</v>
      </c>
      <c r="G613" s="3" t="s">
        <v>20</v>
      </c>
      <c r="H613" s="2" t="s">
        <v>21</v>
      </c>
      <c r="I613" s="2" t="s">
        <v>1484</v>
      </c>
      <c r="J613" s="3" t="str">
        <f>HYPERLINK("https://www.boe.es/gazeta/dias/1823/06/10/pdfs/GES-1823-64.pdf#page=4","Abrir facsímil")</f>
        <v>Abrir facsímil</v>
      </c>
      <c r="K613" s="3" t="s">
        <v>23</v>
      </c>
    </row>
    <row r="614" spans="1:11" ht="42" customHeight="1">
      <c r="A614" s="2" t="s">
        <v>1485</v>
      </c>
      <c r="B614" s="2" t="s">
        <v>1485</v>
      </c>
      <c r="C614" s="2" t="s">
        <v>17</v>
      </c>
      <c r="D614" s="2" t="s">
        <v>18</v>
      </c>
      <c r="E614" s="5">
        <v>-28048</v>
      </c>
      <c r="F614" s="3" t="s">
        <v>399</v>
      </c>
      <c r="G614" s="3" t="s">
        <v>59</v>
      </c>
      <c r="H614" s="2" t="s">
        <v>21</v>
      </c>
      <c r="I614" s="2" t="s">
        <v>1486</v>
      </c>
      <c r="J614" s="3" t="str">
        <f>HYPERLINK("https://www.boe.es/gazeta/dias/1823/03/16/pdfs/GMD-1823-79.pdf#page=6","Abrir facsímil")</f>
        <v>Abrir facsímil</v>
      </c>
      <c r="K614" s="3" t="s">
        <v>23</v>
      </c>
    </row>
    <row r="615" spans="1:11" ht="42" customHeight="1">
      <c r="A615" s="2" t="s">
        <v>1487</v>
      </c>
      <c r="B615" s="2" t="s">
        <v>1488</v>
      </c>
      <c r="C615" s="2" t="s">
        <v>17</v>
      </c>
      <c r="D615" s="2" t="s">
        <v>18</v>
      </c>
      <c r="E615" s="5">
        <v>-27977</v>
      </c>
      <c r="F615" s="3" t="s">
        <v>1489</v>
      </c>
      <c r="G615" s="3" t="s">
        <v>1490</v>
      </c>
      <c r="H615" s="2" t="s">
        <v>21</v>
      </c>
      <c r="I615" s="2" t="s">
        <v>1491</v>
      </c>
      <c r="J615" s="3" t="str">
        <f>HYPERLINK("https://www.boe.es/gazeta/dias/1823/05/26/pdfs/GES-1823-47.pdf#page=6","Abrir facsímil")</f>
        <v>Abrir facsímil</v>
      </c>
      <c r="K615" s="3" t="s">
        <v>23</v>
      </c>
    </row>
    <row r="616" spans="1:11" ht="42" customHeight="1">
      <c r="A616" s="2" t="s">
        <v>1487</v>
      </c>
      <c r="B616" s="2" t="s">
        <v>1488</v>
      </c>
      <c r="C616" s="2" t="s">
        <v>17</v>
      </c>
      <c r="D616" s="2" t="s">
        <v>18</v>
      </c>
      <c r="E616" s="5">
        <v>-27970</v>
      </c>
      <c r="F616" s="3" t="s">
        <v>1030</v>
      </c>
      <c r="G616" s="3" t="s">
        <v>59</v>
      </c>
      <c r="H616" s="2" t="s">
        <v>21</v>
      </c>
      <c r="I616" s="2" t="s">
        <v>1492</v>
      </c>
      <c r="J616" s="3" t="str">
        <f>HYPERLINK("https://www.boe.es/gazeta/dias/1823/06/02/pdfs/GES-1823-56.pdf#page=6","Abrir facsímil")</f>
        <v>Abrir facsímil</v>
      </c>
      <c r="K616" s="3" t="s">
        <v>23</v>
      </c>
    </row>
    <row r="617" spans="1:11" ht="42" customHeight="1">
      <c r="A617" s="2" t="s">
        <v>1493</v>
      </c>
      <c r="B617" s="2" t="s">
        <v>1493</v>
      </c>
      <c r="C617" s="2" t="s">
        <v>79</v>
      </c>
      <c r="D617" s="2" t="s">
        <v>74</v>
      </c>
      <c r="E617" s="5">
        <v>-27827</v>
      </c>
      <c r="F617" s="3" t="s">
        <v>531</v>
      </c>
      <c r="G617" s="3" t="s">
        <v>27</v>
      </c>
      <c r="H617" s="2" t="s">
        <v>21</v>
      </c>
      <c r="I617" s="2" t="s">
        <v>1494</v>
      </c>
      <c r="J617" s="3" t="str">
        <f>HYPERLINK("https://www.boe.es/gazeta/dias/1823/10/23/pdfs/GMD-1823-1013.pdf#page=2","Abrir facsímil")</f>
        <v>Abrir facsímil</v>
      </c>
      <c r="K617" s="3" t="s">
        <v>23</v>
      </c>
    </row>
    <row r="618" spans="1:11" ht="42" customHeight="1">
      <c r="A618" s="2" t="s">
        <v>1495</v>
      </c>
      <c r="B618" s="2" t="s">
        <v>1496</v>
      </c>
      <c r="C618" s="2" t="s">
        <v>79</v>
      </c>
      <c r="D618" s="2" t="s">
        <v>74</v>
      </c>
      <c r="E618" s="5">
        <v>-27968</v>
      </c>
      <c r="F618" s="3" t="s">
        <v>1160</v>
      </c>
      <c r="G618" s="3" t="s">
        <v>715</v>
      </c>
      <c r="H618" s="2" t="s">
        <v>21</v>
      </c>
      <c r="I618" s="2" t="s">
        <v>1497</v>
      </c>
      <c r="J618" s="3" t="str">
        <f>HYPERLINK("https://www.boe.es/gazeta/dias/1823/06/04/pdfs/GES-1823-58.pdf#page=8","Abrir facsímil")</f>
        <v>Abrir facsímil</v>
      </c>
      <c r="K618" s="3" t="s">
        <v>23</v>
      </c>
    </row>
    <row r="619" spans="1:11" ht="42" customHeight="1">
      <c r="A619" s="2" t="s">
        <v>1498</v>
      </c>
      <c r="B619" s="2" t="s">
        <v>1499</v>
      </c>
      <c r="C619" s="2" t="s">
        <v>79</v>
      </c>
      <c r="D619" s="2" t="s">
        <v>74</v>
      </c>
      <c r="E619" s="5">
        <v>-28103</v>
      </c>
      <c r="F619" s="3" t="s">
        <v>285</v>
      </c>
      <c r="G619" s="3" t="s">
        <v>39</v>
      </c>
      <c r="H619" s="2" t="s">
        <v>28</v>
      </c>
      <c r="I619" s="2" t="s">
        <v>1500</v>
      </c>
      <c r="J619" s="3" t="str">
        <f>HYPERLINK("https://www.boe.es/gazeta/dias/1823/01/20/pdfs/GMD-1823-20.pdf#page=1","Abrir facsímil")</f>
        <v>Abrir facsímil</v>
      </c>
      <c r="K619" s="3" t="s">
        <v>30</v>
      </c>
    </row>
    <row r="620" spans="1:11" ht="42" customHeight="1">
      <c r="A620" s="2" t="s">
        <v>1501</v>
      </c>
      <c r="B620" s="2" t="s">
        <v>1501</v>
      </c>
      <c r="C620" s="2" t="s">
        <v>17</v>
      </c>
      <c r="D620" s="2" t="s">
        <v>18</v>
      </c>
      <c r="E620" s="5">
        <v>-28062</v>
      </c>
      <c r="F620" s="3" t="s">
        <v>1357</v>
      </c>
      <c r="G620" s="3" t="s">
        <v>20</v>
      </c>
      <c r="H620" s="2" t="s">
        <v>21</v>
      </c>
      <c r="I620" s="2" t="s">
        <v>1502</v>
      </c>
      <c r="J620" s="3" t="str">
        <f>HYPERLINK("https://www.boe.es/gazeta/dias/1823/03/02/pdfs/GMD-1823-65.pdf#page=4","Abrir facsímil")</f>
        <v>Abrir facsímil</v>
      </c>
      <c r="K620" s="3" t="s">
        <v>23</v>
      </c>
    </row>
    <row r="621" spans="1:11" ht="42" customHeight="1">
      <c r="A621" s="2" t="s">
        <v>1501</v>
      </c>
      <c r="B621" s="2" t="s">
        <v>1501</v>
      </c>
      <c r="C621" s="2" t="s">
        <v>17</v>
      </c>
      <c r="D621" s="2" t="s">
        <v>18</v>
      </c>
      <c r="E621" s="5">
        <v>-27906</v>
      </c>
      <c r="F621" s="3" t="s">
        <v>241</v>
      </c>
      <c r="G621" s="3" t="s">
        <v>20</v>
      </c>
      <c r="H621" s="2" t="s">
        <v>21</v>
      </c>
      <c r="I621" s="2" t="s">
        <v>1503</v>
      </c>
      <c r="J621" s="3" t="str">
        <f>HYPERLINK("https://www.boe.es/gazeta/dias/1823/08/05/pdfs/GES-1823-117.pdf#page=4","Abrir facsímil")</f>
        <v>Abrir facsímil</v>
      </c>
      <c r="K621" s="3" t="s">
        <v>23</v>
      </c>
    </row>
    <row r="622" spans="1:11" ht="42" customHeight="1">
      <c r="A622" s="2" t="s">
        <v>1504</v>
      </c>
      <c r="B622" s="2" t="s">
        <v>1505</v>
      </c>
      <c r="C622" s="2" t="s">
        <v>17</v>
      </c>
      <c r="D622" s="2" t="s">
        <v>18</v>
      </c>
      <c r="E622" s="5">
        <v>-27997</v>
      </c>
      <c r="F622" s="3" t="s">
        <v>937</v>
      </c>
      <c r="G622" s="3" t="s">
        <v>39</v>
      </c>
      <c r="H622" s="2" t="s">
        <v>21</v>
      </c>
      <c r="I622" s="2" t="s">
        <v>1506</v>
      </c>
      <c r="J622" s="3" t="str">
        <f>HYPERLINK("https://www.boe.es/gazeta/dias/1823/05/06/pdfs/GMD-1823-102.pdf#page=1","Abrir facsímil")</f>
        <v>Abrir facsímil</v>
      </c>
      <c r="K622" s="3" t="s">
        <v>23</v>
      </c>
    </row>
    <row r="623" spans="1:11" ht="42" customHeight="1">
      <c r="A623" s="2" t="s">
        <v>1507</v>
      </c>
      <c r="B623" s="2" t="s">
        <v>1508</v>
      </c>
      <c r="C623" s="2" t="s">
        <v>79</v>
      </c>
      <c r="D623" s="2" t="s">
        <v>74</v>
      </c>
      <c r="E623" s="5">
        <v>-28103</v>
      </c>
      <c r="F623" s="3" t="s">
        <v>285</v>
      </c>
      <c r="G623" s="3" t="s">
        <v>20</v>
      </c>
      <c r="H623" s="2" t="s">
        <v>21</v>
      </c>
      <c r="I623" s="2" t="s">
        <v>1509</v>
      </c>
      <c r="J623" s="3" t="str">
        <f>HYPERLINK("https://www.boe.es/gazeta/dias/1823/01/20/pdfs/GMD-1823-20.pdf#page=4","Abrir facsímil")</f>
        <v>Abrir facsímil</v>
      </c>
      <c r="K623" s="3" t="s">
        <v>23</v>
      </c>
    </row>
    <row r="624" spans="1:11" ht="42" customHeight="1">
      <c r="A624" s="2" t="s">
        <v>1510</v>
      </c>
      <c r="B624" s="2" t="s">
        <v>1511</v>
      </c>
      <c r="C624" s="2" t="s">
        <v>17</v>
      </c>
      <c r="D624" s="2" t="s">
        <v>18</v>
      </c>
      <c r="E624" s="5">
        <v>-27920</v>
      </c>
      <c r="F624" s="3" t="s">
        <v>1334</v>
      </c>
      <c r="G624" s="3" t="s">
        <v>20</v>
      </c>
      <c r="H624" s="2" t="s">
        <v>21</v>
      </c>
      <c r="I624" s="2" t="s">
        <v>1512</v>
      </c>
      <c r="J624" s="3" t="str">
        <f>HYPERLINK("https://www.boe.es/gazeta/dias/1823/07/22/pdfs/GMD-1823-443.pdf#page=4","Abrir facsímil")</f>
        <v>Abrir facsímil</v>
      </c>
      <c r="K624" s="3" t="s">
        <v>23</v>
      </c>
    </row>
    <row r="625" spans="1:11" ht="42" customHeight="1">
      <c r="A625" s="2" t="s">
        <v>1513</v>
      </c>
      <c r="B625" s="2" t="s">
        <v>1514</v>
      </c>
      <c r="C625" s="2" t="s">
        <v>17</v>
      </c>
      <c r="D625" s="2" t="s">
        <v>18</v>
      </c>
      <c r="E625" s="5">
        <v>-27972</v>
      </c>
      <c r="F625" s="3" t="s">
        <v>1515</v>
      </c>
      <c r="G625" s="3" t="s">
        <v>39</v>
      </c>
      <c r="H625" s="2" t="s">
        <v>21</v>
      </c>
      <c r="I625" s="2" t="s">
        <v>1516</v>
      </c>
      <c r="J625" s="3" t="str">
        <f>HYPERLINK("https://www.boe.es/gazeta/dias/1823/05/31/pdfs/GMD-1823-33.pdf#page=1","Abrir facsímil")</f>
        <v>Abrir facsímil</v>
      </c>
      <c r="K625" s="3" t="s">
        <v>23</v>
      </c>
    </row>
    <row r="626" spans="1:11" ht="42" customHeight="1">
      <c r="A626" s="2" t="s">
        <v>1517</v>
      </c>
      <c r="B626" s="2" t="s">
        <v>1518</v>
      </c>
      <c r="C626" s="2" t="s">
        <v>17</v>
      </c>
      <c r="D626" s="2" t="s">
        <v>18</v>
      </c>
      <c r="E626" s="5">
        <v>-28065</v>
      </c>
      <c r="F626" s="3" t="s">
        <v>686</v>
      </c>
      <c r="G626" s="3" t="s">
        <v>20</v>
      </c>
      <c r="H626" s="2" t="s">
        <v>21</v>
      </c>
      <c r="I626" s="2" t="s">
        <v>1519</v>
      </c>
      <c r="J626" s="3" t="str">
        <f>HYPERLINK("https://www.boe.es/gazeta/dias/1823/02/27/pdfs/GMD-1823-61.pdf#page=4","Abrir facsímil")</f>
        <v>Abrir facsímil</v>
      </c>
      <c r="K626" s="3" t="s">
        <v>23</v>
      </c>
    </row>
    <row r="627" spans="1:11" ht="42" customHeight="1">
      <c r="A627" s="2" t="s">
        <v>1520</v>
      </c>
      <c r="B627" s="2" t="s">
        <v>1520</v>
      </c>
      <c r="C627" s="2" t="s">
        <v>17</v>
      </c>
      <c r="D627" s="2" t="s">
        <v>18</v>
      </c>
      <c r="E627" s="5">
        <v>-27981</v>
      </c>
      <c r="F627" s="3" t="s">
        <v>1521</v>
      </c>
      <c r="G627" s="3" t="s">
        <v>39</v>
      </c>
      <c r="H627" s="2" t="s">
        <v>21</v>
      </c>
      <c r="I627" s="2" t="s">
        <v>1522</v>
      </c>
      <c r="J627" s="3" t="str">
        <f>HYPERLINK("https://www.boe.es/gazeta/dias/1823/05/22/pdfs/GES-1823-43.pdf#page=1","Abrir facsímil")</f>
        <v>Abrir facsímil</v>
      </c>
      <c r="K627" s="3" t="s">
        <v>23</v>
      </c>
    </row>
    <row r="628" spans="1:11" ht="42" customHeight="1">
      <c r="A628" s="2" t="s">
        <v>1523</v>
      </c>
      <c r="B628" s="2" t="s">
        <v>1524</v>
      </c>
      <c r="C628" s="2" t="s">
        <v>293</v>
      </c>
      <c r="D628" s="2" t="s">
        <v>74</v>
      </c>
      <c r="E628" s="5">
        <v>-27909</v>
      </c>
      <c r="F628" s="3" t="s">
        <v>1525</v>
      </c>
      <c r="G628" s="3" t="s">
        <v>27</v>
      </c>
      <c r="H628" s="2" t="s">
        <v>21</v>
      </c>
      <c r="I628" s="2" t="s">
        <v>1526</v>
      </c>
      <c r="J628" s="3" t="str">
        <f>HYPERLINK("https://www.boe.es/gazeta/dias/1823/08/02/pdfs/GMD-1823-513.pdf#page=2","Abrir facsímil")</f>
        <v>Abrir facsímil</v>
      </c>
      <c r="K628" s="3" t="s">
        <v>23</v>
      </c>
    </row>
    <row r="629" spans="1:11" ht="42" customHeight="1">
      <c r="A629" s="2" t="s">
        <v>1523</v>
      </c>
      <c r="B629" s="2" t="s">
        <v>1524</v>
      </c>
      <c r="C629" s="2" t="s">
        <v>17</v>
      </c>
      <c r="D629" s="2" t="s">
        <v>18</v>
      </c>
      <c r="E629" s="5">
        <v>-27906</v>
      </c>
      <c r="F629" s="3" t="s">
        <v>1527</v>
      </c>
      <c r="G629" s="3" t="s">
        <v>20</v>
      </c>
      <c r="H629" s="2" t="s">
        <v>21</v>
      </c>
      <c r="I629" s="2" t="s">
        <v>1528</v>
      </c>
      <c r="J629" s="3" t="str">
        <f>HYPERLINK("https://www.boe.es/gazeta/dias/1823/08/05/pdfs/GMD-1823-533.pdf#page=4","Abrir facsímil")</f>
        <v>Abrir facsímil</v>
      </c>
      <c r="K629" s="3" t="s">
        <v>23</v>
      </c>
    </row>
    <row r="630" spans="1:11" ht="42" customHeight="1">
      <c r="A630" s="2" t="s">
        <v>1523</v>
      </c>
      <c r="B630" s="2" t="s">
        <v>1524</v>
      </c>
      <c r="C630" s="2" t="s">
        <v>17</v>
      </c>
      <c r="D630" s="2" t="s">
        <v>18</v>
      </c>
      <c r="E630" s="5">
        <v>-27899</v>
      </c>
      <c r="F630" s="3" t="s">
        <v>215</v>
      </c>
      <c r="G630" s="3" t="s">
        <v>39</v>
      </c>
      <c r="H630" s="2" t="s">
        <v>21</v>
      </c>
      <c r="I630" s="2" t="s">
        <v>1529</v>
      </c>
      <c r="J630" s="3" t="str">
        <f>HYPERLINK("https://www.boe.es/gazeta/dias/1823/08/12/pdfs/GMD-1823-583.pdf#page=1","Abrir facsímil")</f>
        <v>Abrir facsímil</v>
      </c>
      <c r="K630" s="3" t="s">
        <v>23</v>
      </c>
    </row>
    <row r="631" spans="1:11" ht="42" customHeight="1">
      <c r="A631" s="2" t="s">
        <v>1523</v>
      </c>
      <c r="B631" s="2" t="s">
        <v>1524</v>
      </c>
      <c r="C631" s="2" t="s">
        <v>17</v>
      </c>
      <c r="D631" s="2" t="s">
        <v>18</v>
      </c>
      <c r="E631" s="5">
        <v>-27862</v>
      </c>
      <c r="F631" s="3" t="s">
        <v>1530</v>
      </c>
      <c r="G631" s="3" t="s">
        <v>20</v>
      </c>
      <c r="H631" s="2" t="s">
        <v>21</v>
      </c>
      <c r="I631" s="2" t="s">
        <v>1531</v>
      </c>
      <c r="J631" s="3" t="str">
        <f>HYPERLINK("https://www.boe.es/gazeta/dias/1823/09/18/pdfs/GMD-1823-803.pdf#page=4","Abrir facsímil")</f>
        <v>Abrir facsímil</v>
      </c>
      <c r="K631" s="3" t="s">
        <v>23</v>
      </c>
    </row>
    <row r="632" spans="1:11" ht="42" customHeight="1">
      <c r="A632" s="2" t="s">
        <v>1523</v>
      </c>
      <c r="B632" s="2" t="s">
        <v>1524</v>
      </c>
      <c r="C632" s="2" t="s">
        <v>17</v>
      </c>
      <c r="D632" s="2" t="s">
        <v>18</v>
      </c>
      <c r="E632" s="5">
        <v>-27822</v>
      </c>
      <c r="F632" s="3" t="s">
        <v>992</v>
      </c>
      <c r="G632" s="3" t="s">
        <v>48</v>
      </c>
      <c r="H632" s="2" t="s">
        <v>21</v>
      </c>
      <c r="I632" s="2" t="s">
        <v>1532</v>
      </c>
      <c r="J632" s="3" t="str">
        <f>HYPERLINK("https://www.boe.es/gazeta/dias/1823/10/28/pdfs/GMD-1823-1033.pdf#page=3","Abrir facsímil")</f>
        <v>Abrir facsímil</v>
      </c>
      <c r="K632" s="3" t="s">
        <v>23</v>
      </c>
    </row>
    <row r="633" spans="1:11" ht="42" customHeight="1">
      <c r="A633" s="2" t="s">
        <v>1533</v>
      </c>
      <c r="B633" s="2" t="s">
        <v>1533</v>
      </c>
      <c r="C633" s="2" t="s">
        <v>79</v>
      </c>
      <c r="D633" s="2" t="s">
        <v>74</v>
      </c>
      <c r="E633" s="5">
        <v>-27888</v>
      </c>
      <c r="F633" s="3" t="s">
        <v>1534</v>
      </c>
      <c r="G633" s="3" t="s">
        <v>27</v>
      </c>
      <c r="H633" s="2" t="s">
        <v>21</v>
      </c>
      <c r="I633" s="2" t="s">
        <v>1535</v>
      </c>
      <c r="J633" s="3" t="str">
        <f>HYPERLINK("https://www.boe.es/gazeta/dias/1823/08/23/pdfs/GES-1823-136.pdf#page=2","Abrir facsímil")</f>
        <v>Abrir facsímil</v>
      </c>
      <c r="K633" s="3" t="s">
        <v>23</v>
      </c>
    </row>
    <row r="634" spans="1:11" ht="42" customHeight="1">
      <c r="A634" s="2" t="s">
        <v>1536</v>
      </c>
      <c r="B634" s="2" t="s">
        <v>1537</v>
      </c>
      <c r="C634" s="2" t="s">
        <v>17</v>
      </c>
      <c r="D634" s="2" t="s">
        <v>18</v>
      </c>
      <c r="E634" s="5">
        <v>-27934</v>
      </c>
      <c r="F634" s="3" t="s">
        <v>634</v>
      </c>
      <c r="G634" s="3" t="s">
        <v>27</v>
      </c>
      <c r="H634" s="2" t="s">
        <v>21</v>
      </c>
      <c r="I634" s="2" t="s">
        <v>1538</v>
      </c>
      <c r="J634" s="3" t="str">
        <f>HYPERLINK("https://www.boe.es/gazeta/dias/1823/07/08/pdfs/GMD-1823-353.pdf#page=2","Abrir facsímil")</f>
        <v>Abrir facsímil</v>
      </c>
      <c r="K634" s="3" t="s">
        <v>23</v>
      </c>
    </row>
    <row r="635" spans="1:11" ht="42" customHeight="1">
      <c r="A635" s="2" t="s">
        <v>1539</v>
      </c>
      <c r="B635" s="2" t="s">
        <v>1540</v>
      </c>
      <c r="C635" s="2" t="s">
        <v>79</v>
      </c>
      <c r="D635" s="2" t="s">
        <v>117</v>
      </c>
      <c r="E635" s="5">
        <v>-27976</v>
      </c>
      <c r="F635" s="3" t="s">
        <v>1541</v>
      </c>
      <c r="G635" s="3" t="s">
        <v>39</v>
      </c>
      <c r="H635" s="2" t="s">
        <v>21</v>
      </c>
      <c r="I635" s="2" t="s">
        <v>1542</v>
      </c>
      <c r="J635" s="3" t="str">
        <f>HYPERLINK("https://www.boe.es/gazeta/dias/1823/05/27/pdfs/GMD-1823-13E.pdf#page=1","Abrir facsímil")</f>
        <v>Abrir facsímil</v>
      </c>
      <c r="K635" s="3" t="s">
        <v>23</v>
      </c>
    </row>
    <row r="636" spans="1:11" ht="42" customHeight="1">
      <c r="A636" s="2" t="s">
        <v>1539</v>
      </c>
      <c r="B636" s="2" t="s">
        <v>1540</v>
      </c>
      <c r="C636" s="2" t="s">
        <v>17</v>
      </c>
      <c r="D636" s="2" t="s">
        <v>18</v>
      </c>
      <c r="E636" s="5">
        <v>-27953</v>
      </c>
      <c r="F636" s="3" t="s">
        <v>1543</v>
      </c>
      <c r="G636" s="3" t="s">
        <v>27</v>
      </c>
      <c r="H636" s="2" t="s">
        <v>21</v>
      </c>
      <c r="I636" s="2" t="s">
        <v>1544</v>
      </c>
      <c r="J636" s="3" t="str">
        <f>HYPERLINK("https://www.boe.es/gazeta/dias/1823/06/19/pdfs/GMD-1823-193.pdf#page=2","Abrir facsímil")</f>
        <v>Abrir facsímil</v>
      </c>
      <c r="K636" s="3" t="s">
        <v>23</v>
      </c>
    </row>
    <row r="637" spans="1:11" ht="42" customHeight="1">
      <c r="A637" s="2" t="s">
        <v>1539</v>
      </c>
      <c r="B637" s="2" t="s">
        <v>1540</v>
      </c>
      <c r="C637" s="2" t="s">
        <v>17</v>
      </c>
      <c r="D637" s="2" t="s">
        <v>117</v>
      </c>
      <c r="E637" s="5">
        <v>-27949</v>
      </c>
      <c r="F637" s="3" t="s">
        <v>1545</v>
      </c>
      <c r="G637" s="3" t="s">
        <v>39</v>
      </c>
      <c r="H637" s="2" t="s">
        <v>21</v>
      </c>
      <c r="I637" s="2" t="s">
        <v>1546</v>
      </c>
      <c r="J637" s="3" t="str">
        <f>HYPERLINK("https://www.boe.es/gazeta/dias/1823/06/23/pdfs/GMD-1823-253E.pdf#page=1","Abrir facsímil")</f>
        <v>Abrir facsímil</v>
      </c>
      <c r="K637" s="3" t="s">
        <v>23</v>
      </c>
    </row>
    <row r="638" spans="1:11" ht="42" customHeight="1">
      <c r="A638" s="2" t="s">
        <v>1539</v>
      </c>
      <c r="B638" s="2" t="s">
        <v>1540</v>
      </c>
      <c r="C638" s="2" t="s">
        <v>109</v>
      </c>
      <c r="D638" s="2" t="s">
        <v>74</v>
      </c>
      <c r="E638" s="5">
        <v>-27946</v>
      </c>
      <c r="F638" s="3" t="s">
        <v>1547</v>
      </c>
      <c r="G638" s="3" t="s">
        <v>27</v>
      </c>
      <c r="H638" s="2" t="s">
        <v>21</v>
      </c>
      <c r="I638" s="2" t="s">
        <v>1548</v>
      </c>
      <c r="J638" s="3" t="str">
        <f>HYPERLINK("https://www.boe.es/gazeta/dias/1823/06/26/pdfs/GMD-1823-283.pdf#page=2","Abrir facsímil")</f>
        <v>Abrir facsímil</v>
      </c>
      <c r="K638" s="3" t="s">
        <v>23</v>
      </c>
    </row>
    <row r="639" spans="1:11" ht="42" customHeight="1">
      <c r="A639" s="2" t="s">
        <v>1539</v>
      </c>
      <c r="B639" s="2" t="s">
        <v>1540</v>
      </c>
      <c r="C639" s="2" t="s">
        <v>79</v>
      </c>
      <c r="D639" s="2" t="s">
        <v>74</v>
      </c>
      <c r="E639" s="5">
        <v>-27944</v>
      </c>
      <c r="F639" s="3" t="s">
        <v>658</v>
      </c>
      <c r="G639" s="3" t="s">
        <v>20</v>
      </c>
      <c r="H639" s="2" t="s">
        <v>21</v>
      </c>
      <c r="I639" s="2" t="s">
        <v>1549</v>
      </c>
      <c r="J639" s="3" t="str">
        <f>HYPERLINK("https://www.boe.es/gazeta/dias/1823/06/28/pdfs/GMD-1823-303.pdf#page=4","Abrir facsímil")</f>
        <v>Abrir facsímil</v>
      </c>
      <c r="K639" s="3" t="s">
        <v>23</v>
      </c>
    </row>
    <row r="640" spans="1:11" ht="42" customHeight="1">
      <c r="A640" s="2" t="s">
        <v>1539</v>
      </c>
      <c r="B640" s="2" t="s">
        <v>1540</v>
      </c>
      <c r="C640" s="2" t="s">
        <v>17</v>
      </c>
      <c r="D640" s="2" t="s">
        <v>18</v>
      </c>
      <c r="E640" s="5">
        <v>-27944</v>
      </c>
      <c r="F640" s="3" t="s">
        <v>658</v>
      </c>
      <c r="G640" s="3" t="s">
        <v>59</v>
      </c>
      <c r="H640" s="2" t="s">
        <v>21</v>
      </c>
      <c r="I640" s="2" t="s">
        <v>1550</v>
      </c>
      <c r="J640" s="3" t="str">
        <f>HYPERLINK("https://www.boe.es/gazeta/dias/1823/06/28/pdfs/GMD-1823-303.pdf#page=6","Abrir facsímil")</f>
        <v>Abrir facsímil</v>
      </c>
      <c r="K640" s="3" t="s">
        <v>23</v>
      </c>
    </row>
    <row r="641" spans="1:11" ht="42" customHeight="1">
      <c r="A641" s="2" t="s">
        <v>1539</v>
      </c>
      <c r="B641" s="2" t="s">
        <v>1540</v>
      </c>
      <c r="C641" s="2" t="s">
        <v>17</v>
      </c>
      <c r="D641" s="2" t="s">
        <v>18</v>
      </c>
      <c r="E641" s="5">
        <v>-27941</v>
      </c>
      <c r="F641" s="3" t="s">
        <v>1551</v>
      </c>
      <c r="G641" s="3" t="s">
        <v>48</v>
      </c>
      <c r="H641" s="2" t="s">
        <v>21</v>
      </c>
      <c r="I641" s="2" t="s">
        <v>1552</v>
      </c>
      <c r="J641" s="3" t="str">
        <f>HYPERLINK("https://www.boe.es/gazeta/dias/1823/07/01/pdfs/GMD-1823-323.pdf#page=3","Abrir facsímil")</f>
        <v>Abrir facsímil</v>
      </c>
      <c r="K641" s="3" t="s">
        <v>23</v>
      </c>
    </row>
    <row r="642" spans="1:11" ht="42" customHeight="1">
      <c r="A642" s="2" t="s">
        <v>1539</v>
      </c>
      <c r="B642" s="2" t="s">
        <v>1540</v>
      </c>
      <c r="C642" s="2" t="s">
        <v>56</v>
      </c>
      <c r="D642" s="2" t="s">
        <v>57</v>
      </c>
      <c r="E642" s="5">
        <v>-27939</v>
      </c>
      <c r="F642" s="3" t="s">
        <v>1403</v>
      </c>
      <c r="G642" s="3" t="s">
        <v>1553</v>
      </c>
      <c r="H642" s="2" t="s">
        <v>21</v>
      </c>
      <c r="I642" s="2" t="s">
        <v>1554</v>
      </c>
      <c r="J642" s="3" t="str">
        <f>HYPERLINK("https://www.boe.es/gazeta/dias/1823/07/03/pdfs/GMD-1823-333.pdf#page=7","Abrir facsímil")</f>
        <v>Abrir facsímil</v>
      </c>
      <c r="K642" s="3" t="s">
        <v>23</v>
      </c>
    </row>
    <row r="643" spans="1:11" ht="42" customHeight="1">
      <c r="A643" s="2" t="s">
        <v>1539</v>
      </c>
      <c r="B643" s="2" t="s">
        <v>1540</v>
      </c>
      <c r="C643" s="2" t="s">
        <v>17</v>
      </c>
      <c r="D643" s="2" t="s">
        <v>18</v>
      </c>
      <c r="E643" s="5">
        <v>-27939</v>
      </c>
      <c r="F643" s="3" t="s">
        <v>1403</v>
      </c>
      <c r="G643" s="3" t="s">
        <v>27</v>
      </c>
      <c r="H643" s="2" t="s">
        <v>21</v>
      </c>
      <c r="I643" s="2" t="s">
        <v>1555</v>
      </c>
      <c r="J643" s="3" t="str">
        <f>HYPERLINK("https://www.boe.es/gazeta/dias/1823/07/03/pdfs/GMD-1823-333.pdf#page=2","Abrir facsímil")</f>
        <v>Abrir facsímil</v>
      </c>
      <c r="K643" s="3" t="s">
        <v>23</v>
      </c>
    </row>
    <row r="644" spans="1:11" ht="42" customHeight="1">
      <c r="A644" s="2" t="s">
        <v>1539</v>
      </c>
      <c r="B644" s="2" t="s">
        <v>1540</v>
      </c>
      <c r="C644" s="2" t="s">
        <v>79</v>
      </c>
      <c r="D644" s="2" t="s">
        <v>74</v>
      </c>
      <c r="E644" s="5">
        <v>-27937</v>
      </c>
      <c r="F644" s="3" t="s">
        <v>897</v>
      </c>
      <c r="G644" s="3" t="s">
        <v>27</v>
      </c>
      <c r="H644" s="2" t="s">
        <v>21</v>
      </c>
      <c r="I644" s="2" t="s">
        <v>1556</v>
      </c>
      <c r="J644" s="3" t="str">
        <f>HYPERLINK("https://www.boe.es/gazeta/dias/1823/07/05/pdfs/GMD-1823-343.pdf#page=2","Abrir facsímil")</f>
        <v>Abrir facsímil</v>
      </c>
      <c r="K644" s="3" t="s">
        <v>23</v>
      </c>
    </row>
    <row r="645" spans="1:11" ht="42" customHeight="1">
      <c r="A645" s="2" t="s">
        <v>1539</v>
      </c>
      <c r="B645" s="2" t="s">
        <v>1540</v>
      </c>
      <c r="C645" s="2" t="s">
        <v>17</v>
      </c>
      <c r="D645" s="2" t="s">
        <v>18</v>
      </c>
      <c r="E645" s="5">
        <v>-27918</v>
      </c>
      <c r="F645" s="3" t="s">
        <v>218</v>
      </c>
      <c r="G645" s="3" t="s">
        <v>27</v>
      </c>
      <c r="H645" s="2" t="s">
        <v>21</v>
      </c>
      <c r="I645" s="2" t="s">
        <v>1557</v>
      </c>
      <c r="J645" s="3" t="str">
        <f>HYPERLINK("https://www.boe.es/gazeta/dias/1823/07/24/pdfs/GMD-1823-463.pdf#page=2","Abrir facsímil")</f>
        <v>Abrir facsímil</v>
      </c>
      <c r="K645" s="3" t="s">
        <v>23</v>
      </c>
    </row>
    <row r="646" spans="1:11" ht="42" customHeight="1">
      <c r="A646" s="2" t="s">
        <v>1539</v>
      </c>
      <c r="B646" s="2" t="s">
        <v>1540</v>
      </c>
      <c r="C646" s="2" t="s">
        <v>17</v>
      </c>
      <c r="D646" s="2" t="s">
        <v>18</v>
      </c>
      <c r="E646" s="5">
        <v>-27916</v>
      </c>
      <c r="F646" s="3" t="s">
        <v>1558</v>
      </c>
      <c r="G646" s="3" t="s">
        <v>48</v>
      </c>
      <c r="H646" s="2" t="s">
        <v>21</v>
      </c>
      <c r="I646" s="2" t="s">
        <v>1559</v>
      </c>
      <c r="J646" s="3" t="str">
        <f>HYPERLINK("https://www.boe.es/gazeta/dias/1823/07/26/pdfs/GMD-1823-473.pdf#page=3","Abrir facsímil")</f>
        <v>Abrir facsímil</v>
      </c>
      <c r="K646" s="3" t="s">
        <v>23</v>
      </c>
    </row>
    <row r="647" spans="1:11" ht="42" customHeight="1">
      <c r="A647" s="2" t="s">
        <v>1539</v>
      </c>
      <c r="B647" s="2" t="s">
        <v>1540</v>
      </c>
      <c r="C647" s="2" t="s">
        <v>109</v>
      </c>
      <c r="D647" s="2" t="s">
        <v>74</v>
      </c>
      <c r="E647" s="5">
        <v>-27916</v>
      </c>
      <c r="F647" s="3" t="s">
        <v>1558</v>
      </c>
      <c r="G647" s="3" t="s">
        <v>20</v>
      </c>
      <c r="H647" s="2" t="s">
        <v>21</v>
      </c>
      <c r="I647" s="2" t="s">
        <v>1560</v>
      </c>
      <c r="J647" s="3" t="str">
        <f>HYPERLINK("https://www.boe.es/gazeta/dias/1823/07/26/pdfs/GMD-1823-473.pdf#page=4","Abrir facsímil")</f>
        <v>Abrir facsímil</v>
      </c>
      <c r="K647" s="3" t="s">
        <v>23</v>
      </c>
    </row>
    <row r="648" spans="1:11" ht="42" customHeight="1">
      <c r="A648" s="2" t="s">
        <v>1539</v>
      </c>
      <c r="B648" s="2" t="s">
        <v>1540</v>
      </c>
      <c r="C648" s="2" t="s">
        <v>293</v>
      </c>
      <c r="D648" s="2" t="s">
        <v>74</v>
      </c>
      <c r="E648" s="5">
        <v>-27913</v>
      </c>
      <c r="F648" s="3" t="s">
        <v>829</v>
      </c>
      <c r="G648" s="3" t="s">
        <v>34</v>
      </c>
      <c r="H648" s="2" t="s">
        <v>21</v>
      </c>
      <c r="I648" s="2" t="s">
        <v>1561</v>
      </c>
      <c r="J648" s="3" t="str">
        <f>HYPERLINK("https://www.boe.es/gazeta/dias/1823/07/29/pdfs/GMD-1823-483.pdf#page=5","Abrir facsímil")</f>
        <v>Abrir facsímil</v>
      </c>
      <c r="K648" s="3" t="s">
        <v>23</v>
      </c>
    </row>
    <row r="649" spans="1:11" ht="42" customHeight="1">
      <c r="A649" s="2" t="s">
        <v>1539</v>
      </c>
      <c r="B649" s="2" t="s">
        <v>1540</v>
      </c>
      <c r="C649" s="2" t="s">
        <v>17</v>
      </c>
      <c r="D649" s="2" t="s">
        <v>18</v>
      </c>
      <c r="E649" s="5">
        <v>-27911</v>
      </c>
      <c r="F649" s="3" t="s">
        <v>1393</v>
      </c>
      <c r="G649" s="3" t="s">
        <v>20</v>
      </c>
      <c r="H649" s="2" t="s">
        <v>21</v>
      </c>
      <c r="I649" s="2" t="s">
        <v>1562</v>
      </c>
      <c r="J649" s="3" t="str">
        <f>HYPERLINK("https://www.boe.es/gazeta/dias/1823/07/31/pdfs/GMD-1823-503.pdf#page=4","Abrir facsímil")</f>
        <v>Abrir facsímil</v>
      </c>
      <c r="K649" s="3" t="s">
        <v>23</v>
      </c>
    </row>
    <row r="650" spans="1:11" ht="42" customHeight="1">
      <c r="A650" s="2" t="s">
        <v>1539</v>
      </c>
      <c r="B650" s="2" t="s">
        <v>1540</v>
      </c>
      <c r="C650" s="2" t="s">
        <v>17</v>
      </c>
      <c r="D650" s="2" t="s">
        <v>18</v>
      </c>
      <c r="E650" s="5">
        <v>-27909</v>
      </c>
      <c r="F650" s="3" t="s">
        <v>1525</v>
      </c>
      <c r="G650" s="3" t="s">
        <v>39</v>
      </c>
      <c r="H650" s="2" t="s">
        <v>21</v>
      </c>
      <c r="I650" s="2" t="s">
        <v>1563</v>
      </c>
      <c r="J650" s="3" t="str">
        <f>HYPERLINK("https://www.boe.es/gazeta/dias/1823/08/02/pdfs/GMD-1823-513.pdf#page=1","Abrir facsímil")</f>
        <v>Abrir facsímil</v>
      </c>
      <c r="K650" s="3" t="s">
        <v>23</v>
      </c>
    </row>
    <row r="651" spans="1:11" ht="42" customHeight="1">
      <c r="A651" s="2" t="s">
        <v>1539</v>
      </c>
      <c r="B651" s="2" t="s">
        <v>1540</v>
      </c>
      <c r="C651" s="2" t="s">
        <v>17</v>
      </c>
      <c r="D651" s="2" t="s">
        <v>117</v>
      </c>
      <c r="E651" s="5">
        <v>-27908</v>
      </c>
      <c r="F651" s="3" t="s">
        <v>1564</v>
      </c>
      <c r="G651" s="3" t="s">
        <v>39</v>
      </c>
      <c r="H651" s="2" t="s">
        <v>21</v>
      </c>
      <c r="I651" s="2" t="s">
        <v>1565</v>
      </c>
      <c r="J651" s="3" t="str">
        <f>HYPERLINK("https://www.boe.es/gazeta/dias/1823/08/03/pdfs/GMD-1823-523E.pdf#page=1","Abrir facsímil")</f>
        <v>Abrir facsímil</v>
      </c>
      <c r="K651" s="3" t="s">
        <v>23</v>
      </c>
    </row>
    <row r="652" spans="1:11" ht="42" customHeight="1">
      <c r="A652" s="2" t="s">
        <v>1539</v>
      </c>
      <c r="B652" s="2" t="s">
        <v>1540</v>
      </c>
      <c r="C652" s="2" t="s">
        <v>109</v>
      </c>
      <c r="D652" s="2" t="s">
        <v>74</v>
      </c>
      <c r="E652" s="5">
        <v>-27904</v>
      </c>
      <c r="F652" s="3" t="s">
        <v>1227</v>
      </c>
      <c r="G652" s="3" t="s">
        <v>48</v>
      </c>
      <c r="H652" s="2" t="s">
        <v>21</v>
      </c>
      <c r="I652" s="2" t="s">
        <v>1566</v>
      </c>
      <c r="J652" s="3" t="str">
        <f>HYPERLINK("https://www.boe.es/gazeta/dias/1823/08/07/pdfs/GMD-1823-543.pdf#page=3","Abrir facsímil")</f>
        <v>Abrir facsímil</v>
      </c>
      <c r="K652" s="3" t="s">
        <v>23</v>
      </c>
    </row>
    <row r="653" spans="1:11" ht="42" customHeight="1">
      <c r="A653" s="2" t="s">
        <v>1539</v>
      </c>
      <c r="B653" s="2" t="s">
        <v>1540</v>
      </c>
      <c r="C653" s="2" t="s">
        <v>17</v>
      </c>
      <c r="D653" s="2" t="s">
        <v>18</v>
      </c>
      <c r="E653" s="5">
        <v>-27899</v>
      </c>
      <c r="F653" s="3" t="s">
        <v>215</v>
      </c>
      <c r="G653" s="3" t="s">
        <v>39</v>
      </c>
      <c r="H653" s="2" t="s">
        <v>21</v>
      </c>
      <c r="I653" s="2" t="s">
        <v>1567</v>
      </c>
      <c r="J653" s="3" t="str">
        <f>HYPERLINK("https://www.boe.es/gazeta/dias/1823/08/12/pdfs/GMD-1823-583.pdf#page=1","Abrir facsímil")</f>
        <v>Abrir facsímil</v>
      </c>
      <c r="K653" s="3" t="s">
        <v>23</v>
      </c>
    </row>
    <row r="654" spans="1:11" ht="42" customHeight="1">
      <c r="A654" s="2" t="s">
        <v>1539</v>
      </c>
      <c r="B654" s="2" t="s">
        <v>1540</v>
      </c>
      <c r="C654" s="2" t="s">
        <v>17</v>
      </c>
      <c r="D654" s="2" t="s">
        <v>18</v>
      </c>
      <c r="E654" s="5">
        <v>-27899</v>
      </c>
      <c r="F654" s="3" t="s">
        <v>215</v>
      </c>
      <c r="G654" s="3" t="s">
        <v>20</v>
      </c>
      <c r="H654" s="2" t="s">
        <v>21</v>
      </c>
      <c r="I654" s="2" t="s">
        <v>1568</v>
      </c>
      <c r="J654" s="3" t="str">
        <f>HYPERLINK("https://www.boe.es/gazeta/dias/1823/08/12/pdfs/GMD-1823-583.pdf#page=4","Abrir facsímil")</f>
        <v>Abrir facsímil</v>
      </c>
      <c r="K654" s="3" t="s">
        <v>23</v>
      </c>
    </row>
    <row r="655" spans="1:11" ht="42" customHeight="1">
      <c r="A655" s="2" t="s">
        <v>1539</v>
      </c>
      <c r="B655" s="2" t="s">
        <v>1540</v>
      </c>
      <c r="C655" s="2" t="s">
        <v>17</v>
      </c>
      <c r="D655" s="2" t="s">
        <v>18</v>
      </c>
      <c r="E655" s="5">
        <v>-27897</v>
      </c>
      <c r="F655" s="3" t="s">
        <v>1569</v>
      </c>
      <c r="G655" s="3" t="s">
        <v>27</v>
      </c>
      <c r="H655" s="2" t="s">
        <v>21</v>
      </c>
      <c r="I655" s="2" t="s">
        <v>1570</v>
      </c>
      <c r="J655" s="3" t="str">
        <f>HYPERLINK("https://www.boe.es/gazeta/dias/1823/08/14/pdfs/GMD-1823-593.pdf#page=2","Abrir facsímil")</f>
        <v>Abrir facsímil</v>
      </c>
      <c r="K655" s="3" t="s">
        <v>23</v>
      </c>
    </row>
    <row r="656" spans="1:11" ht="42" customHeight="1">
      <c r="A656" s="2" t="s">
        <v>1539</v>
      </c>
      <c r="B656" s="2" t="s">
        <v>1540</v>
      </c>
      <c r="C656" s="2" t="s">
        <v>79</v>
      </c>
      <c r="D656" s="2" t="s">
        <v>74</v>
      </c>
      <c r="E656" s="5">
        <v>-27892</v>
      </c>
      <c r="F656" s="3" t="s">
        <v>1571</v>
      </c>
      <c r="G656" s="3" t="s">
        <v>20</v>
      </c>
      <c r="H656" s="2" t="s">
        <v>21</v>
      </c>
      <c r="I656" s="2" t="s">
        <v>1572</v>
      </c>
      <c r="J656" s="3" t="str">
        <f>HYPERLINK("https://www.boe.es/gazeta/dias/1823/08/19/pdfs/GMD-1823-613.pdf#page=4","Abrir facsímil")</f>
        <v>Abrir facsímil</v>
      </c>
      <c r="K656" s="3" t="s">
        <v>23</v>
      </c>
    </row>
    <row r="657" spans="1:11" ht="42" customHeight="1">
      <c r="A657" s="2" t="s">
        <v>1539</v>
      </c>
      <c r="B657" s="2" t="s">
        <v>1540</v>
      </c>
      <c r="C657" s="2" t="s">
        <v>79</v>
      </c>
      <c r="D657" s="2" t="s">
        <v>74</v>
      </c>
      <c r="E657" s="5">
        <v>-27890</v>
      </c>
      <c r="F657" s="3" t="s">
        <v>1573</v>
      </c>
      <c r="G657" s="3" t="s">
        <v>1574</v>
      </c>
      <c r="H657" s="2" t="s">
        <v>21</v>
      </c>
      <c r="I657" s="2" t="s">
        <v>1575</v>
      </c>
      <c r="J657" s="3" t="str">
        <f>HYPERLINK("https://www.boe.es/gazeta/dias/1823/08/21/pdfs/GMD-1823-623.pdf#page=2","Abrir facsímil")</f>
        <v>Abrir facsímil</v>
      </c>
      <c r="K657" s="3" t="s">
        <v>23</v>
      </c>
    </row>
    <row r="658" spans="1:11" ht="42" customHeight="1">
      <c r="A658" s="2" t="s">
        <v>1539</v>
      </c>
      <c r="B658" s="2" t="s">
        <v>1540</v>
      </c>
      <c r="C658" s="2" t="s">
        <v>17</v>
      </c>
      <c r="D658" s="2" t="s">
        <v>18</v>
      </c>
      <c r="E658" s="5">
        <v>-27888</v>
      </c>
      <c r="F658" s="3" t="s">
        <v>232</v>
      </c>
      <c r="G658" s="3" t="s">
        <v>1576</v>
      </c>
      <c r="H658" s="2" t="s">
        <v>21</v>
      </c>
      <c r="I658" s="2" t="s">
        <v>1577</v>
      </c>
      <c r="J658" s="3" t="str">
        <f>HYPERLINK("https://www.boe.es/gazeta/dias/1823/08/23/pdfs/GMD-1823-633.pdf#page=4","Abrir facsímil")</f>
        <v>Abrir facsímil</v>
      </c>
      <c r="K658" s="3" t="s">
        <v>23</v>
      </c>
    </row>
    <row r="659" spans="1:11" ht="42" customHeight="1">
      <c r="A659" s="2" t="s">
        <v>1539</v>
      </c>
      <c r="B659" s="2" t="s">
        <v>1540</v>
      </c>
      <c r="C659" s="2" t="s">
        <v>79</v>
      </c>
      <c r="D659" s="2" t="s">
        <v>74</v>
      </c>
      <c r="E659" s="5">
        <v>-27885</v>
      </c>
      <c r="F659" s="3" t="s">
        <v>65</v>
      </c>
      <c r="G659" s="3" t="s">
        <v>20</v>
      </c>
      <c r="H659" s="2" t="s">
        <v>21</v>
      </c>
      <c r="I659" s="2" t="s">
        <v>1578</v>
      </c>
      <c r="J659" s="3" t="str">
        <f>HYPERLINK("https://www.boe.es/gazeta/dias/1823/08/26/pdfs/GMD-1823-653.pdf#page=4","Abrir facsímil")</f>
        <v>Abrir facsímil</v>
      </c>
      <c r="K659" s="3" t="s">
        <v>23</v>
      </c>
    </row>
    <row r="660" spans="1:11" ht="42" customHeight="1">
      <c r="A660" s="2" t="s">
        <v>1539</v>
      </c>
      <c r="B660" s="2" t="s">
        <v>1540</v>
      </c>
      <c r="C660" s="2" t="s">
        <v>17</v>
      </c>
      <c r="D660" s="2" t="s">
        <v>18</v>
      </c>
      <c r="E660" s="5">
        <v>-27881</v>
      </c>
      <c r="F660" s="3" t="s">
        <v>725</v>
      </c>
      <c r="G660" s="3" t="s">
        <v>39</v>
      </c>
      <c r="H660" s="2" t="s">
        <v>21</v>
      </c>
      <c r="I660" s="2" t="s">
        <v>1579</v>
      </c>
      <c r="J660" s="3" t="str">
        <f>HYPERLINK("https://www.boe.es/gazeta/dias/1823/08/30/pdfs/GMD-1823-673.pdf#page=1","Abrir facsímil")</f>
        <v>Abrir facsímil</v>
      </c>
      <c r="K660" s="3" t="s">
        <v>23</v>
      </c>
    </row>
    <row r="661" spans="1:11" ht="42" customHeight="1">
      <c r="A661" s="2" t="s">
        <v>1539</v>
      </c>
      <c r="B661" s="2" t="s">
        <v>1540</v>
      </c>
      <c r="C661" s="2" t="s">
        <v>17</v>
      </c>
      <c r="D661" s="2" t="s">
        <v>18</v>
      </c>
      <c r="E661" s="5">
        <v>-27881</v>
      </c>
      <c r="F661" s="3" t="s">
        <v>725</v>
      </c>
      <c r="G661" s="3" t="s">
        <v>20</v>
      </c>
      <c r="H661" s="2" t="s">
        <v>21</v>
      </c>
      <c r="I661" s="2" t="s">
        <v>1580</v>
      </c>
      <c r="J661" s="3" t="str">
        <f>HYPERLINK("https://www.boe.es/gazeta/dias/1823/08/30/pdfs/GMD-1823-673.pdf#page=4","Abrir facsímil")</f>
        <v>Abrir facsímil</v>
      </c>
      <c r="K661" s="3" t="s">
        <v>23</v>
      </c>
    </row>
    <row r="662" spans="1:11" ht="42" customHeight="1">
      <c r="A662" s="2" t="s">
        <v>1539</v>
      </c>
      <c r="B662" s="2" t="s">
        <v>1540</v>
      </c>
      <c r="C662" s="2" t="s">
        <v>17</v>
      </c>
      <c r="D662" s="2" t="s">
        <v>18</v>
      </c>
      <c r="E662" s="5">
        <v>-27878</v>
      </c>
      <c r="F662" s="3" t="s">
        <v>1581</v>
      </c>
      <c r="G662" s="3" t="s">
        <v>39</v>
      </c>
      <c r="H662" s="2" t="s">
        <v>21</v>
      </c>
      <c r="I662" s="2" t="s">
        <v>1582</v>
      </c>
      <c r="J662" s="3" t="str">
        <f>HYPERLINK("https://www.boe.es/gazeta/dias/1823/09/02/pdfs/GMD-1823-683.pdf#page=1","Abrir facsímil")</f>
        <v>Abrir facsímil</v>
      </c>
      <c r="K662" s="3" t="s">
        <v>23</v>
      </c>
    </row>
    <row r="663" spans="1:11" ht="42" customHeight="1">
      <c r="A663" s="2" t="s">
        <v>1539</v>
      </c>
      <c r="B663" s="2" t="s">
        <v>1540</v>
      </c>
      <c r="C663" s="2" t="s">
        <v>79</v>
      </c>
      <c r="D663" s="2" t="s">
        <v>74</v>
      </c>
      <c r="E663" s="5">
        <v>-27874</v>
      </c>
      <c r="F663" s="3" t="s">
        <v>122</v>
      </c>
      <c r="G663" s="3" t="s">
        <v>39</v>
      </c>
      <c r="H663" s="2" t="s">
        <v>21</v>
      </c>
      <c r="I663" s="2" t="s">
        <v>1583</v>
      </c>
      <c r="J663" s="3" t="str">
        <f>HYPERLINK("https://www.boe.es/gazeta/dias/1823/09/06/pdfs/GMD-1823-713.pdf#page=1","Abrir facsímil")</f>
        <v>Abrir facsímil</v>
      </c>
      <c r="K663" s="3" t="s">
        <v>23</v>
      </c>
    </row>
    <row r="664" spans="1:11" ht="42" customHeight="1">
      <c r="A664" s="2" t="s">
        <v>1539</v>
      </c>
      <c r="B664" s="2" t="s">
        <v>1540</v>
      </c>
      <c r="C664" s="2" t="s">
        <v>109</v>
      </c>
      <c r="D664" s="2" t="s">
        <v>74</v>
      </c>
      <c r="E664" s="5">
        <v>-27869</v>
      </c>
      <c r="F664" s="3" t="s">
        <v>520</v>
      </c>
      <c r="G664" s="3" t="s">
        <v>48</v>
      </c>
      <c r="H664" s="2" t="s">
        <v>21</v>
      </c>
      <c r="I664" s="2" t="s">
        <v>1584</v>
      </c>
      <c r="J664" s="3" t="str">
        <f>HYPERLINK("https://www.boe.es/gazeta/dias/1823/09/11/pdfs/GMD-1823-753.pdf#page=3","Abrir facsímil")</f>
        <v>Abrir facsímil</v>
      </c>
      <c r="K664" s="3" t="s">
        <v>23</v>
      </c>
    </row>
    <row r="665" spans="1:11" ht="42" customHeight="1">
      <c r="A665" s="2" t="s">
        <v>1539</v>
      </c>
      <c r="B665" s="2" t="s">
        <v>1540</v>
      </c>
      <c r="C665" s="2" t="s">
        <v>17</v>
      </c>
      <c r="D665" s="2" t="s">
        <v>18</v>
      </c>
      <c r="E665" s="5">
        <v>-27867</v>
      </c>
      <c r="F665" s="3" t="s">
        <v>1585</v>
      </c>
      <c r="G665" s="3" t="s">
        <v>48</v>
      </c>
      <c r="H665" s="2" t="s">
        <v>21</v>
      </c>
      <c r="I665" s="2" t="s">
        <v>1586</v>
      </c>
      <c r="J665" s="3" t="str">
        <f>HYPERLINK("https://www.boe.es/gazeta/dias/1823/09/13/pdfs/GMD-1823-773.pdf#page=3","Abrir facsímil")</f>
        <v>Abrir facsímil</v>
      </c>
      <c r="K665" s="3" t="s">
        <v>23</v>
      </c>
    </row>
    <row r="666" spans="1:11" ht="42" customHeight="1">
      <c r="A666" s="2" t="s">
        <v>1539</v>
      </c>
      <c r="B666" s="2" t="s">
        <v>1540</v>
      </c>
      <c r="C666" s="2" t="s">
        <v>17</v>
      </c>
      <c r="D666" s="2" t="s">
        <v>18</v>
      </c>
      <c r="E666" s="5">
        <v>-27862</v>
      </c>
      <c r="F666" s="3" t="s">
        <v>1530</v>
      </c>
      <c r="G666" s="3" t="s">
        <v>20</v>
      </c>
      <c r="H666" s="2" t="s">
        <v>21</v>
      </c>
      <c r="I666" s="2" t="s">
        <v>1587</v>
      </c>
      <c r="J666" s="3" t="str">
        <f>HYPERLINK("https://www.boe.es/gazeta/dias/1823/09/18/pdfs/GMD-1823-803.pdf#page=4","Abrir facsímil")</f>
        <v>Abrir facsímil</v>
      </c>
      <c r="K666" s="3" t="s">
        <v>23</v>
      </c>
    </row>
    <row r="667" spans="1:11" ht="42" customHeight="1">
      <c r="A667" s="2" t="s">
        <v>1539</v>
      </c>
      <c r="B667" s="2" t="s">
        <v>1540</v>
      </c>
      <c r="C667" s="2" t="s">
        <v>79</v>
      </c>
      <c r="D667" s="2" t="s">
        <v>74</v>
      </c>
      <c r="E667" s="5">
        <v>-27860</v>
      </c>
      <c r="F667" s="3" t="s">
        <v>998</v>
      </c>
      <c r="G667" s="3" t="s">
        <v>48</v>
      </c>
      <c r="H667" s="2" t="s">
        <v>21</v>
      </c>
      <c r="I667" s="2" t="s">
        <v>1588</v>
      </c>
      <c r="J667" s="3" t="str">
        <f>HYPERLINK("https://www.boe.es/gazeta/dias/1823/09/20/pdfs/GMD-1823-813.pdf#page=3","Abrir facsímil")</f>
        <v>Abrir facsímil</v>
      </c>
      <c r="K667" s="3" t="s">
        <v>23</v>
      </c>
    </row>
    <row r="668" spans="1:11" ht="42" customHeight="1">
      <c r="A668" s="2" t="s">
        <v>1539</v>
      </c>
      <c r="B668" s="2" t="s">
        <v>1540</v>
      </c>
      <c r="C668" s="2" t="s">
        <v>17</v>
      </c>
      <c r="D668" s="2" t="s">
        <v>117</v>
      </c>
      <c r="E668" s="5">
        <v>-27857</v>
      </c>
      <c r="F668" s="3" t="s">
        <v>118</v>
      </c>
      <c r="G668" s="3" t="s">
        <v>39</v>
      </c>
      <c r="H668" s="2" t="s">
        <v>21</v>
      </c>
      <c r="I668" s="2" t="s">
        <v>1589</v>
      </c>
      <c r="J668" s="3" t="str">
        <f>HYPERLINK("https://www.boe.es/gazeta/dias/1823/09/23/pdfs/GMD-1823-843E.pdf#page=1","Abrir facsímil")</f>
        <v>Abrir facsímil</v>
      </c>
      <c r="K668" s="3" t="s">
        <v>23</v>
      </c>
    </row>
    <row r="669" spans="1:11" ht="42" customHeight="1">
      <c r="A669" s="2" t="s">
        <v>1539</v>
      </c>
      <c r="B669" s="2" t="s">
        <v>1540</v>
      </c>
      <c r="C669" s="2" t="s">
        <v>17</v>
      </c>
      <c r="D669" s="2" t="s">
        <v>117</v>
      </c>
      <c r="E669" s="5">
        <v>-27845</v>
      </c>
      <c r="F669" s="3" t="s">
        <v>1590</v>
      </c>
      <c r="G669" s="3" t="s">
        <v>39</v>
      </c>
      <c r="H669" s="2" t="s">
        <v>21</v>
      </c>
      <c r="I669" s="2" t="s">
        <v>1591</v>
      </c>
      <c r="J669" s="3" t="str">
        <f>HYPERLINK("https://www.boe.es/gazeta/dias/1823/10/05/pdfs/GMD-1823-923E.pdf#page=1","Abrir facsímil")</f>
        <v>Abrir facsímil</v>
      </c>
      <c r="K669" s="3" t="s">
        <v>23</v>
      </c>
    </row>
    <row r="670" spans="1:11" ht="42" customHeight="1">
      <c r="A670" s="2" t="s">
        <v>1539</v>
      </c>
      <c r="B670" s="2" t="s">
        <v>1540</v>
      </c>
      <c r="C670" s="2" t="s">
        <v>17</v>
      </c>
      <c r="D670" s="2" t="s">
        <v>18</v>
      </c>
      <c r="E670" s="5">
        <v>-27841</v>
      </c>
      <c r="F670" s="3" t="s">
        <v>721</v>
      </c>
      <c r="G670" s="3" t="s">
        <v>20</v>
      </c>
      <c r="H670" s="2" t="s">
        <v>21</v>
      </c>
      <c r="I670" s="2" t="s">
        <v>1592</v>
      </c>
      <c r="J670" s="3" t="str">
        <f>HYPERLINK("https://www.boe.es/gazeta/dias/1823/10/09/pdfs/GMD-1823-953.pdf#page=4","Abrir facsímil")</f>
        <v>Abrir facsímil</v>
      </c>
      <c r="K670" s="3" t="s">
        <v>23</v>
      </c>
    </row>
    <row r="671" spans="1:11" ht="42" customHeight="1">
      <c r="A671" s="2" t="s">
        <v>1539</v>
      </c>
      <c r="B671" s="2" t="s">
        <v>1540</v>
      </c>
      <c r="C671" s="2" t="s">
        <v>17</v>
      </c>
      <c r="D671" s="2" t="s">
        <v>18</v>
      </c>
      <c r="E671" s="5">
        <v>-27839</v>
      </c>
      <c r="F671" s="3" t="s">
        <v>263</v>
      </c>
      <c r="G671" s="3" t="s">
        <v>48</v>
      </c>
      <c r="H671" s="2" t="s">
        <v>21</v>
      </c>
      <c r="I671" s="2" t="s">
        <v>1593</v>
      </c>
      <c r="J671" s="3" t="str">
        <f>HYPERLINK("https://www.boe.es/gazeta/dias/1823/10/11/pdfs/GMD-1823-963.pdf#page=3","Abrir facsímil")</f>
        <v>Abrir facsímil</v>
      </c>
      <c r="K671" s="3" t="s">
        <v>23</v>
      </c>
    </row>
    <row r="672" spans="1:11" ht="42" customHeight="1">
      <c r="A672" s="2" t="s">
        <v>1539</v>
      </c>
      <c r="B672" s="2" t="s">
        <v>1540</v>
      </c>
      <c r="C672" s="2" t="s">
        <v>17</v>
      </c>
      <c r="D672" s="2" t="s">
        <v>18</v>
      </c>
      <c r="E672" s="5">
        <v>-27834</v>
      </c>
      <c r="F672" s="3" t="s">
        <v>188</v>
      </c>
      <c r="G672" s="3" t="s">
        <v>39</v>
      </c>
      <c r="H672" s="2" t="s">
        <v>21</v>
      </c>
      <c r="I672" s="2" t="s">
        <v>1594</v>
      </c>
      <c r="J672" s="3" t="str">
        <f>HYPERLINK("https://www.boe.es/gazeta/dias/1823/10/16/pdfs/GMD-1823-983.pdf#page=1","Abrir facsímil")</f>
        <v>Abrir facsímil</v>
      </c>
      <c r="K672" s="3" t="s">
        <v>23</v>
      </c>
    </row>
    <row r="673" spans="1:11" ht="42" customHeight="1">
      <c r="A673" s="2" t="s">
        <v>1539</v>
      </c>
      <c r="B673" s="2" t="s">
        <v>1540</v>
      </c>
      <c r="C673" s="2" t="s">
        <v>17</v>
      </c>
      <c r="D673" s="2" t="s">
        <v>18</v>
      </c>
      <c r="E673" s="5">
        <v>-27834</v>
      </c>
      <c r="F673" s="3" t="s">
        <v>188</v>
      </c>
      <c r="G673" s="3" t="s">
        <v>27</v>
      </c>
      <c r="H673" s="2" t="s">
        <v>21</v>
      </c>
      <c r="I673" s="2" t="s">
        <v>1595</v>
      </c>
      <c r="J673" s="3" t="str">
        <f>HYPERLINK("https://www.boe.es/gazeta/dias/1823/10/16/pdfs/GMD-1823-983.pdf#page=2","Abrir facsímil")</f>
        <v>Abrir facsímil</v>
      </c>
      <c r="K673" s="3" t="s">
        <v>23</v>
      </c>
    </row>
    <row r="674" spans="1:11" ht="42" customHeight="1">
      <c r="A674" s="2" t="s">
        <v>1539</v>
      </c>
      <c r="B674" s="2" t="s">
        <v>1540</v>
      </c>
      <c r="C674" s="2" t="s">
        <v>17</v>
      </c>
      <c r="D674" s="2" t="s">
        <v>18</v>
      </c>
      <c r="E674" s="5">
        <v>-27829</v>
      </c>
      <c r="F674" s="3" t="s">
        <v>228</v>
      </c>
      <c r="G674" s="3" t="s">
        <v>27</v>
      </c>
      <c r="H674" s="2" t="s">
        <v>21</v>
      </c>
      <c r="I674" s="2" t="s">
        <v>1596</v>
      </c>
      <c r="J674" s="3" t="str">
        <f>HYPERLINK("https://www.boe.es/gazeta/dias/1823/10/21/pdfs/GMD-1823-1003.pdf#page=2","Abrir facsímil")</f>
        <v>Abrir facsímil</v>
      </c>
      <c r="K674" s="3" t="s">
        <v>23</v>
      </c>
    </row>
    <row r="675" spans="1:11" ht="42" customHeight="1">
      <c r="A675" s="2" t="s">
        <v>1539</v>
      </c>
      <c r="B675" s="2" t="s">
        <v>1540</v>
      </c>
      <c r="C675" s="2" t="s">
        <v>17</v>
      </c>
      <c r="D675" s="2" t="s">
        <v>18</v>
      </c>
      <c r="E675" s="5">
        <v>-27818</v>
      </c>
      <c r="F675" s="3" t="s">
        <v>1597</v>
      </c>
      <c r="G675" s="3" t="s">
        <v>20</v>
      </c>
      <c r="H675" s="2" t="s">
        <v>21</v>
      </c>
      <c r="I675" s="2" t="s">
        <v>1598</v>
      </c>
      <c r="J675" s="3" t="str">
        <f>HYPERLINK("https://www.boe.es/gazeta/dias/1823/11/01/pdfs/GMD-1823-1053.pdf#page=4","Abrir facsímil")</f>
        <v>Abrir facsímil</v>
      </c>
      <c r="K675" s="3" t="s">
        <v>23</v>
      </c>
    </row>
    <row r="676" spans="1:11" ht="42" customHeight="1">
      <c r="A676" s="2" t="s">
        <v>1539</v>
      </c>
      <c r="B676" s="2" t="s">
        <v>1540</v>
      </c>
      <c r="C676" s="2" t="s">
        <v>17</v>
      </c>
      <c r="D676" s="2" t="s">
        <v>18</v>
      </c>
      <c r="E676" s="5">
        <v>-27815</v>
      </c>
      <c r="F676" s="3" t="s">
        <v>1266</v>
      </c>
      <c r="G676" s="3" t="s">
        <v>48</v>
      </c>
      <c r="H676" s="2" t="s">
        <v>21</v>
      </c>
      <c r="I676" s="2" t="s">
        <v>1599</v>
      </c>
      <c r="J676" s="3" t="str">
        <f>HYPERLINK("https://www.boe.es/gazeta/dias/1823/11/04/pdfs/GMD-1823-1063.pdf#page=3","Abrir facsímil")</f>
        <v>Abrir facsímil</v>
      </c>
      <c r="K676" s="3" t="s">
        <v>23</v>
      </c>
    </row>
    <row r="677" spans="1:11" ht="42" customHeight="1">
      <c r="A677" s="2" t="s">
        <v>1539</v>
      </c>
      <c r="B677" s="2" t="s">
        <v>1540</v>
      </c>
      <c r="C677" s="2" t="s">
        <v>56</v>
      </c>
      <c r="D677" s="2" t="s">
        <v>57</v>
      </c>
      <c r="E677" s="5">
        <v>-27813</v>
      </c>
      <c r="F677" s="3" t="s">
        <v>1600</v>
      </c>
      <c r="G677" s="3" t="s">
        <v>48</v>
      </c>
      <c r="H677" s="2" t="s">
        <v>21</v>
      </c>
      <c r="I677" s="2" t="s">
        <v>1601</v>
      </c>
      <c r="J677" s="3" t="str">
        <f>HYPERLINK("https://www.boe.es/gazeta/dias/1823/11/06/pdfs/GMD-1823-1073.pdf#page=3","Abrir facsímil")</f>
        <v>Abrir facsímil</v>
      </c>
      <c r="K677" s="3" t="s">
        <v>23</v>
      </c>
    </row>
    <row r="678" spans="1:11" ht="42" customHeight="1">
      <c r="A678" s="2" t="s">
        <v>1539</v>
      </c>
      <c r="B678" s="2" t="s">
        <v>1540</v>
      </c>
      <c r="C678" s="2" t="s">
        <v>56</v>
      </c>
      <c r="D678" s="2" t="s">
        <v>57</v>
      </c>
      <c r="E678" s="5">
        <v>-27808</v>
      </c>
      <c r="F678" s="3" t="s">
        <v>1602</v>
      </c>
      <c r="G678" s="3" t="s">
        <v>48</v>
      </c>
      <c r="H678" s="2" t="s">
        <v>21</v>
      </c>
      <c r="I678" s="2" t="s">
        <v>1603</v>
      </c>
      <c r="J678" s="3" t="str">
        <f>HYPERLINK("https://www.boe.es/gazeta/dias/1823/11/11/pdfs/GMD-1823-1103.pdf#page=3","Abrir facsímil")</f>
        <v>Abrir facsímil</v>
      </c>
      <c r="K678" s="3" t="s">
        <v>23</v>
      </c>
    </row>
    <row r="679" spans="1:11" ht="42" customHeight="1">
      <c r="A679" s="2" t="s">
        <v>1539</v>
      </c>
      <c r="B679" s="2" t="s">
        <v>1540</v>
      </c>
      <c r="C679" s="2" t="s">
        <v>17</v>
      </c>
      <c r="D679" s="2" t="s">
        <v>18</v>
      </c>
      <c r="E679" s="5">
        <v>-27804</v>
      </c>
      <c r="F679" s="3" t="s">
        <v>836</v>
      </c>
      <c r="G679" s="3" t="s">
        <v>27</v>
      </c>
      <c r="H679" s="2" t="s">
        <v>21</v>
      </c>
      <c r="I679" s="2" t="s">
        <v>1604</v>
      </c>
      <c r="J679" s="3" t="str">
        <f>HYPERLINK("https://www.boe.es/gazeta/dias/1823/11/15/pdfs/GMD-1823-1123.pdf#page=2","Abrir facsímil")</f>
        <v>Abrir facsímil</v>
      </c>
      <c r="K679" s="3" t="s">
        <v>23</v>
      </c>
    </row>
    <row r="680" spans="1:11" ht="42" customHeight="1">
      <c r="A680" s="2" t="s">
        <v>1539</v>
      </c>
      <c r="B680" s="2" t="s">
        <v>1540</v>
      </c>
      <c r="C680" s="2" t="s">
        <v>17</v>
      </c>
      <c r="D680" s="2" t="s">
        <v>18</v>
      </c>
      <c r="E680" s="5">
        <v>-27801</v>
      </c>
      <c r="F680" s="3" t="s">
        <v>800</v>
      </c>
      <c r="G680" s="3" t="s">
        <v>48</v>
      </c>
      <c r="H680" s="2" t="s">
        <v>21</v>
      </c>
      <c r="I680" s="2" t="s">
        <v>1605</v>
      </c>
      <c r="J680" s="3" t="str">
        <f>HYPERLINK("https://www.boe.es/gazeta/dias/1823/11/18/pdfs/GMD-1823-1133.pdf#page=3","Abrir facsímil")</f>
        <v>Abrir facsímil</v>
      </c>
      <c r="K680" s="3" t="s">
        <v>23</v>
      </c>
    </row>
    <row r="681" spans="1:11" ht="42" customHeight="1">
      <c r="A681" s="2" t="s">
        <v>1539</v>
      </c>
      <c r="B681" s="2" t="s">
        <v>1540</v>
      </c>
      <c r="C681" s="2" t="s">
        <v>56</v>
      </c>
      <c r="D681" s="2" t="s">
        <v>57</v>
      </c>
      <c r="E681" s="5">
        <v>-27794</v>
      </c>
      <c r="F681" s="3" t="s">
        <v>747</v>
      </c>
      <c r="G681" s="3" t="s">
        <v>48</v>
      </c>
      <c r="H681" s="2" t="s">
        <v>21</v>
      </c>
      <c r="I681" s="2" t="s">
        <v>1606</v>
      </c>
      <c r="J681" s="3" t="str">
        <f>HYPERLINK("https://www.boe.es/gazeta/dias/1823/11/25/pdfs/GMD-1823-1163.pdf#page=3","Abrir facsímil")</f>
        <v>Abrir facsímil</v>
      </c>
      <c r="K681" s="3" t="s">
        <v>23</v>
      </c>
    </row>
    <row r="682" spans="1:11" ht="42" customHeight="1">
      <c r="A682" s="2" t="s">
        <v>1539</v>
      </c>
      <c r="B682" s="2" t="s">
        <v>1540</v>
      </c>
      <c r="C682" s="2" t="s">
        <v>17</v>
      </c>
      <c r="D682" s="2" t="s">
        <v>18</v>
      </c>
      <c r="E682" s="5">
        <v>-27785</v>
      </c>
      <c r="F682" s="3" t="s">
        <v>1397</v>
      </c>
      <c r="G682" s="3" t="s">
        <v>27</v>
      </c>
      <c r="H682" s="2" t="s">
        <v>21</v>
      </c>
      <c r="I682" s="2" t="s">
        <v>1607</v>
      </c>
      <c r="J682" s="3" t="str">
        <f>HYPERLINK("https://www.boe.es/gazeta/dias/1823/12/04/pdfs/GMD-1823-1203.pdf#page=2","Abrir facsímil")</f>
        <v>Abrir facsímil</v>
      </c>
      <c r="K682" s="3" t="s">
        <v>23</v>
      </c>
    </row>
    <row r="683" spans="1:11" ht="42" customHeight="1">
      <c r="A683" s="2" t="s">
        <v>1539</v>
      </c>
      <c r="B683" s="2" t="s">
        <v>1540</v>
      </c>
      <c r="C683" s="2" t="s">
        <v>17</v>
      </c>
      <c r="D683" s="2" t="s">
        <v>18</v>
      </c>
      <c r="E683" s="5">
        <v>-27783</v>
      </c>
      <c r="F683" s="3" t="s">
        <v>941</v>
      </c>
      <c r="G683" s="3" t="s">
        <v>48</v>
      </c>
      <c r="H683" s="2" t="s">
        <v>21</v>
      </c>
      <c r="I683" s="2" t="s">
        <v>1608</v>
      </c>
      <c r="J683" s="3" t="str">
        <f>HYPERLINK("https://www.boe.es/gazeta/dias/1823/12/06/pdfs/GMD-1823-1213.pdf#page=3","Abrir facsímil")</f>
        <v>Abrir facsímil</v>
      </c>
      <c r="K683" s="3" t="s">
        <v>23</v>
      </c>
    </row>
    <row r="684" spans="1:11" ht="42" customHeight="1">
      <c r="A684" s="2" t="s">
        <v>1539</v>
      </c>
      <c r="B684" s="2" t="s">
        <v>1540</v>
      </c>
      <c r="C684" s="2" t="s">
        <v>79</v>
      </c>
      <c r="D684" s="2" t="s">
        <v>74</v>
      </c>
      <c r="E684" s="5">
        <v>-27780</v>
      </c>
      <c r="F684" s="3" t="s">
        <v>1609</v>
      </c>
      <c r="G684" s="3" t="s">
        <v>27</v>
      </c>
      <c r="H684" s="2" t="s">
        <v>21</v>
      </c>
      <c r="I684" s="2" t="s">
        <v>1610</v>
      </c>
      <c r="J684" s="3" t="str">
        <f>HYPERLINK("https://www.boe.es/gazeta/dias/1823/12/09/pdfs/GMD-1823-1223.pdf#page=2","Abrir facsímil")</f>
        <v>Abrir facsímil</v>
      </c>
      <c r="K684" s="3" t="s">
        <v>23</v>
      </c>
    </row>
    <row r="685" spans="1:11" ht="42" customHeight="1">
      <c r="A685" s="2" t="s">
        <v>1539</v>
      </c>
      <c r="B685" s="2" t="s">
        <v>1540</v>
      </c>
      <c r="C685" s="2" t="s">
        <v>79</v>
      </c>
      <c r="D685" s="2" t="s">
        <v>74</v>
      </c>
      <c r="E685" s="5">
        <v>-27771</v>
      </c>
      <c r="F685" s="3" t="s">
        <v>1611</v>
      </c>
      <c r="G685" s="3" t="s">
        <v>48</v>
      </c>
      <c r="H685" s="2" t="s">
        <v>21</v>
      </c>
      <c r="I685" s="2" t="s">
        <v>1612</v>
      </c>
      <c r="J685" s="3" t="str">
        <f>HYPERLINK("https://www.boe.es/gazeta/dias/1823/12/18/pdfs/GMD-1823-1263.pdf#page=3","Abrir facsímil")</f>
        <v>Abrir facsímil</v>
      </c>
      <c r="K685" s="3" t="s">
        <v>23</v>
      </c>
    </row>
    <row r="686" spans="1:11" ht="42" customHeight="1">
      <c r="A686" s="2" t="s">
        <v>1539</v>
      </c>
      <c r="B686" s="2" t="s">
        <v>1540</v>
      </c>
      <c r="C686" s="2" t="s">
        <v>17</v>
      </c>
      <c r="D686" s="2" t="s">
        <v>18</v>
      </c>
      <c r="E686" s="5">
        <v>-27771</v>
      </c>
      <c r="F686" s="3" t="s">
        <v>1611</v>
      </c>
      <c r="G686" s="3" t="s">
        <v>20</v>
      </c>
      <c r="H686" s="2" t="s">
        <v>21</v>
      </c>
      <c r="I686" s="2" t="s">
        <v>1613</v>
      </c>
      <c r="J686" s="3" t="str">
        <f>HYPERLINK("https://www.boe.es/gazeta/dias/1823/12/18/pdfs/GMD-1823-1263.pdf#page=4","Abrir facsímil")</f>
        <v>Abrir facsímil</v>
      </c>
      <c r="K686" s="3" t="s">
        <v>23</v>
      </c>
    </row>
    <row r="687" spans="1:11" ht="42" customHeight="1">
      <c r="A687" s="2" t="s">
        <v>1539</v>
      </c>
      <c r="B687" s="2" t="s">
        <v>1540</v>
      </c>
      <c r="C687" s="2" t="s">
        <v>17</v>
      </c>
      <c r="D687" s="2" t="s">
        <v>18</v>
      </c>
      <c r="E687" s="5">
        <v>-27762</v>
      </c>
      <c r="F687" s="3" t="s">
        <v>1614</v>
      </c>
      <c r="G687" s="3" t="s">
        <v>48</v>
      </c>
      <c r="H687" s="2" t="s">
        <v>21</v>
      </c>
      <c r="I687" s="2" t="s">
        <v>1615</v>
      </c>
      <c r="J687" s="3" t="str">
        <f>HYPERLINK("https://www.boe.es/gazeta/dias/1823/12/27/pdfs/GMD-1823-1303.pdf#page=3","Abrir facsímil")</f>
        <v>Abrir facsímil</v>
      </c>
      <c r="K687" s="3" t="s">
        <v>23</v>
      </c>
    </row>
    <row r="688" spans="1:11" ht="42" customHeight="1">
      <c r="A688" s="2" t="s">
        <v>1616</v>
      </c>
      <c r="B688" s="2" t="s">
        <v>1617</v>
      </c>
      <c r="C688" s="2" t="s">
        <v>17</v>
      </c>
      <c r="D688" s="2" t="s">
        <v>18</v>
      </c>
      <c r="E688" s="5">
        <v>-27867</v>
      </c>
      <c r="F688" s="3" t="s">
        <v>1585</v>
      </c>
      <c r="G688" s="3" t="s">
        <v>48</v>
      </c>
      <c r="H688" s="2" t="s">
        <v>21</v>
      </c>
      <c r="I688" s="2" t="s">
        <v>1618</v>
      </c>
      <c r="J688" s="3" t="str">
        <f>HYPERLINK("https://www.boe.es/gazeta/dias/1823/09/13/pdfs/GMD-1823-773.pdf#page=3","Abrir facsímil")</f>
        <v>Abrir facsímil</v>
      </c>
      <c r="K688" s="3" t="s">
        <v>23</v>
      </c>
    </row>
    <row r="689" spans="1:11" ht="42" customHeight="1">
      <c r="A689" s="2" t="s">
        <v>1619</v>
      </c>
      <c r="B689" s="2" t="s">
        <v>1620</v>
      </c>
      <c r="C689" s="2" t="s">
        <v>17</v>
      </c>
      <c r="D689" s="2" t="s">
        <v>18</v>
      </c>
      <c r="E689" s="5">
        <v>-27934</v>
      </c>
      <c r="F689" s="3" t="s">
        <v>634</v>
      </c>
      <c r="G689" s="3" t="s">
        <v>20</v>
      </c>
      <c r="H689" s="2" t="s">
        <v>21</v>
      </c>
      <c r="I689" s="2" t="s">
        <v>1621</v>
      </c>
      <c r="J689" s="3" t="str">
        <f>HYPERLINK("https://www.boe.es/gazeta/dias/1823/07/08/pdfs/GMD-1823-353.pdf#page=4","Abrir facsímil")</f>
        <v>Abrir facsímil</v>
      </c>
      <c r="K689" s="3" t="s">
        <v>23</v>
      </c>
    </row>
    <row r="690" spans="1:11" ht="42" customHeight="1">
      <c r="A690" s="2" t="s">
        <v>1622</v>
      </c>
      <c r="B690" s="2" t="s">
        <v>1623</v>
      </c>
      <c r="C690" s="2" t="s">
        <v>17</v>
      </c>
      <c r="D690" s="2" t="s">
        <v>18</v>
      </c>
      <c r="E690" s="5">
        <v>-27869</v>
      </c>
      <c r="F690" s="3" t="s">
        <v>520</v>
      </c>
      <c r="G690" s="3" t="s">
        <v>48</v>
      </c>
      <c r="H690" s="2" t="s">
        <v>21</v>
      </c>
      <c r="I690" s="2" t="s">
        <v>1624</v>
      </c>
      <c r="J690" s="3" t="str">
        <f>HYPERLINK("https://www.boe.es/gazeta/dias/1823/09/11/pdfs/GMD-1823-753.pdf#page=3","Abrir facsímil")</f>
        <v>Abrir facsímil</v>
      </c>
      <c r="K690" s="3" t="s">
        <v>23</v>
      </c>
    </row>
    <row r="691" spans="1:11" ht="42" customHeight="1">
      <c r="A691" s="2" t="s">
        <v>1625</v>
      </c>
      <c r="B691" s="2" t="s">
        <v>1626</v>
      </c>
      <c r="C691" s="2" t="s">
        <v>17</v>
      </c>
      <c r="D691" s="2" t="s">
        <v>18</v>
      </c>
      <c r="E691" s="5">
        <v>-27778</v>
      </c>
      <c r="F691" s="3" t="s">
        <v>1343</v>
      </c>
      <c r="G691" s="3" t="s">
        <v>27</v>
      </c>
      <c r="H691" s="2" t="s">
        <v>21</v>
      </c>
      <c r="I691" s="2" t="s">
        <v>1627</v>
      </c>
      <c r="J691" s="3" t="str">
        <f>HYPERLINK("https://www.boe.es/gazeta/dias/1823/12/11/pdfs/GMD-1823-1233.pdf#page=2","Abrir facsímil")</f>
        <v>Abrir facsímil</v>
      </c>
      <c r="K691" s="3" t="s">
        <v>23</v>
      </c>
    </row>
    <row r="692" spans="1:11" ht="42" customHeight="1">
      <c r="A692" s="2" t="s">
        <v>1628</v>
      </c>
      <c r="B692" s="2" t="s">
        <v>1629</v>
      </c>
      <c r="C692" s="2" t="s">
        <v>17</v>
      </c>
      <c r="D692" s="2" t="s">
        <v>18</v>
      </c>
      <c r="E692" s="5">
        <v>-28098</v>
      </c>
      <c r="F692" s="3" t="s">
        <v>1101</v>
      </c>
      <c r="G692" s="3" t="s">
        <v>20</v>
      </c>
      <c r="H692" s="2" t="s">
        <v>21</v>
      </c>
      <c r="I692" s="2" t="s">
        <v>1630</v>
      </c>
      <c r="J692" s="3" t="str">
        <f>HYPERLINK("https://www.boe.es/gazeta/dias/1823/01/25/pdfs/GMD-1823-26.pdf#page=4","Abrir facsímil")</f>
        <v>Abrir facsímil</v>
      </c>
      <c r="K692" s="3" t="s">
        <v>23</v>
      </c>
    </row>
    <row r="693" spans="1:11" ht="42" customHeight="1">
      <c r="A693" s="2" t="s">
        <v>1631</v>
      </c>
      <c r="B693" s="2" t="s">
        <v>1632</v>
      </c>
      <c r="C693" s="2" t="s">
        <v>17</v>
      </c>
      <c r="D693" s="2" t="s">
        <v>18</v>
      </c>
      <c r="E693" s="5">
        <v>-28065</v>
      </c>
      <c r="F693" s="3" t="s">
        <v>686</v>
      </c>
      <c r="G693" s="3" t="s">
        <v>48</v>
      </c>
      <c r="H693" s="2" t="s">
        <v>21</v>
      </c>
      <c r="I693" s="2" t="s">
        <v>1633</v>
      </c>
      <c r="J693" s="3" t="str">
        <f>HYPERLINK("https://www.boe.es/gazeta/dias/1823/02/27/pdfs/GMD-1823-61.pdf#page=3","Abrir facsímil")</f>
        <v>Abrir facsímil</v>
      </c>
      <c r="K693" s="3" t="s">
        <v>23</v>
      </c>
    </row>
    <row r="694" spans="1:11" ht="42" customHeight="1">
      <c r="A694" s="2" t="s">
        <v>1634</v>
      </c>
      <c r="B694" s="2" t="s">
        <v>1635</v>
      </c>
      <c r="C694" s="2" t="s">
        <v>17</v>
      </c>
      <c r="D694" s="2" t="s">
        <v>18</v>
      </c>
      <c r="E694" s="5">
        <v>-28097</v>
      </c>
      <c r="F694" s="3" t="s">
        <v>1368</v>
      </c>
      <c r="G694" s="3" t="s">
        <v>20</v>
      </c>
      <c r="H694" s="2" t="s">
        <v>21</v>
      </c>
      <c r="I694" s="2" t="s">
        <v>1636</v>
      </c>
      <c r="J694" s="3" t="str">
        <f>HYPERLINK("https://www.boe.es/gazeta/dias/1823/01/26/pdfs/GMD-1823-27.pdf#page=4","Abrir facsímil")</f>
        <v>Abrir facsímil</v>
      </c>
      <c r="K694" s="3" t="s">
        <v>23</v>
      </c>
    </row>
    <row r="695" spans="1:11" ht="42" customHeight="1">
      <c r="A695" s="2" t="s">
        <v>1637</v>
      </c>
      <c r="B695" s="2" t="s">
        <v>1637</v>
      </c>
      <c r="C695" s="2" t="s">
        <v>17</v>
      </c>
      <c r="D695" s="2" t="s">
        <v>18</v>
      </c>
      <c r="E695" s="5">
        <v>-28076</v>
      </c>
      <c r="F695" s="3" t="s">
        <v>1638</v>
      </c>
      <c r="G695" s="3" t="s">
        <v>34</v>
      </c>
      <c r="H695" s="2" t="s">
        <v>21</v>
      </c>
      <c r="I695" s="2" t="s">
        <v>1639</v>
      </c>
      <c r="J695" s="3" t="str">
        <f>HYPERLINK("https://www.boe.es/gazeta/dias/1823/02/16/pdfs/GMD-1823-50.pdf#page=5","Abrir facsímil")</f>
        <v>Abrir facsímil</v>
      </c>
      <c r="K695" s="3" t="s">
        <v>23</v>
      </c>
    </row>
    <row r="696" spans="1:11" ht="42" customHeight="1">
      <c r="A696" s="2" t="s">
        <v>1640</v>
      </c>
      <c r="B696" s="2" t="s">
        <v>1641</v>
      </c>
      <c r="C696" s="2" t="s">
        <v>73</v>
      </c>
      <c r="D696" s="2" t="s">
        <v>74</v>
      </c>
      <c r="E696" s="5">
        <v>-27864</v>
      </c>
      <c r="F696" s="3" t="s">
        <v>395</v>
      </c>
      <c r="G696" s="3" t="s">
        <v>20</v>
      </c>
      <c r="H696" s="2" t="s">
        <v>21</v>
      </c>
      <c r="I696" s="2" t="s">
        <v>1642</v>
      </c>
      <c r="J696" s="3" t="str">
        <f>HYPERLINK("https://www.boe.es/gazeta/dias/1823/09/16/pdfs/GMD-1823-783.pdf#page=4","Abrir facsímil")</f>
        <v>Abrir facsímil</v>
      </c>
      <c r="K696" s="3" t="s">
        <v>23</v>
      </c>
    </row>
    <row r="697" spans="1:11" ht="42" customHeight="1">
      <c r="A697" s="2" t="s">
        <v>1643</v>
      </c>
      <c r="B697" s="2" t="s">
        <v>1644</v>
      </c>
      <c r="C697" s="2" t="s">
        <v>56</v>
      </c>
      <c r="D697" s="2" t="s">
        <v>57</v>
      </c>
      <c r="E697" s="5">
        <v>-27776</v>
      </c>
      <c r="F697" s="3" t="s">
        <v>1399</v>
      </c>
      <c r="G697" s="3" t="s">
        <v>20</v>
      </c>
      <c r="H697" s="2" t="s">
        <v>21</v>
      </c>
      <c r="I697" s="2" t="s">
        <v>1645</v>
      </c>
      <c r="J697" s="3" t="str">
        <f>HYPERLINK("https://www.boe.es/gazeta/dias/1823/12/13/pdfs/GMD-1823-1243.pdf#page=4","Abrir facsímil")</f>
        <v>Abrir facsímil</v>
      </c>
      <c r="K697" s="3" t="s">
        <v>23</v>
      </c>
    </row>
    <row r="698" spans="1:11" ht="42" customHeight="1">
      <c r="A698" s="2" t="s">
        <v>1646</v>
      </c>
      <c r="B698" s="2" t="s">
        <v>1647</v>
      </c>
      <c r="C698" s="2" t="s">
        <v>17</v>
      </c>
      <c r="D698" s="2" t="s">
        <v>18</v>
      </c>
      <c r="E698" s="5">
        <v>-28005</v>
      </c>
      <c r="F698" s="3" t="s">
        <v>1648</v>
      </c>
      <c r="G698" s="3" t="s">
        <v>20</v>
      </c>
      <c r="H698" s="2" t="s">
        <v>21</v>
      </c>
      <c r="I698" s="2" t="s">
        <v>1649</v>
      </c>
      <c r="J698" s="3" t="str">
        <f>HYPERLINK("https://www.boe.es/gazeta/dias/1823/04/28/pdfs/GES-1823-18.pdf#page=4","Abrir facsímil")</f>
        <v>Abrir facsímil</v>
      </c>
      <c r="K698" s="3" t="s">
        <v>23</v>
      </c>
    </row>
    <row r="699" spans="1:11" ht="42" customHeight="1">
      <c r="A699" s="2" t="s">
        <v>1650</v>
      </c>
      <c r="B699" s="2" t="s">
        <v>1650</v>
      </c>
      <c r="C699" s="2" t="s">
        <v>56</v>
      </c>
      <c r="D699" s="2" t="s">
        <v>57</v>
      </c>
      <c r="E699" s="5">
        <v>-28000</v>
      </c>
      <c r="F699" s="3" t="s">
        <v>1118</v>
      </c>
      <c r="G699" s="3" t="s">
        <v>20</v>
      </c>
      <c r="H699" s="2" t="s">
        <v>21</v>
      </c>
      <c r="I699" s="2" t="s">
        <v>1651</v>
      </c>
      <c r="J699" s="3" t="str">
        <f>HYPERLINK("https://www.boe.es/gazeta/dias/1823/05/03/pdfs/GES-1823-23.pdf#page=4","Abrir facsímil")</f>
        <v>Abrir facsímil</v>
      </c>
      <c r="K699" s="3" t="s">
        <v>23</v>
      </c>
    </row>
    <row r="700" spans="1:11" ht="42" customHeight="1">
      <c r="A700" s="2" t="s">
        <v>1652</v>
      </c>
      <c r="B700" s="2" t="s">
        <v>1652</v>
      </c>
      <c r="C700" s="2" t="s">
        <v>79</v>
      </c>
      <c r="D700" s="2" t="s">
        <v>74</v>
      </c>
      <c r="E700" s="5">
        <v>-28111</v>
      </c>
      <c r="F700" s="3" t="s">
        <v>275</v>
      </c>
      <c r="G700" s="3" t="s">
        <v>276</v>
      </c>
      <c r="H700" s="2" t="s">
        <v>21</v>
      </c>
      <c r="I700" s="2" t="s">
        <v>1653</v>
      </c>
      <c r="J700" s="3" t="str">
        <f>HYPERLINK("https://www.boe.es/gazeta/dias/1823/01/12/pdfs/GMD-1823-12.pdf#page=7","Abrir facsímil")</f>
        <v>Abrir facsímil</v>
      </c>
      <c r="K700" s="3" t="s">
        <v>23</v>
      </c>
    </row>
    <row r="701" spans="1:11" ht="42" customHeight="1">
      <c r="A701" s="2" t="s">
        <v>1652</v>
      </c>
      <c r="B701" s="2" t="s">
        <v>1652</v>
      </c>
      <c r="C701" s="2" t="s">
        <v>17</v>
      </c>
      <c r="D701" s="2" t="s">
        <v>18</v>
      </c>
      <c r="E701" s="5">
        <v>-28093</v>
      </c>
      <c r="F701" s="3" t="s">
        <v>1044</v>
      </c>
      <c r="G701" s="3" t="s">
        <v>59</v>
      </c>
      <c r="H701" s="2" t="s">
        <v>21</v>
      </c>
      <c r="I701" s="2" t="s">
        <v>1654</v>
      </c>
      <c r="J701" s="3" t="str">
        <f>HYPERLINK("https://www.boe.es/gazeta/dias/1823/01/30/pdfs/GMD-1823-31.pdf#page=6","Abrir facsímil")</f>
        <v>Abrir facsímil</v>
      </c>
      <c r="K701" s="3" t="s">
        <v>23</v>
      </c>
    </row>
    <row r="702" spans="1:11" ht="42" customHeight="1">
      <c r="A702" s="2" t="s">
        <v>1652</v>
      </c>
      <c r="B702" s="2" t="s">
        <v>1652</v>
      </c>
      <c r="C702" s="2" t="s">
        <v>109</v>
      </c>
      <c r="D702" s="2" t="s">
        <v>74</v>
      </c>
      <c r="E702" s="5">
        <v>-28061</v>
      </c>
      <c r="F702" s="3" t="s">
        <v>704</v>
      </c>
      <c r="G702" s="3" t="s">
        <v>39</v>
      </c>
      <c r="H702" s="2" t="s">
        <v>21</v>
      </c>
      <c r="I702" s="2" t="s">
        <v>1655</v>
      </c>
      <c r="J702" s="3" t="str">
        <f>HYPERLINK("https://www.boe.es/gazeta/dias/1823/03/03/pdfs/GMD-1823-66.pdf#page=1","Abrir facsímil")</f>
        <v>Abrir facsímil</v>
      </c>
      <c r="K702" s="3" t="s">
        <v>23</v>
      </c>
    </row>
    <row r="703" spans="1:11" ht="42" customHeight="1">
      <c r="A703" s="2" t="s">
        <v>1652</v>
      </c>
      <c r="B703" s="2" t="s">
        <v>1652</v>
      </c>
      <c r="C703" s="2" t="s">
        <v>73</v>
      </c>
      <c r="D703" s="2" t="s">
        <v>74</v>
      </c>
      <c r="E703" s="5">
        <v>-28059</v>
      </c>
      <c r="F703" s="3" t="s">
        <v>149</v>
      </c>
      <c r="G703" s="3" t="s">
        <v>48</v>
      </c>
      <c r="H703" s="2" t="s">
        <v>21</v>
      </c>
      <c r="I703" s="2" t="s">
        <v>1656</v>
      </c>
      <c r="J703" s="3" t="str">
        <f>HYPERLINK("https://www.boe.es/gazeta/dias/1823/03/05/pdfs/GMD-1823-68.pdf#page=3","Abrir facsímil")</f>
        <v>Abrir facsímil</v>
      </c>
      <c r="K703" s="3" t="s">
        <v>23</v>
      </c>
    </row>
    <row r="704" spans="1:11" ht="42" customHeight="1">
      <c r="A704" s="2" t="s">
        <v>1652</v>
      </c>
      <c r="B704" s="2" t="s">
        <v>1652</v>
      </c>
      <c r="C704" s="2" t="s">
        <v>56</v>
      </c>
      <c r="D704" s="2" t="s">
        <v>57</v>
      </c>
      <c r="E704" s="5">
        <v>-28058</v>
      </c>
      <c r="F704" s="3" t="s">
        <v>1282</v>
      </c>
      <c r="G704" s="3" t="s">
        <v>34</v>
      </c>
      <c r="H704" s="2" t="s">
        <v>21</v>
      </c>
      <c r="I704" s="2" t="s">
        <v>1657</v>
      </c>
      <c r="J704" s="3" t="str">
        <f>HYPERLINK("https://www.boe.es/gazeta/dias/1823/03/06/pdfs/GMD-1823-69.pdf#page=5","Abrir facsímil")</f>
        <v>Abrir facsímil</v>
      </c>
      <c r="K704" s="3" t="s">
        <v>23</v>
      </c>
    </row>
    <row r="705" spans="1:11" ht="42" customHeight="1">
      <c r="A705" s="2" t="s">
        <v>1652</v>
      </c>
      <c r="B705" s="2" t="s">
        <v>1652</v>
      </c>
      <c r="C705" s="2" t="s">
        <v>56</v>
      </c>
      <c r="D705" s="2" t="s">
        <v>57</v>
      </c>
      <c r="E705" s="5">
        <v>-28037</v>
      </c>
      <c r="F705" s="3" t="s">
        <v>192</v>
      </c>
      <c r="G705" s="3" t="s">
        <v>48</v>
      </c>
      <c r="H705" s="2" t="s">
        <v>21</v>
      </c>
      <c r="I705" s="2" t="s">
        <v>1658</v>
      </c>
      <c r="J705" s="3" t="str">
        <f>HYPERLINK("https://www.boe.es/gazeta/dias/1823/03/27/pdfs/GMD-1823-90.pdf#page=3","Abrir facsímil")</f>
        <v>Abrir facsímil</v>
      </c>
      <c r="K705" s="3" t="s">
        <v>23</v>
      </c>
    </row>
    <row r="706" spans="1:11" ht="42" customHeight="1">
      <c r="A706" s="2" t="s">
        <v>1652</v>
      </c>
      <c r="B706" s="2" t="s">
        <v>1652</v>
      </c>
      <c r="C706" s="2" t="s">
        <v>17</v>
      </c>
      <c r="D706" s="2" t="s">
        <v>18</v>
      </c>
      <c r="E706" s="5">
        <v>-28024</v>
      </c>
      <c r="F706" s="3" t="s">
        <v>1659</v>
      </c>
      <c r="G706" s="3" t="s">
        <v>27</v>
      </c>
      <c r="H706" s="2" t="s">
        <v>21</v>
      </c>
      <c r="I706" s="2" t="s">
        <v>1660</v>
      </c>
      <c r="J706" s="3" t="str">
        <f>HYPERLINK("https://www.boe.es/gazeta/dias/1823/04/09/pdfs/GMD-1823-104.pdf#page=2","Abrir facsímil")</f>
        <v>Abrir facsímil</v>
      </c>
      <c r="K706" s="3" t="s">
        <v>23</v>
      </c>
    </row>
    <row r="707" spans="1:11" ht="42" customHeight="1">
      <c r="A707" s="2" t="s">
        <v>1652</v>
      </c>
      <c r="B707" s="2" t="s">
        <v>1652</v>
      </c>
      <c r="C707" s="2" t="s">
        <v>17</v>
      </c>
      <c r="D707" s="2" t="s">
        <v>18</v>
      </c>
      <c r="E707" s="5">
        <v>-28022</v>
      </c>
      <c r="F707" s="3" t="s">
        <v>1661</v>
      </c>
      <c r="G707" s="3" t="s">
        <v>27</v>
      </c>
      <c r="H707" s="2" t="s">
        <v>21</v>
      </c>
      <c r="I707" s="2" t="s">
        <v>1662</v>
      </c>
      <c r="J707" s="3" t="str">
        <f>HYPERLINK("https://www.boe.es/gazeta/dias/1823/04/11/pdfs/GES-1823-1.pdf#page=2","Abrir facsímil")</f>
        <v>Abrir facsímil</v>
      </c>
      <c r="K707" s="3" t="s">
        <v>23</v>
      </c>
    </row>
    <row r="708" spans="1:11" ht="42" customHeight="1">
      <c r="A708" s="2" t="s">
        <v>1652</v>
      </c>
      <c r="B708" s="2" t="s">
        <v>1652</v>
      </c>
      <c r="C708" s="2" t="s">
        <v>17</v>
      </c>
      <c r="D708" s="2" t="s">
        <v>18</v>
      </c>
      <c r="E708" s="5">
        <v>-28019</v>
      </c>
      <c r="F708" s="3" t="s">
        <v>1663</v>
      </c>
      <c r="G708" s="3" t="s">
        <v>27</v>
      </c>
      <c r="H708" s="2" t="s">
        <v>21</v>
      </c>
      <c r="I708" s="2" t="s">
        <v>1664</v>
      </c>
      <c r="J708" s="3" t="str">
        <f>HYPERLINK("https://www.boe.es/gazeta/dias/1823/04/14/pdfs/GES-1823-4.pdf#page=2","Abrir facsímil")</f>
        <v>Abrir facsímil</v>
      </c>
      <c r="K708" s="3" t="s">
        <v>23</v>
      </c>
    </row>
    <row r="709" spans="1:11" ht="42" customHeight="1">
      <c r="A709" s="2" t="s">
        <v>1652</v>
      </c>
      <c r="B709" s="2" t="s">
        <v>1652</v>
      </c>
      <c r="C709" s="2" t="s">
        <v>17</v>
      </c>
      <c r="D709" s="2" t="s">
        <v>18</v>
      </c>
      <c r="E709" s="5">
        <v>-27983</v>
      </c>
      <c r="F709" s="3" t="s">
        <v>337</v>
      </c>
      <c r="G709" s="3" t="s">
        <v>34</v>
      </c>
      <c r="H709" s="2" t="s">
        <v>21</v>
      </c>
      <c r="I709" s="2" t="s">
        <v>1665</v>
      </c>
      <c r="J709" s="3" t="str">
        <f>HYPERLINK("https://www.boe.es/gazeta/dias/1823/05/20/pdfs/GES-1823-40.pdf#page=5","Abrir facsímil")</f>
        <v>Abrir facsímil</v>
      </c>
      <c r="K709" s="3" t="s">
        <v>23</v>
      </c>
    </row>
    <row r="710" spans="1:11" ht="42" customHeight="1">
      <c r="A710" s="2" t="s">
        <v>1652</v>
      </c>
      <c r="B710" s="2" t="s">
        <v>1652</v>
      </c>
      <c r="C710" s="2" t="s">
        <v>17</v>
      </c>
      <c r="D710" s="2" t="s">
        <v>18</v>
      </c>
      <c r="E710" s="5">
        <v>-27932</v>
      </c>
      <c r="F710" s="3" t="s">
        <v>786</v>
      </c>
      <c r="G710" s="3" t="s">
        <v>715</v>
      </c>
      <c r="H710" s="2" t="s">
        <v>21</v>
      </c>
      <c r="I710" s="2" t="s">
        <v>1666</v>
      </c>
      <c r="J710" s="3" t="str">
        <f>HYPERLINK("https://www.boe.es/gazeta/dias/1823/07/10/pdfs/GMD-1823-363.pdf#page=8","Abrir facsímil")</f>
        <v>Abrir facsímil</v>
      </c>
      <c r="K710" s="3" t="s">
        <v>23</v>
      </c>
    </row>
    <row r="711" spans="1:11" ht="42" customHeight="1">
      <c r="A711" s="2" t="s">
        <v>1652</v>
      </c>
      <c r="B711" s="2" t="s">
        <v>1652</v>
      </c>
      <c r="C711" s="2" t="s">
        <v>17</v>
      </c>
      <c r="D711" s="2" t="s">
        <v>18</v>
      </c>
      <c r="E711" s="5">
        <v>-27911</v>
      </c>
      <c r="F711" s="3" t="s">
        <v>368</v>
      </c>
      <c r="G711" s="3" t="s">
        <v>39</v>
      </c>
      <c r="H711" s="2" t="s">
        <v>21</v>
      </c>
      <c r="I711" s="2" t="s">
        <v>1667</v>
      </c>
      <c r="J711" s="3" t="str">
        <f>HYPERLINK("https://www.boe.es/gazeta/dias/1823/07/31/pdfs/GES-1823-112.pdf#page=1","Abrir facsímil")</f>
        <v>Abrir facsímil</v>
      </c>
      <c r="K711" s="3" t="s">
        <v>23</v>
      </c>
    </row>
    <row r="712" spans="1:11" ht="42" customHeight="1">
      <c r="A712" s="2" t="s">
        <v>1652</v>
      </c>
      <c r="B712" s="2" t="s">
        <v>1652</v>
      </c>
      <c r="C712" s="2" t="s">
        <v>17</v>
      </c>
      <c r="D712" s="2" t="s">
        <v>117</v>
      </c>
      <c r="E712" s="5">
        <v>-27873</v>
      </c>
      <c r="F712" s="3" t="s">
        <v>1668</v>
      </c>
      <c r="G712" s="3" t="s">
        <v>27</v>
      </c>
      <c r="H712" s="2" t="s">
        <v>21</v>
      </c>
      <c r="I712" s="2" t="s">
        <v>1669</v>
      </c>
      <c r="J712" s="3" t="str">
        <f>HYPERLINK("https://www.boe.es/gazeta/dias/1823/09/07/pdfs/GMD-1823-72E.pdf#page=2","Abrir facsímil")</f>
        <v>Abrir facsímil</v>
      </c>
      <c r="K712" s="3" t="s">
        <v>23</v>
      </c>
    </row>
    <row r="713" spans="1:11" ht="42" customHeight="1">
      <c r="A713" s="2" t="s">
        <v>1652</v>
      </c>
      <c r="B713" s="2" t="s">
        <v>1652</v>
      </c>
      <c r="C713" s="2" t="s">
        <v>17</v>
      </c>
      <c r="D713" s="2" t="s">
        <v>18</v>
      </c>
      <c r="E713" s="5">
        <v>-27829</v>
      </c>
      <c r="F713" s="3" t="s">
        <v>228</v>
      </c>
      <c r="G713" s="3" t="s">
        <v>20</v>
      </c>
      <c r="H713" s="2" t="s">
        <v>21</v>
      </c>
      <c r="I713" s="2" t="s">
        <v>1670</v>
      </c>
      <c r="J713" s="3" t="str">
        <f>HYPERLINK("https://www.boe.es/gazeta/dias/1823/10/21/pdfs/GMD-1823-1003.pdf#page=4","Abrir facsímil")</f>
        <v>Abrir facsímil</v>
      </c>
      <c r="K713" s="3" t="s">
        <v>23</v>
      </c>
    </row>
    <row r="714" spans="1:11" ht="42" customHeight="1">
      <c r="A714" s="2" t="s">
        <v>1652</v>
      </c>
      <c r="B714" s="2" t="s">
        <v>1652</v>
      </c>
      <c r="C714" s="2" t="s">
        <v>17</v>
      </c>
      <c r="D714" s="2" t="s">
        <v>18</v>
      </c>
      <c r="E714" s="5">
        <v>-27783</v>
      </c>
      <c r="F714" s="3" t="s">
        <v>941</v>
      </c>
      <c r="G714" s="3" t="s">
        <v>20</v>
      </c>
      <c r="H714" s="2" t="s">
        <v>21</v>
      </c>
      <c r="I714" s="2" t="s">
        <v>1671</v>
      </c>
      <c r="J714" s="3" t="str">
        <f>HYPERLINK("https://www.boe.es/gazeta/dias/1823/12/06/pdfs/GMD-1823-1213.pdf#page=4","Abrir facsímil")</f>
        <v>Abrir facsímil</v>
      </c>
      <c r="K714" s="3" t="s">
        <v>23</v>
      </c>
    </row>
    <row r="715" spans="1:11" ht="42" customHeight="1">
      <c r="A715" s="2" t="s">
        <v>1672</v>
      </c>
      <c r="B715" s="2" t="s">
        <v>1673</v>
      </c>
      <c r="C715" s="2" t="s">
        <v>17</v>
      </c>
      <c r="D715" s="2" t="s">
        <v>18</v>
      </c>
      <c r="E715" s="5">
        <v>-28094</v>
      </c>
      <c r="F715" s="3" t="s">
        <v>93</v>
      </c>
      <c r="G715" s="3" t="s">
        <v>27</v>
      </c>
      <c r="H715" s="2" t="s">
        <v>21</v>
      </c>
      <c r="I715" s="2" t="s">
        <v>1674</v>
      </c>
      <c r="J715" s="3" t="str">
        <f>HYPERLINK("https://www.boe.es/gazeta/dias/1823/01/29/pdfs/GMD-1823-30.pdf#page=2","Abrir facsímil")</f>
        <v>Abrir facsímil</v>
      </c>
      <c r="K715" s="3" t="s">
        <v>23</v>
      </c>
    </row>
    <row r="716" spans="1:11" ht="42" customHeight="1">
      <c r="A716" s="2" t="s">
        <v>1672</v>
      </c>
      <c r="B716" s="2" t="s">
        <v>1673</v>
      </c>
      <c r="C716" s="2" t="s">
        <v>17</v>
      </c>
      <c r="D716" s="2" t="s">
        <v>18</v>
      </c>
      <c r="E716" s="5">
        <v>-28060</v>
      </c>
      <c r="F716" s="3" t="s">
        <v>180</v>
      </c>
      <c r="G716" s="3" t="s">
        <v>181</v>
      </c>
      <c r="H716" s="2" t="s">
        <v>21</v>
      </c>
      <c r="I716" s="2" t="s">
        <v>1675</v>
      </c>
      <c r="J716" s="3" t="str">
        <f>HYPERLINK("https://www.boe.es/gazeta/dias/1823/03/04/pdfs/GMD-1823-67.pdf#page=6","Abrir facsímil")</f>
        <v>Abrir facsímil</v>
      </c>
      <c r="K716" s="3" t="s">
        <v>23</v>
      </c>
    </row>
    <row r="717" spans="1:11" ht="42" customHeight="1">
      <c r="A717" s="2" t="s">
        <v>1672</v>
      </c>
      <c r="B717" s="2" t="s">
        <v>1673</v>
      </c>
      <c r="C717" s="2" t="s">
        <v>56</v>
      </c>
      <c r="D717" s="2" t="s">
        <v>57</v>
      </c>
      <c r="E717" s="5">
        <v>-27968</v>
      </c>
      <c r="F717" s="3" t="s">
        <v>1160</v>
      </c>
      <c r="G717" s="3" t="s">
        <v>1676</v>
      </c>
      <c r="H717" s="2" t="s">
        <v>21</v>
      </c>
      <c r="I717" s="2" t="s">
        <v>1677</v>
      </c>
      <c r="J717" s="3" t="str">
        <f>HYPERLINK("https://www.boe.es/gazeta/dias/1823/06/04/pdfs/GES-1823-58.pdf#page=6","Abrir facsímil")</f>
        <v>Abrir facsímil</v>
      </c>
      <c r="K717" s="3" t="s">
        <v>23</v>
      </c>
    </row>
    <row r="718" spans="1:11" ht="42" customHeight="1">
      <c r="A718" s="2" t="s">
        <v>1672</v>
      </c>
      <c r="B718" s="2" t="s">
        <v>1673</v>
      </c>
      <c r="C718" s="2" t="s">
        <v>17</v>
      </c>
      <c r="D718" s="2" t="s">
        <v>18</v>
      </c>
      <c r="E718" s="5">
        <v>-27884</v>
      </c>
      <c r="F718" s="3" t="s">
        <v>61</v>
      </c>
      <c r="G718" s="3" t="s">
        <v>27</v>
      </c>
      <c r="H718" s="2" t="s">
        <v>21</v>
      </c>
      <c r="I718" s="2" t="s">
        <v>1678</v>
      </c>
      <c r="J718" s="3" t="str">
        <f>HYPERLINK("https://www.boe.es/gazeta/dias/1823/08/27/pdfs/GES-1823-140.pdf#page=2","Abrir facsímil")</f>
        <v>Abrir facsímil</v>
      </c>
      <c r="K718" s="3" t="s">
        <v>23</v>
      </c>
    </row>
    <row r="719" spans="1:11" ht="42" customHeight="1">
      <c r="A719" s="2" t="s">
        <v>1679</v>
      </c>
      <c r="B719" s="2" t="s">
        <v>1680</v>
      </c>
      <c r="C719" s="2" t="s">
        <v>17</v>
      </c>
      <c r="D719" s="2" t="s">
        <v>18</v>
      </c>
      <c r="E719" s="5">
        <v>-28064</v>
      </c>
      <c r="F719" s="3" t="s">
        <v>1190</v>
      </c>
      <c r="G719" s="3" t="s">
        <v>20</v>
      </c>
      <c r="H719" s="2" t="s">
        <v>21</v>
      </c>
      <c r="I719" s="2" t="s">
        <v>1681</v>
      </c>
      <c r="J719" s="3" t="str">
        <f>HYPERLINK("https://www.boe.es/gazeta/dias/1823/02/28/pdfs/GMD-1823-62.pdf#page=4","Abrir facsímil")</f>
        <v>Abrir facsímil</v>
      </c>
      <c r="K719" s="3" t="s">
        <v>23</v>
      </c>
    </row>
    <row r="720" spans="1:11" ht="42" customHeight="1">
      <c r="A720" s="2" t="s">
        <v>1682</v>
      </c>
      <c r="B720" s="2" t="s">
        <v>1683</v>
      </c>
      <c r="C720" s="2" t="s">
        <v>17</v>
      </c>
      <c r="D720" s="2" t="s">
        <v>18</v>
      </c>
      <c r="E720" s="5">
        <v>-27783</v>
      </c>
      <c r="F720" s="3" t="s">
        <v>941</v>
      </c>
      <c r="G720" s="3" t="s">
        <v>20</v>
      </c>
      <c r="H720" s="2" t="s">
        <v>21</v>
      </c>
      <c r="I720" s="2" t="s">
        <v>1684</v>
      </c>
      <c r="J720" s="3" t="str">
        <f>HYPERLINK("https://www.boe.es/gazeta/dias/1823/12/06/pdfs/GMD-1823-1213.pdf#page=4","Abrir facsímil")</f>
        <v>Abrir facsímil</v>
      </c>
      <c r="K720" s="3" t="s">
        <v>23</v>
      </c>
    </row>
    <row r="721" spans="1:11" ht="42" customHeight="1">
      <c r="A721" s="2" t="s">
        <v>1685</v>
      </c>
      <c r="B721" s="2" t="s">
        <v>1686</v>
      </c>
      <c r="C721" s="2" t="s">
        <v>17</v>
      </c>
      <c r="D721" s="2" t="s">
        <v>18</v>
      </c>
      <c r="E721" s="5">
        <v>-28043</v>
      </c>
      <c r="F721" s="3" t="s">
        <v>69</v>
      </c>
      <c r="G721" s="3" t="s">
        <v>48</v>
      </c>
      <c r="H721" s="2" t="s">
        <v>21</v>
      </c>
      <c r="I721" s="2" t="s">
        <v>1687</v>
      </c>
      <c r="J721" s="3" t="str">
        <f>HYPERLINK("https://www.boe.es/gazeta/dias/1823/03/21/pdfs/GMD-1823-84.pdf#page=3","Abrir facsímil")</f>
        <v>Abrir facsímil</v>
      </c>
      <c r="K721" s="3" t="s">
        <v>23</v>
      </c>
    </row>
    <row r="722" spans="1:11" ht="42" customHeight="1">
      <c r="A722" s="2" t="s">
        <v>1688</v>
      </c>
      <c r="B722" s="2" t="s">
        <v>1688</v>
      </c>
      <c r="C722" s="2" t="s">
        <v>17</v>
      </c>
      <c r="D722" s="2" t="s">
        <v>18</v>
      </c>
      <c r="E722" s="5">
        <v>-28099</v>
      </c>
      <c r="F722" s="3" t="s">
        <v>1689</v>
      </c>
      <c r="G722" s="3" t="s">
        <v>48</v>
      </c>
      <c r="H722" s="2" t="s">
        <v>21</v>
      </c>
      <c r="I722" s="2" t="s">
        <v>1690</v>
      </c>
      <c r="J722" s="3" t="str">
        <f>HYPERLINK("https://www.boe.es/gazeta/dias/1823/01/24/pdfs/GMD-1823-25.pdf#page=3","Abrir facsímil")</f>
        <v>Abrir facsímil</v>
      </c>
      <c r="K722" s="3" t="s">
        <v>23</v>
      </c>
    </row>
    <row r="723" spans="1:11" ht="42" customHeight="1">
      <c r="A723" s="2" t="s">
        <v>1691</v>
      </c>
      <c r="B723" s="2" t="s">
        <v>1692</v>
      </c>
      <c r="C723" s="2" t="s">
        <v>73</v>
      </c>
      <c r="D723" s="2" t="s">
        <v>74</v>
      </c>
      <c r="E723" s="5">
        <v>-27762</v>
      </c>
      <c r="F723" s="3" t="s">
        <v>1614</v>
      </c>
      <c r="G723" s="3" t="s">
        <v>20</v>
      </c>
      <c r="H723" s="2" t="s">
        <v>21</v>
      </c>
      <c r="I723" s="2" t="s">
        <v>1693</v>
      </c>
      <c r="J723" s="3" t="str">
        <f>HYPERLINK("https://www.boe.es/gazeta/dias/1823/12/27/pdfs/GMD-1823-1303.pdf#page=4","Abrir facsímil")</f>
        <v>Abrir facsímil</v>
      </c>
      <c r="K723" s="3" t="s">
        <v>23</v>
      </c>
    </row>
    <row r="724" spans="1:11" ht="42" customHeight="1">
      <c r="A724" s="2" t="s">
        <v>1694</v>
      </c>
      <c r="B724" s="2" t="s">
        <v>1694</v>
      </c>
      <c r="C724" s="2" t="s">
        <v>17</v>
      </c>
      <c r="D724" s="2" t="s">
        <v>18</v>
      </c>
      <c r="E724" s="5">
        <v>-28104</v>
      </c>
      <c r="F724" s="3" t="s">
        <v>114</v>
      </c>
      <c r="G724" s="3" t="s">
        <v>39</v>
      </c>
      <c r="H724" s="2" t="s">
        <v>21</v>
      </c>
      <c r="I724" s="2" t="s">
        <v>1695</v>
      </c>
      <c r="J724" s="3" t="str">
        <f>HYPERLINK("https://www.boe.es/gazeta/dias/1823/01/19/pdfs/GMD-1823-19.pdf#page=1","Abrir facsímil")</f>
        <v>Abrir facsímil</v>
      </c>
      <c r="K724" s="3" t="s">
        <v>23</v>
      </c>
    </row>
    <row r="725" spans="1:11" ht="42" customHeight="1">
      <c r="A725" s="2" t="s">
        <v>1694</v>
      </c>
      <c r="B725" s="2" t="s">
        <v>1694</v>
      </c>
      <c r="C725" s="2" t="s">
        <v>84</v>
      </c>
      <c r="D725" s="2" t="s">
        <v>74</v>
      </c>
      <c r="E725" s="5">
        <v>-28009</v>
      </c>
      <c r="F725" s="3" t="s">
        <v>307</v>
      </c>
      <c r="G725" s="3" t="s">
        <v>34</v>
      </c>
      <c r="H725" s="2" t="s">
        <v>21</v>
      </c>
      <c r="I725" s="2" t="s">
        <v>1696</v>
      </c>
      <c r="J725" s="3" t="str">
        <f>HYPERLINK("https://www.boe.es/gazeta/dias/1823/04/24/pdfs/GES-1823-14.pdf#page=5","Abrir facsímil")</f>
        <v>Abrir facsímil</v>
      </c>
      <c r="K725" s="3" t="s">
        <v>23</v>
      </c>
    </row>
    <row r="726" spans="1:11" ht="42" customHeight="1">
      <c r="A726" s="2" t="s">
        <v>1694</v>
      </c>
      <c r="B726" s="2" t="s">
        <v>1694</v>
      </c>
      <c r="C726" s="2" t="s">
        <v>17</v>
      </c>
      <c r="D726" s="2" t="s">
        <v>18</v>
      </c>
      <c r="E726" s="5">
        <v>-27975</v>
      </c>
      <c r="F726" s="3" t="s">
        <v>47</v>
      </c>
      <c r="G726" s="3" t="s">
        <v>48</v>
      </c>
      <c r="H726" s="2" t="s">
        <v>21</v>
      </c>
      <c r="I726" s="2" t="s">
        <v>1697</v>
      </c>
      <c r="J726" s="3" t="str">
        <f>HYPERLINK("https://www.boe.es/gazeta/dias/1823/05/28/pdfs/GES-1823-50.pdf#page=3","Abrir facsímil")</f>
        <v>Abrir facsímil</v>
      </c>
      <c r="K726" s="3" t="s">
        <v>23</v>
      </c>
    </row>
    <row r="727" spans="1:11" ht="42" customHeight="1">
      <c r="A727" s="2" t="s">
        <v>1698</v>
      </c>
      <c r="B727" s="2" t="s">
        <v>1698</v>
      </c>
      <c r="C727" s="2" t="s">
        <v>56</v>
      </c>
      <c r="D727" s="2" t="s">
        <v>117</v>
      </c>
      <c r="E727" s="5">
        <v>-27970</v>
      </c>
      <c r="F727" s="3" t="s">
        <v>1699</v>
      </c>
      <c r="G727" s="3" t="s">
        <v>39</v>
      </c>
      <c r="H727" s="2" t="s">
        <v>21</v>
      </c>
      <c r="I727" s="2" t="s">
        <v>1700</v>
      </c>
      <c r="J727" s="3" t="str">
        <f>HYPERLINK("https://www.boe.es/gazeta/dias/1823/06/02/pdfs/GMD-1823-43E.pdf#page=1","Abrir facsímil")</f>
        <v>Abrir facsímil</v>
      </c>
      <c r="K727" s="3" t="s">
        <v>23</v>
      </c>
    </row>
    <row r="728" spans="1:11" ht="42" customHeight="1">
      <c r="A728" s="2" t="s">
        <v>1701</v>
      </c>
      <c r="B728" s="2" t="s">
        <v>1702</v>
      </c>
      <c r="C728" s="2" t="s">
        <v>17</v>
      </c>
      <c r="D728" s="2" t="s">
        <v>18</v>
      </c>
      <c r="E728" s="5">
        <v>-28030</v>
      </c>
      <c r="F728" s="3" t="s">
        <v>145</v>
      </c>
      <c r="G728" s="3" t="s">
        <v>48</v>
      </c>
      <c r="H728" s="2" t="s">
        <v>21</v>
      </c>
      <c r="I728" s="2" t="s">
        <v>1703</v>
      </c>
      <c r="J728" s="3" t="str">
        <f>HYPERLINK("https://www.boe.es/gazeta/dias/1823/04/03/pdfs/GMD-1823-97.pdf#page=3","Abrir facsímil")</f>
        <v>Abrir facsímil</v>
      </c>
      <c r="K728" s="3" t="s">
        <v>23</v>
      </c>
    </row>
    <row r="729" spans="1:11" ht="42" customHeight="1">
      <c r="A729" s="2" t="s">
        <v>1704</v>
      </c>
      <c r="B729" s="2" t="s">
        <v>1705</v>
      </c>
      <c r="C729" s="2" t="s">
        <v>17</v>
      </c>
      <c r="D729" s="2" t="s">
        <v>18</v>
      </c>
      <c r="E729" s="5">
        <v>-28080</v>
      </c>
      <c r="F729" s="3" t="s">
        <v>1010</v>
      </c>
      <c r="G729" s="3" t="s">
        <v>48</v>
      </c>
      <c r="H729" s="2" t="s">
        <v>21</v>
      </c>
      <c r="I729" s="2" t="s">
        <v>1706</v>
      </c>
      <c r="J729" s="3" t="str">
        <f>HYPERLINK("https://www.boe.es/gazeta/dias/1823/02/12/pdfs/GMD-1823-46.pdf#page=3","Abrir facsímil")</f>
        <v>Abrir facsímil</v>
      </c>
      <c r="K729" s="3" t="s">
        <v>23</v>
      </c>
    </row>
    <row r="730" spans="1:11" ht="42" customHeight="1">
      <c r="A730" s="2" t="s">
        <v>1707</v>
      </c>
      <c r="B730" s="2" t="s">
        <v>1707</v>
      </c>
      <c r="C730" s="2" t="s">
        <v>17</v>
      </c>
      <c r="D730" s="2" t="s">
        <v>117</v>
      </c>
      <c r="E730" s="5">
        <v>-27873</v>
      </c>
      <c r="F730" s="3" t="s">
        <v>1668</v>
      </c>
      <c r="G730" s="3" t="s">
        <v>27</v>
      </c>
      <c r="H730" s="2" t="s">
        <v>21</v>
      </c>
      <c r="I730" s="2" t="s">
        <v>1708</v>
      </c>
      <c r="J730" s="3" t="str">
        <f>HYPERLINK("https://www.boe.es/gazeta/dias/1823/09/07/pdfs/GMD-1823-72E.pdf#page=2","Abrir facsímil")</f>
        <v>Abrir facsímil</v>
      </c>
      <c r="K730" s="3" t="s">
        <v>23</v>
      </c>
    </row>
    <row r="731" spans="1:11" ht="42" customHeight="1">
      <c r="A731" s="2" t="s">
        <v>1709</v>
      </c>
      <c r="B731" s="2" t="s">
        <v>1709</v>
      </c>
      <c r="C731" s="2" t="s">
        <v>17</v>
      </c>
      <c r="D731" s="2" t="s">
        <v>18</v>
      </c>
      <c r="E731" s="5">
        <v>-28108</v>
      </c>
      <c r="F731" s="3" t="s">
        <v>406</v>
      </c>
      <c r="G731" s="3" t="s">
        <v>1710</v>
      </c>
      <c r="H731" s="2" t="s">
        <v>21</v>
      </c>
      <c r="I731" s="2" t="s">
        <v>1711</v>
      </c>
      <c r="J731" s="3" t="str">
        <f>HYPERLINK("https://www.boe.es/gazeta/dias/1823/01/15/pdfs/GMD-1823-15.pdf#page=3","Abrir facsímil")</f>
        <v>Abrir facsímil</v>
      </c>
      <c r="K731" s="3" t="s">
        <v>23</v>
      </c>
    </row>
    <row r="732" spans="1:11" ht="42" customHeight="1">
      <c r="A732" s="2" t="s">
        <v>1709</v>
      </c>
      <c r="B732" s="2" t="s">
        <v>1709</v>
      </c>
      <c r="C732" s="2" t="s">
        <v>17</v>
      </c>
      <c r="D732" s="2" t="s">
        <v>18</v>
      </c>
      <c r="E732" s="5">
        <v>-28104</v>
      </c>
      <c r="F732" s="3" t="s">
        <v>114</v>
      </c>
      <c r="G732" s="3" t="s">
        <v>34</v>
      </c>
      <c r="H732" s="2" t="s">
        <v>21</v>
      </c>
      <c r="I732" s="2" t="s">
        <v>1712</v>
      </c>
      <c r="J732" s="3" t="str">
        <f>HYPERLINK("https://www.boe.es/gazeta/dias/1823/01/19/pdfs/GMD-1823-19.pdf#page=5","Abrir facsímil")</f>
        <v>Abrir facsímil</v>
      </c>
      <c r="K732" s="3" t="s">
        <v>23</v>
      </c>
    </row>
    <row r="733" spans="1:11" ht="42" customHeight="1">
      <c r="A733" s="2" t="s">
        <v>1709</v>
      </c>
      <c r="B733" s="2" t="s">
        <v>1709</v>
      </c>
      <c r="C733" s="2" t="s">
        <v>17</v>
      </c>
      <c r="D733" s="2" t="s">
        <v>18</v>
      </c>
      <c r="E733" s="5">
        <v>-28093</v>
      </c>
      <c r="F733" s="3" t="s">
        <v>1044</v>
      </c>
      <c r="G733" s="3" t="s">
        <v>59</v>
      </c>
      <c r="H733" s="2" t="s">
        <v>21</v>
      </c>
      <c r="I733" s="2" t="s">
        <v>1713</v>
      </c>
      <c r="J733" s="3" t="str">
        <f>HYPERLINK("https://www.boe.es/gazeta/dias/1823/01/30/pdfs/GMD-1823-31.pdf#page=6","Abrir facsímil")</f>
        <v>Abrir facsímil</v>
      </c>
      <c r="K733" s="3" t="s">
        <v>23</v>
      </c>
    </row>
    <row r="734" spans="1:11" ht="42" customHeight="1">
      <c r="A734" s="2" t="s">
        <v>1709</v>
      </c>
      <c r="B734" s="2" t="s">
        <v>1709</v>
      </c>
      <c r="C734" s="2" t="s">
        <v>79</v>
      </c>
      <c r="D734" s="2" t="s">
        <v>74</v>
      </c>
      <c r="E734" s="5">
        <v>-28090</v>
      </c>
      <c r="F734" s="3" t="s">
        <v>174</v>
      </c>
      <c r="G734" s="3" t="s">
        <v>48</v>
      </c>
      <c r="H734" s="2" t="s">
        <v>21</v>
      </c>
      <c r="I734" s="2" t="s">
        <v>1714</v>
      </c>
      <c r="J734" s="3" t="str">
        <f>HYPERLINK("https://www.boe.es/gazeta/dias/1823/02/02/pdfs/GMD-1823-35.pdf#page=3","Abrir facsímil")</f>
        <v>Abrir facsímil</v>
      </c>
      <c r="K734" s="3" t="s">
        <v>23</v>
      </c>
    </row>
    <row r="735" spans="1:11" ht="42" customHeight="1">
      <c r="A735" s="2" t="s">
        <v>1709</v>
      </c>
      <c r="B735" s="2" t="s">
        <v>1709</v>
      </c>
      <c r="C735" s="2" t="s">
        <v>17</v>
      </c>
      <c r="D735" s="2" t="s">
        <v>18</v>
      </c>
      <c r="E735" s="5">
        <v>-28090</v>
      </c>
      <c r="F735" s="3" t="s">
        <v>174</v>
      </c>
      <c r="G735" s="3" t="s">
        <v>20</v>
      </c>
      <c r="H735" s="2" t="s">
        <v>21</v>
      </c>
      <c r="I735" s="2" t="s">
        <v>1715</v>
      </c>
      <c r="J735" s="3" t="str">
        <f>HYPERLINK("https://www.boe.es/gazeta/dias/1823/02/02/pdfs/GMD-1823-35.pdf#page=4","Abrir facsímil")</f>
        <v>Abrir facsímil</v>
      </c>
      <c r="K735" s="3" t="s">
        <v>23</v>
      </c>
    </row>
    <row r="736" spans="1:11" ht="42" customHeight="1">
      <c r="A736" s="2" t="s">
        <v>1709</v>
      </c>
      <c r="B736" s="2" t="s">
        <v>1709</v>
      </c>
      <c r="C736" s="2" t="s">
        <v>79</v>
      </c>
      <c r="D736" s="2" t="s">
        <v>74</v>
      </c>
      <c r="E736" s="5">
        <v>-28088</v>
      </c>
      <c r="F736" s="3" t="s">
        <v>542</v>
      </c>
      <c r="G736" s="3" t="s">
        <v>20</v>
      </c>
      <c r="H736" s="2" t="s">
        <v>21</v>
      </c>
      <c r="I736" s="2" t="s">
        <v>1716</v>
      </c>
      <c r="J736" s="3" t="str">
        <f>HYPERLINK("https://www.boe.es/gazeta/dias/1823/02/04/pdfs/GMD-1823-37.pdf#page=4","Abrir facsímil")</f>
        <v>Abrir facsímil</v>
      </c>
      <c r="K736" s="3" t="s">
        <v>23</v>
      </c>
    </row>
    <row r="737" spans="1:11" ht="42" customHeight="1">
      <c r="A737" s="2" t="s">
        <v>1709</v>
      </c>
      <c r="B737" s="2" t="s">
        <v>1709</v>
      </c>
      <c r="C737" s="2" t="s">
        <v>17</v>
      </c>
      <c r="D737" s="2" t="s">
        <v>18</v>
      </c>
      <c r="E737" s="5">
        <v>-28080</v>
      </c>
      <c r="F737" s="3" t="s">
        <v>1010</v>
      </c>
      <c r="G737" s="3" t="s">
        <v>1382</v>
      </c>
      <c r="H737" s="2" t="s">
        <v>21</v>
      </c>
      <c r="I737" s="2" t="s">
        <v>1717</v>
      </c>
      <c r="J737" s="3" t="str">
        <f>HYPERLINK("https://www.boe.es/gazeta/dias/1823/02/12/pdfs/GMD-1823-46.pdf#page=4","Abrir facsímil")</f>
        <v>Abrir facsímil</v>
      </c>
      <c r="K737" s="3" t="s">
        <v>23</v>
      </c>
    </row>
    <row r="738" spans="1:11" ht="42" customHeight="1">
      <c r="A738" s="2" t="s">
        <v>1709</v>
      </c>
      <c r="B738" s="2" t="s">
        <v>1709</v>
      </c>
      <c r="C738" s="2" t="s">
        <v>17</v>
      </c>
      <c r="D738" s="2" t="s">
        <v>18</v>
      </c>
      <c r="E738" s="5">
        <v>-28078</v>
      </c>
      <c r="F738" s="3" t="s">
        <v>508</v>
      </c>
      <c r="G738" s="3" t="s">
        <v>59</v>
      </c>
      <c r="H738" s="2" t="s">
        <v>21</v>
      </c>
      <c r="I738" s="2" t="s">
        <v>1718</v>
      </c>
      <c r="J738" s="3" t="str">
        <f>HYPERLINK("https://www.boe.es/gazeta/dias/1823/02/14/pdfs/GMD-1823-48.pdf#page=6","Abrir facsímil")</f>
        <v>Abrir facsímil</v>
      </c>
      <c r="K738" s="3" t="s">
        <v>23</v>
      </c>
    </row>
    <row r="739" spans="1:11" ht="42" customHeight="1">
      <c r="A739" s="2" t="s">
        <v>1709</v>
      </c>
      <c r="B739" s="2" t="s">
        <v>1709</v>
      </c>
      <c r="C739" s="2" t="s">
        <v>17</v>
      </c>
      <c r="D739" s="2" t="s">
        <v>18</v>
      </c>
      <c r="E739" s="5">
        <v>-28070</v>
      </c>
      <c r="F739" s="3" t="s">
        <v>972</v>
      </c>
      <c r="G739" s="3" t="s">
        <v>20</v>
      </c>
      <c r="H739" s="2" t="s">
        <v>21</v>
      </c>
      <c r="I739" s="2" t="s">
        <v>1719</v>
      </c>
      <c r="J739" s="3" t="str">
        <f>HYPERLINK("https://www.boe.es/gazeta/dias/1823/02/22/pdfs/GMD-1823-56.pdf#page=4","Abrir facsímil")</f>
        <v>Abrir facsímil</v>
      </c>
      <c r="K739" s="3" t="s">
        <v>23</v>
      </c>
    </row>
    <row r="740" spans="1:11" ht="42" customHeight="1">
      <c r="A740" s="2" t="s">
        <v>1709</v>
      </c>
      <c r="B740" s="2" t="s">
        <v>1709</v>
      </c>
      <c r="C740" s="2" t="s">
        <v>17</v>
      </c>
      <c r="D740" s="2" t="s">
        <v>18</v>
      </c>
      <c r="E740" s="5">
        <v>-28068</v>
      </c>
      <c r="F740" s="3" t="s">
        <v>1325</v>
      </c>
      <c r="G740" s="3" t="s">
        <v>20</v>
      </c>
      <c r="H740" s="2" t="s">
        <v>21</v>
      </c>
      <c r="I740" s="2" t="s">
        <v>1720</v>
      </c>
      <c r="J740" s="3" t="str">
        <f>HYPERLINK("https://www.boe.es/gazeta/dias/1823/02/24/pdfs/GMD-1823-58.pdf#page=4","Abrir facsímil")</f>
        <v>Abrir facsímil</v>
      </c>
      <c r="K740" s="3" t="s">
        <v>23</v>
      </c>
    </row>
    <row r="741" spans="1:11" ht="42" customHeight="1">
      <c r="A741" s="2" t="s">
        <v>1709</v>
      </c>
      <c r="B741" s="2" t="s">
        <v>1709</v>
      </c>
      <c r="C741" s="2" t="s">
        <v>17</v>
      </c>
      <c r="D741" s="2" t="s">
        <v>18</v>
      </c>
      <c r="E741" s="5">
        <v>-28062</v>
      </c>
      <c r="F741" s="3" t="s">
        <v>1357</v>
      </c>
      <c r="G741" s="3" t="s">
        <v>27</v>
      </c>
      <c r="H741" s="2" t="s">
        <v>21</v>
      </c>
      <c r="I741" s="2" t="s">
        <v>1721</v>
      </c>
      <c r="J741" s="3" t="str">
        <f>HYPERLINK("https://www.boe.es/gazeta/dias/1823/03/02/pdfs/GMD-1823-65.pdf#page=2","Abrir facsímil")</f>
        <v>Abrir facsímil</v>
      </c>
      <c r="K741" s="3" t="s">
        <v>23</v>
      </c>
    </row>
    <row r="742" spans="1:11" ht="42" customHeight="1">
      <c r="A742" s="2" t="s">
        <v>1709</v>
      </c>
      <c r="B742" s="2" t="s">
        <v>1709</v>
      </c>
      <c r="C742" s="2" t="s">
        <v>17</v>
      </c>
      <c r="D742" s="2" t="s">
        <v>18</v>
      </c>
      <c r="E742" s="5">
        <v>-28062</v>
      </c>
      <c r="F742" s="3" t="s">
        <v>1357</v>
      </c>
      <c r="G742" s="3" t="s">
        <v>20</v>
      </c>
      <c r="H742" s="2" t="s">
        <v>21</v>
      </c>
      <c r="I742" s="2" t="s">
        <v>1722</v>
      </c>
      <c r="J742" s="3" t="str">
        <f>HYPERLINK("https://www.boe.es/gazeta/dias/1823/03/02/pdfs/GMD-1823-65.pdf#page=4","Abrir facsímil")</f>
        <v>Abrir facsímil</v>
      </c>
      <c r="K742" s="3" t="s">
        <v>23</v>
      </c>
    </row>
    <row r="743" spans="1:11" ht="42" customHeight="1">
      <c r="A743" s="2" t="s">
        <v>1709</v>
      </c>
      <c r="B743" s="2" t="s">
        <v>1709</v>
      </c>
      <c r="C743" s="2" t="s">
        <v>56</v>
      </c>
      <c r="D743" s="2" t="s">
        <v>57</v>
      </c>
      <c r="E743" s="5">
        <v>-28058</v>
      </c>
      <c r="F743" s="3" t="s">
        <v>1282</v>
      </c>
      <c r="G743" s="3" t="s">
        <v>34</v>
      </c>
      <c r="H743" s="2" t="s">
        <v>21</v>
      </c>
      <c r="I743" s="2" t="s">
        <v>1723</v>
      </c>
      <c r="J743" s="3" t="str">
        <f>HYPERLINK("https://www.boe.es/gazeta/dias/1823/03/06/pdfs/GMD-1823-69.pdf#page=5","Abrir facsímil")</f>
        <v>Abrir facsímil</v>
      </c>
      <c r="K743" s="3" t="s">
        <v>23</v>
      </c>
    </row>
    <row r="744" spans="1:11" ht="42" customHeight="1">
      <c r="A744" s="2" t="s">
        <v>1709</v>
      </c>
      <c r="B744" s="2" t="s">
        <v>1709</v>
      </c>
      <c r="C744" s="2" t="s">
        <v>109</v>
      </c>
      <c r="D744" s="2" t="s">
        <v>74</v>
      </c>
      <c r="E744" s="5">
        <v>-28052</v>
      </c>
      <c r="F744" s="3" t="s">
        <v>1025</v>
      </c>
      <c r="G744" s="3" t="s">
        <v>34</v>
      </c>
      <c r="H744" s="2" t="s">
        <v>21</v>
      </c>
      <c r="I744" s="2" t="s">
        <v>1724</v>
      </c>
      <c r="J744" s="3" t="str">
        <f>HYPERLINK("https://www.boe.es/gazeta/dias/1823/03/12/pdfs/GMD-1823-75.pdf#page=5","Abrir facsímil")</f>
        <v>Abrir facsímil</v>
      </c>
      <c r="K744" s="3" t="s">
        <v>23</v>
      </c>
    </row>
    <row r="745" spans="1:11" ht="42" customHeight="1">
      <c r="A745" s="2" t="s">
        <v>1709</v>
      </c>
      <c r="B745" s="2" t="s">
        <v>1709</v>
      </c>
      <c r="C745" s="2" t="s">
        <v>56</v>
      </c>
      <c r="D745" s="2" t="s">
        <v>57</v>
      </c>
      <c r="E745" s="5">
        <v>-28050</v>
      </c>
      <c r="F745" s="3" t="s">
        <v>473</v>
      </c>
      <c r="G745" s="3" t="s">
        <v>20</v>
      </c>
      <c r="H745" s="2" t="s">
        <v>21</v>
      </c>
      <c r="I745" s="2" t="s">
        <v>1725</v>
      </c>
      <c r="J745" s="3" t="str">
        <f>HYPERLINK("https://www.boe.es/gazeta/dias/1823/03/14/pdfs/GMD-1823-77.pdf#page=4","Abrir facsímil")</f>
        <v>Abrir facsímil</v>
      </c>
      <c r="K745" s="3" t="s">
        <v>23</v>
      </c>
    </row>
    <row r="746" spans="1:11" ht="42" customHeight="1">
      <c r="A746" s="2" t="s">
        <v>1709</v>
      </c>
      <c r="B746" s="2" t="s">
        <v>1709</v>
      </c>
      <c r="C746" s="2" t="s">
        <v>17</v>
      </c>
      <c r="D746" s="2" t="s">
        <v>18</v>
      </c>
      <c r="E746" s="5">
        <v>-28046</v>
      </c>
      <c r="F746" s="3" t="s">
        <v>85</v>
      </c>
      <c r="G746" s="3" t="s">
        <v>20</v>
      </c>
      <c r="H746" s="2" t="s">
        <v>21</v>
      </c>
      <c r="I746" s="2" t="s">
        <v>1726</v>
      </c>
      <c r="J746" s="3" t="str">
        <f>HYPERLINK("https://www.boe.es/gazeta/dias/1823/03/18/pdfs/GMD-1823-81.pdf#page=4","Abrir facsímil")</f>
        <v>Abrir facsímil</v>
      </c>
      <c r="K746" s="3" t="s">
        <v>23</v>
      </c>
    </row>
    <row r="747" spans="1:11" ht="42" customHeight="1">
      <c r="A747" s="2" t="s">
        <v>1709</v>
      </c>
      <c r="B747" s="2" t="s">
        <v>1709</v>
      </c>
      <c r="C747" s="2" t="s">
        <v>17</v>
      </c>
      <c r="D747" s="2" t="s">
        <v>18</v>
      </c>
      <c r="E747" s="5">
        <v>-28043</v>
      </c>
      <c r="F747" s="3" t="s">
        <v>69</v>
      </c>
      <c r="G747" s="3" t="s">
        <v>34</v>
      </c>
      <c r="H747" s="2" t="s">
        <v>21</v>
      </c>
      <c r="I747" s="2" t="s">
        <v>1727</v>
      </c>
      <c r="J747" s="3" t="str">
        <f>HYPERLINK("https://www.boe.es/gazeta/dias/1823/03/21/pdfs/GMD-1823-84.pdf#page=5","Abrir facsímil")</f>
        <v>Abrir facsímil</v>
      </c>
      <c r="K747" s="3" t="s">
        <v>23</v>
      </c>
    </row>
    <row r="748" spans="1:11" ht="42" customHeight="1">
      <c r="A748" s="2" t="s">
        <v>1709</v>
      </c>
      <c r="B748" s="2" t="s">
        <v>1709</v>
      </c>
      <c r="C748" s="2" t="s">
        <v>73</v>
      </c>
      <c r="D748" s="2" t="s">
        <v>74</v>
      </c>
      <c r="E748" s="5">
        <v>-28041</v>
      </c>
      <c r="F748" s="3" t="s">
        <v>873</v>
      </c>
      <c r="G748" s="3" t="s">
        <v>366</v>
      </c>
      <c r="H748" s="2" t="s">
        <v>21</v>
      </c>
      <c r="I748" s="2" t="s">
        <v>1728</v>
      </c>
      <c r="J748" s="3" t="str">
        <f>HYPERLINK("https://www.boe.es/gazeta/dias/1823/03/23/pdfs/GMD-1823-86.pdf#page=4","Abrir facsímil")</f>
        <v>Abrir facsímil</v>
      </c>
      <c r="K748" s="3" t="s">
        <v>23</v>
      </c>
    </row>
    <row r="749" spans="1:11" ht="42" customHeight="1">
      <c r="A749" s="2" t="s">
        <v>1709</v>
      </c>
      <c r="B749" s="2" t="s">
        <v>1709</v>
      </c>
      <c r="C749" s="2" t="s">
        <v>17</v>
      </c>
      <c r="D749" s="2" t="s">
        <v>18</v>
      </c>
      <c r="E749" s="5">
        <v>-28025</v>
      </c>
      <c r="F749" s="3" t="s">
        <v>477</v>
      </c>
      <c r="G749" s="3" t="s">
        <v>20</v>
      </c>
      <c r="H749" s="2" t="s">
        <v>21</v>
      </c>
      <c r="I749" s="2" t="s">
        <v>1729</v>
      </c>
      <c r="J749" s="3" t="str">
        <f>HYPERLINK("https://www.boe.es/gazeta/dias/1823/04/08/pdfs/GMD-1823-103.pdf#page=4","Abrir facsímil")</f>
        <v>Abrir facsímil</v>
      </c>
      <c r="K749" s="3" t="s">
        <v>23</v>
      </c>
    </row>
    <row r="750" spans="1:11" ht="42" customHeight="1">
      <c r="A750" s="2" t="s">
        <v>1709</v>
      </c>
      <c r="B750" s="2" t="s">
        <v>1709</v>
      </c>
      <c r="C750" s="2" t="s">
        <v>109</v>
      </c>
      <c r="D750" s="2" t="s">
        <v>74</v>
      </c>
      <c r="E750" s="5">
        <v>-28010</v>
      </c>
      <c r="F750" s="3" t="s">
        <v>808</v>
      </c>
      <c r="G750" s="3" t="s">
        <v>27</v>
      </c>
      <c r="H750" s="2" t="s">
        <v>21</v>
      </c>
      <c r="I750" s="2" t="s">
        <v>1730</v>
      </c>
      <c r="J750" s="3" t="str">
        <f>HYPERLINK("https://www.boe.es/gazeta/dias/1823/04/23/pdfs/GES-1823-13.pdf#page=2","Abrir facsímil")</f>
        <v>Abrir facsímil</v>
      </c>
      <c r="K750" s="3" t="s">
        <v>23</v>
      </c>
    </row>
    <row r="751" spans="1:11" ht="42" customHeight="1">
      <c r="A751" s="2" t="s">
        <v>1709</v>
      </c>
      <c r="B751" s="2" t="s">
        <v>1709</v>
      </c>
      <c r="C751" s="2" t="s">
        <v>17</v>
      </c>
      <c r="D751" s="2" t="s">
        <v>18</v>
      </c>
      <c r="E751" s="5">
        <v>-28007</v>
      </c>
      <c r="F751" s="3" t="s">
        <v>1190</v>
      </c>
      <c r="G751" s="3" t="s">
        <v>20</v>
      </c>
      <c r="H751" s="2" t="s">
        <v>21</v>
      </c>
      <c r="I751" s="2" t="s">
        <v>1731</v>
      </c>
      <c r="J751" s="3" t="str">
        <f>HYPERLINK("https://www.boe.es/gazeta/dias/1823/04/26/pdfs/GMD-1823-62.pdf#page=4","Abrir facsímil")</f>
        <v>Abrir facsímil</v>
      </c>
      <c r="K751" s="3" t="s">
        <v>23</v>
      </c>
    </row>
    <row r="752" spans="1:11" ht="42" customHeight="1">
      <c r="A752" s="2" t="s">
        <v>1709</v>
      </c>
      <c r="B752" s="2" t="s">
        <v>1709</v>
      </c>
      <c r="C752" s="2" t="s">
        <v>17</v>
      </c>
      <c r="D752" s="2" t="s">
        <v>18</v>
      </c>
      <c r="E752" s="5">
        <v>-28006</v>
      </c>
      <c r="F752" s="3" t="s">
        <v>183</v>
      </c>
      <c r="G752" s="3" t="s">
        <v>34</v>
      </c>
      <c r="H752" s="2" t="s">
        <v>21</v>
      </c>
      <c r="I752" s="2" t="s">
        <v>1732</v>
      </c>
      <c r="J752" s="3" t="str">
        <f>HYPERLINK("https://www.boe.es/gazeta/dias/1823/04/27/pdfs/GES-1823-17.pdf#page=5","Abrir facsímil")</f>
        <v>Abrir facsímil</v>
      </c>
      <c r="K752" s="3" t="s">
        <v>23</v>
      </c>
    </row>
    <row r="753" spans="1:11" ht="42" customHeight="1">
      <c r="A753" s="2" t="s">
        <v>1709</v>
      </c>
      <c r="B753" s="2" t="s">
        <v>1709</v>
      </c>
      <c r="C753" s="2" t="s">
        <v>17</v>
      </c>
      <c r="D753" s="2" t="s">
        <v>18</v>
      </c>
      <c r="E753" s="5">
        <v>-28003</v>
      </c>
      <c r="F753" s="3" t="s">
        <v>26</v>
      </c>
      <c r="G753" s="3" t="s">
        <v>27</v>
      </c>
      <c r="H753" s="2" t="s">
        <v>21</v>
      </c>
      <c r="I753" s="2" t="s">
        <v>1733</v>
      </c>
      <c r="J753" s="3" t="str">
        <f>HYPERLINK("https://www.boe.es/gazeta/dias/1823/04/30/pdfs/GES-1823-20.pdf#page=2","Abrir facsímil")</f>
        <v>Abrir facsímil</v>
      </c>
      <c r="K753" s="3" t="s">
        <v>23</v>
      </c>
    </row>
    <row r="754" spans="1:11" ht="42" customHeight="1">
      <c r="A754" s="2" t="s">
        <v>1709</v>
      </c>
      <c r="B754" s="2" t="s">
        <v>1709</v>
      </c>
      <c r="C754" s="2" t="s">
        <v>17</v>
      </c>
      <c r="D754" s="2" t="s">
        <v>18</v>
      </c>
      <c r="E754" s="5">
        <v>-28002</v>
      </c>
      <c r="F754" s="3" t="s">
        <v>315</v>
      </c>
      <c r="G754" s="3" t="s">
        <v>27</v>
      </c>
      <c r="H754" s="2" t="s">
        <v>21</v>
      </c>
      <c r="I754" s="2" t="s">
        <v>1734</v>
      </c>
      <c r="J754" s="3" t="str">
        <f>HYPERLINK("https://www.boe.es/gazeta/dias/1823/05/01/pdfs/GES-1823-21.pdf#page=2","Abrir facsímil")</f>
        <v>Abrir facsímil</v>
      </c>
      <c r="K754" s="3" t="s">
        <v>23</v>
      </c>
    </row>
    <row r="755" spans="1:11" ht="42" customHeight="1">
      <c r="A755" s="2" t="s">
        <v>1709</v>
      </c>
      <c r="B755" s="2" t="s">
        <v>1709</v>
      </c>
      <c r="C755" s="2" t="s">
        <v>17</v>
      </c>
      <c r="D755" s="2" t="s">
        <v>18</v>
      </c>
      <c r="E755" s="5">
        <v>-27999</v>
      </c>
      <c r="F755" s="3" t="s">
        <v>97</v>
      </c>
      <c r="G755" s="3" t="s">
        <v>39</v>
      </c>
      <c r="H755" s="2" t="s">
        <v>21</v>
      </c>
      <c r="I755" s="2" t="s">
        <v>1735</v>
      </c>
      <c r="J755" s="3" t="str">
        <f>HYPERLINK("https://www.boe.es/gazeta/dias/1823/05/04/pdfs/GES-1823-24.pdf#page=1","Abrir facsímil")</f>
        <v>Abrir facsímil</v>
      </c>
      <c r="K755" s="3" t="s">
        <v>23</v>
      </c>
    </row>
    <row r="756" spans="1:11" ht="42" customHeight="1">
      <c r="A756" s="2" t="s">
        <v>1709</v>
      </c>
      <c r="B756" s="2" t="s">
        <v>1709</v>
      </c>
      <c r="C756" s="2" t="s">
        <v>17</v>
      </c>
      <c r="D756" s="2" t="s">
        <v>18</v>
      </c>
      <c r="E756" s="5">
        <v>-27996</v>
      </c>
      <c r="F756" s="3" t="s">
        <v>695</v>
      </c>
      <c r="G756" s="3" t="s">
        <v>39</v>
      </c>
      <c r="H756" s="2" t="s">
        <v>21</v>
      </c>
      <c r="I756" s="2" t="s">
        <v>1736</v>
      </c>
      <c r="J756" s="3" t="str">
        <f>HYPERLINK("https://www.boe.es/gazeta/dias/1823/05/07/pdfs/GES-1823-27.pdf#page=1","Abrir facsímil")</f>
        <v>Abrir facsímil</v>
      </c>
      <c r="K756" s="3" t="s">
        <v>23</v>
      </c>
    </row>
    <row r="757" spans="1:11" ht="42" customHeight="1">
      <c r="A757" s="2" t="s">
        <v>1709</v>
      </c>
      <c r="B757" s="2" t="s">
        <v>1709</v>
      </c>
      <c r="C757" s="2" t="s">
        <v>17</v>
      </c>
      <c r="D757" s="2" t="s">
        <v>18</v>
      </c>
      <c r="E757" s="5">
        <v>-27991</v>
      </c>
      <c r="F757" s="3" t="s">
        <v>328</v>
      </c>
      <c r="G757" s="3" t="s">
        <v>34</v>
      </c>
      <c r="H757" s="2" t="s">
        <v>21</v>
      </c>
      <c r="I757" s="2" t="s">
        <v>1737</v>
      </c>
      <c r="J757" s="3" t="str">
        <f>HYPERLINK("https://www.boe.es/gazeta/dias/1823/05/12/pdfs/GES-1823-32.pdf#page=5","Abrir facsímil")</f>
        <v>Abrir facsímil</v>
      </c>
      <c r="K757" s="3" t="s">
        <v>23</v>
      </c>
    </row>
    <row r="758" spans="1:11" ht="42" customHeight="1">
      <c r="A758" s="2" t="s">
        <v>1709</v>
      </c>
      <c r="B758" s="2" t="s">
        <v>1709</v>
      </c>
      <c r="C758" s="2" t="s">
        <v>73</v>
      </c>
      <c r="D758" s="2" t="s">
        <v>74</v>
      </c>
      <c r="E758" s="5">
        <v>-27982</v>
      </c>
      <c r="F758" s="3" t="s">
        <v>340</v>
      </c>
      <c r="G758" s="3" t="s">
        <v>27</v>
      </c>
      <c r="H758" s="2" t="s">
        <v>21</v>
      </c>
      <c r="I758" s="2" t="s">
        <v>1738</v>
      </c>
      <c r="J758" s="3" t="str">
        <f>HYPERLINK("https://www.boe.es/gazeta/dias/1823/05/21/pdfs/GES-1823-42.pdf#page=2","Abrir facsímil")</f>
        <v>Abrir facsímil</v>
      </c>
      <c r="K758" s="3" t="s">
        <v>23</v>
      </c>
    </row>
    <row r="759" spans="1:11" ht="42" customHeight="1">
      <c r="A759" s="2" t="s">
        <v>1709</v>
      </c>
      <c r="B759" s="2" t="s">
        <v>1709</v>
      </c>
      <c r="C759" s="2" t="s">
        <v>73</v>
      </c>
      <c r="D759" s="2" t="s">
        <v>74</v>
      </c>
      <c r="E759" s="5">
        <v>-27978</v>
      </c>
      <c r="F759" s="3" t="s">
        <v>342</v>
      </c>
      <c r="G759" s="3" t="s">
        <v>34</v>
      </c>
      <c r="H759" s="2" t="s">
        <v>21</v>
      </c>
      <c r="I759" s="2" t="s">
        <v>1739</v>
      </c>
      <c r="J759" s="3" t="str">
        <f>HYPERLINK("https://www.boe.es/gazeta/dias/1823/05/25/pdfs/GES-1823-46.pdf#page=5","Abrir facsímil")</f>
        <v>Abrir facsímil</v>
      </c>
      <c r="K759" s="3" t="s">
        <v>23</v>
      </c>
    </row>
    <row r="760" spans="1:11" ht="42" customHeight="1">
      <c r="A760" s="2" t="s">
        <v>1709</v>
      </c>
      <c r="B760" s="2" t="s">
        <v>1709</v>
      </c>
      <c r="C760" s="2" t="s">
        <v>56</v>
      </c>
      <c r="D760" s="2" t="s">
        <v>57</v>
      </c>
      <c r="E760" s="5">
        <v>-27976</v>
      </c>
      <c r="F760" s="3" t="s">
        <v>1156</v>
      </c>
      <c r="G760" s="3" t="s">
        <v>39</v>
      </c>
      <c r="H760" s="2" t="s">
        <v>21</v>
      </c>
      <c r="I760" s="2" t="s">
        <v>1740</v>
      </c>
      <c r="J760" s="3" t="str">
        <f>HYPERLINK("https://www.boe.es/gazeta/dias/1823/05/27/pdfs/GES-1823-49.pdf#page=1","Abrir facsímil")</f>
        <v>Abrir facsímil</v>
      </c>
      <c r="K760" s="3" t="s">
        <v>23</v>
      </c>
    </row>
    <row r="761" spans="1:11" ht="42" customHeight="1">
      <c r="A761" s="2" t="s">
        <v>1709</v>
      </c>
      <c r="B761" s="2" t="s">
        <v>1709</v>
      </c>
      <c r="C761" s="2" t="s">
        <v>17</v>
      </c>
      <c r="D761" s="2" t="s">
        <v>18</v>
      </c>
      <c r="E761" s="5">
        <v>-27964</v>
      </c>
      <c r="F761" s="3" t="s">
        <v>58</v>
      </c>
      <c r="G761" s="3" t="s">
        <v>34</v>
      </c>
      <c r="H761" s="2" t="s">
        <v>21</v>
      </c>
      <c r="I761" s="2" t="s">
        <v>1741</v>
      </c>
      <c r="J761" s="3" t="str">
        <f>HYPERLINK("https://www.boe.es/gazeta/dias/1823/06/08/pdfs/GES-1823-62.pdf#page=5","Abrir facsímil")</f>
        <v>Abrir facsímil</v>
      </c>
      <c r="K761" s="3" t="s">
        <v>23</v>
      </c>
    </row>
    <row r="762" spans="1:11" ht="42" customHeight="1">
      <c r="A762" s="2" t="s">
        <v>1709</v>
      </c>
      <c r="B762" s="2" t="s">
        <v>1709</v>
      </c>
      <c r="C762" s="2" t="s">
        <v>17</v>
      </c>
      <c r="D762" s="2" t="s">
        <v>18</v>
      </c>
      <c r="E762" s="5">
        <v>-27960</v>
      </c>
      <c r="F762" s="3" t="s">
        <v>741</v>
      </c>
      <c r="G762" s="3" t="s">
        <v>34</v>
      </c>
      <c r="H762" s="2" t="s">
        <v>21</v>
      </c>
      <c r="I762" s="2" t="s">
        <v>1742</v>
      </c>
      <c r="J762" s="3" t="str">
        <f>HYPERLINK("https://www.boe.es/gazeta/dias/1823/06/12/pdfs/GES-1823-66.pdf#page=5","Abrir facsímil")</f>
        <v>Abrir facsímil</v>
      </c>
      <c r="K762" s="3" t="s">
        <v>23</v>
      </c>
    </row>
    <row r="763" spans="1:11" ht="42" customHeight="1">
      <c r="A763" s="2" t="s">
        <v>1709</v>
      </c>
      <c r="B763" s="2" t="s">
        <v>1709</v>
      </c>
      <c r="C763" s="2" t="s">
        <v>17</v>
      </c>
      <c r="D763" s="2" t="s">
        <v>18</v>
      </c>
      <c r="E763" s="5">
        <v>-27945</v>
      </c>
      <c r="F763" s="3" t="s">
        <v>628</v>
      </c>
      <c r="G763" s="3" t="s">
        <v>20</v>
      </c>
      <c r="H763" s="2" t="s">
        <v>21</v>
      </c>
      <c r="I763" s="2" t="s">
        <v>1743</v>
      </c>
      <c r="J763" s="3" t="str">
        <f>HYPERLINK("https://www.boe.es/gazeta/dias/1823/06/27/pdfs/GES-1823-77.pdf#page=4","Abrir facsímil")</f>
        <v>Abrir facsímil</v>
      </c>
      <c r="K763" s="3" t="s">
        <v>23</v>
      </c>
    </row>
    <row r="764" spans="1:11" ht="42" customHeight="1">
      <c r="A764" s="2" t="s">
        <v>1709</v>
      </c>
      <c r="B764" s="2" t="s">
        <v>1709</v>
      </c>
      <c r="C764" s="2" t="s">
        <v>56</v>
      </c>
      <c r="D764" s="2" t="s">
        <v>57</v>
      </c>
      <c r="E764" s="5">
        <v>-27925</v>
      </c>
      <c r="F764" s="3" t="s">
        <v>1744</v>
      </c>
      <c r="G764" s="3" t="s">
        <v>20</v>
      </c>
      <c r="H764" s="2" t="s">
        <v>21</v>
      </c>
      <c r="I764" s="2" t="s">
        <v>1745</v>
      </c>
      <c r="J764" s="3" t="str">
        <f>HYPERLINK("https://www.boe.es/gazeta/dias/1823/07/17/pdfs/GMD-1823-413.pdf#page=4","Abrir facsímil")</f>
        <v>Abrir facsímil</v>
      </c>
      <c r="K764" s="3" t="s">
        <v>23</v>
      </c>
    </row>
    <row r="765" spans="1:11" ht="42" customHeight="1">
      <c r="A765" s="2" t="s">
        <v>1709</v>
      </c>
      <c r="B765" s="2" t="s">
        <v>1709</v>
      </c>
      <c r="C765" s="2" t="s">
        <v>109</v>
      </c>
      <c r="D765" s="2" t="s">
        <v>74</v>
      </c>
      <c r="E765" s="5">
        <v>-27909</v>
      </c>
      <c r="F765" s="3" t="s">
        <v>948</v>
      </c>
      <c r="G765" s="3" t="s">
        <v>20</v>
      </c>
      <c r="H765" s="2" t="s">
        <v>21</v>
      </c>
      <c r="I765" s="2" t="s">
        <v>1746</v>
      </c>
      <c r="J765" s="3" t="str">
        <f>HYPERLINK("https://www.boe.es/gazeta/dias/1823/08/02/pdfs/GES-1823-114.pdf#page=4","Abrir facsímil")</f>
        <v>Abrir facsímil</v>
      </c>
      <c r="K765" s="3" t="s">
        <v>23</v>
      </c>
    </row>
    <row r="766" spans="1:11" ht="42" customHeight="1">
      <c r="A766" s="2" t="s">
        <v>1709</v>
      </c>
      <c r="B766" s="2" t="s">
        <v>1709</v>
      </c>
      <c r="C766" s="2" t="s">
        <v>17</v>
      </c>
      <c r="D766" s="2" t="s">
        <v>18</v>
      </c>
      <c r="E766" s="5">
        <v>-27906</v>
      </c>
      <c r="F766" s="3" t="s">
        <v>241</v>
      </c>
      <c r="G766" s="3" t="s">
        <v>59</v>
      </c>
      <c r="H766" s="2" t="s">
        <v>21</v>
      </c>
      <c r="I766" s="2" t="s">
        <v>1747</v>
      </c>
      <c r="J766" s="3" t="str">
        <f>HYPERLINK("https://www.boe.es/gazeta/dias/1823/08/05/pdfs/GES-1823-117.pdf#page=6","Abrir facsímil")</f>
        <v>Abrir facsímil</v>
      </c>
      <c r="K766" s="3" t="s">
        <v>23</v>
      </c>
    </row>
    <row r="767" spans="1:11" ht="42" customHeight="1">
      <c r="A767" s="2" t="s">
        <v>1709</v>
      </c>
      <c r="B767" s="2" t="s">
        <v>1709</v>
      </c>
      <c r="C767" s="2" t="s">
        <v>17</v>
      </c>
      <c r="D767" s="2" t="s">
        <v>18</v>
      </c>
      <c r="E767" s="5">
        <v>-27904</v>
      </c>
      <c r="F767" s="3" t="s">
        <v>1748</v>
      </c>
      <c r="G767" s="3" t="s">
        <v>20</v>
      </c>
      <c r="H767" s="2" t="s">
        <v>21</v>
      </c>
      <c r="I767" s="2" t="s">
        <v>1749</v>
      </c>
      <c r="J767" s="3" t="str">
        <f>HYPERLINK("https://www.boe.es/gazeta/dias/1823/08/07/pdfs/GES-1823-120.pdf#page=4","Abrir facsímil")</f>
        <v>Abrir facsímil</v>
      </c>
      <c r="K767" s="3" t="s">
        <v>23</v>
      </c>
    </row>
    <row r="768" spans="1:11" ht="42" customHeight="1">
      <c r="A768" s="2" t="s">
        <v>1709</v>
      </c>
      <c r="B768" s="2" t="s">
        <v>1709</v>
      </c>
      <c r="C768" s="2" t="s">
        <v>17</v>
      </c>
      <c r="D768" s="2" t="s">
        <v>18</v>
      </c>
      <c r="E768" s="5">
        <v>-27861</v>
      </c>
      <c r="F768" s="3" t="s">
        <v>425</v>
      </c>
      <c r="G768" s="3" t="s">
        <v>27</v>
      </c>
      <c r="H768" s="2" t="s">
        <v>21</v>
      </c>
      <c r="I768" s="2" t="s">
        <v>1750</v>
      </c>
      <c r="J768" s="3" t="str">
        <f>HYPERLINK("https://www.boe.es/gazeta/dias/1823/09/19/pdfs/GES-1823-163.pdf#page=2","Abrir facsímil")</f>
        <v>Abrir facsímil</v>
      </c>
      <c r="K768" s="3" t="s">
        <v>23</v>
      </c>
    </row>
    <row r="769" spans="1:11" ht="42" customHeight="1">
      <c r="A769" s="2" t="s">
        <v>1709</v>
      </c>
      <c r="B769" s="2" t="s">
        <v>1709</v>
      </c>
      <c r="C769" s="2" t="s">
        <v>79</v>
      </c>
      <c r="D769" s="2" t="s">
        <v>74</v>
      </c>
      <c r="E769" s="5">
        <v>-27843</v>
      </c>
      <c r="F769" s="3" t="s">
        <v>790</v>
      </c>
      <c r="G769" s="3" t="s">
        <v>48</v>
      </c>
      <c r="H769" s="2" t="s">
        <v>21</v>
      </c>
      <c r="I769" s="2" t="s">
        <v>1751</v>
      </c>
      <c r="J769" s="3" t="str">
        <f>HYPERLINK("https://www.boe.es/gazeta/dias/1823/10/07/pdfs/GMD-1823-933.pdf#page=3","Abrir facsímil")</f>
        <v>Abrir facsímil</v>
      </c>
      <c r="K769" s="3" t="s">
        <v>23</v>
      </c>
    </row>
    <row r="770" spans="1:11" ht="42" customHeight="1">
      <c r="A770" s="2" t="s">
        <v>1752</v>
      </c>
      <c r="B770" s="2" t="s">
        <v>1753</v>
      </c>
      <c r="C770" s="2" t="s">
        <v>79</v>
      </c>
      <c r="D770" s="2" t="s">
        <v>74</v>
      </c>
      <c r="E770" s="5">
        <v>-28073</v>
      </c>
      <c r="F770" s="3" t="s">
        <v>204</v>
      </c>
      <c r="G770" s="3" t="s">
        <v>20</v>
      </c>
      <c r="H770" s="2" t="s">
        <v>21</v>
      </c>
      <c r="I770" s="2" t="s">
        <v>1754</v>
      </c>
      <c r="J770" s="3" t="str">
        <f>HYPERLINK("https://www.boe.es/gazeta/dias/1823/02/19/pdfs/GMD-1823-53.pdf#page=4","Abrir facsímil")</f>
        <v>Abrir facsímil</v>
      </c>
      <c r="K770" s="3" t="s">
        <v>23</v>
      </c>
    </row>
    <row r="771" spans="1:11" ht="42" customHeight="1">
      <c r="A771" s="2" t="s">
        <v>1752</v>
      </c>
      <c r="B771" s="2" t="s">
        <v>1753</v>
      </c>
      <c r="C771" s="2" t="s">
        <v>79</v>
      </c>
      <c r="D771" s="2" t="s">
        <v>74</v>
      </c>
      <c r="E771" s="5">
        <v>-27870</v>
      </c>
      <c r="F771" s="3" t="s">
        <v>376</v>
      </c>
      <c r="G771" s="3" t="s">
        <v>20</v>
      </c>
      <c r="H771" s="2" t="s">
        <v>21</v>
      </c>
      <c r="I771" s="2" t="s">
        <v>1755</v>
      </c>
      <c r="J771" s="3" t="str">
        <f>HYPERLINK("https://www.boe.es/gazeta/dias/1823/09/10/pdfs/GES-1823-154.pdf#page=4","Abrir facsímil")</f>
        <v>Abrir facsímil</v>
      </c>
      <c r="K771" s="3" t="s">
        <v>23</v>
      </c>
    </row>
    <row r="772" spans="1:11" ht="42" customHeight="1">
      <c r="A772" s="2" t="s">
        <v>1756</v>
      </c>
      <c r="B772" s="2" t="s">
        <v>1757</v>
      </c>
      <c r="C772" s="2" t="s">
        <v>17</v>
      </c>
      <c r="D772" s="2" t="s">
        <v>18</v>
      </c>
      <c r="E772" s="5">
        <v>-27911</v>
      </c>
      <c r="F772" s="3" t="s">
        <v>368</v>
      </c>
      <c r="G772" s="3" t="s">
        <v>39</v>
      </c>
      <c r="H772" s="2" t="s">
        <v>21</v>
      </c>
      <c r="I772" s="2" t="s">
        <v>1758</v>
      </c>
      <c r="J772" s="3" t="str">
        <f>HYPERLINK("https://www.boe.es/gazeta/dias/1823/07/31/pdfs/GES-1823-112.pdf#page=1","Abrir facsímil")</f>
        <v>Abrir facsímil</v>
      </c>
      <c r="K772" s="3" t="s">
        <v>23</v>
      </c>
    </row>
    <row r="773" spans="1:11" ht="42" customHeight="1">
      <c r="A773" s="2" t="s">
        <v>1759</v>
      </c>
      <c r="B773" s="2" t="s">
        <v>1760</v>
      </c>
      <c r="C773" s="2" t="s">
        <v>79</v>
      </c>
      <c r="D773" s="2" t="s">
        <v>74</v>
      </c>
      <c r="E773" s="5">
        <v>-27964</v>
      </c>
      <c r="F773" s="3" t="s">
        <v>58</v>
      </c>
      <c r="G773" s="3" t="s">
        <v>34</v>
      </c>
      <c r="H773" s="2" t="s">
        <v>21</v>
      </c>
      <c r="I773" s="2" t="s">
        <v>1761</v>
      </c>
      <c r="J773" s="3" t="str">
        <f>HYPERLINK("https://www.boe.es/gazeta/dias/1823/06/08/pdfs/GES-1823-62.pdf#page=5","Abrir facsímil")</f>
        <v>Abrir facsímil</v>
      </c>
      <c r="K773" s="3" t="s">
        <v>23</v>
      </c>
    </row>
    <row r="774" spans="1:11" ht="42" customHeight="1">
      <c r="A774" s="2" t="s">
        <v>1762</v>
      </c>
      <c r="B774" s="2" t="s">
        <v>1763</v>
      </c>
      <c r="C774" s="2" t="s">
        <v>17</v>
      </c>
      <c r="D774" s="2" t="s">
        <v>18</v>
      </c>
      <c r="E774" s="5">
        <v>-28091</v>
      </c>
      <c r="F774" s="3" t="s">
        <v>1047</v>
      </c>
      <c r="G774" s="3" t="s">
        <v>27</v>
      </c>
      <c r="H774" s="2" t="s">
        <v>21</v>
      </c>
      <c r="I774" s="2" t="s">
        <v>1764</v>
      </c>
      <c r="J774" s="3" t="str">
        <f>HYPERLINK("https://www.boe.es/gazeta/dias/1823/02/01/pdfs/GMD-1823-34.pdf#page=2","Abrir facsímil")</f>
        <v>Abrir facsímil</v>
      </c>
      <c r="K774" s="3" t="s">
        <v>23</v>
      </c>
    </row>
    <row r="775" spans="1:11" ht="42" customHeight="1">
      <c r="A775" s="2" t="s">
        <v>1762</v>
      </c>
      <c r="B775" s="2" t="s">
        <v>1763</v>
      </c>
      <c r="C775" s="2" t="s">
        <v>17</v>
      </c>
      <c r="D775" s="2" t="s">
        <v>18</v>
      </c>
      <c r="E775" s="5">
        <v>-27970</v>
      </c>
      <c r="F775" s="3" t="s">
        <v>1030</v>
      </c>
      <c r="G775" s="3" t="s">
        <v>34</v>
      </c>
      <c r="H775" s="2" t="s">
        <v>21</v>
      </c>
      <c r="I775" s="2" t="s">
        <v>1765</v>
      </c>
      <c r="J775" s="3" t="str">
        <f>HYPERLINK("https://www.boe.es/gazeta/dias/1823/06/02/pdfs/GES-1823-56.pdf#page=5","Abrir facsímil")</f>
        <v>Abrir facsímil</v>
      </c>
      <c r="K775" s="3" t="s">
        <v>23</v>
      </c>
    </row>
    <row r="776" spans="1:11" ht="42" customHeight="1">
      <c r="A776" s="2" t="s">
        <v>1762</v>
      </c>
      <c r="B776" s="2" t="s">
        <v>1763</v>
      </c>
      <c r="C776" s="2" t="s">
        <v>56</v>
      </c>
      <c r="D776" s="2" t="s">
        <v>57</v>
      </c>
      <c r="E776" s="5">
        <v>-27944</v>
      </c>
      <c r="F776" s="3" t="s">
        <v>658</v>
      </c>
      <c r="G776" s="3" t="s">
        <v>48</v>
      </c>
      <c r="H776" s="2" t="s">
        <v>21</v>
      </c>
      <c r="I776" s="2" t="s">
        <v>1766</v>
      </c>
      <c r="J776" s="3" t="str">
        <f>HYPERLINK("https://www.boe.es/gazeta/dias/1823/06/28/pdfs/GMD-1823-303.pdf#page=3","Abrir facsímil")</f>
        <v>Abrir facsímil</v>
      </c>
      <c r="K776" s="3" t="s">
        <v>23</v>
      </c>
    </row>
    <row r="777" spans="1:11" ht="42" customHeight="1">
      <c r="A777" s="2" t="s">
        <v>1762</v>
      </c>
      <c r="B777" s="2" t="s">
        <v>1763</v>
      </c>
      <c r="C777" s="2" t="s">
        <v>109</v>
      </c>
      <c r="D777" s="2" t="s">
        <v>74</v>
      </c>
      <c r="E777" s="5">
        <v>-27848</v>
      </c>
      <c r="F777" s="3" t="s">
        <v>1083</v>
      </c>
      <c r="G777" s="3" t="s">
        <v>27</v>
      </c>
      <c r="H777" s="2" t="s">
        <v>21</v>
      </c>
      <c r="I777" s="2" t="s">
        <v>1767</v>
      </c>
      <c r="J777" s="3" t="str">
        <f>HYPERLINK("https://www.boe.es/gazeta/dias/1823/10/02/pdfs/GES-1823-176.pdf#page=2","Abrir facsímil")</f>
        <v>Abrir facsímil</v>
      </c>
      <c r="K777" s="3" t="s">
        <v>23</v>
      </c>
    </row>
    <row r="778" spans="1:11" ht="42" customHeight="1">
      <c r="A778" s="2" t="s">
        <v>1768</v>
      </c>
      <c r="B778" s="2" t="s">
        <v>1769</v>
      </c>
      <c r="C778" s="2" t="s">
        <v>56</v>
      </c>
      <c r="D778" s="2" t="s">
        <v>57</v>
      </c>
      <c r="E778" s="5">
        <v>-28095</v>
      </c>
      <c r="F778" s="3" t="s">
        <v>1770</v>
      </c>
      <c r="G778" s="3" t="s">
        <v>20</v>
      </c>
      <c r="H778" s="2" t="s">
        <v>21</v>
      </c>
      <c r="I778" s="2" t="s">
        <v>1771</v>
      </c>
      <c r="J778" s="3" t="str">
        <f>HYPERLINK("https://www.boe.es/gazeta/dias/1823/01/28/pdfs/GMD-1823-29.pdf#page=4","Abrir facsímil")</f>
        <v>Abrir facsímil</v>
      </c>
      <c r="K778" s="3" t="s">
        <v>23</v>
      </c>
    </row>
    <row r="779" spans="1:11" ht="42" customHeight="1">
      <c r="A779" s="2" t="s">
        <v>1772</v>
      </c>
      <c r="B779" s="2" t="s">
        <v>1773</v>
      </c>
      <c r="C779" s="2" t="s">
        <v>17</v>
      </c>
      <c r="D779" s="2" t="s">
        <v>18</v>
      </c>
      <c r="E779" s="5">
        <v>-28031</v>
      </c>
      <c r="F779" s="3" t="s">
        <v>1211</v>
      </c>
      <c r="G779" s="3" t="s">
        <v>20</v>
      </c>
      <c r="H779" s="2" t="s">
        <v>21</v>
      </c>
      <c r="I779" s="2" t="s">
        <v>1774</v>
      </c>
      <c r="J779" s="3" t="str">
        <f>HYPERLINK("https://www.boe.es/gazeta/dias/1823/04/02/pdfs/GMD-1823-96.pdf#page=4","Abrir facsímil")</f>
        <v>Abrir facsímil</v>
      </c>
      <c r="K779" s="3" t="s">
        <v>23</v>
      </c>
    </row>
    <row r="780" spans="1:11" ht="42" customHeight="1">
      <c r="A780" s="2" t="s">
        <v>1775</v>
      </c>
      <c r="B780" s="2" t="s">
        <v>1776</v>
      </c>
      <c r="C780" s="2" t="s">
        <v>79</v>
      </c>
      <c r="D780" s="2" t="s">
        <v>74</v>
      </c>
      <c r="E780" s="5">
        <v>-28037</v>
      </c>
      <c r="F780" s="3" t="s">
        <v>192</v>
      </c>
      <c r="G780" s="3" t="s">
        <v>48</v>
      </c>
      <c r="H780" s="2" t="s">
        <v>21</v>
      </c>
      <c r="I780" s="2" t="s">
        <v>1777</v>
      </c>
      <c r="J780" s="3" t="str">
        <f>HYPERLINK("https://www.boe.es/gazeta/dias/1823/03/27/pdfs/GMD-1823-90.pdf#page=3","Abrir facsímil")</f>
        <v>Abrir facsímil</v>
      </c>
      <c r="K780" s="3" t="s">
        <v>23</v>
      </c>
    </row>
    <row r="781" spans="1:11" ht="42" customHeight="1">
      <c r="A781" s="2" t="s">
        <v>1778</v>
      </c>
      <c r="B781" s="2" t="s">
        <v>1778</v>
      </c>
      <c r="C781" s="2" t="s">
        <v>79</v>
      </c>
      <c r="D781" s="2" t="s">
        <v>74</v>
      </c>
      <c r="E781" s="5">
        <v>-27886</v>
      </c>
      <c r="F781" s="3" t="s">
        <v>1779</v>
      </c>
      <c r="G781" s="3" t="s">
        <v>39</v>
      </c>
      <c r="H781" s="2" t="s">
        <v>21</v>
      </c>
      <c r="I781" s="2" t="s">
        <v>1780</v>
      </c>
      <c r="J781" s="3" t="str">
        <f>HYPERLINK("https://www.boe.es/gazeta/dias/1823/08/25/pdfs/GES-1823-138.pdf#page=1","Abrir facsímil")</f>
        <v>Abrir facsímil</v>
      </c>
      <c r="K781" s="3" t="s">
        <v>23</v>
      </c>
    </row>
    <row r="782" spans="1:11" ht="42" customHeight="1">
      <c r="A782" s="2" t="s">
        <v>1781</v>
      </c>
      <c r="B782" s="2" t="s">
        <v>1782</v>
      </c>
      <c r="C782" s="2" t="s">
        <v>109</v>
      </c>
      <c r="D782" s="2" t="s">
        <v>74</v>
      </c>
      <c r="E782" s="5">
        <v>-27953</v>
      </c>
      <c r="F782" s="3" t="s">
        <v>1783</v>
      </c>
      <c r="G782" s="3" t="s">
        <v>20</v>
      </c>
      <c r="H782" s="2" t="s">
        <v>21</v>
      </c>
      <c r="I782" s="2" t="s">
        <v>1784</v>
      </c>
      <c r="J782" s="3" t="str">
        <f>HYPERLINK("https://www.boe.es/gazeta/dias/1823/06/19/pdfs/GES-1823-67.pdf#page=4","Abrir facsímil")</f>
        <v>Abrir facsímil</v>
      </c>
      <c r="K782" s="3" t="s">
        <v>23</v>
      </c>
    </row>
    <row r="783" spans="1:11" ht="42" customHeight="1">
      <c r="A783" s="2" t="s">
        <v>1785</v>
      </c>
      <c r="B783" s="2" t="s">
        <v>1785</v>
      </c>
      <c r="C783" s="2" t="s">
        <v>293</v>
      </c>
      <c r="D783" s="2" t="s">
        <v>74</v>
      </c>
      <c r="E783" s="5">
        <v>-28013</v>
      </c>
      <c r="F783" s="3" t="s">
        <v>105</v>
      </c>
      <c r="G783" s="3" t="s">
        <v>20</v>
      </c>
      <c r="H783" s="2" t="s">
        <v>21</v>
      </c>
      <c r="I783" s="2" t="s">
        <v>1786</v>
      </c>
      <c r="J783" s="3" t="str">
        <f>HYPERLINK("https://www.boe.es/gazeta/dias/1823/04/20/pdfs/GMD-1823-32.pdf#page=4","Abrir facsímil")</f>
        <v>Abrir facsímil</v>
      </c>
      <c r="K783" s="3" t="s">
        <v>23</v>
      </c>
    </row>
    <row r="784" spans="1:11" ht="42" customHeight="1">
      <c r="A784" s="2" t="s">
        <v>1787</v>
      </c>
      <c r="B784" s="2" t="s">
        <v>1788</v>
      </c>
      <c r="C784" s="2" t="s">
        <v>79</v>
      </c>
      <c r="D784" s="2" t="s">
        <v>74</v>
      </c>
      <c r="E784" s="5">
        <v>-28039</v>
      </c>
      <c r="F784" s="3" t="s">
        <v>126</v>
      </c>
      <c r="G784" s="3" t="s">
        <v>20</v>
      </c>
      <c r="H784" s="2" t="s">
        <v>21</v>
      </c>
      <c r="I784" s="2" t="s">
        <v>1789</v>
      </c>
      <c r="J784" s="3" t="str">
        <f>HYPERLINK("https://www.boe.es/gazeta/dias/1823/03/25/pdfs/GMD-1823-88.pdf#page=4","Abrir facsímil")</f>
        <v>Abrir facsímil</v>
      </c>
      <c r="K784" s="3" t="s">
        <v>23</v>
      </c>
    </row>
    <row r="785" spans="1:11" ht="42" customHeight="1">
      <c r="A785" s="2" t="s">
        <v>1790</v>
      </c>
      <c r="B785" s="2" t="s">
        <v>1790</v>
      </c>
      <c r="C785" s="2" t="s">
        <v>73</v>
      </c>
      <c r="D785" s="2" t="s">
        <v>74</v>
      </c>
      <c r="E785" s="5">
        <v>-28074</v>
      </c>
      <c r="F785" s="3" t="s">
        <v>212</v>
      </c>
      <c r="G785" s="3" t="s">
        <v>48</v>
      </c>
      <c r="H785" s="2" t="s">
        <v>21</v>
      </c>
      <c r="I785" s="2" t="s">
        <v>1791</v>
      </c>
      <c r="J785" s="3" t="str">
        <f>HYPERLINK("https://www.boe.es/gazeta/dias/1823/02/18/pdfs/GMD-1823-52.pdf#page=3","Abrir facsímil")</f>
        <v>Abrir facsímil</v>
      </c>
      <c r="K785" s="3" t="s">
        <v>23</v>
      </c>
    </row>
    <row r="786" spans="1:11" ht="42" customHeight="1">
      <c r="A786" s="2" t="s">
        <v>1792</v>
      </c>
      <c r="B786" s="2" t="s">
        <v>1793</v>
      </c>
      <c r="C786" s="2" t="s">
        <v>17</v>
      </c>
      <c r="D786" s="2" t="s">
        <v>18</v>
      </c>
      <c r="E786" s="5">
        <v>-28052</v>
      </c>
      <c r="F786" s="3" t="s">
        <v>1025</v>
      </c>
      <c r="G786" s="3" t="s">
        <v>1794</v>
      </c>
      <c r="H786" s="2" t="s">
        <v>21</v>
      </c>
      <c r="I786" s="2" t="s">
        <v>1795</v>
      </c>
      <c r="J786" s="3" t="str">
        <f>HYPERLINK("https://www.boe.es/gazeta/dias/1823/03/12/pdfs/GMD-1823-75.pdf#page=1","Abrir facsímil")</f>
        <v>Abrir facsímil</v>
      </c>
      <c r="K786" s="3" t="s">
        <v>23</v>
      </c>
    </row>
    <row r="787" spans="1:11" ht="42" customHeight="1">
      <c r="A787" s="2" t="s">
        <v>1796</v>
      </c>
      <c r="B787" s="2" t="s">
        <v>1796</v>
      </c>
      <c r="C787" s="2" t="s">
        <v>17</v>
      </c>
      <c r="D787" s="2" t="s">
        <v>18</v>
      </c>
      <c r="E787" s="5">
        <v>-27987</v>
      </c>
      <c r="F787" s="3" t="s">
        <v>332</v>
      </c>
      <c r="G787" s="3" t="s">
        <v>34</v>
      </c>
      <c r="H787" s="2" t="s">
        <v>21</v>
      </c>
      <c r="I787" s="2" t="s">
        <v>1797</v>
      </c>
      <c r="J787" s="3" t="str">
        <f>HYPERLINK("https://www.boe.es/gazeta/dias/1823/05/16/pdfs/GES-1823-36.pdf#page=5","Abrir facsímil")</f>
        <v>Abrir facsímil</v>
      </c>
      <c r="K787" s="3" t="s">
        <v>23</v>
      </c>
    </row>
    <row r="788" spans="1:11" ht="42" customHeight="1">
      <c r="A788" s="2" t="s">
        <v>1798</v>
      </c>
      <c r="B788" s="2" t="s">
        <v>1799</v>
      </c>
      <c r="C788" s="2" t="s">
        <v>17</v>
      </c>
      <c r="D788" s="2" t="s">
        <v>18</v>
      </c>
      <c r="E788" s="5">
        <v>-28043</v>
      </c>
      <c r="F788" s="3" t="s">
        <v>69</v>
      </c>
      <c r="G788" s="3" t="s">
        <v>34</v>
      </c>
      <c r="H788" s="2" t="s">
        <v>21</v>
      </c>
      <c r="I788" s="2" t="s">
        <v>1800</v>
      </c>
      <c r="J788" s="3" t="str">
        <f>HYPERLINK("https://www.boe.es/gazeta/dias/1823/03/21/pdfs/GMD-1823-84.pdf#page=5","Abrir facsímil")</f>
        <v>Abrir facsímil</v>
      </c>
      <c r="K788" s="3" t="s">
        <v>23</v>
      </c>
    </row>
    <row r="789" spans="1:11" ht="42" customHeight="1">
      <c r="A789" s="2" t="s">
        <v>1801</v>
      </c>
      <c r="B789" s="2" t="s">
        <v>1802</v>
      </c>
      <c r="C789" s="2" t="s">
        <v>293</v>
      </c>
      <c r="D789" s="2" t="s">
        <v>74</v>
      </c>
      <c r="E789" s="5">
        <v>-28052</v>
      </c>
      <c r="F789" s="3" t="s">
        <v>1025</v>
      </c>
      <c r="G789" s="3" t="s">
        <v>27</v>
      </c>
      <c r="H789" s="2" t="s">
        <v>21</v>
      </c>
      <c r="I789" s="2" t="s">
        <v>1803</v>
      </c>
      <c r="J789" s="3" t="str">
        <f>HYPERLINK("https://www.boe.es/gazeta/dias/1823/03/12/pdfs/GMD-1823-75.pdf#page=2","Abrir facsímil")</f>
        <v>Abrir facsímil</v>
      </c>
      <c r="K789" s="3" t="s">
        <v>23</v>
      </c>
    </row>
    <row r="790" spans="1:11" ht="42" customHeight="1">
      <c r="A790" s="2" t="s">
        <v>1804</v>
      </c>
      <c r="B790" s="2" t="s">
        <v>1805</v>
      </c>
      <c r="C790" s="2" t="s">
        <v>17</v>
      </c>
      <c r="D790" s="2" t="s">
        <v>18</v>
      </c>
      <c r="E790" s="5">
        <v>-27923</v>
      </c>
      <c r="F790" s="3" t="s">
        <v>354</v>
      </c>
      <c r="G790" s="3" t="s">
        <v>39</v>
      </c>
      <c r="H790" s="2" t="s">
        <v>21</v>
      </c>
      <c r="I790" s="2" t="s">
        <v>1806</v>
      </c>
      <c r="J790" s="3" t="str">
        <f>HYPERLINK("https://www.boe.es/gazeta/dias/1823/07/19/pdfs/GES-1823-100.pdf#page=1","Abrir facsímil")</f>
        <v>Abrir facsímil</v>
      </c>
      <c r="K790" s="3" t="s">
        <v>23</v>
      </c>
    </row>
    <row r="791" spans="1:11" ht="42" customHeight="1">
      <c r="A791" s="2" t="s">
        <v>1807</v>
      </c>
      <c r="B791" s="2" t="s">
        <v>1808</v>
      </c>
      <c r="C791" s="2" t="s">
        <v>17</v>
      </c>
      <c r="D791" s="2" t="s">
        <v>18</v>
      </c>
      <c r="E791" s="5">
        <v>-28048</v>
      </c>
      <c r="F791" s="3" t="s">
        <v>399</v>
      </c>
      <c r="G791" s="3" t="s">
        <v>59</v>
      </c>
      <c r="H791" s="2" t="s">
        <v>21</v>
      </c>
      <c r="I791" s="2" t="s">
        <v>1809</v>
      </c>
      <c r="J791" s="3" t="str">
        <f>HYPERLINK("https://www.boe.es/gazeta/dias/1823/03/16/pdfs/GMD-1823-79.pdf#page=6","Abrir facsímil")</f>
        <v>Abrir facsímil</v>
      </c>
      <c r="K791" s="3" t="s">
        <v>23</v>
      </c>
    </row>
    <row r="792" spans="1:11" ht="42" customHeight="1">
      <c r="A792" s="2" t="s">
        <v>1810</v>
      </c>
      <c r="B792" s="2" t="s">
        <v>1811</v>
      </c>
      <c r="C792" s="2" t="s">
        <v>17</v>
      </c>
      <c r="D792" s="2" t="s">
        <v>18</v>
      </c>
      <c r="E792" s="5">
        <v>-27801</v>
      </c>
      <c r="F792" s="3" t="s">
        <v>800</v>
      </c>
      <c r="G792" s="3" t="s">
        <v>20</v>
      </c>
      <c r="H792" s="2" t="s">
        <v>21</v>
      </c>
      <c r="I792" s="2" t="s">
        <v>1812</v>
      </c>
      <c r="J792" s="3" t="str">
        <f>HYPERLINK("https://www.boe.es/gazeta/dias/1823/11/18/pdfs/GMD-1823-1133.pdf#page=4","Abrir facsímil")</f>
        <v>Abrir facsímil</v>
      </c>
      <c r="K792" s="3" t="s">
        <v>23</v>
      </c>
    </row>
    <row r="793" spans="1:11" ht="42" customHeight="1">
      <c r="A793" s="2" t="s">
        <v>1813</v>
      </c>
      <c r="B793" s="2" t="s">
        <v>1814</v>
      </c>
      <c r="C793" s="2" t="s">
        <v>56</v>
      </c>
      <c r="D793" s="2" t="s">
        <v>57</v>
      </c>
      <c r="E793" s="5">
        <v>-27832</v>
      </c>
      <c r="F793" s="3" t="s">
        <v>1815</v>
      </c>
      <c r="G793" s="3" t="s">
        <v>20</v>
      </c>
      <c r="H793" s="2" t="s">
        <v>21</v>
      </c>
      <c r="I793" s="2" t="s">
        <v>1816</v>
      </c>
      <c r="J793" s="3" t="str">
        <f>HYPERLINK("https://www.boe.es/gazeta/dias/1823/10/18/pdfs/GMD-1823-993.pdf#page=4","Abrir facsímil")</f>
        <v>Abrir facsímil</v>
      </c>
      <c r="K793" s="3" t="s">
        <v>23</v>
      </c>
    </row>
    <row r="794" spans="1:11" ht="42" customHeight="1">
      <c r="A794" s="2" t="s">
        <v>1817</v>
      </c>
      <c r="B794" s="2" t="s">
        <v>1818</v>
      </c>
      <c r="C794" s="2" t="s">
        <v>17</v>
      </c>
      <c r="D794" s="2" t="s">
        <v>18</v>
      </c>
      <c r="E794" s="5">
        <v>-28064</v>
      </c>
      <c r="F794" s="3" t="s">
        <v>1190</v>
      </c>
      <c r="G794" s="3" t="s">
        <v>20</v>
      </c>
      <c r="H794" s="2" t="s">
        <v>21</v>
      </c>
      <c r="I794" s="2" t="s">
        <v>1819</v>
      </c>
      <c r="J794" s="3" t="str">
        <f>HYPERLINK("https://www.boe.es/gazeta/dias/1823/02/28/pdfs/GMD-1823-62.pdf#page=4","Abrir facsímil")</f>
        <v>Abrir facsímil</v>
      </c>
      <c r="K794" s="3" t="s">
        <v>23</v>
      </c>
    </row>
    <row r="795" spans="1:11" ht="42" customHeight="1">
      <c r="A795" s="2" t="s">
        <v>1820</v>
      </c>
      <c r="B795" s="2" t="s">
        <v>1820</v>
      </c>
      <c r="C795" s="2" t="s">
        <v>84</v>
      </c>
      <c r="D795" s="2" t="s">
        <v>74</v>
      </c>
      <c r="E795" s="5">
        <v>-28009</v>
      </c>
      <c r="F795" s="3" t="s">
        <v>307</v>
      </c>
      <c r="G795" s="3" t="s">
        <v>34</v>
      </c>
      <c r="H795" s="2" t="s">
        <v>21</v>
      </c>
      <c r="I795" s="2" t="s">
        <v>1821</v>
      </c>
      <c r="J795" s="3" t="str">
        <f>HYPERLINK("https://www.boe.es/gazeta/dias/1823/04/24/pdfs/GES-1823-14.pdf#page=5","Abrir facsímil")</f>
        <v>Abrir facsímil</v>
      </c>
      <c r="K795" s="3" t="s">
        <v>23</v>
      </c>
    </row>
    <row r="796" spans="1:11" ht="42" customHeight="1">
      <c r="A796" s="2" t="s">
        <v>1822</v>
      </c>
      <c r="B796" s="2" t="s">
        <v>1823</v>
      </c>
      <c r="C796" s="2" t="s">
        <v>17</v>
      </c>
      <c r="D796" s="2" t="s">
        <v>18</v>
      </c>
      <c r="E796" s="5">
        <v>-27905</v>
      </c>
      <c r="F796" s="3" t="s">
        <v>236</v>
      </c>
      <c r="G796" s="3" t="s">
        <v>237</v>
      </c>
      <c r="H796" s="2" t="s">
        <v>21</v>
      </c>
      <c r="I796" s="2" t="s">
        <v>1824</v>
      </c>
      <c r="J796" s="3" t="str">
        <f>HYPERLINK("https://www.boe.es/gazeta/dias/1823/08/06/pdfs/GES-1823-119.pdf#page=4","Abrir facsímil")</f>
        <v>Abrir facsímil</v>
      </c>
      <c r="K796" s="3" t="s">
        <v>23</v>
      </c>
    </row>
    <row r="797" spans="1:11" ht="42" customHeight="1">
      <c r="A797" s="2" t="s">
        <v>1825</v>
      </c>
      <c r="B797" s="2" t="s">
        <v>1826</v>
      </c>
      <c r="C797" s="2" t="s">
        <v>17</v>
      </c>
      <c r="D797" s="2" t="s">
        <v>18</v>
      </c>
      <c r="E797" s="5">
        <v>-27901</v>
      </c>
      <c r="F797" s="3" t="s">
        <v>840</v>
      </c>
      <c r="G797" s="3" t="s">
        <v>20</v>
      </c>
      <c r="H797" s="2" t="s">
        <v>21</v>
      </c>
      <c r="I797" s="2" t="s">
        <v>1827</v>
      </c>
      <c r="J797" s="3" t="str">
        <f>HYPERLINK("https://www.boe.es/gazeta/dias/1823/08/10/pdfs/GES-1823-123.pdf#page=4","Abrir facsímil")</f>
        <v>Abrir facsímil</v>
      </c>
      <c r="K797" s="3" t="s">
        <v>23</v>
      </c>
    </row>
    <row r="798" spans="1:11" ht="42" customHeight="1">
      <c r="A798" s="2" t="s">
        <v>1825</v>
      </c>
      <c r="B798" s="2" t="s">
        <v>1826</v>
      </c>
      <c r="C798" s="2" t="s">
        <v>17</v>
      </c>
      <c r="D798" s="2" t="s">
        <v>18</v>
      </c>
      <c r="E798" s="5">
        <v>-27879</v>
      </c>
      <c r="F798" s="3" t="s">
        <v>638</v>
      </c>
      <c r="G798" s="3" t="s">
        <v>20</v>
      </c>
      <c r="H798" s="2" t="s">
        <v>21</v>
      </c>
      <c r="I798" s="2" t="s">
        <v>1828</v>
      </c>
      <c r="J798" s="3" t="str">
        <f>HYPERLINK("https://www.boe.es/gazeta/dias/1823/09/01/pdfs/GES-1823-145.pdf#page=4","Abrir facsímil")</f>
        <v>Abrir facsímil</v>
      </c>
      <c r="K798" s="3" t="s">
        <v>23</v>
      </c>
    </row>
    <row r="799" spans="1:11" ht="42" customHeight="1">
      <c r="A799" s="2" t="s">
        <v>1829</v>
      </c>
      <c r="B799" s="2" t="s">
        <v>1830</v>
      </c>
      <c r="C799" s="2" t="s">
        <v>109</v>
      </c>
      <c r="D799" s="2" t="s">
        <v>74</v>
      </c>
      <c r="E799" s="5">
        <v>-27853</v>
      </c>
      <c r="F799" s="3" t="s">
        <v>539</v>
      </c>
      <c r="G799" s="3" t="s">
        <v>48</v>
      </c>
      <c r="H799" s="2" t="s">
        <v>21</v>
      </c>
      <c r="I799" s="2" t="s">
        <v>1831</v>
      </c>
      <c r="J799" s="3" t="str">
        <f>HYPERLINK("https://www.boe.es/gazeta/dias/1823/09/27/pdfs/GMD-1823-863.pdf#page=3","Abrir facsímil")</f>
        <v>Abrir facsímil</v>
      </c>
      <c r="K799" s="3" t="s">
        <v>23</v>
      </c>
    </row>
    <row r="800" spans="1:11" ht="42" customHeight="1">
      <c r="A800" s="2" t="s">
        <v>1832</v>
      </c>
      <c r="B800" s="2" t="s">
        <v>1832</v>
      </c>
      <c r="C800" s="2" t="s">
        <v>79</v>
      </c>
      <c r="D800" s="2" t="s">
        <v>74</v>
      </c>
      <c r="E800" s="5">
        <v>-27931</v>
      </c>
      <c r="F800" s="3" t="s">
        <v>1833</v>
      </c>
      <c r="G800" s="3" t="s">
        <v>39</v>
      </c>
      <c r="H800" s="2" t="s">
        <v>21</v>
      </c>
      <c r="I800" s="2" t="s">
        <v>1834</v>
      </c>
      <c r="J800" s="3" t="str">
        <f>HYPERLINK("https://www.boe.es/gazeta/dias/1823/07/11/pdfs/GES-1823-91.pdf#page=1","Abrir facsímil")</f>
        <v>Abrir facsímil</v>
      </c>
      <c r="K800" s="3" t="s">
        <v>23</v>
      </c>
    </row>
    <row r="801" spans="1:11" ht="42" customHeight="1">
      <c r="A801" s="2" t="s">
        <v>1835</v>
      </c>
      <c r="B801" s="2" t="s">
        <v>1836</v>
      </c>
      <c r="C801" s="2" t="s">
        <v>73</v>
      </c>
      <c r="D801" s="2" t="s">
        <v>74</v>
      </c>
      <c r="E801" s="5">
        <v>-27972</v>
      </c>
      <c r="F801" s="3" t="s">
        <v>429</v>
      </c>
      <c r="G801" s="3" t="s">
        <v>39</v>
      </c>
      <c r="H801" s="2" t="s">
        <v>21</v>
      </c>
      <c r="I801" s="2" t="s">
        <v>1837</v>
      </c>
      <c r="J801" s="3" t="str">
        <f>HYPERLINK("https://www.boe.es/gazeta/dias/1823/05/31/pdfs/GES-1823-54.pdf#page=1","Abrir facsímil")</f>
        <v>Abrir facsímil</v>
      </c>
      <c r="K801" s="3" t="s">
        <v>23</v>
      </c>
    </row>
    <row r="802" spans="1:11" ht="42" customHeight="1">
      <c r="A802" s="2" t="s">
        <v>1838</v>
      </c>
      <c r="B802" s="2" t="s">
        <v>1838</v>
      </c>
      <c r="C802" s="2" t="s">
        <v>17</v>
      </c>
      <c r="D802" s="2" t="s">
        <v>18</v>
      </c>
      <c r="E802" s="5">
        <v>-28085</v>
      </c>
      <c r="F802" s="3" t="s">
        <v>458</v>
      </c>
      <c r="G802" s="3" t="s">
        <v>27</v>
      </c>
      <c r="H802" s="2" t="s">
        <v>21</v>
      </c>
      <c r="I802" s="2" t="s">
        <v>1839</v>
      </c>
      <c r="J802" s="3" t="str">
        <f>HYPERLINK("https://www.boe.es/gazeta/dias/1823/02/07/pdfs/GMD-1823-40.pdf#page=2","Abrir facsímil")</f>
        <v>Abrir facsímil</v>
      </c>
      <c r="K802" s="3" t="s">
        <v>23</v>
      </c>
    </row>
    <row r="803" spans="1:11" ht="42" customHeight="1">
      <c r="A803" s="2" t="s">
        <v>1838</v>
      </c>
      <c r="B803" s="2" t="s">
        <v>1838</v>
      </c>
      <c r="C803" s="2" t="s">
        <v>79</v>
      </c>
      <c r="D803" s="2" t="s">
        <v>74</v>
      </c>
      <c r="E803" s="5">
        <v>-28079</v>
      </c>
      <c r="F803" s="3" t="s">
        <v>178</v>
      </c>
      <c r="G803" s="3" t="s">
        <v>39</v>
      </c>
      <c r="H803" s="2" t="s">
        <v>21</v>
      </c>
      <c r="I803" s="2" t="s">
        <v>1840</v>
      </c>
      <c r="J803" s="3" t="str">
        <f>HYPERLINK("https://www.boe.es/gazeta/dias/1823/02/13/pdfs/GMD-1823-47.pdf#page=1","Abrir facsímil")</f>
        <v>Abrir facsímil</v>
      </c>
      <c r="K803" s="3" t="s">
        <v>23</v>
      </c>
    </row>
    <row r="804" spans="1:11" ht="42" customHeight="1">
      <c r="A804" s="2" t="s">
        <v>1838</v>
      </c>
      <c r="B804" s="2" t="s">
        <v>1838</v>
      </c>
      <c r="C804" s="2" t="s">
        <v>56</v>
      </c>
      <c r="D804" s="2" t="s">
        <v>57</v>
      </c>
      <c r="E804" s="5">
        <v>-28009</v>
      </c>
      <c r="F804" s="3" t="s">
        <v>307</v>
      </c>
      <c r="G804" s="3" t="s">
        <v>48</v>
      </c>
      <c r="H804" s="2" t="s">
        <v>21</v>
      </c>
      <c r="I804" s="2" t="s">
        <v>1841</v>
      </c>
      <c r="J804" s="3" t="str">
        <f>HYPERLINK("https://www.boe.es/gazeta/dias/1823/04/24/pdfs/GES-1823-14.pdf#page=3","Abrir facsímil")</f>
        <v>Abrir facsímil</v>
      </c>
      <c r="K804" s="3" t="s">
        <v>23</v>
      </c>
    </row>
    <row r="805" spans="1:11" ht="42" customHeight="1">
      <c r="A805" s="2" t="s">
        <v>1838</v>
      </c>
      <c r="B805" s="2" t="s">
        <v>1838</v>
      </c>
      <c r="C805" s="2" t="s">
        <v>79</v>
      </c>
      <c r="D805" s="2" t="s">
        <v>74</v>
      </c>
      <c r="E805" s="5">
        <v>-28005</v>
      </c>
      <c r="F805" s="3" t="s">
        <v>1648</v>
      </c>
      <c r="G805" s="3" t="s">
        <v>27</v>
      </c>
      <c r="H805" s="2" t="s">
        <v>21</v>
      </c>
      <c r="I805" s="2" t="s">
        <v>1842</v>
      </c>
      <c r="J805" s="3" t="str">
        <f>HYPERLINK("https://www.boe.es/gazeta/dias/1823/04/28/pdfs/GES-1823-18.pdf#page=2","Abrir facsímil")</f>
        <v>Abrir facsímil</v>
      </c>
      <c r="K805" s="3" t="s">
        <v>23</v>
      </c>
    </row>
    <row r="806" spans="1:11" ht="42" customHeight="1">
      <c r="A806" s="2" t="s">
        <v>1838</v>
      </c>
      <c r="B806" s="2" t="s">
        <v>1838</v>
      </c>
      <c r="C806" s="2" t="s">
        <v>56</v>
      </c>
      <c r="D806" s="2" t="s">
        <v>57</v>
      </c>
      <c r="E806" s="5">
        <v>-27978</v>
      </c>
      <c r="F806" s="3" t="s">
        <v>342</v>
      </c>
      <c r="G806" s="3" t="s">
        <v>27</v>
      </c>
      <c r="H806" s="2" t="s">
        <v>21</v>
      </c>
      <c r="I806" s="2" t="s">
        <v>1843</v>
      </c>
      <c r="J806" s="3" t="str">
        <f>HYPERLINK("https://www.boe.es/gazeta/dias/1823/05/25/pdfs/GES-1823-46.pdf#page=2","Abrir facsímil")</f>
        <v>Abrir facsímil</v>
      </c>
      <c r="K806" s="3" t="s">
        <v>23</v>
      </c>
    </row>
    <row r="807" spans="1:11" ht="42" customHeight="1">
      <c r="A807" s="2" t="s">
        <v>1838</v>
      </c>
      <c r="B807" s="2" t="s">
        <v>1838</v>
      </c>
      <c r="C807" s="2" t="s">
        <v>79</v>
      </c>
      <c r="D807" s="2" t="s">
        <v>117</v>
      </c>
      <c r="E807" s="5">
        <v>-27952</v>
      </c>
      <c r="F807" s="3" t="s">
        <v>1844</v>
      </c>
      <c r="G807" s="3" t="s">
        <v>39</v>
      </c>
      <c r="H807" s="2" t="s">
        <v>21</v>
      </c>
      <c r="I807" s="2" t="s">
        <v>1845</v>
      </c>
      <c r="J807" s="3" t="str">
        <f>HYPERLINK("https://www.boe.es/gazeta/dias/1823/06/20/pdfs/GMD-1823-213E.pdf#page=1","Abrir facsímil")</f>
        <v>Abrir facsímil</v>
      </c>
      <c r="K807" s="3" t="s">
        <v>23</v>
      </c>
    </row>
    <row r="808" spans="1:11" ht="42" customHeight="1">
      <c r="A808" s="2" t="s">
        <v>1846</v>
      </c>
      <c r="B808" s="2" t="s">
        <v>1847</v>
      </c>
      <c r="C808" s="2" t="s">
        <v>84</v>
      </c>
      <c r="D808" s="2" t="s">
        <v>74</v>
      </c>
      <c r="E808" s="5">
        <v>-28094</v>
      </c>
      <c r="F808" s="3" t="s">
        <v>93</v>
      </c>
      <c r="G808" s="3" t="s">
        <v>20</v>
      </c>
      <c r="H808" s="2" t="s">
        <v>21</v>
      </c>
      <c r="I808" s="2" t="s">
        <v>1848</v>
      </c>
      <c r="J808" s="3" t="str">
        <f>HYPERLINK("https://www.boe.es/gazeta/dias/1823/01/29/pdfs/GMD-1823-30.pdf#page=4","Abrir facsímil")</f>
        <v>Abrir facsímil</v>
      </c>
      <c r="K808" s="3" t="s">
        <v>23</v>
      </c>
    </row>
    <row r="809" spans="1:11" ht="42" customHeight="1">
      <c r="A809" s="2" t="s">
        <v>1849</v>
      </c>
      <c r="B809" s="2" t="s">
        <v>1850</v>
      </c>
      <c r="C809" s="2" t="s">
        <v>17</v>
      </c>
      <c r="D809" s="2" t="s">
        <v>18</v>
      </c>
      <c r="E809" s="5">
        <v>-28035</v>
      </c>
      <c r="F809" s="3" t="s">
        <v>138</v>
      </c>
      <c r="G809" s="3" t="s">
        <v>20</v>
      </c>
      <c r="H809" s="2" t="s">
        <v>21</v>
      </c>
      <c r="I809" s="2" t="s">
        <v>1851</v>
      </c>
      <c r="J809" s="3" t="str">
        <f>HYPERLINK("https://www.boe.es/gazeta/dias/1823/03/29/pdfs/GMD-1823-92.pdf#page=4","Abrir facsímil")</f>
        <v>Abrir facsímil</v>
      </c>
      <c r="K809" s="3" t="s">
        <v>23</v>
      </c>
    </row>
    <row r="810" spans="1:11" ht="42" customHeight="1">
      <c r="A810" s="2" t="s">
        <v>1852</v>
      </c>
      <c r="B810" s="2" t="s">
        <v>1853</v>
      </c>
      <c r="C810" s="2" t="s">
        <v>17</v>
      </c>
      <c r="D810" s="2" t="s">
        <v>18</v>
      </c>
      <c r="E810" s="5">
        <v>-27785</v>
      </c>
      <c r="F810" s="3" t="s">
        <v>1397</v>
      </c>
      <c r="G810" s="3" t="s">
        <v>48</v>
      </c>
      <c r="H810" s="2" t="s">
        <v>21</v>
      </c>
      <c r="I810" s="2" t="s">
        <v>1854</v>
      </c>
      <c r="J810" s="3" t="str">
        <f>HYPERLINK("https://www.boe.es/gazeta/dias/1823/12/04/pdfs/GMD-1823-1203.pdf#page=3","Abrir facsímil")</f>
        <v>Abrir facsímil</v>
      </c>
      <c r="K810" s="3" t="s">
        <v>23</v>
      </c>
    </row>
    <row r="811" spans="1:11" ht="42" customHeight="1">
      <c r="A811" s="2" t="s">
        <v>1855</v>
      </c>
      <c r="B811" s="2" t="s">
        <v>1855</v>
      </c>
      <c r="C811" s="2" t="s">
        <v>17</v>
      </c>
      <c r="D811" s="2" t="s">
        <v>18</v>
      </c>
      <c r="E811" s="5">
        <v>-27913</v>
      </c>
      <c r="F811" s="3" t="s">
        <v>821</v>
      </c>
      <c r="G811" s="3" t="s">
        <v>39</v>
      </c>
      <c r="H811" s="2" t="s">
        <v>21</v>
      </c>
      <c r="I811" s="2" t="s">
        <v>1856</v>
      </c>
      <c r="J811" s="3" t="str">
        <f>HYPERLINK("https://www.boe.es/gazeta/dias/1823/07/29/pdfs/GES-1823-110.pdf#page=1","Abrir facsímil")</f>
        <v>Abrir facsímil</v>
      </c>
      <c r="K811" s="3" t="s">
        <v>23</v>
      </c>
    </row>
    <row r="812" spans="1:11" ht="42" customHeight="1">
      <c r="A812" s="2" t="s">
        <v>1857</v>
      </c>
      <c r="B812" s="2" t="s">
        <v>1857</v>
      </c>
      <c r="C812" s="2" t="s">
        <v>17</v>
      </c>
      <c r="D812" s="2" t="s">
        <v>18</v>
      </c>
      <c r="E812" s="5">
        <v>-27875</v>
      </c>
      <c r="F812" s="3" t="s">
        <v>1858</v>
      </c>
      <c r="G812" s="3" t="s">
        <v>39</v>
      </c>
      <c r="H812" s="2" t="s">
        <v>21</v>
      </c>
      <c r="I812" s="2" t="s">
        <v>1859</v>
      </c>
      <c r="J812" s="3" t="str">
        <f>HYPERLINK("https://www.boe.es/gazeta/dias/1823/09/05/pdfs/GES-1823-149.pdf#page=1","Abrir facsímil")</f>
        <v>Abrir facsímil</v>
      </c>
      <c r="K812" s="3" t="s">
        <v>23</v>
      </c>
    </row>
    <row r="813" spans="1:11" ht="42" customHeight="1">
      <c r="A813" s="2" t="s">
        <v>1860</v>
      </c>
      <c r="B813" s="2" t="s">
        <v>1861</v>
      </c>
      <c r="C813" s="2" t="s">
        <v>73</v>
      </c>
      <c r="D813" s="2" t="s">
        <v>74</v>
      </c>
      <c r="E813" s="5">
        <v>-28037</v>
      </c>
      <c r="F813" s="3" t="s">
        <v>192</v>
      </c>
      <c r="G813" s="3" t="s">
        <v>48</v>
      </c>
      <c r="H813" s="2" t="s">
        <v>21</v>
      </c>
      <c r="I813" s="2" t="s">
        <v>1862</v>
      </c>
      <c r="J813" s="3" t="str">
        <f>HYPERLINK("https://www.boe.es/gazeta/dias/1823/03/27/pdfs/GMD-1823-90.pdf#page=3","Abrir facsímil")</f>
        <v>Abrir facsímil</v>
      </c>
      <c r="K813" s="3" t="s">
        <v>23</v>
      </c>
    </row>
    <row r="814" spans="1:11" ht="42" customHeight="1">
      <c r="A814" s="2" t="s">
        <v>1863</v>
      </c>
      <c r="B814" s="2" t="s">
        <v>1864</v>
      </c>
      <c r="C814" s="2" t="s">
        <v>17</v>
      </c>
      <c r="D814" s="2" t="s">
        <v>18</v>
      </c>
      <c r="E814" s="5">
        <v>-27897</v>
      </c>
      <c r="F814" s="3" t="s">
        <v>1569</v>
      </c>
      <c r="G814" s="3" t="s">
        <v>20</v>
      </c>
      <c r="H814" s="2" t="s">
        <v>21</v>
      </c>
      <c r="I814" s="2" t="s">
        <v>1865</v>
      </c>
      <c r="J814" s="3" t="str">
        <f>HYPERLINK("https://www.boe.es/gazeta/dias/1823/08/14/pdfs/GMD-1823-593.pdf#page=4","Abrir facsímil")</f>
        <v>Abrir facsímil</v>
      </c>
      <c r="K814" s="3" t="s">
        <v>23</v>
      </c>
    </row>
    <row r="815" spans="1:11" ht="42" customHeight="1">
      <c r="A815" s="2" t="s">
        <v>1866</v>
      </c>
      <c r="B815" s="2" t="s">
        <v>1867</v>
      </c>
      <c r="C815" s="2" t="s">
        <v>17</v>
      </c>
      <c r="D815" s="2" t="s">
        <v>18</v>
      </c>
      <c r="E815" s="5">
        <v>-28003</v>
      </c>
      <c r="F815" s="3" t="s">
        <v>26</v>
      </c>
      <c r="G815" s="3" t="s">
        <v>27</v>
      </c>
      <c r="H815" s="2" t="s">
        <v>28</v>
      </c>
      <c r="I815" s="2" t="s">
        <v>1868</v>
      </c>
      <c r="J815" s="3" t="str">
        <f>HYPERLINK("https://www.boe.es/gazeta/dias/1823/04/30/pdfs/GES-1823-20.pdf#page=2","Abrir facsímil")</f>
        <v>Abrir facsímil</v>
      </c>
      <c r="K815" s="3" t="s">
        <v>30</v>
      </c>
    </row>
    <row r="816" spans="1:11" ht="42" customHeight="1">
      <c r="A816" s="2" t="s">
        <v>1866</v>
      </c>
      <c r="B816" s="2" t="s">
        <v>1867</v>
      </c>
      <c r="C816" s="2" t="s">
        <v>17</v>
      </c>
      <c r="D816" s="2" t="s">
        <v>18</v>
      </c>
      <c r="E816" s="5">
        <v>-27997</v>
      </c>
      <c r="F816" s="3" t="s">
        <v>937</v>
      </c>
      <c r="G816" s="3" t="s">
        <v>48</v>
      </c>
      <c r="H816" s="2" t="s">
        <v>28</v>
      </c>
      <c r="I816" s="2" t="s">
        <v>1869</v>
      </c>
      <c r="J816" s="3" t="str">
        <f>HYPERLINK("https://www.boe.es/gazeta/dias/1823/05/06/pdfs/GMD-1823-102.pdf#page=3","Abrir facsímil")</f>
        <v>Abrir facsímil</v>
      </c>
      <c r="K816" s="3" t="s">
        <v>30</v>
      </c>
    </row>
    <row r="817" spans="1:11" ht="42" customHeight="1">
      <c r="A817" s="2" t="s">
        <v>1870</v>
      </c>
      <c r="B817" s="2" t="s">
        <v>1871</v>
      </c>
      <c r="C817" s="2" t="s">
        <v>17</v>
      </c>
      <c r="D817" s="2" t="s">
        <v>18</v>
      </c>
      <c r="E817" s="5">
        <v>-27980</v>
      </c>
      <c r="F817" s="3" t="s">
        <v>1068</v>
      </c>
      <c r="G817" s="3" t="s">
        <v>59</v>
      </c>
      <c r="H817" s="2" t="s">
        <v>28</v>
      </c>
      <c r="I817" s="2" t="s">
        <v>1872</v>
      </c>
      <c r="J817" s="3" t="str">
        <f>HYPERLINK("https://www.boe.es/gazeta/dias/1823/05/23/pdfs/GES-1823-44.pdf#page=6","Abrir facsímil")</f>
        <v>Abrir facsímil</v>
      </c>
      <c r="K817" s="3" t="s">
        <v>30</v>
      </c>
    </row>
    <row r="818" spans="1:11" ht="42" customHeight="1">
      <c r="A818" s="2" t="s">
        <v>1866</v>
      </c>
      <c r="B818" s="2" t="s">
        <v>1867</v>
      </c>
      <c r="C818" s="2" t="s">
        <v>17</v>
      </c>
      <c r="D818" s="2" t="s">
        <v>18</v>
      </c>
      <c r="E818" s="5">
        <v>-27970</v>
      </c>
      <c r="F818" s="3" t="s">
        <v>1030</v>
      </c>
      <c r="G818" s="3" t="s">
        <v>59</v>
      </c>
      <c r="H818" s="2" t="s">
        <v>28</v>
      </c>
      <c r="I818" s="2" t="s">
        <v>1873</v>
      </c>
      <c r="J818" s="3" t="str">
        <f>HYPERLINK("https://www.boe.es/gazeta/dias/1823/06/02/pdfs/GES-1823-56.pdf#page=6","Abrir facsímil")</f>
        <v>Abrir facsímil</v>
      </c>
      <c r="K818" s="3" t="s">
        <v>30</v>
      </c>
    </row>
    <row r="819" spans="1:11" ht="42" customHeight="1">
      <c r="A819" s="2" t="s">
        <v>1874</v>
      </c>
      <c r="B819" s="2" t="s">
        <v>1874</v>
      </c>
      <c r="C819" s="2" t="s">
        <v>17</v>
      </c>
      <c r="D819" s="2" t="s">
        <v>18</v>
      </c>
      <c r="E819" s="5">
        <v>-27892</v>
      </c>
      <c r="F819" s="3" t="s">
        <v>1571</v>
      </c>
      <c r="G819" s="3" t="s">
        <v>48</v>
      </c>
      <c r="H819" s="2" t="s">
        <v>21</v>
      </c>
      <c r="I819" s="2" t="s">
        <v>1875</v>
      </c>
      <c r="J819" s="3" t="str">
        <f>HYPERLINK("https://www.boe.es/gazeta/dias/1823/08/19/pdfs/GMD-1823-613.pdf#page=3","Abrir facsímil")</f>
        <v>Abrir facsímil</v>
      </c>
      <c r="K819" s="3" t="s">
        <v>23</v>
      </c>
    </row>
    <row r="820" spans="1:11" ht="42" customHeight="1">
      <c r="A820" s="2" t="s">
        <v>1876</v>
      </c>
      <c r="B820" s="2" t="s">
        <v>1876</v>
      </c>
      <c r="C820" s="2" t="s">
        <v>17</v>
      </c>
      <c r="D820" s="2" t="s">
        <v>18</v>
      </c>
      <c r="E820" s="5">
        <v>-28119</v>
      </c>
      <c r="F820" s="3" t="s">
        <v>545</v>
      </c>
      <c r="G820" s="3" t="s">
        <v>59</v>
      </c>
      <c r="H820" s="2" t="s">
        <v>21</v>
      </c>
      <c r="I820" s="2" t="s">
        <v>1877</v>
      </c>
      <c r="J820" s="3" t="str">
        <f>HYPERLINK("https://www.boe.es/gazeta/dias/1823/01/04/pdfs/GMD-1823-4.pdf#page=6","Abrir facsímil")</f>
        <v>Abrir facsímil</v>
      </c>
      <c r="K820" s="3" t="s">
        <v>23</v>
      </c>
    </row>
    <row r="821" spans="1:11" ht="42" customHeight="1">
      <c r="A821" s="2" t="s">
        <v>1876</v>
      </c>
      <c r="B821" s="2" t="s">
        <v>1876</v>
      </c>
      <c r="C821" s="2" t="s">
        <v>17</v>
      </c>
      <c r="D821" s="2" t="s">
        <v>18</v>
      </c>
      <c r="E821" s="5">
        <v>-28116</v>
      </c>
      <c r="F821" s="3" t="s">
        <v>134</v>
      </c>
      <c r="G821" s="3" t="s">
        <v>59</v>
      </c>
      <c r="H821" s="2" t="s">
        <v>21</v>
      </c>
      <c r="I821" s="2" t="s">
        <v>1878</v>
      </c>
      <c r="J821" s="3" t="str">
        <f>HYPERLINK("https://www.boe.es/gazeta/dias/1823/01/07/pdfs/GMD-1823-7.pdf#page=6","Abrir facsímil")</f>
        <v>Abrir facsímil</v>
      </c>
      <c r="K821" s="3" t="s">
        <v>23</v>
      </c>
    </row>
    <row r="822" spans="1:11" ht="42" customHeight="1">
      <c r="A822" s="2" t="s">
        <v>1876</v>
      </c>
      <c r="B822" s="2" t="s">
        <v>1876</v>
      </c>
      <c r="C822" s="2" t="s">
        <v>17</v>
      </c>
      <c r="D822" s="2" t="s">
        <v>18</v>
      </c>
      <c r="E822" s="5">
        <v>-28062</v>
      </c>
      <c r="F822" s="3" t="s">
        <v>1357</v>
      </c>
      <c r="G822" s="3" t="s">
        <v>48</v>
      </c>
      <c r="H822" s="2" t="s">
        <v>21</v>
      </c>
      <c r="I822" s="2" t="s">
        <v>1879</v>
      </c>
      <c r="J822" s="3" t="str">
        <f>HYPERLINK("https://www.boe.es/gazeta/dias/1823/03/02/pdfs/GMD-1823-65.pdf#page=3","Abrir facsímil")</f>
        <v>Abrir facsímil</v>
      </c>
      <c r="K822" s="3" t="s">
        <v>23</v>
      </c>
    </row>
    <row r="823" spans="1:11" ht="42" customHeight="1">
      <c r="A823" s="2" t="s">
        <v>1876</v>
      </c>
      <c r="B823" s="2" t="s">
        <v>1876</v>
      </c>
      <c r="C823" s="2" t="s">
        <v>17</v>
      </c>
      <c r="D823" s="2" t="s">
        <v>18</v>
      </c>
      <c r="E823" s="5">
        <v>-28058</v>
      </c>
      <c r="F823" s="3" t="s">
        <v>1282</v>
      </c>
      <c r="G823" s="3" t="s">
        <v>34</v>
      </c>
      <c r="H823" s="2" t="s">
        <v>21</v>
      </c>
      <c r="I823" s="2" t="s">
        <v>1880</v>
      </c>
      <c r="J823" s="3" t="str">
        <f>HYPERLINK("https://www.boe.es/gazeta/dias/1823/03/06/pdfs/GMD-1823-69.pdf#page=5","Abrir facsímil")</f>
        <v>Abrir facsímil</v>
      </c>
      <c r="K823" s="3" t="s">
        <v>23</v>
      </c>
    </row>
    <row r="824" spans="1:11" ht="42" customHeight="1">
      <c r="A824" s="2" t="s">
        <v>1876</v>
      </c>
      <c r="B824" s="2" t="s">
        <v>1876</v>
      </c>
      <c r="C824" s="2" t="s">
        <v>17</v>
      </c>
      <c r="D824" s="2" t="s">
        <v>18</v>
      </c>
      <c r="E824" s="5">
        <v>-28058</v>
      </c>
      <c r="F824" s="3" t="s">
        <v>1282</v>
      </c>
      <c r="G824" s="3" t="s">
        <v>59</v>
      </c>
      <c r="H824" s="2" t="s">
        <v>21</v>
      </c>
      <c r="I824" s="2" t="s">
        <v>1881</v>
      </c>
      <c r="J824" s="3" t="str">
        <f>HYPERLINK("https://www.boe.es/gazeta/dias/1823/03/06/pdfs/GMD-1823-69.pdf#page=6","Abrir facsímil")</f>
        <v>Abrir facsímil</v>
      </c>
      <c r="K824" s="3" t="s">
        <v>23</v>
      </c>
    </row>
    <row r="825" spans="1:11" ht="42" customHeight="1">
      <c r="A825" s="2" t="s">
        <v>1876</v>
      </c>
      <c r="B825" s="2" t="s">
        <v>1876</v>
      </c>
      <c r="C825" s="2" t="s">
        <v>17</v>
      </c>
      <c r="D825" s="2" t="s">
        <v>18</v>
      </c>
      <c r="E825" s="5">
        <v>-28057</v>
      </c>
      <c r="F825" s="3" t="s">
        <v>301</v>
      </c>
      <c r="G825" s="3" t="s">
        <v>27</v>
      </c>
      <c r="H825" s="2" t="s">
        <v>21</v>
      </c>
      <c r="I825" s="2" t="s">
        <v>1882</v>
      </c>
      <c r="J825" s="3" t="str">
        <f>HYPERLINK("https://www.boe.es/gazeta/dias/1823/03/07/pdfs/GMD-1823-70.pdf#page=2","Abrir facsímil")</f>
        <v>Abrir facsímil</v>
      </c>
      <c r="K825" s="3" t="s">
        <v>23</v>
      </c>
    </row>
    <row r="826" spans="1:11" ht="42" customHeight="1">
      <c r="A826" s="2" t="s">
        <v>1876</v>
      </c>
      <c r="B826" s="2" t="s">
        <v>1876</v>
      </c>
      <c r="C826" s="2" t="s">
        <v>17</v>
      </c>
      <c r="D826" s="2" t="s">
        <v>18</v>
      </c>
      <c r="E826" s="5">
        <v>-28006</v>
      </c>
      <c r="F826" s="3" t="s">
        <v>183</v>
      </c>
      <c r="G826" s="3" t="s">
        <v>59</v>
      </c>
      <c r="H826" s="2" t="s">
        <v>21</v>
      </c>
      <c r="I826" s="2" t="s">
        <v>1883</v>
      </c>
      <c r="J826" s="3" t="str">
        <f>HYPERLINK("https://www.boe.es/gazeta/dias/1823/04/27/pdfs/GES-1823-17.pdf#page=6","Abrir facsímil")</f>
        <v>Abrir facsímil</v>
      </c>
      <c r="K826" s="3" t="s">
        <v>23</v>
      </c>
    </row>
    <row r="827" spans="1:11" ht="42" customHeight="1">
      <c r="A827" s="2" t="s">
        <v>1884</v>
      </c>
      <c r="B827" s="2" t="s">
        <v>1885</v>
      </c>
      <c r="C827" s="2" t="s">
        <v>17</v>
      </c>
      <c r="D827" s="2" t="s">
        <v>18</v>
      </c>
      <c r="E827" s="5">
        <v>-27869</v>
      </c>
      <c r="F827" s="3" t="s">
        <v>1886</v>
      </c>
      <c r="G827" s="3" t="s">
        <v>39</v>
      </c>
      <c r="H827" s="2" t="s">
        <v>21</v>
      </c>
      <c r="I827" s="2" t="s">
        <v>1887</v>
      </c>
      <c r="J827" s="3" t="str">
        <f>HYPERLINK("https://www.boe.es/gazeta/dias/1823/09/11/pdfs/GES-1823-155.pdf#page=1","Abrir facsímil")</f>
        <v>Abrir facsímil</v>
      </c>
      <c r="K827" s="3" t="s">
        <v>23</v>
      </c>
    </row>
    <row r="828" spans="1:11" ht="42" customHeight="1">
      <c r="A828" s="2" t="s">
        <v>1888</v>
      </c>
      <c r="B828" s="2" t="s">
        <v>1889</v>
      </c>
      <c r="C828" s="2" t="s">
        <v>17</v>
      </c>
      <c r="D828" s="2" t="s">
        <v>18</v>
      </c>
      <c r="E828" s="5">
        <v>-28099</v>
      </c>
      <c r="F828" s="3" t="s">
        <v>1689</v>
      </c>
      <c r="G828" s="3" t="s">
        <v>20</v>
      </c>
      <c r="H828" s="2" t="s">
        <v>21</v>
      </c>
      <c r="I828" s="2" t="s">
        <v>1890</v>
      </c>
      <c r="J828" s="3" t="str">
        <f>HYPERLINK("https://www.boe.es/gazeta/dias/1823/01/24/pdfs/GMD-1823-25.pdf#page=4","Abrir facsímil")</f>
        <v>Abrir facsímil</v>
      </c>
      <c r="K828" s="3" t="s">
        <v>23</v>
      </c>
    </row>
    <row r="829" spans="1:11" ht="42" customHeight="1">
      <c r="A829" s="2" t="s">
        <v>1891</v>
      </c>
      <c r="B829" s="2" t="s">
        <v>1892</v>
      </c>
      <c r="C829" s="2" t="s">
        <v>79</v>
      </c>
      <c r="D829" s="2" t="s">
        <v>74</v>
      </c>
      <c r="E829" s="5">
        <v>-27893</v>
      </c>
      <c r="F829" s="3" t="s">
        <v>1893</v>
      </c>
      <c r="G829" s="3" t="s">
        <v>1894</v>
      </c>
      <c r="H829" s="2" t="s">
        <v>21</v>
      </c>
      <c r="I829" s="2" t="s">
        <v>1895</v>
      </c>
      <c r="J829" s="3" t="str">
        <f>HYPERLINK("https://www.boe.es/gazeta/dias/1823/08/18/pdfs/GES-1823-131.pdf#page=4","Abrir facsímil")</f>
        <v>Abrir facsímil</v>
      </c>
      <c r="K829" s="3" t="s">
        <v>23</v>
      </c>
    </row>
    <row r="830" spans="1:11" ht="42" customHeight="1">
      <c r="A830" s="2" t="s">
        <v>1896</v>
      </c>
      <c r="B830" s="2" t="s">
        <v>1897</v>
      </c>
      <c r="C830" s="2" t="s">
        <v>17</v>
      </c>
      <c r="D830" s="2" t="s">
        <v>18</v>
      </c>
      <c r="E830" s="5">
        <v>-28007</v>
      </c>
      <c r="F830" s="3" t="s">
        <v>1190</v>
      </c>
      <c r="G830" s="3" t="s">
        <v>20</v>
      </c>
      <c r="H830" s="2" t="s">
        <v>21</v>
      </c>
      <c r="I830" s="2" t="s">
        <v>1898</v>
      </c>
      <c r="J830" s="3" t="str">
        <f>HYPERLINK("https://www.boe.es/gazeta/dias/1823/04/26/pdfs/GMD-1823-62.pdf#page=4","Abrir facsímil")</f>
        <v>Abrir facsímil</v>
      </c>
      <c r="K830" s="3" t="s">
        <v>23</v>
      </c>
    </row>
    <row r="831" spans="1:11" ht="42" customHeight="1">
      <c r="A831" s="2" t="s">
        <v>1899</v>
      </c>
      <c r="B831" s="2" t="s">
        <v>1900</v>
      </c>
      <c r="C831" s="2" t="s">
        <v>109</v>
      </c>
      <c r="D831" s="2" t="s">
        <v>74</v>
      </c>
      <c r="E831" s="5">
        <v>-27995</v>
      </c>
      <c r="F831" s="3" t="s">
        <v>326</v>
      </c>
      <c r="G831" s="3" t="s">
        <v>39</v>
      </c>
      <c r="H831" s="2" t="s">
        <v>21</v>
      </c>
      <c r="I831" s="2" t="s">
        <v>1901</v>
      </c>
      <c r="J831" s="3" t="str">
        <f>HYPERLINK("https://www.boe.es/gazeta/dias/1823/05/08/pdfs/GMD-1823-112.pdf#page=1","Abrir facsímil")</f>
        <v>Abrir facsímil</v>
      </c>
      <c r="K831" s="3" t="s">
        <v>23</v>
      </c>
    </row>
    <row r="832" spans="1:11" ht="42" customHeight="1">
      <c r="A832" s="2" t="s">
        <v>1902</v>
      </c>
      <c r="B832" s="2" t="s">
        <v>1903</v>
      </c>
      <c r="C832" s="2" t="s">
        <v>17</v>
      </c>
      <c r="D832" s="2" t="s">
        <v>18</v>
      </c>
      <c r="E832" s="5">
        <v>-27938</v>
      </c>
      <c r="F832" s="3" t="s">
        <v>101</v>
      </c>
      <c r="G832" s="3" t="s">
        <v>48</v>
      </c>
      <c r="H832" s="2" t="s">
        <v>21</v>
      </c>
      <c r="I832" s="2" t="s">
        <v>1904</v>
      </c>
      <c r="J832" s="3" t="str">
        <f>HYPERLINK("https://www.boe.es/gazeta/dias/1823/07/04/pdfs/GES-1823-84.pdf#page=3","Abrir facsímil")</f>
        <v>Abrir facsímil</v>
      </c>
      <c r="K832" s="3" t="s">
        <v>23</v>
      </c>
    </row>
    <row r="833" spans="1:11" ht="42" customHeight="1">
      <c r="A833" s="2" t="s">
        <v>1905</v>
      </c>
      <c r="B833" s="2" t="s">
        <v>1906</v>
      </c>
      <c r="C833" s="2" t="s">
        <v>17</v>
      </c>
      <c r="D833" s="2" t="s">
        <v>18</v>
      </c>
      <c r="E833" s="5">
        <v>-27762</v>
      </c>
      <c r="F833" s="3" t="s">
        <v>1614</v>
      </c>
      <c r="G833" s="3" t="s">
        <v>27</v>
      </c>
      <c r="H833" s="2" t="s">
        <v>21</v>
      </c>
      <c r="I833" s="2" t="s">
        <v>1907</v>
      </c>
      <c r="J833" s="3" t="str">
        <f>HYPERLINK("https://www.boe.es/gazeta/dias/1823/12/27/pdfs/GMD-1823-1303.pdf#page=2","Abrir facsímil")</f>
        <v>Abrir facsímil</v>
      </c>
      <c r="K833" s="3" t="s">
        <v>23</v>
      </c>
    </row>
    <row r="834" spans="1:11" ht="42" customHeight="1">
      <c r="A834" s="2" t="s">
        <v>1908</v>
      </c>
      <c r="B834" s="2" t="s">
        <v>1909</v>
      </c>
      <c r="C834" s="2" t="s">
        <v>79</v>
      </c>
      <c r="D834" s="2" t="s">
        <v>74</v>
      </c>
      <c r="E834" s="5">
        <v>-28092</v>
      </c>
      <c r="F834" s="3" t="s">
        <v>105</v>
      </c>
      <c r="G834" s="3" t="s">
        <v>39</v>
      </c>
      <c r="H834" s="2" t="s">
        <v>21</v>
      </c>
      <c r="I834" s="2" t="s">
        <v>1910</v>
      </c>
      <c r="J834" s="3" t="str">
        <f>HYPERLINK("https://www.boe.es/gazeta/dias/1823/01/31/pdfs/GMD-1823-32.pdf#page=1","Abrir facsímil")</f>
        <v>Abrir facsímil</v>
      </c>
      <c r="K834" s="3" t="s">
        <v>23</v>
      </c>
    </row>
    <row r="835" spans="1:11" ht="42" customHeight="1">
      <c r="A835" s="2" t="s">
        <v>1911</v>
      </c>
      <c r="B835" s="2" t="s">
        <v>1912</v>
      </c>
      <c r="C835" s="2" t="s">
        <v>56</v>
      </c>
      <c r="D835" s="2" t="s">
        <v>57</v>
      </c>
      <c r="E835" s="5">
        <v>-27889</v>
      </c>
      <c r="F835" s="3" t="s">
        <v>1306</v>
      </c>
      <c r="G835" s="3" t="s">
        <v>39</v>
      </c>
      <c r="H835" s="2" t="s">
        <v>21</v>
      </c>
      <c r="I835" s="2" t="s">
        <v>1913</v>
      </c>
      <c r="J835" s="3" t="str">
        <f>HYPERLINK("https://www.boe.es/gazeta/dias/1823/08/22/pdfs/GES-1823-135.pdf#page=1","Abrir facsímil")</f>
        <v>Abrir facsímil</v>
      </c>
      <c r="K835" s="3" t="s">
        <v>23</v>
      </c>
    </row>
    <row r="836" spans="1:11" ht="42" customHeight="1">
      <c r="A836" s="2" t="s">
        <v>1914</v>
      </c>
      <c r="B836" s="2" t="s">
        <v>1915</v>
      </c>
      <c r="C836" s="2" t="s">
        <v>109</v>
      </c>
      <c r="D836" s="2" t="s">
        <v>74</v>
      </c>
      <c r="E836" s="5">
        <v>-28079</v>
      </c>
      <c r="F836" s="3" t="s">
        <v>178</v>
      </c>
      <c r="G836" s="3" t="s">
        <v>48</v>
      </c>
      <c r="H836" s="2" t="s">
        <v>21</v>
      </c>
      <c r="I836" s="2" t="s">
        <v>1916</v>
      </c>
      <c r="J836" s="3" t="str">
        <f>HYPERLINK("https://www.boe.es/gazeta/dias/1823/02/13/pdfs/GMD-1823-47.pdf#page=3","Abrir facsímil")</f>
        <v>Abrir facsímil</v>
      </c>
      <c r="K836" s="3" t="s">
        <v>23</v>
      </c>
    </row>
    <row r="837" spans="1:11" ht="42" customHeight="1">
      <c r="A837" s="2" t="s">
        <v>1914</v>
      </c>
      <c r="B837" s="2" t="s">
        <v>1915</v>
      </c>
      <c r="C837" s="2" t="s">
        <v>109</v>
      </c>
      <c r="D837" s="2" t="s">
        <v>74</v>
      </c>
      <c r="E837" s="5">
        <v>-27889</v>
      </c>
      <c r="F837" s="3" t="s">
        <v>1306</v>
      </c>
      <c r="G837" s="3" t="s">
        <v>39</v>
      </c>
      <c r="H837" s="2" t="s">
        <v>21</v>
      </c>
      <c r="I837" s="2" t="s">
        <v>1917</v>
      </c>
      <c r="J837" s="3" t="str">
        <f>HYPERLINK("https://www.boe.es/gazeta/dias/1823/08/22/pdfs/GES-1823-135.pdf#page=1","Abrir facsímil")</f>
        <v>Abrir facsímil</v>
      </c>
      <c r="K837" s="3" t="s">
        <v>23</v>
      </c>
    </row>
    <row r="838" spans="1:11" ht="42" customHeight="1">
      <c r="A838" s="2" t="s">
        <v>1918</v>
      </c>
      <c r="B838" s="2" t="s">
        <v>1918</v>
      </c>
      <c r="C838" s="2" t="s">
        <v>17</v>
      </c>
      <c r="D838" s="2" t="s">
        <v>18</v>
      </c>
      <c r="E838" s="5">
        <v>-28058</v>
      </c>
      <c r="F838" s="3" t="s">
        <v>1282</v>
      </c>
      <c r="G838" s="3" t="s">
        <v>34</v>
      </c>
      <c r="H838" s="2" t="s">
        <v>21</v>
      </c>
      <c r="I838" s="2" t="s">
        <v>1919</v>
      </c>
      <c r="J838" s="3" t="str">
        <f>HYPERLINK("https://www.boe.es/gazeta/dias/1823/03/06/pdfs/GMD-1823-69.pdf#page=5","Abrir facsímil")</f>
        <v>Abrir facsímil</v>
      </c>
      <c r="K838" s="3" t="s">
        <v>23</v>
      </c>
    </row>
    <row r="839" spans="1:11" ht="42" customHeight="1">
      <c r="A839" s="2" t="s">
        <v>1920</v>
      </c>
      <c r="B839" s="2" t="s">
        <v>1921</v>
      </c>
      <c r="C839" s="2" t="s">
        <v>17</v>
      </c>
      <c r="D839" s="2" t="s">
        <v>117</v>
      </c>
      <c r="E839" s="5">
        <v>-27975</v>
      </c>
      <c r="F839" s="3" t="s">
        <v>1922</v>
      </c>
      <c r="G839" s="3" t="s">
        <v>39</v>
      </c>
      <c r="H839" s="2" t="s">
        <v>21</v>
      </c>
      <c r="I839" s="2" t="s">
        <v>1923</v>
      </c>
      <c r="J839" s="3" t="str">
        <f>HYPERLINK("https://www.boe.es/gazeta/dias/1823/05/28/pdfs/GES-1823-51E.pdf#page=1","Abrir facsímil")</f>
        <v>Abrir facsímil</v>
      </c>
      <c r="K839" s="3" t="s">
        <v>23</v>
      </c>
    </row>
    <row r="840" spans="1:11" ht="42" customHeight="1">
      <c r="A840" s="2" t="s">
        <v>1924</v>
      </c>
      <c r="B840" s="2" t="s">
        <v>1925</v>
      </c>
      <c r="C840" s="2" t="s">
        <v>17</v>
      </c>
      <c r="D840" s="2" t="s">
        <v>18</v>
      </c>
      <c r="E840" s="5">
        <v>-28081</v>
      </c>
      <c r="F840" s="3" t="s">
        <v>170</v>
      </c>
      <c r="G840" s="3" t="s">
        <v>20</v>
      </c>
      <c r="H840" s="2" t="s">
        <v>21</v>
      </c>
      <c r="I840" s="2" t="s">
        <v>1926</v>
      </c>
      <c r="J840" s="3" t="str">
        <f>HYPERLINK("https://www.boe.es/gazeta/dias/1823/02/11/pdfs/GMD-1823-45.pdf#page=4","Abrir facsímil")</f>
        <v>Abrir facsímil</v>
      </c>
      <c r="K840" s="3" t="s">
        <v>23</v>
      </c>
    </row>
    <row r="841" spans="1:11" ht="42" customHeight="1">
      <c r="A841" s="2" t="s">
        <v>1927</v>
      </c>
      <c r="B841" s="2" t="s">
        <v>1928</v>
      </c>
      <c r="C841" s="2" t="s">
        <v>79</v>
      </c>
      <c r="D841" s="2" t="s">
        <v>74</v>
      </c>
      <c r="E841" s="5">
        <v>-28061</v>
      </c>
      <c r="F841" s="3" t="s">
        <v>704</v>
      </c>
      <c r="G841" s="3" t="s">
        <v>59</v>
      </c>
      <c r="H841" s="2" t="s">
        <v>21</v>
      </c>
      <c r="I841" s="2" t="s">
        <v>1929</v>
      </c>
      <c r="J841" s="3" t="str">
        <f>HYPERLINK("https://www.boe.es/gazeta/dias/1823/03/03/pdfs/GMD-1823-66.pdf#page=6","Abrir facsímil")</f>
        <v>Abrir facsímil</v>
      </c>
      <c r="K841" s="3" t="s">
        <v>23</v>
      </c>
    </row>
    <row r="842" spans="1:11" ht="42" customHeight="1">
      <c r="A842" s="2" t="s">
        <v>1927</v>
      </c>
      <c r="B842" s="2" t="s">
        <v>1928</v>
      </c>
      <c r="C842" s="2" t="s">
        <v>17</v>
      </c>
      <c r="D842" s="2" t="s">
        <v>18</v>
      </c>
      <c r="E842" s="5">
        <v>-28044</v>
      </c>
      <c r="F842" s="3" t="s">
        <v>1930</v>
      </c>
      <c r="G842" s="3" t="s">
        <v>20</v>
      </c>
      <c r="H842" s="2" t="s">
        <v>21</v>
      </c>
      <c r="I842" s="2" t="s">
        <v>1931</v>
      </c>
      <c r="J842" s="3" t="str">
        <f>HYPERLINK("https://www.boe.es/gazeta/dias/1823/03/20/pdfs/GMD-1823-83.pdf#page=4","Abrir facsímil")</f>
        <v>Abrir facsímil</v>
      </c>
      <c r="K842" s="3" t="s">
        <v>23</v>
      </c>
    </row>
    <row r="843" spans="1:11" ht="42" customHeight="1">
      <c r="A843" s="2" t="s">
        <v>1927</v>
      </c>
      <c r="B843" s="2" t="s">
        <v>1928</v>
      </c>
      <c r="C843" s="2" t="s">
        <v>79</v>
      </c>
      <c r="D843" s="2" t="s">
        <v>74</v>
      </c>
      <c r="E843" s="5">
        <v>-28041</v>
      </c>
      <c r="F843" s="3" t="s">
        <v>873</v>
      </c>
      <c r="G843" s="3" t="s">
        <v>366</v>
      </c>
      <c r="H843" s="2" t="s">
        <v>21</v>
      </c>
      <c r="I843" s="2" t="s">
        <v>1932</v>
      </c>
      <c r="J843" s="3" t="str">
        <f>HYPERLINK("https://www.boe.es/gazeta/dias/1823/03/23/pdfs/GMD-1823-86.pdf#page=4","Abrir facsímil")</f>
        <v>Abrir facsímil</v>
      </c>
      <c r="K843" s="3" t="s">
        <v>23</v>
      </c>
    </row>
    <row r="844" spans="1:11" ht="42" customHeight="1">
      <c r="A844" s="2" t="s">
        <v>1933</v>
      </c>
      <c r="B844" s="2" t="s">
        <v>1934</v>
      </c>
      <c r="C844" s="2" t="s">
        <v>17</v>
      </c>
      <c r="D844" s="2" t="s">
        <v>18</v>
      </c>
      <c r="E844" s="5">
        <v>-28037</v>
      </c>
      <c r="F844" s="3" t="s">
        <v>192</v>
      </c>
      <c r="G844" s="3" t="s">
        <v>48</v>
      </c>
      <c r="H844" s="2" t="s">
        <v>28</v>
      </c>
      <c r="I844" s="2" t="s">
        <v>1935</v>
      </c>
      <c r="J844" s="3" t="str">
        <f>HYPERLINK("https://www.boe.es/gazeta/dias/1823/03/27/pdfs/GMD-1823-90.pdf#page=3","Abrir facsímil")</f>
        <v>Abrir facsímil</v>
      </c>
      <c r="K844" s="3" t="s">
        <v>30</v>
      </c>
    </row>
    <row r="845" spans="1:11" ht="42" customHeight="1">
      <c r="A845" s="2" t="s">
        <v>1936</v>
      </c>
      <c r="B845" s="2" t="s">
        <v>1936</v>
      </c>
      <c r="C845" s="2" t="s">
        <v>17</v>
      </c>
      <c r="D845" s="2" t="s">
        <v>18</v>
      </c>
      <c r="E845" s="5">
        <v>-28058</v>
      </c>
      <c r="F845" s="3" t="s">
        <v>1282</v>
      </c>
      <c r="G845" s="3" t="s">
        <v>59</v>
      </c>
      <c r="H845" s="2" t="s">
        <v>21</v>
      </c>
      <c r="I845" s="2" t="s">
        <v>1937</v>
      </c>
      <c r="J845" s="3" t="str">
        <f>HYPERLINK("https://www.boe.es/gazeta/dias/1823/03/06/pdfs/GMD-1823-69.pdf#page=6","Abrir facsímil")</f>
        <v>Abrir facsímil</v>
      </c>
      <c r="K845" s="3" t="s">
        <v>23</v>
      </c>
    </row>
    <row r="846" spans="1:11" ht="42" customHeight="1">
      <c r="A846" s="2" t="s">
        <v>1938</v>
      </c>
      <c r="B846" s="2" t="s">
        <v>1939</v>
      </c>
      <c r="C846" s="2" t="s">
        <v>56</v>
      </c>
      <c r="D846" s="2" t="s">
        <v>57</v>
      </c>
      <c r="E846" s="5">
        <v>-27878</v>
      </c>
      <c r="F846" s="3" t="s">
        <v>1581</v>
      </c>
      <c r="G846" s="3" t="s">
        <v>39</v>
      </c>
      <c r="H846" s="2" t="s">
        <v>21</v>
      </c>
      <c r="I846" s="2" t="s">
        <v>1940</v>
      </c>
      <c r="J846" s="3" t="str">
        <f>HYPERLINK("https://www.boe.es/gazeta/dias/1823/09/02/pdfs/GMD-1823-683.pdf#page=1","Abrir facsímil")</f>
        <v>Abrir facsímil</v>
      </c>
      <c r="K846" s="3" t="s">
        <v>23</v>
      </c>
    </row>
    <row r="847" spans="1:11" ht="42" customHeight="1">
      <c r="A847" s="2" t="s">
        <v>1941</v>
      </c>
      <c r="B847" s="2" t="s">
        <v>1941</v>
      </c>
      <c r="C847" s="2" t="s">
        <v>17</v>
      </c>
      <c r="D847" s="2" t="s">
        <v>18</v>
      </c>
      <c r="E847" s="5">
        <v>-27911</v>
      </c>
      <c r="F847" s="3" t="s">
        <v>1393</v>
      </c>
      <c r="G847" s="3" t="s">
        <v>39</v>
      </c>
      <c r="H847" s="2" t="s">
        <v>21</v>
      </c>
      <c r="I847" s="2" t="s">
        <v>1942</v>
      </c>
      <c r="J847" s="3" t="str">
        <f>HYPERLINK("https://www.boe.es/gazeta/dias/1823/07/31/pdfs/GMD-1823-503.pdf#page=1","Abrir facsímil")</f>
        <v>Abrir facsímil</v>
      </c>
      <c r="K847" s="3" t="s">
        <v>23</v>
      </c>
    </row>
    <row r="848" spans="1:11" ht="42" customHeight="1">
      <c r="A848" s="2" t="s">
        <v>1943</v>
      </c>
      <c r="B848" s="2" t="s">
        <v>1944</v>
      </c>
      <c r="C848" s="2" t="s">
        <v>79</v>
      </c>
      <c r="D848" s="2" t="s">
        <v>74</v>
      </c>
      <c r="E848" s="5">
        <v>-27941</v>
      </c>
      <c r="F848" s="3" t="s">
        <v>1551</v>
      </c>
      <c r="G848" s="3" t="s">
        <v>39</v>
      </c>
      <c r="H848" s="2" t="s">
        <v>21</v>
      </c>
      <c r="I848" s="2" t="s">
        <v>1945</v>
      </c>
      <c r="J848" s="3" t="str">
        <f>HYPERLINK("https://www.boe.es/gazeta/dias/1823/07/01/pdfs/GMD-1823-323.pdf#page=1","Abrir facsímil")</f>
        <v>Abrir facsímil</v>
      </c>
      <c r="K848" s="3" t="s">
        <v>23</v>
      </c>
    </row>
    <row r="849" spans="1:11" ht="42" customHeight="1">
      <c r="A849" s="2" t="s">
        <v>1946</v>
      </c>
      <c r="B849" s="2" t="s">
        <v>1946</v>
      </c>
      <c r="C849" s="2" t="s">
        <v>17</v>
      </c>
      <c r="D849" s="2" t="s">
        <v>117</v>
      </c>
      <c r="E849" s="5">
        <v>-27932</v>
      </c>
      <c r="F849" s="3" t="s">
        <v>1947</v>
      </c>
      <c r="G849" s="3" t="s">
        <v>39</v>
      </c>
      <c r="H849" s="2" t="s">
        <v>21</v>
      </c>
      <c r="I849" s="2" t="s">
        <v>1948</v>
      </c>
      <c r="J849" s="3" t="str">
        <f>HYPERLINK("https://www.boe.es/gazeta/dias/1823/07/10/pdfs/GMD-1823-373E.pdf#page=1","Abrir facsímil")</f>
        <v>Abrir facsímil</v>
      </c>
      <c r="K849" s="3" t="s">
        <v>23</v>
      </c>
    </row>
    <row r="850" spans="1:11" ht="42" customHeight="1">
      <c r="A850" s="2" t="s">
        <v>1949</v>
      </c>
      <c r="B850" s="2" t="s">
        <v>1949</v>
      </c>
      <c r="C850" s="2" t="s">
        <v>79</v>
      </c>
      <c r="D850" s="2" t="s">
        <v>74</v>
      </c>
      <c r="E850" s="5">
        <v>-28111</v>
      </c>
      <c r="F850" s="3" t="s">
        <v>275</v>
      </c>
      <c r="G850" s="3" t="s">
        <v>48</v>
      </c>
      <c r="H850" s="2" t="s">
        <v>21</v>
      </c>
      <c r="I850" s="2" t="s">
        <v>1950</v>
      </c>
      <c r="J850" s="3" t="str">
        <f>HYPERLINK("https://www.boe.es/gazeta/dias/1823/01/12/pdfs/GMD-1823-12.pdf#page=3","Abrir facsímil")</f>
        <v>Abrir facsímil</v>
      </c>
      <c r="K850" s="3" t="s">
        <v>23</v>
      </c>
    </row>
    <row r="851" spans="1:11" ht="42" customHeight="1">
      <c r="A851" s="2" t="s">
        <v>1951</v>
      </c>
      <c r="B851" s="2" t="s">
        <v>1952</v>
      </c>
      <c r="C851" s="2" t="s">
        <v>17</v>
      </c>
      <c r="D851" s="2" t="s">
        <v>18</v>
      </c>
      <c r="E851" s="5">
        <v>-28057</v>
      </c>
      <c r="F851" s="3" t="s">
        <v>301</v>
      </c>
      <c r="G851" s="3" t="s">
        <v>20</v>
      </c>
      <c r="H851" s="2" t="s">
        <v>21</v>
      </c>
      <c r="I851" s="2" t="s">
        <v>1953</v>
      </c>
      <c r="J851" s="3" t="str">
        <f>HYPERLINK("https://www.boe.es/gazeta/dias/1823/03/07/pdfs/GMD-1823-70.pdf#page=4","Abrir facsímil")</f>
        <v>Abrir facsímil</v>
      </c>
      <c r="K851" s="3" t="s">
        <v>23</v>
      </c>
    </row>
    <row r="852" spans="1:11" ht="42" customHeight="1">
      <c r="A852" s="2" t="s">
        <v>1954</v>
      </c>
      <c r="B852" s="2" t="s">
        <v>1955</v>
      </c>
      <c r="C852" s="2" t="s">
        <v>56</v>
      </c>
      <c r="D852" s="2" t="s">
        <v>57</v>
      </c>
      <c r="E852" s="5">
        <v>-27964</v>
      </c>
      <c r="F852" s="3" t="s">
        <v>58</v>
      </c>
      <c r="G852" s="3" t="s">
        <v>59</v>
      </c>
      <c r="H852" s="2" t="s">
        <v>21</v>
      </c>
      <c r="I852" s="2" t="s">
        <v>1956</v>
      </c>
      <c r="J852" s="3" t="str">
        <f>HYPERLINK("https://www.boe.es/gazeta/dias/1823/06/08/pdfs/GES-1823-62.pdf#page=6","Abrir facsímil")</f>
        <v>Abrir facsímil</v>
      </c>
      <c r="K852" s="3" t="s">
        <v>23</v>
      </c>
    </row>
    <row r="853" spans="1:11" ht="42" customHeight="1">
      <c r="A853" s="2" t="s">
        <v>1957</v>
      </c>
      <c r="B853" s="2" t="s">
        <v>1958</v>
      </c>
      <c r="C853" s="2" t="s">
        <v>17</v>
      </c>
      <c r="D853" s="2" t="s">
        <v>18</v>
      </c>
      <c r="E853" s="5">
        <v>-27922</v>
      </c>
      <c r="F853" s="3" t="s">
        <v>1959</v>
      </c>
      <c r="G853" s="3" t="s">
        <v>20</v>
      </c>
      <c r="H853" s="2" t="s">
        <v>21</v>
      </c>
      <c r="I853" s="2" t="s">
        <v>1960</v>
      </c>
      <c r="J853" s="3" t="str">
        <f>HYPERLINK("https://www.boe.es/gazeta/dias/1823/07/20/pdfs/GES-1823-101.pdf#page=4","Abrir facsímil")</f>
        <v>Abrir facsímil</v>
      </c>
      <c r="K853" s="3" t="s">
        <v>23</v>
      </c>
    </row>
    <row r="854" spans="1:11" ht="42" customHeight="1">
      <c r="A854" s="2" t="s">
        <v>1961</v>
      </c>
      <c r="B854" s="2" t="s">
        <v>1962</v>
      </c>
      <c r="C854" s="2" t="s">
        <v>56</v>
      </c>
      <c r="D854" s="2" t="s">
        <v>57</v>
      </c>
      <c r="E854" s="5">
        <v>-28001</v>
      </c>
      <c r="F854" s="3" t="s">
        <v>768</v>
      </c>
      <c r="G854" s="3" t="s">
        <v>27</v>
      </c>
      <c r="H854" s="2" t="s">
        <v>21</v>
      </c>
      <c r="I854" s="2" t="s">
        <v>1963</v>
      </c>
      <c r="J854" s="3" t="str">
        <f>HYPERLINK("https://www.boe.es/gazeta/dias/1823/05/02/pdfs/GES-1823-22.pdf#page=2","Abrir facsímil")</f>
        <v>Abrir facsímil</v>
      </c>
      <c r="K854" s="3" t="s">
        <v>23</v>
      </c>
    </row>
    <row r="855" spans="1:11" ht="42" customHeight="1">
      <c r="A855" s="2" t="s">
        <v>1964</v>
      </c>
      <c r="B855" s="2" t="s">
        <v>1965</v>
      </c>
      <c r="C855" s="2" t="s">
        <v>56</v>
      </c>
      <c r="D855" s="2" t="s">
        <v>57</v>
      </c>
      <c r="E855" s="5">
        <v>-28019</v>
      </c>
      <c r="F855" s="3" t="s">
        <v>1663</v>
      </c>
      <c r="G855" s="3" t="s">
        <v>1966</v>
      </c>
      <c r="H855" s="2" t="s">
        <v>21</v>
      </c>
      <c r="I855" s="2" t="s">
        <v>1967</v>
      </c>
      <c r="J855" s="3" t="str">
        <f>HYPERLINK("https://www.boe.es/gazeta/dias/1823/04/14/pdfs/GES-1823-4.pdf#page=4","Abrir facsímil")</f>
        <v>Abrir facsímil</v>
      </c>
      <c r="K855" s="3" t="s">
        <v>23</v>
      </c>
    </row>
    <row r="856" spans="1:11" ht="42" customHeight="1">
      <c r="A856" s="2" t="s">
        <v>1964</v>
      </c>
      <c r="B856" s="2" t="s">
        <v>1965</v>
      </c>
      <c r="C856" s="2" t="s">
        <v>17</v>
      </c>
      <c r="D856" s="2" t="s">
        <v>18</v>
      </c>
      <c r="E856" s="5">
        <v>-28007</v>
      </c>
      <c r="F856" s="3" t="s">
        <v>311</v>
      </c>
      <c r="G856" s="3" t="s">
        <v>1968</v>
      </c>
      <c r="H856" s="2" t="s">
        <v>21</v>
      </c>
      <c r="I856" s="2" t="s">
        <v>1969</v>
      </c>
      <c r="J856" s="3" t="str">
        <f>HYPERLINK("https://www.boe.es/gazeta/dias/1823/04/26/pdfs/GES-1823-16.pdf#page=4","Abrir facsímil")</f>
        <v>Abrir facsímil</v>
      </c>
      <c r="K856" s="3" t="s">
        <v>23</v>
      </c>
    </row>
    <row r="857" spans="1:11" ht="42" customHeight="1">
      <c r="A857" s="2" t="s">
        <v>1964</v>
      </c>
      <c r="B857" s="2" t="s">
        <v>1965</v>
      </c>
      <c r="C857" s="2" t="s">
        <v>17</v>
      </c>
      <c r="D857" s="2" t="s">
        <v>18</v>
      </c>
      <c r="E857" s="5">
        <v>-28002</v>
      </c>
      <c r="F857" s="3" t="s">
        <v>315</v>
      </c>
      <c r="G857" s="3" t="s">
        <v>34</v>
      </c>
      <c r="H857" s="2" t="s">
        <v>21</v>
      </c>
      <c r="I857" s="2" t="s">
        <v>1970</v>
      </c>
      <c r="J857" s="3" t="str">
        <f>HYPERLINK("https://www.boe.es/gazeta/dias/1823/05/01/pdfs/GES-1823-21.pdf#page=5","Abrir facsímil")</f>
        <v>Abrir facsímil</v>
      </c>
      <c r="K857" s="3" t="s">
        <v>23</v>
      </c>
    </row>
    <row r="858" spans="1:11" ht="42" customHeight="1">
      <c r="A858" s="2" t="s">
        <v>1964</v>
      </c>
      <c r="B858" s="2" t="s">
        <v>1965</v>
      </c>
      <c r="C858" s="2" t="s">
        <v>56</v>
      </c>
      <c r="D858" s="2" t="s">
        <v>57</v>
      </c>
      <c r="E858" s="5">
        <v>-27995</v>
      </c>
      <c r="F858" s="3" t="s">
        <v>326</v>
      </c>
      <c r="G858" s="3" t="s">
        <v>27</v>
      </c>
      <c r="H858" s="2" t="s">
        <v>21</v>
      </c>
      <c r="I858" s="2" t="s">
        <v>1971</v>
      </c>
      <c r="J858" s="3" t="str">
        <f>HYPERLINK("https://www.boe.es/gazeta/dias/1823/05/08/pdfs/GMD-1823-112.pdf#page=2","Abrir facsímil")</f>
        <v>Abrir facsímil</v>
      </c>
      <c r="K858" s="3" t="s">
        <v>23</v>
      </c>
    </row>
    <row r="859" spans="1:11" ht="42" customHeight="1">
      <c r="A859" s="2" t="s">
        <v>1964</v>
      </c>
      <c r="B859" s="2" t="s">
        <v>1965</v>
      </c>
      <c r="C859" s="2" t="s">
        <v>56</v>
      </c>
      <c r="D859" s="2" t="s">
        <v>57</v>
      </c>
      <c r="E859" s="5">
        <v>-27987</v>
      </c>
      <c r="F859" s="3" t="s">
        <v>332</v>
      </c>
      <c r="G859" s="3" t="s">
        <v>59</v>
      </c>
      <c r="H859" s="2" t="s">
        <v>21</v>
      </c>
      <c r="I859" s="2" t="s">
        <v>1972</v>
      </c>
      <c r="J859" s="3" t="str">
        <f>HYPERLINK("https://www.boe.es/gazeta/dias/1823/05/16/pdfs/GES-1823-36.pdf#page=6","Abrir facsímil")</f>
        <v>Abrir facsímil</v>
      </c>
      <c r="K859" s="3" t="s">
        <v>23</v>
      </c>
    </row>
    <row r="860" spans="1:11" ht="42" customHeight="1">
      <c r="A860" s="2" t="s">
        <v>1964</v>
      </c>
      <c r="B860" s="2" t="s">
        <v>1965</v>
      </c>
      <c r="C860" s="2" t="s">
        <v>56</v>
      </c>
      <c r="D860" s="2" t="s">
        <v>57</v>
      </c>
      <c r="E860" s="5">
        <v>-27983</v>
      </c>
      <c r="F860" s="3" t="s">
        <v>337</v>
      </c>
      <c r="G860" s="3" t="s">
        <v>59</v>
      </c>
      <c r="H860" s="2" t="s">
        <v>21</v>
      </c>
      <c r="I860" s="2" t="s">
        <v>1973</v>
      </c>
      <c r="J860" s="3" t="str">
        <f>HYPERLINK("https://www.boe.es/gazeta/dias/1823/05/20/pdfs/GES-1823-40.pdf#page=6","Abrir facsímil")</f>
        <v>Abrir facsímil</v>
      </c>
      <c r="K860" s="3" t="s">
        <v>23</v>
      </c>
    </row>
    <row r="861" spans="1:11" ht="42" customHeight="1">
      <c r="A861" s="2" t="s">
        <v>1974</v>
      </c>
      <c r="B861" s="2" t="s">
        <v>1975</v>
      </c>
      <c r="C861" s="2" t="s">
        <v>17</v>
      </c>
      <c r="D861" s="2" t="s">
        <v>18</v>
      </c>
      <c r="E861" s="5">
        <v>-28015</v>
      </c>
      <c r="F861" s="3" t="s">
        <v>985</v>
      </c>
      <c r="G861" s="3" t="s">
        <v>20</v>
      </c>
      <c r="H861" s="2" t="s">
        <v>21</v>
      </c>
      <c r="I861" s="2" t="s">
        <v>1976</v>
      </c>
      <c r="J861" s="3" t="str">
        <f>HYPERLINK("https://www.boe.es/gazeta/dias/1823/04/18/pdfs/GES-1823-8.pdf#page=4","Abrir facsímil")</f>
        <v>Abrir facsímil</v>
      </c>
      <c r="K861" s="3" t="s">
        <v>23</v>
      </c>
    </row>
    <row r="862" spans="1:11" ht="42" customHeight="1">
      <c r="A862" s="2" t="s">
        <v>1977</v>
      </c>
      <c r="B862" s="2" t="s">
        <v>1978</v>
      </c>
      <c r="C862" s="2" t="s">
        <v>79</v>
      </c>
      <c r="D862" s="2" t="s">
        <v>74</v>
      </c>
      <c r="E862" s="5">
        <v>-28089</v>
      </c>
      <c r="F862" s="3" t="s">
        <v>1979</v>
      </c>
      <c r="G862" s="3" t="s">
        <v>59</v>
      </c>
      <c r="H862" s="2" t="s">
        <v>28</v>
      </c>
      <c r="I862" s="2" t="s">
        <v>1980</v>
      </c>
      <c r="J862" s="3" t="str">
        <f>HYPERLINK("https://www.boe.es/gazeta/dias/1823/02/03/pdfs/GMD-1823-36.pdf#page=6","Abrir facsímil")</f>
        <v>Abrir facsímil</v>
      </c>
      <c r="K862" s="3" t="s">
        <v>30</v>
      </c>
    </row>
    <row r="863" spans="1:11" ht="42" customHeight="1">
      <c r="A863" s="2" t="s">
        <v>1981</v>
      </c>
      <c r="B863" s="2" t="s">
        <v>1982</v>
      </c>
      <c r="C863" s="2" t="s">
        <v>109</v>
      </c>
      <c r="D863" s="2" t="s">
        <v>74</v>
      </c>
      <c r="E863" s="5">
        <v>-27989</v>
      </c>
      <c r="F863" s="3" t="s">
        <v>1134</v>
      </c>
      <c r="G863" s="3" t="s">
        <v>20</v>
      </c>
      <c r="H863" s="2" t="s">
        <v>21</v>
      </c>
      <c r="I863" s="2" t="s">
        <v>1983</v>
      </c>
      <c r="J863" s="3" t="str">
        <f>HYPERLINK("https://www.boe.es/gazeta/dias/1823/05/14/pdfs/GES-1823-34.pdf#page=4","Abrir facsímil")</f>
        <v>Abrir facsímil</v>
      </c>
      <c r="K863" s="3" t="s">
        <v>23</v>
      </c>
    </row>
    <row r="864" spans="1:11" ht="42" customHeight="1">
      <c r="A864" s="2" t="s">
        <v>1984</v>
      </c>
      <c r="B864" s="2" t="s">
        <v>1985</v>
      </c>
      <c r="C864" s="2" t="s">
        <v>17</v>
      </c>
      <c r="D864" s="2" t="s">
        <v>18</v>
      </c>
      <c r="E864" s="5">
        <v>-27822</v>
      </c>
      <c r="F864" s="3" t="s">
        <v>992</v>
      </c>
      <c r="G864" s="3" t="s">
        <v>48</v>
      </c>
      <c r="H864" s="2" t="s">
        <v>21</v>
      </c>
      <c r="I864" s="2" t="s">
        <v>1986</v>
      </c>
      <c r="J864" s="3" t="str">
        <f>HYPERLINK("https://www.boe.es/gazeta/dias/1823/10/28/pdfs/GMD-1823-1033.pdf#page=3","Abrir facsímil")</f>
        <v>Abrir facsímil</v>
      </c>
      <c r="K864" s="3" t="s">
        <v>23</v>
      </c>
    </row>
    <row r="865" spans="1:11" ht="42" customHeight="1">
      <c r="A865" s="2" t="s">
        <v>1987</v>
      </c>
      <c r="B865" s="2" t="s">
        <v>1988</v>
      </c>
      <c r="C865" s="2" t="s">
        <v>56</v>
      </c>
      <c r="D865" s="2" t="s">
        <v>57</v>
      </c>
      <c r="E865" s="5">
        <v>-27969</v>
      </c>
      <c r="F865" s="3" t="s">
        <v>855</v>
      </c>
      <c r="G865" s="3" t="s">
        <v>1158</v>
      </c>
      <c r="H865" s="2" t="s">
        <v>21</v>
      </c>
      <c r="I865" s="2" t="s">
        <v>1989</v>
      </c>
      <c r="J865" s="3" t="str">
        <f>HYPERLINK("https://www.boe.es/gazeta/dias/1823/06/03/pdfs/GES-1823-57.pdf#page=2","Abrir facsímil")</f>
        <v>Abrir facsímil</v>
      </c>
      <c r="K865" s="3" t="s">
        <v>23</v>
      </c>
    </row>
    <row r="866" spans="1:11" ht="42" customHeight="1">
      <c r="A866" s="2" t="s">
        <v>1990</v>
      </c>
      <c r="B866" s="2" t="s">
        <v>1991</v>
      </c>
      <c r="C866" s="2" t="s">
        <v>17</v>
      </c>
      <c r="D866" s="2" t="s">
        <v>18</v>
      </c>
      <c r="E866" s="5">
        <v>-27912</v>
      </c>
      <c r="F866" s="3" t="s">
        <v>365</v>
      </c>
      <c r="G866" s="3" t="s">
        <v>39</v>
      </c>
      <c r="H866" s="2" t="s">
        <v>21</v>
      </c>
      <c r="I866" s="2" t="s">
        <v>1992</v>
      </c>
      <c r="J866" s="3" t="str">
        <f>HYPERLINK("https://www.boe.es/gazeta/dias/1823/07/30/pdfs/GES-1823-111.pdf#page=1","Abrir facsímil")</f>
        <v>Abrir facsímil</v>
      </c>
      <c r="K866" s="3" t="s">
        <v>23</v>
      </c>
    </row>
    <row r="867" spans="1:11" ht="42" customHeight="1">
      <c r="A867" s="2" t="s">
        <v>1993</v>
      </c>
      <c r="B867" s="2" t="s">
        <v>1994</v>
      </c>
      <c r="C867" s="2" t="s">
        <v>17</v>
      </c>
      <c r="D867" s="2" t="s">
        <v>18</v>
      </c>
      <c r="E867" s="5">
        <v>-27995</v>
      </c>
      <c r="F867" s="3" t="s">
        <v>326</v>
      </c>
      <c r="G867" s="3" t="s">
        <v>39</v>
      </c>
      <c r="H867" s="2" t="s">
        <v>21</v>
      </c>
      <c r="I867" s="2" t="s">
        <v>1995</v>
      </c>
      <c r="J867" s="3" t="str">
        <f>HYPERLINK("https://www.boe.es/gazeta/dias/1823/05/08/pdfs/GMD-1823-112.pdf#page=1","Abrir facsímil")</f>
        <v>Abrir facsímil</v>
      </c>
      <c r="K867" s="3" t="s">
        <v>23</v>
      </c>
    </row>
    <row r="868" spans="1:11" ht="42" customHeight="1">
      <c r="A868" s="2" t="s">
        <v>1996</v>
      </c>
      <c r="B868" s="2" t="s">
        <v>1997</v>
      </c>
      <c r="C868" s="2" t="s">
        <v>79</v>
      </c>
      <c r="D868" s="2" t="s">
        <v>74</v>
      </c>
      <c r="E868" s="5">
        <v>-28051</v>
      </c>
      <c r="F868" s="3" t="s">
        <v>305</v>
      </c>
      <c r="G868" s="3" t="s">
        <v>48</v>
      </c>
      <c r="H868" s="2" t="s">
        <v>21</v>
      </c>
      <c r="I868" s="2" t="s">
        <v>1998</v>
      </c>
      <c r="J868" s="3" t="str">
        <f>HYPERLINK("https://www.boe.es/gazeta/dias/1823/03/13/pdfs/GMD-1823-76.pdf#page=3","Abrir facsímil")</f>
        <v>Abrir facsímil</v>
      </c>
      <c r="K868" s="3" t="s">
        <v>23</v>
      </c>
    </row>
    <row r="869" spans="1:11" ht="42" customHeight="1">
      <c r="A869" s="2" t="s">
        <v>1999</v>
      </c>
      <c r="B869" s="2" t="s">
        <v>2000</v>
      </c>
      <c r="C869" s="2" t="s">
        <v>79</v>
      </c>
      <c r="D869" s="2" t="s">
        <v>74</v>
      </c>
      <c r="E869" s="5">
        <v>-28050</v>
      </c>
      <c r="F869" s="3" t="s">
        <v>473</v>
      </c>
      <c r="G869" s="3" t="s">
        <v>48</v>
      </c>
      <c r="H869" s="2" t="s">
        <v>21</v>
      </c>
      <c r="I869" s="2" t="s">
        <v>2001</v>
      </c>
      <c r="J869" s="3" t="str">
        <f>HYPERLINK("https://www.boe.es/gazeta/dias/1823/03/14/pdfs/GMD-1823-77.pdf#page=3","Abrir facsímil")</f>
        <v>Abrir facsímil</v>
      </c>
      <c r="K869" s="3" t="s">
        <v>23</v>
      </c>
    </row>
    <row r="870" spans="1:11" ht="42" customHeight="1">
      <c r="A870" s="2" t="s">
        <v>2002</v>
      </c>
      <c r="B870" s="2" t="s">
        <v>2003</v>
      </c>
      <c r="C870" s="2" t="s">
        <v>73</v>
      </c>
      <c r="D870" s="2" t="s">
        <v>74</v>
      </c>
      <c r="E870" s="5">
        <v>-28106</v>
      </c>
      <c r="F870" s="3" t="s">
        <v>280</v>
      </c>
      <c r="G870" s="3" t="s">
        <v>20</v>
      </c>
      <c r="H870" s="2" t="s">
        <v>21</v>
      </c>
      <c r="I870" s="2" t="s">
        <v>2004</v>
      </c>
      <c r="J870" s="3" t="str">
        <f>HYPERLINK("https://www.boe.es/gazeta/dias/1823/01/17/pdfs/GMD-1823-17.pdf#page=4","Abrir facsímil")</f>
        <v>Abrir facsímil</v>
      </c>
      <c r="K870" s="3" t="s">
        <v>23</v>
      </c>
    </row>
    <row r="871" spans="1:11" ht="42" customHeight="1">
      <c r="A871" s="2" t="s">
        <v>2002</v>
      </c>
      <c r="B871" s="2" t="s">
        <v>2003</v>
      </c>
      <c r="C871" s="2" t="s">
        <v>84</v>
      </c>
      <c r="D871" s="2" t="s">
        <v>74</v>
      </c>
      <c r="E871" s="5">
        <v>-28078</v>
      </c>
      <c r="F871" s="3" t="s">
        <v>508</v>
      </c>
      <c r="G871" s="3" t="s">
        <v>59</v>
      </c>
      <c r="H871" s="2" t="s">
        <v>21</v>
      </c>
      <c r="I871" s="2" t="s">
        <v>2005</v>
      </c>
      <c r="J871" s="3" t="str">
        <f>HYPERLINK("https://www.boe.es/gazeta/dias/1823/02/14/pdfs/GMD-1823-48.pdf#page=6","Abrir facsímil")</f>
        <v>Abrir facsímil</v>
      </c>
      <c r="K871" s="3" t="s">
        <v>23</v>
      </c>
    </row>
    <row r="872" spans="1:11" ht="42" customHeight="1">
      <c r="A872" s="2" t="s">
        <v>2002</v>
      </c>
      <c r="B872" s="2" t="s">
        <v>2003</v>
      </c>
      <c r="C872" s="2" t="s">
        <v>79</v>
      </c>
      <c r="D872" s="2" t="s">
        <v>74</v>
      </c>
      <c r="E872" s="5">
        <v>-28069</v>
      </c>
      <c r="F872" s="3" t="s">
        <v>2006</v>
      </c>
      <c r="G872" s="3" t="s">
        <v>20</v>
      </c>
      <c r="H872" s="2" t="s">
        <v>21</v>
      </c>
      <c r="I872" s="2" t="s">
        <v>2007</v>
      </c>
      <c r="J872" s="3" t="str">
        <f>HYPERLINK("https://www.boe.es/gazeta/dias/1823/02/23/pdfs/GMD-1823-57.pdf#page=4","Abrir facsímil")</f>
        <v>Abrir facsímil</v>
      </c>
      <c r="K872" s="3" t="s">
        <v>23</v>
      </c>
    </row>
    <row r="873" spans="1:11" ht="42" customHeight="1">
      <c r="A873" s="2" t="s">
        <v>2002</v>
      </c>
      <c r="B873" s="2" t="s">
        <v>2003</v>
      </c>
      <c r="C873" s="2" t="s">
        <v>79</v>
      </c>
      <c r="D873" s="2" t="s">
        <v>74</v>
      </c>
      <c r="E873" s="5">
        <v>-28057</v>
      </c>
      <c r="F873" s="3" t="s">
        <v>301</v>
      </c>
      <c r="G873" s="3" t="s">
        <v>20</v>
      </c>
      <c r="H873" s="2" t="s">
        <v>21</v>
      </c>
      <c r="I873" s="2" t="s">
        <v>2008</v>
      </c>
      <c r="J873" s="3" t="str">
        <f>HYPERLINK("https://www.boe.es/gazeta/dias/1823/03/07/pdfs/GMD-1823-70.pdf#page=4","Abrir facsímil")</f>
        <v>Abrir facsímil</v>
      </c>
      <c r="K873" s="3" t="s">
        <v>23</v>
      </c>
    </row>
    <row r="874" spans="1:11" ht="42" customHeight="1">
      <c r="A874" s="2" t="s">
        <v>2009</v>
      </c>
      <c r="B874" s="2" t="s">
        <v>2009</v>
      </c>
      <c r="C874" s="2" t="s">
        <v>73</v>
      </c>
      <c r="D874" s="2" t="s">
        <v>74</v>
      </c>
      <c r="E874" s="5">
        <v>-27969</v>
      </c>
      <c r="F874" s="3" t="s">
        <v>855</v>
      </c>
      <c r="G874" s="3" t="s">
        <v>1158</v>
      </c>
      <c r="H874" s="2" t="s">
        <v>21</v>
      </c>
      <c r="I874" s="2" t="s">
        <v>2010</v>
      </c>
      <c r="J874" s="3" t="str">
        <f>HYPERLINK("https://www.boe.es/gazeta/dias/1823/06/03/pdfs/GES-1823-57.pdf#page=2","Abrir facsímil")</f>
        <v>Abrir facsímil</v>
      </c>
      <c r="K874" s="3" t="s">
        <v>23</v>
      </c>
    </row>
    <row r="875" spans="1:11" ht="42" customHeight="1">
      <c r="A875" s="2" t="s">
        <v>2011</v>
      </c>
      <c r="B875" s="2" t="s">
        <v>2012</v>
      </c>
      <c r="C875" s="2" t="s">
        <v>17</v>
      </c>
      <c r="D875" s="2" t="s">
        <v>18</v>
      </c>
      <c r="E875" s="5">
        <v>-27894</v>
      </c>
      <c r="F875" s="3" t="s">
        <v>2013</v>
      </c>
      <c r="G875" s="3" t="s">
        <v>48</v>
      </c>
      <c r="H875" s="2" t="s">
        <v>21</v>
      </c>
      <c r="I875" s="2" t="s">
        <v>2014</v>
      </c>
      <c r="J875" s="3" t="str">
        <f>HYPERLINK("https://www.boe.es/gazeta/dias/1823/08/17/pdfs/GES-1823-130.pdf#page=3","Abrir facsímil")</f>
        <v>Abrir facsímil</v>
      </c>
      <c r="K875" s="3" t="s">
        <v>23</v>
      </c>
    </row>
    <row r="876" spans="1:11" ht="42" customHeight="1">
      <c r="A876" s="2" t="s">
        <v>2015</v>
      </c>
      <c r="B876" s="2" t="s">
        <v>2015</v>
      </c>
      <c r="C876" s="2" t="s">
        <v>17</v>
      </c>
      <c r="D876" s="2" t="s">
        <v>18</v>
      </c>
      <c r="E876" s="5">
        <v>-27940</v>
      </c>
      <c r="F876" s="3" t="s">
        <v>348</v>
      </c>
      <c r="G876" s="3" t="s">
        <v>39</v>
      </c>
      <c r="H876" s="2" t="s">
        <v>21</v>
      </c>
      <c r="I876" s="2" t="s">
        <v>2016</v>
      </c>
      <c r="J876" s="3" t="str">
        <f>HYPERLINK("https://www.boe.es/gazeta/dias/1823/07/02/pdfs/GES-1823-82.pdf#page=1","Abrir facsímil")</f>
        <v>Abrir facsímil</v>
      </c>
      <c r="K876" s="3" t="s">
        <v>23</v>
      </c>
    </row>
    <row r="877" spans="1:11" ht="42" customHeight="1">
      <c r="A877" s="2" t="s">
        <v>2017</v>
      </c>
      <c r="B877" s="2" t="s">
        <v>2018</v>
      </c>
      <c r="C877" s="2" t="s">
        <v>84</v>
      </c>
      <c r="D877" s="2" t="s">
        <v>74</v>
      </c>
      <c r="E877" s="5">
        <v>-27962</v>
      </c>
      <c r="F877" s="3" t="s">
        <v>594</v>
      </c>
      <c r="G877" s="3" t="s">
        <v>39</v>
      </c>
      <c r="H877" s="2" t="s">
        <v>21</v>
      </c>
      <c r="I877" s="2" t="s">
        <v>2019</v>
      </c>
      <c r="J877" s="3" t="str">
        <f>HYPERLINK("https://www.boe.es/gazeta/dias/1823/06/10/pdfs/GES-1823-64.pdf#page=1","Abrir facsímil")</f>
        <v>Abrir facsímil</v>
      </c>
      <c r="K877" s="3" t="s">
        <v>23</v>
      </c>
    </row>
    <row r="878" spans="1:11" ht="42" customHeight="1">
      <c r="A878" s="2" t="s">
        <v>2020</v>
      </c>
      <c r="B878" s="2" t="s">
        <v>2021</v>
      </c>
      <c r="C878" s="2" t="s">
        <v>79</v>
      </c>
      <c r="D878" s="2" t="s">
        <v>74</v>
      </c>
      <c r="E878" s="5">
        <v>-27988</v>
      </c>
      <c r="F878" s="3" t="s">
        <v>2022</v>
      </c>
      <c r="G878" s="3" t="s">
        <v>39</v>
      </c>
      <c r="H878" s="2" t="s">
        <v>21</v>
      </c>
      <c r="I878" s="2" t="s">
        <v>2023</v>
      </c>
      <c r="J878" s="3" t="str">
        <f>HYPERLINK("https://www.boe.es/gazeta/dias/1823/05/15/pdfs/GMD-1823-142.pdf#page=1","Abrir facsímil")</f>
        <v>Abrir facsímil</v>
      </c>
      <c r="K878" s="3" t="s">
        <v>23</v>
      </c>
    </row>
    <row r="879" spans="1:11" ht="42" customHeight="1">
      <c r="A879" s="2" t="s">
        <v>2024</v>
      </c>
      <c r="B879" s="2" t="s">
        <v>2025</v>
      </c>
      <c r="C879" s="2" t="s">
        <v>17</v>
      </c>
      <c r="D879" s="2" t="s">
        <v>18</v>
      </c>
      <c r="E879" s="5">
        <v>-27970</v>
      </c>
      <c r="F879" s="3" t="s">
        <v>1030</v>
      </c>
      <c r="G879" s="3" t="s">
        <v>20</v>
      </c>
      <c r="H879" s="2" t="s">
        <v>21</v>
      </c>
      <c r="I879" s="2" t="s">
        <v>2026</v>
      </c>
      <c r="J879" s="3" t="str">
        <f>HYPERLINK("https://www.boe.es/gazeta/dias/1823/06/02/pdfs/GES-1823-56.pdf#page=4","Abrir facsímil")</f>
        <v>Abrir facsímil</v>
      </c>
      <c r="K879" s="3" t="s">
        <v>23</v>
      </c>
    </row>
    <row r="880" spans="1:11" ht="42" customHeight="1">
      <c r="A880" s="2" t="s">
        <v>2027</v>
      </c>
      <c r="B880" s="2" t="s">
        <v>2027</v>
      </c>
      <c r="C880" s="2" t="s">
        <v>17</v>
      </c>
      <c r="D880" s="2" t="s">
        <v>18</v>
      </c>
      <c r="E880" s="5">
        <v>-27892</v>
      </c>
      <c r="F880" s="3" t="s">
        <v>1229</v>
      </c>
      <c r="G880" s="3" t="s">
        <v>39</v>
      </c>
      <c r="H880" s="2" t="s">
        <v>21</v>
      </c>
      <c r="I880" s="2" t="s">
        <v>2028</v>
      </c>
      <c r="J880" s="3" t="str">
        <f>HYPERLINK("https://www.boe.es/gazeta/dias/1823/08/19/pdfs/GES-1823-132.pdf#page=1","Abrir facsímil")</f>
        <v>Abrir facsímil</v>
      </c>
      <c r="K880" s="3" t="s">
        <v>23</v>
      </c>
    </row>
    <row r="881" spans="1:11" ht="42" customHeight="1">
      <c r="A881" s="2" t="s">
        <v>2027</v>
      </c>
      <c r="B881" s="2" t="s">
        <v>2027</v>
      </c>
      <c r="C881" s="2" t="s">
        <v>17</v>
      </c>
      <c r="D881" s="2" t="s">
        <v>18</v>
      </c>
      <c r="E881" s="5">
        <v>-27891</v>
      </c>
      <c r="F881" s="3" t="s">
        <v>825</v>
      </c>
      <c r="G881" s="3" t="s">
        <v>20</v>
      </c>
      <c r="H881" s="2" t="s">
        <v>21</v>
      </c>
      <c r="I881" s="2" t="s">
        <v>2029</v>
      </c>
      <c r="J881" s="3" t="str">
        <f>HYPERLINK("https://www.boe.es/gazeta/dias/1823/08/20/pdfs/GES-1823-133.pdf#page=4","Abrir facsímil")</f>
        <v>Abrir facsímil</v>
      </c>
      <c r="K881" s="3" t="s">
        <v>23</v>
      </c>
    </row>
    <row r="882" spans="1:11" ht="42" customHeight="1">
      <c r="A882" s="2" t="s">
        <v>2030</v>
      </c>
      <c r="B882" s="2" t="s">
        <v>2030</v>
      </c>
      <c r="C882" s="2" t="s">
        <v>56</v>
      </c>
      <c r="D882" s="2" t="s">
        <v>57</v>
      </c>
      <c r="E882" s="5">
        <v>-28061</v>
      </c>
      <c r="F882" s="3" t="s">
        <v>704</v>
      </c>
      <c r="G882" s="3" t="s">
        <v>20</v>
      </c>
      <c r="H882" s="2" t="s">
        <v>21</v>
      </c>
      <c r="I882" s="2" t="s">
        <v>2031</v>
      </c>
      <c r="J882" s="3" t="str">
        <f>HYPERLINK("https://www.boe.es/gazeta/dias/1823/03/03/pdfs/GMD-1823-66.pdf#page=4","Abrir facsímil")</f>
        <v>Abrir facsímil</v>
      </c>
      <c r="K882" s="3" t="s">
        <v>23</v>
      </c>
    </row>
    <row r="883" spans="1:11" ht="42" customHeight="1">
      <c r="A883" s="2" t="s">
        <v>2030</v>
      </c>
      <c r="B883" s="2" t="s">
        <v>2030</v>
      </c>
      <c r="C883" s="2" t="s">
        <v>56</v>
      </c>
      <c r="D883" s="2" t="s">
        <v>57</v>
      </c>
      <c r="E883" s="5">
        <v>-27991</v>
      </c>
      <c r="F883" s="3" t="s">
        <v>328</v>
      </c>
      <c r="G883" s="3" t="s">
        <v>48</v>
      </c>
      <c r="H883" s="2" t="s">
        <v>21</v>
      </c>
      <c r="I883" s="2" t="s">
        <v>2032</v>
      </c>
      <c r="J883" s="3" t="str">
        <f>HYPERLINK("https://www.boe.es/gazeta/dias/1823/05/12/pdfs/GES-1823-32.pdf#page=3","Abrir facsímil")</f>
        <v>Abrir facsímil</v>
      </c>
      <c r="K883" s="3" t="s">
        <v>23</v>
      </c>
    </row>
    <row r="884" spans="1:11" ht="42" customHeight="1">
      <c r="A884" s="2" t="s">
        <v>2030</v>
      </c>
      <c r="B884" s="2" t="s">
        <v>2030</v>
      </c>
      <c r="C884" s="2" t="s">
        <v>17</v>
      </c>
      <c r="D884" s="2" t="s">
        <v>18</v>
      </c>
      <c r="E884" s="5">
        <v>-27991</v>
      </c>
      <c r="F884" s="3" t="s">
        <v>328</v>
      </c>
      <c r="G884" s="3" t="s">
        <v>34</v>
      </c>
      <c r="H884" s="2" t="s">
        <v>21</v>
      </c>
      <c r="I884" s="2" t="s">
        <v>2033</v>
      </c>
      <c r="J884" s="3" t="str">
        <f>HYPERLINK("https://www.boe.es/gazeta/dias/1823/05/12/pdfs/GES-1823-32.pdf#page=5","Abrir facsímil")</f>
        <v>Abrir facsímil</v>
      </c>
      <c r="K884" s="3" t="s">
        <v>23</v>
      </c>
    </row>
    <row r="885" spans="1:11" ht="42" customHeight="1">
      <c r="A885" s="2" t="s">
        <v>2034</v>
      </c>
      <c r="B885" s="2" t="s">
        <v>2035</v>
      </c>
      <c r="C885" s="2" t="s">
        <v>17</v>
      </c>
      <c r="D885" s="2" t="s">
        <v>18</v>
      </c>
      <c r="E885" s="5">
        <v>-27904</v>
      </c>
      <c r="F885" s="3" t="s">
        <v>1227</v>
      </c>
      <c r="G885" s="3" t="s">
        <v>48</v>
      </c>
      <c r="H885" s="2" t="s">
        <v>21</v>
      </c>
      <c r="I885" s="2" t="s">
        <v>2036</v>
      </c>
      <c r="J885" s="3" t="str">
        <f>HYPERLINK("https://www.boe.es/gazeta/dias/1823/08/07/pdfs/GMD-1823-543.pdf#page=3","Abrir facsímil")</f>
        <v>Abrir facsímil</v>
      </c>
      <c r="K885" s="3" t="s">
        <v>23</v>
      </c>
    </row>
    <row r="886" spans="1:11" ht="42" customHeight="1">
      <c r="A886" s="2" t="s">
        <v>2037</v>
      </c>
      <c r="B886" s="2" t="s">
        <v>2037</v>
      </c>
      <c r="C886" s="2" t="s">
        <v>79</v>
      </c>
      <c r="D886" s="2" t="s">
        <v>74</v>
      </c>
      <c r="E886" s="5">
        <v>-27973</v>
      </c>
      <c r="F886" s="3" t="s">
        <v>758</v>
      </c>
      <c r="G886" s="3" t="s">
        <v>39</v>
      </c>
      <c r="H886" s="2" t="s">
        <v>21</v>
      </c>
      <c r="I886" s="2" t="s">
        <v>2038</v>
      </c>
      <c r="J886" s="3" t="str">
        <f>HYPERLINK("https://www.boe.es/gazeta/dias/1823/05/30/pdfs/GES-1823-53.pdf#page=1","Abrir facsímil")</f>
        <v>Abrir facsímil</v>
      </c>
      <c r="K886" s="3" t="s">
        <v>23</v>
      </c>
    </row>
    <row r="887" spans="1:11" ht="42" customHeight="1">
      <c r="A887" s="2" t="s">
        <v>2039</v>
      </c>
      <c r="B887" s="2" t="s">
        <v>2039</v>
      </c>
      <c r="C887" s="2" t="s">
        <v>109</v>
      </c>
      <c r="D887" s="2" t="s">
        <v>74</v>
      </c>
      <c r="E887" s="5">
        <v>-27974</v>
      </c>
      <c r="F887" s="3" t="s">
        <v>618</v>
      </c>
      <c r="G887" s="3" t="s">
        <v>27</v>
      </c>
      <c r="H887" s="2" t="s">
        <v>21</v>
      </c>
      <c r="I887" s="2" t="s">
        <v>2040</v>
      </c>
      <c r="J887" s="3" t="str">
        <f>HYPERLINK("https://www.boe.es/gazeta/dias/1823/05/29/pdfs/GES-1823-52.pdf#page=2","Abrir facsímil")</f>
        <v>Abrir facsímil</v>
      </c>
      <c r="K887" s="3" t="s">
        <v>23</v>
      </c>
    </row>
    <row r="888" spans="1:11" ht="42" customHeight="1">
      <c r="A888" s="2" t="s">
        <v>2041</v>
      </c>
      <c r="B888" s="2" t="s">
        <v>2041</v>
      </c>
      <c r="C888" s="2" t="s">
        <v>56</v>
      </c>
      <c r="D888" s="2" t="s">
        <v>57</v>
      </c>
      <c r="E888" s="5">
        <v>-28004</v>
      </c>
      <c r="F888" s="3" t="s">
        <v>313</v>
      </c>
      <c r="G888" s="3" t="s">
        <v>48</v>
      </c>
      <c r="H888" s="2" t="s">
        <v>21</v>
      </c>
      <c r="I888" s="2" t="s">
        <v>2042</v>
      </c>
      <c r="J888" s="3" t="str">
        <f>HYPERLINK("https://www.boe.es/gazeta/dias/1823/04/29/pdfs/GMD-1823-72.pdf#page=3","Abrir facsímil")</f>
        <v>Abrir facsímil</v>
      </c>
      <c r="K888" s="3" t="s">
        <v>23</v>
      </c>
    </row>
    <row r="889" spans="1:11" ht="42" customHeight="1">
      <c r="A889" s="2" t="s">
        <v>2041</v>
      </c>
      <c r="B889" s="2" t="s">
        <v>2041</v>
      </c>
      <c r="C889" s="2" t="s">
        <v>84</v>
      </c>
      <c r="D889" s="2" t="s">
        <v>74</v>
      </c>
      <c r="E889" s="5">
        <v>-27993</v>
      </c>
      <c r="F889" s="3" t="s">
        <v>1062</v>
      </c>
      <c r="G889" s="3" t="s">
        <v>20</v>
      </c>
      <c r="H889" s="2" t="s">
        <v>21</v>
      </c>
      <c r="I889" s="2" t="s">
        <v>2043</v>
      </c>
      <c r="J889" s="3" t="str">
        <f>HYPERLINK("https://www.boe.es/gazeta/dias/1823/05/10/pdfs/GMD-1823-122.pdf#page=4","Abrir facsímil")</f>
        <v>Abrir facsímil</v>
      </c>
      <c r="K889" s="3" t="s">
        <v>23</v>
      </c>
    </row>
    <row r="890" spans="1:11" ht="42" customHeight="1">
      <c r="A890" s="2" t="s">
        <v>2041</v>
      </c>
      <c r="B890" s="2" t="s">
        <v>2041</v>
      </c>
      <c r="C890" s="2" t="s">
        <v>17</v>
      </c>
      <c r="D890" s="2" t="s">
        <v>18</v>
      </c>
      <c r="E890" s="5">
        <v>-27984</v>
      </c>
      <c r="F890" s="3" t="s">
        <v>335</v>
      </c>
      <c r="G890" s="3" t="s">
        <v>20</v>
      </c>
      <c r="H890" s="2" t="s">
        <v>21</v>
      </c>
      <c r="I890" s="2" t="s">
        <v>2044</v>
      </c>
      <c r="J890" s="3" t="str">
        <f>HYPERLINK("https://www.boe.es/gazeta/dias/1823/05/19/pdfs/GES-1823-39.pdf#page=4","Abrir facsímil")</f>
        <v>Abrir facsímil</v>
      </c>
      <c r="K890" s="3" t="s">
        <v>23</v>
      </c>
    </row>
    <row r="891" spans="1:11" ht="42" customHeight="1">
      <c r="A891" s="2" t="s">
        <v>2041</v>
      </c>
      <c r="B891" s="2" t="s">
        <v>2041</v>
      </c>
      <c r="C891" s="2" t="s">
        <v>109</v>
      </c>
      <c r="D891" s="2" t="s">
        <v>74</v>
      </c>
      <c r="E891" s="5">
        <v>-27978</v>
      </c>
      <c r="F891" s="3" t="s">
        <v>342</v>
      </c>
      <c r="G891" s="3" t="s">
        <v>27</v>
      </c>
      <c r="H891" s="2" t="s">
        <v>21</v>
      </c>
      <c r="I891" s="2" t="s">
        <v>2045</v>
      </c>
      <c r="J891" s="3" t="str">
        <f>HYPERLINK("https://www.boe.es/gazeta/dias/1823/05/25/pdfs/GES-1823-46.pdf#page=2","Abrir facsímil")</f>
        <v>Abrir facsímil</v>
      </c>
      <c r="K891" s="3" t="s">
        <v>23</v>
      </c>
    </row>
    <row r="892" spans="1:11" ht="42" customHeight="1">
      <c r="A892" s="2" t="s">
        <v>2041</v>
      </c>
      <c r="B892" s="2" t="s">
        <v>2041</v>
      </c>
      <c r="C892" s="2" t="s">
        <v>56</v>
      </c>
      <c r="D892" s="2" t="s">
        <v>57</v>
      </c>
      <c r="E892" s="5">
        <v>-27941</v>
      </c>
      <c r="F892" s="3" t="s">
        <v>527</v>
      </c>
      <c r="G892" s="3" t="s">
        <v>20</v>
      </c>
      <c r="H892" s="2" t="s">
        <v>21</v>
      </c>
      <c r="I892" s="2" t="s">
        <v>2046</v>
      </c>
      <c r="J892" s="3" t="str">
        <f>HYPERLINK("https://www.boe.es/gazeta/dias/1823/07/01/pdfs/GES-1823-81.pdf#page=4","Abrir facsímil")</f>
        <v>Abrir facsímil</v>
      </c>
      <c r="K892" s="3" t="s">
        <v>23</v>
      </c>
    </row>
    <row r="893" spans="1:11" ht="42" customHeight="1">
      <c r="A893" s="2" t="s">
        <v>2047</v>
      </c>
      <c r="B893" s="2" t="s">
        <v>2047</v>
      </c>
      <c r="C893" s="2" t="s">
        <v>17</v>
      </c>
      <c r="D893" s="2" t="s">
        <v>18</v>
      </c>
      <c r="E893" s="5">
        <v>-27917</v>
      </c>
      <c r="F893" s="3" t="s">
        <v>363</v>
      </c>
      <c r="G893" s="3" t="s">
        <v>48</v>
      </c>
      <c r="H893" s="2" t="s">
        <v>21</v>
      </c>
      <c r="I893" s="2" t="s">
        <v>2048</v>
      </c>
      <c r="J893" s="3" t="str">
        <f>HYPERLINK("https://www.boe.es/gazeta/dias/1823/07/25/pdfs/GES-1823-106.pdf#page=3","Abrir facsímil")</f>
        <v>Abrir facsímil</v>
      </c>
      <c r="K893" s="3" t="s">
        <v>23</v>
      </c>
    </row>
    <row r="894" spans="1:11" ht="42" customHeight="1">
      <c r="A894" s="2" t="s">
        <v>2041</v>
      </c>
      <c r="B894" s="2" t="s">
        <v>2041</v>
      </c>
      <c r="C894" s="2" t="s">
        <v>109</v>
      </c>
      <c r="D894" s="2" t="s">
        <v>74</v>
      </c>
      <c r="E894" s="5">
        <v>-27907</v>
      </c>
      <c r="F894" s="3" t="s">
        <v>370</v>
      </c>
      <c r="G894" s="3" t="s">
        <v>48</v>
      </c>
      <c r="H894" s="2" t="s">
        <v>21</v>
      </c>
      <c r="I894" s="2" t="s">
        <v>2049</v>
      </c>
      <c r="J894" s="3" t="str">
        <f>HYPERLINK("https://www.boe.es/gazeta/dias/1823/08/04/pdfs/GES-1823-116.pdf#page=3","Abrir facsímil")</f>
        <v>Abrir facsímil</v>
      </c>
      <c r="K894" s="3" t="s">
        <v>23</v>
      </c>
    </row>
    <row r="895" spans="1:11" ht="42" customHeight="1">
      <c r="A895" s="2" t="s">
        <v>2050</v>
      </c>
      <c r="B895" s="2" t="s">
        <v>2051</v>
      </c>
      <c r="C895" s="2" t="s">
        <v>56</v>
      </c>
      <c r="D895" s="2" t="s">
        <v>57</v>
      </c>
      <c r="E895" s="5">
        <v>-27931</v>
      </c>
      <c r="F895" s="3" t="s">
        <v>1833</v>
      </c>
      <c r="G895" s="3" t="s">
        <v>39</v>
      </c>
      <c r="H895" s="2" t="s">
        <v>21</v>
      </c>
      <c r="I895" s="2" t="s">
        <v>2052</v>
      </c>
      <c r="J895" s="3" t="str">
        <f>HYPERLINK("https://www.boe.es/gazeta/dias/1823/07/11/pdfs/GES-1823-91.pdf#page=1","Abrir facsímil")</f>
        <v>Abrir facsímil</v>
      </c>
      <c r="K895" s="3" t="s">
        <v>23</v>
      </c>
    </row>
    <row r="896" spans="1:11" ht="42" customHeight="1">
      <c r="A896" s="2" t="s">
        <v>2053</v>
      </c>
      <c r="B896" s="2" t="s">
        <v>2053</v>
      </c>
      <c r="C896" s="2" t="s">
        <v>56</v>
      </c>
      <c r="D896" s="2" t="s">
        <v>57</v>
      </c>
      <c r="E896" s="5">
        <v>-28089</v>
      </c>
      <c r="F896" s="3" t="s">
        <v>1979</v>
      </c>
      <c r="G896" s="3" t="s">
        <v>48</v>
      </c>
      <c r="H896" s="2" t="s">
        <v>21</v>
      </c>
      <c r="I896" s="2" t="s">
        <v>2054</v>
      </c>
      <c r="J896" s="3" t="str">
        <f>HYPERLINK("https://www.boe.es/gazeta/dias/1823/02/03/pdfs/GMD-1823-36.pdf#page=3","Abrir facsímil")</f>
        <v>Abrir facsímil</v>
      </c>
      <c r="K896" s="3" t="s">
        <v>23</v>
      </c>
    </row>
    <row r="897" spans="1:11" ht="42" customHeight="1">
      <c r="A897" s="2" t="s">
        <v>2055</v>
      </c>
      <c r="B897" s="2" t="s">
        <v>2055</v>
      </c>
      <c r="C897" s="2" t="s">
        <v>17</v>
      </c>
      <c r="D897" s="2" t="s">
        <v>18</v>
      </c>
      <c r="E897" s="5">
        <v>-28079</v>
      </c>
      <c r="F897" s="3" t="s">
        <v>178</v>
      </c>
      <c r="G897" s="3" t="s">
        <v>27</v>
      </c>
      <c r="H897" s="2" t="s">
        <v>21</v>
      </c>
      <c r="I897" s="2" t="s">
        <v>2056</v>
      </c>
      <c r="J897" s="3" t="str">
        <f>HYPERLINK("https://www.boe.es/gazeta/dias/1823/02/13/pdfs/GMD-1823-47.pdf#page=2","Abrir facsímil")</f>
        <v>Abrir facsímil</v>
      </c>
      <c r="K897" s="3" t="s">
        <v>23</v>
      </c>
    </row>
    <row r="898" spans="1:11" ht="42" customHeight="1">
      <c r="A898" s="2" t="s">
        <v>2057</v>
      </c>
      <c r="B898" s="2" t="s">
        <v>2057</v>
      </c>
      <c r="C898" s="2" t="s">
        <v>17</v>
      </c>
      <c r="D898" s="2" t="s">
        <v>18</v>
      </c>
      <c r="E898" s="5">
        <v>-27974</v>
      </c>
      <c r="F898" s="3" t="s">
        <v>618</v>
      </c>
      <c r="G898" s="3" t="s">
        <v>48</v>
      </c>
      <c r="H898" s="2" t="s">
        <v>21</v>
      </c>
      <c r="I898" s="2" t="s">
        <v>2058</v>
      </c>
      <c r="J898" s="3" t="str">
        <f>HYPERLINK("https://www.boe.es/gazeta/dias/1823/05/29/pdfs/GES-1823-52.pdf#page=3","Abrir facsímil")</f>
        <v>Abrir facsímil</v>
      </c>
      <c r="K898" s="3" t="s">
        <v>23</v>
      </c>
    </row>
    <row r="899" spans="1:11" ht="42" customHeight="1">
      <c r="A899" s="2" t="s">
        <v>2059</v>
      </c>
      <c r="B899" s="2" t="s">
        <v>2060</v>
      </c>
      <c r="C899" s="2" t="s">
        <v>17</v>
      </c>
      <c r="D899" s="2" t="s">
        <v>18</v>
      </c>
      <c r="E899" s="5">
        <v>-28092</v>
      </c>
      <c r="F899" s="3" t="s">
        <v>105</v>
      </c>
      <c r="G899" s="3" t="s">
        <v>59</v>
      </c>
      <c r="H899" s="2" t="s">
        <v>28</v>
      </c>
      <c r="I899" s="2" t="s">
        <v>2061</v>
      </c>
      <c r="J899" s="3" t="str">
        <f>HYPERLINK("https://www.boe.es/gazeta/dias/1823/01/31/pdfs/GMD-1823-32.pdf#page=6","Abrir facsímil")</f>
        <v>Abrir facsímil</v>
      </c>
      <c r="K899" s="3" t="s">
        <v>30</v>
      </c>
    </row>
    <row r="900" spans="1:11" ht="42" customHeight="1">
      <c r="A900" s="2" t="s">
        <v>2062</v>
      </c>
      <c r="B900" s="2" t="s">
        <v>2063</v>
      </c>
      <c r="C900" s="2" t="s">
        <v>325</v>
      </c>
      <c r="D900" s="2" t="s">
        <v>74</v>
      </c>
      <c r="E900" s="5">
        <v>-28110</v>
      </c>
      <c r="F900" s="3" t="s">
        <v>249</v>
      </c>
      <c r="G900" s="3" t="s">
        <v>20</v>
      </c>
      <c r="H900" s="2" t="s">
        <v>21</v>
      </c>
      <c r="I900" s="2" t="s">
        <v>2064</v>
      </c>
      <c r="J900" s="3" t="str">
        <f>HYPERLINK("https://www.boe.es/gazeta/dias/1823/01/13/pdfs/GMD-1823-13.pdf#page=4","Abrir facsímil")</f>
        <v>Abrir facsímil</v>
      </c>
      <c r="K900" s="3" t="s">
        <v>23</v>
      </c>
    </row>
    <row r="901" spans="1:11" ht="42" customHeight="1">
      <c r="A901" s="2" t="s">
        <v>2062</v>
      </c>
      <c r="B901" s="2" t="s">
        <v>2063</v>
      </c>
      <c r="C901" s="2" t="s">
        <v>79</v>
      </c>
      <c r="D901" s="2" t="s">
        <v>74</v>
      </c>
      <c r="E901" s="5">
        <v>-28097</v>
      </c>
      <c r="F901" s="3" t="s">
        <v>1368</v>
      </c>
      <c r="G901" s="3" t="s">
        <v>20</v>
      </c>
      <c r="H901" s="2" t="s">
        <v>21</v>
      </c>
      <c r="I901" s="2" t="s">
        <v>2065</v>
      </c>
      <c r="J901" s="3" t="str">
        <f>HYPERLINK("https://www.boe.es/gazeta/dias/1823/01/26/pdfs/GMD-1823-27.pdf#page=4","Abrir facsímil")</f>
        <v>Abrir facsímil</v>
      </c>
      <c r="K901" s="3" t="s">
        <v>23</v>
      </c>
    </row>
    <row r="902" spans="1:11" ht="42" customHeight="1">
      <c r="A902" s="2" t="s">
        <v>2062</v>
      </c>
      <c r="B902" s="2" t="s">
        <v>2063</v>
      </c>
      <c r="C902" s="2" t="s">
        <v>56</v>
      </c>
      <c r="D902" s="2" t="s">
        <v>57</v>
      </c>
      <c r="E902" s="5">
        <v>-28061</v>
      </c>
      <c r="F902" s="3" t="s">
        <v>704</v>
      </c>
      <c r="G902" s="3" t="s">
        <v>59</v>
      </c>
      <c r="H902" s="2" t="s">
        <v>21</v>
      </c>
      <c r="I902" s="2" t="s">
        <v>2066</v>
      </c>
      <c r="J902" s="3" t="str">
        <f>HYPERLINK("https://www.boe.es/gazeta/dias/1823/03/03/pdfs/GMD-1823-66.pdf#page=6","Abrir facsímil")</f>
        <v>Abrir facsímil</v>
      </c>
      <c r="K902" s="3" t="s">
        <v>23</v>
      </c>
    </row>
    <row r="903" spans="1:11" ht="42" customHeight="1">
      <c r="A903" s="2" t="s">
        <v>2062</v>
      </c>
      <c r="B903" s="2" t="s">
        <v>2063</v>
      </c>
      <c r="C903" s="2" t="s">
        <v>56</v>
      </c>
      <c r="D903" s="2" t="s">
        <v>57</v>
      </c>
      <c r="E903" s="5">
        <v>-28055</v>
      </c>
      <c r="F903" s="3" t="s">
        <v>313</v>
      </c>
      <c r="G903" s="3" t="s">
        <v>20</v>
      </c>
      <c r="H903" s="2" t="s">
        <v>21</v>
      </c>
      <c r="I903" s="2" t="s">
        <v>2067</v>
      </c>
      <c r="J903" s="3" t="str">
        <f>HYPERLINK("https://www.boe.es/gazeta/dias/1823/03/09/pdfs/GMD-1823-72.pdf#page=4","Abrir facsímil")</f>
        <v>Abrir facsímil</v>
      </c>
      <c r="K903" s="3" t="s">
        <v>23</v>
      </c>
    </row>
    <row r="904" spans="1:11" ht="42" customHeight="1">
      <c r="A904" s="2" t="s">
        <v>2062</v>
      </c>
      <c r="B904" s="2" t="s">
        <v>2063</v>
      </c>
      <c r="C904" s="2" t="s">
        <v>17</v>
      </c>
      <c r="D904" s="2" t="s">
        <v>18</v>
      </c>
      <c r="E904" s="5">
        <v>-28054</v>
      </c>
      <c r="F904" s="3" t="s">
        <v>1292</v>
      </c>
      <c r="G904" s="3" t="s">
        <v>20</v>
      </c>
      <c r="H904" s="2" t="s">
        <v>21</v>
      </c>
      <c r="I904" s="2" t="s">
        <v>2068</v>
      </c>
      <c r="J904" s="3" t="str">
        <f>HYPERLINK("https://www.boe.es/gazeta/dias/1823/03/10/pdfs/GMD-1823-73.pdf#page=4","Abrir facsímil")</f>
        <v>Abrir facsímil</v>
      </c>
      <c r="K904" s="3" t="s">
        <v>23</v>
      </c>
    </row>
    <row r="905" spans="1:11" ht="42" customHeight="1">
      <c r="A905" s="2" t="s">
        <v>2069</v>
      </c>
      <c r="B905" s="2" t="s">
        <v>2069</v>
      </c>
      <c r="C905" s="2" t="s">
        <v>17</v>
      </c>
      <c r="D905" s="2" t="s">
        <v>18</v>
      </c>
      <c r="E905" s="5">
        <v>-28061</v>
      </c>
      <c r="F905" s="3" t="s">
        <v>704</v>
      </c>
      <c r="G905" s="3" t="s">
        <v>20</v>
      </c>
      <c r="H905" s="2" t="s">
        <v>21</v>
      </c>
      <c r="I905" s="2" t="s">
        <v>2070</v>
      </c>
      <c r="J905" s="3" t="str">
        <f>HYPERLINK("https://www.boe.es/gazeta/dias/1823/03/03/pdfs/GMD-1823-66.pdf#page=4","Abrir facsímil")</f>
        <v>Abrir facsímil</v>
      </c>
      <c r="K905" s="3" t="s">
        <v>23</v>
      </c>
    </row>
    <row r="906" spans="1:11" ht="42" customHeight="1">
      <c r="A906" s="2" t="s">
        <v>2071</v>
      </c>
      <c r="B906" s="2" t="s">
        <v>2071</v>
      </c>
      <c r="C906" s="2" t="s">
        <v>56</v>
      </c>
      <c r="D906" s="2" t="s">
        <v>57</v>
      </c>
      <c r="E906" s="5">
        <v>-28077</v>
      </c>
      <c r="F906" s="3" t="s">
        <v>536</v>
      </c>
      <c r="G906" s="3" t="s">
        <v>27</v>
      </c>
      <c r="H906" s="2" t="s">
        <v>21</v>
      </c>
      <c r="I906" s="2" t="s">
        <v>2072</v>
      </c>
      <c r="J906" s="3" t="str">
        <f>HYPERLINK("https://www.boe.es/gazeta/dias/1823/02/15/pdfs/GMD-1823-49.pdf#page=2","Abrir facsímil")</f>
        <v>Abrir facsímil</v>
      </c>
      <c r="K906" s="3" t="s">
        <v>23</v>
      </c>
    </row>
    <row r="907" spans="1:11" ht="42" customHeight="1">
      <c r="A907" s="2" t="s">
        <v>2073</v>
      </c>
      <c r="B907" s="2" t="s">
        <v>2073</v>
      </c>
      <c r="C907" s="2" t="s">
        <v>79</v>
      </c>
      <c r="D907" s="2" t="s">
        <v>74</v>
      </c>
      <c r="E907" s="5">
        <v>-28056</v>
      </c>
      <c r="F907" s="3" t="s">
        <v>572</v>
      </c>
      <c r="G907" s="3" t="s">
        <v>20</v>
      </c>
      <c r="H907" s="2" t="s">
        <v>21</v>
      </c>
      <c r="I907" s="2" t="s">
        <v>2074</v>
      </c>
      <c r="J907" s="3" t="str">
        <f>HYPERLINK("https://www.boe.es/gazeta/dias/1823/03/08/pdfs/GMD-1823-71.pdf#page=4","Abrir facsímil")</f>
        <v>Abrir facsímil</v>
      </c>
      <c r="K907" s="3" t="s">
        <v>23</v>
      </c>
    </row>
    <row r="908" spans="1:11" ht="42" customHeight="1">
      <c r="A908" s="2" t="s">
        <v>2075</v>
      </c>
      <c r="B908" s="2" t="s">
        <v>2075</v>
      </c>
      <c r="C908" s="2" t="s">
        <v>109</v>
      </c>
      <c r="D908" s="2" t="s">
        <v>74</v>
      </c>
      <c r="E908" s="5">
        <v>-28117</v>
      </c>
      <c r="F908" s="3" t="s">
        <v>271</v>
      </c>
      <c r="G908" s="3" t="s">
        <v>20</v>
      </c>
      <c r="H908" s="2" t="s">
        <v>21</v>
      </c>
      <c r="I908" s="2" t="s">
        <v>2076</v>
      </c>
      <c r="J908" s="3" t="str">
        <f>HYPERLINK("https://www.boe.es/gazeta/dias/1823/01/06/pdfs/GMD-1823-6.pdf#page=4","Abrir facsímil")</f>
        <v>Abrir facsímil</v>
      </c>
      <c r="K908" s="3" t="s">
        <v>23</v>
      </c>
    </row>
    <row r="909" spans="1:11" ht="42" customHeight="1">
      <c r="A909" s="2" t="s">
        <v>2075</v>
      </c>
      <c r="B909" s="2" t="s">
        <v>2075</v>
      </c>
      <c r="C909" s="2" t="s">
        <v>56</v>
      </c>
      <c r="D909" s="2" t="s">
        <v>57</v>
      </c>
      <c r="E909" s="5">
        <v>-27986</v>
      </c>
      <c r="F909" s="3" t="s">
        <v>75</v>
      </c>
      <c r="G909" s="3" t="s">
        <v>48</v>
      </c>
      <c r="H909" s="2" t="s">
        <v>21</v>
      </c>
      <c r="I909" s="2" t="s">
        <v>2077</v>
      </c>
      <c r="J909" s="3" t="str">
        <f>HYPERLINK("https://www.boe.es/gazeta/dias/1823/05/17/pdfs/GES-1823-37.pdf#page=3","Abrir facsímil")</f>
        <v>Abrir facsímil</v>
      </c>
      <c r="K909" s="3" t="s">
        <v>23</v>
      </c>
    </row>
    <row r="910" spans="1:11" ht="42" customHeight="1">
      <c r="A910" s="2" t="s">
        <v>2078</v>
      </c>
      <c r="B910" s="2" t="s">
        <v>2078</v>
      </c>
      <c r="C910" s="2" t="s">
        <v>79</v>
      </c>
      <c r="D910" s="2" t="s">
        <v>74</v>
      </c>
      <c r="E910" s="5">
        <v>-27941</v>
      </c>
      <c r="F910" s="3" t="s">
        <v>527</v>
      </c>
      <c r="G910" s="3" t="s">
        <v>48</v>
      </c>
      <c r="H910" s="2" t="s">
        <v>21</v>
      </c>
      <c r="I910" s="2" t="s">
        <v>2079</v>
      </c>
      <c r="J910" s="3" t="str">
        <f>HYPERLINK("https://www.boe.es/gazeta/dias/1823/07/01/pdfs/GES-1823-81.pdf#page=3","Abrir facsímil")</f>
        <v>Abrir facsímil</v>
      </c>
      <c r="K910" s="3" t="s">
        <v>23</v>
      </c>
    </row>
    <row r="911" spans="1:11" ht="42" customHeight="1">
      <c r="A911" s="2" t="s">
        <v>2080</v>
      </c>
      <c r="B911" s="2" t="s">
        <v>2080</v>
      </c>
      <c r="C911" s="2" t="s">
        <v>17</v>
      </c>
      <c r="D911" s="2" t="s">
        <v>18</v>
      </c>
      <c r="E911" s="5">
        <v>-27993</v>
      </c>
      <c r="F911" s="3" t="s">
        <v>1062</v>
      </c>
      <c r="G911" s="3" t="s">
        <v>48</v>
      </c>
      <c r="H911" s="2" t="s">
        <v>21</v>
      </c>
      <c r="I911" s="2" t="s">
        <v>2081</v>
      </c>
      <c r="J911" s="3" t="str">
        <f>HYPERLINK("https://www.boe.es/gazeta/dias/1823/05/10/pdfs/GMD-1823-122.pdf#page=3","Abrir facsímil")</f>
        <v>Abrir facsímil</v>
      </c>
      <c r="K911" s="3" t="s">
        <v>23</v>
      </c>
    </row>
    <row r="912" spans="1:11" ht="42" customHeight="1">
      <c r="A912" s="2" t="s">
        <v>2082</v>
      </c>
      <c r="B912" s="2" t="s">
        <v>2082</v>
      </c>
      <c r="C912" s="2" t="s">
        <v>84</v>
      </c>
      <c r="D912" s="2" t="s">
        <v>74</v>
      </c>
      <c r="E912" s="5">
        <v>-27912</v>
      </c>
      <c r="F912" s="3" t="s">
        <v>365</v>
      </c>
      <c r="G912" s="3" t="s">
        <v>366</v>
      </c>
      <c r="H912" s="2" t="s">
        <v>21</v>
      </c>
      <c r="I912" s="2" t="s">
        <v>2083</v>
      </c>
      <c r="J912" s="3" t="str">
        <f>HYPERLINK("https://www.boe.es/gazeta/dias/1823/07/30/pdfs/GES-1823-111.pdf#page=4","Abrir facsímil")</f>
        <v>Abrir facsímil</v>
      </c>
      <c r="K912" s="3" t="s">
        <v>23</v>
      </c>
    </row>
    <row r="913" spans="1:11" ht="42" customHeight="1">
      <c r="A913" s="2" t="s">
        <v>2084</v>
      </c>
      <c r="B913" s="2" t="s">
        <v>2084</v>
      </c>
      <c r="C913" s="2" t="s">
        <v>109</v>
      </c>
      <c r="D913" s="2" t="s">
        <v>74</v>
      </c>
      <c r="E913" s="5">
        <v>-28118</v>
      </c>
      <c r="F913" s="3" t="s">
        <v>252</v>
      </c>
      <c r="G913" s="3" t="s">
        <v>2085</v>
      </c>
      <c r="H913" s="2" t="s">
        <v>21</v>
      </c>
      <c r="I913" s="2" t="s">
        <v>2086</v>
      </c>
      <c r="J913" s="3" t="str">
        <f>HYPERLINK("https://www.boe.es/gazeta/dias/1823/01/05/pdfs/GMD-1823-5.pdf#page=4","Abrir facsímil")</f>
        <v>Abrir facsímil</v>
      </c>
      <c r="K913" s="3" t="s">
        <v>23</v>
      </c>
    </row>
    <row r="914" spans="1:11" ht="42" customHeight="1">
      <c r="A914" s="2" t="s">
        <v>2084</v>
      </c>
      <c r="B914" s="2" t="s">
        <v>2084</v>
      </c>
      <c r="C914" s="2" t="s">
        <v>17</v>
      </c>
      <c r="D914" s="2" t="s">
        <v>18</v>
      </c>
      <c r="E914" s="5">
        <v>-28117</v>
      </c>
      <c r="F914" s="3" t="s">
        <v>271</v>
      </c>
      <c r="G914" s="3" t="s">
        <v>20</v>
      </c>
      <c r="H914" s="2" t="s">
        <v>21</v>
      </c>
      <c r="I914" s="2" t="s">
        <v>2087</v>
      </c>
      <c r="J914" s="3" t="str">
        <f>HYPERLINK("https://www.boe.es/gazeta/dias/1823/01/06/pdfs/GMD-1823-6.pdf#page=4","Abrir facsímil")</f>
        <v>Abrir facsímil</v>
      </c>
      <c r="K914" s="3" t="s">
        <v>23</v>
      </c>
    </row>
    <row r="915" spans="1:11" ht="42" customHeight="1">
      <c r="A915" s="2" t="s">
        <v>2084</v>
      </c>
      <c r="B915" s="2" t="s">
        <v>2084</v>
      </c>
      <c r="C915" s="2" t="s">
        <v>109</v>
      </c>
      <c r="D915" s="2" t="s">
        <v>74</v>
      </c>
      <c r="E915" s="5">
        <v>-28113</v>
      </c>
      <c r="F915" s="3" t="s">
        <v>2088</v>
      </c>
      <c r="G915" s="3" t="s">
        <v>276</v>
      </c>
      <c r="H915" s="2" t="s">
        <v>21</v>
      </c>
      <c r="I915" s="2" t="s">
        <v>2089</v>
      </c>
      <c r="J915" s="3" t="str">
        <f>HYPERLINK("https://www.boe.es/gazeta/dias/1823/01/10/pdfs/GMD-1823-10.pdf#page=7","Abrir facsímil")</f>
        <v>Abrir facsímil</v>
      </c>
      <c r="K915" s="3" t="s">
        <v>23</v>
      </c>
    </row>
    <row r="916" spans="1:11" ht="42" customHeight="1">
      <c r="A916" s="2" t="s">
        <v>2084</v>
      </c>
      <c r="B916" s="2" t="s">
        <v>2084</v>
      </c>
      <c r="C916" s="2" t="s">
        <v>79</v>
      </c>
      <c r="D916" s="2" t="s">
        <v>74</v>
      </c>
      <c r="E916" s="5">
        <v>-28111</v>
      </c>
      <c r="F916" s="3" t="s">
        <v>275</v>
      </c>
      <c r="G916" s="3" t="s">
        <v>48</v>
      </c>
      <c r="H916" s="2" t="s">
        <v>21</v>
      </c>
      <c r="I916" s="2" t="s">
        <v>2090</v>
      </c>
      <c r="J916" s="3" t="str">
        <f>HYPERLINK("https://www.boe.es/gazeta/dias/1823/01/12/pdfs/GMD-1823-12.pdf#page=3","Abrir facsímil")</f>
        <v>Abrir facsímil</v>
      </c>
      <c r="K916" s="3" t="s">
        <v>23</v>
      </c>
    </row>
    <row r="917" spans="1:11" ht="42" customHeight="1">
      <c r="A917" s="2" t="s">
        <v>2084</v>
      </c>
      <c r="B917" s="2" t="s">
        <v>2084</v>
      </c>
      <c r="C917" s="2" t="s">
        <v>17</v>
      </c>
      <c r="D917" s="2" t="s">
        <v>18</v>
      </c>
      <c r="E917" s="5">
        <v>-28095</v>
      </c>
      <c r="F917" s="3" t="s">
        <v>1770</v>
      </c>
      <c r="G917" s="3" t="s">
        <v>27</v>
      </c>
      <c r="H917" s="2" t="s">
        <v>21</v>
      </c>
      <c r="I917" s="2" t="s">
        <v>2091</v>
      </c>
      <c r="J917" s="3" t="str">
        <f>HYPERLINK("https://www.boe.es/gazeta/dias/1823/01/28/pdfs/GMD-1823-29.pdf#page=2","Abrir facsímil")</f>
        <v>Abrir facsímil</v>
      </c>
      <c r="K917" s="3" t="s">
        <v>23</v>
      </c>
    </row>
    <row r="918" spans="1:11" ht="42" customHeight="1">
      <c r="A918" s="2" t="s">
        <v>2084</v>
      </c>
      <c r="B918" s="2" t="s">
        <v>2084</v>
      </c>
      <c r="C918" s="2" t="s">
        <v>84</v>
      </c>
      <c r="D918" s="2" t="s">
        <v>74</v>
      </c>
      <c r="E918" s="5">
        <v>-28085</v>
      </c>
      <c r="F918" s="3" t="s">
        <v>458</v>
      </c>
      <c r="G918" s="3" t="s">
        <v>20</v>
      </c>
      <c r="H918" s="2" t="s">
        <v>21</v>
      </c>
      <c r="I918" s="2" t="s">
        <v>2092</v>
      </c>
      <c r="J918" s="3" t="str">
        <f>HYPERLINK("https://www.boe.es/gazeta/dias/1823/02/07/pdfs/GMD-1823-40.pdf#page=4","Abrir facsímil")</f>
        <v>Abrir facsímil</v>
      </c>
      <c r="K918" s="3" t="s">
        <v>23</v>
      </c>
    </row>
    <row r="919" spans="1:11" ht="42" customHeight="1">
      <c r="A919" s="2" t="s">
        <v>2084</v>
      </c>
      <c r="B919" s="2" t="s">
        <v>2084</v>
      </c>
      <c r="C919" s="2" t="s">
        <v>17</v>
      </c>
      <c r="D919" s="2" t="s">
        <v>18</v>
      </c>
      <c r="E919" s="5">
        <v>-28081</v>
      </c>
      <c r="F919" s="3" t="s">
        <v>170</v>
      </c>
      <c r="G919" s="3" t="s">
        <v>27</v>
      </c>
      <c r="H919" s="2" t="s">
        <v>21</v>
      </c>
      <c r="I919" s="2" t="s">
        <v>2093</v>
      </c>
      <c r="J919" s="3" t="str">
        <f>HYPERLINK("https://www.boe.es/gazeta/dias/1823/02/11/pdfs/GMD-1823-45.pdf#page=2","Abrir facsímil")</f>
        <v>Abrir facsímil</v>
      </c>
      <c r="K919" s="3" t="s">
        <v>23</v>
      </c>
    </row>
    <row r="920" spans="1:11" ht="42" customHeight="1">
      <c r="A920" s="2" t="s">
        <v>2084</v>
      </c>
      <c r="B920" s="2" t="s">
        <v>2084</v>
      </c>
      <c r="C920" s="2" t="s">
        <v>109</v>
      </c>
      <c r="D920" s="2" t="s">
        <v>74</v>
      </c>
      <c r="E920" s="5">
        <v>-28077</v>
      </c>
      <c r="F920" s="3" t="s">
        <v>536</v>
      </c>
      <c r="G920" s="3" t="s">
        <v>20</v>
      </c>
      <c r="H920" s="2" t="s">
        <v>21</v>
      </c>
      <c r="I920" s="2" t="s">
        <v>2094</v>
      </c>
      <c r="J920" s="3" t="str">
        <f>HYPERLINK("https://www.boe.es/gazeta/dias/1823/02/15/pdfs/GMD-1823-49.pdf#page=4","Abrir facsímil")</f>
        <v>Abrir facsímil</v>
      </c>
      <c r="K920" s="3" t="s">
        <v>23</v>
      </c>
    </row>
    <row r="921" spans="1:11" ht="42" customHeight="1">
      <c r="A921" s="2" t="s">
        <v>2084</v>
      </c>
      <c r="B921" s="2" t="s">
        <v>2084</v>
      </c>
      <c r="C921" s="2" t="s">
        <v>56</v>
      </c>
      <c r="D921" s="2" t="s">
        <v>57</v>
      </c>
      <c r="E921" s="5">
        <v>-28076</v>
      </c>
      <c r="F921" s="3" t="s">
        <v>1638</v>
      </c>
      <c r="G921" s="3" t="s">
        <v>27</v>
      </c>
      <c r="H921" s="2" t="s">
        <v>21</v>
      </c>
      <c r="I921" s="2" t="s">
        <v>2095</v>
      </c>
      <c r="J921" s="3" t="str">
        <f>HYPERLINK("https://www.boe.es/gazeta/dias/1823/02/16/pdfs/GMD-1823-50.pdf#page=2","Abrir facsímil")</f>
        <v>Abrir facsímil</v>
      </c>
      <c r="K921" s="3" t="s">
        <v>23</v>
      </c>
    </row>
    <row r="922" spans="1:11" ht="42" customHeight="1">
      <c r="A922" s="2" t="s">
        <v>2084</v>
      </c>
      <c r="B922" s="2" t="s">
        <v>2084</v>
      </c>
      <c r="C922" s="2" t="s">
        <v>17</v>
      </c>
      <c r="D922" s="2" t="s">
        <v>18</v>
      </c>
      <c r="E922" s="5">
        <v>-28074</v>
      </c>
      <c r="F922" s="3" t="s">
        <v>212</v>
      </c>
      <c r="G922" s="3" t="s">
        <v>296</v>
      </c>
      <c r="H922" s="2" t="s">
        <v>21</v>
      </c>
      <c r="I922" s="2" t="s">
        <v>2096</v>
      </c>
      <c r="J922" s="3" t="str">
        <f>HYPERLINK("https://www.boe.es/gazeta/dias/1823/02/18/pdfs/GMD-1823-52.pdf#page=2","Abrir facsímil")</f>
        <v>Abrir facsímil</v>
      </c>
      <c r="K922" s="3" t="s">
        <v>23</v>
      </c>
    </row>
    <row r="923" spans="1:11" ht="42" customHeight="1">
      <c r="A923" s="2" t="s">
        <v>2084</v>
      </c>
      <c r="B923" s="2" t="s">
        <v>2084</v>
      </c>
      <c r="C923" s="2" t="s">
        <v>79</v>
      </c>
      <c r="D923" s="2" t="s">
        <v>74</v>
      </c>
      <c r="E923" s="5">
        <v>-28074</v>
      </c>
      <c r="F923" s="3" t="s">
        <v>212</v>
      </c>
      <c r="G923" s="3" t="s">
        <v>20</v>
      </c>
      <c r="H923" s="2" t="s">
        <v>21</v>
      </c>
      <c r="I923" s="2" t="s">
        <v>2097</v>
      </c>
      <c r="J923" s="3" t="str">
        <f>HYPERLINK("https://www.boe.es/gazeta/dias/1823/02/18/pdfs/GMD-1823-52.pdf#page=4","Abrir facsímil")</f>
        <v>Abrir facsímil</v>
      </c>
      <c r="K923" s="3" t="s">
        <v>23</v>
      </c>
    </row>
    <row r="924" spans="1:11" ht="42" customHeight="1">
      <c r="A924" s="2" t="s">
        <v>2084</v>
      </c>
      <c r="B924" s="2" t="s">
        <v>2084</v>
      </c>
      <c r="C924" s="2" t="s">
        <v>17</v>
      </c>
      <c r="D924" s="2" t="s">
        <v>18</v>
      </c>
      <c r="E924" s="5">
        <v>-28073</v>
      </c>
      <c r="F924" s="3" t="s">
        <v>204</v>
      </c>
      <c r="G924" s="3" t="s">
        <v>27</v>
      </c>
      <c r="H924" s="2" t="s">
        <v>21</v>
      </c>
      <c r="I924" s="2" t="s">
        <v>2098</v>
      </c>
      <c r="J924" s="3" t="str">
        <f>HYPERLINK("https://www.boe.es/gazeta/dias/1823/02/19/pdfs/GMD-1823-53.pdf#page=2","Abrir facsímil")</f>
        <v>Abrir facsímil</v>
      </c>
      <c r="K924" s="3" t="s">
        <v>23</v>
      </c>
    </row>
    <row r="925" spans="1:11" ht="42" customHeight="1">
      <c r="A925" s="2" t="s">
        <v>2084</v>
      </c>
      <c r="B925" s="2" t="s">
        <v>2084</v>
      </c>
      <c r="C925" s="2" t="s">
        <v>17</v>
      </c>
      <c r="D925" s="2" t="s">
        <v>18</v>
      </c>
      <c r="E925" s="5">
        <v>-28061</v>
      </c>
      <c r="F925" s="3" t="s">
        <v>704</v>
      </c>
      <c r="G925" s="3" t="s">
        <v>48</v>
      </c>
      <c r="H925" s="2" t="s">
        <v>21</v>
      </c>
      <c r="I925" s="2" t="s">
        <v>2099</v>
      </c>
      <c r="J925" s="3" t="str">
        <f>HYPERLINK("https://www.boe.es/gazeta/dias/1823/03/03/pdfs/GMD-1823-66.pdf#page=3","Abrir facsímil")</f>
        <v>Abrir facsímil</v>
      </c>
      <c r="K925" s="3" t="s">
        <v>23</v>
      </c>
    </row>
    <row r="926" spans="1:11" ht="42" customHeight="1">
      <c r="A926" s="2" t="s">
        <v>2084</v>
      </c>
      <c r="B926" s="2" t="s">
        <v>2084</v>
      </c>
      <c r="C926" s="2" t="s">
        <v>56</v>
      </c>
      <c r="D926" s="2" t="s">
        <v>57</v>
      </c>
      <c r="E926" s="5">
        <v>-28061</v>
      </c>
      <c r="F926" s="3" t="s">
        <v>704</v>
      </c>
      <c r="G926" s="3" t="s">
        <v>20</v>
      </c>
      <c r="H926" s="2" t="s">
        <v>21</v>
      </c>
      <c r="I926" s="2" t="s">
        <v>2100</v>
      </c>
      <c r="J926" s="3" t="str">
        <f>HYPERLINK("https://www.boe.es/gazeta/dias/1823/03/03/pdfs/GMD-1823-66.pdf#page=4","Abrir facsímil")</f>
        <v>Abrir facsímil</v>
      </c>
      <c r="K926" s="3" t="s">
        <v>23</v>
      </c>
    </row>
    <row r="927" spans="1:11" ht="42" customHeight="1">
      <c r="A927" s="2" t="s">
        <v>2084</v>
      </c>
      <c r="B927" s="2" t="s">
        <v>2084</v>
      </c>
      <c r="C927" s="2" t="s">
        <v>79</v>
      </c>
      <c r="D927" s="2" t="s">
        <v>74</v>
      </c>
      <c r="E927" s="5">
        <v>-28060</v>
      </c>
      <c r="F927" s="3" t="s">
        <v>180</v>
      </c>
      <c r="G927" s="3" t="s">
        <v>27</v>
      </c>
      <c r="H927" s="2" t="s">
        <v>21</v>
      </c>
      <c r="I927" s="2" t="s">
        <v>2101</v>
      </c>
      <c r="J927" s="3" t="str">
        <f>HYPERLINK("https://www.boe.es/gazeta/dias/1823/03/04/pdfs/GMD-1823-67.pdf#page=2","Abrir facsímil")</f>
        <v>Abrir facsímil</v>
      </c>
      <c r="K927" s="3" t="s">
        <v>23</v>
      </c>
    </row>
    <row r="928" spans="1:11" ht="42" customHeight="1">
      <c r="A928" s="2" t="s">
        <v>2084</v>
      </c>
      <c r="B928" s="2" t="s">
        <v>2084</v>
      </c>
      <c r="C928" s="2" t="s">
        <v>17</v>
      </c>
      <c r="D928" s="2" t="s">
        <v>18</v>
      </c>
      <c r="E928" s="5">
        <v>-28060</v>
      </c>
      <c r="F928" s="3" t="s">
        <v>180</v>
      </c>
      <c r="G928" s="3" t="s">
        <v>20</v>
      </c>
      <c r="H928" s="2" t="s">
        <v>21</v>
      </c>
      <c r="I928" s="2" t="s">
        <v>2102</v>
      </c>
      <c r="J928" s="3" t="str">
        <f>HYPERLINK("https://www.boe.es/gazeta/dias/1823/03/04/pdfs/GMD-1823-67.pdf#page=4","Abrir facsímil")</f>
        <v>Abrir facsímil</v>
      </c>
      <c r="K928" s="3" t="s">
        <v>23</v>
      </c>
    </row>
    <row r="929" spans="1:11" ht="42" customHeight="1">
      <c r="A929" s="2" t="s">
        <v>2084</v>
      </c>
      <c r="B929" s="2" t="s">
        <v>2084</v>
      </c>
      <c r="C929" s="2" t="s">
        <v>79</v>
      </c>
      <c r="D929" s="2" t="s">
        <v>74</v>
      </c>
      <c r="E929" s="5">
        <v>-28059</v>
      </c>
      <c r="F929" s="3" t="s">
        <v>149</v>
      </c>
      <c r="G929" s="3" t="s">
        <v>20</v>
      </c>
      <c r="H929" s="2" t="s">
        <v>21</v>
      </c>
      <c r="I929" s="2" t="s">
        <v>2103</v>
      </c>
      <c r="J929" s="3" t="str">
        <f>HYPERLINK("https://www.boe.es/gazeta/dias/1823/03/05/pdfs/GMD-1823-68.pdf#page=4","Abrir facsímil")</f>
        <v>Abrir facsímil</v>
      </c>
      <c r="K929" s="3" t="s">
        <v>23</v>
      </c>
    </row>
    <row r="930" spans="1:11" ht="42" customHeight="1">
      <c r="A930" s="2" t="s">
        <v>2084</v>
      </c>
      <c r="B930" s="2" t="s">
        <v>2084</v>
      </c>
      <c r="C930" s="2" t="s">
        <v>79</v>
      </c>
      <c r="D930" s="2" t="s">
        <v>74</v>
      </c>
      <c r="E930" s="5">
        <v>-28050</v>
      </c>
      <c r="F930" s="3" t="s">
        <v>473</v>
      </c>
      <c r="G930" s="3" t="s">
        <v>20</v>
      </c>
      <c r="H930" s="2" t="s">
        <v>21</v>
      </c>
      <c r="I930" s="2" t="s">
        <v>2104</v>
      </c>
      <c r="J930" s="3" t="str">
        <f>HYPERLINK("https://www.boe.es/gazeta/dias/1823/03/14/pdfs/GMD-1823-77.pdf#page=4","Abrir facsímil")</f>
        <v>Abrir facsímil</v>
      </c>
      <c r="K930" s="3" t="s">
        <v>23</v>
      </c>
    </row>
    <row r="931" spans="1:11" ht="42" customHeight="1">
      <c r="A931" s="2" t="s">
        <v>2084</v>
      </c>
      <c r="B931" s="2" t="s">
        <v>2084</v>
      </c>
      <c r="C931" s="2" t="s">
        <v>109</v>
      </c>
      <c r="D931" s="2" t="s">
        <v>74</v>
      </c>
      <c r="E931" s="5">
        <v>-28049</v>
      </c>
      <c r="F931" s="3" t="s">
        <v>198</v>
      </c>
      <c r="G931" s="3" t="s">
        <v>48</v>
      </c>
      <c r="H931" s="2" t="s">
        <v>21</v>
      </c>
      <c r="I931" s="2" t="s">
        <v>2105</v>
      </c>
      <c r="J931" s="3" t="str">
        <f>HYPERLINK("https://www.boe.es/gazeta/dias/1823/03/15/pdfs/GMD-1823-78.pdf#page=3","Abrir facsímil")</f>
        <v>Abrir facsímil</v>
      </c>
      <c r="K931" s="3" t="s">
        <v>23</v>
      </c>
    </row>
    <row r="932" spans="1:11" ht="42" customHeight="1">
      <c r="A932" s="2" t="s">
        <v>2084</v>
      </c>
      <c r="B932" s="2" t="s">
        <v>2084</v>
      </c>
      <c r="C932" s="2" t="s">
        <v>17</v>
      </c>
      <c r="D932" s="2" t="s">
        <v>18</v>
      </c>
      <c r="E932" s="5">
        <v>-28046</v>
      </c>
      <c r="F932" s="3" t="s">
        <v>85</v>
      </c>
      <c r="G932" s="3" t="s">
        <v>48</v>
      </c>
      <c r="H932" s="2" t="s">
        <v>21</v>
      </c>
      <c r="I932" s="2" t="s">
        <v>2106</v>
      </c>
      <c r="J932" s="3" t="str">
        <f>HYPERLINK("https://www.boe.es/gazeta/dias/1823/03/18/pdfs/GMD-1823-81.pdf#page=3","Abrir facsímil")</f>
        <v>Abrir facsímil</v>
      </c>
      <c r="K932" s="3" t="s">
        <v>23</v>
      </c>
    </row>
    <row r="933" spans="1:11" ht="42" customHeight="1">
      <c r="A933" s="2" t="s">
        <v>2084</v>
      </c>
      <c r="B933" s="2" t="s">
        <v>2084</v>
      </c>
      <c r="C933" s="2" t="s">
        <v>56</v>
      </c>
      <c r="D933" s="2" t="s">
        <v>57</v>
      </c>
      <c r="E933" s="5">
        <v>-28009</v>
      </c>
      <c r="F933" s="3" t="s">
        <v>307</v>
      </c>
      <c r="G933" s="3" t="s">
        <v>2107</v>
      </c>
      <c r="H933" s="2" t="s">
        <v>21</v>
      </c>
      <c r="I933" s="2" t="s">
        <v>2108</v>
      </c>
      <c r="J933" s="3" t="str">
        <f>HYPERLINK("https://www.boe.es/gazeta/dias/1823/04/24/pdfs/GES-1823-14.pdf#page=4","Abrir facsímil")</f>
        <v>Abrir facsímil</v>
      </c>
      <c r="K933" s="3" t="s">
        <v>23</v>
      </c>
    </row>
    <row r="934" spans="1:11" ht="42" customHeight="1">
      <c r="A934" s="2" t="s">
        <v>2084</v>
      </c>
      <c r="B934" s="2" t="s">
        <v>2084</v>
      </c>
      <c r="C934" s="2" t="s">
        <v>109</v>
      </c>
      <c r="D934" s="2" t="s">
        <v>74</v>
      </c>
      <c r="E934" s="5">
        <v>-28009</v>
      </c>
      <c r="F934" s="3" t="s">
        <v>307</v>
      </c>
      <c r="G934" s="3" t="s">
        <v>48</v>
      </c>
      <c r="H934" s="2" t="s">
        <v>21</v>
      </c>
      <c r="I934" s="2" t="s">
        <v>2109</v>
      </c>
      <c r="J934" s="3" t="str">
        <f>HYPERLINK("https://www.boe.es/gazeta/dias/1823/04/24/pdfs/GES-1823-14.pdf#page=3","Abrir facsímil")</f>
        <v>Abrir facsímil</v>
      </c>
      <c r="K934" s="3" t="s">
        <v>23</v>
      </c>
    </row>
    <row r="935" spans="1:11" ht="42" customHeight="1">
      <c r="A935" s="2" t="s">
        <v>2084</v>
      </c>
      <c r="B935" s="2" t="s">
        <v>2084</v>
      </c>
      <c r="C935" s="2" t="s">
        <v>109</v>
      </c>
      <c r="D935" s="2" t="s">
        <v>74</v>
      </c>
      <c r="E935" s="5">
        <v>-28006</v>
      </c>
      <c r="F935" s="3" t="s">
        <v>183</v>
      </c>
      <c r="G935" s="3" t="s">
        <v>20</v>
      </c>
      <c r="H935" s="2" t="s">
        <v>21</v>
      </c>
      <c r="I935" s="2" t="s">
        <v>2110</v>
      </c>
      <c r="J935" s="3" t="str">
        <f>HYPERLINK("https://www.boe.es/gazeta/dias/1823/04/27/pdfs/GES-1823-17.pdf#page=4","Abrir facsímil")</f>
        <v>Abrir facsímil</v>
      </c>
      <c r="K935" s="3" t="s">
        <v>23</v>
      </c>
    </row>
    <row r="936" spans="1:11" ht="42" customHeight="1">
      <c r="A936" s="2" t="s">
        <v>2084</v>
      </c>
      <c r="B936" s="2" t="s">
        <v>2084</v>
      </c>
      <c r="C936" s="2" t="s">
        <v>56</v>
      </c>
      <c r="D936" s="2" t="s">
        <v>57</v>
      </c>
      <c r="E936" s="5">
        <v>-28005</v>
      </c>
      <c r="F936" s="3" t="s">
        <v>1648</v>
      </c>
      <c r="G936" s="3" t="s">
        <v>48</v>
      </c>
      <c r="H936" s="2" t="s">
        <v>21</v>
      </c>
      <c r="I936" s="2" t="s">
        <v>2111</v>
      </c>
      <c r="J936" s="3" t="str">
        <f>HYPERLINK("https://www.boe.es/gazeta/dias/1823/04/28/pdfs/GES-1823-18.pdf#page=3","Abrir facsímil")</f>
        <v>Abrir facsímil</v>
      </c>
      <c r="K936" s="3" t="s">
        <v>23</v>
      </c>
    </row>
    <row r="937" spans="1:11" ht="42" customHeight="1">
      <c r="A937" s="2" t="s">
        <v>2084</v>
      </c>
      <c r="B937" s="2" t="s">
        <v>2084</v>
      </c>
      <c r="C937" s="2" t="s">
        <v>73</v>
      </c>
      <c r="D937" s="2" t="s">
        <v>74</v>
      </c>
      <c r="E937" s="5">
        <v>-28004</v>
      </c>
      <c r="F937" s="3" t="s">
        <v>33</v>
      </c>
      <c r="G937" s="3" t="s">
        <v>2112</v>
      </c>
      <c r="H937" s="2" t="s">
        <v>21</v>
      </c>
      <c r="I937" s="2" t="s">
        <v>2113</v>
      </c>
      <c r="J937" s="3" t="str">
        <f>HYPERLINK("https://www.boe.es/gazeta/dias/1823/04/29/pdfs/GES-1823-19.pdf#page=4","Abrir facsímil")</f>
        <v>Abrir facsímil</v>
      </c>
      <c r="K937" s="3" t="s">
        <v>23</v>
      </c>
    </row>
    <row r="938" spans="1:11" ht="42" customHeight="1">
      <c r="A938" s="2" t="s">
        <v>2084</v>
      </c>
      <c r="B938" s="2" t="s">
        <v>2084</v>
      </c>
      <c r="C938" s="2" t="s">
        <v>17</v>
      </c>
      <c r="D938" s="2" t="s">
        <v>18</v>
      </c>
      <c r="E938" s="5">
        <v>-28004</v>
      </c>
      <c r="F938" s="3" t="s">
        <v>33</v>
      </c>
      <c r="G938" s="3" t="s">
        <v>34</v>
      </c>
      <c r="H938" s="2" t="s">
        <v>21</v>
      </c>
      <c r="I938" s="2" t="s">
        <v>2114</v>
      </c>
      <c r="J938" s="3" t="str">
        <f>HYPERLINK("https://www.boe.es/gazeta/dias/1823/04/29/pdfs/GES-1823-19.pdf#page=5","Abrir facsímil")</f>
        <v>Abrir facsímil</v>
      </c>
      <c r="K938" s="3" t="s">
        <v>23</v>
      </c>
    </row>
    <row r="939" spans="1:11" ht="42" customHeight="1">
      <c r="A939" s="2" t="s">
        <v>2084</v>
      </c>
      <c r="B939" s="2" t="s">
        <v>2084</v>
      </c>
      <c r="C939" s="2" t="s">
        <v>79</v>
      </c>
      <c r="D939" s="2" t="s">
        <v>74</v>
      </c>
      <c r="E939" s="5">
        <v>-28003</v>
      </c>
      <c r="F939" s="3" t="s">
        <v>26</v>
      </c>
      <c r="G939" s="3" t="s">
        <v>48</v>
      </c>
      <c r="H939" s="2" t="s">
        <v>21</v>
      </c>
      <c r="I939" s="2" t="s">
        <v>2115</v>
      </c>
      <c r="J939" s="3" t="str">
        <f>HYPERLINK("https://www.boe.es/gazeta/dias/1823/04/30/pdfs/GES-1823-20.pdf#page=3","Abrir facsímil")</f>
        <v>Abrir facsímil</v>
      </c>
      <c r="K939" s="3" t="s">
        <v>23</v>
      </c>
    </row>
    <row r="940" spans="1:11" ht="42" customHeight="1">
      <c r="A940" s="2" t="s">
        <v>2084</v>
      </c>
      <c r="B940" s="2" t="s">
        <v>2084</v>
      </c>
      <c r="C940" s="2" t="s">
        <v>56</v>
      </c>
      <c r="D940" s="2" t="s">
        <v>57</v>
      </c>
      <c r="E940" s="5">
        <v>-28003</v>
      </c>
      <c r="F940" s="3" t="s">
        <v>26</v>
      </c>
      <c r="G940" s="3" t="s">
        <v>34</v>
      </c>
      <c r="H940" s="2" t="s">
        <v>21</v>
      </c>
      <c r="I940" s="2" t="s">
        <v>2116</v>
      </c>
      <c r="J940" s="3" t="str">
        <f>HYPERLINK("https://www.boe.es/gazeta/dias/1823/04/30/pdfs/GES-1823-20.pdf#page=5","Abrir facsímil")</f>
        <v>Abrir facsímil</v>
      </c>
      <c r="K940" s="3" t="s">
        <v>23</v>
      </c>
    </row>
    <row r="941" spans="1:11" ht="42" customHeight="1">
      <c r="A941" s="2" t="s">
        <v>2084</v>
      </c>
      <c r="B941" s="2" t="s">
        <v>2084</v>
      </c>
      <c r="C941" s="2" t="s">
        <v>17</v>
      </c>
      <c r="D941" s="2" t="s">
        <v>18</v>
      </c>
      <c r="E941" s="5">
        <v>-28002</v>
      </c>
      <c r="F941" s="3" t="s">
        <v>315</v>
      </c>
      <c r="G941" s="3" t="s">
        <v>48</v>
      </c>
      <c r="H941" s="2" t="s">
        <v>21</v>
      </c>
      <c r="I941" s="2" t="s">
        <v>2117</v>
      </c>
      <c r="J941" s="3" t="str">
        <f>HYPERLINK("https://www.boe.es/gazeta/dias/1823/05/01/pdfs/GES-1823-21.pdf#page=3","Abrir facsímil")</f>
        <v>Abrir facsímil</v>
      </c>
      <c r="K941" s="3" t="s">
        <v>23</v>
      </c>
    </row>
    <row r="942" spans="1:11" ht="42" customHeight="1">
      <c r="A942" s="2" t="s">
        <v>2084</v>
      </c>
      <c r="B942" s="2" t="s">
        <v>2084</v>
      </c>
      <c r="C942" s="2" t="s">
        <v>109</v>
      </c>
      <c r="D942" s="2" t="s">
        <v>74</v>
      </c>
      <c r="E942" s="5">
        <v>-28000</v>
      </c>
      <c r="F942" s="3" t="s">
        <v>1118</v>
      </c>
      <c r="G942" s="3" t="s">
        <v>48</v>
      </c>
      <c r="H942" s="2" t="s">
        <v>21</v>
      </c>
      <c r="I942" s="2" t="s">
        <v>2118</v>
      </c>
      <c r="J942" s="3" t="str">
        <f>HYPERLINK("https://www.boe.es/gazeta/dias/1823/05/03/pdfs/GES-1823-23.pdf#page=3","Abrir facsímil")</f>
        <v>Abrir facsímil</v>
      </c>
      <c r="K942" s="3" t="s">
        <v>23</v>
      </c>
    </row>
    <row r="943" spans="1:11" ht="42" customHeight="1">
      <c r="A943" s="2" t="s">
        <v>2084</v>
      </c>
      <c r="B943" s="2" t="s">
        <v>2084</v>
      </c>
      <c r="C943" s="2" t="s">
        <v>17</v>
      </c>
      <c r="D943" s="2" t="s">
        <v>18</v>
      </c>
      <c r="E943" s="5">
        <v>-28000</v>
      </c>
      <c r="F943" s="3" t="s">
        <v>1118</v>
      </c>
      <c r="G943" s="3" t="s">
        <v>20</v>
      </c>
      <c r="H943" s="2" t="s">
        <v>21</v>
      </c>
      <c r="I943" s="2" t="s">
        <v>2119</v>
      </c>
      <c r="J943" s="3" t="str">
        <f>HYPERLINK("https://www.boe.es/gazeta/dias/1823/05/03/pdfs/GES-1823-23.pdf#page=4","Abrir facsímil")</f>
        <v>Abrir facsímil</v>
      </c>
      <c r="K943" s="3" t="s">
        <v>23</v>
      </c>
    </row>
    <row r="944" spans="1:11" ht="42" customHeight="1">
      <c r="A944" s="2" t="s">
        <v>2120</v>
      </c>
      <c r="B944" s="2" t="s">
        <v>2120</v>
      </c>
      <c r="C944" s="2" t="s">
        <v>79</v>
      </c>
      <c r="D944" s="2" t="s">
        <v>74</v>
      </c>
      <c r="E944" s="5">
        <v>-27995</v>
      </c>
      <c r="F944" s="3" t="s">
        <v>320</v>
      </c>
      <c r="G944" s="3" t="s">
        <v>39</v>
      </c>
      <c r="H944" s="2" t="s">
        <v>21</v>
      </c>
      <c r="I944" s="2" t="s">
        <v>2121</v>
      </c>
      <c r="J944" s="3" t="str">
        <f>HYPERLINK("https://www.boe.es/gazeta/dias/1823/05/08/pdfs/GES-1823-28.pdf#page=1","Abrir facsímil")</f>
        <v>Abrir facsímil</v>
      </c>
      <c r="K944" s="3" t="s">
        <v>23</v>
      </c>
    </row>
    <row r="945" spans="1:11" ht="42" customHeight="1">
      <c r="A945" s="2" t="s">
        <v>2084</v>
      </c>
      <c r="B945" s="2" t="s">
        <v>2084</v>
      </c>
      <c r="C945" s="2" t="s">
        <v>79</v>
      </c>
      <c r="D945" s="2" t="s">
        <v>74</v>
      </c>
      <c r="E945" s="5">
        <v>-27995</v>
      </c>
      <c r="F945" s="3" t="s">
        <v>320</v>
      </c>
      <c r="G945" s="3" t="s">
        <v>27</v>
      </c>
      <c r="H945" s="2" t="s">
        <v>21</v>
      </c>
      <c r="I945" s="2" t="s">
        <v>2122</v>
      </c>
      <c r="J945" s="3" t="str">
        <f>HYPERLINK("https://www.boe.es/gazeta/dias/1823/05/08/pdfs/GES-1823-28.pdf#page=2","Abrir facsímil")</f>
        <v>Abrir facsímil</v>
      </c>
      <c r="K945" s="3" t="s">
        <v>23</v>
      </c>
    </row>
    <row r="946" spans="1:11" ht="42" customHeight="1">
      <c r="A946" s="2" t="s">
        <v>2084</v>
      </c>
      <c r="B946" s="2" t="s">
        <v>2084</v>
      </c>
      <c r="C946" s="2" t="s">
        <v>17</v>
      </c>
      <c r="D946" s="2" t="s">
        <v>18</v>
      </c>
      <c r="E946" s="5">
        <v>-27993</v>
      </c>
      <c r="F946" s="3" t="s">
        <v>977</v>
      </c>
      <c r="G946" s="3" t="s">
        <v>48</v>
      </c>
      <c r="H946" s="2" t="s">
        <v>21</v>
      </c>
      <c r="I946" s="2" t="s">
        <v>2123</v>
      </c>
      <c r="J946" s="3" t="str">
        <f>HYPERLINK("https://www.boe.es/gazeta/dias/1823/05/10/pdfs/GES-1823-30.pdf#page=3","Abrir facsímil")</f>
        <v>Abrir facsímil</v>
      </c>
      <c r="K946" s="3" t="s">
        <v>23</v>
      </c>
    </row>
    <row r="947" spans="1:11" ht="42" customHeight="1">
      <c r="A947" s="2" t="s">
        <v>2120</v>
      </c>
      <c r="B947" s="2" t="s">
        <v>2120</v>
      </c>
      <c r="C947" s="2" t="s">
        <v>73</v>
      </c>
      <c r="D947" s="2" t="s">
        <v>74</v>
      </c>
      <c r="E947" s="5">
        <v>-27992</v>
      </c>
      <c r="F947" s="3" t="s">
        <v>565</v>
      </c>
      <c r="G947" s="3" t="s">
        <v>48</v>
      </c>
      <c r="H947" s="2" t="s">
        <v>21</v>
      </c>
      <c r="I947" s="2" t="s">
        <v>2124</v>
      </c>
      <c r="J947" s="3" t="str">
        <f>HYPERLINK("https://www.boe.es/gazeta/dias/1823/05/11/pdfs/GES-1823-31.pdf#page=3","Abrir facsímil")</f>
        <v>Abrir facsímil</v>
      </c>
      <c r="K947" s="3" t="s">
        <v>23</v>
      </c>
    </row>
    <row r="948" spans="1:11" ht="42" customHeight="1">
      <c r="A948" s="2" t="s">
        <v>2084</v>
      </c>
      <c r="B948" s="2" t="s">
        <v>2084</v>
      </c>
      <c r="C948" s="2" t="s">
        <v>79</v>
      </c>
      <c r="D948" s="2" t="s">
        <v>74</v>
      </c>
      <c r="E948" s="5">
        <v>-27990</v>
      </c>
      <c r="F948" s="3" t="s">
        <v>1132</v>
      </c>
      <c r="G948" s="3" t="s">
        <v>48</v>
      </c>
      <c r="H948" s="2" t="s">
        <v>21</v>
      </c>
      <c r="I948" s="2" t="s">
        <v>2125</v>
      </c>
      <c r="J948" s="3" t="str">
        <f>HYPERLINK("https://www.boe.es/gazeta/dias/1823/05/13/pdfs/GES-1823-33.pdf#page=3","Abrir facsímil")</f>
        <v>Abrir facsímil</v>
      </c>
      <c r="K948" s="3" t="s">
        <v>23</v>
      </c>
    </row>
    <row r="949" spans="1:11" ht="42" customHeight="1">
      <c r="A949" s="2" t="s">
        <v>2084</v>
      </c>
      <c r="B949" s="2" t="s">
        <v>2084</v>
      </c>
      <c r="C949" s="2" t="s">
        <v>56</v>
      </c>
      <c r="D949" s="2" t="s">
        <v>57</v>
      </c>
      <c r="E949" s="5">
        <v>-27989</v>
      </c>
      <c r="F949" s="3" t="s">
        <v>1134</v>
      </c>
      <c r="G949" s="3" t="s">
        <v>27</v>
      </c>
      <c r="H949" s="2" t="s">
        <v>21</v>
      </c>
      <c r="I949" s="2" t="s">
        <v>2126</v>
      </c>
      <c r="J949" s="3" t="str">
        <f>HYPERLINK("https://www.boe.es/gazeta/dias/1823/05/14/pdfs/GES-1823-34.pdf#page=2","Abrir facsímil")</f>
        <v>Abrir facsímil</v>
      </c>
      <c r="K949" s="3" t="s">
        <v>23</v>
      </c>
    </row>
    <row r="950" spans="1:11" ht="42" customHeight="1">
      <c r="A950" s="2" t="s">
        <v>2084</v>
      </c>
      <c r="B950" s="2" t="s">
        <v>2084</v>
      </c>
      <c r="C950" s="2" t="s">
        <v>56</v>
      </c>
      <c r="D950" s="2" t="s">
        <v>57</v>
      </c>
      <c r="E950" s="5">
        <v>-27989</v>
      </c>
      <c r="F950" s="3" t="s">
        <v>1134</v>
      </c>
      <c r="G950" s="3" t="s">
        <v>48</v>
      </c>
      <c r="H950" s="2" t="s">
        <v>21</v>
      </c>
      <c r="I950" s="2" t="s">
        <v>2127</v>
      </c>
      <c r="J950" s="3" t="str">
        <f>HYPERLINK("https://www.boe.es/gazeta/dias/1823/05/14/pdfs/GES-1823-34.pdf#page=3","Abrir facsímil")</f>
        <v>Abrir facsímil</v>
      </c>
      <c r="K950" s="3" t="s">
        <v>23</v>
      </c>
    </row>
    <row r="951" spans="1:11" ht="42" customHeight="1">
      <c r="A951" s="2" t="s">
        <v>2084</v>
      </c>
      <c r="B951" s="2" t="s">
        <v>2084</v>
      </c>
      <c r="C951" s="2" t="s">
        <v>17</v>
      </c>
      <c r="D951" s="2" t="s">
        <v>18</v>
      </c>
      <c r="E951" s="5">
        <v>-27987</v>
      </c>
      <c r="F951" s="3" t="s">
        <v>332</v>
      </c>
      <c r="G951" s="3" t="s">
        <v>333</v>
      </c>
      <c r="H951" s="2" t="s">
        <v>21</v>
      </c>
      <c r="I951" s="2" t="s">
        <v>2128</v>
      </c>
      <c r="J951" s="3" t="str">
        <f>HYPERLINK("https://www.boe.es/gazeta/dias/1823/05/16/pdfs/GES-1823-36.pdf#page=2","Abrir facsímil")</f>
        <v>Abrir facsímil</v>
      </c>
      <c r="K951" s="3" t="s">
        <v>23</v>
      </c>
    </row>
    <row r="952" spans="1:11" ht="42" customHeight="1">
      <c r="A952" s="2" t="s">
        <v>2084</v>
      </c>
      <c r="B952" s="2" t="s">
        <v>2084</v>
      </c>
      <c r="C952" s="2" t="s">
        <v>109</v>
      </c>
      <c r="D952" s="2" t="s">
        <v>74</v>
      </c>
      <c r="E952" s="5">
        <v>-27986</v>
      </c>
      <c r="F952" s="3" t="s">
        <v>75</v>
      </c>
      <c r="G952" s="3" t="s">
        <v>48</v>
      </c>
      <c r="H952" s="2" t="s">
        <v>21</v>
      </c>
      <c r="I952" s="2" t="s">
        <v>2129</v>
      </c>
      <c r="J952" s="3" t="str">
        <f>HYPERLINK("https://www.boe.es/gazeta/dias/1823/05/17/pdfs/GES-1823-37.pdf#page=3","Abrir facsímil")</f>
        <v>Abrir facsímil</v>
      </c>
      <c r="K952" s="3" t="s">
        <v>23</v>
      </c>
    </row>
    <row r="953" spans="1:11" ht="42" customHeight="1">
      <c r="A953" s="2" t="s">
        <v>2084</v>
      </c>
      <c r="B953" s="2" t="s">
        <v>2084</v>
      </c>
      <c r="C953" s="2" t="s">
        <v>56</v>
      </c>
      <c r="D953" s="2" t="s">
        <v>57</v>
      </c>
      <c r="E953" s="5">
        <v>-27986</v>
      </c>
      <c r="F953" s="3" t="s">
        <v>75</v>
      </c>
      <c r="G953" s="3" t="s">
        <v>20</v>
      </c>
      <c r="H953" s="2" t="s">
        <v>21</v>
      </c>
      <c r="I953" s="2" t="s">
        <v>2130</v>
      </c>
      <c r="J953" s="3" t="str">
        <f>HYPERLINK("https://www.boe.es/gazeta/dias/1823/05/17/pdfs/GES-1823-37.pdf#page=4","Abrir facsímil")</f>
        <v>Abrir facsímil</v>
      </c>
      <c r="K953" s="3" t="s">
        <v>23</v>
      </c>
    </row>
    <row r="954" spans="1:11" ht="42" customHeight="1">
      <c r="A954" s="2" t="s">
        <v>2084</v>
      </c>
      <c r="B954" s="2" t="s">
        <v>2084</v>
      </c>
      <c r="C954" s="2" t="s">
        <v>73</v>
      </c>
      <c r="D954" s="2" t="s">
        <v>74</v>
      </c>
      <c r="E954" s="5">
        <v>-27986</v>
      </c>
      <c r="F954" s="3" t="s">
        <v>607</v>
      </c>
      <c r="G954" s="3" t="s">
        <v>20</v>
      </c>
      <c r="H954" s="2" t="s">
        <v>21</v>
      </c>
      <c r="I954" s="2" t="s">
        <v>2131</v>
      </c>
      <c r="J954" s="3" t="str">
        <f>HYPERLINK("https://www.boe.es/gazeta/dias/1823/05/17/pdfs/GMD-1823-152.pdf#page=4","Abrir facsímil")</f>
        <v>Abrir facsímil</v>
      </c>
      <c r="K954" s="3" t="s">
        <v>23</v>
      </c>
    </row>
    <row r="955" spans="1:11" ht="42" customHeight="1">
      <c r="A955" s="2" t="s">
        <v>2084</v>
      </c>
      <c r="B955" s="2" t="s">
        <v>2084</v>
      </c>
      <c r="C955" s="2" t="s">
        <v>109</v>
      </c>
      <c r="D955" s="2" t="s">
        <v>74</v>
      </c>
      <c r="E955" s="5">
        <v>-27985</v>
      </c>
      <c r="F955" s="3" t="s">
        <v>951</v>
      </c>
      <c r="G955" s="3" t="s">
        <v>39</v>
      </c>
      <c r="H955" s="2" t="s">
        <v>21</v>
      </c>
      <c r="I955" s="2" t="s">
        <v>2132</v>
      </c>
      <c r="J955" s="3" t="str">
        <f>HYPERLINK("https://www.boe.es/gazeta/dias/1823/05/18/pdfs/GES-1823-38.pdf#page=1","Abrir facsímil")</f>
        <v>Abrir facsímil</v>
      </c>
      <c r="K955" s="3" t="s">
        <v>23</v>
      </c>
    </row>
    <row r="956" spans="1:11" ht="42" customHeight="1">
      <c r="A956" s="2" t="s">
        <v>2084</v>
      </c>
      <c r="B956" s="2" t="s">
        <v>2084</v>
      </c>
      <c r="C956" s="2" t="s">
        <v>56</v>
      </c>
      <c r="D956" s="2" t="s">
        <v>57</v>
      </c>
      <c r="E956" s="5">
        <v>-27985</v>
      </c>
      <c r="F956" s="3" t="s">
        <v>951</v>
      </c>
      <c r="G956" s="3" t="s">
        <v>20</v>
      </c>
      <c r="H956" s="2" t="s">
        <v>21</v>
      </c>
      <c r="I956" s="2" t="s">
        <v>2133</v>
      </c>
      <c r="J956" s="3" t="str">
        <f>HYPERLINK("https://www.boe.es/gazeta/dias/1823/05/18/pdfs/GES-1823-38.pdf#page=4","Abrir facsímil")</f>
        <v>Abrir facsímil</v>
      </c>
      <c r="K956" s="3" t="s">
        <v>23</v>
      </c>
    </row>
    <row r="957" spans="1:11" ht="42" customHeight="1">
      <c r="A957" s="2" t="s">
        <v>2084</v>
      </c>
      <c r="B957" s="2" t="s">
        <v>2084</v>
      </c>
      <c r="C957" s="2" t="s">
        <v>109</v>
      </c>
      <c r="D957" s="2" t="s">
        <v>74</v>
      </c>
      <c r="E957" s="5">
        <v>-27982</v>
      </c>
      <c r="F957" s="3" t="s">
        <v>340</v>
      </c>
      <c r="G957" s="3" t="s">
        <v>20</v>
      </c>
      <c r="H957" s="2" t="s">
        <v>21</v>
      </c>
      <c r="I957" s="2" t="s">
        <v>2134</v>
      </c>
      <c r="J957" s="3" t="str">
        <f>HYPERLINK("https://www.boe.es/gazeta/dias/1823/05/21/pdfs/GES-1823-42.pdf#page=4","Abrir facsímil")</f>
        <v>Abrir facsímil</v>
      </c>
      <c r="K957" s="3" t="s">
        <v>23</v>
      </c>
    </row>
    <row r="958" spans="1:11" ht="42" customHeight="1">
      <c r="A958" s="2" t="s">
        <v>2084</v>
      </c>
      <c r="B958" s="2" t="s">
        <v>2084</v>
      </c>
      <c r="C958" s="2" t="s">
        <v>17</v>
      </c>
      <c r="D958" s="2" t="s">
        <v>18</v>
      </c>
      <c r="E958" s="5">
        <v>-27979</v>
      </c>
      <c r="F958" s="3" t="s">
        <v>1071</v>
      </c>
      <c r="G958" s="3" t="s">
        <v>34</v>
      </c>
      <c r="H958" s="2" t="s">
        <v>21</v>
      </c>
      <c r="I958" s="2" t="s">
        <v>2135</v>
      </c>
      <c r="J958" s="3" t="str">
        <f>HYPERLINK("https://www.boe.es/gazeta/dias/1823/05/24/pdfs/GES-1823-45.pdf#page=5","Abrir facsímil")</f>
        <v>Abrir facsímil</v>
      </c>
      <c r="K958" s="3" t="s">
        <v>23</v>
      </c>
    </row>
    <row r="959" spans="1:11" ht="42" customHeight="1">
      <c r="A959" s="2" t="s">
        <v>2084</v>
      </c>
      <c r="B959" s="2" t="s">
        <v>2084</v>
      </c>
      <c r="C959" s="2" t="s">
        <v>73</v>
      </c>
      <c r="D959" s="2" t="s">
        <v>74</v>
      </c>
      <c r="E959" s="5">
        <v>-27978</v>
      </c>
      <c r="F959" s="3" t="s">
        <v>342</v>
      </c>
      <c r="G959" s="3" t="s">
        <v>48</v>
      </c>
      <c r="H959" s="2" t="s">
        <v>21</v>
      </c>
      <c r="I959" s="2" t="s">
        <v>2136</v>
      </c>
      <c r="J959" s="3" t="str">
        <f>HYPERLINK("https://www.boe.es/gazeta/dias/1823/05/25/pdfs/GES-1823-46.pdf#page=3","Abrir facsímil")</f>
        <v>Abrir facsímil</v>
      </c>
      <c r="K959" s="3" t="s">
        <v>23</v>
      </c>
    </row>
    <row r="960" spans="1:11" ht="42" customHeight="1">
      <c r="A960" s="2" t="s">
        <v>2084</v>
      </c>
      <c r="B960" s="2" t="s">
        <v>2084</v>
      </c>
      <c r="C960" s="2" t="s">
        <v>293</v>
      </c>
      <c r="D960" s="2" t="s">
        <v>74</v>
      </c>
      <c r="E960" s="5">
        <v>-27976</v>
      </c>
      <c r="F960" s="3" t="s">
        <v>1156</v>
      </c>
      <c r="G960" s="3" t="s">
        <v>27</v>
      </c>
      <c r="H960" s="2" t="s">
        <v>21</v>
      </c>
      <c r="I960" s="2" t="s">
        <v>2137</v>
      </c>
      <c r="J960" s="3" t="str">
        <f>HYPERLINK("https://www.boe.es/gazeta/dias/1823/05/27/pdfs/GES-1823-49.pdf#page=2","Abrir facsímil")</f>
        <v>Abrir facsímil</v>
      </c>
      <c r="K960" s="3" t="s">
        <v>23</v>
      </c>
    </row>
    <row r="961" spans="1:11" ht="42" customHeight="1">
      <c r="A961" s="2" t="s">
        <v>2084</v>
      </c>
      <c r="B961" s="2" t="s">
        <v>2084</v>
      </c>
      <c r="C961" s="2" t="s">
        <v>56</v>
      </c>
      <c r="D961" s="2" t="s">
        <v>57</v>
      </c>
      <c r="E961" s="5">
        <v>-27974</v>
      </c>
      <c r="F961" s="3" t="s">
        <v>618</v>
      </c>
      <c r="G961" s="3" t="s">
        <v>20</v>
      </c>
      <c r="H961" s="2" t="s">
        <v>21</v>
      </c>
      <c r="I961" s="2" t="s">
        <v>2138</v>
      </c>
      <c r="J961" s="3" t="str">
        <f>HYPERLINK("https://www.boe.es/gazeta/dias/1823/05/29/pdfs/GES-1823-52.pdf#page=4","Abrir facsímil")</f>
        <v>Abrir facsímil</v>
      </c>
      <c r="K961" s="3" t="s">
        <v>23</v>
      </c>
    </row>
    <row r="962" spans="1:11" ht="42" customHeight="1">
      <c r="A962" s="2" t="s">
        <v>2084</v>
      </c>
      <c r="B962" s="2" t="s">
        <v>2084</v>
      </c>
      <c r="C962" s="2" t="s">
        <v>17</v>
      </c>
      <c r="D962" s="2" t="s">
        <v>18</v>
      </c>
      <c r="E962" s="5">
        <v>-27960</v>
      </c>
      <c r="F962" s="3" t="s">
        <v>741</v>
      </c>
      <c r="G962" s="3" t="s">
        <v>27</v>
      </c>
      <c r="H962" s="2" t="s">
        <v>21</v>
      </c>
      <c r="I962" s="2" t="s">
        <v>2139</v>
      </c>
      <c r="J962" s="3" t="str">
        <f>HYPERLINK("https://www.boe.es/gazeta/dias/1823/06/12/pdfs/GES-1823-66.pdf#page=2","Abrir facsímil")</f>
        <v>Abrir facsímil</v>
      </c>
      <c r="K962" s="3" t="s">
        <v>23</v>
      </c>
    </row>
    <row r="963" spans="1:11" ht="42" customHeight="1">
      <c r="A963" s="2" t="s">
        <v>2084</v>
      </c>
      <c r="B963" s="2" t="s">
        <v>2084</v>
      </c>
      <c r="C963" s="2" t="s">
        <v>17</v>
      </c>
      <c r="D963" s="2" t="s">
        <v>18</v>
      </c>
      <c r="E963" s="5">
        <v>-27960</v>
      </c>
      <c r="F963" s="3" t="s">
        <v>741</v>
      </c>
      <c r="G963" s="3" t="s">
        <v>20</v>
      </c>
      <c r="H963" s="2" t="s">
        <v>21</v>
      </c>
      <c r="I963" s="2" t="s">
        <v>2140</v>
      </c>
      <c r="J963" s="3" t="str">
        <f>HYPERLINK("https://www.boe.es/gazeta/dias/1823/06/12/pdfs/GES-1823-66.pdf#page=4","Abrir facsímil")</f>
        <v>Abrir facsímil</v>
      </c>
      <c r="K963" s="3" t="s">
        <v>23</v>
      </c>
    </row>
    <row r="964" spans="1:11" ht="42" customHeight="1">
      <c r="A964" s="2" t="s">
        <v>2084</v>
      </c>
      <c r="B964" s="2" t="s">
        <v>2084</v>
      </c>
      <c r="C964" s="2" t="s">
        <v>79</v>
      </c>
      <c r="D964" s="2" t="s">
        <v>117</v>
      </c>
      <c r="E964" s="5">
        <v>-27952</v>
      </c>
      <c r="F964" s="3" t="s">
        <v>1844</v>
      </c>
      <c r="G964" s="3" t="s">
        <v>39</v>
      </c>
      <c r="H964" s="2" t="s">
        <v>21</v>
      </c>
      <c r="I964" s="2" t="s">
        <v>2141</v>
      </c>
      <c r="J964" s="3" t="str">
        <f>HYPERLINK("https://www.boe.es/gazeta/dias/1823/06/20/pdfs/GMD-1823-213E.pdf#page=1","Abrir facsímil")</f>
        <v>Abrir facsímil</v>
      </c>
      <c r="K964" s="3" t="s">
        <v>23</v>
      </c>
    </row>
    <row r="965" spans="1:11" ht="42" customHeight="1">
      <c r="A965" s="2" t="s">
        <v>2084</v>
      </c>
      <c r="B965" s="2" t="s">
        <v>2084</v>
      </c>
      <c r="C965" s="2" t="s">
        <v>56</v>
      </c>
      <c r="D965" s="2" t="s">
        <v>57</v>
      </c>
      <c r="E965" s="5">
        <v>-27951</v>
      </c>
      <c r="F965" s="3" t="s">
        <v>548</v>
      </c>
      <c r="G965" s="3" t="s">
        <v>39</v>
      </c>
      <c r="H965" s="2" t="s">
        <v>21</v>
      </c>
      <c r="I965" s="2" t="s">
        <v>2142</v>
      </c>
      <c r="J965" s="3" t="str">
        <f>HYPERLINK("https://www.boe.es/gazeta/dias/1823/06/21/pdfs/GES-1823-69.pdf#page=1","Abrir facsímil")</f>
        <v>Abrir facsímil</v>
      </c>
      <c r="K965" s="3" t="s">
        <v>23</v>
      </c>
    </row>
    <row r="966" spans="1:11" ht="42" customHeight="1">
      <c r="A966" s="2" t="s">
        <v>2084</v>
      </c>
      <c r="B966" s="2" t="s">
        <v>2084</v>
      </c>
      <c r="C966" s="2" t="s">
        <v>84</v>
      </c>
      <c r="D966" s="2" t="s">
        <v>74</v>
      </c>
      <c r="E966" s="5">
        <v>-27951</v>
      </c>
      <c r="F966" s="3" t="s">
        <v>548</v>
      </c>
      <c r="G966" s="3" t="s">
        <v>20</v>
      </c>
      <c r="H966" s="2" t="s">
        <v>21</v>
      </c>
      <c r="I966" s="2" t="s">
        <v>2143</v>
      </c>
      <c r="J966" s="3" t="str">
        <f>HYPERLINK("https://www.boe.es/gazeta/dias/1823/06/21/pdfs/GES-1823-69.pdf#page=4","Abrir facsímil")</f>
        <v>Abrir facsímil</v>
      </c>
      <c r="K966" s="3" t="s">
        <v>23</v>
      </c>
    </row>
    <row r="967" spans="1:11" ht="42" customHeight="1">
      <c r="A967" s="2" t="s">
        <v>2084</v>
      </c>
      <c r="B967" s="2" t="s">
        <v>2084</v>
      </c>
      <c r="C967" s="2" t="s">
        <v>84</v>
      </c>
      <c r="D967" s="2" t="s">
        <v>74</v>
      </c>
      <c r="E967" s="5">
        <v>-27947</v>
      </c>
      <c r="F967" s="3" t="s">
        <v>2144</v>
      </c>
      <c r="G967" s="3" t="s">
        <v>48</v>
      </c>
      <c r="H967" s="2" t="s">
        <v>21</v>
      </c>
      <c r="I967" s="2" t="s">
        <v>2145</v>
      </c>
      <c r="J967" s="3" t="str">
        <f>HYPERLINK("https://www.boe.es/gazeta/dias/1823/06/25/pdfs/GES-1823-75.pdf#page=3","Abrir facsímil")</f>
        <v>Abrir facsímil</v>
      </c>
      <c r="K967" s="3" t="s">
        <v>23</v>
      </c>
    </row>
    <row r="968" spans="1:11" ht="42" customHeight="1">
      <c r="A968" s="2" t="s">
        <v>2084</v>
      </c>
      <c r="B968" s="2" t="s">
        <v>2084</v>
      </c>
      <c r="C968" s="2" t="s">
        <v>79</v>
      </c>
      <c r="D968" s="2" t="s">
        <v>74</v>
      </c>
      <c r="E968" s="5">
        <v>-27946</v>
      </c>
      <c r="F968" s="3" t="s">
        <v>2146</v>
      </c>
      <c r="G968" s="3" t="s">
        <v>39</v>
      </c>
      <c r="H968" s="2" t="s">
        <v>21</v>
      </c>
      <c r="I968" s="2" t="s">
        <v>2147</v>
      </c>
      <c r="J968" s="3" t="str">
        <f>HYPERLINK("https://www.boe.es/gazeta/dias/1823/06/26/pdfs/GES-1823-76.pdf#page=1","Abrir facsímil")</f>
        <v>Abrir facsímil</v>
      </c>
      <c r="K968" s="3" t="s">
        <v>23</v>
      </c>
    </row>
    <row r="969" spans="1:11" ht="42" customHeight="1">
      <c r="A969" s="2" t="s">
        <v>2084</v>
      </c>
      <c r="B969" s="2" t="s">
        <v>2084</v>
      </c>
      <c r="C969" s="2" t="s">
        <v>17</v>
      </c>
      <c r="D969" s="2" t="s">
        <v>18</v>
      </c>
      <c r="E969" s="5">
        <v>-27943</v>
      </c>
      <c r="F969" s="3" t="s">
        <v>346</v>
      </c>
      <c r="G969" s="3" t="s">
        <v>27</v>
      </c>
      <c r="H969" s="2" t="s">
        <v>21</v>
      </c>
      <c r="I969" s="2" t="s">
        <v>2148</v>
      </c>
      <c r="J969" s="3" t="str">
        <f>HYPERLINK("https://www.boe.es/gazeta/dias/1823/06/29/pdfs/GES-1823-79.pdf#page=2","Abrir facsímil")</f>
        <v>Abrir facsímil</v>
      </c>
      <c r="K969" s="3" t="s">
        <v>23</v>
      </c>
    </row>
    <row r="970" spans="1:11" ht="42" customHeight="1">
      <c r="A970" s="2" t="s">
        <v>2084</v>
      </c>
      <c r="B970" s="2" t="s">
        <v>2084</v>
      </c>
      <c r="C970" s="2" t="s">
        <v>109</v>
      </c>
      <c r="D970" s="2" t="s">
        <v>74</v>
      </c>
      <c r="E970" s="5">
        <v>-27941</v>
      </c>
      <c r="F970" s="3" t="s">
        <v>527</v>
      </c>
      <c r="G970" s="3" t="s">
        <v>20</v>
      </c>
      <c r="H970" s="2" t="s">
        <v>21</v>
      </c>
      <c r="I970" s="2" t="s">
        <v>2149</v>
      </c>
      <c r="J970" s="3" t="str">
        <f>HYPERLINK("https://www.boe.es/gazeta/dias/1823/07/01/pdfs/GES-1823-81.pdf#page=4","Abrir facsímil")</f>
        <v>Abrir facsímil</v>
      </c>
      <c r="K970" s="3" t="s">
        <v>23</v>
      </c>
    </row>
    <row r="971" spans="1:11" ht="42" customHeight="1">
      <c r="A971" s="2" t="s">
        <v>2084</v>
      </c>
      <c r="B971" s="2" t="s">
        <v>2084</v>
      </c>
      <c r="C971" s="2" t="s">
        <v>79</v>
      </c>
      <c r="D971" s="2" t="s">
        <v>74</v>
      </c>
      <c r="E971" s="5">
        <v>-27940</v>
      </c>
      <c r="F971" s="3" t="s">
        <v>348</v>
      </c>
      <c r="G971" s="3" t="s">
        <v>27</v>
      </c>
      <c r="H971" s="2" t="s">
        <v>21</v>
      </c>
      <c r="I971" s="2" t="s">
        <v>2150</v>
      </c>
      <c r="J971" s="3" t="str">
        <f>HYPERLINK("https://www.boe.es/gazeta/dias/1823/07/02/pdfs/GES-1823-82.pdf#page=2","Abrir facsímil")</f>
        <v>Abrir facsímil</v>
      </c>
      <c r="K971" s="3" t="s">
        <v>23</v>
      </c>
    </row>
    <row r="972" spans="1:11" ht="42" customHeight="1">
      <c r="A972" s="2" t="s">
        <v>2084</v>
      </c>
      <c r="B972" s="2" t="s">
        <v>2084</v>
      </c>
      <c r="C972" s="2" t="s">
        <v>109</v>
      </c>
      <c r="D972" s="2" t="s">
        <v>74</v>
      </c>
      <c r="E972" s="5">
        <v>-27940</v>
      </c>
      <c r="F972" s="3" t="s">
        <v>348</v>
      </c>
      <c r="G972" s="3" t="s">
        <v>48</v>
      </c>
      <c r="H972" s="2" t="s">
        <v>21</v>
      </c>
      <c r="I972" s="2" t="s">
        <v>2151</v>
      </c>
      <c r="J972" s="3" t="str">
        <f>HYPERLINK("https://www.boe.es/gazeta/dias/1823/07/02/pdfs/GES-1823-82.pdf#page=3","Abrir facsímil")</f>
        <v>Abrir facsímil</v>
      </c>
      <c r="K972" s="3" t="s">
        <v>23</v>
      </c>
    </row>
    <row r="973" spans="1:11" ht="42" customHeight="1">
      <c r="A973" s="2" t="s">
        <v>2084</v>
      </c>
      <c r="B973" s="2" t="s">
        <v>2084</v>
      </c>
      <c r="C973" s="2" t="s">
        <v>109</v>
      </c>
      <c r="D973" s="2" t="s">
        <v>74</v>
      </c>
      <c r="E973" s="5">
        <v>-27939</v>
      </c>
      <c r="F973" s="3" t="s">
        <v>1076</v>
      </c>
      <c r="G973" s="3" t="s">
        <v>20</v>
      </c>
      <c r="H973" s="2" t="s">
        <v>21</v>
      </c>
      <c r="I973" s="2" t="s">
        <v>2152</v>
      </c>
      <c r="J973" s="3" t="str">
        <f>HYPERLINK("https://www.boe.es/gazeta/dias/1823/07/03/pdfs/GES-1823-83.pdf#page=4","Abrir facsímil")</f>
        <v>Abrir facsímil</v>
      </c>
      <c r="K973" s="3" t="s">
        <v>23</v>
      </c>
    </row>
    <row r="974" spans="1:11" ht="42" customHeight="1">
      <c r="A974" s="2" t="s">
        <v>2084</v>
      </c>
      <c r="B974" s="2" t="s">
        <v>2084</v>
      </c>
      <c r="C974" s="2" t="s">
        <v>73</v>
      </c>
      <c r="D974" s="2" t="s">
        <v>74</v>
      </c>
      <c r="E974" s="5">
        <v>-27935</v>
      </c>
      <c r="F974" s="3" t="s">
        <v>350</v>
      </c>
      <c r="G974" s="3" t="s">
        <v>27</v>
      </c>
      <c r="H974" s="2" t="s">
        <v>21</v>
      </c>
      <c r="I974" s="2" t="s">
        <v>2153</v>
      </c>
      <c r="J974" s="3" t="str">
        <f>HYPERLINK("https://www.boe.es/gazeta/dias/1823/07/07/pdfs/GES-1823-87.pdf#page=2","Abrir facsímil")</f>
        <v>Abrir facsímil</v>
      </c>
      <c r="K974" s="3" t="s">
        <v>23</v>
      </c>
    </row>
    <row r="975" spans="1:11" ht="42" customHeight="1">
      <c r="A975" s="2" t="s">
        <v>2084</v>
      </c>
      <c r="B975" s="2" t="s">
        <v>2084</v>
      </c>
      <c r="C975" s="2" t="s">
        <v>293</v>
      </c>
      <c r="D975" s="2" t="s">
        <v>74</v>
      </c>
      <c r="E975" s="5">
        <v>-27935</v>
      </c>
      <c r="F975" s="3" t="s">
        <v>350</v>
      </c>
      <c r="G975" s="3" t="s">
        <v>48</v>
      </c>
      <c r="H975" s="2" t="s">
        <v>21</v>
      </c>
      <c r="I975" s="2" t="s">
        <v>2154</v>
      </c>
      <c r="J975" s="3" t="str">
        <f>HYPERLINK("https://www.boe.es/gazeta/dias/1823/07/07/pdfs/GES-1823-87.pdf#page=3","Abrir facsímil")</f>
        <v>Abrir facsímil</v>
      </c>
      <c r="K975" s="3" t="s">
        <v>23</v>
      </c>
    </row>
    <row r="976" spans="1:11" ht="42" customHeight="1">
      <c r="A976" s="2" t="s">
        <v>2084</v>
      </c>
      <c r="B976" s="2" t="s">
        <v>2084</v>
      </c>
      <c r="C976" s="2" t="s">
        <v>17</v>
      </c>
      <c r="D976" s="2" t="s">
        <v>18</v>
      </c>
      <c r="E976" s="5">
        <v>-27934</v>
      </c>
      <c r="F976" s="3" t="s">
        <v>2155</v>
      </c>
      <c r="G976" s="3" t="s">
        <v>48</v>
      </c>
      <c r="H976" s="2" t="s">
        <v>21</v>
      </c>
      <c r="I976" s="2" t="s">
        <v>2156</v>
      </c>
      <c r="J976" s="3" t="str">
        <f>HYPERLINK("https://www.boe.es/gazeta/dias/1823/07/08/pdfs/GES-1823-88.pdf#page=3","Abrir facsímil")</f>
        <v>Abrir facsímil</v>
      </c>
      <c r="K976" s="3" t="s">
        <v>23</v>
      </c>
    </row>
    <row r="977" spans="1:11" ht="42" customHeight="1">
      <c r="A977" s="2" t="s">
        <v>2120</v>
      </c>
      <c r="B977" s="2" t="s">
        <v>2120</v>
      </c>
      <c r="C977" s="2" t="s">
        <v>73</v>
      </c>
      <c r="D977" s="2" t="s">
        <v>74</v>
      </c>
      <c r="E977" s="5">
        <v>-27932</v>
      </c>
      <c r="F977" s="3" t="s">
        <v>707</v>
      </c>
      <c r="G977" s="3" t="s">
        <v>27</v>
      </c>
      <c r="H977" s="2" t="s">
        <v>21</v>
      </c>
      <c r="I977" s="2" t="s">
        <v>2157</v>
      </c>
      <c r="J977" s="3" t="str">
        <f>HYPERLINK("https://www.boe.es/gazeta/dias/1823/07/10/pdfs/GES-1823-90.pdf#page=2","Abrir facsímil")</f>
        <v>Abrir facsímil</v>
      </c>
      <c r="K977" s="3" t="s">
        <v>23</v>
      </c>
    </row>
    <row r="978" spans="1:11" ht="42" customHeight="1">
      <c r="A978" s="2" t="s">
        <v>2084</v>
      </c>
      <c r="B978" s="2" t="s">
        <v>2084</v>
      </c>
      <c r="C978" s="2" t="s">
        <v>293</v>
      </c>
      <c r="D978" s="2" t="s">
        <v>74</v>
      </c>
      <c r="E978" s="5">
        <v>-27926</v>
      </c>
      <c r="F978" s="3" t="s">
        <v>2158</v>
      </c>
      <c r="G978" s="3" t="s">
        <v>2159</v>
      </c>
      <c r="H978" s="2" t="s">
        <v>21</v>
      </c>
      <c r="I978" s="2" t="s">
        <v>2160</v>
      </c>
      <c r="J978" s="3" t="str">
        <f>HYPERLINK("https://www.boe.es/gazeta/dias/1823/07/16/pdfs/GES-1823-96.pdf#page=2","Abrir facsímil")</f>
        <v>Abrir facsímil</v>
      </c>
      <c r="K978" s="3" t="s">
        <v>23</v>
      </c>
    </row>
    <row r="979" spans="1:11" ht="42" customHeight="1">
      <c r="A979" s="2" t="s">
        <v>2084</v>
      </c>
      <c r="B979" s="2" t="s">
        <v>2084</v>
      </c>
      <c r="C979" s="2" t="s">
        <v>17</v>
      </c>
      <c r="D979" s="2" t="s">
        <v>18</v>
      </c>
      <c r="E979" s="5">
        <v>-27916</v>
      </c>
      <c r="F979" s="3" t="s">
        <v>772</v>
      </c>
      <c r="G979" s="3" t="s">
        <v>27</v>
      </c>
      <c r="H979" s="2" t="s">
        <v>21</v>
      </c>
      <c r="I979" s="2" t="s">
        <v>2161</v>
      </c>
      <c r="J979" s="3" t="str">
        <f>HYPERLINK("https://www.boe.es/gazeta/dias/1823/07/26/pdfs/GES-1823-107.pdf#page=2","Abrir facsímil")</f>
        <v>Abrir facsímil</v>
      </c>
      <c r="K979" s="3" t="s">
        <v>23</v>
      </c>
    </row>
    <row r="980" spans="1:11" ht="42" customHeight="1">
      <c r="A980" s="2" t="s">
        <v>2084</v>
      </c>
      <c r="B980" s="2" t="s">
        <v>2084</v>
      </c>
      <c r="C980" s="2" t="s">
        <v>17</v>
      </c>
      <c r="D980" s="2" t="s">
        <v>18</v>
      </c>
      <c r="E980" s="5">
        <v>-27913</v>
      </c>
      <c r="F980" s="3" t="s">
        <v>821</v>
      </c>
      <c r="G980" s="3" t="s">
        <v>39</v>
      </c>
      <c r="H980" s="2" t="s">
        <v>21</v>
      </c>
      <c r="I980" s="2" t="s">
        <v>2162</v>
      </c>
      <c r="J980" s="3" t="str">
        <f>HYPERLINK("https://www.boe.es/gazeta/dias/1823/07/29/pdfs/GES-1823-110.pdf#page=1","Abrir facsímil")</f>
        <v>Abrir facsímil</v>
      </c>
      <c r="K980" s="3" t="s">
        <v>23</v>
      </c>
    </row>
    <row r="981" spans="1:11" ht="42" customHeight="1">
      <c r="A981" s="2" t="s">
        <v>2084</v>
      </c>
      <c r="B981" s="2" t="s">
        <v>2084</v>
      </c>
      <c r="C981" s="2" t="s">
        <v>109</v>
      </c>
      <c r="D981" s="2" t="s">
        <v>74</v>
      </c>
      <c r="E981" s="5">
        <v>-27907</v>
      </c>
      <c r="F981" s="3" t="s">
        <v>370</v>
      </c>
      <c r="G981" s="3" t="s">
        <v>48</v>
      </c>
      <c r="H981" s="2" t="s">
        <v>21</v>
      </c>
      <c r="I981" s="2" t="s">
        <v>2163</v>
      </c>
      <c r="J981" s="3" t="str">
        <f>HYPERLINK("https://www.boe.es/gazeta/dias/1823/08/04/pdfs/GES-1823-116.pdf#page=3","Abrir facsímil")</f>
        <v>Abrir facsímil</v>
      </c>
      <c r="K981" s="3" t="s">
        <v>23</v>
      </c>
    </row>
    <row r="982" spans="1:11" ht="42" customHeight="1">
      <c r="A982" s="2" t="s">
        <v>2084</v>
      </c>
      <c r="B982" s="2" t="s">
        <v>2084</v>
      </c>
      <c r="C982" s="2" t="s">
        <v>56</v>
      </c>
      <c r="D982" s="2" t="s">
        <v>57</v>
      </c>
      <c r="E982" s="5">
        <v>-27872</v>
      </c>
      <c r="F982" s="3" t="s">
        <v>374</v>
      </c>
      <c r="G982" s="3" t="s">
        <v>27</v>
      </c>
      <c r="H982" s="2" t="s">
        <v>21</v>
      </c>
      <c r="I982" s="2" t="s">
        <v>2164</v>
      </c>
      <c r="J982" s="3" t="str">
        <f>HYPERLINK("https://www.boe.es/gazeta/dias/1823/09/08/pdfs/GES-1823-152.pdf#page=2","Abrir facsímil")</f>
        <v>Abrir facsímil</v>
      </c>
      <c r="K982" s="3" t="s">
        <v>23</v>
      </c>
    </row>
    <row r="983" spans="1:11" ht="42" customHeight="1">
      <c r="A983" s="2" t="s">
        <v>2084</v>
      </c>
      <c r="B983" s="2" t="s">
        <v>2084</v>
      </c>
      <c r="C983" s="2" t="s">
        <v>17</v>
      </c>
      <c r="D983" s="2" t="s">
        <v>18</v>
      </c>
      <c r="E983" s="5">
        <v>-27872</v>
      </c>
      <c r="F983" s="3" t="s">
        <v>374</v>
      </c>
      <c r="G983" s="3" t="s">
        <v>48</v>
      </c>
      <c r="H983" s="2" t="s">
        <v>21</v>
      </c>
      <c r="I983" s="2" t="s">
        <v>2165</v>
      </c>
      <c r="J983" s="3" t="str">
        <f>HYPERLINK("https://www.boe.es/gazeta/dias/1823/09/08/pdfs/GES-1823-152.pdf#page=3","Abrir facsímil")</f>
        <v>Abrir facsímil</v>
      </c>
      <c r="K983" s="3" t="s">
        <v>23</v>
      </c>
    </row>
    <row r="984" spans="1:11" ht="42" customHeight="1">
      <c r="A984" s="2" t="s">
        <v>2084</v>
      </c>
      <c r="B984" s="2" t="s">
        <v>2084</v>
      </c>
      <c r="C984" s="2" t="s">
        <v>73</v>
      </c>
      <c r="D984" s="2" t="s">
        <v>74</v>
      </c>
      <c r="E984" s="5">
        <v>-27868</v>
      </c>
      <c r="F984" s="3" t="s">
        <v>2166</v>
      </c>
      <c r="G984" s="3" t="s">
        <v>27</v>
      </c>
      <c r="H984" s="2" t="s">
        <v>21</v>
      </c>
      <c r="I984" s="2" t="s">
        <v>2167</v>
      </c>
      <c r="J984" s="3" t="str">
        <f>HYPERLINK("https://www.boe.es/gazeta/dias/1823/09/12/pdfs/GES-1823-156.pdf#page=2","Abrir facsímil")</f>
        <v>Abrir facsímil</v>
      </c>
      <c r="K984" s="3" t="s">
        <v>23</v>
      </c>
    </row>
    <row r="985" spans="1:11" ht="42" customHeight="1">
      <c r="A985" s="2" t="s">
        <v>2084</v>
      </c>
      <c r="B985" s="2" t="s">
        <v>2084</v>
      </c>
      <c r="C985" s="2" t="s">
        <v>17</v>
      </c>
      <c r="D985" s="2" t="s">
        <v>18</v>
      </c>
      <c r="E985" s="5">
        <v>-27868</v>
      </c>
      <c r="F985" s="3" t="s">
        <v>2166</v>
      </c>
      <c r="G985" s="3" t="s">
        <v>48</v>
      </c>
      <c r="H985" s="2" t="s">
        <v>21</v>
      </c>
      <c r="I985" s="2" t="s">
        <v>2168</v>
      </c>
      <c r="J985" s="3" t="str">
        <f>HYPERLINK("https://www.boe.es/gazeta/dias/1823/09/12/pdfs/GES-1823-156.pdf#page=3","Abrir facsímil")</f>
        <v>Abrir facsímil</v>
      </c>
      <c r="K985" s="3" t="s">
        <v>23</v>
      </c>
    </row>
    <row r="986" spans="1:11" ht="42" customHeight="1">
      <c r="A986" s="2" t="s">
        <v>2084</v>
      </c>
      <c r="B986" s="2" t="s">
        <v>2084</v>
      </c>
      <c r="C986" s="2" t="s">
        <v>56</v>
      </c>
      <c r="D986" s="2" t="s">
        <v>57</v>
      </c>
      <c r="E986" s="5">
        <v>-27855</v>
      </c>
      <c r="F986" s="3" t="s">
        <v>380</v>
      </c>
      <c r="G986" s="3" t="s">
        <v>20</v>
      </c>
      <c r="H986" s="2" t="s">
        <v>21</v>
      </c>
      <c r="I986" s="2" t="s">
        <v>2169</v>
      </c>
      <c r="J986" s="3" t="str">
        <f>HYPERLINK("https://www.boe.es/gazeta/dias/1823/09/25/pdfs/GMD-1823-853.pdf#page=4","Abrir facsímil")</f>
        <v>Abrir facsímil</v>
      </c>
      <c r="K986" s="3" t="s">
        <v>23</v>
      </c>
    </row>
    <row r="987" spans="1:11" ht="42" customHeight="1">
      <c r="A987" s="2" t="s">
        <v>2170</v>
      </c>
      <c r="B987" s="2" t="s">
        <v>2171</v>
      </c>
      <c r="C987" s="2" t="s">
        <v>17</v>
      </c>
      <c r="D987" s="2" t="s">
        <v>18</v>
      </c>
      <c r="E987" s="5">
        <v>-27899</v>
      </c>
      <c r="F987" s="3" t="s">
        <v>2172</v>
      </c>
      <c r="G987" s="3" t="s">
        <v>39</v>
      </c>
      <c r="H987" s="2" t="s">
        <v>21</v>
      </c>
      <c r="I987" s="2" t="s">
        <v>2173</v>
      </c>
      <c r="J987" s="3" t="str">
        <f>HYPERLINK("https://www.boe.es/gazeta/dias/1823/08/12/pdfs/GES-1823-125.pdf#page=1","Abrir facsímil")</f>
        <v>Abrir facsímil</v>
      </c>
      <c r="K987" s="3" t="s">
        <v>23</v>
      </c>
    </row>
    <row r="988" spans="1:11" ht="42" customHeight="1">
      <c r="A988" s="2" t="s">
        <v>2174</v>
      </c>
      <c r="B988" s="2" t="s">
        <v>2175</v>
      </c>
      <c r="C988" s="2" t="s">
        <v>17</v>
      </c>
      <c r="D988" s="2" t="s">
        <v>18</v>
      </c>
      <c r="E988" s="5">
        <v>-28037</v>
      </c>
      <c r="F988" s="3" t="s">
        <v>192</v>
      </c>
      <c r="G988" s="3" t="s">
        <v>48</v>
      </c>
      <c r="H988" s="2" t="s">
        <v>21</v>
      </c>
      <c r="I988" s="2" t="s">
        <v>2176</v>
      </c>
      <c r="J988" s="3" t="str">
        <f>HYPERLINK("https://www.boe.es/gazeta/dias/1823/03/27/pdfs/GMD-1823-90.pdf#page=3","Abrir facsímil")</f>
        <v>Abrir facsímil</v>
      </c>
      <c r="K988" s="3" t="s">
        <v>23</v>
      </c>
    </row>
    <row r="989" spans="1:11" ht="42" customHeight="1">
      <c r="A989" s="2" t="s">
        <v>2177</v>
      </c>
      <c r="B989" s="2" t="s">
        <v>2178</v>
      </c>
      <c r="C989" s="2" t="s">
        <v>17</v>
      </c>
      <c r="D989" s="2" t="s">
        <v>18</v>
      </c>
      <c r="E989" s="5">
        <v>-27995</v>
      </c>
      <c r="F989" s="3" t="s">
        <v>326</v>
      </c>
      <c r="G989" s="3" t="s">
        <v>39</v>
      </c>
      <c r="H989" s="2" t="s">
        <v>21</v>
      </c>
      <c r="I989" s="2" t="s">
        <v>2179</v>
      </c>
      <c r="J989" s="3" t="str">
        <f>HYPERLINK("https://www.boe.es/gazeta/dias/1823/05/08/pdfs/GMD-1823-112.pdf#page=1","Abrir facsímil")</f>
        <v>Abrir facsímil</v>
      </c>
      <c r="K989" s="3" t="s">
        <v>23</v>
      </c>
    </row>
    <row r="990" spans="1:11" ht="42" customHeight="1">
      <c r="A990" s="2" t="s">
        <v>2180</v>
      </c>
      <c r="B990" s="2" t="s">
        <v>2180</v>
      </c>
      <c r="C990" s="2" t="s">
        <v>17</v>
      </c>
      <c r="D990" s="2" t="s">
        <v>18</v>
      </c>
      <c r="E990" s="5">
        <v>-28095</v>
      </c>
      <c r="F990" s="3" t="s">
        <v>1770</v>
      </c>
      <c r="G990" s="3" t="s">
        <v>27</v>
      </c>
      <c r="H990" s="2" t="s">
        <v>21</v>
      </c>
      <c r="I990" s="2" t="s">
        <v>2181</v>
      </c>
      <c r="J990" s="3" t="str">
        <f>HYPERLINK("https://www.boe.es/gazeta/dias/1823/01/28/pdfs/GMD-1823-29.pdf#page=2","Abrir facsímil")</f>
        <v>Abrir facsímil</v>
      </c>
      <c r="K990" s="3" t="s">
        <v>23</v>
      </c>
    </row>
    <row r="991" spans="1:11" ht="42" customHeight="1">
      <c r="A991" s="2" t="s">
        <v>2182</v>
      </c>
      <c r="B991" s="2" t="s">
        <v>2182</v>
      </c>
      <c r="C991" s="2" t="s">
        <v>109</v>
      </c>
      <c r="D991" s="2" t="s">
        <v>117</v>
      </c>
      <c r="E991" s="5">
        <v>-27952</v>
      </c>
      <c r="F991" s="3" t="s">
        <v>1844</v>
      </c>
      <c r="G991" s="3" t="s">
        <v>39</v>
      </c>
      <c r="H991" s="2" t="s">
        <v>21</v>
      </c>
      <c r="I991" s="2" t="s">
        <v>2183</v>
      </c>
      <c r="J991" s="3" t="str">
        <f>HYPERLINK("https://www.boe.es/gazeta/dias/1823/06/20/pdfs/GMD-1823-213E.pdf#page=1","Abrir facsímil")</f>
        <v>Abrir facsímil</v>
      </c>
      <c r="K991" s="3" t="s">
        <v>23</v>
      </c>
    </row>
    <row r="992" spans="1:11" ht="42" customHeight="1">
      <c r="A992" s="2" t="s">
        <v>2184</v>
      </c>
      <c r="B992" s="2" t="s">
        <v>2184</v>
      </c>
      <c r="C992" s="2" t="s">
        <v>79</v>
      </c>
      <c r="D992" s="2" t="s">
        <v>74</v>
      </c>
      <c r="E992" s="5">
        <v>-27894</v>
      </c>
      <c r="F992" s="3" t="s">
        <v>2013</v>
      </c>
      <c r="G992" s="3" t="s">
        <v>48</v>
      </c>
      <c r="H992" s="2" t="s">
        <v>21</v>
      </c>
      <c r="I992" s="2" t="s">
        <v>2185</v>
      </c>
      <c r="J992" s="3" t="str">
        <f>HYPERLINK("https://www.boe.es/gazeta/dias/1823/08/17/pdfs/GES-1823-130.pdf#page=3","Abrir facsímil")</f>
        <v>Abrir facsímil</v>
      </c>
      <c r="K992" s="3" t="s">
        <v>23</v>
      </c>
    </row>
    <row r="993" spans="1:11" ht="42" customHeight="1">
      <c r="A993" s="2" t="s">
        <v>2186</v>
      </c>
      <c r="B993" s="2" t="s">
        <v>2187</v>
      </c>
      <c r="C993" s="2" t="s">
        <v>17</v>
      </c>
      <c r="D993" s="2" t="s">
        <v>18</v>
      </c>
      <c r="E993" s="5">
        <v>-27894</v>
      </c>
      <c r="F993" s="3" t="s">
        <v>2013</v>
      </c>
      <c r="G993" s="3" t="s">
        <v>20</v>
      </c>
      <c r="H993" s="2" t="s">
        <v>21</v>
      </c>
      <c r="I993" s="2" t="s">
        <v>2188</v>
      </c>
      <c r="J993" s="3" t="str">
        <f>HYPERLINK("https://www.boe.es/gazeta/dias/1823/08/17/pdfs/GES-1823-130.pdf#page=4","Abrir facsímil")</f>
        <v>Abrir facsímil</v>
      </c>
      <c r="K993" s="3" t="s">
        <v>23</v>
      </c>
    </row>
    <row r="994" spans="1:11" ht="42" customHeight="1">
      <c r="A994" s="2" t="s">
        <v>2189</v>
      </c>
      <c r="B994" s="2" t="s">
        <v>2189</v>
      </c>
      <c r="C994" s="2" t="s">
        <v>109</v>
      </c>
      <c r="D994" s="2" t="s">
        <v>74</v>
      </c>
      <c r="E994" s="5">
        <v>-28009</v>
      </c>
      <c r="F994" s="3" t="s">
        <v>307</v>
      </c>
      <c r="G994" s="3" t="s">
        <v>2107</v>
      </c>
      <c r="H994" s="2" t="s">
        <v>21</v>
      </c>
      <c r="I994" s="2" t="s">
        <v>2190</v>
      </c>
      <c r="J994" s="3" t="str">
        <f>HYPERLINK("https://www.boe.es/gazeta/dias/1823/04/24/pdfs/GES-1823-14.pdf#page=4","Abrir facsímil")</f>
        <v>Abrir facsímil</v>
      </c>
      <c r="K994" s="3" t="s">
        <v>23</v>
      </c>
    </row>
    <row r="995" spans="1:11" ht="42" customHeight="1">
      <c r="A995" s="2" t="s">
        <v>2191</v>
      </c>
      <c r="B995" s="2" t="s">
        <v>2191</v>
      </c>
      <c r="C995" s="2" t="s">
        <v>17</v>
      </c>
      <c r="D995" s="2" t="s">
        <v>18</v>
      </c>
      <c r="E995" s="5">
        <v>-27855</v>
      </c>
      <c r="F995" s="3" t="s">
        <v>380</v>
      </c>
      <c r="G995" s="3" t="s">
        <v>20</v>
      </c>
      <c r="H995" s="2" t="s">
        <v>21</v>
      </c>
      <c r="I995" s="2" t="s">
        <v>2192</v>
      </c>
      <c r="J995" s="3" t="str">
        <f>HYPERLINK("https://www.boe.es/gazeta/dias/1823/09/25/pdfs/GMD-1823-853.pdf#page=4","Abrir facsímil")</f>
        <v>Abrir facsímil</v>
      </c>
      <c r="K995" s="3" t="s">
        <v>23</v>
      </c>
    </row>
    <row r="996" spans="1:11" ht="42" customHeight="1">
      <c r="A996" s="2" t="s">
        <v>2193</v>
      </c>
      <c r="B996" s="2" t="s">
        <v>2193</v>
      </c>
      <c r="C996" s="2" t="s">
        <v>56</v>
      </c>
      <c r="D996" s="2" t="s">
        <v>57</v>
      </c>
      <c r="E996" s="5">
        <v>-28114</v>
      </c>
      <c r="F996" s="3" t="s">
        <v>153</v>
      </c>
      <c r="G996" s="3" t="s">
        <v>20</v>
      </c>
      <c r="H996" s="2" t="s">
        <v>21</v>
      </c>
      <c r="I996" s="2" t="s">
        <v>2194</v>
      </c>
      <c r="J996" s="3" t="str">
        <f>HYPERLINK("https://www.boe.es/gazeta/dias/1823/01/09/pdfs/GMD-1823-9.pdf#page=4","Abrir facsímil")</f>
        <v>Abrir facsímil</v>
      </c>
      <c r="K996" s="3" t="s">
        <v>23</v>
      </c>
    </row>
    <row r="997" spans="1:11" ht="42" customHeight="1">
      <c r="A997" s="2" t="s">
        <v>2193</v>
      </c>
      <c r="B997" s="2" t="s">
        <v>2193</v>
      </c>
      <c r="C997" s="2" t="s">
        <v>79</v>
      </c>
      <c r="D997" s="2" t="s">
        <v>74</v>
      </c>
      <c r="E997" s="5">
        <v>-28109</v>
      </c>
      <c r="F997" s="3" t="s">
        <v>889</v>
      </c>
      <c r="G997" s="3" t="s">
        <v>27</v>
      </c>
      <c r="H997" s="2" t="s">
        <v>21</v>
      </c>
      <c r="I997" s="2" t="s">
        <v>2195</v>
      </c>
      <c r="J997" s="3" t="str">
        <f>HYPERLINK("https://www.boe.es/gazeta/dias/1823/01/14/pdfs/GMD-1823-14.pdf#page=2","Abrir facsímil")</f>
        <v>Abrir facsímil</v>
      </c>
      <c r="K997" s="3" t="s">
        <v>23</v>
      </c>
    </row>
    <row r="998" spans="1:11" ht="42" customHeight="1">
      <c r="A998" s="2" t="s">
        <v>2193</v>
      </c>
      <c r="B998" s="2" t="s">
        <v>2193</v>
      </c>
      <c r="C998" s="2" t="s">
        <v>109</v>
      </c>
      <c r="D998" s="2" t="s">
        <v>74</v>
      </c>
      <c r="E998" s="5">
        <v>-28107</v>
      </c>
      <c r="F998" s="3" t="s">
        <v>278</v>
      </c>
      <c r="G998" s="3" t="s">
        <v>27</v>
      </c>
      <c r="H998" s="2" t="s">
        <v>21</v>
      </c>
      <c r="I998" s="2" t="s">
        <v>2196</v>
      </c>
      <c r="J998" s="3" t="str">
        <f>HYPERLINK("https://www.boe.es/gazeta/dias/1823/01/16/pdfs/GMD-1823-16.pdf#page=2","Abrir facsímil")</f>
        <v>Abrir facsímil</v>
      </c>
      <c r="K998" s="3" t="s">
        <v>23</v>
      </c>
    </row>
    <row r="999" spans="1:11" ht="42" customHeight="1">
      <c r="A999" s="2" t="s">
        <v>2193</v>
      </c>
      <c r="B999" s="2" t="s">
        <v>2193</v>
      </c>
      <c r="C999" s="2" t="s">
        <v>56</v>
      </c>
      <c r="D999" s="2" t="s">
        <v>57</v>
      </c>
      <c r="E999" s="5">
        <v>-28103</v>
      </c>
      <c r="F999" s="3" t="s">
        <v>285</v>
      </c>
      <c r="G999" s="3" t="s">
        <v>27</v>
      </c>
      <c r="H999" s="2" t="s">
        <v>21</v>
      </c>
      <c r="I999" s="2" t="s">
        <v>2197</v>
      </c>
      <c r="J999" s="3" t="str">
        <f>HYPERLINK("https://www.boe.es/gazeta/dias/1823/01/20/pdfs/GMD-1823-20.pdf#page=2","Abrir facsímil")</f>
        <v>Abrir facsímil</v>
      </c>
      <c r="K999" s="3" t="s">
        <v>23</v>
      </c>
    </row>
    <row r="1000" spans="1:11" ht="42" customHeight="1">
      <c r="A1000" s="2" t="s">
        <v>2198</v>
      </c>
      <c r="B1000" s="2" t="s">
        <v>2199</v>
      </c>
      <c r="C1000" s="2" t="s">
        <v>73</v>
      </c>
      <c r="D1000" s="2" t="s">
        <v>74</v>
      </c>
      <c r="E1000" s="5">
        <v>-28106</v>
      </c>
      <c r="F1000" s="3" t="s">
        <v>280</v>
      </c>
      <c r="G1000" s="3" t="s">
        <v>20</v>
      </c>
      <c r="H1000" s="2" t="s">
        <v>21</v>
      </c>
      <c r="I1000" s="2" t="s">
        <v>2200</v>
      </c>
      <c r="J1000" s="3" t="str">
        <f>HYPERLINK("https://www.boe.es/gazeta/dias/1823/01/17/pdfs/GMD-1823-17.pdf#page=4","Abrir facsímil")</f>
        <v>Abrir facsímil</v>
      </c>
      <c r="K1000" s="3" t="s">
        <v>23</v>
      </c>
    </row>
    <row r="1001" spans="1:11" ht="42" customHeight="1">
      <c r="A1001" s="2" t="s">
        <v>2201</v>
      </c>
      <c r="B1001" s="2" t="s">
        <v>2202</v>
      </c>
      <c r="C1001" s="2" t="s">
        <v>56</v>
      </c>
      <c r="D1001" s="2" t="s">
        <v>57</v>
      </c>
      <c r="E1001" s="5">
        <v>-27958</v>
      </c>
      <c r="F1001" s="3" t="s">
        <v>2203</v>
      </c>
      <c r="G1001" s="3" t="s">
        <v>39</v>
      </c>
      <c r="H1001" s="2" t="s">
        <v>21</v>
      </c>
      <c r="I1001" s="2" t="s">
        <v>2204</v>
      </c>
      <c r="J1001" s="3" t="str">
        <f>HYPERLINK("https://www.boe.es/gazeta/dias/1823/06/14/pdfs/GMD-1823-153.pdf#page=1","Abrir facsímil")</f>
        <v>Abrir facsímil</v>
      </c>
      <c r="K1001" s="3" t="s">
        <v>23</v>
      </c>
    </row>
    <row r="1002" spans="1:11" ht="42" customHeight="1">
      <c r="A1002" s="2" t="s">
        <v>2205</v>
      </c>
      <c r="B1002" s="2" t="s">
        <v>2206</v>
      </c>
      <c r="C1002" s="2" t="s">
        <v>109</v>
      </c>
      <c r="D1002" s="2" t="s">
        <v>74</v>
      </c>
      <c r="E1002" s="5">
        <v>-27901</v>
      </c>
      <c r="F1002" s="3" t="s">
        <v>840</v>
      </c>
      <c r="G1002" s="3" t="s">
        <v>20</v>
      </c>
      <c r="H1002" s="2" t="s">
        <v>21</v>
      </c>
      <c r="I1002" s="2" t="s">
        <v>2207</v>
      </c>
      <c r="J1002" s="3" t="str">
        <f>HYPERLINK("https://www.boe.es/gazeta/dias/1823/08/10/pdfs/GES-1823-123.pdf#page=4","Abrir facsímil")</f>
        <v>Abrir facsímil</v>
      </c>
      <c r="K1002" s="3" t="s">
        <v>23</v>
      </c>
    </row>
    <row r="1003" spans="1:11" ht="42" customHeight="1">
      <c r="A1003" s="2" t="s">
        <v>2205</v>
      </c>
      <c r="B1003" s="2" t="s">
        <v>2206</v>
      </c>
      <c r="C1003" s="2" t="s">
        <v>17</v>
      </c>
      <c r="D1003" s="2" t="s">
        <v>18</v>
      </c>
      <c r="E1003" s="5">
        <v>-27891</v>
      </c>
      <c r="F1003" s="3" t="s">
        <v>825</v>
      </c>
      <c r="G1003" s="3" t="s">
        <v>20</v>
      </c>
      <c r="H1003" s="2" t="s">
        <v>21</v>
      </c>
      <c r="I1003" s="2" t="s">
        <v>2208</v>
      </c>
      <c r="J1003" s="3" t="str">
        <f>HYPERLINK("https://www.boe.es/gazeta/dias/1823/08/20/pdfs/GES-1823-133.pdf#page=4","Abrir facsímil")</f>
        <v>Abrir facsímil</v>
      </c>
      <c r="K1003" s="3" t="s">
        <v>23</v>
      </c>
    </row>
    <row r="1004" spans="1:11" ht="42" customHeight="1">
      <c r="A1004" s="2" t="s">
        <v>2205</v>
      </c>
      <c r="B1004" s="2" t="s">
        <v>2206</v>
      </c>
      <c r="C1004" s="2" t="s">
        <v>109</v>
      </c>
      <c r="D1004" s="2" t="s">
        <v>74</v>
      </c>
      <c r="E1004" s="5">
        <v>-27879</v>
      </c>
      <c r="F1004" s="3" t="s">
        <v>638</v>
      </c>
      <c r="G1004" s="3" t="s">
        <v>20</v>
      </c>
      <c r="H1004" s="2" t="s">
        <v>21</v>
      </c>
      <c r="I1004" s="2" t="s">
        <v>2209</v>
      </c>
      <c r="J1004" s="3" t="str">
        <f>HYPERLINK("https://www.boe.es/gazeta/dias/1823/09/01/pdfs/GES-1823-145.pdf#page=4","Abrir facsímil")</f>
        <v>Abrir facsímil</v>
      </c>
      <c r="K1004" s="3" t="s">
        <v>23</v>
      </c>
    </row>
    <row r="1005" spans="1:11" ht="42" customHeight="1">
      <c r="A1005" s="2" t="s">
        <v>2210</v>
      </c>
      <c r="B1005" s="2" t="s">
        <v>2211</v>
      </c>
      <c r="C1005" s="2" t="s">
        <v>17</v>
      </c>
      <c r="D1005" s="2" t="s">
        <v>18</v>
      </c>
      <c r="E1005" s="5">
        <v>-27906</v>
      </c>
      <c r="F1005" s="3" t="s">
        <v>241</v>
      </c>
      <c r="G1005" s="3" t="s">
        <v>2212</v>
      </c>
      <c r="H1005" s="2" t="s">
        <v>21</v>
      </c>
      <c r="I1005" s="2" t="s">
        <v>2213</v>
      </c>
      <c r="J1005" s="3" t="str">
        <f>HYPERLINK("https://www.boe.es/gazeta/dias/1823/08/05/pdfs/GES-1823-117.pdf#page=2","Abrir facsímil")</f>
        <v>Abrir facsímil</v>
      </c>
      <c r="K1005" s="3" t="s">
        <v>23</v>
      </c>
    </row>
    <row r="1006" spans="1:11" ht="42" customHeight="1">
      <c r="A1006" s="2" t="s">
        <v>2214</v>
      </c>
      <c r="B1006" s="2" t="s">
        <v>2215</v>
      </c>
      <c r="C1006" s="2" t="s">
        <v>17</v>
      </c>
      <c r="D1006" s="2" t="s">
        <v>18</v>
      </c>
      <c r="E1006" s="5">
        <v>-28036</v>
      </c>
      <c r="F1006" s="3" t="s">
        <v>2216</v>
      </c>
      <c r="G1006" s="3" t="s">
        <v>20</v>
      </c>
      <c r="H1006" s="2" t="s">
        <v>21</v>
      </c>
      <c r="I1006" s="2" t="s">
        <v>2217</v>
      </c>
      <c r="J1006" s="3" t="str">
        <f>HYPERLINK("https://www.boe.es/gazeta/dias/1823/03/28/pdfs/GMD-1823-91.pdf#page=4","Abrir facsímil")</f>
        <v>Abrir facsímil</v>
      </c>
      <c r="K1006" s="3" t="s">
        <v>23</v>
      </c>
    </row>
    <row r="1007" spans="1:11" ht="42" customHeight="1">
      <c r="A1007" s="2" t="s">
        <v>2218</v>
      </c>
      <c r="B1007" s="2" t="s">
        <v>2219</v>
      </c>
      <c r="C1007" s="2" t="s">
        <v>56</v>
      </c>
      <c r="D1007" s="2" t="s">
        <v>57</v>
      </c>
      <c r="E1007" s="5">
        <v>-28013</v>
      </c>
      <c r="F1007" s="3" t="s">
        <v>105</v>
      </c>
      <c r="G1007" s="3" t="s">
        <v>20</v>
      </c>
      <c r="H1007" s="2" t="s">
        <v>21</v>
      </c>
      <c r="I1007" s="2" t="s">
        <v>2220</v>
      </c>
      <c r="J1007" s="3" t="str">
        <f>HYPERLINK("https://www.boe.es/gazeta/dias/1823/04/20/pdfs/GMD-1823-32.pdf#page=4","Abrir facsímil")</f>
        <v>Abrir facsímil</v>
      </c>
      <c r="K1007" s="3" t="s">
        <v>23</v>
      </c>
    </row>
    <row r="1008" spans="1:11" ht="42" customHeight="1">
      <c r="A1008" s="2" t="s">
        <v>2221</v>
      </c>
      <c r="B1008" s="2" t="s">
        <v>2222</v>
      </c>
      <c r="C1008" s="2" t="s">
        <v>79</v>
      </c>
      <c r="D1008" s="2" t="s">
        <v>74</v>
      </c>
      <c r="E1008" s="5">
        <v>-28041</v>
      </c>
      <c r="F1008" s="3" t="s">
        <v>873</v>
      </c>
      <c r="G1008" s="3" t="s">
        <v>48</v>
      </c>
      <c r="H1008" s="2" t="s">
        <v>21</v>
      </c>
      <c r="I1008" s="2" t="s">
        <v>2223</v>
      </c>
      <c r="J1008" s="3" t="str">
        <f>HYPERLINK("https://www.boe.es/gazeta/dias/1823/03/23/pdfs/GMD-1823-86.pdf#page=3","Abrir facsímil")</f>
        <v>Abrir facsímil</v>
      </c>
      <c r="K1008" s="3" t="s">
        <v>23</v>
      </c>
    </row>
    <row r="1009" spans="1:11" ht="42" customHeight="1">
      <c r="A1009" s="2" t="s">
        <v>2224</v>
      </c>
      <c r="B1009" s="2" t="s">
        <v>2225</v>
      </c>
      <c r="C1009" s="2" t="s">
        <v>17</v>
      </c>
      <c r="D1009" s="2" t="s">
        <v>18</v>
      </c>
      <c r="E1009" s="5">
        <v>-27895</v>
      </c>
      <c r="F1009" s="3" t="s">
        <v>734</v>
      </c>
      <c r="G1009" s="3" t="s">
        <v>20</v>
      </c>
      <c r="H1009" s="2" t="s">
        <v>21</v>
      </c>
      <c r="I1009" s="2" t="s">
        <v>2226</v>
      </c>
      <c r="J1009" s="3" t="str">
        <f>HYPERLINK("https://www.boe.es/gazeta/dias/1823/08/16/pdfs/GES-1823-129.pdf#page=4","Abrir facsímil")</f>
        <v>Abrir facsímil</v>
      </c>
      <c r="K1009" s="3" t="s">
        <v>23</v>
      </c>
    </row>
    <row r="1010" spans="1:11" ht="42" customHeight="1">
      <c r="A1010" s="2" t="s">
        <v>2227</v>
      </c>
      <c r="B1010" s="2" t="s">
        <v>2228</v>
      </c>
      <c r="C1010" s="2" t="s">
        <v>17</v>
      </c>
      <c r="D1010" s="2" t="s">
        <v>18</v>
      </c>
      <c r="E1010" s="5">
        <v>-28006</v>
      </c>
      <c r="F1010" s="3" t="s">
        <v>183</v>
      </c>
      <c r="G1010" s="3" t="s">
        <v>27</v>
      </c>
      <c r="H1010" s="2" t="s">
        <v>21</v>
      </c>
      <c r="I1010" s="2" t="s">
        <v>2229</v>
      </c>
      <c r="J1010" s="3" t="str">
        <f>HYPERLINK("https://www.boe.es/gazeta/dias/1823/04/27/pdfs/GES-1823-17.pdf#page=2","Abrir facsímil")</f>
        <v>Abrir facsímil</v>
      </c>
      <c r="K1010" s="3" t="s">
        <v>23</v>
      </c>
    </row>
    <row r="1011" spans="1:11" ht="42" customHeight="1">
      <c r="A1011" s="2" t="s">
        <v>2230</v>
      </c>
      <c r="B1011" s="2" t="s">
        <v>2231</v>
      </c>
      <c r="C1011" s="2" t="s">
        <v>79</v>
      </c>
      <c r="D1011" s="2" t="s">
        <v>74</v>
      </c>
      <c r="E1011" s="5">
        <v>-27920</v>
      </c>
      <c r="F1011" s="3" t="s">
        <v>1334</v>
      </c>
      <c r="G1011" s="3" t="s">
        <v>276</v>
      </c>
      <c r="H1011" s="2" t="s">
        <v>21</v>
      </c>
      <c r="I1011" s="2" t="s">
        <v>2232</v>
      </c>
      <c r="J1011" s="3" t="str">
        <f>HYPERLINK("https://www.boe.es/gazeta/dias/1823/07/22/pdfs/GMD-1823-443.pdf#page=7","Abrir facsímil")</f>
        <v>Abrir facsímil</v>
      </c>
      <c r="K1011" s="3" t="s">
        <v>23</v>
      </c>
    </row>
    <row r="1012" spans="1:11" ht="42" customHeight="1">
      <c r="A1012" s="2" t="s">
        <v>2233</v>
      </c>
      <c r="B1012" s="2" t="s">
        <v>2234</v>
      </c>
      <c r="C1012" s="2" t="s">
        <v>79</v>
      </c>
      <c r="D1012" s="2" t="s">
        <v>74</v>
      </c>
      <c r="E1012" s="5">
        <v>-27906</v>
      </c>
      <c r="F1012" s="3" t="s">
        <v>1527</v>
      </c>
      <c r="G1012" s="3" t="s">
        <v>59</v>
      </c>
      <c r="H1012" s="2" t="s">
        <v>21</v>
      </c>
      <c r="I1012" s="2" t="s">
        <v>2235</v>
      </c>
      <c r="J1012" s="3" t="str">
        <f>HYPERLINK("https://www.boe.es/gazeta/dias/1823/08/05/pdfs/GMD-1823-533.pdf#page=6","Abrir facsímil")</f>
        <v>Abrir facsímil</v>
      </c>
      <c r="K1012" s="3" t="s">
        <v>23</v>
      </c>
    </row>
    <row r="1013" spans="1:11" ht="42" customHeight="1">
      <c r="A1013" s="2" t="s">
        <v>2236</v>
      </c>
      <c r="B1013" s="2" t="s">
        <v>2237</v>
      </c>
      <c r="C1013" s="2" t="s">
        <v>79</v>
      </c>
      <c r="D1013" s="2" t="s">
        <v>74</v>
      </c>
      <c r="E1013" s="5">
        <v>-27920</v>
      </c>
      <c r="F1013" s="3" t="s">
        <v>1334</v>
      </c>
      <c r="G1013" s="3" t="s">
        <v>276</v>
      </c>
      <c r="H1013" s="2" t="s">
        <v>21</v>
      </c>
      <c r="I1013" s="2" t="s">
        <v>2238</v>
      </c>
      <c r="J1013" s="3" t="str">
        <f>HYPERLINK("https://www.boe.es/gazeta/dias/1823/07/22/pdfs/GMD-1823-443.pdf#page=7","Abrir facsímil")</f>
        <v>Abrir facsímil</v>
      </c>
      <c r="K1013" s="3" t="s">
        <v>23</v>
      </c>
    </row>
    <row r="1014" spans="1:11" ht="42" customHeight="1">
      <c r="A1014" s="2" t="s">
        <v>2239</v>
      </c>
      <c r="B1014" s="2" t="s">
        <v>2240</v>
      </c>
      <c r="C1014" s="2" t="s">
        <v>56</v>
      </c>
      <c r="D1014" s="2" t="s">
        <v>57</v>
      </c>
      <c r="E1014" s="5">
        <v>-27801</v>
      </c>
      <c r="F1014" s="3" t="s">
        <v>800</v>
      </c>
      <c r="G1014" s="3" t="s">
        <v>20</v>
      </c>
      <c r="H1014" s="2" t="s">
        <v>21</v>
      </c>
      <c r="I1014" s="2" t="s">
        <v>2241</v>
      </c>
      <c r="J1014" s="3" t="str">
        <f>HYPERLINK("https://www.boe.es/gazeta/dias/1823/11/18/pdfs/GMD-1823-1133.pdf#page=4","Abrir facsímil")</f>
        <v>Abrir facsímil</v>
      </c>
      <c r="K1014" s="3" t="s">
        <v>23</v>
      </c>
    </row>
    <row r="1015" spans="1:11" ht="42" customHeight="1">
      <c r="A1015" s="2" t="s">
        <v>2242</v>
      </c>
      <c r="B1015" s="2" t="s">
        <v>2243</v>
      </c>
      <c r="C1015" s="2" t="s">
        <v>17</v>
      </c>
      <c r="D1015" s="2" t="s">
        <v>18</v>
      </c>
      <c r="E1015" s="5">
        <v>-27776</v>
      </c>
      <c r="F1015" s="3" t="s">
        <v>1399</v>
      </c>
      <c r="G1015" s="3" t="s">
        <v>27</v>
      </c>
      <c r="H1015" s="2" t="s">
        <v>21</v>
      </c>
      <c r="I1015" s="2" t="s">
        <v>2244</v>
      </c>
      <c r="J1015" s="3" t="str">
        <f>HYPERLINK("https://www.boe.es/gazeta/dias/1823/12/13/pdfs/GMD-1823-1243.pdf#page=2","Abrir facsímil")</f>
        <v>Abrir facsímil</v>
      </c>
      <c r="K1015" s="3" t="s">
        <v>23</v>
      </c>
    </row>
    <row r="1016" spans="1:11" ht="42" customHeight="1">
      <c r="A1016" s="2" t="s">
        <v>2245</v>
      </c>
      <c r="B1016" s="2" t="s">
        <v>2245</v>
      </c>
      <c r="C1016" s="2" t="s">
        <v>17</v>
      </c>
      <c r="D1016" s="2" t="s">
        <v>18</v>
      </c>
      <c r="E1016" s="5">
        <v>-28080</v>
      </c>
      <c r="F1016" s="3" t="s">
        <v>1010</v>
      </c>
      <c r="G1016" s="3" t="s">
        <v>48</v>
      </c>
      <c r="H1016" s="2" t="s">
        <v>21</v>
      </c>
      <c r="I1016" s="2" t="s">
        <v>2246</v>
      </c>
      <c r="J1016" s="3" t="str">
        <f>HYPERLINK("https://www.boe.es/gazeta/dias/1823/02/12/pdfs/GMD-1823-46.pdf#page=3","Abrir facsímil")</f>
        <v>Abrir facsímil</v>
      </c>
      <c r="K1016" s="3" t="s">
        <v>23</v>
      </c>
    </row>
    <row r="1017" spans="1:11" ht="42" customHeight="1">
      <c r="A1017" s="2" t="s">
        <v>2245</v>
      </c>
      <c r="B1017" s="2" t="s">
        <v>2245</v>
      </c>
      <c r="C1017" s="2" t="s">
        <v>109</v>
      </c>
      <c r="D1017" s="2" t="s">
        <v>74</v>
      </c>
      <c r="E1017" s="5">
        <v>-28007</v>
      </c>
      <c r="F1017" s="3" t="s">
        <v>311</v>
      </c>
      <c r="G1017" s="3" t="s">
        <v>27</v>
      </c>
      <c r="H1017" s="2" t="s">
        <v>21</v>
      </c>
      <c r="I1017" s="2" t="s">
        <v>2247</v>
      </c>
      <c r="J1017" s="3" t="str">
        <f>HYPERLINK("https://www.boe.es/gazeta/dias/1823/04/26/pdfs/GES-1823-16.pdf#page=2","Abrir facsímil")</f>
        <v>Abrir facsímil</v>
      </c>
      <c r="K1017" s="3" t="s">
        <v>23</v>
      </c>
    </row>
    <row r="1018" spans="1:11" ht="42" customHeight="1">
      <c r="A1018" s="2" t="s">
        <v>2248</v>
      </c>
      <c r="B1018" s="2" t="s">
        <v>2249</v>
      </c>
      <c r="C1018" s="2" t="s">
        <v>17</v>
      </c>
      <c r="D1018" s="2" t="s">
        <v>18</v>
      </c>
      <c r="E1018" s="5">
        <v>-27939</v>
      </c>
      <c r="F1018" s="3" t="s">
        <v>1403</v>
      </c>
      <c r="G1018" s="3" t="s">
        <v>715</v>
      </c>
      <c r="H1018" s="2" t="s">
        <v>21</v>
      </c>
      <c r="I1018" s="2" t="s">
        <v>2250</v>
      </c>
      <c r="J1018" s="3" t="str">
        <f>HYPERLINK("https://www.boe.es/gazeta/dias/1823/07/03/pdfs/GMD-1823-333.pdf#page=8","Abrir facsímil")</f>
        <v>Abrir facsímil</v>
      </c>
      <c r="K1018" s="3" t="s">
        <v>23</v>
      </c>
    </row>
    <row r="1019" spans="1:11" ht="42" customHeight="1">
      <c r="A1019" s="2" t="s">
        <v>2251</v>
      </c>
      <c r="B1019" s="2" t="s">
        <v>2252</v>
      </c>
      <c r="C1019" s="2" t="s">
        <v>17</v>
      </c>
      <c r="D1019" s="2" t="s">
        <v>18</v>
      </c>
      <c r="E1019" s="5">
        <v>-27850</v>
      </c>
      <c r="F1019" s="3" t="s">
        <v>910</v>
      </c>
      <c r="G1019" s="3" t="s">
        <v>39</v>
      </c>
      <c r="H1019" s="2" t="s">
        <v>21</v>
      </c>
      <c r="I1019" s="2" t="s">
        <v>2253</v>
      </c>
      <c r="J1019" s="3" t="str">
        <f>HYPERLINK("https://www.boe.es/gazeta/dias/1823/09/30/pdfs/GMD-1823-873.pdf#page=1","Abrir facsímil")</f>
        <v>Abrir facsímil</v>
      </c>
      <c r="K1019" s="3" t="s">
        <v>23</v>
      </c>
    </row>
    <row r="1020" spans="1:11" ht="42" customHeight="1">
      <c r="A1020" s="2" t="s">
        <v>2254</v>
      </c>
      <c r="B1020" s="2" t="s">
        <v>2255</v>
      </c>
      <c r="C1020" s="2" t="s">
        <v>17</v>
      </c>
      <c r="D1020" s="2" t="s">
        <v>18</v>
      </c>
      <c r="E1020" s="5">
        <v>-28002</v>
      </c>
      <c r="F1020" s="3" t="s">
        <v>315</v>
      </c>
      <c r="G1020" s="3" t="s">
        <v>34</v>
      </c>
      <c r="H1020" s="2" t="s">
        <v>28</v>
      </c>
      <c r="I1020" s="2" t="s">
        <v>2256</v>
      </c>
      <c r="J1020" s="3" t="str">
        <f>HYPERLINK("https://www.boe.es/gazeta/dias/1823/05/01/pdfs/GES-1823-21.pdf#page=5","Abrir facsímil")</f>
        <v>Abrir facsímil</v>
      </c>
      <c r="K1020" s="3" t="s">
        <v>30</v>
      </c>
    </row>
    <row r="1021" spans="1:11" ht="42" customHeight="1">
      <c r="A1021" s="2" t="s">
        <v>2257</v>
      </c>
      <c r="B1021" s="2" t="s">
        <v>2258</v>
      </c>
      <c r="C1021" s="2" t="s">
        <v>109</v>
      </c>
      <c r="D1021" s="2" t="s">
        <v>74</v>
      </c>
      <c r="E1021" s="5">
        <v>-28016</v>
      </c>
      <c r="F1021" s="3" t="s">
        <v>2259</v>
      </c>
      <c r="G1021" s="3" t="s">
        <v>20</v>
      </c>
      <c r="H1021" s="2" t="s">
        <v>21</v>
      </c>
      <c r="I1021" s="2" t="s">
        <v>2260</v>
      </c>
      <c r="J1021" s="3" t="str">
        <f>HYPERLINK("https://www.boe.es/gazeta/dias/1823/04/17/pdfs/GES-1823-7.pdf#page=4","Abrir facsímil")</f>
        <v>Abrir facsímil</v>
      </c>
      <c r="K1021" s="3" t="s">
        <v>23</v>
      </c>
    </row>
    <row r="1022" spans="1:11" ht="42" customHeight="1">
      <c r="A1022" s="2" t="s">
        <v>2261</v>
      </c>
      <c r="B1022" s="2" t="s">
        <v>2262</v>
      </c>
      <c r="C1022" s="2" t="s">
        <v>79</v>
      </c>
      <c r="D1022" s="2" t="s">
        <v>74</v>
      </c>
      <c r="E1022" s="5">
        <v>-28051</v>
      </c>
      <c r="F1022" s="3" t="s">
        <v>305</v>
      </c>
      <c r="G1022" s="3" t="s">
        <v>48</v>
      </c>
      <c r="H1022" s="2" t="s">
        <v>21</v>
      </c>
      <c r="I1022" s="2" t="s">
        <v>2263</v>
      </c>
      <c r="J1022" s="3" t="str">
        <f>HYPERLINK("https://www.boe.es/gazeta/dias/1823/03/13/pdfs/GMD-1823-76.pdf#page=3","Abrir facsímil")</f>
        <v>Abrir facsímil</v>
      </c>
      <c r="K1022" s="3" t="s">
        <v>23</v>
      </c>
    </row>
    <row r="1023" spans="1:11" ht="42" customHeight="1">
      <c r="A1023" s="2" t="s">
        <v>2264</v>
      </c>
      <c r="B1023" s="2" t="s">
        <v>2265</v>
      </c>
      <c r="C1023" s="2" t="s">
        <v>79</v>
      </c>
      <c r="D1023" s="2" t="s">
        <v>74</v>
      </c>
      <c r="E1023" s="5">
        <v>-27944</v>
      </c>
      <c r="F1023" s="3" t="s">
        <v>658</v>
      </c>
      <c r="G1023" s="3" t="s">
        <v>48</v>
      </c>
      <c r="H1023" s="2" t="s">
        <v>21</v>
      </c>
      <c r="I1023" s="2" t="s">
        <v>2266</v>
      </c>
      <c r="J1023" s="3" t="str">
        <f>HYPERLINK("https://www.boe.es/gazeta/dias/1823/06/28/pdfs/GMD-1823-303.pdf#page=3","Abrir facsímil")</f>
        <v>Abrir facsímil</v>
      </c>
      <c r="K1023" s="3" t="s">
        <v>23</v>
      </c>
    </row>
    <row r="1024" spans="1:11" ht="42" customHeight="1">
      <c r="A1024" s="2" t="s">
        <v>2267</v>
      </c>
      <c r="B1024" s="2" t="s">
        <v>2268</v>
      </c>
      <c r="C1024" s="2" t="s">
        <v>109</v>
      </c>
      <c r="D1024" s="2" t="s">
        <v>74</v>
      </c>
      <c r="E1024" s="5">
        <v>-28047</v>
      </c>
      <c r="F1024" s="3" t="s">
        <v>2269</v>
      </c>
      <c r="G1024" s="3" t="s">
        <v>48</v>
      </c>
      <c r="H1024" s="2" t="s">
        <v>21</v>
      </c>
      <c r="I1024" s="2" t="s">
        <v>2270</v>
      </c>
      <c r="J1024" s="3" t="str">
        <f>HYPERLINK("https://www.boe.es/gazeta/dias/1823/03/17/pdfs/GMD-1823-80.pdf#page=3","Abrir facsímil")</f>
        <v>Abrir facsímil</v>
      </c>
      <c r="K1024" s="3" t="s">
        <v>23</v>
      </c>
    </row>
    <row r="1025" spans="1:11" ht="42" customHeight="1">
      <c r="A1025" s="2" t="s">
        <v>2271</v>
      </c>
      <c r="B1025" s="2" t="s">
        <v>2272</v>
      </c>
      <c r="C1025" s="2" t="s">
        <v>56</v>
      </c>
      <c r="D1025" s="2" t="s">
        <v>57</v>
      </c>
      <c r="E1025" s="5">
        <v>-27944</v>
      </c>
      <c r="F1025" s="3" t="s">
        <v>658</v>
      </c>
      <c r="G1025" s="3" t="s">
        <v>48</v>
      </c>
      <c r="H1025" s="2" t="s">
        <v>21</v>
      </c>
      <c r="I1025" s="2" t="s">
        <v>2273</v>
      </c>
      <c r="J1025" s="3" t="str">
        <f>HYPERLINK("https://www.boe.es/gazeta/dias/1823/06/28/pdfs/GMD-1823-303.pdf#page=3","Abrir facsímil")</f>
        <v>Abrir facsímil</v>
      </c>
      <c r="K1025" s="3" t="s">
        <v>23</v>
      </c>
    </row>
    <row r="1026" spans="1:11" ht="42" customHeight="1">
      <c r="A1026" s="2" t="s">
        <v>2274</v>
      </c>
      <c r="B1026" s="2" t="s">
        <v>2275</v>
      </c>
      <c r="C1026" s="2" t="s">
        <v>79</v>
      </c>
      <c r="D1026" s="2" t="s">
        <v>74</v>
      </c>
      <c r="E1026" s="5">
        <v>-28037</v>
      </c>
      <c r="F1026" s="3" t="s">
        <v>192</v>
      </c>
      <c r="G1026" s="3" t="s">
        <v>48</v>
      </c>
      <c r="H1026" s="2" t="s">
        <v>28</v>
      </c>
      <c r="I1026" s="2" t="s">
        <v>2276</v>
      </c>
      <c r="J1026" s="3" t="str">
        <f>HYPERLINK("https://www.boe.es/gazeta/dias/1823/03/27/pdfs/GMD-1823-90.pdf#page=3","Abrir facsímil")</f>
        <v>Abrir facsímil</v>
      </c>
      <c r="K1026" s="3" t="s">
        <v>30</v>
      </c>
    </row>
    <row r="1027" spans="1:11" ht="42" customHeight="1">
      <c r="A1027" s="2" t="s">
        <v>2277</v>
      </c>
      <c r="B1027" s="2" t="s">
        <v>2278</v>
      </c>
      <c r="C1027" s="2" t="s">
        <v>109</v>
      </c>
      <c r="D1027" s="2" t="s">
        <v>74</v>
      </c>
      <c r="E1027" s="5">
        <v>-28098</v>
      </c>
      <c r="F1027" s="3" t="s">
        <v>1101</v>
      </c>
      <c r="G1027" s="3" t="s">
        <v>48</v>
      </c>
      <c r="H1027" s="2" t="s">
        <v>28</v>
      </c>
      <c r="I1027" s="2" t="s">
        <v>2279</v>
      </c>
      <c r="J1027" s="3" t="str">
        <f>HYPERLINK("https://www.boe.es/gazeta/dias/1823/01/25/pdfs/GMD-1823-26.pdf#page=3","Abrir facsímil")</f>
        <v>Abrir facsímil</v>
      </c>
      <c r="K1027" s="3" t="s">
        <v>30</v>
      </c>
    </row>
    <row r="1028" spans="1:11" ht="42" customHeight="1">
      <c r="A1028" s="2" t="s">
        <v>2280</v>
      </c>
      <c r="B1028" s="2" t="s">
        <v>2281</v>
      </c>
      <c r="C1028" s="2" t="s">
        <v>17</v>
      </c>
      <c r="D1028" s="2" t="s">
        <v>18</v>
      </c>
      <c r="E1028" s="5">
        <v>-27815</v>
      </c>
      <c r="F1028" s="3" t="s">
        <v>1266</v>
      </c>
      <c r="G1028" s="3" t="s">
        <v>48</v>
      </c>
      <c r="H1028" s="2" t="s">
        <v>21</v>
      </c>
      <c r="I1028" s="2" t="s">
        <v>2282</v>
      </c>
      <c r="J1028" s="3" t="str">
        <f>HYPERLINK("https://www.boe.es/gazeta/dias/1823/11/04/pdfs/GMD-1823-1063.pdf#page=3","Abrir facsímil")</f>
        <v>Abrir facsímil</v>
      </c>
      <c r="K1028" s="3" t="s">
        <v>23</v>
      </c>
    </row>
    <row r="1029" spans="1:11" ht="42" customHeight="1">
      <c r="A1029" s="2" t="s">
        <v>2283</v>
      </c>
      <c r="B1029" s="2" t="s">
        <v>2283</v>
      </c>
      <c r="C1029" s="2" t="s">
        <v>17</v>
      </c>
      <c r="D1029" s="2" t="s">
        <v>18</v>
      </c>
      <c r="E1029" s="5">
        <v>-27853</v>
      </c>
      <c r="F1029" s="3" t="s">
        <v>539</v>
      </c>
      <c r="G1029" s="3" t="s">
        <v>48</v>
      </c>
      <c r="H1029" s="2" t="s">
        <v>21</v>
      </c>
      <c r="I1029" s="2" t="s">
        <v>2284</v>
      </c>
      <c r="J1029" s="3" t="str">
        <f>HYPERLINK("https://www.boe.es/gazeta/dias/1823/09/27/pdfs/GMD-1823-863.pdf#page=3","Abrir facsímil")</f>
        <v>Abrir facsímil</v>
      </c>
      <c r="K1029" s="3" t="s">
        <v>23</v>
      </c>
    </row>
    <row r="1030" spans="1:11" ht="42" customHeight="1">
      <c r="A1030" s="2" t="s">
        <v>2285</v>
      </c>
      <c r="B1030" s="2" t="s">
        <v>2286</v>
      </c>
      <c r="C1030" s="2" t="s">
        <v>17</v>
      </c>
      <c r="D1030" s="2" t="s">
        <v>18</v>
      </c>
      <c r="E1030" s="5">
        <v>-27811</v>
      </c>
      <c r="F1030" s="3" t="s">
        <v>834</v>
      </c>
      <c r="G1030" s="3" t="s">
        <v>20</v>
      </c>
      <c r="H1030" s="2" t="s">
        <v>21</v>
      </c>
      <c r="I1030" s="2" t="s">
        <v>2287</v>
      </c>
      <c r="J1030" s="3" t="str">
        <f>HYPERLINK("https://www.boe.es/gazeta/dias/1823/11/08/pdfs/GMD-1823-1083.pdf#page=4","Abrir facsímil")</f>
        <v>Abrir facsímil</v>
      </c>
      <c r="K1030" s="3" t="s">
        <v>23</v>
      </c>
    </row>
    <row r="1031" spans="1:11" ht="42" customHeight="1">
      <c r="A1031" s="2" t="s">
        <v>2288</v>
      </c>
      <c r="B1031" s="2" t="s">
        <v>2289</v>
      </c>
      <c r="C1031" s="2" t="s">
        <v>325</v>
      </c>
      <c r="D1031" s="2" t="s">
        <v>74</v>
      </c>
      <c r="E1031" s="5">
        <v>-28039</v>
      </c>
      <c r="F1031" s="3" t="s">
        <v>126</v>
      </c>
      <c r="G1031" s="3" t="s">
        <v>20</v>
      </c>
      <c r="H1031" s="2" t="s">
        <v>21</v>
      </c>
      <c r="I1031" s="2" t="s">
        <v>2290</v>
      </c>
      <c r="J1031" s="3" t="str">
        <f>HYPERLINK("https://www.boe.es/gazeta/dias/1823/03/25/pdfs/GMD-1823-88.pdf#page=4","Abrir facsímil")</f>
        <v>Abrir facsímil</v>
      </c>
      <c r="K1031" s="3" t="s">
        <v>23</v>
      </c>
    </row>
    <row r="1032" spans="1:11" ht="42" customHeight="1">
      <c r="A1032" s="2" t="s">
        <v>2291</v>
      </c>
      <c r="B1032" s="2" t="s">
        <v>2292</v>
      </c>
      <c r="C1032" s="2" t="s">
        <v>56</v>
      </c>
      <c r="D1032" s="2" t="s">
        <v>57</v>
      </c>
      <c r="E1032" s="5">
        <v>-28058</v>
      </c>
      <c r="F1032" s="3" t="s">
        <v>1282</v>
      </c>
      <c r="G1032" s="3" t="s">
        <v>20</v>
      </c>
      <c r="H1032" s="2" t="s">
        <v>21</v>
      </c>
      <c r="I1032" s="2" t="s">
        <v>2293</v>
      </c>
      <c r="J1032" s="3" t="str">
        <f>HYPERLINK("https://www.boe.es/gazeta/dias/1823/03/06/pdfs/GMD-1823-69.pdf#page=4","Abrir facsímil")</f>
        <v>Abrir facsímil</v>
      </c>
      <c r="K1032" s="3" t="s">
        <v>23</v>
      </c>
    </row>
    <row r="1033" spans="1:11" ht="42" customHeight="1">
      <c r="A1033" s="2" t="s">
        <v>2294</v>
      </c>
      <c r="B1033" s="2" t="s">
        <v>2295</v>
      </c>
      <c r="C1033" s="2" t="s">
        <v>84</v>
      </c>
      <c r="D1033" s="2" t="s">
        <v>74</v>
      </c>
      <c r="E1033" s="5">
        <v>-28115</v>
      </c>
      <c r="F1033" s="3" t="s">
        <v>579</v>
      </c>
      <c r="G1033" s="3" t="s">
        <v>1458</v>
      </c>
      <c r="H1033" s="2" t="s">
        <v>21</v>
      </c>
      <c r="I1033" s="2" t="s">
        <v>2296</v>
      </c>
      <c r="J1033" s="3" t="str">
        <f>HYPERLINK("https://www.boe.es/gazeta/dias/1823/01/08/pdfs/GMD-1823-8.pdf#page=4","Abrir facsímil")</f>
        <v>Abrir facsímil</v>
      </c>
      <c r="K1033" s="3" t="s">
        <v>23</v>
      </c>
    </row>
    <row r="1034" spans="1:11" ht="42" customHeight="1">
      <c r="A1034" s="2" t="s">
        <v>2297</v>
      </c>
      <c r="B1034" s="2" t="s">
        <v>2298</v>
      </c>
      <c r="C1034" s="2" t="s">
        <v>79</v>
      </c>
      <c r="D1034" s="2" t="s">
        <v>74</v>
      </c>
      <c r="E1034" s="5">
        <v>-27785</v>
      </c>
      <c r="F1034" s="3" t="s">
        <v>1397</v>
      </c>
      <c r="G1034" s="3" t="s">
        <v>48</v>
      </c>
      <c r="H1034" s="2" t="s">
        <v>21</v>
      </c>
      <c r="I1034" s="2" t="s">
        <v>2299</v>
      </c>
      <c r="J1034" s="3" t="str">
        <f>HYPERLINK("https://www.boe.es/gazeta/dias/1823/12/04/pdfs/GMD-1823-1203.pdf#page=3","Abrir facsímil")</f>
        <v>Abrir facsímil</v>
      </c>
      <c r="K1034" s="3" t="s">
        <v>23</v>
      </c>
    </row>
    <row r="1035" spans="1:11" ht="42" customHeight="1">
      <c r="A1035" s="2" t="s">
        <v>2300</v>
      </c>
      <c r="B1035" s="2" t="s">
        <v>2300</v>
      </c>
      <c r="C1035" s="2" t="s">
        <v>17</v>
      </c>
      <c r="D1035" s="2" t="s">
        <v>18</v>
      </c>
      <c r="E1035" s="5">
        <v>-28039</v>
      </c>
      <c r="F1035" s="3" t="s">
        <v>126</v>
      </c>
      <c r="G1035" s="3" t="s">
        <v>20</v>
      </c>
      <c r="H1035" s="2" t="s">
        <v>21</v>
      </c>
      <c r="I1035" s="2" t="s">
        <v>2301</v>
      </c>
      <c r="J1035" s="3" t="str">
        <f>HYPERLINK("https://www.boe.es/gazeta/dias/1823/03/25/pdfs/GMD-1823-88.pdf#page=4","Abrir facsímil")</f>
        <v>Abrir facsímil</v>
      </c>
      <c r="K1035" s="3" t="s">
        <v>23</v>
      </c>
    </row>
    <row r="1036" spans="1:11" ht="42" customHeight="1">
      <c r="A1036" s="2" t="s">
        <v>2302</v>
      </c>
      <c r="B1036" s="2" t="s">
        <v>2303</v>
      </c>
      <c r="C1036" s="2" t="s">
        <v>84</v>
      </c>
      <c r="D1036" s="2" t="s">
        <v>74</v>
      </c>
      <c r="E1036" s="5">
        <v>-27792</v>
      </c>
      <c r="F1036" s="3" t="s">
        <v>611</v>
      </c>
      <c r="G1036" s="3" t="s">
        <v>20</v>
      </c>
      <c r="H1036" s="2" t="s">
        <v>28</v>
      </c>
      <c r="I1036" s="2" t="s">
        <v>2304</v>
      </c>
      <c r="J1036" s="3" t="str">
        <f>HYPERLINK("https://www.boe.es/gazeta/dias/1823/11/27/pdfs/GMD-1823-1173.pdf#page=4","Abrir facsímil")</f>
        <v>Abrir facsímil</v>
      </c>
      <c r="K1036" s="3" t="s">
        <v>30</v>
      </c>
    </row>
    <row r="1037" spans="1:11" ht="42" customHeight="1">
      <c r="A1037" s="2" t="s">
        <v>2305</v>
      </c>
      <c r="B1037" s="2" t="s">
        <v>2305</v>
      </c>
      <c r="C1037" s="2" t="s">
        <v>79</v>
      </c>
      <c r="D1037" s="2" t="s">
        <v>74</v>
      </c>
      <c r="E1037" s="5">
        <v>-27969</v>
      </c>
      <c r="F1037" s="3" t="s">
        <v>204</v>
      </c>
      <c r="G1037" s="3" t="s">
        <v>20</v>
      </c>
      <c r="H1037" s="2" t="s">
        <v>21</v>
      </c>
      <c r="I1037" s="2" t="s">
        <v>2306</v>
      </c>
      <c r="J1037" s="3" t="str">
        <f>HYPERLINK("https://www.boe.es/gazeta/dias/1823/06/03/pdfs/GMD-1823-53.pdf#page=4","Abrir facsímil")</f>
        <v>Abrir facsímil</v>
      </c>
      <c r="K1037" s="3" t="s">
        <v>23</v>
      </c>
    </row>
    <row r="1038" spans="1:11" ht="42" customHeight="1">
      <c r="A1038" s="2" t="s">
        <v>2305</v>
      </c>
      <c r="B1038" s="2" t="s">
        <v>2305</v>
      </c>
      <c r="C1038" s="2" t="s">
        <v>84</v>
      </c>
      <c r="D1038" s="2" t="s">
        <v>74</v>
      </c>
      <c r="E1038" s="5">
        <v>-27925</v>
      </c>
      <c r="F1038" s="3" t="s">
        <v>1744</v>
      </c>
      <c r="G1038" s="3" t="s">
        <v>59</v>
      </c>
      <c r="H1038" s="2" t="s">
        <v>21</v>
      </c>
      <c r="I1038" s="2" t="s">
        <v>2307</v>
      </c>
      <c r="J1038" s="3" t="str">
        <f>HYPERLINK("https://www.boe.es/gazeta/dias/1823/07/17/pdfs/GMD-1823-413.pdf#page=6","Abrir facsímil")</f>
        <v>Abrir facsímil</v>
      </c>
      <c r="K1038" s="3" t="s">
        <v>23</v>
      </c>
    </row>
    <row r="1039" spans="1:11" ht="42" customHeight="1">
      <c r="A1039" s="2" t="s">
        <v>2308</v>
      </c>
      <c r="B1039" s="2" t="s">
        <v>2309</v>
      </c>
      <c r="C1039" s="2" t="s">
        <v>293</v>
      </c>
      <c r="D1039" s="2" t="s">
        <v>74</v>
      </c>
      <c r="E1039" s="5">
        <v>-27960</v>
      </c>
      <c r="F1039" s="3" t="s">
        <v>682</v>
      </c>
      <c r="G1039" s="3" t="s">
        <v>815</v>
      </c>
      <c r="H1039" s="2" t="s">
        <v>28</v>
      </c>
      <c r="I1039" s="2" t="s">
        <v>2310</v>
      </c>
      <c r="J1039" s="3" t="str">
        <f>HYPERLINK("https://www.boe.es/gazeta/dias/1823/06/12/pdfs/GMD-1823-123.pdf#page=6","Abrir facsímil")</f>
        <v>Abrir facsímil</v>
      </c>
      <c r="K1039" s="3" t="s">
        <v>30</v>
      </c>
    </row>
    <row r="1040" spans="1:11" ht="42" customHeight="1">
      <c r="A1040" s="2" t="s">
        <v>2311</v>
      </c>
      <c r="B1040" s="2" t="s">
        <v>2312</v>
      </c>
      <c r="C1040" s="2" t="s">
        <v>17</v>
      </c>
      <c r="D1040" s="2" t="s">
        <v>18</v>
      </c>
      <c r="E1040" s="5">
        <v>-28037</v>
      </c>
      <c r="F1040" s="3" t="s">
        <v>192</v>
      </c>
      <c r="G1040" s="3" t="s">
        <v>48</v>
      </c>
      <c r="H1040" s="2" t="s">
        <v>21</v>
      </c>
      <c r="I1040" s="2" t="s">
        <v>2313</v>
      </c>
      <c r="J1040" s="3" t="str">
        <f>HYPERLINK("https://www.boe.es/gazeta/dias/1823/03/27/pdfs/GMD-1823-90.pdf#page=3","Abrir facsímil")</f>
        <v>Abrir facsímil</v>
      </c>
      <c r="K1040" s="3" t="s">
        <v>23</v>
      </c>
    </row>
    <row r="1041" spans="1:11" ht="42" customHeight="1">
      <c r="A1041" s="2" t="s">
        <v>2314</v>
      </c>
      <c r="B1041" s="2" t="s">
        <v>2314</v>
      </c>
      <c r="C1041" s="2" t="s">
        <v>79</v>
      </c>
      <c r="D1041" s="2" t="s">
        <v>74</v>
      </c>
      <c r="E1041" s="5">
        <v>-28051</v>
      </c>
      <c r="F1041" s="3" t="s">
        <v>305</v>
      </c>
      <c r="G1041" s="3" t="s">
        <v>48</v>
      </c>
      <c r="H1041" s="2" t="s">
        <v>21</v>
      </c>
      <c r="I1041" s="2" t="s">
        <v>2315</v>
      </c>
      <c r="J1041" s="3" t="str">
        <f>HYPERLINK("https://www.boe.es/gazeta/dias/1823/03/13/pdfs/GMD-1823-76.pdf#page=3","Abrir facsímil")</f>
        <v>Abrir facsímil</v>
      </c>
      <c r="K1041" s="3" t="s">
        <v>23</v>
      </c>
    </row>
    <row r="1042" spans="1:11" ht="42" customHeight="1">
      <c r="A1042" s="2" t="s">
        <v>2316</v>
      </c>
      <c r="B1042" s="2" t="s">
        <v>2317</v>
      </c>
      <c r="C1042" s="2" t="s">
        <v>56</v>
      </c>
      <c r="D1042" s="2" t="s">
        <v>57</v>
      </c>
      <c r="E1042" s="5">
        <v>-27883</v>
      </c>
      <c r="F1042" s="3" t="s">
        <v>2318</v>
      </c>
      <c r="G1042" s="3" t="s">
        <v>39</v>
      </c>
      <c r="H1042" s="2" t="s">
        <v>21</v>
      </c>
      <c r="I1042" s="2" t="s">
        <v>2319</v>
      </c>
      <c r="J1042" s="3" t="str">
        <f>HYPERLINK("https://www.boe.es/gazeta/dias/1823/08/28/pdfs/GMD-1823-663.pdf#page=1","Abrir facsímil")</f>
        <v>Abrir facsímil</v>
      </c>
      <c r="K1042" s="3" t="s">
        <v>23</v>
      </c>
    </row>
    <row r="1043" spans="1:11" ht="42" customHeight="1">
      <c r="A1043" s="2" t="s">
        <v>2320</v>
      </c>
      <c r="B1043" s="2" t="s">
        <v>2321</v>
      </c>
      <c r="C1043" s="2" t="s">
        <v>73</v>
      </c>
      <c r="D1043" s="2" t="s">
        <v>74</v>
      </c>
      <c r="E1043" s="5">
        <v>-28041</v>
      </c>
      <c r="F1043" s="3" t="s">
        <v>873</v>
      </c>
      <c r="G1043" s="3" t="s">
        <v>366</v>
      </c>
      <c r="H1043" s="2" t="s">
        <v>21</v>
      </c>
      <c r="I1043" s="2" t="s">
        <v>2322</v>
      </c>
      <c r="J1043" s="3" t="str">
        <f>HYPERLINK("https://www.boe.es/gazeta/dias/1823/03/23/pdfs/GMD-1823-86.pdf#page=4","Abrir facsímil")</f>
        <v>Abrir facsímil</v>
      </c>
      <c r="K1043" s="3" t="s">
        <v>23</v>
      </c>
    </row>
    <row r="1044" spans="1:11" ht="42" customHeight="1">
      <c r="A1044" s="2" t="s">
        <v>2323</v>
      </c>
      <c r="B1044" s="2" t="s">
        <v>2324</v>
      </c>
      <c r="C1044" s="2" t="s">
        <v>17</v>
      </c>
      <c r="D1044" s="2" t="s">
        <v>18</v>
      </c>
      <c r="E1044" s="5">
        <v>-28122</v>
      </c>
      <c r="F1044" s="3" t="s">
        <v>269</v>
      </c>
      <c r="G1044" s="3" t="s">
        <v>20</v>
      </c>
      <c r="H1044" s="2" t="s">
        <v>21</v>
      </c>
      <c r="I1044" s="2" t="s">
        <v>2325</v>
      </c>
      <c r="J1044" s="3" t="str">
        <f>HYPERLINK("https://www.boe.es/gazeta/dias/1823/01/01/pdfs/GMD-1823-1.pdf#page=4","Abrir facsímil")</f>
        <v>Abrir facsímil</v>
      </c>
      <c r="K1044" s="3" t="s">
        <v>23</v>
      </c>
    </row>
    <row r="1045" spans="1:11" ht="42" customHeight="1">
      <c r="A1045" s="2" t="s">
        <v>2326</v>
      </c>
      <c r="B1045" s="2" t="s">
        <v>2326</v>
      </c>
      <c r="C1045" s="2" t="s">
        <v>17</v>
      </c>
      <c r="D1045" s="2" t="s">
        <v>18</v>
      </c>
      <c r="E1045" s="5">
        <v>-28075</v>
      </c>
      <c r="F1045" s="3" t="s">
        <v>2327</v>
      </c>
      <c r="G1045" s="3" t="s">
        <v>27</v>
      </c>
      <c r="H1045" s="2" t="s">
        <v>21</v>
      </c>
      <c r="I1045" s="2" t="s">
        <v>2328</v>
      </c>
      <c r="J1045" s="3" t="str">
        <f>HYPERLINK("https://www.boe.es/gazeta/dias/1823/02/17/pdfs/GMD-1823-51.pdf#page=2","Abrir facsímil")</f>
        <v>Abrir facsímil</v>
      </c>
      <c r="K1045" s="3" t="s">
        <v>23</v>
      </c>
    </row>
    <row r="1046" spans="1:11" ht="42" customHeight="1">
      <c r="A1046" s="2" t="s">
        <v>2329</v>
      </c>
      <c r="B1046" s="2" t="s">
        <v>2329</v>
      </c>
      <c r="C1046" s="2" t="s">
        <v>56</v>
      </c>
      <c r="D1046" s="2" t="s">
        <v>57</v>
      </c>
      <c r="E1046" s="5">
        <v>-28043</v>
      </c>
      <c r="F1046" s="3" t="s">
        <v>69</v>
      </c>
      <c r="G1046" s="3" t="s">
        <v>20</v>
      </c>
      <c r="H1046" s="2" t="s">
        <v>21</v>
      </c>
      <c r="I1046" s="2" t="s">
        <v>2330</v>
      </c>
      <c r="J1046" s="3" t="str">
        <f>HYPERLINK("https://www.boe.es/gazeta/dias/1823/03/21/pdfs/GMD-1823-84.pdf#page=4","Abrir facsímil")</f>
        <v>Abrir facsímil</v>
      </c>
      <c r="K1046" s="3" t="s">
        <v>23</v>
      </c>
    </row>
    <row r="1047" spans="1:11" ht="42" customHeight="1">
      <c r="A1047" s="2" t="s">
        <v>2329</v>
      </c>
      <c r="B1047" s="2" t="s">
        <v>2329</v>
      </c>
      <c r="C1047" s="2" t="s">
        <v>17</v>
      </c>
      <c r="D1047" s="2" t="s">
        <v>18</v>
      </c>
      <c r="E1047" s="5">
        <v>-28043</v>
      </c>
      <c r="F1047" s="3" t="s">
        <v>69</v>
      </c>
      <c r="G1047" s="3" t="s">
        <v>34</v>
      </c>
      <c r="H1047" s="2" t="s">
        <v>21</v>
      </c>
      <c r="I1047" s="2" t="s">
        <v>2331</v>
      </c>
      <c r="J1047" s="3" t="str">
        <f>HYPERLINK("https://www.boe.es/gazeta/dias/1823/03/21/pdfs/GMD-1823-84.pdf#page=5","Abrir facsímil")</f>
        <v>Abrir facsímil</v>
      </c>
      <c r="K1047" s="3" t="s">
        <v>23</v>
      </c>
    </row>
    <row r="1048" spans="1:11" ht="42" customHeight="1">
      <c r="A1048" s="2" t="s">
        <v>2329</v>
      </c>
      <c r="B1048" s="2" t="s">
        <v>2329</v>
      </c>
      <c r="C1048" s="2" t="s">
        <v>17</v>
      </c>
      <c r="D1048" s="2" t="s">
        <v>18</v>
      </c>
      <c r="E1048" s="5">
        <v>-28003</v>
      </c>
      <c r="F1048" s="3" t="s">
        <v>26</v>
      </c>
      <c r="G1048" s="3" t="s">
        <v>27</v>
      </c>
      <c r="H1048" s="2" t="s">
        <v>21</v>
      </c>
      <c r="I1048" s="2" t="s">
        <v>2332</v>
      </c>
      <c r="J1048" s="3" t="str">
        <f>HYPERLINK("https://www.boe.es/gazeta/dias/1823/04/30/pdfs/GES-1823-20.pdf#page=2","Abrir facsímil")</f>
        <v>Abrir facsímil</v>
      </c>
      <c r="K1048" s="3" t="s">
        <v>23</v>
      </c>
    </row>
    <row r="1049" spans="1:11" ht="42" customHeight="1">
      <c r="A1049" s="2" t="s">
        <v>2329</v>
      </c>
      <c r="B1049" s="2" t="s">
        <v>2329</v>
      </c>
      <c r="C1049" s="2" t="s">
        <v>17</v>
      </c>
      <c r="D1049" s="2" t="s">
        <v>18</v>
      </c>
      <c r="E1049" s="5">
        <v>-27933</v>
      </c>
      <c r="F1049" s="3" t="s">
        <v>1079</v>
      </c>
      <c r="G1049" s="3" t="s">
        <v>39</v>
      </c>
      <c r="H1049" s="2" t="s">
        <v>21</v>
      </c>
      <c r="I1049" s="2" t="s">
        <v>2333</v>
      </c>
      <c r="J1049" s="3" t="str">
        <f>HYPERLINK("https://www.boe.es/gazeta/dias/1823/07/09/pdfs/GES-1823-89.pdf#page=1","Abrir facsímil")</f>
        <v>Abrir facsímil</v>
      </c>
      <c r="K1049" s="3" t="s">
        <v>23</v>
      </c>
    </row>
    <row r="1050" spans="1:11" ht="42" customHeight="1">
      <c r="A1050" s="2" t="s">
        <v>2329</v>
      </c>
      <c r="B1050" s="2" t="s">
        <v>2329</v>
      </c>
      <c r="C1050" s="2" t="s">
        <v>56</v>
      </c>
      <c r="D1050" s="2" t="s">
        <v>57</v>
      </c>
      <c r="E1050" s="5">
        <v>-27930</v>
      </c>
      <c r="F1050" s="3" t="s">
        <v>2334</v>
      </c>
      <c r="G1050" s="3" t="s">
        <v>27</v>
      </c>
      <c r="H1050" s="2" t="s">
        <v>21</v>
      </c>
      <c r="I1050" s="2" t="s">
        <v>2335</v>
      </c>
      <c r="J1050" s="3" t="str">
        <f>HYPERLINK("https://www.boe.es/gazeta/dias/1823/07/12/pdfs/GES-1823-92.pdf#page=2","Abrir facsímil")</f>
        <v>Abrir facsímil</v>
      </c>
      <c r="K1050" s="3" t="s">
        <v>23</v>
      </c>
    </row>
    <row r="1051" spans="1:11" ht="42" customHeight="1">
      <c r="A1051" s="2" t="s">
        <v>2336</v>
      </c>
      <c r="B1051" s="2" t="s">
        <v>2337</v>
      </c>
      <c r="C1051" s="2" t="s">
        <v>17</v>
      </c>
      <c r="D1051" s="2" t="s">
        <v>18</v>
      </c>
      <c r="E1051" s="5">
        <v>-28086</v>
      </c>
      <c r="F1051" s="3" t="s">
        <v>289</v>
      </c>
      <c r="G1051" s="3" t="s">
        <v>39</v>
      </c>
      <c r="H1051" s="2" t="s">
        <v>21</v>
      </c>
      <c r="I1051" s="2" t="s">
        <v>2338</v>
      </c>
      <c r="J1051" s="3" t="str">
        <f>HYPERLINK("https://www.boe.es/gazeta/dias/1823/02/06/pdfs/GMD-1823-39.pdf#page=1","Abrir facsímil")</f>
        <v>Abrir facsímil</v>
      </c>
      <c r="K1051" s="3" t="s">
        <v>23</v>
      </c>
    </row>
    <row r="1052" spans="1:11" ht="42" customHeight="1">
      <c r="A1052" s="2" t="s">
        <v>2339</v>
      </c>
      <c r="B1052" s="2" t="s">
        <v>2340</v>
      </c>
      <c r="C1052" s="2" t="s">
        <v>79</v>
      </c>
      <c r="D1052" s="2" t="s">
        <v>74</v>
      </c>
      <c r="E1052" s="5">
        <v>-28085</v>
      </c>
      <c r="F1052" s="3" t="s">
        <v>458</v>
      </c>
      <c r="G1052" s="3" t="s">
        <v>27</v>
      </c>
      <c r="H1052" s="2" t="s">
        <v>21</v>
      </c>
      <c r="I1052" s="2" t="s">
        <v>2341</v>
      </c>
      <c r="J1052" s="3" t="str">
        <f>HYPERLINK("https://www.boe.es/gazeta/dias/1823/02/07/pdfs/GMD-1823-40.pdf#page=2","Abrir facsímil")</f>
        <v>Abrir facsímil</v>
      </c>
      <c r="K1052" s="3" t="s">
        <v>23</v>
      </c>
    </row>
    <row r="1053" spans="1:11" ht="42" customHeight="1">
      <c r="A1053" s="2" t="s">
        <v>2342</v>
      </c>
      <c r="B1053" s="2" t="s">
        <v>2343</v>
      </c>
      <c r="C1053" s="2" t="s">
        <v>17</v>
      </c>
      <c r="D1053" s="2" t="s">
        <v>18</v>
      </c>
      <c r="E1053" s="5">
        <v>-27904</v>
      </c>
      <c r="F1053" s="3" t="s">
        <v>1748</v>
      </c>
      <c r="G1053" s="3" t="s">
        <v>20</v>
      </c>
      <c r="H1053" s="2" t="s">
        <v>21</v>
      </c>
      <c r="I1053" s="2" t="s">
        <v>2344</v>
      </c>
      <c r="J1053" s="3" t="str">
        <f>HYPERLINK("https://www.boe.es/gazeta/dias/1823/08/07/pdfs/GES-1823-120.pdf#page=4","Abrir facsímil")</f>
        <v>Abrir facsímil</v>
      </c>
      <c r="K1053" s="3" t="s">
        <v>23</v>
      </c>
    </row>
    <row r="1054" spans="1:11" ht="42" customHeight="1">
      <c r="A1054" s="2" t="s">
        <v>2345</v>
      </c>
      <c r="B1054" s="2" t="s">
        <v>2346</v>
      </c>
      <c r="C1054" s="2" t="s">
        <v>17</v>
      </c>
      <c r="D1054" s="2" t="s">
        <v>18</v>
      </c>
      <c r="E1054" s="5">
        <v>-27997</v>
      </c>
      <c r="F1054" s="3" t="s">
        <v>317</v>
      </c>
      <c r="G1054" s="3" t="s">
        <v>1124</v>
      </c>
      <c r="H1054" s="2" t="s">
        <v>21</v>
      </c>
      <c r="I1054" s="2" t="s">
        <v>2347</v>
      </c>
      <c r="J1054" s="3" t="str">
        <f>HYPERLINK("https://www.boe.es/gazeta/dias/1823/05/06/pdfs/GES-1823-26.pdf#page=2","Abrir facsímil")</f>
        <v>Abrir facsímil</v>
      </c>
      <c r="K1054" s="3" t="s">
        <v>23</v>
      </c>
    </row>
    <row r="1055" spans="1:11" ht="42" customHeight="1">
      <c r="A1055" s="2" t="s">
        <v>2348</v>
      </c>
      <c r="B1055" s="2" t="s">
        <v>2349</v>
      </c>
      <c r="C1055" s="2" t="s">
        <v>17</v>
      </c>
      <c r="D1055" s="2" t="s">
        <v>18</v>
      </c>
      <c r="E1055" s="5">
        <v>-27901</v>
      </c>
      <c r="F1055" s="3" t="s">
        <v>840</v>
      </c>
      <c r="G1055" s="3" t="s">
        <v>20</v>
      </c>
      <c r="H1055" s="2" t="s">
        <v>21</v>
      </c>
      <c r="I1055" s="2" t="s">
        <v>2350</v>
      </c>
      <c r="J1055" s="3" t="str">
        <f>HYPERLINK("https://www.boe.es/gazeta/dias/1823/08/10/pdfs/GES-1823-123.pdf#page=4","Abrir facsímil")</f>
        <v>Abrir facsímil</v>
      </c>
      <c r="K1055" s="3" t="s">
        <v>23</v>
      </c>
    </row>
    <row r="1056" spans="1:11" ht="42" customHeight="1">
      <c r="A1056" s="2" t="s">
        <v>2351</v>
      </c>
      <c r="B1056" s="2" t="s">
        <v>2352</v>
      </c>
      <c r="C1056" s="2" t="s">
        <v>17</v>
      </c>
      <c r="D1056" s="2" t="s">
        <v>117</v>
      </c>
      <c r="E1056" s="5">
        <v>-27912</v>
      </c>
      <c r="F1056" s="3" t="s">
        <v>2353</v>
      </c>
      <c r="G1056" s="3" t="s">
        <v>39</v>
      </c>
      <c r="H1056" s="2" t="s">
        <v>21</v>
      </c>
      <c r="I1056" s="2" t="s">
        <v>2354</v>
      </c>
      <c r="J1056" s="3" t="str">
        <f>HYPERLINK("https://www.boe.es/gazeta/dias/1823/07/30/pdfs/GMD-1823-493E.pdf#page=1","Abrir facsímil")</f>
        <v>Abrir facsímil</v>
      </c>
      <c r="K1056" s="3" t="s">
        <v>23</v>
      </c>
    </row>
    <row r="1057" spans="1:11" ht="42" customHeight="1">
      <c r="A1057" s="2" t="s">
        <v>2355</v>
      </c>
      <c r="B1057" s="2" t="s">
        <v>2356</v>
      </c>
      <c r="C1057" s="2" t="s">
        <v>17</v>
      </c>
      <c r="D1057" s="2" t="s">
        <v>18</v>
      </c>
      <c r="E1057" s="5">
        <v>-27980</v>
      </c>
      <c r="F1057" s="3" t="s">
        <v>1068</v>
      </c>
      <c r="G1057" s="3" t="s">
        <v>20</v>
      </c>
      <c r="H1057" s="2" t="s">
        <v>21</v>
      </c>
      <c r="I1057" s="2" t="s">
        <v>2357</v>
      </c>
      <c r="J1057" s="3" t="str">
        <f>HYPERLINK("https://www.boe.es/gazeta/dias/1823/05/23/pdfs/GES-1823-44.pdf#page=4","Abrir facsímil")</f>
        <v>Abrir facsímil</v>
      </c>
      <c r="K1057" s="3" t="s">
        <v>23</v>
      </c>
    </row>
    <row r="1058" spans="1:11" ht="42" customHeight="1">
      <c r="A1058" s="2" t="s">
        <v>2358</v>
      </c>
      <c r="B1058" s="2" t="s">
        <v>2359</v>
      </c>
      <c r="C1058" s="2" t="s">
        <v>17</v>
      </c>
      <c r="D1058" s="2" t="s">
        <v>18</v>
      </c>
      <c r="E1058" s="5">
        <v>-27841</v>
      </c>
      <c r="F1058" s="3" t="s">
        <v>721</v>
      </c>
      <c r="G1058" s="3" t="s">
        <v>39</v>
      </c>
      <c r="H1058" s="2" t="s">
        <v>21</v>
      </c>
      <c r="I1058" s="2" t="s">
        <v>2360</v>
      </c>
      <c r="J1058" s="3" t="str">
        <f>HYPERLINK("https://www.boe.es/gazeta/dias/1823/10/09/pdfs/GMD-1823-953.pdf#page=1","Abrir facsímil")</f>
        <v>Abrir facsímil</v>
      </c>
      <c r="K1058" s="3" t="s">
        <v>23</v>
      </c>
    </row>
    <row r="1059" spans="1:11" ht="42" customHeight="1">
      <c r="A1059" s="2" t="s">
        <v>2361</v>
      </c>
      <c r="B1059" s="2" t="s">
        <v>2362</v>
      </c>
      <c r="C1059" s="2" t="s">
        <v>17</v>
      </c>
      <c r="D1059" s="2" t="s">
        <v>117</v>
      </c>
      <c r="E1059" s="5">
        <v>-27869</v>
      </c>
      <c r="F1059" s="3" t="s">
        <v>2363</v>
      </c>
      <c r="G1059" s="3" t="s">
        <v>39</v>
      </c>
      <c r="H1059" s="2" t="s">
        <v>21</v>
      </c>
      <c r="I1059" s="2" t="s">
        <v>2364</v>
      </c>
      <c r="J1059" s="3" t="str">
        <f>HYPERLINK("https://www.boe.es/gazeta/dias/1823/09/11/pdfs/GMD-1823-763E.pdf#page=1","Abrir facsímil")</f>
        <v>Abrir facsímil</v>
      </c>
      <c r="K1059" s="3" t="s">
        <v>23</v>
      </c>
    </row>
    <row r="1060" spans="1:11" ht="42" customHeight="1">
      <c r="A1060" s="2" t="s">
        <v>2365</v>
      </c>
      <c r="B1060" s="2" t="s">
        <v>2366</v>
      </c>
      <c r="C1060" s="2" t="s">
        <v>109</v>
      </c>
      <c r="D1060" s="2" t="s">
        <v>74</v>
      </c>
      <c r="E1060" s="5">
        <v>-27881</v>
      </c>
      <c r="F1060" s="3" t="s">
        <v>485</v>
      </c>
      <c r="G1060" s="3" t="s">
        <v>20</v>
      </c>
      <c r="H1060" s="2" t="s">
        <v>21</v>
      </c>
      <c r="I1060" s="2" t="s">
        <v>2367</v>
      </c>
      <c r="J1060" s="3" t="str">
        <f>HYPERLINK("https://www.boe.es/gazeta/dias/1823/08/30/pdfs/GES-1823-143.pdf#page=4","Abrir facsímil")</f>
        <v>Abrir facsímil</v>
      </c>
      <c r="K1060" s="3" t="s">
        <v>23</v>
      </c>
    </row>
    <row r="1061" spans="1:11" ht="42" customHeight="1">
      <c r="A1061" s="2" t="s">
        <v>2368</v>
      </c>
      <c r="B1061" s="2" t="s">
        <v>2369</v>
      </c>
      <c r="C1061" s="2" t="s">
        <v>17</v>
      </c>
      <c r="D1061" s="2" t="s">
        <v>18</v>
      </c>
      <c r="E1061" s="5">
        <v>-27984</v>
      </c>
      <c r="F1061" s="3" t="s">
        <v>335</v>
      </c>
      <c r="G1061" s="3" t="s">
        <v>27</v>
      </c>
      <c r="H1061" s="2" t="s">
        <v>28</v>
      </c>
      <c r="I1061" s="2" t="s">
        <v>2370</v>
      </c>
      <c r="J1061" s="3" t="str">
        <f>HYPERLINK("https://www.boe.es/gazeta/dias/1823/05/19/pdfs/GES-1823-39.pdf#page=2","Abrir facsímil")</f>
        <v>Abrir facsímil</v>
      </c>
      <c r="K1061" s="3" t="s">
        <v>30</v>
      </c>
    </row>
    <row r="1062" spans="1:11" ht="42" customHeight="1">
      <c r="A1062" s="2" t="s">
        <v>2371</v>
      </c>
      <c r="B1062" s="2" t="s">
        <v>2372</v>
      </c>
      <c r="C1062" s="2" t="s">
        <v>17</v>
      </c>
      <c r="D1062" s="2" t="s">
        <v>18</v>
      </c>
      <c r="E1062" s="5">
        <v>-28097</v>
      </c>
      <c r="F1062" s="3" t="s">
        <v>1368</v>
      </c>
      <c r="G1062" s="3" t="s">
        <v>27</v>
      </c>
      <c r="H1062" s="2" t="s">
        <v>21</v>
      </c>
      <c r="I1062" s="2" t="s">
        <v>2373</v>
      </c>
      <c r="J1062" s="3" t="str">
        <f>HYPERLINK("https://www.boe.es/gazeta/dias/1823/01/26/pdfs/GMD-1823-27.pdf#page=2","Abrir facsímil")</f>
        <v>Abrir facsímil</v>
      </c>
      <c r="K1062" s="3" t="s">
        <v>23</v>
      </c>
    </row>
    <row r="1063" spans="1:11" ht="42" customHeight="1">
      <c r="A1063" s="2" t="s">
        <v>2374</v>
      </c>
      <c r="B1063" s="2" t="s">
        <v>2375</v>
      </c>
      <c r="C1063" s="2" t="s">
        <v>56</v>
      </c>
      <c r="D1063" s="2" t="s">
        <v>57</v>
      </c>
      <c r="E1063" s="5">
        <v>-28116</v>
      </c>
      <c r="F1063" s="3" t="s">
        <v>134</v>
      </c>
      <c r="G1063" s="3" t="s">
        <v>59</v>
      </c>
      <c r="H1063" s="2" t="s">
        <v>21</v>
      </c>
      <c r="I1063" s="2" t="s">
        <v>2376</v>
      </c>
      <c r="J1063" s="3" t="str">
        <f>HYPERLINK("https://www.boe.es/gazeta/dias/1823/01/07/pdfs/GMD-1823-7.pdf#page=6","Abrir facsímil")</f>
        <v>Abrir facsímil</v>
      </c>
      <c r="K1063" s="3" t="s">
        <v>23</v>
      </c>
    </row>
    <row r="1064" spans="1:11" ht="42" customHeight="1">
      <c r="A1064" s="2" t="s">
        <v>2377</v>
      </c>
      <c r="B1064" s="2" t="s">
        <v>2378</v>
      </c>
      <c r="C1064" s="2" t="s">
        <v>56</v>
      </c>
      <c r="D1064" s="2" t="s">
        <v>57</v>
      </c>
      <c r="E1064" s="5">
        <v>-28038</v>
      </c>
      <c r="F1064" s="3" t="s">
        <v>2379</v>
      </c>
      <c r="G1064" s="3" t="s">
        <v>20</v>
      </c>
      <c r="H1064" s="2" t="s">
        <v>21</v>
      </c>
      <c r="I1064" s="2" t="s">
        <v>2380</v>
      </c>
      <c r="J1064" s="3" t="str">
        <f>HYPERLINK("https://www.boe.es/gazeta/dias/1823/03/26/pdfs/GMD-1823-89.pdf#page=4","Abrir facsímil")</f>
        <v>Abrir facsímil</v>
      </c>
      <c r="K1064" s="3" t="s">
        <v>23</v>
      </c>
    </row>
    <row r="1065" spans="1:11" ht="42" customHeight="1">
      <c r="A1065" s="2" t="s">
        <v>2381</v>
      </c>
      <c r="B1065" s="2" t="s">
        <v>2382</v>
      </c>
      <c r="C1065" s="2" t="s">
        <v>109</v>
      </c>
      <c r="D1065" s="2" t="s">
        <v>74</v>
      </c>
      <c r="E1065" s="5">
        <v>-27887</v>
      </c>
      <c r="F1065" s="3" t="s">
        <v>1196</v>
      </c>
      <c r="G1065" s="3" t="s">
        <v>20</v>
      </c>
      <c r="H1065" s="2" t="s">
        <v>21</v>
      </c>
      <c r="I1065" s="2" t="s">
        <v>2383</v>
      </c>
      <c r="J1065" s="3" t="str">
        <f>HYPERLINK("https://www.boe.es/gazeta/dias/1823/08/24/pdfs/GES-1823-137.pdf#page=4","Abrir facsímil")</f>
        <v>Abrir facsímil</v>
      </c>
      <c r="K1065" s="3" t="s">
        <v>23</v>
      </c>
    </row>
    <row r="1066" spans="1:11" ht="42" customHeight="1">
      <c r="A1066" s="2" t="s">
        <v>2384</v>
      </c>
      <c r="B1066" s="2" t="s">
        <v>2384</v>
      </c>
      <c r="C1066" s="2" t="s">
        <v>17</v>
      </c>
      <c r="D1066" s="2" t="s">
        <v>18</v>
      </c>
      <c r="E1066" s="5">
        <v>-27924</v>
      </c>
      <c r="F1066" s="3" t="s">
        <v>2385</v>
      </c>
      <c r="G1066" s="3" t="s">
        <v>39</v>
      </c>
      <c r="H1066" s="2" t="s">
        <v>21</v>
      </c>
      <c r="I1066" s="2" t="s">
        <v>2386</v>
      </c>
      <c r="J1066" s="3" t="str">
        <f>HYPERLINK("https://www.boe.es/gazeta/dias/1823/07/18/pdfs/GES-1823-99.pdf#page=1","Abrir facsímil")</f>
        <v>Abrir facsímil</v>
      </c>
      <c r="K1066" s="3" t="s">
        <v>23</v>
      </c>
    </row>
    <row r="1067" spans="1:11" ht="42" customHeight="1">
      <c r="A1067" s="2" t="s">
        <v>2387</v>
      </c>
      <c r="B1067" s="2" t="s">
        <v>2387</v>
      </c>
      <c r="C1067" s="2" t="s">
        <v>17</v>
      </c>
      <c r="D1067" s="2" t="s">
        <v>117</v>
      </c>
      <c r="E1067" s="5">
        <v>-27886</v>
      </c>
      <c r="F1067" s="3" t="s">
        <v>2388</v>
      </c>
      <c r="G1067" s="3" t="s">
        <v>39</v>
      </c>
      <c r="H1067" s="2" t="s">
        <v>21</v>
      </c>
      <c r="I1067" s="2" t="s">
        <v>2389</v>
      </c>
      <c r="J1067" s="3" t="str">
        <f>HYPERLINK("https://www.boe.es/gazeta/dias/1823/08/25/pdfs/GMD-1823-643E.pdf#page=1","Abrir facsímil")</f>
        <v>Abrir facsímil</v>
      </c>
      <c r="K1067" s="3" t="s">
        <v>23</v>
      </c>
    </row>
    <row r="1068" spans="1:11" ht="42" customHeight="1">
      <c r="A1068" s="2" t="s">
        <v>2390</v>
      </c>
      <c r="B1068" s="2" t="s">
        <v>2391</v>
      </c>
      <c r="C1068" s="2" t="s">
        <v>17</v>
      </c>
      <c r="D1068" s="2" t="s">
        <v>18</v>
      </c>
      <c r="E1068" s="5">
        <v>-27970</v>
      </c>
      <c r="F1068" s="3" t="s">
        <v>1030</v>
      </c>
      <c r="G1068" s="3" t="s">
        <v>20</v>
      </c>
      <c r="H1068" s="2" t="s">
        <v>21</v>
      </c>
      <c r="I1068" s="2" t="s">
        <v>2392</v>
      </c>
      <c r="J1068" s="3" t="str">
        <f>HYPERLINK("https://www.boe.es/gazeta/dias/1823/06/02/pdfs/GES-1823-56.pdf#page=4","Abrir facsímil")</f>
        <v>Abrir facsímil</v>
      </c>
      <c r="K1068" s="3" t="s">
        <v>23</v>
      </c>
    </row>
    <row r="1069" spans="1:11" ht="42" customHeight="1">
      <c r="A1069" s="2" t="s">
        <v>2393</v>
      </c>
      <c r="B1069" s="2" t="s">
        <v>2394</v>
      </c>
      <c r="C1069" s="2" t="s">
        <v>109</v>
      </c>
      <c r="D1069" s="2" t="s">
        <v>74</v>
      </c>
      <c r="E1069" s="5">
        <v>-27981</v>
      </c>
      <c r="F1069" s="3" t="s">
        <v>1521</v>
      </c>
      <c r="G1069" s="3" t="s">
        <v>2395</v>
      </c>
      <c r="H1069" s="2" t="s">
        <v>21</v>
      </c>
      <c r="I1069" s="2" t="s">
        <v>2396</v>
      </c>
      <c r="J1069" s="3" t="str">
        <f>HYPERLINK("https://www.boe.es/gazeta/dias/1823/05/22/pdfs/GES-1823-43.pdf#page=2","Abrir facsímil")</f>
        <v>Abrir facsímil</v>
      </c>
      <c r="K1069" s="3" t="s">
        <v>23</v>
      </c>
    </row>
    <row r="1070" spans="1:11" ht="42" customHeight="1">
      <c r="A1070" s="2" t="s">
        <v>2397</v>
      </c>
      <c r="B1070" s="2" t="s">
        <v>2398</v>
      </c>
      <c r="C1070" s="2" t="s">
        <v>17</v>
      </c>
      <c r="D1070" s="2" t="s">
        <v>18</v>
      </c>
      <c r="E1070" s="5">
        <v>-27906</v>
      </c>
      <c r="F1070" s="3" t="s">
        <v>241</v>
      </c>
      <c r="G1070" s="3" t="s">
        <v>48</v>
      </c>
      <c r="H1070" s="2" t="s">
        <v>21</v>
      </c>
      <c r="I1070" s="2" t="s">
        <v>2399</v>
      </c>
      <c r="J1070" s="3" t="str">
        <f>HYPERLINK("https://www.boe.es/gazeta/dias/1823/08/05/pdfs/GES-1823-117.pdf#page=3","Abrir facsímil")</f>
        <v>Abrir facsímil</v>
      </c>
      <c r="K1070" s="3" t="s">
        <v>23</v>
      </c>
    </row>
    <row r="1071" spans="1:11" ht="42" customHeight="1">
      <c r="A1071" s="2" t="s">
        <v>2400</v>
      </c>
      <c r="B1071" s="2" t="s">
        <v>2401</v>
      </c>
      <c r="C1071" s="2" t="s">
        <v>17</v>
      </c>
      <c r="D1071" s="2" t="s">
        <v>18</v>
      </c>
      <c r="E1071" s="5">
        <v>-28038</v>
      </c>
      <c r="F1071" s="3" t="s">
        <v>2379</v>
      </c>
      <c r="G1071" s="3" t="s">
        <v>20</v>
      </c>
      <c r="H1071" s="2" t="s">
        <v>21</v>
      </c>
      <c r="I1071" s="2" t="s">
        <v>2402</v>
      </c>
      <c r="J1071" s="3" t="str">
        <f>HYPERLINK("https://www.boe.es/gazeta/dias/1823/03/26/pdfs/GMD-1823-89.pdf#page=4","Abrir facsímil")</f>
        <v>Abrir facsímil</v>
      </c>
      <c r="K1071" s="3" t="s">
        <v>23</v>
      </c>
    </row>
    <row r="1072" spans="1:11" ht="42" customHeight="1">
      <c r="A1072" s="2" t="s">
        <v>2400</v>
      </c>
      <c r="B1072" s="2" t="s">
        <v>2401</v>
      </c>
      <c r="C1072" s="2" t="s">
        <v>56</v>
      </c>
      <c r="D1072" s="2" t="s">
        <v>57</v>
      </c>
      <c r="E1072" s="5">
        <v>-28032</v>
      </c>
      <c r="F1072" s="3" t="s">
        <v>668</v>
      </c>
      <c r="G1072" s="3" t="s">
        <v>20</v>
      </c>
      <c r="H1072" s="2" t="s">
        <v>21</v>
      </c>
      <c r="I1072" s="2" t="s">
        <v>2403</v>
      </c>
      <c r="J1072" s="3" t="str">
        <f>HYPERLINK("https://www.boe.es/gazeta/dias/1823/04/01/pdfs/GMD-1823-95.pdf#page=4","Abrir facsímil")</f>
        <v>Abrir facsímil</v>
      </c>
      <c r="K1072" s="3" t="s">
        <v>23</v>
      </c>
    </row>
    <row r="1073" spans="1:11" ht="42" customHeight="1">
      <c r="A1073" s="2" t="s">
        <v>2404</v>
      </c>
      <c r="B1073" s="2" t="s">
        <v>2405</v>
      </c>
      <c r="C1073" s="2" t="s">
        <v>17</v>
      </c>
      <c r="D1073" s="2" t="s">
        <v>18</v>
      </c>
      <c r="E1073" s="5">
        <v>-27904</v>
      </c>
      <c r="F1073" s="3" t="s">
        <v>1227</v>
      </c>
      <c r="G1073" s="3" t="s">
        <v>34</v>
      </c>
      <c r="H1073" s="2" t="s">
        <v>21</v>
      </c>
      <c r="I1073" s="2" t="s">
        <v>2406</v>
      </c>
      <c r="J1073" s="3" t="str">
        <f>HYPERLINK("https://www.boe.es/gazeta/dias/1823/08/07/pdfs/GMD-1823-543.pdf#page=5","Abrir facsímil")</f>
        <v>Abrir facsímil</v>
      </c>
      <c r="K1073" s="3" t="s">
        <v>23</v>
      </c>
    </row>
    <row r="1074" spans="1:11" ht="42" customHeight="1">
      <c r="A1074" s="2" t="s">
        <v>2407</v>
      </c>
      <c r="B1074" s="2" t="s">
        <v>2408</v>
      </c>
      <c r="C1074" s="2" t="s">
        <v>17</v>
      </c>
      <c r="D1074" s="2" t="s">
        <v>18</v>
      </c>
      <c r="E1074" s="5">
        <v>-27927</v>
      </c>
      <c r="F1074" s="3" t="s">
        <v>2409</v>
      </c>
      <c r="G1074" s="3" t="s">
        <v>39</v>
      </c>
      <c r="H1074" s="2" t="s">
        <v>21</v>
      </c>
      <c r="I1074" s="2" t="s">
        <v>2410</v>
      </c>
      <c r="J1074" s="3" t="str">
        <f>HYPERLINK("https://www.boe.es/gazeta/dias/1823/07/15/pdfs/GMD-1823-403.pdf#page=1","Abrir facsímil")</f>
        <v>Abrir facsímil</v>
      </c>
      <c r="K1074" s="3" t="s">
        <v>23</v>
      </c>
    </row>
    <row r="1075" spans="1:11" ht="42" customHeight="1">
      <c r="A1075" s="2" t="s">
        <v>2411</v>
      </c>
      <c r="B1075" s="2" t="s">
        <v>2412</v>
      </c>
      <c r="C1075" s="2" t="s">
        <v>17</v>
      </c>
      <c r="D1075" s="2" t="s">
        <v>18</v>
      </c>
      <c r="E1075" s="5">
        <v>-28078</v>
      </c>
      <c r="F1075" s="3" t="s">
        <v>508</v>
      </c>
      <c r="G1075" s="3" t="s">
        <v>59</v>
      </c>
      <c r="H1075" s="2" t="s">
        <v>21</v>
      </c>
      <c r="I1075" s="2" t="s">
        <v>2413</v>
      </c>
      <c r="J1075" s="3" t="str">
        <f>HYPERLINK("https://www.boe.es/gazeta/dias/1823/02/14/pdfs/GMD-1823-48.pdf#page=6","Abrir facsímil")</f>
        <v>Abrir facsímil</v>
      </c>
      <c r="K1075" s="3" t="s">
        <v>23</v>
      </c>
    </row>
    <row r="1076" spans="1:11" ht="42" customHeight="1">
      <c r="A1076" s="2" t="s">
        <v>2411</v>
      </c>
      <c r="B1076" s="2" t="s">
        <v>2412</v>
      </c>
      <c r="C1076" s="2" t="s">
        <v>73</v>
      </c>
      <c r="D1076" s="2" t="s">
        <v>74</v>
      </c>
      <c r="E1076" s="5">
        <v>-28064</v>
      </c>
      <c r="F1076" s="3" t="s">
        <v>1190</v>
      </c>
      <c r="G1076" s="3" t="s">
        <v>20</v>
      </c>
      <c r="H1076" s="2" t="s">
        <v>21</v>
      </c>
      <c r="I1076" s="2" t="s">
        <v>2414</v>
      </c>
      <c r="J1076" s="3" t="str">
        <f>HYPERLINK("https://www.boe.es/gazeta/dias/1823/02/28/pdfs/GMD-1823-62.pdf#page=4","Abrir facsímil")</f>
        <v>Abrir facsímil</v>
      </c>
      <c r="K1076" s="3" t="s">
        <v>23</v>
      </c>
    </row>
    <row r="1077" spans="1:11" ht="42" customHeight="1">
      <c r="A1077" s="2" t="s">
        <v>2411</v>
      </c>
      <c r="B1077" s="2" t="s">
        <v>2412</v>
      </c>
      <c r="C1077" s="2" t="s">
        <v>17</v>
      </c>
      <c r="D1077" s="2" t="s">
        <v>18</v>
      </c>
      <c r="E1077" s="5">
        <v>-28056</v>
      </c>
      <c r="F1077" s="3" t="s">
        <v>572</v>
      </c>
      <c r="G1077" s="3" t="s">
        <v>59</v>
      </c>
      <c r="H1077" s="2" t="s">
        <v>21</v>
      </c>
      <c r="I1077" s="2" t="s">
        <v>2415</v>
      </c>
      <c r="J1077" s="3" t="str">
        <f>HYPERLINK("https://www.boe.es/gazeta/dias/1823/03/08/pdfs/GMD-1823-71.pdf#page=6","Abrir facsímil")</f>
        <v>Abrir facsímil</v>
      </c>
      <c r="K1077" s="3" t="s">
        <v>23</v>
      </c>
    </row>
    <row r="1078" spans="1:11" ht="42" customHeight="1">
      <c r="A1078" s="2" t="s">
        <v>2411</v>
      </c>
      <c r="B1078" s="2" t="s">
        <v>2412</v>
      </c>
      <c r="C1078" s="2" t="s">
        <v>73</v>
      </c>
      <c r="D1078" s="2" t="s">
        <v>74</v>
      </c>
      <c r="E1078" s="5">
        <v>-28011</v>
      </c>
      <c r="F1078" s="3" t="s">
        <v>2416</v>
      </c>
      <c r="G1078" s="3" t="s">
        <v>1966</v>
      </c>
      <c r="H1078" s="2" t="s">
        <v>21</v>
      </c>
      <c r="I1078" s="2" t="s">
        <v>2417</v>
      </c>
      <c r="J1078" s="3" t="str">
        <f>HYPERLINK("https://www.boe.es/gazeta/dias/1823/04/22/pdfs/GMD-1823-42.pdf#page=4","Abrir facsímil")</f>
        <v>Abrir facsímil</v>
      </c>
      <c r="K1078" s="3" t="s">
        <v>23</v>
      </c>
    </row>
    <row r="1079" spans="1:11" ht="42" customHeight="1">
      <c r="A1079" s="2" t="s">
        <v>2418</v>
      </c>
      <c r="B1079" s="2" t="s">
        <v>2419</v>
      </c>
      <c r="C1079" s="2" t="s">
        <v>17</v>
      </c>
      <c r="D1079" s="2" t="s">
        <v>18</v>
      </c>
      <c r="E1079" s="5">
        <v>-28060</v>
      </c>
      <c r="F1079" s="3" t="s">
        <v>180</v>
      </c>
      <c r="G1079" s="3" t="s">
        <v>181</v>
      </c>
      <c r="H1079" s="2" t="s">
        <v>21</v>
      </c>
      <c r="I1079" s="2" t="s">
        <v>2420</v>
      </c>
      <c r="J1079" s="3" t="str">
        <f>HYPERLINK("https://www.boe.es/gazeta/dias/1823/03/04/pdfs/GMD-1823-67.pdf#page=6","Abrir facsímil")</f>
        <v>Abrir facsímil</v>
      </c>
      <c r="K1079" s="3" t="s">
        <v>23</v>
      </c>
    </row>
    <row r="1080" spans="1:11" ht="42" customHeight="1">
      <c r="A1080" s="2" t="s">
        <v>2421</v>
      </c>
      <c r="B1080" s="2" t="s">
        <v>2422</v>
      </c>
      <c r="C1080" s="2" t="s">
        <v>17</v>
      </c>
      <c r="D1080" s="2" t="s">
        <v>18</v>
      </c>
      <c r="E1080" s="5">
        <v>-27927</v>
      </c>
      <c r="F1080" s="3" t="s">
        <v>2409</v>
      </c>
      <c r="G1080" s="3" t="s">
        <v>48</v>
      </c>
      <c r="H1080" s="2" t="s">
        <v>21</v>
      </c>
      <c r="I1080" s="2" t="s">
        <v>2423</v>
      </c>
      <c r="J1080" s="3" t="str">
        <f>HYPERLINK("https://www.boe.es/gazeta/dias/1823/07/15/pdfs/GMD-1823-403.pdf#page=3","Abrir facsímil")</f>
        <v>Abrir facsímil</v>
      </c>
      <c r="K1080" s="3" t="s">
        <v>23</v>
      </c>
    </row>
    <row r="1081" spans="1:11" ht="42" customHeight="1">
      <c r="A1081" s="2" t="s">
        <v>2424</v>
      </c>
      <c r="B1081" s="2" t="s">
        <v>2424</v>
      </c>
      <c r="C1081" s="2" t="s">
        <v>17</v>
      </c>
      <c r="D1081" s="2" t="s">
        <v>18</v>
      </c>
      <c r="E1081" s="5">
        <v>-27839</v>
      </c>
      <c r="F1081" s="3" t="s">
        <v>263</v>
      </c>
      <c r="G1081" s="3" t="s">
        <v>27</v>
      </c>
      <c r="H1081" s="2" t="s">
        <v>21</v>
      </c>
      <c r="I1081" s="2" t="s">
        <v>2425</v>
      </c>
      <c r="J1081" s="3" t="str">
        <f>HYPERLINK("https://www.boe.es/gazeta/dias/1823/10/11/pdfs/GMD-1823-963.pdf#page=2","Abrir facsímil")</f>
        <v>Abrir facsímil</v>
      </c>
      <c r="K1081" s="3" t="s">
        <v>23</v>
      </c>
    </row>
    <row r="1082" spans="1:11" ht="42" customHeight="1">
      <c r="A1082" s="2" t="s">
        <v>2426</v>
      </c>
      <c r="B1082" s="2" t="s">
        <v>2427</v>
      </c>
      <c r="C1082" s="2" t="s">
        <v>17</v>
      </c>
      <c r="D1082" s="2" t="s">
        <v>18</v>
      </c>
      <c r="E1082" s="5">
        <v>-27879</v>
      </c>
      <c r="F1082" s="3" t="s">
        <v>638</v>
      </c>
      <c r="G1082" s="3" t="s">
        <v>27</v>
      </c>
      <c r="H1082" s="2" t="s">
        <v>21</v>
      </c>
      <c r="I1082" s="2" t="s">
        <v>2428</v>
      </c>
      <c r="J1082" s="3" t="str">
        <f>HYPERLINK("https://www.boe.es/gazeta/dias/1823/09/01/pdfs/GES-1823-145.pdf#page=2","Abrir facsímil")</f>
        <v>Abrir facsímil</v>
      </c>
      <c r="K1082" s="3" t="s">
        <v>23</v>
      </c>
    </row>
    <row r="1083" spans="1:11" ht="42" customHeight="1">
      <c r="A1083" s="2" t="s">
        <v>2429</v>
      </c>
      <c r="B1083" s="2" t="s">
        <v>2430</v>
      </c>
      <c r="C1083" s="2" t="s">
        <v>73</v>
      </c>
      <c r="D1083" s="2" t="s">
        <v>74</v>
      </c>
      <c r="E1083" s="5">
        <v>-28094</v>
      </c>
      <c r="F1083" s="3" t="s">
        <v>93</v>
      </c>
      <c r="G1083" s="3" t="s">
        <v>27</v>
      </c>
      <c r="H1083" s="2" t="s">
        <v>28</v>
      </c>
      <c r="I1083" s="2" t="s">
        <v>2431</v>
      </c>
      <c r="J1083" s="3" t="str">
        <f>HYPERLINK("https://www.boe.es/gazeta/dias/1823/01/29/pdfs/GMD-1823-30.pdf#page=2","Abrir facsímil")</f>
        <v>Abrir facsímil</v>
      </c>
      <c r="K1083" s="3" t="s">
        <v>30</v>
      </c>
    </row>
    <row r="1084" spans="1:11" ht="42" customHeight="1">
      <c r="A1084" s="2" t="s">
        <v>2432</v>
      </c>
      <c r="B1084" s="2" t="s">
        <v>2433</v>
      </c>
      <c r="C1084" s="2" t="s">
        <v>56</v>
      </c>
      <c r="D1084" s="2" t="s">
        <v>57</v>
      </c>
      <c r="E1084" s="5">
        <v>-27841</v>
      </c>
      <c r="F1084" s="3" t="s">
        <v>721</v>
      </c>
      <c r="G1084" s="3" t="s">
        <v>20</v>
      </c>
      <c r="H1084" s="2" t="s">
        <v>21</v>
      </c>
      <c r="I1084" s="2" t="s">
        <v>2434</v>
      </c>
      <c r="J1084" s="3" t="str">
        <f>HYPERLINK("https://www.boe.es/gazeta/dias/1823/10/09/pdfs/GMD-1823-953.pdf#page=4","Abrir facsímil")</f>
        <v>Abrir facsímil</v>
      </c>
      <c r="K1084" s="3" t="s">
        <v>23</v>
      </c>
    </row>
    <row r="1085" spans="1:11" ht="42" customHeight="1">
      <c r="A1085" s="2" t="s">
        <v>2435</v>
      </c>
      <c r="B1085" s="2" t="s">
        <v>2436</v>
      </c>
      <c r="C1085" s="2" t="s">
        <v>17</v>
      </c>
      <c r="D1085" s="2" t="s">
        <v>18</v>
      </c>
      <c r="E1085" s="5">
        <v>-27875</v>
      </c>
      <c r="F1085" s="3" t="s">
        <v>1858</v>
      </c>
      <c r="G1085" s="3" t="s">
        <v>2437</v>
      </c>
      <c r="H1085" s="2" t="s">
        <v>21</v>
      </c>
      <c r="I1085" s="2" t="s">
        <v>2438</v>
      </c>
      <c r="J1085" s="3" t="str">
        <f>HYPERLINK("https://www.boe.es/gazeta/dias/1823/09/05/pdfs/GES-1823-149.pdf#page=2","Abrir facsímil")</f>
        <v>Abrir facsímil</v>
      </c>
      <c r="K1085" s="3" t="s">
        <v>23</v>
      </c>
    </row>
    <row r="1086" spans="1:11" ht="42" customHeight="1">
      <c r="A1086" s="2" t="s">
        <v>2439</v>
      </c>
      <c r="B1086" s="2" t="s">
        <v>2440</v>
      </c>
      <c r="C1086" s="2" t="s">
        <v>17</v>
      </c>
      <c r="D1086" s="2" t="s">
        <v>18</v>
      </c>
      <c r="E1086" s="5">
        <v>-28025</v>
      </c>
      <c r="F1086" s="3" t="s">
        <v>477</v>
      </c>
      <c r="G1086" s="3" t="s">
        <v>20</v>
      </c>
      <c r="H1086" s="2" t="s">
        <v>21</v>
      </c>
      <c r="I1086" s="2" t="s">
        <v>2441</v>
      </c>
      <c r="J1086" s="3" t="str">
        <f>HYPERLINK("https://www.boe.es/gazeta/dias/1823/04/08/pdfs/GMD-1823-103.pdf#page=4","Abrir facsímil")</f>
        <v>Abrir facsímil</v>
      </c>
      <c r="K1086" s="3" t="s">
        <v>23</v>
      </c>
    </row>
    <row r="1087" spans="1:11" ht="42" customHeight="1">
      <c r="A1087" s="2" t="s">
        <v>2442</v>
      </c>
      <c r="B1087" s="2" t="s">
        <v>2443</v>
      </c>
      <c r="C1087" s="2" t="s">
        <v>17</v>
      </c>
      <c r="D1087" s="2" t="s">
        <v>18</v>
      </c>
      <c r="E1087" s="5">
        <v>-28038</v>
      </c>
      <c r="F1087" s="3" t="s">
        <v>2379</v>
      </c>
      <c r="G1087" s="3" t="s">
        <v>20</v>
      </c>
      <c r="H1087" s="2" t="s">
        <v>21</v>
      </c>
      <c r="I1087" s="2" t="s">
        <v>2444</v>
      </c>
      <c r="J1087" s="3" t="str">
        <f>HYPERLINK("https://www.boe.es/gazeta/dias/1823/03/26/pdfs/GMD-1823-89.pdf#page=4","Abrir facsímil")</f>
        <v>Abrir facsímil</v>
      </c>
      <c r="K1087" s="3" t="s">
        <v>23</v>
      </c>
    </row>
    <row r="1088" spans="1:11" ht="42" customHeight="1">
      <c r="A1088" s="2" t="s">
        <v>2442</v>
      </c>
      <c r="B1088" s="2" t="s">
        <v>2443</v>
      </c>
      <c r="C1088" s="2" t="s">
        <v>17</v>
      </c>
      <c r="D1088" s="2" t="s">
        <v>18</v>
      </c>
      <c r="E1088" s="5">
        <v>-27897</v>
      </c>
      <c r="F1088" s="3" t="s">
        <v>1569</v>
      </c>
      <c r="G1088" s="3" t="s">
        <v>20</v>
      </c>
      <c r="H1088" s="2" t="s">
        <v>21</v>
      </c>
      <c r="I1088" s="2" t="s">
        <v>2445</v>
      </c>
      <c r="J1088" s="3" t="str">
        <f>HYPERLINK("https://www.boe.es/gazeta/dias/1823/08/14/pdfs/GMD-1823-593.pdf#page=4","Abrir facsímil")</f>
        <v>Abrir facsímil</v>
      </c>
      <c r="K1088" s="3" t="s">
        <v>23</v>
      </c>
    </row>
    <row r="1089" spans="1:11" ht="42" customHeight="1">
      <c r="A1089" s="2" t="s">
        <v>2446</v>
      </c>
      <c r="B1089" s="2" t="s">
        <v>2447</v>
      </c>
      <c r="C1089" s="2" t="s">
        <v>17</v>
      </c>
      <c r="D1089" s="2" t="s">
        <v>18</v>
      </c>
      <c r="E1089" s="5">
        <v>-28021</v>
      </c>
      <c r="F1089" s="3" t="s">
        <v>1054</v>
      </c>
      <c r="G1089" s="3" t="s">
        <v>1055</v>
      </c>
      <c r="H1089" s="2" t="s">
        <v>21</v>
      </c>
      <c r="I1089" s="2" t="s">
        <v>2448</v>
      </c>
      <c r="J1089" s="3" t="str">
        <f>HYPERLINK("https://www.boe.es/gazeta/dias/1823/04/12/pdfs/GMD-1823-107.pdf#page=4","Abrir facsímil")</f>
        <v>Abrir facsímil</v>
      </c>
      <c r="K1089" s="3" t="s">
        <v>23</v>
      </c>
    </row>
    <row r="1090" spans="1:11" ht="42" customHeight="1">
      <c r="A1090" s="2" t="s">
        <v>2449</v>
      </c>
      <c r="B1090" s="2" t="s">
        <v>2450</v>
      </c>
      <c r="C1090" s="2" t="s">
        <v>73</v>
      </c>
      <c r="D1090" s="2" t="s">
        <v>74</v>
      </c>
      <c r="E1090" s="5">
        <v>-28104</v>
      </c>
      <c r="F1090" s="3" t="s">
        <v>114</v>
      </c>
      <c r="G1090" s="3" t="s">
        <v>34</v>
      </c>
      <c r="H1090" s="2" t="s">
        <v>21</v>
      </c>
      <c r="I1090" s="2" t="s">
        <v>2451</v>
      </c>
      <c r="J1090" s="3" t="str">
        <f>HYPERLINK("https://www.boe.es/gazeta/dias/1823/01/19/pdfs/GMD-1823-19.pdf#page=5","Abrir facsímil")</f>
        <v>Abrir facsímil</v>
      </c>
      <c r="K1090" s="3" t="s">
        <v>23</v>
      </c>
    </row>
    <row r="1091" spans="1:11" ht="42" customHeight="1">
      <c r="A1091" s="2" t="s">
        <v>2452</v>
      </c>
      <c r="B1091" s="2" t="s">
        <v>2452</v>
      </c>
      <c r="C1091" s="2" t="s">
        <v>17</v>
      </c>
      <c r="D1091" s="2" t="s">
        <v>18</v>
      </c>
      <c r="E1091" s="5">
        <v>-27889</v>
      </c>
      <c r="F1091" s="3" t="s">
        <v>1306</v>
      </c>
      <c r="G1091" s="3" t="s">
        <v>39</v>
      </c>
      <c r="H1091" s="2" t="s">
        <v>21</v>
      </c>
      <c r="I1091" s="2" t="s">
        <v>2453</v>
      </c>
      <c r="J1091" s="3" t="str">
        <f>HYPERLINK("https://www.boe.es/gazeta/dias/1823/08/22/pdfs/GES-1823-135.pdf#page=1","Abrir facsímil")</f>
        <v>Abrir facsímil</v>
      </c>
      <c r="K1091" s="3" t="s">
        <v>23</v>
      </c>
    </row>
    <row r="1092" spans="1:11" ht="42" customHeight="1">
      <c r="A1092" s="2" t="s">
        <v>2454</v>
      </c>
      <c r="B1092" s="2" t="s">
        <v>2455</v>
      </c>
      <c r="C1092" s="2" t="s">
        <v>17</v>
      </c>
      <c r="D1092" s="2" t="s">
        <v>18</v>
      </c>
      <c r="E1092" s="5">
        <v>-28068</v>
      </c>
      <c r="F1092" s="3" t="s">
        <v>1325</v>
      </c>
      <c r="G1092" s="3" t="s">
        <v>27</v>
      </c>
      <c r="H1092" s="2" t="s">
        <v>21</v>
      </c>
      <c r="I1092" s="2" t="s">
        <v>2456</v>
      </c>
      <c r="J1092" s="3" t="str">
        <f>HYPERLINK("https://www.boe.es/gazeta/dias/1823/02/24/pdfs/GMD-1823-58.pdf#page=2","Abrir facsímil")</f>
        <v>Abrir facsímil</v>
      </c>
      <c r="K1092" s="3" t="s">
        <v>23</v>
      </c>
    </row>
    <row r="1093" spans="1:11" ht="42" customHeight="1">
      <c r="A1093" s="2" t="s">
        <v>2457</v>
      </c>
      <c r="B1093" s="2" t="s">
        <v>2457</v>
      </c>
      <c r="C1093" s="2" t="s">
        <v>56</v>
      </c>
      <c r="D1093" s="2" t="s">
        <v>57</v>
      </c>
      <c r="E1093" s="5">
        <v>-27855</v>
      </c>
      <c r="F1093" s="3" t="s">
        <v>380</v>
      </c>
      <c r="G1093" s="3" t="s">
        <v>48</v>
      </c>
      <c r="H1093" s="2" t="s">
        <v>21</v>
      </c>
      <c r="I1093" s="2" t="s">
        <v>2458</v>
      </c>
      <c r="J1093" s="3" t="str">
        <f>HYPERLINK("https://www.boe.es/gazeta/dias/1823/09/25/pdfs/GMD-1823-853.pdf#page=3","Abrir facsímil")</f>
        <v>Abrir facsímil</v>
      </c>
      <c r="K1093" s="3" t="s">
        <v>23</v>
      </c>
    </row>
    <row r="1094" spans="1:11" ht="42" customHeight="1">
      <c r="A1094" s="2" t="s">
        <v>2459</v>
      </c>
      <c r="B1094" s="2" t="s">
        <v>2459</v>
      </c>
      <c r="C1094" s="2" t="s">
        <v>17</v>
      </c>
      <c r="D1094" s="2" t="s">
        <v>18</v>
      </c>
      <c r="E1094" s="5">
        <v>-28003</v>
      </c>
      <c r="F1094" s="3" t="s">
        <v>26</v>
      </c>
      <c r="G1094" s="3" t="s">
        <v>27</v>
      </c>
      <c r="H1094" s="2" t="s">
        <v>21</v>
      </c>
      <c r="I1094" s="2" t="s">
        <v>2460</v>
      </c>
      <c r="J1094" s="3" t="str">
        <f>HYPERLINK("https://www.boe.es/gazeta/dias/1823/04/30/pdfs/GES-1823-20.pdf#page=2","Abrir facsímil")</f>
        <v>Abrir facsímil</v>
      </c>
      <c r="K1094" s="3" t="s">
        <v>23</v>
      </c>
    </row>
    <row r="1095" spans="1:11" ht="42" customHeight="1">
      <c r="A1095" s="2" t="s">
        <v>2461</v>
      </c>
      <c r="B1095" s="2" t="s">
        <v>2462</v>
      </c>
      <c r="C1095" s="2" t="s">
        <v>17</v>
      </c>
      <c r="D1095" s="2" t="s">
        <v>18</v>
      </c>
      <c r="E1095" s="5">
        <v>-27902</v>
      </c>
      <c r="F1095" s="3" t="s">
        <v>259</v>
      </c>
      <c r="G1095" s="3" t="s">
        <v>39</v>
      </c>
      <c r="H1095" s="2" t="s">
        <v>28</v>
      </c>
      <c r="I1095" s="2" t="s">
        <v>2463</v>
      </c>
      <c r="J1095" s="3" t="str">
        <f>HYPERLINK("https://www.boe.es/gazeta/dias/1823/08/09/pdfs/GMD-1823-563.pdf#page=1","Abrir facsímil")</f>
        <v>Abrir facsímil</v>
      </c>
      <c r="K1095" s="3" t="s">
        <v>30</v>
      </c>
    </row>
    <row r="1096" spans="1:11" ht="42" customHeight="1">
      <c r="A1096" s="2" t="s">
        <v>2464</v>
      </c>
      <c r="B1096" s="2" t="s">
        <v>2465</v>
      </c>
      <c r="C1096" s="2" t="s">
        <v>56</v>
      </c>
      <c r="D1096" s="2" t="s">
        <v>57</v>
      </c>
      <c r="E1096" s="5">
        <v>-28013</v>
      </c>
      <c r="F1096" s="3" t="s">
        <v>2466</v>
      </c>
      <c r="G1096" s="3" t="s">
        <v>2467</v>
      </c>
      <c r="H1096" s="2" t="s">
        <v>21</v>
      </c>
      <c r="I1096" s="2" t="s">
        <v>2468</v>
      </c>
      <c r="J1096" s="3" t="str">
        <f>HYPERLINK("https://www.boe.es/gazeta/dias/1823/04/20/pdfs/GES-1823-10.pdf#page=3","Abrir facsímil")</f>
        <v>Abrir facsímil</v>
      </c>
      <c r="K1096" s="3" t="s">
        <v>23</v>
      </c>
    </row>
    <row r="1097" spans="1:11" ht="42" customHeight="1">
      <c r="A1097" s="2" t="s">
        <v>2469</v>
      </c>
      <c r="B1097" s="2" t="s">
        <v>2470</v>
      </c>
      <c r="C1097" s="2" t="s">
        <v>109</v>
      </c>
      <c r="D1097" s="2" t="s">
        <v>74</v>
      </c>
      <c r="E1097" s="5">
        <v>-27995</v>
      </c>
      <c r="F1097" s="3" t="s">
        <v>326</v>
      </c>
      <c r="G1097" s="3" t="s">
        <v>39</v>
      </c>
      <c r="H1097" s="2" t="s">
        <v>21</v>
      </c>
      <c r="I1097" s="2" t="s">
        <v>2471</v>
      </c>
      <c r="J1097" s="3" t="str">
        <f>HYPERLINK("https://www.boe.es/gazeta/dias/1823/05/08/pdfs/GMD-1823-112.pdf#page=1","Abrir facsímil")</f>
        <v>Abrir facsímil</v>
      </c>
      <c r="K1097" s="3" t="s">
        <v>23</v>
      </c>
    </row>
    <row r="1098" spans="1:11" ht="42" customHeight="1">
      <c r="A1098" s="2" t="s">
        <v>2472</v>
      </c>
      <c r="B1098" s="2" t="s">
        <v>2472</v>
      </c>
      <c r="C1098" s="2" t="s">
        <v>17</v>
      </c>
      <c r="D1098" s="2" t="s">
        <v>117</v>
      </c>
      <c r="E1098" s="5">
        <v>-27873</v>
      </c>
      <c r="F1098" s="3" t="s">
        <v>1668</v>
      </c>
      <c r="G1098" s="3" t="s">
        <v>27</v>
      </c>
      <c r="H1098" s="2" t="s">
        <v>21</v>
      </c>
      <c r="I1098" s="2" t="s">
        <v>2473</v>
      </c>
      <c r="J1098" s="3" t="str">
        <f>HYPERLINK("https://www.boe.es/gazeta/dias/1823/09/07/pdfs/GMD-1823-72E.pdf#page=2","Abrir facsímil")</f>
        <v>Abrir facsímil</v>
      </c>
      <c r="K1098" s="3" t="s">
        <v>23</v>
      </c>
    </row>
    <row r="1099" spans="1:11" ht="42" customHeight="1">
      <c r="A1099" s="2" t="s">
        <v>2474</v>
      </c>
      <c r="B1099" s="2" t="s">
        <v>2474</v>
      </c>
      <c r="C1099" s="2" t="s">
        <v>109</v>
      </c>
      <c r="D1099" s="2" t="s">
        <v>74</v>
      </c>
      <c r="E1099" s="5">
        <v>-28074</v>
      </c>
      <c r="F1099" s="3" t="s">
        <v>212</v>
      </c>
      <c r="G1099" s="3" t="s">
        <v>296</v>
      </c>
      <c r="H1099" s="2" t="s">
        <v>21</v>
      </c>
      <c r="I1099" s="2" t="s">
        <v>2475</v>
      </c>
      <c r="J1099" s="3" t="str">
        <f>HYPERLINK("https://www.boe.es/gazeta/dias/1823/02/18/pdfs/GMD-1823-52.pdf#page=2","Abrir facsímil")</f>
        <v>Abrir facsímil</v>
      </c>
      <c r="K1099" s="3" t="s">
        <v>23</v>
      </c>
    </row>
    <row r="1100" spans="1:11" ht="42" customHeight="1">
      <c r="A1100" s="2" t="s">
        <v>2476</v>
      </c>
      <c r="B1100" s="2" t="s">
        <v>2477</v>
      </c>
      <c r="C1100" s="2" t="s">
        <v>17</v>
      </c>
      <c r="D1100" s="2" t="s">
        <v>18</v>
      </c>
      <c r="E1100" s="5">
        <v>-27853</v>
      </c>
      <c r="F1100" s="3" t="s">
        <v>539</v>
      </c>
      <c r="G1100" s="3" t="s">
        <v>27</v>
      </c>
      <c r="H1100" s="2" t="s">
        <v>21</v>
      </c>
      <c r="I1100" s="2" t="s">
        <v>2478</v>
      </c>
      <c r="J1100" s="3" t="str">
        <f>HYPERLINK("https://www.boe.es/gazeta/dias/1823/09/27/pdfs/GMD-1823-863.pdf#page=2","Abrir facsímil")</f>
        <v>Abrir facsímil</v>
      </c>
      <c r="K1100" s="3" t="s">
        <v>23</v>
      </c>
    </row>
    <row r="1101" spans="1:11" ht="42" customHeight="1">
      <c r="A1101" s="2" t="s">
        <v>2479</v>
      </c>
      <c r="B1101" s="2" t="s">
        <v>2480</v>
      </c>
      <c r="C1101" s="2" t="s">
        <v>17</v>
      </c>
      <c r="D1101" s="2" t="s">
        <v>18</v>
      </c>
      <c r="E1101" s="5">
        <v>-28037</v>
      </c>
      <c r="F1101" s="3" t="s">
        <v>192</v>
      </c>
      <c r="G1101" s="3" t="s">
        <v>39</v>
      </c>
      <c r="H1101" s="2" t="s">
        <v>21</v>
      </c>
      <c r="I1101" s="2" t="s">
        <v>2481</v>
      </c>
      <c r="J1101" s="3" t="str">
        <f>HYPERLINK("https://www.boe.es/gazeta/dias/1823/03/27/pdfs/GMD-1823-90.pdf#page=1","Abrir facsímil")</f>
        <v>Abrir facsímil</v>
      </c>
      <c r="K1101" s="3" t="s">
        <v>23</v>
      </c>
    </row>
    <row r="1102" spans="1:11" ht="42" customHeight="1">
      <c r="A1102" s="2" t="s">
        <v>2482</v>
      </c>
      <c r="B1102" s="2" t="s">
        <v>2483</v>
      </c>
      <c r="C1102" s="2" t="s">
        <v>109</v>
      </c>
      <c r="D1102" s="2" t="s">
        <v>74</v>
      </c>
      <c r="E1102" s="5">
        <v>-27946</v>
      </c>
      <c r="F1102" s="3" t="s">
        <v>1547</v>
      </c>
      <c r="G1102" s="3" t="s">
        <v>27</v>
      </c>
      <c r="H1102" s="2" t="s">
        <v>21</v>
      </c>
      <c r="I1102" s="2" t="s">
        <v>2484</v>
      </c>
      <c r="J1102" s="3" t="str">
        <f>HYPERLINK("https://www.boe.es/gazeta/dias/1823/06/26/pdfs/GMD-1823-283.pdf#page=2","Abrir facsímil")</f>
        <v>Abrir facsímil</v>
      </c>
      <c r="K1102" s="3" t="s">
        <v>23</v>
      </c>
    </row>
    <row r="1103" spans="1:11" ht="42" customHeight="1">
      <c r="A1103" s="2" t="s">
        <v>2485</v>
      </c>
      <c r="B1103" s="2" t="s">
        <v>2485</v>
      </c>
      <c r="C1103" s="2" t="s">
        <v>17</v>
      </c>
      <c r="D1103" s="2" t="s">
        <v>18</v>
      </c>
      <c r="E1103" s="5">
        <v>-27899</v>
      </c>
      <c r="F1103" s="3" t="s">
        <v>2172</v>
      </c>
      <c r="G1103" s="3" t="s">
        <v>20</v>
      </c>
      <c r="H1103" s="2" t="s">
        <v>21</v>
      </c>
      <c r="I1103" s="2" t="s">
        <v>2486</v>
      </c>
      <c r="J1103" s="3" t="str">
        <f>HYPERLINK("https://www.boe.es/gazeta/dias/1823/08/12/pdfs/GES-1823-125.pdf#page=4","Abrir facsímil")</f>
        <v>Abrir facsímil</v>
      </c>
      <c r="K1103" s="3" t="s">
        <v>23</v>
      </c>
    </row>
    <row r="1104" spans="1:11" ht="42" customHeight="1">
      <c r="A1104" s="2" t="s">
        <v>2487</v>
      </c>
      <c r="B1104" s="2" t="s">
        <v>2487</v>
      </c>
      <c r="C1104" s="2" t="s">
        <v>17</v>
      </c>
      <c r="D1104" s="2" t="s">
        <v>18</v>
      </c>
      <c r="E1104" s="5">
        <v>-28115</v>
      </c>
      <c r="F1104" s="3" t="s">
        <v>579</v>
      </c>
      <c r="G1104" s="3" t="s">
        <v>1458</v>
      </c>
      <c r="H1104" s="2" t="s">
        <v>21</v>
      </c>
      <c r="I1104" s="2" t="s">
        <v>2488</v>
      </c>
      <c r="J1104" s="3" t="str">
        <f>HYPERLINK("https://www.boe.es/gazeta/dias/1823/01/08/pdfs/GMD-1823-8.pdf#page=4","Abrir facsímil")</f>
        <v>Abrir facsímil</v>
      </c>
      <c r="K1104" s="3" t="s">
        <v>23</v>
      </c>
    </row>
    <row r="1105" spans="1:11" ht="42" customHeight="1">
      <c r="A1105" s="2" t="s">
        <v>2489</v>
      </c>
      <c r="B1105" s="2" t="s">
        <v>2490</v>
      </c>
      <c r="C1105" s="2" t="s">
        <v>56</v>
      </c>
      <c r="D1105" s="2" t="s">
        <v>57</v>
      </c>
      <c r="E1105" s="5">
        <v>-27776</v>
      </c>
      <c r="F1105" s="3" t="s">
        <v>1399</v>
      </c>
      <c r="G1105" s="3" t="s">
        <v>27</v>
      </c>
      <c r="H1105" s="2" t="s">
        <v>21</v>
      </c>
      <c r="I1105" s="2" t="s">
        <v>2491</v>
      </c>
      <c r="J1105" s="3" t="str">
        <f>HYPERLINK("https://www.boe.es/gazeta/dias/1823/12/13/pdfs/GMD-1823-1243.pdf#page=2","Abrir facsímil")</f>
        <v>Abrir facsímil</v>
      </c>
      <c r="K1105" s="3" t="s">
        <v>23</v>
      </c>
    </row>
    <row r="1106" spans="1:11" ht="42" customHeight="1">
      <c r="A1106" s="2" t="s">
        <v>2492</v>
      </c>
      <c r="B1106" s="2" t="s">
        <v>2492</v>
      </c>
      <c r="C1106" s="2" t="s">
        <v>17</v>
      </c>
      <c r="D1106" s="2" t="s">
        <v>18</v>
      </c>
      <c r="E1106" s="5">
        <v>-28063</v>
      </c>
      <c r="F1106" s="3" t="s">
        <v>2493</v>
      </c>
      <c r="G1106" s="3" t="s">
        <v>27</v>
      </c>
      <c r="H1106" s="2" t="s">
        <v>21</v>
      </c>
      <c r="I1106" s="2" t="s">
        <v>2494</v>
      </c>
      <c r="J1106" s="3" t="str">
        <f>HYPERLINK("https://www.boe.es/gazeta/dias/1823/03/01/pdfs/GMD-1823-63.pdf#page=2","Abrir facsímil")</f>
        <v>Abrir facsímil</v>
      </c>
      <c r="K1106" s="3" t="s">
        <v>23</v>
      </c>
    </row>
    <row r="1107" spans="1:11" ht="42" customHeight="1">
      <c r="A1107" s="2" t="s">
        <v>2495</v>
      </c>
      <c r="B1107" s="2" t="s">
        <v>2495</v>
      </c>
      <c r="C1107" s="2" t="s">
        <v>17</v>
      </c>
      <c r="D1107" s="2" t="s">
        <v>18</v>
      </c>
      <c r="E1107" s="5">
        <v>-28043</v>
      </c>
      <c r="F1107" s="3" t="s">
        <v>69</v>
      </c>
      <c r="G1107" s="3" t="s">
        <v>27</v>
      </c>
      <c r="H1107" s="2" t="s">
        <v>21</v>
      </c>
      <c r="I1107" s="2" t="s">
        <v>2496</v>
      </c>
      <c r="J1107" s="3" t="str">
        <f>HYPERLINK("https://www.boe.es/gazeta/dias/1823/03/21/pdfs/GMD-1823-84.pdf#page=2","Abrir facsímil")</f>
        <v>Abrir facsímil</v>
      </c>
      <c r="K1107" s="3" t="s">
        <v>23</v>
      </c>
    </row>
    <row r="1108" spans="1:11" ht="42" customHeight="1">
      <c r="A1108" s="2" t="s">
        <v>2497</v>
      </c>
      <c r="B1108" s="2" t="s">
        <v>2497</v>
      </c>
      <c r="C1108" s="2" t="s">
        <v>17</v>
      </c>
      <c r="D1108" s="2" t="s">
        <v>18</v>
      </c>
      <c r="E1108" s="5">
        <v>-28058</v>
      </c>
      <c r="F1108" s="3" t="s">
        <v>1282</v>
      </c>
      <c r="G1108" s="3" t="s">
        <v>34</v>
      </c>
      <c r="H1108" s="2" t="s">
        <v>21</v>
      </c>
      <c r="I1108" s="2" t="s">
        <v>2498</v>
      </c>
      <c r="J1108" s="3" t="str">
        <f>HYPERLINK("https://www.boe.es/gazeta/dias/1823/03/06/pdfs/GMD-1823-69.pdf#page=5","Abrir facsímil")</f>
        <v>Abrir facsímil</v>
      </c>
      <c r="K1108" s="3" t="s">
        <v>23</v>
      </c>
    </row>
    <row r="1109" spans="1:11" ht="42" customHeight="1">
      <c r="A1109" s="2" t="s">
        <v>2499</v>
      </c>
      <c r="B1109" s="2" t="s">
        <v>2499</v>
      </c>
      <c r="C1109" s="2" t="s">
        <v>56</v>
      </c>
      <c r="D1109" s="2" t="s">
        <v>57</v>
      </c>
      <c r="E1109" s="5">
        <v>-28062</v>
      </c>
      <c r="F1109" s="3" t="s">
        <v>1357</v>
      </c>
      <c r="G1109" s="3" t="s">
        <v>48</v>
      </c>
      <c r="H1109" s="2" t="s">
        <v>21</v>
      </c>
      <c r="I1109" s="2" t="s">
        <v>2500</v>
      </c>
      <c r="J1109" s="3" t="str">
        <f>HYPERLINK("https://www.boe.es/gazeta/dias/1823/03/02/pdfs/GMD-1823-65.pdf#page=3","Abrir facsímil")</f>
        <v>Abrir facsímil</v>
      </c>
      <c r="K1109" s="3" t="s">
        <v>23</v>
      </c>
    </row>
    <row r="1110" spans="1:11" ht="42" customHeight="1">
      <c r="A1110" s="2" t="s">
        <v>2501</v>
      </c>
      <c r="B1110" s="2" t="s">
        <v>2502</v>
      </c>
      <c r="C1110" s="2" t="s">
        <v>79</v>
      </c>
      <c r="D1110" s="2" t="s">
        <v>74</v>
      </c>
      <c r="E1110" s="5">
        <v>-27825</v>
      </c>
      <c r="F1110" s="3" t="s">
        <v>2503</v>
      </c>
      <c r="G1110" s="3" t="s">
        <v>39</v>
      </c>
      <c r="H1110" s="2" t="s">
        <v>21</v>
      </c>
      <c r="I1110" s="2" t="s">
        <v>2504</v>
      </c>
      <c r="J1110" s="3" t="str">
        <f>HYPERLINK("https://www.boe.es/gazeta/dias/1823/10/25/pdfs/GMD-1823-1023.pdf#page=1","Abrir facsímil")</f>
        <v>Abrir facsímil</v>
      </c>
      <c r="K1110" s="3" t="s">
        <v>23</v>
      </c>
    </row>
    <row r="1111" spans="1:11" ht="42" customHeight="1">
      <c r="A1111" s="2" t="s">
        <v>2505</v>
      </c>
      <c r="B1111" s="2" t="s">
        <v>2506</v>
      </c>
      <c r="C1111" s="2" t="s">
        <v>17</v>
      </c>
      <c r="D1111" s="2" t="s">
        <v>18</v>
      </c>
      <c r="E1111" s="5">
        <v>-27981</v>
      </c>
      <c r="F1111" s="3" t="s">
        <v>1521</v>
      </c>
      <c r="G1111" s="3" t="s">
        <v>20</v>
      </c>
      <c r="H1111" s="2" t="s">
        <v>21</v>
      </c>
      <c r="I1111" s="2" t="s">
        <v>2507</v>
      </c>
      <c r="J1111" s="3" t="str">
        <f>HYPERLINK("https://www.boe.es/gazeta/dias/1823/05/22/pdfs/GES-1823-43.pdf#page=4","Abrir facsímil")</f>
        <v>Abrir facsímil</v>
      </c>
      <c r="K1111" s="3" t="s">
        <v>23</v>
      </c>
    </row>
    <row r="1112" spans="1:11" ht="42" customHeight="1">
      <c r="A1112" s="2" t="s">
        <v>2508</v>
      </c>
      <c r="B1112" s="2" t="s">
        <v>2508</v>
      </c>
      <c r="C1112" s="2" t="s">
        <v>17</v>
      </c>
      <c r="D1112" s="2" t="s">
        <v>18</v>
      </c>
      <c r="E1112" s="5">
        <v>-27965</v>
      </c>
      <c r="F1112" s="3" t="s">
        <v>208</v>
      </c>
      <c r="G1112" s="3" t="s">
        <v>34</v>
      </c>
      <c r="H1112" s="2" t="s">
        <v>21</v>
      </c>
      <c r="I1112" s="2" t="s">
        <v>2509</v>
      </c>
      <c r="J1112" s="3" t="str">
        <f>HYPERLINK("https://www.boe.es/gazeta/dias/1823/06/07/pdfs/GES-1823-61.pdf#page=5","Abrir facsímil")</f>
        <v>Abrir facsímil</v>
      </c>
      <c r="K1112" s="3" t="s">
        <v>23</v>
      </c>
    </row>
    <row r="1113" spans="1:11" ht="42" customHeight="1">
      <c r="A1113" s="2" t="s">
        <v>2510</v>
      </c>
      <c r="B1113" s="2" t="s">
        <v>2510</v>
      </c>
      <c r="C1113" s="2" t="s">
        <v>17</v>
      </c>
      <c r="D1113" s="2" t="s">
        <v>117</v>
      </c>
      <c r="E1113" s="5">
        <v>-27943</v>
      </c>
      <c r="F1113" s="3" t="s">
        <v>2511</v>
      </c>
      <c r="G1113" s="3" t="s">
        <v>39</v>
      </c>
      <c r="H1113" s="2" t="s">
        <v>21</v>
      </c>
      <c r="I1113" s="2" t="s">
        <v>2512</v>
      </c>
      <c r="J1113" s="3" t="str">
        <f>HYPERLINK("https://www.boe.es/gazeta/dias/1823/06/29/pdfs/GMD-1823-313E.pdf#page=1","Abrir facsímil")</f>
        <v>Abrir facsímil</v>
      </c>
      <c r="K1113" s="3" t="s">
        <v>23</v>
      </c>
    </row>
    <row r="1114" spans="1:11" ht="42" customHeight="1">
      <c r="A1114" s="2" t="s">
        <v>2513</v>
      </c>
      <c r="B1114" s="2" t="s">
        <v>2513</v>
      </c>
      <c r="C1114" s="2" t="s">
        <v>17</v>
      </c>
      <c r="D1114" s="2" t="s">
        <v>18</v>
      </c>
      <c r="E1114" s="5">
        <v>-27893</v>
      </c>
      <c r="F1114" s="3" t="s">
        <v>1893</v>
      </c>
      <c r="G1114" s="3" t="s">
        <v>39</v>
      </c>
      <c r="H1114" s="2" t="s">
        <v>21</v>
      </c>
      <c r="I1114" s="2" t="s">
        <v>2514</v>
      </c>
      <c r="J1114" s="3" t="str">
        <f>HYPERLINK("https://www.boe.es/gazeta/dias/1823/08/18/pdfs/GES-1823-131.pdf#page=1","Abrir facsímil")</f>
        <v>Abrir facsímil</v>
      </c>
      <c r="K1114" s="3" t="s">
        <v>23</v>
      </c>
    </row>
    <row r="1115" spans="1:11" ht="42" customHeight="1">
      <c r="A1115" s="2" t="s">
        <v>2515</v>
      </c>
      <c r="B1115" s="2" t="s">
        <v>2516</v>
      </c>
      <c r="C1115" s="2" t="s">
        <v>109</v>
      </c>
      <c r="D1115" s="2" t="s">
        <v>74</v>
      </c>
      <c r="E1115" s="5">
        <v>-28037</v>
      </c>
      <c r="F1115" s="3" t="s">
        <v>192</v>
      </c>
      <c r="G1115" s="3" t="s">
        <v>20</v>
      </c>
      <c r="H1115" s="2" t="s">
        <v>21</v>
      </c>
      <c r="I1115" s="2" t="s">
        <v>2517</v>
      </c>
      <c r="J1115" s="3" t="str">
        <f>HYPERLINK("https://www.boe.es/gazeta/dias/1823/03/27/pdfs/GMD-1823-90.pdf#page=4","Abrir facsímil")</f>
        <v>Abrir facsímil</v>
      </c>
      <c r="K1115" s="3" t="s">
        <v>23</v>
      </c>
    </row>
    <row r="1116" spans="1:11" ht="42" customHeight="1">
      <c r="A1116" s="2" t="s">
        <v>2518</v>
      </c>
      <c r="B1116" s="2" t="s">
        <v>2519</v>
      </c>
      <c r="C1116" s="2" t="s">
        <v>84</v>
      </c>
      <c r="D1116" s="2" t="s">
        <v>74</v>
      </c>
      <c r="E1116" s="5">
        <v>-27920</v>
      </c>
      <c r="F1116" s="3" t="s">
        <v>1334</v>
      </c>
      <c r="G1116" s="3" t="s">
        <v>715</v>
      </c>
      <c r="H1116" s="2" t="s">
        <v>21</v>
      </c>
      <c r="I1116" s="2" t="s">
        <v>2520</v>
      </c>
      <c r="J1116" s="3" t="str">
        <f>HYPERLINK("https://www.boe.es/gazeta/dias/1823/07/22/pdfs/GMD-1823-443.pdf#page=8","Abrir facsímil")</f>
        <v>Abrir facsímil</v>
      </c>
      <c r="K1116" s="3" t="s">
        <v>23</v>
      </c>
    </row>
    <row r="1117" spans="1:11" ht="42" customHeight="1">
      <c r="A1117" s="2" t="s">
        <v>2521</v>
      </c>
      <c r="B1117" s="2" t="s">
        <v>2522</v>
      </c>
      <c r="C1117" s="2" t="s">
        <v>79</v>
      </c>
      <c r="D1117" s="2" t="s">
        <v>74</v>
      </c>
      <c r="E1117" s="5">
        <v>-27944</v>
      </c>
      <c r="F1117" s="3" t="s">
        <v>658</v>
      </c>
      <c r="G1117" s="3" t="s">
        <v>48</v>
      </c>
      <c r="H1117" s="2" t="s">
        <v>21</v>
      </c>
      <c r="I1117" s="2" t="s">
        <v>2523</v>
      </c>
      <c r="J1117" s="3" t="str">
        <f>HYPERLINK("https://www.boe.es/gazeta/dias/1823/06/28/pdfs/GMD-1823-303.pdf#page=3","Abrir facsímil")</f>
        <v>Abrir facsímil</v>
      </c>
      <c r="K1117" s="3" t="s">
        <v>23</v>
      </c>
    </row>
    <row r="1118" spans="1:11" ht="42" customHeight="1">
      <c r="A1118" s="2" t="s">
        <v>2524</v>
      </c>
      <c r="B1118" s="2" t="s">
        <v>2524</v>
      </c>
      <c r="C1118" s="2" t="s">
        <v>79</v>
      </c>
      <c r="D1118" s="2" t="s">
        <v>74</v>
      </c>
      <c r="E1118" s="5">
        <v>-27940</v>
      </c>
      <c r="F1118" s="3" t="s">
        <v>348</v>
      </c>
      <c r="G1118" s="3" t="s">
        <v>27</v>
      </c>
      <c r="H1118" s="2" t="s">
        <v>21</v>
      </c>
      <c r="I1118" s="2" t="s">
        <v>2525</v>
      </c>
      <c r="J1118" s="3" t="str">
        <f>HYPERLINK("https://www.boe.es/gazeta/dias/1823/07/02/pdfs/GES-1823-82.pdf#page=2","Abrir facsímil")</f>
        <v>Abrir facsímil</v>
      </c>
      <c r="K1118" s="3" t="s">
        <v>23</v>
      </c>
    </row>
    <row r="1119" spans="1:11" ht="42" customHeight="1">
      <c r="A1119" s="2" t="s">
        <v>2526</v>
      </c>
      <c r="B1119" s="2" t="s">
        <v>2526</v>
      </c>
      <c r="C1119" s="2" t="s">
        <v>109</v>
      </c>
      <c r="D1119" s="2" t="s">
        <v>74</v>
      </c>
      <c r="E1119" s="5">
        <v>-27911</v>
      </c>
      <c r="F1119" s="3" t="s">
        <v>368</v>
      </c>
      <c r="G1119" s="3" t="s">
        <v>48</v>
      </c>
      <c r="H1119" s="2" t="s">
        <v>21</v>
      </c>
      <c r="I1119" s="2" t="s">
        <v>2527</v>
      </c>
      <c r="J1119" s="3" t="str">
        <f>HYPERLINK("https://www.boe.es/gazeta/dias/1823/07/31/pdfs/GES-1823-112.pdf#page=3","Abrir facsímil")</f>
        <v>Abrir facsímil</v>
      </c>
      <c r="K1119" s="3" t="s">
        <v>23</v>
      </c>
    </row>
    <row r="1120" spans="1:11" ht="42" customHeight="1">
      <c r="A1120" s="2" t="s">
        <v>2528</v>
      </c>
      <c r="B1120" s="2" t="s">
        <v>2529</v>
      </c>
      <c r="C1120" s="2" t="s">
        <v>79</v>
      </c>
      <c r="D1120" s="2" t="s">
        <v>74</v>
      </c>
      <c r="E1120" s="5">
        <v>-27920</v>
      </c>
      <c r="F1120" s="3" t="s">
        <v>1334</v>
      </c>
      <c r="G1120" s="3" t="s">
        <v>276</v>
      </c>
      <c r="H1120" s="2" t="s">
        <v>21</v>
      </c>
      <c r="I1120" s="2" t="s">
        <v>2530</v>
      </c>
      <c r="J1120" s="3" t="str">
        <f>HYPERLINK("https://www.boe.es/gazeta/dias/1823/07/22/pdfs/GMD-1823-443.pdf#page=7","Abrir facsímil")</f>
        <v>Abrir facsímil</v>
      </c>
      <c r="K1120" s="3" t="s">
        <v>23</v>
      </c>
    </row>
    <row r="1121" spans="1:11" ht="42" customHeight="1">
      <c r="A1121" s="2" t="s">
        <v>2531</v>
      </c>
      <c r="B1121" s="2" t="s">
        <v>2532</v>
      </c>
      <c r="C1121" s="2" t="s">
        <v>17</v>
      </c>
      <c r="D1121" s="2" t="s">
        <v>18</v>
      </c>
      <c r="E1121" s="5">
        <v>-28079</v>
      </c>
      <c r="F1121" s="3" t="s">
        <v>178</v>
      </c>
      <c r="G1121" s="3" t="s">
        <v>20</v>
      </c>
      <c r="H1121" s="2" t="s">
        <v>21</v>
      </c>
      <c r="I1121" s="2" t="s">
        <v>2533</v>
      </c>
      <c r="J1121" s="3" t="str">
        <f>HYPERLINK("https://www.boe.es/gazeta/dias/1823/02/13/pdfs/GMD-1823-47.pdf#page=4","Abrir facsímil")</f>
        <v>Abrir facsímil</v>
      </c>
      <c r="K1121" s="3" t="s">
        <v>23</v>
      </c>
    </row>
    <row r="1122" spans="1:11" ht="42" customHeight="1">
      <c r="A1122" s="2" t="s">
        <v>2534</v>
      </c>
      <c r="B1122" s="2" t="s">
        <v>2534</v>
      </c>
      <c r="C1122" s="2" t="s">
        <v>17</v>
      </c>
      <c r="D1122" s="2" t="s">
        <v>18</v>
      </c>
      <c r="E1122" s="5">
        <v>-27846</v>
      </c>
      <c r="F1122" s="3" t="s">
        <v>2535</v>
      </c>
      <c r="G1122" s="3" t="s">
        <v>48</v>
      </c>
      <c r="H1122" s="2" t="s">
        <v>21</v>
      </c>
      <c r="I1122" s="2" t="s">
        <v>2536</v>
      </c>
      <c r="J1122" s="3" t="str">
        <f>HYPERLINK("https://www.boe.es/gazeta/dias/1823/10/04/pdfs/GMD-1823-913.pdf#page=3","Abrir facsímil")</f>
        <v>Abrir facsímil</v>
      </c>
      <c r="K1122" s="3" t="s">
        <v>23</v>
      </c>
    </row>
    <row r="1123" spans="1:11" ht="42" customHeight="1">
      <c r="A1123" s="2" t="s">
        <v>2537</v>
      </c>
      <c r="B1123" s="2" t="s">
        <v>2538</v>
      </c>
      <c r="C1123" s="2" t="s">
        <v>17</v>
      </c>
      <c r="D1123" s="2" t="s">
        <v>117</v>
      </c>
      <c r="E1123" s="5">
        <v>-27857</v>
      </c>
      <c r="F1123" s="3" t="s">
        <v>118</v>
      </c>
      <c r="G1123" s="3" t="s">
        <v>39</v>
      </c>
      <c r="H1123" s="2" t="s">
        <v>21</v>
      </c>
      <c r="I1123" s="2" t="s">
        <v>2539</v>
      </c>
      <c r="J1123" s="3" t="str">
        <f>HYPERLINK("https://www.boe.es/gazeta/dias/1823/09/23/pdfs/GMD-1823-843E.pdf#page=1","Abrir facsímil")</f>
        <v>Abrir facsímil</v>
      </c>
      <c r="K1123" s="3" t="s">
        <v>23</v>
      </c>
    </row>
    <row r="1124" spans="1:11" ht="42" customHeight="1">
      <c r="A1124" s="2" t="s">
        <v>2540</v>
      </c>
      <c r="B1124" s="2" t="s">
        <v>2541</v>
      </c>
      <c r="C1124" s="2" t="s">
        <v>56</v>
      </c>
      <c r="D1124" s="2" t="s">
        <v>57</v>
      </c>
      <c r="E1124" s="5">
        <v>-27972</v>
      </c>
      <c r="F1124" s="3" t="s">
        <v>1515</v>
      </c>
      <c r="G1124" s="3" t="s">
        <v>39</v>
      </c>
      <c r="H1124" s="2" t="s">
        <v>21</v>
      </c>
      <c r="I1124" s="2" t="s">
        <v>2542</v>
      </c>
      <c r="J1124" s="3" t="str">
        <f>HYPERLINK("https://www.boe.es/gazeta/dias/1823/05/31/pdfs/GMD-1823-33.pdf#page=1","Abrir facsímil")</f>
        <v>Abrir facsímil</v>
      </c>
      <c r="K1124" s="3" t="s">
        <v>23</v>
      </c>
    </row>
    <row r="1125" spans="1:11" ht="42" customHeight="1">
      <c r="A1125" s="2" t="s">
        <v>2540</v>
      </c>
      <c r="B1125" s="2" t="s">
        <v>2541</v>
      </c>
      <c r="C1125" s="2" t="s">
        <v>79</v>
      </c>
      <c r="D1125" s="2" t="s">
        <v>74</v>
      </c>
      <c r="E1125" s="5">
        <v>-27967</v>
      </c>
      <c r="F1125" s="3" t="s">
        <v>2493</v>
      </c>
      <c r="G1125" s="3" t="s">
        <v>39</v>
      </c>
      <c r="H1125" s="2" t="s">
        <v>21</v>
      </c>
      <c r="I1125" s="2" t="s">
        <v>2543</v>
      </c>
      <c r="J1125" s="3" t="str">
        <f>HYPERLINK("https://www.boe.es/gazeta/dias/1823/06/05/pdfs/GMD-1823-63.pdf#page=1","Abrir facsímil")</f>
        <v>Abrir facsímil</v>
      </c>
      <c r="K1125" s="3" t="s">
        <v>23</v>
      </c>
    </row>
    <row r="1126" spans="1:11" ht="42" customHeight="1">
      <c r="A1126" s="2" t="s">
        <v>2540</v>
      </c>
      <c r="B1126" s="2" t="s">
        <v>2541</v>
      </c>
      <c r="C1126" s="2" t="s">
        <v>84</v>
      </c>
      <c r="D1126" s="2" t="s">
        <v>74</v>
      </c>
      <c r="E1126" s="5">
        <v>-27958</v>
      </c>
      <c r="F1126" s="3" t="s">
        <v>2203</v>
      </c>
      <c r="G1126" s="3" t="s">
        <v>39</v>
      </c>
      <c r="H1126" s="2" t="s">
        <v>21</v>
      </c>
      <c r="I1126" s="2" t="s">
        <v>2544</v>
      </c>
      <c r="J1126" s="3" t="str">
        <f>HYPERLINK("https://www.boe.es/gazeta/dias/1823/06/14/pdfs/GMD-1823-153.pdf#page=1","Abrir facsímil")</f>
        <v>Abrir facsímil</v>
      </c>
      <c r="K1126" s="3" t="s">
        <v>23</v>
      </c>
    </row>
    <row r="1127" spans="1:11" ht="42" customHeight="1">
      <c r="A1127" s="2" t="s">
        <v>2540</v>
      </c>
      <c r="B1127" s="2" t="s">
        <v>2541</v>
      </c>
      <c r="C1127" s="2" t="s">
        <v>79</v>
      </c>
      <c r="D1127" s="2" t="s">
        <v>74</v>
      </c>
      <c r="E1127" s="5">
        <v>-27918</v>
      </c>
      <c r="F1127" s="3" t="s">
        <v>218</v>
      </c>
      <c r="G1127" s="3" t="s">
        <v>39</v>
      </c>
      <c r="H1127" s="2" t="s">
        <v>21</v>
      </c>
      <c r="I1127" s="2" t="s">
        <v>2545</v>
      </c>
      <c r="J1127" s="3" t="str">
        <f>HYPERLINK("https://www.boe.es/gazeta/dias/1823/07/24/pdfs/GMD-1823-463.pdf#page=1","Abrir facsímil")</f>
        <v>Abrir facsímil</v>
      </c>
      <c r="K1127" s="3" t="s">
        <v>23</v>
      </c>
    </row>
    <row r="1128" spans="1:11" ht="42" customHeight="1">
      <c r="A1128" s="2" t="s">
        <v>2540</v>
      </c>
      <c r="B1128" s="2" t="s">
        <v>2541</v>
      </c>
      <c r="C1128" s="2" t="s">
        <v>79</v>
      </c>
      <c r="D1128" s="2" t="s">
        <v>74</v>
      </c>
      <c r="E1128" s="5">
        <v>-27839</v>
      </c>
      <c r="F1128" s="3" t="s">
        <v>263</v>
      </c>
      <c r="G1128" s="3" t="s">
        <v>39</v>
      </c>
      <c r="H1128" s="2" t="s">
        <v>21</v>
      </c>
      <c r="I1128" s="2" t="s">
        <v>2546</v>
      </c>
      <c r="J1128" s="3" t="str">
        <f>HYPERLINK("https://www.boe.es/gazeta/dias/1823/10/11/pdfs/GMD-1823-963.pdf#page=1","Abrir facsímil")</f>
        <v>Abrir facsímil</v>
      </c>
      <c r="K1128" s="3" t="s">
        <v>23</v>
      </c>
    </row>
    <row r="1129" spans="1:11" ht="42" customHeight="1">
      <c r="A1129" s="2" t="s">
        <v>2547</v>
      </c>
      <c r="B1129" s="2" t="s">
        <v>2548</v>
      </c>
      <c r="C1129" s="2" t="s">
        <v>17</v>
      </c>
      <c r="D1129" s="2" t="s">
        <v>18</v>
      </c>
      <c r="E1129" s="5">
        <v>-27993</v>
      </c>
      <c r="F1129" s="3" t="s">
        <v>977</v>
      </c>
      <c r="G1129" s="3" t="s">
        <v>978</v>
      </c>
      <c r="H1129" s="2" t="s">
        <v>21</v>
      </c>
      <c r="I1129" s="2" t="s">
        <v>2549</v>
      </c>
      <c r="J1129" s="3" t="str">
        <f>HYPERLINK("https://www.boe.es/gazeta/dias/1823/05/10/pdfs/GES-1823-30.pdf#page=4","Abrir facsímil")</f>
        <v>Abrir facsímil</v>
      </c>
      <c r="K1129" s="3" t="s">
        <v>23</v>
      </c>
    </row>
    <row r="1130" spans="1:11" ht="42" customHeight="1">
      <c r="A1130" s="2" t="s">
        <v>2550</v>
      </c>
      <c r="B1130" s="2" t="s">
        <v>2550</v>
      </c>
      <c r="C1130" s="2" t="s">
        <v>56</v>
      </c>
      <c r="D1130" s="2" t="s">
        <v>57</v>
      </c>
      <c r="E1130" s="5">
        <v>-27941</v>
      </c>
      <c r="F1130" s="3" t="s">
        <v>527</v>
      </c>
      <c r="G1130" s="3" t="s">
        <v>20</v>
      </c>
      <c r="H1130" s="2" t="s">
        <v>21</v>
      </c>
      <c r="I1130" s="2" t="s">
        <v>2551</v>
      </c>
      <c r="J1130" s="3" t="str">
        <f>HYPERLINK("https://www.boe.es/gazeta/dias/1823/07/01/pdfs/GES-1823-81.pdf#page=4","Abrir facsímil")</f>
        <v>Abrir facsímil</v>
      </c>
      <c r="K1130" s="3" t="s">
        <v>23</v>
      </c>
    </row>
    <row r="1131" spans="1:11" ht="42" customHeight="1">
      <c r="A1131" s="2" t="s">
        <v>2552</v>
      </c>
      <c r="B1131" s="2" t="s">
        <v>2553</v>
      </c>
      <c r="C1131" s="2" t="s">
        <v>56</v>
      </c>
      <c r="D1131" s="2" t="s">
        <v>57</v>
      </c>
      <c r="E1131" s="5">
        <v>-27874</v>
      </c>
      <c r="F1131" s="3" t="s">
        <v>1410</v>
      </c>
      <c r="G1131" s="3" t="s">
        <v>39</v>
      </c>
      <c r="H1131" s="2" t="s">
        <v>28</v>
      </c>
      <c r="I1131" s="2" t="s">
        <v>2554</v>
      </c>
      <c r="J1131" s="3" t="str">
        <f>HYPERLINK("https://www.boe.es/gazeta/dias/1823/09/06/pdfs/GES-1823-150.pdf#page=1","Abrir facsímil")</f>
        <v>Abrir facsímil</v>
      </c>
      <c r="K1131" s="3" t="s">
        <v>30</v>
      </c>
    </row>
    <row r="1132" spans="1:11" ht="42" customHeight="1">
      <c r="A1132" s="2" t="s">
        <v>2555</v>
      </c>
      <c r="B1132" s="2" t="s">
        <v>2556</v>
      </c>
      <c r="C1132" s="2" t="s">
        <v>293</v>
      </c>
      <c r="D1132" s="2" t="s">
        <v>74</v>
      </c>
      <c r="E1132" s="5">
        <v>-28032</v>
      </c>
      <c r="F1132" s="3" t="s">
        <v>668</v>
      </c>
      <c r="G1132" s="3" t="s">
        <v>20</v>
      </c>
      <c r="H1132" s="2" t="s">
        <v>28</v>
      </c>
      <c r="I1132" s="2" t="s">
        <v>2557</v>
      </c>
      <c r="J1132" s="3" t="str">
        <f>HYPERLINK("https://www.boe.es/gazeta/dias/1823/04/01/pdfs/GMD-1823-95.pdf#page=4","Abrir facsímil")</f>
        <v>Abrir facsímil</v>
      </c>
      <c r="K1132" s="3" t="s">
        <v>30</v>
      </c>
    </row>
    <row r="1133" spans="1:11" ht="42" customHeight="1">
      <c r="A1133" s="2" t="s">
        <v>2558</v>
      </c>
      <c r="B1133" s="2" t="s">
        <v>2559</v>
      </c>
      <c r="C1133" s="2" t="s">
        <v>325</v>
      </c>
      <c r="D1133" s="2" t="s">
        <v>74</v>
      </c>
      <c r="E1133" s="5">
        <v>-27920</v>
      </c>
      <c r="F1133" s="3" t="s">
        <v>1334</v>
      </c>
      <c r="G1133" s="3" t="s">
        <v>715</v>
      </c>
      <c r="H1133" s="2" t="s">
        <v>28</v>
      </c>
      <c r="I1133" s="2" t="s">
        <v>2560</v>
      </c>
      <c r="J1133" s="3" t="str">
        <f>HYPERLINK("https://www.boe.es/gazeta/dias/1823/07/22/pdfs/GMD-1823-443.pdf#page=8","Abrir facsímil")</f>
        <v>Abrir facsímil</v>
      </c>
      <c r="K1133" s="3" t="s">
        <v>30</v>
      </c>
    </row>
    <row r="1134" spans="1:11" ht="42" customHeight="1">
      <c r="A1134" s="2" t="s">
        <v>2561</v>
      </c>
      <c r="B1134" s="2" t="s">
        <v>2561</v>
      </c>
      <c r="C1134" s="2" t="s">
        <v>293</v>
      </c>
      <c r="D1134" s="2" t="s">
        <v>74</v>
      </c>
      <c r="E1134" s="5">
        <v>-28073</v>
      </c>
      <c r="F1134" s="3" t="s">
        <v>204</v>
      </c>
      <c r="G1134" s="3" t="s">
        <v>39</v>
      </c>
      <c r="H1134" s="2" t="s">
        <v>21</v>
      </c>
      <c r="I1134" s="2" t="s">
        <v>2562</v>
      </c>
      <c r="J1134" s="3" t="str">
        <f>HYPERLINK("https://www.boe.es/gazeta/dias/1823/02/19/pdfs/GMD-1823-53.pdf#page=1","Abrir facsímil")</f>
        <v>Abrir facsímil</v>
      </c>
      <c r="K1134" s="3" t="s">
        <v>23</v>
      </c>
    </row>
    <row r="1135" spans="1:11" ht="42" customHeight="1">
      <c r="A1135" s="2" t="s">
        <v>2563</v>
      </c>
      <c r="B1135" s="2" t="s">
        <v>2563</v>
      </c>
      <c r="C1135" s="2" t="s">
        <v>17</v>
      </c>
      <c r="D1135" s="2" t="s">
        <v>18</v>
      </c>
      <c r="E1135" s="5">
        <v>-27963</v>
      </c>
      <c r="F1135" s="3" t="s">
        <v>344</v>
      </c>
      <c r="G1135" s="3" t="s">
        <v>27</v>
      </c>
      <c r="H1135" s="2" t="s">
        <v>21</v>
      </c>
      <c r="I1135" s="2" t="s">
        <v>2564</v>
      </c>
      <c r="J1135" s="3" t="str">
        <f>HYPERLINK("https://www.boe.es/gazeta/dias/1823/06/09/pdfs/GES-1823-63.pdf#page=2","Abrir facsímil")</f>
        <v>Abrir facsímil</v>
      </c>
      <c r="K1135" s="3" t="s">
        <v>23</v>
      </c>
    </row>
    <row r="1136" spans="1:11" ht="42" customHeight="1">
      <c r="A1136" s="2" t="s">
        <v>2563</v>
      </c>
      <c r="B1136" s="2" t="s">
        <v>2563</v>
      </c>
      <c r="C1136" s="2" t="s">
        <v>17</v>
      </c>
      <c r="D1136" s="2" t="s">
        <v>18</v>
      </c>
      <c r="E1136" s="5">
        <v>-27948</v>
      </c>
      <c r="F1136" s="3" t="s">
        <v>959</v>
      </c>
      <c r="G1136" s="3" t="s">
        <v>20</v>
      </c>
      <c r="H1136" s="2" t="s">
        <v>21</v>
      </c>
      <c r="I1136" s="2" t="s">
        <v>2565</v>
      </c>
      <c r="J1136" s="3" t="str">
        <f>HYPERLINK("https://www.boe.es/gazeta/dias/1823/06/24/pdfs/GES-1823-72.pdf#page=4","Abrir facsímil")</f>
        <v>Abrir facsímil</v>
      </c>
      <c r="K1136" s="3" t="s">
        <v>23</v>
      </c>
    </row>
    <row r="1137" spans="1:11" ht="42" customHeight="1">
      <c r="A1137" s="2" t="s">
        <v>2563</v>
      </c>
      <c r="B1137" s="2" t="s">
        <v>2563</v>
      </c>
      <c r="C1137" s="2" t="s">
        <v>17</v>
      </c>
      <c r="D1137" s="2" t="s">
        <v>18</v>
      </c>
      <c r="E1137" s="5">
        <v>-27902</v>
      </c>
      <c r="F1137" s="3" t="s">
        <v>259</v>
      </c>
      <c r="G1137" s="3" t="s">
        <v>20</v>
      </c>
      <c r="H1137" s="2" t="s">
        <v>21</v>
      </c>
      <c r="I1137" s="2" t="s">
        <v>2566</v>
      </c>
      <c r="J1137" s="3" t="str">
        <f>HYPERLINK("https://www.boe.es/gazeta/dias/1823/08/09/pdfs/GMD-1823-563.pdf#page=4","Abrir facsímil")</f>
        <v>Abrir facsímil</v>
      </c>
      <c r="K1137" s="3" t="s">
        <v>23</v>
      </c>
    </row>
    <row r="1138" spans="1:11" ht="42" customHeight="1">
      <c r="A1138" s="2" t="s">
        <v>2567</v>
      </c>
      <c r="B1138" s="2" t="s">
        <v>2568</v>
      </c>
      <c r="C1138" s="2" t="s">
        <v>17</v>
      </c>
      <c r="D1138" s="2" t="s">
        <v>18</v>
      </c>
      <c r="E1138" s="5">
        <v>-27933</v>
      </c>
      <c r="F1138" s="3" t="s">
        <v>1079</v>
      </c>
      <c r="G1138" s="3" t="s">
        <v>48</v>
      </c>
      <c r="H1138" s="2" t="s">
        <v>21</v>
      </c>
      <c r="I1138" s="2" t="s">
        <v>2569</v>
      </c>
      <c r="J1138" s="3" t="str">
        <f>HYPERLINK("https://www.boe.es/gazeta/dias/1823/07/09/pdfs/GES-1823-89.pdf#page=3","Abrir facsímil")</f>
        <v>Abrir facsímil</v>
      </c>
      <c r="K1138" s="3" t="s">
        <v>23</v>
      </c>
    </row>
    <row r="1139" spans="1:11" ht="42" customHeight="1">
      <c r="A1139" s="2" t="s">
        <v>2570</v>
      </c>
      <c r="B1139" s="2" t="s">
        <v>2571</v>
      </c>
      <c r="C1139" s="2" t="s">
        <v>17</v>
      </c>
      <c r="D1139" s="2" t="s">
        <v>18</v>
      </c>
      <c r="E1139" s="5">
        <v>-27801</v>
      </c>
      <c r="F1139" s="3" t="s">
        <v>800</v>
      </c>
      <c r="G1139" s="3" t="s">
        <v>48</v>
      </c>
      <c r="H1139" s="2" t="s">
        <v>21</v>
      </c>
      <c r="I1139" s="2" t="s">
        <v>2572</v>
      </c>
      <c r="J1139" s="3" t="str">
        <f>HYPERLINK("https://www.boe.es/gazeta/dias/1823/11/18/pdfs/GMD-1823-1133.pdf#page=3","Abrir facsímil")</f>
        <v>Abrir facsímil</v>
      </c>
      <c r="K1139" s="3" t="s">
        <v>23</v>
      </c>
    </row>
    <row r="1140" spans="1:11" ht="42" customHeight="1">
      <c r="A1140" s="2" t="s">
        <v>2573</v>
      </c>
      <c r="B1140" s="2" t="s">
        <v>2574</v>
      </c>
      <c r="C1140" s="2" t="s">
        <v>17</v>
      </c>
      <c r="D1140" s="2" t="s">
        <v>18</v>
      </c>
      <c r="E1140" s="5">
        <v>-28053</v>
      </c>
      <c r="F1140" s="3" t="s">
        <v>303</v>
      </c>
      <c r="G1140" s="3" t="s">
        <v>20</v>
      </c>
      <c r="H1140" s="2" t="s">
        <v>21</v>
      </c>
      <c r="I1140" s="2" t="s">
        <v>2575</v>
      </c>
      <c r="J1140" s="3" t="str">
        <f>HYPERLINK("https://www.boe.es/gazeta/dias/1823/03/11/pdfs/GMD-1823-74.pdf#page=4","Abrir facsímil")</f>
        <v>Abrir facsímil</v>
      </c>
      <c r="K1140" s="3" t="s">
        <v>23</v>
      </c>
    </row>
    <row r="1141" spans="1:11" ht="42" customHeight="1">
      <c r="A1141" s="2" t="s">
        <v>2576</v>
      </c>
      <c r="B1141" s="2" t="s">
        <v>2577</v>
      </c>
      <c r="C1141" s="2" t="s">
        <v>17</v>
      </c>
      <c r="D1141" s="2" t="s">
        <v>18</v>
      </c>
      <c r="E1141" s="5">
        <v>-28089</v>
      </c>
      <c r="F1141" s="3" t="s">
        <v>1979</v>
      </c>
      <c r="G1141" s="3" t="s">
        <v>27</v>
      </c>
      <c r="H1141" s="2" t="s">
        <v>21</v>
      </c>
      <c r="I1141" s="2" t="s">
        <v>2578</v>
      </c>
      <c r="J1141" s="3" t="str">
        <f>HYPERLINK("https://www.boe.es/gazeta/dias/1823/02/03/pdfs/GMD-1823-36.pdf#page=2","Abrir facsímil")</f>
        <v>Abrir facsímil</v>
      </c>
      <c r="K1141" s="3" t="s">
        <v>23</v>
      </c>
    </row>
    <row r="1142" spans="1:11" ht="42" customHeight="1">
      <c r="A1142" s="2" t="s">
        <v>2576</v>
      </c>
      <c r="B1142" s="2" t="s">
        <v>2577</v>
      </c>
      <c r="C1142" s="2" t="s">
        <v>17</v>
      </c>
      <c r="D1142" s="2" t="s">
        <v>18</v>
      </c>
      <c r="E1142" s="5">
        <v>-28081</v>
      </c>
      <c r="F1142" s="3" t="s">
        <v>170</v>
      </c>
      <c r="G1142" s="3" t="s">
        <v>20</v>
      </c>
      <c r="H1142" s="2" t="s">
        <v>21</v>
      </c>
      <c r="I1142" s="2" t="s">
        <v>2579</v>
      </c>
      <c r="J1142" s="3" t="str">
        <f>HYPERLINK("https://www.boe.es/gazeta/dias/1823/02/11/pdfs/GMD-1823-45.pdf#page=4","Abrir facsímil")</f>
        <v>Abrir facsímil</v>
      </c>
      <c r="K1142" s="3" t="s">
        <v>23</v>
      </c>
    </row>
    <row r="1143" spans="1:11" ht="42" customHeight="1">
      <c r="A1143" s="2" t="s">
        <v>2580</v>
      </c>
      <c r="B1143" s="2" t="s">
        <v>2580</v>
      </c>
      <c r="C1143" s="2" t="s">
        <v>17</v>
      </c>
      <c r="D1143" s="2" t="s">
        <v>18</v>
      </c>
      <c r="E1143" s="5">
        <v>-28049</v>
      </c>
      <c r="F1143" s="3" t="s">
        <v>198</v>
      </c>
      <c r="G1143" s="3" t="s">
        <v>20</v>
      </c>
      <c r="H1143" s="2" t="s">
        <v>21</v>
      </c>
      <c r="I1143" s="2" t="s">
        <v>2581</v>
      </c>
      <c r="J1143" s="3" t="str">
        <f>HYPERLINK("https://www.boe.es/gazeta/dias/1823/03/15/pdfs/GMD-1823-78.pdf#page=4","Abrir facsímil")</f>
        <v>Abrir facsímil</v>
      </c>
      <c r="K1143" s="3" t="s">
        <v>23</v>
      </c>
    </row>
    <row r="1144" spans="1:11" ht="42" customHeight="1">
      <c r="A1144" s="2" t="s">
        <v>2582</v>
      </c>
      <c r="B1144" s="2" t="s">
        <v>2583</v>
      </c>
      <c r="C1144" s="2" t="s">
        <v>293</v>
      </c>
      <c r="D1144" s="2" t="s">
        <v>74</v>
      </c>
      <c r="E1144" s="5">
        <v>-27984</v>
      </c>
      <c r="F1144" s="3" t="s">
        <v>335</v>
      </c>
      <c r="G1144" s="3" t="s">
        <v>27</v>
      </c>
      <c r="H1144" s="2" t="s">
        <v>21</v>
      </c>
      <c r="I1144" s="2" t="s">
        <v>2584</v>
      </c>
      <c r="J1144" s="3" t="str">
        <f>HYPERLINK("https://www.boe.es/gazeta/dias/1823/05/19/pdfs/GES-1823-39.pdf#page=2","Abrir facsímil")</f>
        <v>Abrir facsímil</v>
      </c>
      <c r="K1144" s="3" t="s">
        <v>23</v>
      </c>
    </row>
    <row r="1145" spans="1:11" ht="42" customHeight="1">
      <c r="A1145" s="2" t="s">
        <v>2585</v>
      </c>
      <c r="B1145" s="2" t="s">
        <v>2585</v>
      </c>
      <c r="C1145" s="2" t="s">
        <v>73</v>
      </c>
      <c r="D1145" s="2" t="s">
        <v>74</v>
      </c>
      <c r="E1145" s="5">
        <v>-27892</v>
      </c>
      <c r="F1145" s="3" t="s">
        <v>1571</v>
      </c>
      <c r="G1145" s="3" t="s">
        <v>39</v>
      </c>
      <c r="H1145" s="2" t="s">
        <v>21</v>
      </c>
      <c r="I1145" s="2" t="s">
        <v>2586</v>
      </c>
      <c r="J1145" s="3" t="str">
        <f>HYPERLINK("https://www.boe.es/gazeta/dias/1823/08/19/pdfs/GMD-1823-613.pdf#page=1","Abrir facsímil")</f>
        <v>Abrir facsímil</v>
      </c>
      <c r="K1145" s="3" t="s">
        <v>23</v>
      </c>
    </row>
    <row r="1146" spans="1:11" ht="42" customHeight="1">
      <c r="A1146" s="2" t="s">
        <v>2587</v>
      </c>
      <c r="B1146" s="2" t="s">
        <v>2588</v>
      </c>
      <c r="C1146" s="2" t="s">
        <v>17</v>
      </c>
      <c r="D1146" s="2" t="s">
        <v>18</v>
      </c>
      <c r="E1146" s="5">
        <v>-28065</v>
      </c>
      <c r="F1146" s="3" t="s">
        <v>686</v>
      </c>
      <c r="G1146" s="3" t="s">
        <v>48</v>
      </c>
      <c r="H1146" s="2" t="s">
        <v>21</v>
      </c>
      <c r="I1146" s="2" t="s">
        <v>2589</v>
      </c>
      <c r="J1146" s="3" t="str">
        <f>HYPERLINK("https://www.boe.es/gazeta/dias/1823/02/27/pdfs/GMD-1823-61.pdf#page=3","Abrir facsímil")</f>
        <v>Abrir facsímil</v>
      </c>
      <c r="K1146" s="3" t="s">
        <v>23</v>
      </c>
    </row>
    <row r="1147" spans="1:11" ht="42" customHeight="1">
      <c r="A1147" s="2" t="s">
        <v>2590</v>
      </c>
      <c r="B1147" s="2" t="s">
        <v>2591</v>
      </c>
      <c r="C1147" s="2" t="s">
        <v>17</v>
      </c>
      <c r="D1147" s="2" t="s">
        <v>18</v>
      </c>
      <c r="E1147" s="5">
        <v>-28104</v>
      </c>
      <c r="F1147" s="3" t="s">
        <v>114</v>
      </c>
      <c r="G1147" s="3" t="s">
        <v>34</v>
      </c>
      <c r="H1147" s="2" t="s">
        <v>21</v>
      </c>
      <c r="I1147" s="2" t="s">
        <v>2592</v>
      </c>
      <c r="J1147" s="3" t="str">
        <f>HYPERLINK("https://www.boe.es/gazeta/dias/1823/01/19/pdfs/GMD-1823-19.pdf#page=5","Abrir facsímil")</f>
        <v>Abrir facsímil</v>
      </c>
      <c r="K1147" s="3" t="s">
        <v>23</v>
      </c>
    </row>
    <row r="1148" spans="1:11" ht="42" customHeight="1">
      <c r="A1148" s="2" t="s">
        <v>2593</v>
      </c>
      <c r="B1148" s="2" t="s">
        <v>2593</v>
      </c>
      <c r="C1148" s="2" t="s">
        <v>17</v>
      </c>
      <c r="D1148" s="2" t="s">
        <v>18</v>
      </c>
      <c r="E1148" s="5">
        <v>-28104</v>
      </c>
      <c r="F1148" s="3" t="s">
        <v>114</v>
      </c>
      <c r="G1148" s="3" t="s">
        <v>34</v>
      </c>
      <c r="H1148" s="2" t="s">
        <v>21</v>
      </c>
      <c r="I1148" s="2" t="s">
        <v>2594</v>
      </c>
      <c r="J1148" s="3" t="str">
        <f>HYPERLINK("https://www.boe.es/gazeta/dias/1823/01/19/pdfs/GMD-1823-19.pdf#page=5","Abrir facsímil")</f>
        <v>Abrir facsímil</v>
      </c>
      <c r="K1148" s="3" t="s">
        <v>23</v>
      </c>
    </row>
    <row r="1149" spans="1:11" ht="42" customHeight="1">
      <c r="A1149" s="2" t="s">
        <v>2595</v>
      </c>
      <c r="B1149" s="2" t="s">
        <v>2596</v>
      </c>
      <c r="C1149" s="2" t="s">
        <v>17</v>
      </c>
      <c r="D1149" s="2" t="s">
        <v>18</v>
      </c>
      <c r="E1149" s="5">
        <v>-28112</v>
      </c>
      <c r="F1149" s="3" t="s">
        <v>43</v>
      </c>
      <c r="G1149" s="3" t="s">
        <v>20</v>
      </c>
      <c r="H1149" s="2" t="s">
        <v>21</v>
      </c>
      <c r="I1149" s="2" t="s">
        <v>2597</v>
      </c>
      <c r="J1149" s="3" t="str">
        <f>HYPERLINK("https://www.boe.es/gazeta/dias/1823/01/11/pdfs/GMD-1823-11.pdf#page=4","Abrir facsímil")</f>
        <v>Abrir facsímil</v>
      </c>
      <c r="K1149" s="3" t="s">
        <v>23</v>
      </c>
    </row>
    <row r="1150" spans="1:11" ht="42" customHeight="1">
      <c r="A1150" s="2" t="s">
        <v>2595</v>
      </c>
      <c r="B1150" s="2" t="s">
        <v>2596</v>
      </c>
      <c r="C1150" s="2" t="s">
        <v>84</v>
      </c>
      <c r="D1150" s="2" t="s">
        <v>74</v>
      </c>
      <c r="E1150" s="5">
        <v>-28108</v>
      </c>
      <c r="F1150" s="3" t="s">
        <v>406</v>
      </c>
      <c r="G1150" s="3" t="s">
        <v>20</v>
      </c>
      <c r="H1150" s="2" t="s">
        <v>21</v>
      </c>
      <c r="I1150" s="2" t="s">
        <v>2598</v>
      </c>
      <c r="J1150" s="3" t="str">
        <f>HYPERLINK("https://www.boe.es/gazeta/dias/1823/01/15/pdfs/GMD-1823-15.pdf#page=4","Abrir facsímil")</f>
        <v>Abrir facsímil</v>
      </c>
      <c r="K1150" s="3" t="s">
        <v>23</v>
      </c>
    </row>
    <row r="1151" spans="1:11" ht="42" customHeight="1">
      <c r="A1151" s="2" t="s">
        <v>2599</v>
      </c>
      <c r="B1151" s="2" t="s">
        <v>2600</v>
      </c>
      <c r="C1151" s="2" t="s">
        <v>84</v>
      </c>
      <c r="D1151" s="2" t="s">
        <v>74</v>
      </c>
      <c r="E1151" s="5">
        <v>-27870</v>
      </c>
      <c r="F1151" s="3" t="s">
        <v>376</v>
      </c>
      <c r="G1151" s="3" t="s">
        <v>48</v>
      </c>
      <c r="H1151" s="2" t="s">
        <v>21</v>
      </c>
      <c r="I1151" s="2" t="s">
        <v>2601</v>
      </c>
      <c r="J1151" s="3" t="str">
        <f>HYPERLINK("https://www.boe.es/gazeta/dias/1823/09/10/pdfs/GES-1823-154.pdf#page=3","Abrir facsímil")</f>
        <v>Abrir facsímil</v>
      </c>
      <c r="K1151" s="3" t="s">
        <v>23</v>
      </c>
    </row>
    <row r="1152" spans="1:11" ht="42" customHeight="1">
      <c r="A1152" s="2" t="s">
        <v>2602</v>
      </c>
      <c r="B1152" s="2" t="s">
        <v>2603</v>
      </c>
      <c r="C1152" s="2" t="s">
        <v>17</v>
      </c>
      <c r="D1152" s="2" t="s">
        <v>18</v>
      </c>
      <c r="E1152" s="5">
        <v>-28081</v>
      </c>
      <c r="F1152" s="3" t="s">
        <v>170</v>
      </c>
      <c r="G1152" s="3" t="s">
        <v>48</v>
      </c>
      <c r="H1152" s="2" t="s">
        <v>21</v>
      </c>
      <c r="I1152" s="2" t="s">
        <v>2604</v>
      </c>
      <c r="J1152" s="3" t="str">
        <f>HYPERLINK("https://www.boe.es/gazeta/dias/1823/02/11/pdfs/GMD-1823-45.pdf#page=3","Abrir facsímil")</f>
        <v>Abrir facsímil</v>
      </c>
      <c r="K1152" s="3" t="s">
        <v>23</v>
      </c>
    </row>
    <row r="1153" spans="1:11" ht="42" customHeight="1">
      <c r="A1153" s="2" t="s">
        <v>2602</v>
      </c>
      <c r="B1153" s="2" t="s">
        <v>2603</v>
      </c>
      <c r="C1153" s="2" t="s">
        <v>17</v>
      </c>
      <c r="D1153" s="2" t="s">
        <v>18</v>
      </c>
      <c r="E1153" s="5">
        <v>-28074</v>
      </c>
      <c r="F1153" s="3" t="s">
        <v>212</v>
      </c>
      <c r="G1153" s="3" t="s">
        <v>39</v>
      </c>
      <c r="H1153" s="2" t="s">
        <v>21</v>
      </c>
      <c r="I1153" s="2" t="s">
        <v>2605</v>
      </c>
      <c r="J1153" s="3" t="str">
        <f>HYPERLINK("https://www.boe.es/gazeta/dias/1823/02/18/pdfs/GMD-1823-52.pdf#page=1","Abrir facsímil")</f>
        <v>Abrir facsímil</v>
      </c>
      <c r="K1153" s="3" t="s">
        <v>23</v>
      </c>
    </row>
    <row r="1154" spans="1:11" ht="42" customHeight="1">
      <c r="A1154" s="2" t="s">
        <v>2606</v>
      </c>
      <c r="B1154" s="2" t="s">
        <v>2607</v>
      </c>
      <c r="C1154" s="2" t="s">
        <v>17</v>
      </c>
      <c r="D1154" s="2" t="s">
        <v>18</v>
      </c>
      <c r="E1154" s="5">
        <v>-27941</v>
      </c>
      <c r="F1154" s="3" t="s">
        <v>1551</v>
      </c>
      <c r="G1154" s="3" t="s">
        <v>20</v>
      </c>
      <c r="H1154" s="2" t="s">
        <v>21</v>
      </c>
      <c r="I1154" s="2" t="s">
        <v>2608</v>
      </c>
      <c r="J1154" s="3" t="str">
        <f>HYPERLINK("https://www.boe.es/gazeta/dias/1823/07/01/pdfs/GMD-1823-323.pdf#page=4","Abrir facsímil")</f>
        <v>Abrir facsímil</v>
      </c>
      <c r="K1154" s="3" t="s">
        <v>23</v>
      </c>
    </row>
    <row r="1155" spans="1:11" ht="42" customHeight="1">
      <c r="A1155" s="2" t="s">
        <v>2609</v>
      </c>
      <c r="B1155" s="2" t="s">
        <v>2610</v>
      </c>
      <c r="C1155" s="2" t="s">
        <v>17</v>
      </c>
      <c r="D1155" s="2" t="s">
        <v>18</v>
      </c>
      <c r="E1155" s="5">
        <v>-27984</v>
      </c>
      <c r="F1155" s="3" t="s">
        <v>335</v>
      </c>
      <c r="G1155" s="3" t="s">
        <v>59</v>
      </c>
      <c r="H1155" s="2" t="s">
        <v>21</v>
      </c>
      <c r="I1155" s="2" t="s">
        <v>2611</v>
      </c>
      <c r="J1155" s="3" t="str">
        <f>HYPERLINK("https://www.boe.es/gazeta/dias/1823/05/19/pdfs/GES-1823-39.pdf#page=6","Abrir facsímil")</f>
        <v>Abrir facsímil</v>
      </c>
      <c r="K1155" s="3" t="s">
        <v>23</v>
      </c>
    </row>
    <row r="1156" spans="1:11" ht="42" customHeight="1">
      <c r="A1156" s="2" t="s">
        <v>2612</v>
      </c>
      <c r="B1156" s="2" t="s">
        <v>2612</v>
      </c>
      <c r="C1156" s="2" t="s">
        <v>84</v>
      </c>
      <c r="D1156" s="2" t="s">
        <v>74</v>
      </c>
      <c r="E1156" s="5">
        <v>-28018</v>
      </c>
      <c r="F1156" s="3" t="s">
        <v>2613</v>
      </c>
      <c r="G1156" s="3" t="s">
        <v>20</v>
      </c>
      <c r="H1156" s="2" t="s">
        <v>21</v>
      </c>
      <c r="I1156" s="2" t="s">
        <v>2614</v>
      </c>
      <c r="J1156" s="3" t="str">
        <f>HYPERLINK("https://www.boe.es/gazeta/dias/1823/04/15/pdfs/GES-1823-5.pdf#page=4","Abrir facsímil")</f>
        <v>Abrir facsímil</v>
      </c>
      <c r="K1156" s="3" t="s">
        <v>23</v>
      </c>
    </row>
    <row r="1157" spans="1:11" ht="42" customHeight="1">
      <c r="A1157" s="2" t="s">
        <v>2615</v>
      </c>
      <c r="B1157" s="2" t="s">
        <v>2615</v>
      </c>
      <c r="C1157" s="2" t="s">
        <v>109</v>
      </c>
      <c r="D1157" s="2" t="s">
        <v>74</v>
      </c>
      <c r="E1157" s="5">
        <v>-28075</v>
      </c>
      <c r="F1157" s="3" t="s">
        <v>2327</v>
      </c>
      <c r="G1157" s="3" t="s">
        <v>27</v>
      </c>
      <c r="H1157" s="2" t="s">
        <v>21</v>
      </c>
      <c r="I1157" s="2" t="s">
        <v>2616</v>
      </c>
      <c r="J1157" s="3" t="str">
        <f>HYPERLINK("https://www.boe.es/gazeta/dias/1823/02/17/pdfs/GMD-1823-51.pdf#page=2","Abrir facsímil")</f>
        <v>Abrir facsímil</v>
      </c>
      <c r="K1157" s="3" t="s">
        <v>23</v>
      </c>
    </row>
    <row r="1158" spans="1:11" ht="42" customHeight="1">
      <c r="A1158" s="2" t="s">
        <v>2617</v>
      </c>
      <c r="B1158" s="2" t="s">
        <v>2618</v>
      </c>
      <c r="C1158" s="2" t="s">
        <v>56</v>
      </c>
      <c r="D1158" s="2" t="s">
        <v>57</v>
      </c>
      <c r="E1158" s="5">
        <v>-28052</v>
      </c>
      <c r="F1158" s="3" t="s">
        <v>1025</v>
      </c>
      <c r="G1158" s="3" t="s">
        <v>59</v>
      </c>
      <c r="H1158" s="2" t="s">
        <v>21</v>
      </c>
      <c r="I1158" s="2" t="s">
        <v>2619</v>
      </c>
      <c r="J1158" s="3" t="str">
        <f>HYPERLINK("https://www.boe.es/gazeta/dias/1823/03/12/pdfs/GMD-1823-75.pdf#page=6","Abrir facsímil")</f>
        <v>Abrir facsímil</v>
      </c>
      <c r="K1158" s="3" t="s">
        <v>23</v>
      </c>
    </row>
    <row r="1159" spans="1:11" ht="42" customHeight="1">
      <c r="A1159" s="2" t="s">
        <v>2620</v>
      </c>
      <c r="B1159" s="2" t="s">
        <v>2621</v>
      </c>
      <c r="C1159" s="2" t="s">
        <v>293</v>
      </c>
      <c r="D1159" s="2" t="s">
        <v>74</v>
      </c>
      <c r="E1159" s="5">
        <v>-28065</v>
      </c>
      <c r="F1159" s="3" t="s">
        <v>686</v>
      </c>
      <c r="G1159" s="3" t="s">
        <v>20</v>
      </c>
      <c r="H1159" s="2" t="s">
        <v>21</v>
      </c>
      <c r="I1159" s="2" t="s">
        <v>2622</v>
      </c>
      <c r="J1159" s="3" t="str">
        <f>HYPERLINK("https://www.boe.es/gazeta/dias/1823/02/27/pdfs/GMD-1823-61.pdf#page=4","Abrir facsímil")</f>
        <v>Abrir facsímil</v>
      </c>
      <c r="K1159" s="3" t="s">
        <v>23</v>
      </c>
    </row>
    <row r="1160" spans="1:11" ht="42" customHeight="1">
      <c r="A1160" s="2" t="s">
        <v>2623</v>
      </c>
      <c r="B1160" s="2" t="s">
        <v>2623</v>
      </c>
      <c r="C1160" s="2" t="s">
        <v>17</v>
      </c>
      <c r="D1160" s="2" t="s">
        <v>18</v>
      </c>
      <c r="E1160" s="5">
        <v>-27902</v>
      </c>
      <c r="F1160" s="3" t="s">
        <v>221</v>
      </c>
      <c r="G1160" s="3" t="s">
        <v>39</v>
      </c>
      <c r="H1160" s="2" t="s">
        <v>21</v>
      </c>
      <c r="I1160" s="2" t="s">
        <v>2624</v>
      </c>
      <c r="J1160" s="3" t="str">
        <f>HYPERLINK("https://www.boe.es/gazeta/dias/1823/08/09/pdfs/GES-1823-122.pdf#page=1","Abrir facsímil")</f>
        <v>Abrir facsímil</v>
      </c>
      <c r="K1160" s="3" t="s">
        <v>23</v>
      </c>
    </row>
    <row r="1161" spans="1:11" ht="42" customHeight="1">
      <c r="A1161" s="2" t="s">
        <v>2625</v>
      </c>
      <c r="B1161" s="2" t="s">
        <v>2625</v>
      </c>
      <c r="C1161" s="2" t="s">
        <v>17</v>
      </c>
      <c r="D1161" s="2" t="s">
        <v>18</v>
      </c>
      <c r="E1161" s="5">
        <v>-27853</v>
      </c>
      <c r="F1161" s="3" t="s">
        <v>2626</v>
      </c>
      <c r="G1161" s="3" t="s">
        <v>39</v>
      </c>
      <c r="H1161" s="2" t="s">
        <v>21</v>
      </c>
      <c r="I1161" s="2" t="s">
        <v>2627</v>
      </c>
      <c r="J1161" s="3" t="str">
        <f>HYPERLINK("https://www.boe.es/gazeta/dias/1823/09/27/pdfs/GES-1823-171.pdf#page=1","Abrir facsímil")</f>
        <v>Abrir facsímil</v>
      </c>
      <c r="K1161" s="3" t="s">
        <v>23</v>
      </c>
    </row>
    <row r="1162" spans="1:11" ht="42" customHeight="1">
      <c r="A1162" s="2" t="s">
        <v>2623</v>
      </c>
      <c r="B1162" s="2" t="s">
        <v>2623</v>
      </c>
      <c r="C1162" s="2" t="s">
        <v>17</v>
      </c>
      <c r="D1162" s="2" t="s">
        <v>18</v>
      </c>
      <c r="E1162" s="5">
        <v>-27852</v>
      </c>
      <c r="F1162" s="3" t="s">
        <v>2628</v>
      </c>
      <c r="G1162" s="3" t="s">
        <v>39</v>
      </c>
      <c r="H1162" s="2" t="s">
        <v>21</v>
      </c>
      <c r="I1162" s="2" t="s">
        <v>2629</v>
      </c>
      <c r="J1162" s="3" t="str">
        <f>HYPERLINK("https://www.boe.es/gazeta/dias/1823/09/28/pdfs/GES-1823-172.pdf#page=1","Abrir facsímil")</f>
        <v>Abrir facsímil</v>
      </c>
      <c r="K1162" s="3" t="s">
        <v>23</v>
      </c>
    </row>
    <row r="1163" spans="1:11" ht="42" customHeight="1">
      <c r="A1163" s="2" t="s">
        <v>2630</v>
      </c>
      <c r="B1163" s="2" t="s">
        <v>2630</v>
      </c>
      <c r="C1163" s="2" t="s">
        <v>56</v>
      </c>
      <c r="D1163" s="2" t="s">
        <v>57</v>
      </c>
      <c r="E1163" s="5">
        <v>-28038</v>
      </c>
      <c r="F1163" s="3" t="s">
        <v>2379</v>
      </c>
      <c r="G1163" s="3" t="s">
        <v>20</v>
      </c>
      <c r="H1163" s="2" t="s">
        <v>21</v>
      </c>
      <c r="I1163" s="2" t="s">
        <v>2631</v>
      </c>
      <c r="J1163" s="3" t="str">
        <f>HYPERLINK("https://www.boe.es/gazeta/dias/1823/03/26/pdfs/GMD-1823-89.pdf#page=4","Abrir facsímil")</f>
        <v>Abrir facsímil</v>
      </c>
      <c r="K1163" s="3" t="s">
        <v>23</v>
      </c>
    </row>
    <row r="1164" spans="1:11" ht="42" customHeight="1">
      <c r="A1164" s="2" t="s">
        <v>2632</v>
      </c>
      <c r="B1164" s="2" t="s">
        <v>2632</v>
      </c>
      <c r="C1164" s="2" t="s">
        <v>17</v>
      </c>
      <c r="D1164" s="2" t="s">
        <v>117</v>
      </c>
      <c r="E1164" s="5">
        <v>-27945</v>
      </c>
      <c r="F1164" s="3" t="s">
        <v>2633</v>
      </c>
      <c r="G1164" s="3" t="s">
        <v>39</v>
      </c>
      <c r="H1164" s="2" t="s">
        <v>21</v>
      </c>
      <c r="I1164" s="2" t="s">
        <v>2634</v>
      </c>
      <c r="J1164" s="3" t="str">
        <f>HYPERLINK("https://www.boe.es/gazeta/dias/1823/06/27/pdfs/GMD-1823-293E.pdf#page=1","Abrir facsímil")</f>
        <v>Abrir facsímil</v>
      </c>
      <c r="K1164" s="3" t="s">
        <v>23</v>
      </c>
    </row>
    <row r="1165" spans="1:11" ht="42" customHeight="1">
      <c r="A1165" s="2" t="s">
        <v>2635</v>
      </c>
      <c r="B1165" s="2" t="s">
        <v>2636</v>
      </c>
      <c r="C1165" s="2" t="s">
        <v>56</v>
      </c>
      <c r="D1165" s="2" t="s">
        <v>57</v>
      </c>
      <c r="E1165" s="5">
        <v>-27906</v>
      </c>
      <c r="F1165" s="3" t="s">
        <v>1527</v>
      </c>
      <c r="G1165" s="3" t="s">
        <v>39</v>
      </c>
      <c r="H1165" s="2" t="s">
        <v>28</v>
      </c>
      <c r="I1165" s="2" t="s">
        <v>2637</v>
      </c>
      <c r="J1165" s="3" t="str">
        <f>HYPERLINK("https://www.boe.es/gazeta/dias/1823/08/05/pdfs/GMD-1823-533.pdf#page=1","Abrir facsímil")</f>
        <v>Abrir facsímil</v>
      </c>
      <c r="K1165" s="3" t="s">
        <v>30</v>
      </c>
    </row>
    <row r="1166" spans="1:11" ht="42" customHeight="1">
      <c r="A1166" s="2" t="s">
        <v>2638</v>
      </c>
      <c r="B1166" s="2" t="s">
        <v>2639</v>
      </c>
      <c r="C1166" s="2" t="s">
        <v>79</v>
      </c>
      <c r="D1166" s="2" t="s">
        <v>74</v>
      </c>
      <c r="E1166" s="5">
        <v>-28000</v>
      </c>
      <c r="F1166" s="3" t="s">
        <v>1118</v>
      </c>
      <c r="G1166" s="3" t="s">
        <v>59</v>
      </c>
      <c r="H1166" s="2" t="s">
        <v>21</v>
      </c>
      <c r="I1166" s="2" t="s">
        <v>2640</v>
      </c>
      <c r="J1166" s="3" t="str">
        <f>HYPERLINK("https://www.boe.es/gazeta/dias/1823/05/03/pdfs/GES-1823-23.pdf#page=6","Abrir facsímil")</f>
        <v>Abrir facsímil</v>
      </c>
      <c r="K1166" s="3" t="s">
        <v>23</v>
      </c>
    </row>
    <row r="1167" spans="1:11" ht="42" customHeight="1">
      <c r="A1167" s="2" t="s">
        <v>2638</v>
      </c>
      <c r="B1167" s="2" t="s">
        <v>2639</v>
      </c>
      <c r="C1167" s="2" t="s">
        <v>79</v>
      </c>
      <c r="D1167" s="2" t="s">
        <v>74</v>
      </c>
      <c r="E1167" s="5">
        <v>-27993</v>
      </c>
      <c r="F1167" s="3" t="s">
        <v>1062</v>
      </c>
      <c r="G1167" s="3" t="s">
        <v>34</v>
      </c>
      <c r="H1167" s="2" t="s">
        <v>21</v>
      </c>
      <c r="I1167" s="2" t="s">
        <v>2641</v>
      </c>
      <c r="J1167" s="3" t="str">
        <f>HYPERLINK("https://www.boe.es/gazeta/dias/1823/05/10/pdfs/GMD-1823-122.pdf#page=5","Abrir facsímil")</f>
        <v>Abrir facsímil</v>
      </c>
      <c r="K1167" s="3" t="s">
        <v>23</v>
      </c>
    </row>
    <row r="1168" spans="1:11" ht="42" customHeight="1">
      <c r="A1168" s="2" t="s">
        <v>2642</v>
      </c>
      <c r="B1168" s="2" t="s">
        <v>2643</v>
      </c>
      <c r="C1168" s="2" t="s">
        <v>17</v>
      </c>
      <c r="D1168" s="2" t="s">
        <v>18</v>
      </c>
      <c r="E1168" s="5">
        <v>-27946</v>
      </c>
      <c r="F1168" s="3" t="s">
        <v>1547</v>
      </c>
      <c r="G1168" s="3" t="s">
        <v>48</v>
      </c>
      <c r="H1168" s="2" t="s">
        <v>21</v>
      </c>
      <c r="I1168" s="2" t="s">
        <v>2644</v>
      </c>
      <c r="J1168" s="3" t="str">
        <f>HYPERLINK("https://www.boe.es/gazeta/dias/1823/06/26/pdfs/GMD-1823-283.pdf#page=3","Abrir facsímil")</f>
        <v>Abrir facsímil</v>
      </c>
      <c r="K1168" s="3" t="s">
        <v>23</v>
      </c>
    </row>
    <row r="1169" spans="1:11" ht="42" customHeight="1">
      <c r="A1169" s="2" t="s">
        <v>2645</v>
      </c>
      <c r="B1169" s="2" t="s">
        <v>2646</v>
      </c>
      <c r="C1169" s="2" t="s">
        <v>17</v>
      </c>
      <c r="D1169" s="2" t="s">
        <v>18</v>
      </c>
      <c r="E1169" s="5">
        <v>-27993</v>
      </c>
      <c r="F1169" s="3" t="s">
        <v>977</v>
      </c>
      <c r="G1169" s="3" t="s">
        <v>978</v>
      </c>
      <c r="H1169" s="2" t="s">
        <v>21</v>
      </c>
      <c r="I1169" s="2" t="s">
        <v>2647</v>
      </c>
      <c r="J1169" s="3" t="str">
        <f>HYPERLINK("https://www.boe.es/gazeta/dias/1823/05/10/pdfs/GES-1823-30.pdf#page=4","Abrir facsímil")</f>
        <v>Abrir facsímil</v>
      </c>
      <c r="K1169" s="3" t="s">
        <v>23</v>
      </c>
    </row>
    <row r="1170" spans="1:11" ht="42" customHeight="1">
      <c r="A1170" s="2" t="s">
        <v>2648</v>
      </c>
      <c r="B1170" s="2" t="s">
        <v>2649</v>
      </c>
      <c r="C1170" s="2" t="s">
        <v>17</v>
      </c>
      <c r="D1170" s="2" t="s">
        <v>18</v>
      </c>
      <c r="E1170" s="5">
        <v>-27991</v>
      </c>
      <c r="F1170" s="3" t="s">
        <v>328</v>
      </c>
      <c r="G1170" s="3" t="s">
        <v>34</v>
      </c>
      <c r="H1170" s="2" t="s">
        <v>21</v>
      </c>
      <c r="I1170" s="2" t="s">
        <v>2650</v>
      </c>
      <c r="J1170" s="3" t="str">
        <f>HYPERLINK("https://www.boe.es/gazeta/dias/1823/05/12/pdfs/GES-1823-32.pdf#page=5","Abrir facsímil")</f>
        <v>Abrir facsímil</v>
      </c>
      <c r="K1170" s="3" t="s">
        <v>23</v>
      </c>
    </row>
    <row r="1171" spans="1:11" ht="42" customHeight="1">
      <c r="A1171" s="2" t="s">
        <v>2651</v>
      </c>
      <c r="B1171" s="2" t="s">
        <v>2652</v>
      </c>
      <c r="C1171" s="2" t="s">
        <v>17</v>
      </c>
      <c r="D1171" s="2" t="s">
        <v>18</v>
      </c>
      <c r="E1171" s="5">
        <v>-28037</v>
      </c>
      <c r="F1171" s="3" t="s">
        <v>192</v>
      </c>
      <c r="G1171" s="3" t="s">
        <v>48</v>
      </c>
      <c r="H1171" s="2" t="s">
        <v>21</v>
      </c>
      <c r="I1171" s="2" t="s">
        <v>2653</v>
      </c>
      <c r="J1171" s="3" t="str">
        <f>HYPERLINK("https://www.boe.es/gazeta/dias/1823/03/27/pdfs/GMD-1823-90.pdf#page=3","Abrir facsímil")</f>
        <v>Abrir facsímil</v>
      </c>
      <c r="K1171" s="3" t="s">
        <v>23</v>
      </c>
    </row>
    <row r="1172" spans="1:11" ht="42" customHeight="1">
      <c r="A1172" s="2" t="s">
        <v>2654</v>
      </c>
      <c r="B1172" s="2" t="s">
        <v>2655</v>
      </c>
      <c r="C1172" s="2" t="s">
        <v>79</v>
      </c>
      <c r="D1172" s="2" t="s">
        <v>74</v>
      </c>
      <c r="E1172" s="5">
        <v>-28065</v>
      </c>
      <c r="F1172" s="3" t="s">
        <v>686</v>
      </c>
      <c r="G1172" s="3" t="s">
        <v>20</v>
      </c>
      <c r="H1172" s="2" t="s">
        <v>21</v>
      </c>
      <c r="I1172" s="2" t="s">
        <v>2656</v>
      </c>
      <c r="J1172" s="3" t="str">
        <f>HYPERLINK("https://www.boe.es/gazeta/dias/1823/02/27/pdfs/GMD-1823-61.pdf#page=4","Abrir facsímil")</f>
        <v>Abrir facsímil</v>
      </c>
      <c r="K1172" s="3" t="s">
        <v>23</v>
      </c>
    </row>
    <row r="1173" spans="1:11" ht="42" customHeight="1">
      <c r="A1173" s="2" t="s">
        <v>2657</v>
      </c>
      <c r="B1173" s="2" t="s">
        <v>2658</v>
      </c>
      <c r="C1173" s="2" t="s">
        <v>17</v>
      </c>
      <c r="D1173" s="2" t="s">
        <v>18</v>
      </c>
      <c r="E1173" s="5">
        <v>-28057</v>
      </c>
      <c r="F1173" s="3" t="s">
        <v>301</v>
      </c>
      <c r="G1173" s="3" t="s">
        <v>27</v>
      </c>
      <c r="H1173" s="2" t="s">
        <v>21</v>
      </c>
      <c r="I1173" s="2" t="s">
        <v>2659</v>
      </c>
      <c r="J1173" s="3" t="str">
        <f>HYPERLINK("https://www.boe.es/gazeta/dias/1823/03/07/pdfs/GMD-1823-70.pdf#page=2","Abrir facsímil")</f>
        <v>Abrir facsímil</v>
      </c>
      <c r="K1173" s="3" t="s">
        <v>23</v>
      </c>
    </row>
    <row r="1174" spans="1:11" ht="42" customHeight="1">
      <c r="A1174" s="2" t="s">
        <v>2660</v>
      </c>
      <c r="B1174" s="2" t="s">
        <v>2661</v>
      </c>
      <c r="C1174" s="2" t="s">
        <v>56</v>
      </c>
      <c r="D1174" s="2" t="s">
        <v>117</v>
      </c>
      <c r="E1174" s="5">
        <v>-27958</v>
      </c>
      <c r="F1174" s="3" t="s">
        <v>163</v>
      </c>
      <c r="G1174" s="3" t="s">
        <v>27</v>
      </c>
      <c r="H1174" s="2" t="s">
        <v>21</v>
      </c>
      <c r="I1174" s="2" t="s">
        <v>2662</v>
      </c>
      <c r="J1174" s="3" t="str">
        <f>HYPERLINK("https://www.boe.es/gazeta/dias/1823/06/14/pdfs/GMD-1823-163E.pdf#page=2","Abrir facsímil")</f>
        <v>Abrir facsímil</v>
      </c>
      <c r="K1174" s="3" t="s">
        <v>23</v>
      </c>
    </row>
    <row r="1175" spans="1:11" ht="42" customHeight="1">
      <c r="A1175" s="2" t="s">
        <v>2663</v>
      </c>
      <c r="B1175" s="2" t="s">
        <v>2664</v>
      </c>
      <c r="C1175" s="2" t="s">
        <v>17</v>
      </c>
      <c r="D1175" s="2" t="s">
        <v>18</v>
      </c>
      <c r="E1175" s="5">
        <v>-27848</v>
      </c>
      <c r="F1175" s="3" t="s">
        <v>2665</v>
      </c>
      <c r="G1175" s="3" t="s">
        <v>20</v>
      </c>
      <c r="H1175" s="2" t="s">
        <v>21</v>
      </c>
      <c r="I1175" s="2" t="s">
        <v>2666</v>
      </c>
      <c r="J1175" s="3" t="str">
        <f>HYPERLINK("https://www.boe.es/gazeta/dias/1823/10/02/pdfs/GMD-1823-893.pdf#page=4","Abrir facsímil")</f>
        <v>Abrir facsímil</v>
      </c>
      <c r="K1175" s="3" t="s">
        <v>23</v>
      </c>
    </row>
    <row r="1176" spans="1:11" ht="42" customHeight="1">
      <c r="A1176" s="2" t="s">
        <v>2667</v>
      </c>
      <c r="B1176" s="2" t="s">
        <v>2667</v>
      </c>
      <c r="C1176" s="2" t="s">
        <v>17</v>
      </c>
      <c r="D1176" s="2" t="s">
        <v>18</v>
      </c>
      <c r="E1176" s="5">
        <v>-28029</v>
      </c>
      <c r="F1176" s="3" t="s">
        <v>141</v>
      </c>
      <c r="G1176" s="3" t="s">
        <v>27</v>
      </c>
      <c r="H1176" s="2" t="s">
        <v>21</v>
      </c>
      <c r="I1176" s="2" t="s">
        <v>2668</v>
      </c>
      <c r="J1176" s="3" t="str">
        <f>HYPERLINK("https://www.boe.es/gazeta/dias/1823/04/04/pdfs/GMD-1823-98.pdf#page=2","Abrir facsímil")</f>
        <v>Abrir facsímil</v>
      </c>
      <c r="K1176" s="3" t="s">
        <v>23</v>
      </c>
    </row>
    <row r="1177" spans="1:11" ht="42" customHeight="1">
      <c r="A1177" s="2" t="s">
        <v>2667</v>
      </c>
      <c r="B1177" s="2" t="s">
        <v>2667</v>
      </c>
      <c r="C1177" s="2" t="s">
        <v>17</v>
      </c>
      <c r="D1177" s="2" t="s">
        <v>18</v>
      </c>
      <c r="E1177" s="5">
        <v>-28021</v>
      </c>
      <c r="F1177" s="3" t="s">
        <v>2669</v>
      </c>
      <c r="G1177" s="3" t="s">
        <v>27</v>
      </c>
      <c r="H1177" s="2" t="s">
        <v>21</v>
      </c>
      <c r="I1177" s="2" t="s">
        <v>2670</v>
      </c>
      <c r="J1177" s="3" t="str">
        <f>HYPERLINK("https://www.boe.es/gazeta/dias/1823/04/12/pdfs/GES-1823-2.pdf#page=2","Abrir facsímil")</f>
        <v>Abrir facsímil</v>
      </c>
      <c r="K1177" s="3" t="s">
        <v>23</v>
      </c>
    </row>
    <row r="1178" spans="1:11" ht="42" customHeight="1">
      <c r="A1178" s="2" t="s">
        <v>2667</v>
      </c>
      <c r="B1178" s="2" t="s">
        <v>2667</v>
      </c>
      <c r="C1178" s="2" t="s">
        <v>17</v>
      </c>
      <c r="D1178" s="2" t="s">
        <v>18</v>
      </c>
      <c r="E1178" s="5">
        <v>-27919</v>
      </c>
      <c r="F1178" s="3" t="s">
        <v>361</v>
      </c>
      <c r="G1178" s="3" t="s">
        <v>20</v>
      </c>
      <c r="H1178" s="2" t="s">
        <v>21</v>
      </c>
      <c r="I1178" s="2" t="s">
        <v>2671</v>
      </c>
      <c r="J1178" s="3" t="str">
        <f>HYPERLINK("https://www.boe.es/gazeta/dias/1823/07/23/pdfs/GES-1823-104.pdf#page=4","Abrir facsímil")</f>
        <v>Abrir facsímil</v>
      </c>
      <c r="K1178" s="3" t="s">
        <v>23</v>
      </c>
    </row>
    <row r="1179" spans="1:11" ht="42" customHeight="1">
      <c r="A1179" s="2" t="s">
        <v>2672</v>
      </c>
      <c r="B1179" s="2" t="s">
        <v>2672</v>
      </c>
      <c r="C1179" s="2" t="s">
        <v>17</v>
      </c>
      <c r="D1179" s="2" t="s">
        <v>18</v>
      </c>
      <c r="E1179" s="5">
        <v>-28000</v>
      </c>
      <c r="F1179" s="3" t="s">
        <v>138</v>
      </c>
      <c r="G1179" s="3" t="s">
        <v>48</v>
      </c>
      <c r="H1179" s="2" t="s">
        <v>21</v>
      </c>
      <c r="I1179" s="2" t="s">
        <v>2673</v>
      </c>
      <c r="J1179" s="3" t="str">
        <f>HYPERLINK("https://www.boe.es/gazeta/dias/1823/05/03/pdfs/GMD-1823-92.pdf#page=3","Abrir facsímil")</f>
        <v>Abrir facsímil</v>
      </c>
      <c r="K1179" s="3" t="s">
        <v>23</v>
      </c>
    </row>
    <row r="1180" spans="1:11" ht="42" customHeight="1">
      <c r="A1180" s="2" t="s">
        <v>2672</v>
      </c>
      <c r="B1180" s="2" t="s">
        <v>2672</v>
      </c>
      <c r="C1180" s="2" t="s">
        <v>17</v>
      </c>
      <c r="D1180" s="2" t="s">
        <v>18</v>
      </c>
      <c r="E1180" s="5">
        <v>-27985</v>
      </c>
      <c r="F1180" s="3" t="s">
        <v>951</v>
      </c>
      <c r="G1180" s="3" t="s">
        <v>1140</v>
      </c>
      <c r="H1180" s="2" t="s">
        <v>21</v>
      </c>
      <c r="I1180" s="2" t="s">
        <v>2674</v>
      </c>
      <c r="J1180" s="3" t="str">
        <f>HYPERLINK("https://www.boe.es/gazeta/dias/1823/05/18/pdfs/GES-1823-38.pdf#page=5","Abrir facsímil")</f>
        <v>Abrir facsímil</v>
      </c>
      <c r="K1180" s="3" t="s">
        <v>23</v>
      </c>
    </row>
    <row r="1181" spans="1:11" ht="42" customHeight="1">
      <c r="A1181" s="2" t="s">
        <v>2672</v>
      </c>
      <c r="B1181" s="2" t="s">
        <v>2672</v>
      </c>
      <c r="C1181" s="2" t="s">
        <v>17</v>
      </c>
      <c r="D1181" s="2" t="s">
        <v>18</v>
      </c>
      <c r="E1181" s="5">
        <v>-27917</v>
      </c>
      <c r="F1181" s="3" t="s">
        <v>363</v>
      </c>
      <c r="G1181" s="3" t="s">
        <v>20</v>
      </c>
      <c r="H1181" s="2" t="s">
        <v>21</v>
      </c>
      <c r="I1181" s="2" t="s">
        <v>2675</v>
      </c>
      <c r="J1181" s="3" t="str">
        <f>HYPERLINK("https://www.boe.es/gazeta/dias/1823/07/25/pdfs/GES-1823-106.pdf#page=4","Abrir facsímil")</f>
        <v>Abrir facsímil</v>
      </c>
      <c r="K1181" s="3" t="s">
        <v>23</v>
      </c>
    </row>
    <row r="1182" spans="1:11" ht="42" customHeight="1">
      <c r="A1182" s="2" t="s">
        <v>2672</v>
      </c>
      <c r="B1182" s="2" t="s">
        <v>2672</v>
      </c>
      <c r="C1182" s="2" t="s">
        <v>17</v>
      </c>
      <c r="D1182" s="2" t="s">
        <v>18</v>
      </c>
      <c r="E1182" s="5">
        <v>-27874</v>
      </c>
      <c r="F1182" s="3" t="s">
        <v>1410</v>
      </c>
      <c r="G1182" s="3" t="s">
        <v>27</v>
      </c>
      <c r="H1182" s="2" t="s">
        <v>21</v>
      </c>
      <c r="I1182" s="2" t="s">
        <v>2676</v>
      </c>
      <c r="J1182" s="3" t="str">
        <f>HYPERLINK("https://www.boe.es/gazeta/dias/1823/09/06/pdfs/GES-1823-150.pdf#page=2","Abrir facsímil")</f>
        <v>Abrir facsímil</v>
      </c>
      <c r="K1182" s="3" t="s">
        <v>23</v>
      </c>
    </row>
    <row r="1183" spans="1:11" ht="42" customHeight="1">
      <c r="A1183" s="2" t="s">
        <v>2677</v>
      </c>
      <c r="B1183" s="2" t="s">
        <v>2678</v>
      </c>
      <c r="C1183" s="2" t="s">
        <v>17</v>
      </c>
      <c r="D1183" s="2" t="s">
        <v>18</v>
      </c>
      <c r="E1183" s="5">
        <v>-27982</v>
      </c>
      <c r="F1183" s="3" t="s">
        <v>340</v>
      </c>
      <c r="G1183" s="3" t="s">
        <v>20</v>
      </c>
      <c r="H1183" s="2" t="s">
        <v>21</v>
      </c>
      <c r="I1183" s="2" t="s">
        <v>2679</v>
      </c>
      <c r="J1183" s="3" t="str">
        <f>HYPERLINK("https://www.boe.es/gazeta/dias/1823/05/21/pdfs/GES-1823-42.pdf#page=4","Abrir facsímil")</f>
        <v>Abrir facsímil</v>
      </c>
      <c r="K1183" s="3" t="s">
        <v>23</v>
      </c>
    </row>
    <row r="1184" spans="1:11" ht="42" customHeight="1">
      <c r="A1184" s="2" t="s">
        <v>2677</v>
      </c>
      <c r="B1184" s="2" t="s">
        <v>2678</v>
      </c>
      <c r="C1184" s="2" t="s">
        <v>17</v>
      </c>
      <c r="D1184" s="2" t="s">
        <v>18</v>
      </c>
      <c r="E1184" s="5">
        <v>-27960</v>
      </c>
      <c r="F1184" s="3" t="s">
        <v>741</v>
      </c>
      <c r="G1184" s="3" t="s">
        <v>2680</v>
      </c>
      <c r="H1184" s="2" t="s">
        <v>21</v>
      </c>
      <c r="I1184" s="2" t="s">
        <v>2681</v>
      </c>
      <c r="J1184" s="3" t="str">
        <f>HYPERLINK("https://www.boe.es/gazeta/dias/1823/06/12/pdfs/GES-1823-66.pdf#page=6","Abrir facsímil")</f>
        <v>Abrir facsímil</v>
      </c>
      <c r="K1184" s="3" t="s">
        <v>23</v>
      </c>
    </row>
    <row r="1185" spans="1:11" ht="42" customHeight="1">
      <c r="A1185" s="2" t="s">
        <v>2682</v>
      </c>
      <c r="B1185" s="2" t="s">
        <v>2682</v>
      </c>
      <c r="C1185" s="2" t="s">
        <v>17</v>
      </c>
      <c r="D1185" s="2" t="s">
        <v>18</v>
      </c>
      <c r="E1185" s="5">
        <v>-28022</v>
      </c>
      <c r="F1185" s="3" t="s">
        <v>1661</v>
      </c>
      <c r="G1185" s="3" t="s">
        <v>20</v>
      </c>
      <c r="H1185" s="2" t="s">
        <v>21</v>
      </c>
      <c r="I1185" s="2" t="s">
        <v>2683</v>
      </c>
      <c r="J1185" s="3" t="str">
        <f>HYPERLINK("https://www.boe.es/gazeta/dias/1823/04/11/pdfs/GES-1823-1.pdf#page=4","Abrir facsímil")</f>
        <v>Abrir facsímil</v>
      </c>
      <c r="K1185" s="3" t="s">
        <v>23</v>
      </c>
    </row>
    <row r="1186" spans="1:11" ht="42" customHeight="1">
      <c r="A1186" s="2" t="s">
        <v>2682</v>
      </c>
      <c r="B1186" s="2" t="s">
        <v>2682</v>
      </c>
      <c r="C1186" s="2" t="s">
        <v>17</v>
      </c>
      <c r="D1186" s="2" t="s">
        <v>117</v>
      </c>
      <c r="E1186" s="5">
        <v>-27953</v>
      </c>
      <c r="F1186" s="3" t="s">
        <v>2684</v>
      </c>
      <c r="G1186" s="3" t="s">
        <v>39</v>
      </c>
      <c r="H1186" s="2" t="s">
        <v>21</v>
      </c>
      <c r="I1186" s="2" t="s">
        <v>2685</v>
      </c>
      <c r="J1186" s="3" t="str">
        <f>HYPERLINK("https://www.boe.es/gazeta/dias/1823/06/19/pdfs/GMD-1823-203E.pdf#page=1","Abrir facsímil")</f>
        <v>Abrir facsímil</v>
      </c>
      <c r="K1186" s="3" t="s">
        <v>23</v>
      </c>
    </row>
    <row r="1187" spans="1:11" ht="42" customHeight="1">
      <c r="A1187" s="2" t="s">
        <v>2682</v>
      </c>
      <c r="B1187" s="2" t="s">
        <v>2682</v>
      </c>
      <c r="C1187" s="2" t="s">
        <v>17</v>
      </c>
      <c r="D1187" s="2" t="s">
        <v>18</v>
      </c>
      <c r="E1187" s="5">
        <v>-27848</v>
      </c>
      <c r="F1187" s="3" t="s">
        <v>2665</v>
      </c>
      <c r="G1187" s="3" t="s">
        <v>48</v>
      </c>
      <c r="H1187" s="2" t="s">
        <v>21</v>
      </c>
      <c r="I1187" s="2" t="s">
        <v>2686</v>
      </c>
      <c r="J1187" s="3" t="str">
        <f>HYPERLINK("https://www.boe.es/gazeta/dias/1823/10/02/pdfs/GMD-1823-893.pdf#page=3","Abrir facsímil")</f>
        <v>Abrir facsímil</v>
      </c>
      <c r="K1187" s="3" t="s">
        <v>23</v>
      </c>
    </row>
    <row r="1188" spans="1:11" ht="42" customHeight="1">
      <c r="A1188" s="2" t="s">
        <v>2687</v>
      </c>
      <c r="B1188" s="2" t="s">
        <v>2688</v>
      </c>
      <c r="C1188" s="2" t="s">
        <v>17</v>
      </c>
      <c r="D1188" s="2" t="s">
        <v>18</v>
      </c>
      <c r="E1188" s="5">
        <v>-27979</v>
      </c>
      <c r="F1188" s="3" t="s">
        <v>1071</v>
      </c>
      <c r="G1188" s="3" t="s">
        <v>27</v>
      </c>
      <c r="H1188" s="2" t="s">
        <v>21</v>
      </c>
      <c r="I1188" s="2" t="s">
        <v>2689</v>
      </c>
      <c r="J1188" s="3" t="str">
        <f>HYPERLINK("https://www.boe.es/gazeta/dias/1823/05/24/pdfs/GES-1823-45.pdf#page=2","Abrir facsímil")</f>
        <v>Abrir facsímil</v>
      </c>
      <c r="K1188" s="3" t="s">
        <v>23</v>
      </c>
    </row>
    <row r="1189" spans="1:11" ht="42" customHeight="1">
      <c r="A1189" s="2" t="s">
        <v>2690</v>
      </c>
      <c r="B1189" s="2" t="s">
        <v>2690</v>
      </c>
      <c r="C1189" s="2" t="s">
        <v>17</v>
      </c>
      <c r="D1189" s="2" t="s">
        <v>18</v>
      </c>
      <c r="E1189" s="5">
        <v>-28073</v>
      </c>
      <c r="F1189" s="3" t="s">
        <v>204</v>
      </c>
      <c r="G1189" s="3" t="s">
        <v>27</v>
      </c>
      <c r="H1189" s="2" t="s">
        <v>21</v>
      </c>
      <c r="I1189" s="2" t="s">
        <v>2691</v>
      </c>
      <c r="J1189" s="3" t="str">
        <f>HYPERLINK("https://www.boe.es/gazeta/dias/1823/02/19/pdfs/GMD-1823-53.pdf#page=2","Abrir facsímil")</f>
        <v>Abrir facsímil</v>
      </c>
      <c r="K1189" s="3" t="s">
        <v>23</v>
      </c>
    </row>
    <row r="1190" spans="1:11" ht="42" customHeight="1">
      <c r="A1190" s="2" t="s">
        <v>2690</v>
      </c>
      <c r="B1190" s="2" t="s">
        <v>2690</v>
      </c>
      <c r="C1190" s="2" t="s">
        <v>17</v>
      </c>
      <c r="D1190" s="2" t="s">
        <v>18</v>
      </c>
      <c r="E1190" s="5">
        <v>-28049</v>
      </c>
      <c r="F1190" s="3" t="s">
        <v>198</v>
      </c>
      <c r="G1190" s="3" t="s">
        <v>20</v>
      </c>
      <c r="H1190" s="2" t="s">
        <v>21</v>
      </c>
      <c r="I1190" s="2" t="s">
        <v>2692</v>
      </c>
      <c r="J1190" s="3" t="str">
        <f>HYPERLINK("https://www.boe.es/gazeta/dias/1823/03/15/pdfs/GMD-1823-78.pdf#page=4","Abrir facsímil")</f>
        <v>Abrir facsímil</v>
      </c>
      <c r="K1190" s="3" t="s">
        <v>23</v>
      </c>
    </row>
    <row r="1191" spans="1:11" ht="42" customHeight="1">
      <c r="A1191" s="2" t="s">
        <v>2690</v>
      </c>
      <c r="B1191" s="2" t="s">
        <v>2690</v>
      </c>
      <c r="C1191" s="2" t="s">
        <v>17</v>
      </c>
      <c r="D1191" s="2" t="s">
        <v>18</v>
      </c>
      <c r="E1191" s="5">
        <v>-28045</v>
      </c>
      <c r="F1191" s="3" t="s">
        <v>245</v>
      </c>
      <c r="G1191" s="3" t="s">
        <v>48</v>
      </c>
      <c r="H1191" s="2" t="s">
        <v>21</v>
      </c>
      <c r="I1191" s="2" t="s">
        <v>2693</v>
      </c>
      <c r="J1191" s="3" t="str">
        <f>HYPERLINK("https://www.boe.es/gazeta/dias/1823/03/19/pdfs/GMD-1823-82.pdf#page=3","Abrir facsímil")</f>
        <v>Abrir facsímil</v>
      </c>
      <c r="K1191" s="3" t="s">
        <v>23</v>
      </c>
    </row>
    <row r="1192" spans="1:11" ht="42" customHeight="1">
      <c r="A1192" s="2" t="s">
        <v>2690</v>
      </c>
      <c r="B1192" s="2" t="s">
        <v>2690</v>
      </c>
      <c r="C1192" s="2" t="s">
        <v>17</v>
      </c>
      <c r="D1192" s="2" t="s">
        <v>18</v>
      </c>
      <c r="E1192" s="5">
        <v>-28041</v>
      </c>
      <c r="F1192" s="3" t="s">
        <v>873</v>
      </c>
      <c r="G1192" s="3" t="s">
        <v>48</v>
      </c>
      <c r="H1192" s="2" t="s">
        <v>21</v>
      </c>
      <c r="I1192" s="2" t="s">
        <v>2694</v>
      </c>
      <c r="J1192" s="3" t="str">
        <f>HYPERLINK("https://www.boe.es/gazeta/dias/1823/03/23/pdfs/GMD-1823-86.pdf#page=3","Abrir facsímil")</f>
        <v>Abrir facsímil</v>
      </c>
      <c r="K1192" s="3" t="s">
        <v>23</v>
      </c>
    </row>
    <row r="1193" spans="1:11" ht="42" customHeight="1">
      <c r="A1193" s="2" t="s">
        <v>2690</v>
      </c>
      <c r="B1193" s="2" t="s">
        <v>2690</v>
      </c>
      <c r="C1193" s="2" t="s">
        <v>17</v>
      </c>
      <c r="D1193" s="2" t="s">
        <v>18</v>
      </c>
      <c r="E1193" s="5">
        <v>-28035</v>
      </c>
      <c r="F1193" s="3" t="s">
        <v>138</v>
      </c>
      <c r="G1193" s="3" t="s">
        <v>48</v>
      </c>
      <c r="H1193" s="2" t="s">
        <v>21</v>
      </c>
      <c r="I1193" s="2" t="s">
        <v>2695</v>
      </c>
      <c r="J1193" s="3" t="str">
        <f>HYPERLINK("https://www.boe.es/gazeta/dias/1823/03/29/pdfs/GMD-1823-92.pdf#page=3","Abrir facsímil")</f>
        <v>Abrir facsímil</v>
      </c>
      <c r="K1193" s="3" t="s">
        <v>23</v>
      </c>
    </row>
    <row r="1194" spans="1:11" ht="42" customHeight="1">
      <c r="A1194" s="2" t="s">
        <v>2690</v>
      </c>
      <c r="B1194" s="2" t="s">
        <v>2690</v>
      </c>
      <c r="C1194" s="2" t="s">
        <v>17</v>
      </c>
      <c r="D1194" s="2" t="s">
        <v>18</v>
      </c>
      <c r="E1194" s="5">
        <v>-28029</v>
      </c>
      <c r="F1194" s="3" t="s">
        <v>141</v>
      </c>
      <c r="G1194" s="3" t="s">
        <v>27</v>
      </c>
      <c r="H1194" s="2" t="s">
        <v>21</v>
      </c>
      <c r="I1194" s="2" t="s">
        <v>2696</v>
      </c>
      <c r="J1194" s="3" t="str">
        <f>HYPERLINK("https://www.boe.es/gazeta/dias/1823/04/04/pdfs/GMD-1823-98.pdf#page=2","Abrir facsímil")</f>
        <v>Abrir facsímil</v>
      </c>
      <c r="K1194" s="3" t="s">
        <v>23</v>
      </c>
    </row>
    <row r="1195" spans="1:11" ht="42" customHeight="1">
      <c r="A1195" s="2" t="s">
        <v>2690</v>
      </c>
      <c r="B1195" s="2" t="s">
        <v>2690</v>
      </c>
      <c r="C1195" s="2" t="s">
        <v>17</v>
      </c>
      <c r="D1195" s="2" t="s">
        <v>18</v>
      </c>
      <c r="E1195" s="5">
        <v>-28021</v>
      </c>
      <c r="F1195" s="3" t="s">
        <v>2669</v>
      </c>
      <c r="G1195" s="3" t="s">
        <v>39</v>
      </c>
      <c r="H1195" s="2" t="s">
        <v>21</v>
      </c>
      <c r="I1195" s="2" t="s">
        <v>2697</v>
      </c>
      <c r="J1195" s="3" t="str">
        <f>HYPERLINK("https://www.boe.es/gazeta/dias/1823/04/12/pdfs/GES-1823-2.pdf#page=1","Abrir facsímil")</f>
        <v>Abrir facsímil</v>
      </c>
      <c r="K1195" s="3" t="s">
        <v>23</v>
      </c>
    </row>
    <row r="1196" spans="1:11" ht="42" customHeight="1">
      <c r="A1196" s="2" t="s">
        <v>2690</v>
      </c>
      <c r="B1196" s="2" t="s">
        <v>2690</v>
      </c>
      <c r="C1196" s="2" t="s">
        <v>17</v>
      </c>
      <c r="D1196" s="2" t="s">
        <v>18</v>
      </c>
      <c r="E1196" s="5">
        <v>-28021</v>
      </c>
      <c r="F1196" s="3" t="s">
        <v>2669</v>
      </c>
      <c r="G1196" s="3" t="s">
        <v>27</v>
      </c>
      <c r="H1196" s="2" t="s">
        <v>21</v>
      </c>
      <c r="I1196" s="2" t="s">
        <v>2698</v>
      </c>
      <c r="J1196" s="3" t="str">
        <f>HYPERLINK("https://www.boe.es/gazeta/dias/1823/04/12/pdfs/GES-1823-2.pdf#page=2","Abrir facsímil")</f>
        <v>Abrir facsímil</v>
      </c>
      <c r="K1196" s="3" t="s">
        <v>23</v>
      </c>
    </row>
    <row r="1197" spans="1:11" ht="42" customHeight="1">
      <c r="A1197" s="2" t="s">
        <v>2690</v>
      </c>
      <c r="B1197" s="2" t="s">
        <v>2690</v>
      </c>
      <c r="C1197" s="2" t="s">
        <v>17</v>
      </c>
      <c r="D1197" s="2" t="s">
        <v>18</v>
      </c>
      <c r="E1197" s="5">
        <v>-28011</v>
      </c>
      <c r="F1197" s="3" t="s">
        <v>2416</v>
      </c>
      <c r="G1197" s="3" t="s">
        <v>48</v>
      </c>
      <c r="H1197" s="2" t="s">
        <v>21</v>
      </c>
      <c r="I1197" s="2" t="s">
        <v>2699</v>
      </c>
      <c r="J1197" s="3" t="str">
        <f>HYPERLINK("https://www.boe.es/gazeta/dias/1823/04/22/pdfs/GMD-1823-42.pdf#page=3","Abrir facsímil")</f>
        <v>Abrir facsímil</v>
      </c>
      <c r="K1197" s="3" t="s">
        <v>23</v>
      </c>
    </row>
    <row r="1198" spans="1:11" ht="42" customHeight="1">
      <c r="A1198" s="2" t="s">
        <v>2690</v>
      </c>
      <c r="B1198" s="2" t="s">
        <v>2690</v>
      </c>
      <c r="C1198" s="2" t="s">
        <v>17</v>
      </c>
      <c r="D1198" s="2" t="s">
        <v>18</v>
      </c>
      <c r="E1198" s="5">
        <v>-28006</v>
      </c>
      <c r="F1198" s="3" t="s">
        <v>183</v>
      </c>
      <c r="G1198" s="3" t="s">
        <v>59</v>
      </c>
      <c r="H1198" s="2" t="s">
        <v>21</v>
      </c>
      <c r="I1198" s="2" t="s">
        <v>2700</v>
      </c>
      <c r="J1198" s="3" t="str">
        <f>HYPERLINK("https://www.boe.es/gazeta/dias/1823/04/27/pdfs/GES-1823-17.pdf#page=6","Abrir facsímil")</f>
        <v>Abrir facsímil</v>
      </c>
      <c r="K1198" s="3" t="s">
        <v>23</v>
      </c>
    </row>
    <row r="1199" spans="1:11" ht="42" customHeight="1">
      <c r="A1199" s="2" t="s">
        <v>2690</v>
      </c>
      <c r="B1199" s="2" t="s">
        <v>2690</v>
      </c>
      <c r="C1199" s="2" t="s">
        <v>17</v>
      </c>
      <c r="D1199" s="2" t="s">
        <v>18</v>
      </c>
      <c r="E1199" s="5">
        <v>-28000</v>
      </c>
      <c r="F1199" s="3" t="s">
        <v>138</v>
      </c>
      <c r="G1199" s="3" t="s">
        <v>20</v>
      </c>
      <c r="H1199" s="2" t="s">
        <v>21</v>
      </c>
      <c r="I1199" s="2" t="s">
        <v>2701</v>
      </c>
      <c r="J1199" s="3" t="str">
        <f>HYPERLINK("https://www.boe.es/gazeta/dias/1823/05/03/pdfs/GMD-1823-92.pdf#page=4","Abrir facsímil")</f>
        <v>Abrir facsímil</v>
      </c>
      <c r="K1199" s="3" t="s">
        <v>23</v>
      </c>
    </row>
    <row r="1200" spans="1:11" ht="42" customHeight="1">
      <c r="A1200" s="2" t="s">
        <v>2690</v>
      </c>
      <c r="B1200" s="2" t="s">
        <v>2690</v>
      </c>
      <c r="C1200" s="2" t="s">
        <v>17</v>
      </c>
      <c r="D1200" s="2" t="s">
        <v>18</v>
      </c>
      <c r="E1200" s="5">
        <v>-27995</v>
      </c>
      <c r="F1200" s="3" t="s">
        <v>320</v>
      </c>
      <c r="G1200" s="3" t="s">
        <v>39</v>
      </c>
      <c r="H1200" s="2" t="s">
        <v>21</v>
      </c>
      <c r="I1200" s="2" t="s">
        <v>2702</v>
      </c>
      <c r="J1200" s="3" t="str">
        <f>HYPERLINK("https://www.boe.es/gazeta/dias/1823/05/08/pdfs/GES-1823-28.pdf#page=1","Abrir facsímil")</f>
        <v>Abrir facsímil</v>
      </c>
      <c r="K1200" s="3" t="s">
        <v>23</v>
      </c>
    </row>
    <row r="1201" spans="1:11" ht="42" customHeight="1">
      <c r="A1201" s="2" t="s">
        <v>2690</v>
      </c>
      <c r="B1201" s="2" t="s">
        <v>2690</v>
      </c>
      <c r="C1201" s="2" t="s">
        <v>17</v>
      </c>
      <c r="D1201" s="2" t="s">
        <v>18</v>
      </c>
      <c r="E1201" s="5">
        <v>-27989</v>
      </c>
      <c r="F1201" s="3" t="s">
        <v>1134</v>
      </c>
      <c r="G1201" s="3" t="s">
        <v>39</v>
      </c>
      <c r="H1201" s="2" t="s">
        <v>21</v>
      </c>
      <c r="I1201" s="2" t="s">
        <v>2703</v>
      </c>
      <c r="J1201" s="3" t="str">
        <f>HYPERLINK("https://www.boe.es/gazeta/dias/1823/05/14/pdfs/GES-1823-34.pdf#page=1","Abrir facsímil")</f>
        <v>Abrir facsímil</v>
      </c>
      <c r="K1201" s="3" t="s">
        <v>23</v>
      </c>
    </row>
    <row r="1202" spans="1:11" ht="42" customHeight="1">
      <c r="A1202" s="2" t="s">
        <v>2690</v>
      </c>
      <c r="B1202" s="2" t="s">
        <v>2690</v>
      </c>
      <c r="C1202" s="2" t="s">
        <v>17</v>
      </c>
      <c r="D1202" s="2" t="s">
        <v>18</v>
      </c>
      <c r="E1202" s="5">
        <v>-27984</v>
      </c>
      <c r="F1202" s="3" t="s">
        <v>335</v>
      </c>
      <c r="G1202" s="3" t="s">
        <v>59</v>
      </c>
      <c r="H1202" s="2" t="s">
        <v>21</v>
      </c>
      <c r="I1202" s="2" t="s">
        <v>2704</v>
      </c>
      <c r="J1202" s="3" t="str">
        <f>HYPERLINK("https://www.boe.es/gazeta/dias/1823/05/19/pdfs/GES-1823-39.pdf#page=6","Abrir facsímil")</f>
        <v>Abrir facsímil</v>
      </c>
      <c r="K1202" s="3" t="s">
        <v>23</v>
      </c>
    </row>
    <row r="1203" spans="1:11" ht="42" customHeight="1">
      <c r="A1203" s="2" t="s">
        <v>2690</v>
      </c>
      <c r="B1203" s="2" t="s">
        <v>2690</v>
      </c>
      <c r="C1203" s="2" t="s">
        <v>17</v>
      </c>
      <c r="D1203" s="2" t="s">
        <v>18</v>
      </c>
      <c r="E1203" s="5">
        <v>-27979</v>
      </c>
      <c r="F1203" s="3" t="s">
        <v>1071</v>
      </c>
      <c r="G1203" s="3" t="s">
        <v>59</v>
      </c>
      <c r="H1203" s="2" t="s">
        <v>21</v>
      </c>
      <c r="I1203" s="2" t="s">
        <v>2705</v>
      </c>
      <c r="J1203" s="3" t="str">
        <f>HYPERLINK("https://www.boe.es/gazeta/dias/1823/05/24/pdfs/GES-1823-45.pdf#page=6","Abrir facsímil")</f>
        <v>Abrir facsímil</v>
      </c>
      <c r="K1203" s="3" t="s">
        <v>23</v>
      </c>
    </row>
    <row r="1204" spans="1:11" ht="42" customHeight="1">
      <c r="A1204" s="2" t="s">
        <v>2690</v>
      </c>
      <c r="B1204" s="2" t="s">
        <v>2690</v>
      </c>
      <c r="C1204" s="2" t="s">
        <v>17</v>
      </c>
      <c r="D1204" s="2" t="s">
        <v>18</v>
      </c>
      <c r="E1204" s="5">
        <v>-27973</v>
      </c>
      <c r="F1204" s="3" t="s">
        <v>758</v>
      </c>
      <c r="G1204" s="3" t="s">
        <v>48</v>
      </c>
      <c r="H1204" s="2" t="s">
        <v>21</v>
      </c>
      <c r="I1204" s="2" t="s">
        <v>2706</v>
      </c>
      <c r="J1204" s="3" t="str">
        <f>HYPERLINK("https://www.boe.es/gazeta/dias/1823/05/30/pdfs/GES-1823-53.pdf#page=3","Abrir facsímil")</f>
        <v>Abrir facsímil</v>
      </c>
      <c r="K1204" s="3" t="s">
        <v>23</v>
      </c>
    </row>
    <row r="1205" spans="1:11" ht="42" customHeight="1">
      <c r="A1205" s="2" t="s">
        <v>2690</v>
      </c>
      <c r="B1205" s="2" t="s">
        <v>2690</v>
      </c>
      <c r="C1205" s="2" t="s">
        <v>17</v>
      </c>
      <c r="D1205" s="2" t="s">
        <v>18</v>
      </c>
      <c r="E1205" s="5">
        <v>-27966</v>
      </c>
      <c r="F1205" s="3" t="s">
        <v>675</v>
      </c>
      <c r="G1205" s="3" t="s">
        <v>34</v>
      </c>
      <c r="H1205" s="2" t="s">
        <v>21</v>
      </c>
      <c r="I1205" s="2" t="s">
        <v>2707</v>
      </c>
      <c r="J1205" s="3" t="str">
        <f>HYPERLINK("https://www.boe.es/gazeta/dias/1823/06/06/pdfs/GES-1823-60.pdf#page=5","Abrir facsímil")</f>
        <v>Abrir facsímil</v>
      </c>
      <c r="K1205" s="3" t="s">
        <v>23</v>
      </c>
    </row>
    <row r="1206" spans="1:11" ht="42" customHeight="1">
      <c r="A1206" s="2" t="s">
        <v>2690</v>
      </c>
      <c r="B1206" s="2" t="s">
        <v>2690</v>
      </c>
      <c r="C1206" s="2" t="s">
        <v>17</v>
      </c>
      <c r="D1206" s="2" t="s">
        <v>18</v>
      </c>
      <c r="E1206" s="5">
        <v>-27963</v>
      </c>
      <c r="F1206" s="3" t="s">
        <v>344</v>
      </c>
      <c r="G1206" s="3" t="s">
        <v>27</v>
      </c>
      <c r="H1206" s="2" t="s">
        <v>21</v>
      </c>
      <c r="I1206" s="2" t="s">
        <v>2708</v>
      </c>
      <c r="J1206" s="3" t="str">
        <f>HYPERLINK("https://www.boe.es/gazeta/dias/1823/06/09/pdfs/GES-1823-63.pdf#page=2","Abrir facsímil")</f>
        <v>Abrir facsímil</v>
      </c>
      <c r="K1206" s="3" t="s">
        <v>23</v>
      </c>
    </row>
    <row r="1207" spans="1:11" ht="42" customHeight="1">
      <c r="A1207" s="2" t="s">
        <v>2690</v>
      </c>
      <c r="B1207" s="2" t="s">
        <v>2690</v>
      </c>
      <c r="C1207" s="2" t="s">
        <v>17</v>
      </c>
      <c r="D1207" s="2" t="s">
        <v>18</v>
      </c>
      <c r="E1207" s="5">
        <v>-27949</v>
      </c>
      <c r="F1207" s="3" t="s">
        <v>1162</v>
      </c>
      <c r="G1207" s="3" t="s">
        <v>39</v>
      </c>
      <c r="H1207" s="2" t="s">
        <v>21</v>
      </c>
      <c r="I1207" s="2" t="s">
        <v>2709</v>
      </c>
      <c r="J1207" s="3" t="str">
        <f>HYPERLINK("https://www.boe.es/gazeta/dias/1823/06/23/pdfs/GES-1823-71.pdf#page=1","Abrir facsímil")</f>
        <v>Abrir facsímil</v>
      </c>
      <c r="K1207" s="3" t="s">
        <v>23</v>
      </c>
    </row>
    <row r="1208" spans="1:11" ht="42" customHeight="1">
      <c r="A1208" s="2" t="s">
        <v>2690</v>
      </c>
      <c r="B1208" s="2" t="s">
        <v>2690</v>
      </c>
      <c r="C1208" s="2" t="s">
        <v>17</v>
      </c>
      <c r="D1208" s="2" t="s">
        <v>18</v>
      </c>
      <c r="E1208" s="5">
        <v>-27920</v>
      </c>
      <c r="F1208" s="3" t="s">
        <v>1334</v>
      </c>
      <c r="G1208" s="3" t="s">
        <v>39</v>
      </c>
      <c r="H1208" s="2" t="s">
        <v>21</v>
      </c>
      <c r="I1208" s="2" t="s">
        <v>2710</v>
      </c>
      <c r="J1208" s="3" t="str">
        <f>HYPERLINK("https://www.boe.es/gazeta/dias/1823/07/22/pdfs/GMD-1823-443.pdf#page=1","Abrir facsímil")</f>
        <v>Abrir facsímil</v>
      </c>
      <c r="K1208" s="3" t="s">
        <v>23</v>
      </c>
    </row>
    <row r="1209" spans="1:11" ht="42" customHeight="1">
      <c r="A1209" s="2" t="s">
        <v>2690</v>
      </c>
      <c r="B1209" s="2" t="s">
        <v>2690</v>
      </c>
      <c r="C1209" s="2" t="s">
        <v>17</v>
      </c>
      <c r="D1209" s="2" t="s">
        <v>18</v>
      </c>
      <c r="E1209" s="5">
        <v>-27917</v>
      </c>
      <c r="F1209" s="3" t="s">
        <v>363</v>
      </c>
      <c r="G1209" s="3" t="s">
        <v>20</v>
      </c>
      <c r="H1209" s="2" t="s">
        <v>21</v>
      </c>
      <c r="I1209" s="2" t="s">
        <v>2711</v>
      </c>
      <c r="J1209" s="3" t="str">
        <f>HYPERLINK("https://www.boe.es/gazeta/dias/1823/07/25/pdfs/GES-1823-106.pdf#page=4","Abrir facsímil")</f>
        <v>Abrir facsímil</v>
      </c>
      <c r="K1209" s="3" t="s">
        <v>23</v>
      </c>
    </row>
    <row r="1210" spans="1:11" ht="42" customHeight="1">
      <c r="A1210" s="2" t="s">
        <v>2690</v>
      </c>
      <c r="B1210" s="2" t="s">
        <v>2690</v>
      </c>
      <c r="C1210" s="2" t="s">
        <v>17</v>
      </c>
      <c r="D1210" s="2" t="s">
        <v>18</v>
      </c>
      <c r="E1210" s="5">
        <v>-27904</v>
      </c>
      <c r="F1210" s="3" t="s">
        <v>1227</v>
      </c>
      <c r="G1210" s="3" t="s">
        <v>20</v>
      </c>
      <c r="H1210" s="2" t="s">
        <v>21</v>
      </c>
      <c r="I1210" s="2" t="s">
        <v>2712</v>
      </c>
      <c r="J1210" s="3" t="str">
        <f>HYPERLINK("https://www.boe.es/gazeta/dias/1823/08/07/pdfs/GMD-1823-543.pdf#page=4","Abrir facsímil")</f>
        <v>Abrir facsímil</v>
      </c>
      <c r="K1210" s="3" t="s">
        <v>23</v>
      </c>
    </row>
    <row r="1211" spans="1:11" ht="42" customHeight="1">
      <c r="A1211" s="2" t="s">
        <v>2690</v>
      </c>
      <c r="B1211" s="2" t="s">
        <v>2690</v>
      </c>
      <c r="C1211" s="2" t="s">
        <v>17</v>
      </c>
      <c r="D1211" s="2" t="s">
        <v>18</v>
      </c>
      <c r="E1211" s="5">
        <v>-27902</v>
      </c>
      <c r="F1211" s="3" t="s">
        <v>259</v>
      </c>
      <c r="G1211" s="3" t="s">
        <v>48</v>
      </c>
      <c r="H1211" s="2" t="s">
        <v>21</v>
      </c>
      <c r="I1211" s="2" t="s">
        <v>2713</v>
      </c>
      <c r="J1211" s="3" t="str">
        <f>HYPERLINK("https://www.boe.es/gazeta/dias/1823/08/09/pdfs/GMD-1823-563.pdf#page=3","Abrir facsímil")</f>
        <v>Abrir facsímil</v>
      </c>
      <c r="K1211" s="3" t="s">
        <v>23</v>
      </c>
    </row>
    <row r="1212" spans="1:11" ht="42" customHeight="1">
      <c r="A1212" s="2" t="s">
        <v>2690</v>
      </c>
      <c r="B1212" s="2" t="s">
        <v>2690</v>
      </c>
      <c r="C1212" s="2" t="s">
        <v>17</v>
      </c>
      <c r="D1212" s="2" t="s">
        <v>18</v>
      </c>
      <c r="E1212" s="5">
        <v>-27900</v>
      </c>
      <c r="F1212" s="3" t="s">
        <v>2714</v>
      </c>
      <c r="G1212" s="3" t="s">
        <v>20</v>
      </c>
      <c r="H1212" s="2" t="s">
        <v>21</v>
      </c>
      <c r="I1212" s="2" t="s">
        <v>2715</v>
      </c>
      <c r="J1212" s="3" t="str">
        <f>HYPERLINK("https://www.boe.es/gazeta/dias/1823/08/11/pdfs/GES-1823-124.pdf#page=4","Abrir facsímil")</f>
        <v>Abrir facsímil</v>
      </c>
      <c r="K1212" s="3" t="s">
        <v>23</v>
      </c>
    </row>
    <row r="1213" spans="1:11" ht="42" customHeight="1">
      <c r="A1213" s="2" t="s">
        <v>2690</v>
      </c>
      <c r="B1213" s="2" t="s">
        <v>2690</v>
      </c>
      <c r="C1213" s="2" t="s">
        <v>17</v>
      </c>
      <c r="D1213" s="2" t="s">
        <v>18</v>
      </c>
      <c r="E1213" s="5">
        <v>-27899</v>
      </c>
      <c r="F1213" s="3" t="s">
        <v>215</v>
      </c>
      <c r="G1213" s="3" t="s">
        <v>39</v>
      </c>
      <c r="H1213" s="2" t="s">
        <v>21</v>
      </c>
      <c r="I1213" s="2" t="s">
        <v>2716</v>
      </c>
      <c r="J1213" s="3" t="str">
        <f>HYPERLINK("https://www.boe.es/gazeta/dias/1823/08/12/pdfs/GMD-1823-583.pdf#page=1","Abrir facsímil")</f>
        <v>Abrir facsímil</v>
      </c>
      <c r="K1213" s="3" t="s">
        <v>23</v>
      </c>
    </row>
    <row r="1214" spans="1:11" ht="42" customHeight="1">
      <c r="A1214" s="2" t="s">
        <v>2690</v>
      </c>
      <c r="B1214" s="2" t="s">
        <v>2690</v>
      </c>
      <c r="C1214" s="2" t="s">
        <v>17</v>
      </c>
      <c r="D1214" s="2" t="s">
        <v>18</v>
      </c>
      <c r="E1214" s="5">
        <v>-27883</v>
      </c>
      <c r="F1214" s="3" t="s">
        <v>2318</v>
      </c>
      <c r="G1214" s="3" t="s">
        <v>20</v>
      </c>
      <c r="H1214" s="2" t="s">
        <v>21</v>
      </c>
      <c r="I1214" s="2" t="s">
        <v>2717</v>
      </c>
      <c r="J1214" s="3" t="str">
        <f>HYPERLINK("https://www.boe.es/gazeta/dias/1823/08/28/pdfs/GMD-1823-663.pdf#page=4","Abrir facsímil")</f>
        <v>Abrir facsímil</v>
      </c>
      <c r="K1214" s="3" t="s">
        <v>23</v>
      </c>
    </row>
    <row r="1215" spans="1:11" ht="42" customHeight="1">
      <c r="A1215" s="2" t="s">
        <v>2690</v>
      </c>
      <c r="B1215" s="2" t="s">
        <v>2690</v>
      </c>
      <c r="C1215" s="2" t="s">
        <v>17</v>
      </c>
      <c r="D1215" s="2" t="s">
        <v>18</v>
      </c>
      <c r="E1215" s="5">
        <v>-27881</v>
      </c>
      <c r="F1215" s="3" t="s">
        <v>725</v>
      </c>
      <c r="G1215" s="3" t="s">
        <v>48</v>
      </c>
      <c r="H1215" s="2" t="s">
        <v>21</v>
      </c>
      <c r="I1215" s="2" t="s">
        <v>2718</v>
      </c>
      <c r="J1215" s="3" t="str">
        <f>HYPERLINK("https://www.boe.es/gazeta/dias/1823/08/30/pdfs/GMD-1823-673.pdf#page=3","Abrir facsímil")</f>
        <v>Abrir facsímil</v>
      </c>
      <c r="K1215" s="3" t="s">
        <v>23</v>
      </c>
    </row>
    <row r="1216" spans="1:11" ht="42" customHeight="1">
      <c r="A1216" s="2" t="s">
        <v>2690</v>
      </c>
      <c r="B1216" s="2" t="s">
        <v>2690</v>
      </c>
      <c r="C1216" s="2" t="s">
        <v>17</v>
      </c>
      <c r="D1216" s="2" t="s">
        <v>18</v>
      </c>
      <c r="E1216" s="5">
        <v>-27878</v>
      </c>
      <c r="F1216" s="3" t="s">
        <v>1581</v>
      </c>
      <c r="G1216" s="3" t="s">
        <v>20</v>
      </c>
      <c r="H1216" s="2" t="s">
        <v>21</v>
      </c>
      <c r="I1216" s="2" t="s">
        <v>2719</v>
      </c>
      <c r="J1216" s="3" t="str">
        <f>HYPERLINK("https://www.boe.es/gazeta/dias/1823/09/02/pdfs/GMD-1823-683.pdf#page=4","Abrir facsímil")</f>
        <v>Abrir facsímil</v>
      </c>
      <c r="K1216" s="3" t="s">
        <v>23</v>
      </c>
    </row>
    <row r="1217" spans="1:11" ht="42" customHeight="1">
      <c r="A1217" s="2" t="s">
        <v>2690</v>
      </c>
      <c r="B1217" s="2" t="s">
        <v>2690</v>
      </c>
      <c r="C1217" s="2" t="s">
        <v>17</v>
      </c>
      <c r="D1217" s="2" t="s">
        <v>18</v>
      </c>
      <c r="E1217" s="5">
        <v>-27874</v>
      </c>
      <c r="F1217" s="3" t="s">
        <v>1410</v>
      </c>
      <c r="G1217" s="3" t="s">
        <v>48</v>
      </c>
      <c r="H1217" s="2" t="s">
        <v>21</v>
      </c>
      <c r="I1217" s="2" t="s">
        <v>2720</v>
      </c>
      <c r="J1217" s="3" t="str">
        <f>HYPERLINK("https://www.boe.es/gazeta/dias/1823/09/06/pdfs/GES-1823-150.pdf#page=3","Abrir facsímil")</f>
        <v>Abrir facsímil</v>
      </c>
      <c r="K1217" s="3" t="s">
        <v>23</v>
      </c>
    </row>
    <row r="1218" spans="1:11" ht="42" customHeight="1">
      <c r="A1218" s="2" t="s">
        <v>2690</v>
      </c>
      <c r="B1218" s="2" t="s">
        <v>2690</v>
      </c>
      <c r="C1218" s="2" t="s">
        <v>17</v>
      </c>
      <c r="D1218" s="2" t="s">
        <v>18</v>
      </c>
      <c r="E1218" s="5">
        <v>-27870</v>
      </c>
      <c r="F1218" s="3" t="s">
        <v>376</v>
      </c>
      <c r="G1218" s="3" t="s">
        <v>20</v>
      </c>
      <c r="H1218" s="2" t="s">
        <v>21</v>
      </c>
      <c r="I1218" s="2" t="s">
        <v>2721</v>
      </c>
      <c r="J1218" s="3" t="str">
        <f>HYPERLINK("https://www.boe.es/gazeta/dias/1823/09/10/pdfs/GES-1823-154.pdf#page=4","Abrir facsímil")</f>
        <v>Abrir facsímil</v>
      </c>
      <c r="K1218" s="3" t="s">
        <v>23</v>
      </c>
    </row>
    <row r="1219" spans="1:11" ht="42" customHeight="1">
      <c r="A1219" s="2" t="s">
        <v>2690</v>
      </c>
      <c r="B1219" s="2" t="s">
        <v>2690</v>
      </c>
      <c r="C1219" s="2" t="s">
        <v>17</v>
      </c>
      <c r="D1219" s="2" t="s">
        <v>18</v>
      </c>
      <c r="E1219" s="5">
        <v>-27859</v>
      </c>
      <c r="F1219" s="3" t="s">
        <v>2722</v>
      </c>
      <c r="G1219" s="3" t="s">
        <v>39</v>
      </c>
      <c r="H1219" s="2" t="s">
        <v>21</v>
      </c>
      <c r="I1219" s="2" t="s">
        <v>2723</v>
      </c>
      <c r="J1219" s="3" t="str">
        <f>HYPERLINK("https://www.boe.es/gazeta/dias/1823/09/21/pdfs/GES-1823-165.pdf#page=1","Abrir facsímil")</f>
        <v>Abrir facsímil</v>
      </c>
      <c r="K1219" s="3" t="s">
        <v>23</v>
      </c>
    </row>
    <row r="1220" spans="1:11" ht="42" customHeight="1">
      <c r="A1220" s="2" t="s">
        <v>2724</v>
      </c>
      <c r="B1220" s="2" t="s">
        <v>2725</v>
      </c>
      <c r="C1220" s="2" t="s">
        <v>17</v>
      </c>
      <c r="D1220" s="2" t="s">
        <v>18</v>
      </c>
      <c r="E1220" s="5">
        <v>-27829</v>
      </c>
      <c r="F1220" s="3" t="s">
        <v>228</v>
      </c>
      <c r="G1220" s="3" t="s">
        <v>20</v>
      </c>
      <c r="H1220" s="2" t="s">
        <v>21</v>
      </c>
      <c r="I1220" s="2" t="s">
        <v>2726</v>
      </c>
      <c r="J1220" s="3" t="str">
        <f>HYPERLINK("https://www.boe.es/gazeta/dias/1823/10/21/pdfs/GMD-1823-1003.pdf#page=4","Abrir facsímil")</f>
        <v>Abrir facsímil</v>
      </c>
      <c r="K1220" s="3" t="s">
        <v>23</v>
      </c>
    </row>
    <row r="1221" spans="1:11" ht="42" customHeight="1">
      <c r="A1221" s="2" t="s">
        <v>2727</v>
      </c>
      <c r="B1221" s="2" t="s">
        <v>2728</v>
      </c>
      <c r="C1221" s="2" t="s">
        <v>56</v>
      </c>
      <c r="D1221" s="2" t="s">
        <v>57</v>
      </c>
      <c r="E1221" s="5">
        <v>-27994</v>
      </c>
      <c r="F1221" s="3" t="s">
        <v>714</v>
      </c>
      <c r="G1221" s="3" t="s">
        <v>715</v>
      </c>
      <c r="H1221" s="2" t="s">
        <v>21</v>
      </c>
      <c r="I1221" s="2" t="s">
        <v>2729</v>
      </c>
      <c r="J1221" s="3" t="str">
        <f>HYPERLINK("https://www.boe.es/gazeta/dias/1823/05/09/pdfs/GES-1823-29.pdf#page=8","Abrir facsímil")</f>
        <v>Abrir facsímil</v>
      </c>
      <c r="K1221" s="3" t="s">
        <v>23</v>
      </c>
    </row>
    <row r="1222" spans="1:11" ht="42" customHeight="1">
      <c r="A1222" s="2" t="s">
        <v>2730</v>
      </c>
      <c r="B1222" s="2" t="s">
        <v>2731</v>
      </c>
      <c r="C1222" s="2" t="s">
        <v>17</v>
      </c>
      <c r="D1222" s="2" t="s">
        <v>18</v>
      </c>
      <c r="E1222" s="5">
        <v>-28095</v>
      </c>
      <c r="F1222" s="3" t="s">
        <v>1770</v>
      </c>
      <c r="G1222" s="3" t="s">
        <v>27</v>
      </c>
      <c r="H1222" s="2" t="s">
        <v>21</v>
      </c>
      <c r="I1222" s="2" t="s">
        <v>2732</v>
      </c>
      <c r="J1222" s="3" t="str">
        <f>HYPERLINK("https://www.boe.es/gazeta/dias/1823/01/28/pdfs/GMD-1823-29.pdf#page=2","Abrir facsímil")</f>
        <v>Abrir facsímil</v>
      </c>
      <c r="K1222" s="3" t="s">
        <v>23</v>
      </c>
    </row>
    <row r="1223" spans="1:11" ht="42" customHeight="1">
      <c r="A1223" s="2" t="s">
        <v>2730</v>
      </c>
      <c r="B1223" s="2" t="s">
        <v>2731</v>
      </c>
      <c r="C1223" s="2" t="s">
        <v>17</v>
      </c>
      <c r="D1223" s="2" t="s">
        <v>18</v>
      </c>
      <c r="E1223" s="5">
        <v>-28051</v>
      </c>
      <c r="F1223" s="3" t="s">
        <v>305</v>
      </c>
      <c r="G1223" s="3" t="s">
        <v>39</v>
      </c>
      <c r="H1223" s="2" t="s">
        <v>21</v>
      </c>
      <c r="I1223" s="2" t="s">
        <v>2733</v>
      </c>
      <c r="J1223" s="3" t="str">
        <f>HYPERLINK("https://www.boe.es/gazeta/dias/1823/03/13/pdfs/GMD-1823-76.pdf#page=1","Abrir facsímil")</f>
        <v>Abrir facsímil</v>
      </c>
      <c r="K1223" s="3" t="s">
        <v>23</v>
      </c>
    </row>
    <row r="1224" spans="1:11" ht="42" customHeight="1">
      <c r="A1224" s="2" t="s">
        <v>2730</v>
      </c>
      <c r="B1224" s="2" t="s">
        <v>2731</v>
      </c>
      <c r="C1224" s="2" t="s">
        <v>17</v>
      </c>
      <c r="D1224" s="2" t="s">
        <v>18</v>
      </c>
      <c r="E1224" s="5">
        <v>-27906</v>
      </c>
      <c r="F1224" s="3" t="s">
        <v>1527</v>
      </c>
      <c r="G1224" s="3" t="s">
        <v>27</v>
      </c>
      <c r="H1224" s="2" t="s">
        <v>21</v>
      </c>
      <c r="I1224" s="2" t="s">
        <v>2734</v>
      </c>
      <c r="J1224" s="3" t="str">
        <f>HYPERLINK("https://www.boe.es/gazeta/dias/1823/08/05/pdfs/GMD-1823-533.pdf#page=2","Abrir facsímil")</f>
        <v>Abrir facsímil</v>
      </c>
      <c r="K1224" s="3" t="s">
        <v>23</v>
      </c>
    </row>
    <row r="1225" spans="1:11" ht="42" customHeight="1">
      <c r="A1225" s="2" t="s">
        <v>2730</v>
      </c>
      <c r="B1225" s="2" t="s">
        <v>2731</v>
      </c>
      <c r="C1225" s="2" t="s">
        <v>17</v>
      </c>
      <c r="D1225" s="2" t="s">
        <v>18</v>
      </c>
      <c r="E1225" s="5">
        <v>-27902</v>
      </c>
      <c r="F1225" s="3" t="s">
        <v>259</v>
      </c>
      <c r="G1225" s="3" t="s">
        <v>48</v>
      </c>
      <c r="H1225" s="2" t="s">
        <v>21</v>
      </c>
      <c r="I1225" s="2" t="s">
        <v>2735</v>
      </c>
      <c r="J1225" s="3" t="str">
        <f>HYPERLINK("https://www.boe.es/gazeta/dias/1823/08/09/pdfs/GMD-1823-563.pdf#page=3","Abrir facsímil")</f>
        <v>Abrir facsímil</v>
      </c>
      <c r="K1225" s="3" t="s">
        <v>23</v>
      </c>
    </row>
    <row r="1226" spans="1:11" ht="42" customHeight="1">
      <c r="A1226" s="2" t="s">
        <v>2730</v>
      </c>
      <c r="B1226" s="2" t="s">
        <v>2731</v>
      </c>
      <c r="C1226" s="2" t="s">
        <v>17</v>
      </c>
      <c r="D1226" s="2" t="s">
        <v>18</v>
      </c>
      <c r="E1226" s="5">
        <v>-27874</v>
      </c>
      <c r="F1226" s="3" t="s">
        <v>1410</v>
      </c>
      <c r="G1226" s="3" t="s">
        <v>48</v>
      </c>
      <c r="H1226" s="2" t="s">
        <v>21</v>
      </c>
      <c r="I1226" s="2" t="s">
        <v>2736</v>
      </c>
      <c r="J1226" s="3" t="str">
        <f>HYPERLINK("https://www.boe.es/gazeta/dias/1823/09/06/pdfs/GES-1823-150.pdf#page=3","Abrir facsímil")</f>
        <v>Abrir facsímil</v>
      </c>
      <c r="K1226" s="3" t="s">
        <v>23</v>
      </c>
    </row>
    <row r="1227" spans="1:11" ht="42" customHeight="1">
      <c r="A1227" s="2" t="s">
        <v>2737</v>
      </c>
      <c r="B1227" s="2" t="s">
        <v>2738</v>
      </c>
      <c r="C1227" s="2" t="s">
        <v>17</v>
      </c>
      <c r="D1227" s="2" t="s">
        <v>18</v>
      </c>
      <c r="E1227" s="5">
        <v>-27967</v>
      </c>
      <c r="F1227" s="3" t="s">
        <v>2493</v>
      </c>
      <c r="G1227" s="3" t="s">
        <v>20</v>
      </c>
      <c r="H1227" s="2" t="s">
        <v>21</v>
      </c>
      <c r="I1227" s="2" t="s">
        <v>2739</v>
      </c>
      <c r="J1227" s="3" t="str">
        <f>HYPERLINK("https://www.boe.es/gazeta/dias/1823/06/05/pdfs/GMD-1823-63.pdf#page=4","Abrir facsímil")</f>
        <v>Abrir facsímil</v>
      </c>
      <c r="K1227" s="3" t="s">
        <v>23</v>
      </c>
    </row>
    <row r="1228" spans="1:11" ht="42" customHeight="1">
      <c r="A1228" s="2" t="s">
        <v>2740</v>
      </c>
      <c r="B1228" s="2" t="s">
        <v>2741</v>
      </c>
      <c r="C1228" s="2" t="s">
        <v>17</v>
      </c>
      <c r="D1228" s="2" t="s">
        <v>18</v>
      </c>
      <c r="E1228" s="5">
        <v>-27897</v>
      </c>
      <c r="F1228" s="3" t="s">
        <v>1569</v>
      </c>
      <c r="G1228" s="3" t="s">
        <v>39</v>
      </c>
      <c r="H1228" s="2" t="s">
        <v>21</v>
      </c>
      <c r="I1228" s="2" t="s">
        <v>2742</v>
      </c>
      <c r="J1228" s="3" t="str">
        <f>HYPERLINK("https://www.boe.es/gazeta/dias/1823/08/14/pdfs/GMD-1823-593.pdf#page=1","Abrir facsímil")</f>
        <v>Abrir facsímil</v>
      </c>
      <c r="K1228" s="3" t="s">
        <v>23</v>
      </c>
    </row>
    <row r="1229" spans="1:11" ht="42" customHeight="1">
      <c r="A1229" s="2" t="s">
        <v>2740</v>
      </c>
      <c r="B1229" s="2" t="s">
        <v>2741</v>
      </c>
      <c r="C1229" s="2" t="s">
        <v>79</v>
      </c>
      <c r="D1229" s="2" t="s">
        <v>74</v>
      </c>
      <c r="E1229" s="5">
        <v>-27769</v>
      </c>
      <c r="F1229" s="3" t="s">
        <v>2743</v>
      </c>
      <c r="G1229" s="3" t="s">
        <v>39</v>
      </c>
      <c r="H1229" s="2" t="s">
        <v>21</v>
      </c>
      <c r="I1229" s="2" t="s">
        <v>2744</v>
      </c>
      <c r="J1229" s="3" t="str">
        <f>HYPERLINK("https://www.boe.es/gazeta/dias/1823/12/20/pdfs/GMD-1823-1273.pdf#page=1","Abrir facsímil")</f>
        <v>Abrir facsímil</v>
      </c>
      <c r="K1229" s="3" t="s">
        <v>23</v>
      </c>
    </row>
    <row r="1230" spans="1:11" ht="42" customHeight="1">
      <c r="A1230" s="2" t="s">
        <v>2740</v>
      </c>
      <c r="B1230" s="2" t="s">
        <v>2741</v>
      </c>
      <c r="C1230" s="2" t="s">
        <v>17</v>
      </c>
      <c r="D1230" s="2" t="s">
        <v>18</v>
      </c>
      <c r="E1230" s="5">
        <v>-27762</v>
      </c>
      <c r="F1230" s="3" t="s">
        <v>1614</v>
      </c>
      <c r="G1230" s="3" t="s">
        <v>39</v>
      </c>
      <c r="H1230" s="2" t="s">
        <v>21</v>
      </c>
      <c r="I1230" s="2" t="s">
        <v>2745</v>
      </c>
      <c r="J1230" s="3" t="str">
        <f>HYPERLINK("https://www.boe.es/gazeta/dias/1823/12/27/pdfs/GMD-1823-1303.pdf#page=1","Abrir facsímil")</f>
        <v>Abrir facsímil</v>
      </c>
      <c r="K1230" s="3" t="s">
        <v>23</v>
      </c>
    </row>
    <row r="1231" spans="1:11" ht="42" customHeight="1">
      <c r="A1231" s="2" t="s">
        <v>2746</v>
      </c>
      <c r="B1231" s="2" t="s">
        <v>2747</v>
      </c>
      <c r="C1231" s="2" t="s">
        <v>17</v>
      </c>
      <c r="D1231" s="2" t="s">
        <v>18</v>
      </c>
      <c r="E1231" s="5">
        <v>-27846</v>
      </c>
      <c r="F1231" s="3" t="s">
        <v>2535</v>
      </c>
      <c r="G1231" s="3" t="s">
        <v>48</v>
      </c>
      <c r="H1231" s="2" t="s">
        <v>21</v>
      </c>
      <c r="I1231" s="2" t="s">
        <v>2748</v>
      </c>
      <c r="J1231" s="3" t="str">
        <f>HYPERLINK("https://www.boe.es/gazeta/dias/1823/10/04/pdfs/GMD-1823-913.pdf#page=3","Abrir facsímil")</f>
        <v>Abrir facsímil</v>
      </c>
      <c r="K1231" s="3" t="s">
        <v>23</v>
      </c>
    </row>
    <row r="1232" spans="1:11" ht="42" customHeight="1">
      <c r="A1232" s="2" t="s">
        <v>2749</v>
      </c>
      <c r="B1232" s="2" t="s">
        <v>2750</v>
      </c>
      <c r="C1232" s="2" t="s">
        <v>109</v>
      </c>
      <c r="D1232" s="2" t="s">
        <v>74</v>
      </c>
      <c r="E1232" s="5">
        <v>-28094</v>
      </c>
      <c r="F1232" s="3" t="s">
        <v>93</v>
      </c>
      <c r="G1232" s="3" t="s">
        <v>27</v>
      </c>
      <c r="H1232" s="2" t="s">
        <v>21</v>
      </c>
      <c r="I1232" s="2" t="s">
        <v>2751</v>
      </c>
      <c r="J1232" s="3" t="str">
        <f>HYPERLINK("https://www.boe.es/gazeta/dias/1823/01/29/pdfs/GMD-1823-30.pdf#page=2","Abrir facsímil")</f>
        <v>Abrir facsímil</v>
      </c>
      <c r="K1232" s="3" t="s">
        <v>23</v>
      </c>
    </row>
    <row r="1233" spans="1:11" ht="42" customHeight="1">
      <c r="A1233" s="2" t="s">
        <v>2752</v>
      </c>
      <c r="B1233" s="2" t="s">
        <v>2753</v>
      </c>
      <c r="C1233" s="2" t="s">
        <v>79</v>
      </c>
      <c r="D1233" s="2" t="s">
        <v>74</v>
      </c>
      <c r="E1233" s="5">
        <v>-27906</v>
      </c>
      <c r="F1233" s="3" t="s">
        <v>1527</v>
      </c>
      <c r="G1233" s="3" t="s">
        <v>59</v>
      </c>
      <c r="H1233" s="2" t="s">
        <v>21</v>
      </c>
      <c r="I1233" s="2" t="s">
        <v>2754</v>
      </c>
      <c r="J1233" s="3" t="str">
        <f>HYPERLINK("https://www.boe.es/gazeta/dias/1823/08/05/pdfs/GMD-1823-533.pdf#page=6","Abrir facsímil")</f>
        <v>Abrir facsímil</v>
      </c>
      <c r="K1233" s="3" t="s">
        <v>23</v>
      </c>
    </row>
    <row r="1234" spans="1:11" ht="42" customHeight="1">
      <c r="A1234" s="2" t="s">
        <v>2755</v>
      </c>
      <c r="B1234" s="2" t="s">
        <v>2755</v>
      </c>
      <c r="C1234" s="2" t="s">
        <v>17</v>
      </c>
      <c r="D1234" s="2" t="s">
        <v>18</v>
      </c>
      <c r="E1234" s="5">
        <v>-28001</v>
      </c>
      <c r="F1234" s="3" t="s">
        <v>768</v>
      </c>
      <c r="G1234" s="3" t="s">
        <v>2756</v>
      </c>
      <c r="H1234" s="2" t="s">
        <v>21</v>
      </c>
      <c r="I1234" s="2" t="s">
        <v>2757</v>
      </c>
      <c r="J1234" s="3" t="str">
        <f>HYPERLINK("https://www.boe.es/gazeta/dias/1823/05/02/pdfs/GES-1823-22.pdf#page=6","Abrir facsímil")</f>
        <v>Abrir facsímil</v>
      </c>
      <c r="K1234" s="3" t="s">
        <v>23</v>
      </c>
    </row>
    <row r="1235" spans="1:11" ht="42" customHeight="1">
      <c r="A1235" s="2" t="s">
        <v>2758</v>
      </c>
      <c r="B1235" s="2" t="s">
        <v>2759</v>
      </c>
      <c r="C1235" s="2" t="s">
        <v>17</v>
      </c>
      <c r="D1235" s="2" t="s">
        <v>18</v>
      </c>
      <c r="E1235" s="5">
        <v>-27853</v>
      </c>
      <c r="F1235" s="3" t="s">
        <v>539</v>
      </c>
      <c r="G1235" s="3" t="s">
        <v>20</v>
      </c>
      <c r="H1235" s="2" t="s">
        <v>21</v>
      </c>
      <c r="I1235" s="2" t="s">
        <v>2760</v>
      </c>
      <c r="J1235" s="3" t="str">
        <f>HYPERLINK("https://www.boe.es/gazeta/dias/1823/09/27/pdfs/GMD-1823-863.pdf#page=4","Abrir facsímil")</f>
        <v>Abrir facsímil</v>
      </c>
      <c r="K1235" s="3" t="s">
        <v>23</v>
      </c>
    </row>
    <row r="1236" spans="1:11" ht="42" customHeight="1">
      <c r="A1236" s="2" t="s">
        <v>2761</v>
      </c>
      <c r="B1236" s="2" t="s">
        <v>2762</v>
      </c>
      <c r="C1236" s="2" t="s">
        <v>17</v>
      </c>
      <c r="D1236" s="2" t="s">
        <v>18</v>
      </c>
      <c r="E1236" s="5">
        <v>-28041</v>
      </c>
      <c r="F1236" s="3" t="s">
        <v>873</v>
      </c>
      <c r="G1236" s="3" t="s">
        <v>366</v>
      </c>
      <c r="H1236" s="2" t="s">
        <v>21</v>
      </c>
      <c r="I1236" s="2" t="s">
        <v>2763</v>
      </c>
      <c r="J1236" s="3" t="str">
        <f>HYPERLINK("https://www.boe.es/gazeta/dias/1823/03/23/pdfs/GMD-1823-86.pdf#page=4","Abrir facsímil")</f>
        <v>Abrir facsímil</v>
      </c>
      <c r="K1236" s="3" t="s">
        <v>23</v>
      </c>
    </row>
    <row r="1237" spans="1:11" ht="42" customHeight="1">
      <c r="A1237" s="2" t="s">
        <v>2764</v>
      </c>
      <c r="B1237" s="2" t="s">
        <v>2765</v>
      </c>
      <c r="C1237" s="2" t="s">
        <v>17</v>
      </c>
      <c r="D1237" s="2" t="s">
        <v>18</v>
      </c>
      <c r="E1237" s="5">
        <v>-27967</v>
      </c>
      <c r="F1237" s="3" t="s">
        <v>412</v>
      </c>
      <c r="G1237" s="3" t="s">
        <v>27</v>
      </c>
      <c r="H1237" s="2" t="s">
        <v>21</v>
      </c>
      <c r="I1237" s="2" t="s">
        <v>2766</v>
      </c>
      <c r="J1237" s="3" t="str">
        <f>HYPERLINK("https://www.boe.es/gazeta/dias/1823/06/05/pdfs/GES-1823-59.pdf#page=2","Abrir facsímil")</f>
        <v>Abrir facsímil</v>
      </c>
      <c r="K1237" s="3" t="s">
        <v>23</v>
      </c>
    </row>
    <row r="1238" spans="1:11" ht="42" customHeight="1">
      <c r="A1238" s="2" t="s">
        <v>2767</v>
      </c>
      <c r="B1238" s="2" t="s">
        <v>2768</v>
      </c>
      <c r="C1238" s="2" t="s">
        <v>73</v>
      </c>
      <c r="D1238" s="2" t="s">
        <v>74</v>
      </c>
      <c r="E1238" s="5">
        <v>-27972</v>
      </c>
      <c r="F1238" s="3" t="s">
        <v>429</v>
      </c>
      <c r="G1238" s="3" t="s">
        <v>20</v>
      </c>
      <c r="H1238" s="2" t="s">
        <v>21</v>
      </c>
      <c r="I1238" s="2" t="s">
        <v>2769</v>
      </c>
      <c r="J1238" s="3" t="str">
        <f>HYPERLINK("https://www.boe.es/gazeta/dias/1823/05/31/pdfs/GES-1823-54.pdf#page=4","Abrir facsímil")</f>
        <v>Abrir facsímil</v>
      </c>
      <c r="K1238" s="3" t="s">
        <v>23</v>
      </c>
    </row>
    <row r="1239" spans="1:11" ht="42" customHeight="1">
      <c r="A1239" s="2" t="s">
        <v>2770</v>
      </c>
      <c r="B1239" s="2" t="s">
        <v>2771</v>
      </c>
      <c r="C1239" s="2" t="s">
        <v>84</v>
      </c>
      <c r="D1239" s="2" t="s">
        <v>74</v>
      </c>
      <c r="E1239" s="5">
        <v>-28120</v>
      </c>
      <c r="F1239" s="3" t="s">
        <v>2772</v>
      </c>
      <c r="G1239" s="3" t="s">
        <v>20</v>
      </c>
      <c r="H1239" s="2" t="s">
        <v>21</v>
      </c>
      <c r="I1239" s="2" t="s">
        <v>2773</v>
      </c>
      <c r="J1239" s="3" t="str">
        <f>HYPERLINK("https://www.boe.es/gazeta/dias/1823/01/03/pdfs/GMD-1823-3.pdf#page=4","Abrir facsímil")</f>
        <v>Abrir facsímil</v>
      </c>
      <c r="K1239" s="3" t="s">
        <v>23</v>
      </c>
    </row>
    <row r="1240" spans="1:11" ht="42" customHeight="1">
      <c r="A1240" s="2" t="s">
        <v>2770</v>
      </c>
      <c r="B1240" s="2" t="s">
        <v>2771</v>
      </c>
      <c r="C1240" s="2" t="s">
        <v>109</v>
      </c>
      <c r="D1240" s="2" t="s">
        <v>74</v>
      </c>
      <c r="E1240" s="5">
        <v>-28119</v>
      </c>
      <c r="F1240" s="3" t="s">
        <v>545</v>
      </c>
      <c r="G1240" s="3" t="s">
        <v>20</v>
      </c>
      <c r="H1240" s="2" t="s">
        <v>21</v>
      </c>
      <c r="I1240" s="2" t="s">
        <v>2774</v>
      </c>
      <c r="J1240" s="3" t="str">
        <f>HYPERLINK("https://www.boe.es/gazeta/dias/1823/01/04/pdfs/GMD-1823-4.pdf#page=4","Abrir facsímil")</f>
        <v>Abrir facsímil</v>
      </c>
      <c r="K1240" s="3" t="s">
        <v>23</v>
      </c>
    </row>
    <row r="1241" spans="1:11" ht="42" customHeight="1">
      <c r="A1241" s="2" t="s">
        <v>2770</v>
      </c>
      <c r="B1241" s="2" t="s">
        <v>2771</v>
      </c>
      <c r="C1241" s="2" t="s">
        <v>17</v>
      </c>
      <c r="D1241" s="2" t="s">
        <v>18</v>
      </c>
      <c r="E1241" s="5">
        <v>-28107</v>
      </c>
      <c r="F1241" s="3" t="s">
        <v>278</v>
      </c>
      <c r="G1241" s="3" t="s">
        <v>27</v>
      </c>
      <c r="H1241" s="2" t="s">
        <v>21</v>
      </c>
      <c r="I1241" s="2" t="s">
        <v>2775</v>
      </c>
      <c r="J1241" s="3" t="str">
        <f>HYPERLINK("https://www.boe.es/gazeta/dias/1823/01/16/pdfs/GMD-1823-16.pdf#page=2","Abrir facsímil")</f>
        <v>Abrir facsímil</v>
      </c>
      <c r="K1241" s="3" t="s">
        <v>23</v>
      </c>
    </row>
    <row r="1242" spans="1:11" ht="42" customHeight="1">
      <c r="A1242" s="2" t="s">
        <v>2770</v>
      </c>
      <c r="B1242" s="2" t="s">
        <v>2771</v>
      </c>
      <c r="C1242" s="2" t="s">
        <v>79</v>
      </c>
      <c r="D1242" s="2" t="s">
        <v>74</v>
      </c>
      <c r="E1242" s="5">
        <v>-28107</v>
      </c>
      <c r="F1242" s="3" t="s">
        <v>278</v>
      </c>
      <c r="G1242" s="3" t="s">
        <v>48</v>
      </c>
      <c r="H1242" s="2" t="s">
        <v>21</v>
      </c>
      <c r="I1242" s="2" t="s">
        <v>2776</v>
      </c>
      <c r="J1242" s="3" t="str">
        <f>HYPERLINK("https://www.boe.es/gazeta/dias/1823/01/16/pdfs/GMD-1823-16.pdf#page=3","Abrir facsímil")</f>
        <v>Abrir facsímil</v>
      </c>
      <c r="K1242" s="3" t="s">
        <v>23</v>
      </c>
    </row>
    <row r="1243" spans="1:11" ht="42" customHeight="1">
      <c r="A1243" s="2" t="s">
        <v>2770</v>
      </c>
      <c r="B1243" s="2" t="s">
        <v>2771</v>
      </c>
      <c r="C1243" s="2" t="s">
        <v>84</v>
      </c>
      <c r="D1243" s="2" t="s">
        <v>74</v>
      </c>
      <c r="E1243" s="5">
        <v>-28106</v>
      </c>
      <c r="F1243" s="3" t="s">
        <v>280</v>
      </c>
      <c r="G1243" s="3" t="s">
        <v>48</v>
      </c>
      <c r="H1243" s="2" t="s">
        <v>21</v>
      </c>
      <c r="I1243" s="2" t="s">
        <v>2777</v>
      </c>
      <c r="J1243" s="3" t="str">
        <f>HYPERLINK("https://www.boe.es/gazeta/dias/1823/01/17/pdfs/GMD-1823-17.pdf#page=3","Abrir facsímil")</f>
        <v>Abrir facsímil</v>
      </c>
      <c r="K1243" s="3" t="s">
        <v>23</v>
      </c>
    </row>
    <row r="1244" spans="1:11" ht="42" customHeight="1">
      <c r="A1244" s="2" t="s">
        <v>2770</v>
      </c>
      <c r="B1244" s="2" t="s">
        <v>2771</v>
      </c>
      <c r="C1244" s="2" t="s">
        <v>56</v>
      </c>
      <c r="D1244" s="2" t="s">
        <v>57</v>
      </c>
      <c r="E1244" s="5">
        <v>-28099</v>
      </c>
      <c r="F1244" s="3" t="s">
        <v>1689</v>
      </c>
      <c r="G1244" s="3" t="s">
        <v>39</v>
      </c>
      <c r="H1244" s="2" t="s">
        <v>21</v>
      </c>
      <c r="I1244" s="2" t="s">
        <v>2778</v>
      </c>
      <c r="J1244" s="3" t="str">
        <f>HYPERLINK("https://www.boe.es/gazeta/dias/1823/01/24/pdfs/GMD-1823-25.pdf#page=1","Abrir facsímil")</f>
        <v>Abrir facsímil</v>
      </c>
      <c r="K1244" s="3" t="s">
        <v>23</v>
      </c>
    </row>
    <row r="1245" spans="1:11" ht="42" customHeight="1">
      <c r="A1245" s="2" t="s">
        <v>2770</v>
      </c>
      <c r="B1245" s="2" t="s">
        <v>2771</v>
      </c>
      <c r="C1245" s="2" t="s">
        <v>79</v>
      </c>
      <c r="D1245" s="2" t="s">
        <v>74</v>
      </c>
      <c r="E1245" s="5">
        <v>-28092</v>
      </c>
      <c r="F1245" s="3" t="s">
        <v>105</v>
      </c>
      <c r="G1245" s="3" t="s">
        <v>27</v>
      </c>
      <c r="H1245" s="2" t="s">
        <v>21</v>
      </c>
      <c r="I1245" s="2" t="s">
        <v>2779</v>
      </c>
      <c r="J1245" s="3" t="str">
        <f>HYPERLINK("https://www.boe.es/gazeta/dias/1823/01/31/pdfs/GMD-1823-32.pdf#page=2","Abrir facsímil")</f>
        <v>Abrir facsímil</v>
      </c>
      <c r="K1245" s="3" t="s">
        <v>23</v>
      </c>
    </row>
    <row r="1246" spans="1:11" ht="42" customHeight="1">
      <c r="A1246" s="2" t="s">
        <v>2770</v>
      </c>
      <c r="B1246" s="2" t="s">
        <v>2771</v>
      </c>
      <c r="C1246" s="2" t="s">
        <v>56</v>
      </c>
      <c r="D1246" s="2" t="s">
        <v>57</v>
      </c>
      <c r="E1246" s="5">
        <v>-28003</v>
      </c>
      <c r="F1246" s="3" t="s">
        <v>26</v>
      </c>
      <c r="G1246" s="3" t="s">
        <v>48</v>
      </c>
      <c r="H1246" s="2" t="s">
        <v>21</v>
      </c>
      <c r="I1246" s="2" t="s">
        <v>2780</v>
      </c>
      <c r="J1246" s="3" t="str">
        <f>HYPERLINK("https://www.boe.es/gazeta/dias/1823/04/30/pdfs/GES-1823-20.pdf#page=3","Abrir facsímil")</f>
        <v>Abrir facsímil</v>
      </c>
      <c r="K1246" s="3" t="s">
        <v>23</v>
      </c>
    </row>
    <row r="1247" spans="1:11" ht="42" customHeight="1">
      <c r="A1247" s="2" t="s">
        <v>2770</v>
      </c>
      <c r="B1247" s="2" t="s">
        <v>2771</v>
      </c>
      <c r="C1247" s="2" t="s">
        <v>56</v>
      </c>
      <c r="D1247" s="2" t="s">
        <v>57</v>
      </c>
      <c r="E1247" s="5">
        <v>-27938</v>
      </c>
      <c r="F1247" s="3" t="s">
        <v>101</v>
      </c>
      <c r="G1247" s="3" t="s">
        <v>27</v>
      </c>
      <c r="H1247" s="2" t="s">
        <v>21</v>
      </c>
      <c r="I1247" s="2" t="s">
        <v>2781</v>
      </c>
      <c r="J1247" s="3" t="str">
        <f>HYPERLINK("https://www.boe.es/gazeta/dias/1823/07/04/pdfs/GES-1823-84.pdf#page=2","Abrir facsímil")</f>
        <v>Abrir facsímil</v>
      </c>
      <c r="K1247" s="3" t="s">
        <v>23</v>
      </c>
    </row>
    <row r="1248" spans="1:11" ht="42" customHeight="1">
      <c r="A1248" s="2" t="s">
        <v>2770</v>
      </c>
      <c r="B1248" s="2" t="s">
        <v>2771</v>
      </c>
      <c r="C1248" s="2" t="s">
        <v>17</v>
      </c>
      <c r="D1248" s="2" t="s">
        <v>18</v>
      </c>
      <c r="E1248" s="5">
        <v>-27905</v>
      </c>
      <c r="F1248" s="3" t="s">
        <v>236</v>
      </c>
      <c r="G1248" s="3" t="s">
        <v>27</v>
      </c>
      <c r="H1248" s="2" t="s">
        <v>21</v>
      </c>
      <c r="I1248" s="2" t="s">
        <v>2782</v>
      </c>
      <c r="J1248" s="3" t="str">
        <f>HYPERLINK("https://www.boe.es/gazeta/dias/1823/08/06/pdfs/GES-1823-119.pdf#page=2","Abrir facsímil")</f>
        <v>Abrir facsímil</v>
      </c>
      <c r="K1248" s="3" t="s">
        <v>23</v>
      </c>
    </row>
    <row r="1249" spans="1:11" ht="42" customHeight="1">
      <c r="A1249" s="2" t="s">
        <v>2783</v>
      </c>
      <c r="B1249" s="2" t="s">
        <v>2784</v>
      </c>
      <c r="C1249" s="2" t="s">
        <v>79</v>
      </c>
      <c r="D1249" s="2" t="s">
        <v>74</v>
      </c>
      <c r="E1249" s="5">
        <v>-28047</v>
      </c>
      <c r="F1249" s="3" t="s">
        <v>2269</v>
      </c>
      <c r="G1249" s="3" t="s">
        <v>48</v>
      </c>
      <c r="H1249" s="2" t="s">
        <v>21</v>
      </c>
      <c r="I1249" s="2" t="s">
        <v>2785</v>
      </c>
      <c r="J1249" s="3" t="str">
        <f>HYPERLINK("https://www.boe.es/gazeta/dias/1823/03/17/pdfs/GMD-1823-80.pdf#page=3","Abrir facsímil")</f>
        <v>Abrir facsímil</v>
      </c>
      <c r="K1249" s="3" t="s">
        <v>23</v>
      </c>
    </row>
    <row r="1250" spans="1:11" ht="42" customHeight="1">
      <c r="A1250" s="2" t="s">
        <v>2786</v>
      </c>
      <c r="B1250" s="2" t="s">
        <v>2787</v>
      </c>
      <c r="C1250" s="2" t="s">
        <v>17</v>
      </c>
      <c r="D1250" s="2" t="s">
        <v>18</v>
      </c>
      <c r="E1250" s="5">
        <v>-27993</v>
      </c>
      <c r="F1250" s="3" t="s">
        <v>977</v>
      </c>
      <c r="G1250" s="3" t="s">
        <v>978</v>
      </c>
      <c r="H1250" s="2" t="s">
        <v>21</v>
      </c>
      <c r="I1250" s="2" t="s">
        <v>2788</v>
      </c>
      <c r="J1250" s="3" t="str">
        <f>HYPERLINK("https://www.boe.es/gazeta/dias/1823/05/10/pdfs/GES-1823-30.pdf#page=4","Abrir facsímil")</f>
        <v>Abrir facsímil</v>
      </c>
      <c r="K1250" s="3" t="s">
        <v>23</v>
      </c>
    </row>
    <row r="1251" spans="1:11" ht="42" customHeight="1">
      <c r="A1251" s="2" t="s">
        <v>2789</v>
      </c>
      <c r="B1251" s="2" t="s">
        <v>2790</v>
      </c>
      <c r="C1251" s="2" t="s">
        <v>17</v>
      </c>
      <c r="D1251" s="2" t="s">
        <v>18</v>
      </c>
      <c r="E1251" s="5">
        <v>-27960</v>
      </c>
      <c r="F1251" s="3" t="s">
        <v>741</v>
      </c>
      <c r="G1251" s="3" t="s">
        <v>48</v>
      </c>
      <c r="H1251" s="2" t="s">
        <v>21</v>
      </c>
      <c r="I1251" s="2" t="s">
        <v>2791</v>
      </c>
      <c r="J1251" s="3" t="str">
        <f>HYPERLINK("https://www.boe.es/gazeta/dias/1823/06/12/pdfs/GES-1823-66.pdf#page=3","Abrir facsímil")</f>
        <v>Abrir facsímil</v>
      </c>
      <c r="K1251" s="3" t="s">
        <v>23</v>
      </c>
    </row>
    <row r="1252" spans="1:11" ht="42" customHeight="1">
      <c r="A1252" s="2" t="s">
        <v>2789</v>
      </c>
      <c r="B1252" s="2" t="s">
        <v>2790</v>
      </c>
      <c r="C1252" s="2" t="s">
        <v>17</v>
      </c>
      <c r="D1252" s="2" t="s">
        <v>18</v>
      </c>
      <c r="E1252" s="5">
        <v>-27953</v>
      </c>
      <c r="F1252" s="3" t="s">
        <v>1543</v>
      </c>
      <c r="G1252" s="3" t="s">
        <v>48</v>
      </c>
      <c r="H1252" s="2" t="s">
        <v>21</v>
      </c>
      <c r="I1252" s="2" t="s">
        <v>2792</v>
      </c>
      <c r="J1252" s="3" t="str">
        <f>HYPERLINK("https://www.boe.es/gazeta/dias/1823/06/19/pdfs/GMD-1823-193.pdf#page=3","Abrir facsímil")</f>
        <v>Abrir facsímil</v>
      </c>
      <c r="K1252" s="3" t="s">
        <v>23</v>
      </c>
    </row>
    <row r="1253" spans="1:11" ht="42" customHeight="1">
      <c r="A1253" s="2" t="s">
        <v>2789</v>
      </c>
      <c r="B1253" s="2" t="s">
        <v>2790</v>
      </c>
      <c r="C1253" s="2" t="s">
        <v>17</v>
      </c>
      <c r="D1253" s="2" t="s">
        <v>117</v>
      </c>
      <c r="E1253" s="5">
        <v>-27949</v>
      </c>
      <c r="F1253" s="3" t="s">
        <v>2793</v>
      </c>
      <c r="G1253" s="3" t="s">
        <v>39</v>
      </c>
      <c r="H1253" s="2" t="s">
        <v>21</v>
      </c>
      <c r="I1253" s="2" t="s">
        <v>2794</v>
      </c>
      <c r="J1253" s="3" t="str">
        <f>HYPERLINK("https://www.boe.es/gazeta/dias/1823/06/23/pdfs/GMD-1823-243E.pdf#page=1","Abrir facsímil")</f>
        <v>Abrir facsímil</v>
      </c>
      <c r="K1253" s="3" t="s">
        <v>23</v>
      </c>
    </row>
    <row r="1254" spans="1:11" ht="42" customHeight="1">
      <c r="A1254" s="2" t="s">
        <v>2789</v>
      </c>
      <c r="B1254" s="2" t="s">
        <v>2790</v>
      </c>
      <c r="C1254" s="2" t="s">
        <v>17</v>
      </c>
      <c r="D1254" s="2" t="s">
        <v>18</v>
      </c>
      <c r="E1254" s="5">
        <v>-27933</v>
      </c>
      <c r="F1254" s="3" t="s">
        <v>1079</v>
      </c>
      <c r="G1254" s="3" t="s">
        <v>48</v>
      </c>
      <c r="H1254" s="2" t="s">
        <v>21</v>
      </c>
      <c r="I1254" s="2" t="s">
        <v>2795</v>
      </c>
      <c r="J1254" s="3" t="str">
        <f>HYPERLINK("https://www.boe.es/gazeta/dias/1823/07/09/pdfs/GES-1823-89.pdf#page=3","Abrir facsímil")</f>
        <v>Abrir facsímil</v>
      </c>
      <c r="K1254" s="3" t="s">
        <v>23</v>
      </c>
    </row>
    <row r="1255" spans="1:11" ht="42" customHeight="1">
      <c r="A1255" s="2" t="s">
        <v>2789</v>
      </c>
      <c r="B1255" s="2" t="s">
        <v>2790</v>
      </c>
      <c r="C1255" s="2" t="s">
        <v>17</v>
      </c>
      <c r="D1255" s="2" t="s">
        <v>18</v>
      </c>
      <c r="E1255" s="5">
        <v>-27906</v>
      </c>
      <c r="F1255" s="3" t="s">
        <v>241</v>
      </c>
      <c r="G1255" s="3" t="s">
        <v>48</v>
      </c>
      <c r="H1255" s="2" t="s">
        <v>21</v>
      </c>
      <c r="I1255" s="2" t="s">
        <v>2796</v>
      </c>
      <c r="J1255" s="3" t="str">
        <f>HYPERLINK("https://www.boe.es/gazeta/dias/1823/08/05/pdfs/GES-1823-117.pdf#page=3","Abrir facsímil")</f>
        <v>Abrir facsímil</v>
      </c>
      <c r="K1255" s="3" t="s">
        <v>23</v>
      </c>
    </row>
    <row r="1256" spans="1:11" ht="42" customHeight="1">
      <c r="A1256" s="2" t="s">
        <v>2789</v>
      </c>
      <c r="B1256" s="2" t="s">
        <v>2790</v>
      </c>
      <c r="C1256" s="2" t="s">
        <v>17</v>
      </c>
      <c r="D1256" s="2" t="s">
        <v>18</v>
      </c>
      <c r="E1256" s="5">
        <v>-27905</v>
      </c>
      <c r="F1256" s="3" t="s">
        <v>236</v>
      </c>
      <c r="G1256" s="3" t="s">
        <v>27</v>
      </c>
      <c r="H1256" s="2" t="s">
        <v>21</v>
      </c>
      <c r="I1256" s="2" t="s">
        <v>2797</v>
      </c>
      <c r="J1256" s="3" t="str">
        <f>HYPERLINK("https://www.boe.es/gazeta/dias/1823/08/06/pdfs/GES-1823-119.pdf#page=2","Abrir facsímil")</f>
        <v>Abrir facsímil</v>
      </c>
      <c r="K1256" s="3" t="s">
        <v>23</v>
      </c>
    </row>
    <row r="1257" spans="1:11" ht="42" customHeight="1">
      <c r="A1257" s="2" t="s">
        <v>2798</v>
      </c>
      <c r="B1257" s="2" t="s">
        <v>2799</v>
      </c>
      <c r="C1257" s="2" t="s">
        <v>17</v>
      </c>
      <c r="D1257" s="2" t="s">
        <v>18</v>
      </c>
      <c r="E1257" s="5">
        <v>-28116</v>
      </c>
      <c r="F1257" s="3" t="s">
        <v>134</v>
      </c>
      <c r="G1257" s="3" t="s">
        <v>59</v>
      </c>
      <c r="H1257" s="2" t="s">
        <v>21</v>
      </c>
      <c r="I1257" s="2" t="s">
        <v>2800</v>
      </c>
      <c r="J1257" s="3" t="str">
        <f>HYPERLINK("https://www.boe.es/gazeta/dias/1823/01/07/pdfs/GMD-1823-7.pdf#page=6","Abrir facsímil")</f>
        <v>Abrir facsímil</v>
      </c>
      <c r="K1257" s="3" t="s">
        <v>23</v>
      </c>
    </row>
    <row r="1258" spans="1:11" ht="42" customHeight="1">
      <c r="A1258" s="2" t="s">
        <v>2798</v>
      </c>
      <c r="B1258" s="2" t="s">
        <v>2799</v>
      </c>
      <c r="C1258" s="2" t="s">
        <v>56</v>
      </c>
      <c r="D1258" s="2" t="s">
        <v>57</v>
      </c>
      <c r="E1258" s="5">
        <v>-28107</v>
      </c>
      <c r="F1258" s="3" t="s">
        <v>278</v>
      </c>
      <c r="G1258" s="3" t="s">
        <v>34</v>
      </c>
      <c r="H1258" s="2" t="s">
        <v>21</v>
      </c>
      <c r="I1258" s="2" t="s">
        <v>2801</v>
      </c>
      <c r="J1258" s="3" t="str">
        <f>HYPERLINK("https://www.boe.es/gazeta/dias/1823/01/16/pdfs/GMD-1823-16.pdf#page=5","Abrir facsímil")</f>
        <v>Abrir facsímil</v>
      </c>
      <c r="K1258" s="3" t="s">
        <v>23</v>
      </c>
    </row>
    <row r="1259" spans="1:11" ht="42" customHeight="1">
      <c r="A1259" s="2" t="s">
        <v>2798</v>
      </c>
      <c r="B1259" s="2" t="s">
        <v>2799</v>
      </c>
      <c r="C1259" s="2" t="s">
        <v>17</v>
      </c>
      <c r="D1259" s="2" t="s">
        <v>18</v>
      </c>
      <c r="E1259" s="5">
        <v>-28002</v>
      </c>
      <c r="F1259" s="3" t="s">
        <v>315</v>
      </c>
      <c r="G1259" s="3" t="s">
        <v>1116</v>
      </c>
      <c r="H1259" s="2" t="s">
        <v>21</v>
      </c>
      <c r="I1259" s="2" t="s">
        <v>2802</v>
      </c>
      <c r="J1259" s="3" t="str">
        <f>HYPERLINK("https://www.boe.es/gazeta/dias/1823/05/01/pdfs/GES-1823-21.pdf#page=4","Abrir facsímil")</f>
        <v>Abrir facsímil</v>
      </c>
      <c r="K1259" s="3" t="s">
        <v>23</v>
      </c>
    </row>
    <row r="1260" spans="1:11" ht="42" customHeight="1">
      <c r="A1260" s="2" t="s">
        <v>2803</v>
      </c>
      <c r="B1260" s="2" t="s">
        <v>2804</v>
      </c>
      <c r="C1260" s="2" t="s">
        <v>73</v>
      </c>
      <c r="D1260" s="2" t="s">
        <v>74</v>
      </c>
      <c r="E1260" s="5">
        <v>-28014</v>
      </c>
      <c r="F1260" s="3" t="s">
        <v>2805</v>
      </c>
      <c r="G1260" s="3" t="s">
        <v>48</v>
      </c>
      <c r="H1260" s="2" t="s">
        <v>21</v>
      </c>
      <c r="I1260" s="2" t="s">
        <v>2806</v>
      </c>
      <c r="J1260" s="3" t="str">
        <f>HYPERLINK("https://www.boe.es/gazeta/dias/1823/04/19/pdfs/GES-1823-9.pdf#page=3","Abrir facsímil")</f>
        <v>Abrir facsímil</v>
      </c>
      <c r="K1260" s="3" t="s">
        <v>23</v>
      </c>
    </row>
    <row r="1261" spans="1:11" ht="42" customHeight="1">
      <c r="A1261" s="2" t="s">
        <v>2803</v>
      </c>
      <c r="B1261" s="2" t="s">
        <v>2804</v>
      </c>
      <c r="C1261" s="2" t="s">
        <v>17</v>
      </c>
      <c r="D1261" s="2" t="s">
        <v>18</v>
      </c>
      <c r="E1261" s="5">
        <v>-27997</v>
      </c>
      <c r="F1261" s="3" t="s">
        <v>317</v>
      </c>
      <c r="G1261" s="3" t="s">
        <v>20</v>
      </c>
      <c r="H1261" s="2" t="s">
        <v>21</v>
      </c>
      <c r="I1261" s="2" t="s">
        <v>2807</v>
      </c>
      <c r="J1261" s="3" t="str">
        <f>HYPERLINK("https://www.boe.es/gazeta/dias/1823/05/06/pdfs/GES-1823-26.pdf#page=4","Abrir facsímil")</f>
        <v>Abrir facsímil</v>
      </c>
      <c r="K1261" s="3" t="s">
        <v>23</v>
      </c>
    </row>
    <row r="1262" spans="1:11" ht="42" customHeight="1">
      <c r="A1262" s="2" t="s">
        <v>2803</v>
      </c>
      <c r="B1262" s="2" t="s">
        <v>2804</v>
      </c>
      <c r="C1262" s="2" t="s">
        <v>17</v>
      </c>
      <c r="D1262" s="2" t="s">
        <v>18</v>
      </c>
      <c r="E1262" s="5">
        <v>-27977</v>
      </c>
      <c r="F1262" s="3" t="s">
        <v>1489</v>
      </c>
      <c r="G1262" s="3" t="s">
        <v>2808</v>
      </c>
      <c r="H1262" s="2" t="s">
        <v>21</v>
      </c>
      <c r="I1262" s="2" t="s">
        <v>2809</v>
      </c>
      <c r="J1262" s="3" t="str">
        <f>HYPERLINK("https://www.boe.es/gazeta/dias/1823/05/26/pdfs/GES-1823-47.pdf#page=5","Abrir facsímil")</f>
        <v>Abrir facsímil</v>
      </c>
      <c r="K1262" s="3" t="s">
        <v>23</v>
      </c>
    </row>
    <row r="1263" spans="1:11" ht="42" customHeight="1">
      <c r="A1263" s="2" t="s">
        <v>2810</v>
      </c>
      <c r="B1263" s="2" t="s">
        <v>2811</v>
      </c>
      <c r="C1263" s="2" t="s">
        <v>79</v>
      </c>
      <c r="D1263" s="2" t="s">
        <v>74</v>
      </c>
      <c r="E1263" s="5">
        <v>-27964</v>
      </c>
      <c r="F1263" s="3" t="s">
        <v>58</v>
      </c>
      <c r="G1263" s="3" t="s">
        <v>34</v>
      </c>
      <c r="H1263" s="2" t="s">
        <v>21</v>
      </c>
      <c r="I1263" s="2" t="s">
        <v>2812</v>
      </c>
      <c r="J1263" s="3" t="str">
        <f>HYPERLINK("https://www.boe.es/gazeta/dias/1823/06/08/pdfs/GES-1823-62.pdf#page=5","Abrir facsímil")</f>
        <v>Abrir facsímil</v>
      </c>
      <c r="K1263" s="3" t="s">
        <v>23</v>
      </c>
    </row>
    <row r="1264" spans="1:11" ht="42" customHeight="1">
      <c r="A1264" s="2" t="s">
        <v>2813</v>
      </c>
      <c r="B1264" s="2" t="s">
        <v>2814</v>
      </c>
      <c r="C1264" s="2" t="s">
        <v>17</v>
      </c>
      <c r="D1264" s="2" t="s">
        <v>18</v>
      </c>
      <c r="E1264" s="5">
        <v>-28007</v>
      </c>
      <c r="F1264" s="3" t="s">
        <v>1190</v>
      </c>
      <c r="G1264" s="3" t="s">
        <v>27</v>
      </c>
      <c r="H1264" s="2" t="s">
        <v>21</v>
      </c>
      <c r="I1264" s="2" t="s">
        <v>2815</v>
      </c>
      <c r="J1264" s="3" t="str">
        <f>HYPERLINK("https://www.boe.es/gazeta/dias/1823/04/26/pdfs/GMD-1823-62.pdf#page=2","Abrir facsímil")</f>
        <v>Abrir facsímil</v>
      </c>
      <c r="K1264" s="3" t="s">
        <v>23</v>
      </c>
    </row>
    <row r="1265" spans="1:11" ht="42" customHeight="1">
      <c r="A1265" s="2" t="s">
        <v>2816</v>
      </c>
      <c r="B1265" s="2" t="s">
        <v>2816</v>
      </c>
      <c r="C1265" s="2" t="s">
        <v>17</v>
      </c>
      <c r="D1265" s="2" t="s">
        <v>18</v>
      </c>
      <c r="E1265" s="5">
        <v>-28007</v>
      </c>
      <c r="F1265" s="3" t="s">
        <v>1190</v>
      </c>
      <c r="G1265" s="3" t="s">
        <v>27</v>
      </c>
      <c r="H1265" s="2" t="s">
        <v>21</v>
      </c>
      <c r="I1265" s="2" t="s">
        <v>2817</v>
      </c>
      <c r="J1265" s="3" t="str">
        <f>HYPERLINK("https://www.boe.es/gazeta/dias/1823/04/26/pdfs/GMD-1823-62.pdf#page=2","Abrir facsímil")</f>
        <v>Abrir facsímil</v>
      </c>
      <c r="K1265" s="3" t="s">
        <v>23</v>
      </c>
    </row>
    <row r="1266" spans="1:11" ht="42" customHeight="1">
      <c r="A1266" s="2" t="s">
        <v>2818</v>
      </c>
      <c r="B1266" s="2" t="s">
        <v>2818</v>
      </c>
      <c r="C1266" s="2" t="s">
        <v>79</v>
      </c>
      <c r="D1266" s="2" t="s">
        <v>74</v>
      </c>
      <c r="E1266" s="5">
        <v>-28008</v>
      </c>
      <c r="F1266" s="3" t="s">
        <v>309</v>
      </c>
      <c r="G1266" s="3" t="s">
        <v>48</v>
      </c>
      <c r="H1266" s="2" t="s">
        <v>21</v>
      </c>
      <c r="I1266" s="2" t="s">
        <v>2819</v>
      </c>
      <c r="J1266" s="3" t="str">
        <f>HYPERLINK("https://www.boe.es/gazeta/dias/1823/04/25/pdfs/GES-1823-15.pdf#page=3","Abrir facsímil")</f>
        <v>Abrir facsímil</v>
      </c>
      <c r="K1266" s="3" t="s">
        <v>23</v>
      </c>
    </row>
    <row r="1267" spans="1:11" ht="42" customHeight="1">
      <c r="A1267" s="2" t="s">
        <v>2818</v>
      </c>
      <c r="B1267" s="2" t="s">
        <v>2818</v>
      </c>
      <c r="C1267" s="2" t="s">
        <v>17</v>
      </c>
      <c r="D1267" s="2" t="s">
        <v>18</v>
      </c>
      <c r="E1267" s="5">
        <v>-28007</v>
      </c>
      <c r="F1267" s="3" t="s">
        <v>311</v>
      </c>
      <c r="G1267" s="3" t="s">
        <v>39</v>
      </c>
      <c r="H1267" s="2" t="s">
        <v>21</v>
      </c>
      <c r="I1267" s="2" t="s">
        <v>2820</v>
      </c>
      <c r="J1267" s="3" t="str">
        <f>HYPERLINK("https://www.boe.es/gazeta/dias/1823/04/26/pdfs/GES-1823-16.pdf#page=1","Abrir facsímil")</f>
        <v>Abrir facsímil</v>
      </c>
      <c r="K1267" s="3" t="s">
        <v>23</v>
      </c>
    </row>
    <row r="1268" spans="1:11" ht="42" customHeight="1">
      <c r="A1268" s="2" t="s">
        <v>2821</v>
      </c>
      <c r="B1268" s="2" t="s">
        <v>2822</v>
      </c>
      <c r="C1268" s="2" t="s">
        <v>109</v>
      </c>
      <c r="D1268" s="2" t="s">
        <v>74</v>
      </c>
      <c r="E1268" s="5">
        <v>-27944</v>
      </c>
      <c r="F1268" s="3" t="s">
        <v>2823</v>
      </c>
      <c r="G1268" s="3" t="s">
        <v>20</v>
      </c>
      <c r="H1268" s="2" t="s">
        <v>21</v>
      </c>
      <c r="I1268" s="2" t="s">
        <v>2824</v>
      </c>
      <c r="J1268" s="3" t="str">
        <f>HYPERLINK("https://www.boe.es/gazeta/dias/1823/06/28/pdfs/GES-1823-78.pdf#page=4","Abrir facsímil")</f>
        <v>Abrir facsímil</v>
      </c>
      <c r="K1268" s="3" t="s">
        <v>23</v>
      </c>
    </row>
    <row r="1269" spans="1:11" ht="42" customHeight="1">
      <c r="A1269" s="2" t="s">
        <v>2825</v>
      </c>
      <c r="B1269" s="2" t="s">
        <v>2826</v>
      </c>
      <c r="C1269" s="2" t="s">
        <v>79</v>
      </c>
      <c r="D1269" s="2" t="s">
        <v>74</v>
      </c>
      <c r="E1269" s="5">
        <v>-28107</v>
      </c>
      <c r="F1269" s="3" t="s">
        <v>278</v>
      </c>
      <c r="G1269" s="3" t="s">
        <v>2827</v>
      </c>
      <c r="H1269" s="2" t="s">
        <v>21</v>
      </c>
      <c r="I1269" s="2" t="s">
        <v>2828</v>
      </c>
      <c r="J1269" s="3" t="str">
        <f>HYPERLINK("https://www.boe.es/gazeta/dias/1823/01/16/pdfs/GMD-1823-16.pdf#page=6","Abrir facsímil")</f>
        <v>Abrir facsímil</v>
      </c>
      <c r="K1269" s="3" t="s">
        <v>23</v>
      </c>
    </row>
    <row r="1270" spans="1:11" ht="42" customHeight="1">
      <c r="A1270" s="2" t="s">
        <v>2829</v>
      </c>
      <c r="B1270" s="2" t="s">
        <v>2830</v>
      </c>
      <c r="C1270" s="2" t="s">
        <v>17</v>
      </c>
      <c r="D1270" s="2" t="s">
        <v>18</v>
      </c>
      <c r="E1270" s="5">
        <v>-28037</v>
      </c>
      <c r="F1270" s="3" t="s">
        <v>192</v>
      </c>
      <c r="G1270" s="3" t="s">
        <v>48</v>
      </c>
      <c r="H1270" s="2" t="s">
        <v>21</v>
      </c>
      <c r="I1270" s="2" t="s">
        <v>2831</v>
      </c>
      <c r="J1270" s="3" t="str">
        <f>HYPERLINK("https://www.boe.es/gazeta/dias/1823/03/27/pdfs/GMD-1823-90.pdf#page=3","Abrir facsímil")</f>
        <v>Abrir facsímil</v>
      </c>
      <c r="K1270" s="3" t="s">
        <v>23</v>
      </c>
    </row>
    <row r="1271" spans="1:11" ht="42" customHeight="1">
      <c r="A1271" s="2" t="s">
        <v>2829</v>
      </c>
      <c r="B1271" s="2" t="s">
        <v>2830</v>
      </c>
      <c r="C1271" s="2" t="s">
        <v>79</v>
      </c>
      <c r="D1271" s="2" t="s">
        <v>74</v>
      </c>
      <c r="E1271" s="5">
        <v>-28000</v>
      </c>
      <c r="F1271" s="3" t="s">
        <v>138</v>
      </c>
      <c r="G1271" s="3" t="s">
        <v>20</v>
      </c>
      <c r="H1271" s="2" t="s">
        <v>21</v>
      </c>
      <c r="I1271" s="2" t="s">
        <v>2832</v>
      </c>
      <c r="J1271" s="3" t="str">
        <f>HYPERLINK("https://www.boe.es/gazeta/dias/1823/05/03/pdfs/GMD-1823-92.pdf#page=4","Abrir facsímil")</f>
        <v>Abrir facsímil</v>
      </c>
      <c r="K1271" s="3" t="s">
        <v>23</v>
      </c>
    </row>
    <row r="1272" spans="1:11" ht="42" customHeight="1">
      <c r="A1272" s="2" t="s">
        <v>2833</v>
      </c>
      <c r="B1272" s="2" t="s">
        <v>2834</v>
      </c>
      <c r="C1272" s="2" t="s">
        <v>79</v>
      </c>
      <c r="D1272" s="2" t="s">
        <v>74</v>
      </c>
      <c r="E1272" s="5">
        <v>-28021</v>
      </c>
      <c r="F1272" s="3" t="s">
        <v>1054</v>
      </c>
      <c r="G1272" s="3" t="s">
        <v>1055</v>
      </c>
      <c r="H1272" s="2" t="s">
        <v>21</v>
      </c>
      <c r="I1272" s="2" t="s">
        <v>2835</v>
      </c>
      <c r="J1272" s="3" t="str">
        <f>HYPERLINK("https://www.boe.es/gazeta/dias/1823/04/12/pdfs/GMD-1823-107.pdf#page=4","Abrir facsímil")</f>
        <v>Abrir facsímil</v>
      </c>
      <c r="K1272" s="3" t="s">
        <v>23</v>
      </c>
    </row>
    <row r="1273" spans="1:11" ht="42" customHeight="1">
      <c r="A1273" s="2" t="s">
        <v>2836</v>
      </c>
      <c r="B1273" s="2" t="s">
        <v>2837</v>
      </c>
      <c r="C1273" s="2" t="s">
        <v>17</v>
      </c>
      <c r="D1273" s="2" t="s">
        <v>18</v>
      </c>
      <c r="E1273" s="5">
        <v>-27883</v>
      </c>
      <c r="F1273" s="3" t="s">
        <v>2838</v>
      </c>
      <c r="G1273" s="3" t="s">
        <v>27</v>
      </c>
      <c r="H1273" s="2" t="s">
        <v>21</v>
      </c>
      <c r="I1273" s="2" t="s">
        <v>2839</v>
      </c>
      <c r="J1273" s="3" t="str">
        <f>HYPERLINK("https://www.boe.es/gazeta/dias/1823/08/28/pdfs/GES-1823-141.pdf#page=2","Abrir facsímil")</f>
        <v>Abrir facsímil</v>
      </c>
      <c r="K1273" s="3" t="s">
        <v>23</v>
      </c>
    </row>
    <row r="1274" spans="1:11" ht="42" customHeight="1">
      <c r="A1274" s="2" t="s">
        <v>2840</v>
      </c>
      <c r="B1274" s="2" t="s">
        <v>2841</v>
      </c>
      <c r="C1274" s="2" t="s">
        <v>17</v>
      </c>
      <c r="D1274" s="2" t="s">
        <v>18</v>
      </c>
      <c r="E1274" s="5">
        <v>-28003</v>
      </c>
      <c r="F1274" s="3" t="s">
        <v>26</v>
      </c>
      <c r="G1274" s="3" t="s">
        <v>39</v>
      </c>
      <c r="H1274" s="2" t="s">
        <v>21</v>
      </c>
      <c r="I1274" s="2" t="s">
        <v>2842</v>
      </c>
      <c r="J1274" s="3" t="str">
        <f>HYPERLINK("https://www.boe.es/gazeta/dias/1823/04/30/pdfs/GES-1823-20.pdf#page=1","Abrir facsímil")</f>
        <v>Abrir facsímil</v>
      </c>
      <c r="K1274" s="3" t="s">
        <v>23</v>
      </c>
    </row>
    <row r="1275" spans="1:11" ht="42" customHeight="1">
      <c r="A1275" s="2" t="s">
        <v>2843</v>
      </c>
      <c r="B1275" s="2" t="s">
        <v>2844</v>
      </c>
      <c r="C1275" s="2" t="s">
        <v>17</v>
      </c>
      <c r="D1275" s="2" t="s">
        <v>18</v>
      </c>
      <c r="E1275" s="5">
        <v>-27773</v>
      </c>
      <c r="F1275" s="3" t="s">
        <v>513</v>
      </c>
      <c r="G1275" s="3" t="s">
        <v>20</v>
      </c>
      <c r="H1275" s="2" t="s">
        <v>21</v>
      </c>
      <c r="I1275" s="2" t="s">
        <v>2845</v>
      </c>
      <c r="J1275" s="3" t="str">
        <f>HYPERLINK("https://www.boe.es/gazeta/dias/1823/12/16/pdfs/GMD-1823-1253.pdf#page=4","Abrir facsímil")</f>
        <v>Abrir facsímil</v>
      </c>
      <c r="K1275" s="3" t="s">
        <v>23</v>
      </c>
    </row>
    <row r="1276" spans="1:11" ht="42" customHeight="1">
      <c r="A1276" s="2" t="s">
        <v>2846</v>
      </c>
      <c r="B1276" s="2" t="s">
        <v>2847</v>
      </c>
      <c r="C1276" s="2" t="s">
        <v>293</v>
      </c>
      <c r="D1276" s="2" t="s">
        <v>74</v>
      </c>
      <c r="E1276" s="5">
        <v>-28013</v>
      </c>
      <c r="F1276" s="3" t="s">
        <v>105</v>
      </c>
      <c r="G1276" s="3" t="s">
        <v>20</v>
      </c>
      <c r="H1276" s="2" t="s">
        <v>21</v>
      </c>
      <c r="I1276" s="2" t="s">
        <v>2848</v>
      </c>
      <c r="J1276" s="3" t="str">
        <f>HYPERLINK("https://www.boe.es/gazeta/dias/1823/04/20/pdfs/GMD-1823-32.pdf#page=4","Abrir facsímil")</f>
        <v>Abrir facsímil</v>
      </c>
      <c r="K1276" s="3" t="s">
        <v>23</v>
      </c>
    </row>
    <row r="1277" spans="1:11" ht="42" customHeight="1">
      <c r="A1277" s="2" t="s">
        <v>2849</v>
      </c>
      <c r="B1277" s="2" t="s">
        <v>2850</v>
      </c>
      <c r="C1277" s="2" t="s">
        <v>79</v>
      </c>
      <c r="D1277" s="2" t="s">
        <v>74</v>
      </c>
      <c r="E1277" s="5">
        <v>-28083</v>
      </c>
      <c r="F1277" s="3" t="s">
        <v>291</v>
      </c>
      <c r="G1277" s="3" t="s">
        <v>59</v>
      </c>
      <c r="H1277" s="2" t="s">
        <v>21</v>
      </c>
      <c r="I1277" s="2" t="s">
        <v>2851</v>
      </c>
      <c r="J1277" s="3" t="str">
        <f>HYPERLINK("https://www.boe.es/gazeta/dias/1823/02/09/pdfs/GMD-1823-43.pdf#page=6","Abrir facsímil")</f>
        <v>Abrir facsímil</v>
      </c>
      <c r="K1277" s="3" t="s">
        <v>23</v>
      </c>
    </row>
    <row r="1278" spans="1:11" ht="42" customHeight="1">
      <c r="A1278" s="2" t="s">
        <v>2852</v>
      </c>
      <c r="B1278" s="2" t="s">
        <v>2853</v>
      </c>
      <c r="C1278" s="2" t="s">
        <v>17</v>
      </c>
      <c r="D1278" s="2" t="s">
        <v>18</v>
      </c>
      <c r="E1278" s="5">
        <v>-27997</v>
      </c>
      <c r="F1278" s="3" t="s">
        <v>937</v>
      </c>
      <c r="G1278" s="3" t="s">
        <v>39</v>
      </c>
      <c r="H1278" s="2" t="s">
        <v>21</v>
      </c>
      <c r="I1278" s="2" t="s">
        <v>2854</v>
      </c>
      <c r="J1278" s="3" t="str">
        <f>HYPERLINK("https://www.boe.es/gazeta/dias/1823/05/06/pdfs/GMD-1823-102.pdf#page=1","Abrir facsímil")</f>
        <v>Abrir facsímil</v>
      </c>
      <c r="K1278" s="3" t="s">
        <v>23</v>
      </c>
    </row>
    <row r="1279" spans="1:11" ht="42" customHeight="1">
      <c r="A1279" s="2" t="s">
        <v>2855</v>
      </c>
      <c r="B1279" s="2" t="s">
        <v>2856</v>
      </c>
      <c r="C1279" s="2" t="s">
        <v>84</v>
      </c>
      <c r="D1279" s="2" t="s">
        <v>74</v>
      </c>
      <c r="E1279" s="5">
        <v>-28078</v>
      </c>
      <c r="F1279" s="3" t="s">
        <v>508</v>
      </c>
      <c r="G1279" s="3" t="s">
        <v>59</v>
      </c>
      <c r="H1279" s="2" t="s">
        <v>21</v>
      </c>
      <c r="I1279" s="2" t="s">
        <v>2857</v>
      </c>
      <c r="J1279" s="3" t="str">
        <f>HYPERLINK("https://www.boe.es/gazeta/dias/1823/02/14/pdfs/GMD-1823-48.pdf#page=6","Abrir facsímil")</f>
        <v>Abrir facsímil</v>
      </c>
      <c r="K1279" s="3" t="s">
        <v>23</v>
      </c>
    </row>
    <row r="1280" spans="1:11" ht="42" customHeight="1">
      <c r="A1280" s="2" t="s">
        <v>2858</v>
      </c>
      <c r="B1280" s="2" t="s">
        <v>2858</v>
      </c>
      <c r="C1280" s="2" t="s">
        <v>17</v>
      </c>
      <c r="D1280" s="2" t="s">
        <v>18</v>
      </c>
      <c r="E1280" s="5">
        <v>-27888</v>
      </c>
      <c r="F1280" s="3" t="s">
        <v>232</v>
      </c>
      <c r="G1280" s="3" t="s">
        <v>1576</v>
      </c>
      <c r="H1280" s="2" t="s">
        <v>21</v>
      </c>
      <c r="I1280" s="2" t="s">
        <v>2859</v>
      </c>
      <c r="J1280" s="3" t="str">
        <f>HYPERLINK("https://www.boe.es/gazeta/dias/1823/08/23/pdfs/GMD-1823-633.pdf#page=4","Abrir facsímil")</f>
        <v>Abrir facsímil</v>
      </c>
      <c r="K1280" s="3" t="s">
        <v>23</v>
      </c>
    </row>
    <row r="1281" spans="1:11" ht="42" customHeight="1">
      <c r="A1281" s="2" t="s">
        <v>2860</v>
      </c>
      <c r="B1281" s="2" t="s">
        <v>2861</v>
      </c>
      <c r="C1281" s="2" t="s">
        <v>17</v>
      </c>
      <c r="D1281" s="2" t="s">
        <v>18</v>
      </c>
      <c r="E1281" s="5">
        <v>-28107</v>
      </c>
      <c r="F1281" s="3" t="s">
        <v>278</v>
      </c>
      <c r="G1281" s="3" t="s">
        <v>2827</v>
      </c>
      <c r="H1281" s="2" t="s">
        <v>21</v>
      </c>
      <c r="I1281" s="2" t="s">
        <v>2862</v>
      </c>
      <c r="J1281" s="3" t="str">
        <f>HYPERLINK("https://www.boe.es/gazeta/dias/1823/01/16/pdfs/GMD-1823-16.pdf#page=6","Abrir facsímil")</f>
        <v>Abrir facsímil</v>
      </c>
      <c r="K1281" s="3" t="s">
        <v>23</v>
      </c>
    </row>
    <row r="1282" spans="1:11" ht="42" customHeight="1">
      <c r="A1282" s="2" t="s">
        <v>2863</v>
      </c>
      <c r="B1282" s="2" t="s">
        <v>2863</v>
      </c>
      <c r="C1282" s="2" t="s">
        <v>56</v>
      </c>
      <c r="D1282" s="2" t="s">
        <v>57</v>
      </c>
      <c r="E1282" s="5">
        <v>-28120</v>
      </c>
      <c r="F1282" s="3" t="s">
        <v>2772</v>
      </c>
      <c r="G1282" s="3" t="s">
        <v>27</v>
      </c>
      <c r="H1282" s="2" t="s">
        <v>21</v>
      </c>
      <c r="I1282" s="2" t="s">
        <v>2864</v>
      </c>
      <c r="J1282" s="3" t="str">
        <f>HYPERLINK("https://www.boe.es/gazeta/dias/1823/01/03/pdfs/GMD-1823-3.pdf#page=2","Abrir facsímil")</f>
        <v>Abrir facsímil</v>
      </c>
      <c r="K1282" s="3" t="s">
        <v>23</v>
      </c>
    </row>
    <row r="1283" spans="1:11" ht="42" customHeight="1">
      <c r="A1283" s="2" t="s">
        <v>2865</v>
      </c>
      <c r="B1283" s="2" t="s">
        <v>2865</v>
      </c>
      <c r="C1283" s="2" t="s">
        <v>17</v>
      </c>
      <c r="D1283" s="2" t="s">
        <v>18</v>
      </c>
      <c r="E1283" s="5">
        <v>-28065</v>
      </c>
      <c r="F1283" s="3" t="s">
        <v>686</v>
      </c>
      <c r="G1283" s="3" t="s">
        <v>20</v>
      </c>
      <c r="H1283" s="2" t="s">
        <v>21</v>
      </c>
      <c r="I1283" s="2" t="s">
        <v>2866</v>
      </c>
      <c r="J1283" s="3" t="str">
        <f>HYPERLINK("https://www.boe.es/gazeta/dias/1823/02/27/pdfs/GMD-1823-61.pdf#page=4","Abrir facsímil")</f>
        <v>Abrir facsímil</v>
      </c>
      <c r="K1283" s="3" t="s">
        <v>23</v>
      </c>
    </row>
    <row r="1284" spans="1:11" ht="42" customHeight="1">
      <c r="A1284" s="2" t="s">
        <v>2867</v>
      </c>
      <c r="B1284" s="2" t="s">
        <v>2868</v>
      </c>
      <c r="C1284" s="2" t="s">
        <v>17</v>
      </c>
      <c r="D1284" s="2" t="s">
        <v>18</v>
      </c>
      <c r="E1284" s="5">
        <v>-28076</v>
      </c>
      <c r="F1284" s="3" t="s">
        <v>1638</v>
      </c>
      <c r="G1284" s="3" t="s">
        <v>59</v>
      </c>
      <c r="H1284" s="2" t="s">
        <v>21</v>
      </c>
      <c r="I1284" s="2" t="s">
        <v>2869</v>
      </c>
      <c r="J1284" s="3" t="str">
        <f>HYPERLINK("https://www.boe.es/gazeta/dias/1823/02/16/pdfs/GMD-1823-50.pdf#page=6","Abrir facsímil")</f>
        <v>Abrir facsímil</v>
      </c>
      <c r="K1284" s="3" t="s">
        <v>23</v>
      </c>
    </row>
    <row r="1285" spans="1:11" ht="42" customHeight="1">
      <c r="A1285" s="2" t="s">
        <v>2870</v>
      </c>
      <c r="B1285" s="2" t="s">
        <v>2870</v>
      </c>
      <c r="C1285" s="2" t="s">
        <v>17</v>
      </c>
      <c r="D1285" s="2" t="s">
        <v>18</v>
      </c>
      <c r="E1285" s="5">
        <v>-27864</v>
      </c>
      <c r="F1285" s="3" t="s">
        <v>395</v>
      </c>
      <c r="G1285" s="3" t="s">
        <v>48</v>
      </c>
      <c r="H1285" s="2" t="s">
        <v>21</v>
      </c>
      <c r="I1285" s="2" t="s">
        <v>2871</v>
      </c>
      <c r="J1285" s="3" t="str">
        <f>HYPERLINK("https://www.boe.es/gazeta/dias/1823/09/16/pdfs/GMD-1823-783.pdf#page=3","Abrir facsímil")</f>
        <v>Abrir facsímil</v>
      </c>
      <c r="K1285" s="3" t="s">
        <v>23</v>
      </c>
    </row>
    <row r="1286" spans="1:11" ht="42" customHeight="1">
      <c r="A1286" s="2" t="s">
        <v>2872</v>
      </c>
      <c r="B1286" s="2" t="s">
        <v>2872</v>
      </c>
      <c r="C1286" s="2" t="s">
        <v>17</v>
      </c>
      <c r="D1286" s="2" t="s">
        <v>117</v>
      </c>
      <c r="E1286" s="5">
        <v>-27970</v>
      </c>
      <c r="F1286" s="3" t="s">
        <v>1699</v>
      </c>
      <c r="G1286" s="3" t="s">
        <v>39</v>
      </c>
      <c r="H1286" s="2" t="s">
        <v>21</v>
      </c>
      <c r="I1286" s="2" t="s">
        <v>2873</v>
      </c>
      <c r="J1286" s="3" t="str">
        <f>HYPERLINK("https://www.boe.es/gazeta/dias/1823/06/02/pdfs/GMD-1823-43E.pdf#page=1","Abrir facsímil")</f>
        <v>Abrir facsímil</v>
      </c>
      <c r="K1286" s="3" t="s">
        <v>23</v>
      </c>
    </row>
    <row r="1287" spans="1:11" ht="42" customHeight="1">
      <c r="A1287" s="2" t="s">
        <v>2872</v>
      </c>
      <c r="B1287" s="2" t="s">
        <v>2872</v>
      </c>
      <c r="C1287" s="2" t="s">
        <v>17</v>
      </c>
      <c r="D1287" s="2" t="s">
        <v>18</v>
      </c>
      <c r="E1287" s="5">
        <v>-27839</v>
      </c>
      <c r="F1287" s="3" t="s">
        <v>263</v>
      </c>
      <c r="G1287" s="3" t="s">
        <v>48</v>
      </c>
      <c r="H1287" s="2" t="s">
        <v>21</v>
      </c>
      <c r="I1287" s="2" t="s">
        <v>2874</v>
      </c>
      <c r="J1287" s="3" t="str">
        <f>HYPERLINK("https://www.boe.es/gazeta/dias/1823/10/11/pdfs/GMD-1823-963.pdf#page=3","Abrir facsímil")</f>
        <v>Abrir facsímil</v>
      </c>
      <c r="K1287" s="3" t="s">
        <v>23</v>
      </c>
    </row>
    <row r="1288" spans="1:11" ht="42" customHeight="1">
      <c r="A1288" s="2" t="s">
        <v>2872</v>
      </c>
      <c r="B1288" s="2" t="s">
        <v>2872</v>
      </c>
      <c r="C1288" s="2" t="s">
        <v>17</v>
      </c>
      <c r="D1288" s="2" t="s">
        <v>18</v>
      </c>
      <c r="E1288" s="5">
        <v>-27792</v>
      </c>
      <c r="F1288" s="3" t="s">
        <v>611</v>
      </c>
      <c r="G1288" s="3" t="s">
        <v>39</v>
      </c>
      <c r="H1288" s="2" t="s">
        <v>21</v>
      </c>
      <c r="I1288" s="2" t="s">
        <v>2875</v>
      </c>
      <c r="J1288" s="3" t="str">
        <f>HYPERLINK("https://www.boe.es/gazeta/dias/1823/11/27/pdfs/GMD-1823-1173.pdf#page=1","Abrir facsímil")</f>
        <v>Abrir facsímil</v>
      </c>
      <c r="K1288" s="3" t="s">
        <v>23</v>
      </c>
    </row>
    <row r="1289" spans="1:11" ht="42" customHeight="1">
      <c r="A1289" s="2" t="s">
        <v>2872</v>
      </c>
      <c r="B1289" s="2" t="s">
        <v>2872</v>
      </c>
      <c r="C1289" s="2" t="s">
        <v>17</v>
      </c>
      <c r="D1289" s="2" t="s">
        <v>18</v>
      </c>
      <c r="E1289" s="5">
        <v>-27785</v>
      </c>
      <c r="F1289" s="3" t="s">
        <v>1397</v>
      </c>
      <c r="G1289" s="3" t="s">
        <v>48</v>
      </c>
      <c r="H1289" s="2" t="s">
        <v>21</v>
      </c>
      <c r="I1289" s="2" t="s">
        <v>2876</v>
      </c>
      <c r="J1289" s="3" t="str">
        <f>HYPERLINK("https://www.boe.es/gazeta/dias/1823/12/04/pdfs/GMD-1823-1203.pdf#page=3","Abrir facsímil")</f>
        <v>Abrir facsímil</v>
      </c>
      <c r="K1289" s="3" t="s">
        <v>23</v>
      </c>
    </row>
    <row r="1290" spans="1:11" ht="42" customHeight="1">
      <c r="A1290" s="2" t="s">
        <v>2877</v>
      </c>
      <c r="B1290" s="2" t="s">
        <v>2878</v>
      </c>
      <c r="C1290" s="2" t="s">
        <v>17</v>
      </c>
      <c r="D1290" s="2" t="s">
        <v>18</v>
      </c>
      <c r="E1290" s="5">
        <v>-27815</v>
      </c>
      <c r="F1290" s="3" t="s">
        <v>1266</v>
      </c>
      <c r="G1290" s="3" t="s">
        <v>48</v>
      </c>
      <c r="H1290" s="2" t="s">
        <v>21</v>
      </c>
      <c r="I1290" s="2" t="s">
        <v>2879</v>
      </c>
      <c r="J1290" s="3" t="str">
        <f>HYPERLINK("https://www.boe.es/gazeta/dias/1823/11/04/pdfs/GMD-1823-1063.pdf#page=3","Abrir facsímil")</f>
        <v>Abrir facsímil</v>
      </c>
      <c r="K1290" s="3" t="s">
        <v>23</v>
      </c>
    </row>
    <row r="1291" spans="1:11" ht="42" customHeight="1">
      <c r="A1291" s="2" t="s">
        <v>2880</v>
      </c>
      <c r="B1291" s="2" t="s">
        <v>2881</v>
      </c>
      <c r="C1291" s="2" t="s">
        <v>56</v>
      </c>
      <c r="D1291" s="2" t="s">
        <v>57</v>
      </c>
      <c r="E1291" s="5">
        <v>-27994</v>
      </c>
      <c r="F1291" s="3" t="s">
        <v>714</v>
      </c>
      <c r="G1291" s="3" t="s">
        <v>715</v>
      </c>
      <c r="H1291" s="2" t="s">
        <v>21</v>
      </c>
      <c r="I1291" s="2" t="s">
        <v>2882</v>
      </c>
      <c r="J1291" s="3" t="str">
        <f>HYPERLINK("https://www.boe.es/gazeta/dias/1823/05/09/pdfs/GES-1823-29.pdf#page=8","Abrir facsímil")</f>
        <v>Abrir facsímil</v>
      </c>
      <c r="K1291" s="3" t="s">
        <v>23</v>
      </c>
    </row>
    <row r="1292" spans="1:11" ht="42" customHeight="1">
      <c r="A1292" s="2" t="s">
        <v>2883</v>
      </c>
      <c r="B1292" s="2" t="s">
        <v>2883</v>
      </c>
      <c r="C1292" s="2" t="s">
        <v>17</v>
      </c>
      <c r="D1292" s="2" t="s">
        <v>18</v>
      </c>
      <c r="E1292" s="5">
        <v>-27878</v>
      </c>
      <c r="F1292" s="3" t="s">
        <v>1581</v>
      </c>
      <c r="G1292" s="3" t="s">
        <v>20</v>
      </c>
      <c r="H1292" s="2" t="s">
        <v>21</v>
      </c>
      <c r="I1292" s="2" t="s">
        <v>2884</v>
      </c>
      <c r="J1292" s="3" t="str">
        <f>HYPERLINK("https://www.boe.es/gazeta/dias/1823/09/02/pdfs/GMD-1823-683.pdf#page=4","Abrir facsímil")</f>
        <v>Abrir facsímil</v>
      </c>
      <c r="K1292" s="3" t="s">
        <v>23</v>
      </c>
    </row>
    <row r="1293" spans="1:11" ht="42" customHeight="1">
      <c r="A1293" s="2" t="s">
        <v>2885</v>
      </c>
      <c r="B1293" s="2" t="s">
        <v>2886</v>
      </c>
      <c r="C1293" s="2" t="s">
        <v>73</v>
      </c>
      <c r="D1293" s="2" t="s">
        <v>74</v>
      </c>
      <c r="E1293" s="5">
        <v>-28069</v>
      </c>
      <c r="F1293" s="3" t="s">
        <v>2006</v>
      </c>
      <c r="G1293" s="3" t="s">
        <v>20</v>
      </c>
      <c r="H1293" s="2" t="s">
        <v>21</v>
      </c>
      <c r="I1293" s="2" t="s">
        <v>2887</v>
      </c>
      <c r="J1293" s="3" t="str">
        <f>HYPERLINK("https://www.boe.es/gazeta/dias/1823/02/23/pdfs/GMD-1823-57.pdf#page=4","Abrir facsímil")</f>
        <v>Abrir facsímil</v>
      </c>
      <c r="K1293" s="3" t="s">
        <v>23</v>
      </c>
    </row>
    <row r="1294" spans="1:11" ht="42" customHeight="1">
      <c r="A1294" s="2" t="s">
        <v>2885</v>
      </c>
      <c r="B1294" s="2" t="s">
        <v>2886</v>
      </c>
      <c r="C1294" s="2" t="s">
        <v>325</v>
      </c>
      <c r="D1294" s="2" t="s">
        <v>74</v>
      </c>
      <c r="E1294" s="5">
        <v>-28037</v>
      </c>
      <c r="F1294" s="3" t="s">
        <v>192</v>
      </c>
      <c r="G1294" s="3" t="s">
        <v>20</v>
      </c>
      <c r="H1294" s="2" t="s">
        <v>21</v>
      </c>
      <c r="I1294" s="2" t="s">
        <v>2888</v>
      </c>
      <c r="J1294" s="3" t="str">
        <f>HYPERLINK("https://www.boe.es/gazeta/dias/1823/03/27/pdfs/GMD-1823-90.pdf#page=4","Abrir facsímil")</f>
        <v>Abrir facsímil</v>
      </c>
      <c r="K1294" s="3" t="s">
        <v>23</v>
      </c>
    </row>
    <row r="1295" spans="1:11" ht="42" customHeight="1">
      <c r="A1295" s="2" t="s">
        <v>2889</v>
      </c>
      <c r="B1295" s="2" t="s">
        <v>2890</v>
      </c>
      <c r="C1295" s="2" t="s">
        <v>17</v>
      </c>
      <c r="D1295" s="2" t="s">
        <v>18</v>
      </c>
      <c r="E1295" s="5">
        <v>-28056</v>
      </c>
      <c r="F1295" s="3" t="s">
        <v>572</v>
      </c>
      <c r="G1295" s="3" t="s">
        <v>59</v>
      </c>
      <c r="H1295" s="2" t="s">
        <v>21</v>
      </c>
      <c r="I1295" s="2" t="s">
        <v>2891</v>
      </c>
      <c r="J1295" s="3" t="str">
        <f>HYPERLINK("https://www.boe.es/gazeta/dias/1823/03/08/pdfs/GMD-1823-71.pdf#page=6","Abrir facsímil")</f>
        <v>Abrir facsímil</v>
      </c>
      <c r="K1295" s="3" t="s">
        <v>23</v>
      </c>
    </row>
    <row r="1296" spans="1:11" ht="42" customHeight="1">
      <c r="A1296" s="2" t="s">
        <v>2892</v>
      </c>
      <c r="B1296" s="2" t="s">
        <v>2893</v>
      </c>
      <c r="C1296" s="2" t="s">
        <v>17</v>
      </c>
      <c r="D1296" s="2" t="s">
        <v>18</v>
      </c>
      <c r="E1296" s="5">
        <v>-27864</v>
      </c>
      <c r="F1296" s="3" t="s">
        <v>395</v>
      </c>
      <c r="G1296" s="3" t="s">
        <v>39</v>
      </c>
      <c r="H1296" s="2" t="s">
        <v>21</v>
      </c>
      <c r="I1296" s="2" t="s">
        <v>2894</v>
      </c>
      <c r="J1296" s="3" t="str">
        <f>HYPERLINK("https://www.boe.es/gazeta/dias/1823/09/16/pdfs/GMD-1823-783.pdf#page=1","Abrir facsímil")</f>
        <v>Abrir facsímil</v>
      </c>
      <c r="K1296" s="3" t="s">
        <v>23</v>
      </c>
    </row>
    <row r="1297" spans="1:11" ht="42" customHeight="1">
      <c r="A1297" s="2" t="s">
        <v>2895</v>
      </c>
      <c r="B1297" s="2" t="s">
        <v>2896</v>
      </c>
      <c r="C1297" s="2" t="s">
        <v>79</v>
      </c>
      <c r="D1297" s="2" t="s">
        <v>74</v>
      </c>
      <c r="E1297" s="5">
        <v>-27905</v>
      </c>
      <c r="F1297" s="3" t="s">
        <v>236</v>
      </c>
      <c r="G1297" s="3" t="s">
        <v>237</v>
      </c>
      <c r="H1297" s="2" t="s">
        <v>21</v>
      </c>
      <c r="I1297" s="2" t="s">
        <v>2897</v>
      </c>
      <c r="J1297" s="3" t="str">
        <f>HYPERLINK("https://www.boe.es/gazeta/dias/1823/08/06/pdfs/GES-1823-119.pdf#page=4","Abrir facsímil")</f>
        <v>Abrir facsímil</v>
      </c>
      <c r="K1297" s="3" t="s">
        <v>23</v>
      </c>
    </row>
    <row r="1298" spans="1:11" ht="42" customHeight="1">
      <c r="A1298" s="2" t="s">
        <v>2898</v>
      </c>
      <c r="B1298" s="2" t="s">
        <v>2899</v>
      </c>
      <c r="C1298" s="2" t="s">
        <v>56</v>
      </c>
      <c r="D1298" s="2" t="s">
        <v>57</v>
      </c>
      <c r="E1298" s="5">
        <v>-28053</v>
      </c>
      <c r="F1298" s="3" t="s">
        <v>303</v>
      </c>
      <c r="G1298" s="3" t="s">
        <v>20</v>
      </c>
      <c r="H1298" s="2" t="s">
        <v>21</v>
      </c>
      <c r="I1298" s="2" t="s">
        <v>2900</v>
      </c>
      <c r="J1298" s="3" t="str">
        <f>HYPERLINK("https://www.boe.es/gazeta/dias/1823/03/11/pdfs/GMD-1823-74.pdf#page=4","Abrir facsímil")</f>
        <v>Abrir facsímil</v>
      </c>
      <c r="K1298" s="3" t="s">
        <v>23</v>
      </c>
    </row>
    <row r="1299" spans="1:11" ht="42" customHeight="1">
      <c r="A1299" s="2" t="s">
        <v>2901</v>
      </c>
      <c r="B1299" s="2" t="s">
        <v>2902</v>
      </c>
      <c r="C1299" s="2" t="s">
        <v>56</v>
      </c>
      <c r="D1299" s="2" t="s">
        <v>57</v>
      </c>
      <c r="E1299" s="5">
        <v>-27982</v>
      </c>
      <c r="F1299" s="3" t="s">
        <v>340</v>
      </c>
      <c r="G1299" s="3" t="s">
        <v>39</v>
      </c>
      <c r="H1299" s="2" t="s">
        <v>21</v>
      </c>
      <c r="I1299" s="2" t="s">
        <v>2903</v>
      </c>
      <c r="J1299" s="3" t="str">
        <f>HYPERLINK("https://www.boe.es/gazeta/dias/1823/05/21/pdfs/GES-1823-42.pdf#page=1","Abrir facsímil")</f>
        <v>Abrir facsímil</v>
      </c>
      <c r="K1299" s="3" t="s">
        <v>23</v>
      </c>
    </row>
    <row r="1300" spans="1:11" ht="42" customHeight="1">
      <c r="A1300" s="2" t="s">
        <v>2904</v>
      </c>
      <c r="B1300" s="2" t="s">
        <v>2905</v>
      </c>
      <c r="C1300" s="2" t="s">
        <v>17</v>
      </c>
      <c r="D1300" s="2" t="s">
        <v>18</v>
      </c>
      <c r="E1300" s="5">
        <v>-27944</v>
      </c>
      <c r="F1300" s="3" t="s">
        <v>658</v>
      </c>
      <c r="G1300" s="3" t="s">
        <v>48</v>
      </c>
      <c r="H1300" s="2" t="s">
        <v>21</v>
      </c>
      <c r="I1300" s="2" t="s">
        <v>2906</v>
      </c>
      <c r="J1300" s="3" t="str">
        <f>HYPERLINK("https://www.boe.es/gazeta/dias/1823/06/28/pdfs/GMD-1823-303.pdf#page=3","Abrir facsímil")</f>
        <v>Abrir facsímil</v>
      </c>
      <c r="K1300" s="3" t="s">
        <v>23</v>
      </c>
    </row>
    <row r="1301" spans="1:11" ht="42" customHeight="1">
      <c r="A1301" s="2" t="s">
        <v>2907</v>
      </c>
      <c r="B1301" s="2" t="s">
        <v>2908</v>
      </c>
      <c r="C1301" s="2" t="s">
        <v>17</v>
      </c>
      <c r="D1301" s="2" t="s">
        <v>18</v>
      </c>
      <c r="E1301" s="5">
        <v>-28004</v>
      </c>
      <c r="F1301" s="3" t="s">
        <v>33</v>
      </c>
      <c r="G1301" s="3" t="s">
        <v>2827</v>
      </c>
      <c r="H1301" s="2" t="s">
        <v>21</v>
      </c>
      <c r="I1301" s="2" t="s">
        <v>2909</v>
      </c>
      <c r="J1301" s="3" t="str">
        <f>HYPERLINK("https://www.boe.es/gazeta/dias/1823/04/29/pdfs/GES-1823-19.pdf#page=6","Abrir facsímil")</f>
        <v>Abrir facsímil</v>
      </c>
      <c r="K1301" s="3" t="s">
        <v>23</v>
      </c>
    </row>
    <row r="1302" spans="1:11" ht="42" customHeight="1">
      <c r="A1302" s="2" t="s">
        <v>2910</v>
      </c>
      <c r="B1302" s="2" t="s">
        <v>2910</v>
      </c>
      <c r="C1302" s="2" t="s">
        <v>17</v>
      </c>
      <c r="D1302" s="2" t="s">
        <v>18</v>
      </c>
      <c r="E1302" s="5">
        <v>-28022</v>
      </c>
      <c r="F1302" s="3" t="s">
        <v>439</v>
      </c>
      <c r="G1302" s="3" t="s">
        <v>39</v>
      </c>
      <c r="H1302" s="2" t="s">
        <v>21</v>
      </c>
      <c r="I1302" s="2" t="s">
        <v>2911</v>
      </c>
      <c r="J1302" s="3" t="str">
        <f>HYPERLINK("https://www.boe.es/gazeta/dias/1823/04/11/pdfs/GMD-1823-106.pdf#page=1","Abrir facsímil")</f>
        <v>Abrir facsímil</v>
      </c>
      <c r="K1302" s="3" t="s">
        <v>23</v>
      </c>
    </row>
    <row r="1303" spans="1:11" ht="42" customHeight="1">
      <c r="A1303" s="2" t="s">
        <v>2910</v>
      </c>
      <c r="B1303" s="2" t="s">
        <v>2910</v>
      </c>
      <c r="C1303" s="2" t="s">
        <v>17</v>
      </c>
      <c r="D1303" s="2" t="s">
        <v>18</v>
      </c>
      <c r="E1303" s="5">
        <v>-28017</v>
      </c>
      <c r="F1303" s="3" t="s">
        <v>2912</v>
      </c>
      <c r="G1303" s="3" t="s">
        <v>48</v>
      </c>
      <c r="H1303" s="2" t="s">
        <v>21</v>
      </c>
      <c r="I1303" s="2" t="s">
        <v>2913</v>
      </c>
      <c r="J1303" s="3" t="str">
        <f>HYPERLINK("https://www.boe.es/gazeta/dias/1823/04/16/pdfs/GES-1823-6.pdf#page=3","Abrir facsímil")</f>
        <v>Abrir facsímil</v>
      </c>
      <c r="K1303" s="3" t="s">
        <v>23</v>
      </c>
    </row>
    <row r="1304" spans="1:11" ht="42" customHeight="1">
      <c r="A1304" s="2" t="s">
        <v>2910</v>
      </c>
      <c r="B1304" s="2" t="s">
        <v>2910</v>
      </c>
      <c r="C1304" s="2" t="s">
        <v>17</v>
      </c>
      <c r="D1304" s="2" t="s">
        <v>18</v>
      </c>
      <c r="E1304" s="5">
        <v>-27997</v>
      </c>
      <c r="F1304" s="3" t="s">
        <v>937</v>
      </c>
      <c r="G1304" s="3" t="s">
        <v>39</v>
      </c>
      <c r="H1304" s="2" t="s">
        <v>21</v>
      </c>
      <c r="I1304" s="2" t="s">
        <v>2914</v>
      </c>
      <c r="J1304" s="3" t="str">
        <f>HYPERLINK("https://www.boe.es/gazeta/dias/1823/05/06/pdfs/GMD-1823-102.pdf#page=1","Abrir facsímil")</f>
        <v>Abrir facsímil</v>
      </c>
      <c r="K1304" s="3" t="s">
        <v>23</v>
      </c>
    </row>
    <row r="1305" spans="1:11" ht="42" customHeight="1">
      <c r="A1305" s="2" t="s">
        <v>2915</v>
      </c>
      <c r="B1305" s="2" t="s">
        <v>2916</v>
      </c>
      <c r="C1305" s="2" t="s">
        <v>79</v>
      </c>
      <c r="D1305" s="2" t="s">
        <v>74</v>
      </c>
      <c r="E1305" s="5">
        <v>-28017</v>
      </c>
      <c r="F1305" s="3" t="s">
        <v>2912</v>
      </c>
      <c r="G1305" s="3" t="s">
        <v>27</v>
      </c>
      <c r="H1305" s="2" t="s">
        <v>21</v>
      </c>
      <c r="I1305" s="2" t="s">
        <v>2917</v>
      </c>
      <c r="J1305" s="3" t="str">
        <f>HYPERLINK("https://www.boe.es/gazeta/dias/1823/04/16/pdfs/GES-1823-6.pdf#page=2","Abrir facsímil")</f>
        <v>Abrir facsímil</v>
      </c>
      <c r="K1305" s="3" t="s">
        <v>23</v>
      </c>
    </row>
    <row r="1306" spans="1:11" ht="42" customHeight="1">
      <c r="A1306" s="2" t="s">
        <v>2918</v>
      </c>
      <c r="B1306" s="2" t="s">
        <v>2919</v>
      </c>
      <c r="C1306" s="2" t="s">
        <v>17</v>
      </c>
      <c r="D1306" s="2" t="s">
        <v>18</v>
      </c>
      <c r="E1306" s="5">
        <v>-28056</v>
      </c>
      <c r="F1306" s="3" t="s">
        <v>572</v>
      </c>
      <c r="G1306" s="3" t="s">
        <v>48</v>
      </c>
      <c r="H1306" s="2" t="s">
        <v>21</v>
      </c>
      <c r="I1306" s="2" t="s">
        <v>2920</v>
      </c>
      <c r="J1306" s="3" t="str">
        <f>HYPERLINK("https://www.boe.es/gazeta/dias/1823/03/08/pdfs/GMD-1823-71.pdf#page=3","Abrir facsímil")</f>
        <v>Abrir facsímil</v>
      </c>
      <c r="K1306" s="3" t="s">
        <v>23</v>
      </c>
    </row>
    <row r="1307" spans="1:11" ht="42" customHeight="1">
      <c r="A1307" s="2" t="s">
        <v>2921</v>
      </c>
      <c r="B1307" s="2" t="s">
        <v>2922</v>
      </c>
      <c r="C1307" s="2" t="s">
        <v>17</v>
      </c>
      <c r="D1307" s="2" t="s">
        <v>18</v>
      </c>
      <c r="E1307" s="5">
        <v>-28065</v>
      </c>
      <c r="F1307" s="3" t="s">
        <v>686</v>
      </c>
      <c r="G1307" s="3" t="s">
        <v>20</v>
      </c>
      <c r="H1307" s="2" t="s">
        <v>28</v>
      </c>
      <c r="I1307" s="2" t="s">
        <v>2923</v>
      </c>
      <c r="J1307" s="3" t="str">
        <f>HYPERLINK("https://www.boe.es/gazeta/dias/1823/02/27/pdfs/GMD-1823-61.pdf#page=4","Abrir facsímil")</f>
        <v>Abrir facsímil</v>
      </c>
      <c r="K1307" s="3" t="s">
        <v>30</v>
      </c>
    </row>
    <row r="1308" spans="1:11" ht="42" customHeight="1">
      <c r="A1308" s="2" t="s">
        <v>2924</v>
      </c>
      <c r="B1308" s="2" t="s">
        <v>2925</v>
      </c>
      <c r="C1308" s="2" t="s">
        <v>17</v>
      </c>
      <c r="D1308" s="2" t="s">
        <v>18</v>
      </c>
      <c r="E1308" s="5">
        <v>-28020</v>
      </c>
      <c r="F1308" s="3" t="s">
        <v>448</v>
      </c>
      <c r="G1308" s="3" t="s">
        <v>39</v>
      </c>
      <c r="H1308" s="2" t="s">
        <v>21</v>
      </c>
      <c r="I1308" s="2" t="s">
        <v>2926</v>
      </c>
      <c r="J1308" s="3" t="str">
        <f>HYPERLINK("https://www.boe.es/gazeta/dias/1823/04/13/pdfs/GES-1823-3.pdf#page=1","Abrir facsímil")</f>
        <v>Abrir facsímil</v>
      </c>
      <c r="K1308" s="3" t="s">
        <v>23</v>
      </c>
    </row>
    <row r="1309" spans="1:11" ht="42" customHeight="1">
      <c r="A1309" s="2" t="s">
        <v>2927</v>
      </c>
      <c r="B1309" s="2" t="s">
        <v>2928</v>
      </c>
      <c r="C1309" s="2" t="s">
        <v>56</v>
      </c>
      <c r="D1309" s="2" t="s">
        <v>57</v>
      </c>
      <c r="E1309" s="5">
        <v>-28032</v>
      </c>
      <c r="F1309" s="3" t="s">
        <v>668</v>
      </c>
      <c r="G1309" s="3" t="s">
        <v>20</v>
      </c>
      <c r="H1309" s="2" t="s">
        <v>21</v>
      </c>
      <c r="I1309" s="2" t="s">
        <v>2929</v>
      </c>
      <c r="J1309" s="3" t="str">
        <f>HYPERLINK("https://www.boe.es/gazeta/dias/1823/04/01/pdfs/GMD-1823-95.pdf#page=4","Abrir facsímil")</f>
        <v>Abrir facsímil</v>
      </c>
      <c r="K1309" s="3" t="s">
        <v>23</v>
      </c>
    </row>
    <row r="1310" spans="1:11" ht="42" customHeight="1">
      <c r="A1310" s="2" t="s">
        <v>2930</v>
      </c>
      <c r="B1310" s="2" t="s">
        <v>2931</v>
      </c>
      <c r="C1310" s="2" t="s">
        <v>17</v>
      </c>
      <c r="D1310" s="2" t="s">
        <v>18</v>
      </c>
      <c r="E1310" s="5">
        <v>-27988</v>
      </c>
      <c r="F1310" s="3" t="s">
        <v>2022</v>
      </c>
      <c r="G1310" s="3" t="s">
        <v>20</v>
      </c>
      <c r="H1310" s="2" t="s">
        <v>21</v>
      </c>
      <c r="I1310" s="2" t="s">
        <v>2932</v>
      </c>
      <c r="J1310" s="3" t="str">
        <f>HYPERLINK("https://www.boe.es/gazeta/dias/1823/05/15/pdfs/GMD-1823-142.pdf#page=4","Abrir facsímil")</f>
        <v>Abrir facsímil</v>
      </c>
      <c r="K1310" s="3" t="s">
        <v>23</v>
      </c>
    </row>
    <row r="1311" spans="1:11" ht="42" customHeight="1">
      <c r="A1311" s="2" t="s">
        <v>2933</v>
      </c>
      <c r="B1311" s="2" t="s">
        <v>2934</v>
      </c>
      <c r="C1311" s="2" t="s">
        <v>17</v>
      </c>
      <c r="D1311" s="2" t="s">
        <v>18</v>
      </c>
      <c r="E1311" s="5">
        <v>-28048</v>
      </c>
      <c r="F1311" s="3" t="s">
        <v>399</v>
      </c>
      <c r="G1311" s="3" t="s">
        <v>59</v>
      </c>
      <c r="H1311" s="2" t="s">
        <v>21</v>
      </c>
      <c r="I1311" s="2" t="s">
        <v>2935</v>
      </c>
      <c r="J1311" s="3" t="str">
        <f>HYPERLINK("https://www.boe.es/gazeta/dias/1823/03/16/pdfs/GMD-1823-79.pdf#page=6","Abrir facsímil")</f>
        <v>Abrir facsímil</v>
      </c>
      <c r="K1311" s="3" t="s">
        <v>23</v>
      </c>
    </row>
    <row r="1312" spans="1:11" ht="42" customHeight="1">
      <c r="A1312" s="2" t="s">
        <v>2936</v>
      </c>
      <c r="B1312" s="2" t="s">
        <v>2936</v>
      </c>
      <c r="C1312" s="2" t="s">
        <v>17</v>
      </c>
      <c r="D1312" s="2" t="s">
        <v>117</v>
      </c>
      <c r="E1312" s="5">
        <v>-27943</v>
      </c>
      <c r="F1312" s="3" t="s">
        <v>2511</v>
      </c>
      <c r="G1312" s="3" t="s">
        <v>39</v>
      </c>
      <c r="H1312" s="2" t="s">
        <v>21</v>
      </c>
      <c r="I1312" s="2" t="s">
        <v>2937</v>
      </c>
      <c r="J1312" s="3" t="str">
        <f>HYPERLINK("https://www.boe.es/gazeta/dias/1823/06/29/pdfs/GMD-1823-313E.pdf#page=1","Abrir facsímil")</f>
        <v>Abrir facsímil</v>
      </c>
      <c r="K1312" s="3" t="s">
        <v>23</v>
      </c>
    </row>
    <row r="1313" spans="1:11" ht="42" customHeight="1">
      <c r="A1313" s="2" t="s">
        <v>2938</v>
      </c>
      <c r="B1313" s="2" t="s">
        <v>2938</v>
      </c>
      <c r="C1313" s="2" t="s">
        <v>17</v>
      </c>
      <c r="D1313" s="2" t="s">
        <v>18</v>
      </c>
      <c r="E1313" s="5">
        <v>-28037</v>
      </c>
      <c r="F1313" s="3" t="s">
        <v>192</v>
      </c>
      <c r="G1313" s="3" t="s">
        <v>27</v>
      </c>
      <c r="H1313" s="2" t="s">
        <v>21</v>
      </c>
      <c r="I1313" s="2" t="s">
        <v>2939</v>
      </c>
      <c r="J1313" s="3" t="str">
        <f>HYPERLINK("https://www.boe.es/gazeta/dias/1823/03/27/pdfs/GMD-1823-90.pdf#page=2","Abrir facsímil")</f>
        <v>Abrir facsímil</v>
      </c>
      <c r="K1313" s="3" t="s">
        <v>23</v>
      </c>
    </row>
    <row r="1314" spans="1:11" ht="42" customHeight="1">
      <c r="A1314" s="2" t="s">
        <v>2938</v>
      </c>
      <c r="B1314" s="2" t="s">
        <v>2938</v>
      </c>
      <c r="C1314" s="2" t="s">
        <v>17</v>
      </c>
      <c r="D1314" s="2" t="s">
        <v>18</v>
      </c>
      <c r="E1314" s="5">
        <v>-28018</v>
      </c>
      <c r="F1314" s="3" t="s">
        <v>275</v>
      </c>
      <c r="G1314" s="3" t="s">
        <v>39</v>
      </c>
      <c r="H1314" s="2" t="s">
        <v>21</v>
      </c>
      <c r="I1314" s="2" t="s">
        <v>2940</v>
      </c>
      <c r="J1314" s="3" t="str">
        <f>HYPERLINK("https://www.boe.es/gazeta/dias/1823/04/15/pdfs/GMD-1823-12.pdf#page=1","Abrir facsímil")</f>
        <v>Abrir facsímil</v>
      </c>
      <c r="K1314" s="3" t="s">
        <v>23</v>
      </c>
    </row>
    <row r="1315" spans="1:11" ht="42" customHeight="1">
      <c r="A1315" s="2" t="s">
        <v>2941</v>
      </c>
      <c r="B1315" s="2" t="s">
        <v>2942</v>
      </c>
      <c r="C1315" s="2" t="s">
        <v>293</v>
      </c>
      <c r="D1315" s="2" t="s">
        <v>74</v>
      </c>
      <c r="E1315" s="5">
        <v>-27944</v>
      </c>
      <c r="F1315" s="3" t="s">
        <v>2823</v>
      </c>
      <c r="G1315" s="3" t="s">
        <v>20</v>
      </c>
      <c r="H1315" s="2" t="s">
        <v>21</v>
      </c>
      <c r="I1315" s="2" t="s">
        <v>2943</v>
      </c>
      <c r="J1315" s="3" t="str">
        <f>HYPERLINK("https://www.boe.es/gazeta/dias/1823/06/28/pdfs/GES-1823-78.pdf#page=4","Abrir facsímil")</f>
        <v>Abrir facsímil</v>
      </c>
      <c r="K1315" s="3" t="s">
        <v>23</v>
      </c>
    </row>
    <row r="1316" spans="1:11" ht="42" customHeight="1">
      <c r="A1316" s="2" t="s">
        <v>2944</v>
      </c>
      <c r="B1316" s="2" t="s">
        <v>2945</v>
      </c>
      <c r="C1316" s="2" t="s">
        <v>84</v>
      </c>
      <c r="D1316" s="2" t="s">
        <v>74</v>
      </c>
      <c r="E1316" s="5">
        <v>-28023</v>
      </c>
      <c r="F1316" s="3" t="s">
        <v>384</v>
      </c>
      <c r="G1316" s="3" t="s">
        <v>27</v>
      </c>
      <c r="H1316" s="2" t="s">
        <v>21</v>
      </c>
      <c r="I1316" s="2" t="s">
        <v>2946</v>
      </c>
      <c r="J1316" s="3" t="str">
        <f>HYPERLINK("https://www.boe.es/gazeta/dias/1823/04/10/pdfs/GMD-1823-105.pdf#page=2","Abrir facsímil")</f>
        <v>Abrir facsímil</v>
      </c>
      <c r="K1316" s="3" t="s">
        <v>23</v>
      </c>
    </row>
    <row r="1317" spans="1:11" ht="42" customHeight="1">
      <c r="A1317" s="2" t="s">
        <v>2947</v>
      </c>
      <c r="B1317" s="2" t="s">
        <v>2947</v>
      </c>
      <c r="C1317" s="2" t="s">
        <v>17</v>
      </c>
      <c r="D1317" s="2" t="s">
        <v>18</v>
      </c>
      <c r="E1317" s="5">
        <v>-28057</v>
      </c>
      <c r="F1317" s="3" t="s">
        <v>301</v>
      </c>
      <c r="G1317" s="3" t="s">
        <v>20</v>
      </c>
      <c r="H1317" s="2" t="s">
        <v>21</v>
      </c>
      <c r="I1317" s="2" t="s">
        <v>2948</v>
      </c>
      <c r="J1317" s="3" t="str">
        <f>HYPERLINK("https://www.boe.es/gazeta/dias/1823/03/07/pdfs/GMD-1823-70.pdf#page=4","Abrir facsímil")</f>
        <v>Abrir facsímil</v>
      </c>
      <c r="K1317" s="3" t="s">
        <v>23</v>
      </c>
    </row>
    <row r="1318" spans="1:11" ht="42" customHeight="1">
      <c r="A1318" s="2" t="s">
        <v>2949</v>
      </c>
      <c r="B1318" s="2" t="s">
        <v>2950</v>
      </c>
      <c r="C1318" s="2" t="s">
        <v>17</v>
      </c>
      <c r="D1318" s="2" t="s">
        <v>18</v>
      </c>
      <c r="E1318" s="5">
        <v>-28112</v>
      </c>
      <c r="F1318" s="3" t="s">
        <v>43</v>
      </c>
      <c r="G1318" s="3" t="s">
        <v>48</v>
      </c>
      <c r="H1318" s="2" t="s">
        <v>21</v>
      </c>
      <c r="I1318" s="2" t="s">
        <v>2951</v>
      </c>
      <c r="J1318" s="3" t="str">
        <f>HYPERLINK("https://www.boe.es/gazeta/dias/1823/01/11/pdfs/GMD-1823-11.pdf#page=3","Abrir facsímil")</f>
        <v>Abrir facsímil</v>
      </c>
      <c r="K1318" s="3" t="s">
        <v>23</v>
      </c>
    </row>
    <row r="1319" spans="1:11" ht="42" customHeight="1">
      <c r="A1319" s="2" t="s">
        <v>2952</v>
      </c>
      <c r="B1319" s="2" t="s">
        <v>2952</v>
      </c>
      <c r="C1319" s="2" t="s">
        <v>17</v>
      </c>
      <c r="D1319" s="2" t="s">
        <v>18</v>
      </c>
      <c r="E1319" s="5">
        <v>-28071</v>
      </c>
      <c r="F1319" s="3" t="s">
        <v>587</v>
      </c>
      <c r="G1319" s="3" t="s">
        <v>48</v>
      </c>
      <c r="H1319" s="2" t="s">
        <v>21</v>
      </c>
      <c r="I1319" s="2" t="s">
        <v>2953</v>
      </c>
      <c r="J1319" s="3" t="str">
        <f>HYPERLINK("https://www.boe.es/gazeta/dias/1823/02/21/pdfs/GMD-1823-55.pdf#page=3","Abrir facsímil")</f>
        <v>Abrir facsímil</v>
      </c>
      <c r="K1319" s="3" t="s">
        <v>23</v>
      </c>
    </row>
    <row r="1320" spans="1:11" ht="42" customHeight="1">
      <c r="A1320" s="2" t="s">
        <v>2954</v>
      </c>
      <c r="B1320" s="2" t="s">
        <v>2955</v>
      </c>
      <c r="C1320" s="2" t="s">
        <v>17</v>
      </c>
      <c r="D1320" s="2" t="s">
        <v>18</v>
      </c>
      <c r="E1320" s="5">
        <v>-28013</v>
      </c>
      <c r="F1320" s="3" t="s">
        <v>2466</v>
      </c>
      <c r="G1320" s="3" t="s">
        <v>2467</v>
      </c>
      <c r="H1320" s="2" t="s">
        <v>21</v>
      </c>
      <c r="I1320" s="2" t="s">
        <v>2956</v>
      </c>
      <c r="J1320" s="3" t="str">
        <f>HYPERLINK("https://www.boe.es/gazeta/dias/1823/04/20/pdfs/GES-1823-10.pdf#page=3","Abrir facsímil")</f>
        <v>Abrir facsímil</v>
      </c>
      <c r="K1320" s="3" t="s">
        <v>23</v>
      </c>
    </row>
    <row r="1321" spans="1:11" ht="42" customHeight="1">
      <c r="A1321" s="2" t="s">
        <v>2957</v>
      </c>
      <c r="B1321" s="2" t="s">
        <v>2958</v>
      </c>
      <c r="C1321" s="2" t="s">
        <v>56</v>
      </c>
      <c r="D1321" s="2" t="s">
        <v>57</v>
      </c>
      <c r="E1321" s="5">
        <v>-28057</v>
      </c>
      <c r="F1321" s="3" t="s">
        <v>301</v>
      </c>
      <c r="G1321" s="3" t="s">
        <v>20</v>
      </c>
      <c r="H1321" s="2" t="s">
        <v>21</v>
      </c>
      <c r="I1321" s="2" t="s">
        <v>2959</v>
      </c>
      <c r="J1321" s="3" t="str">
        <f>HYPERLINK("https://www.boe.es/gazeta/dias/1823/03/07/pdfs/GMD-1823-70.pdf#page=4","Abrir facsímil")</f>
        <v>Abrir facsímil</v>
      </c>
      <c r="K1321" s="3" t="s">
        <v>23</v>
      </c>
    </row>
    <row r="1322" spans="1:11" ht="42" customHeight="1">
      <c r="A1322" s="2" t="s">
        <v>2960</v>
      </c>
      <c r="B1322" s="2" t="s">
        <v>2961</v>
      </c>
      <c r="C1322" s="2" t="s">
        <v>17</v>
      </c>
      <c r="D1322" s="2" t="s">
        <v>18</v>
      </c>
      <c r="E1322" s="5">
        <v>-27906</v>
      </c>
      <c r="F1322" s="3" t="s">
        <v>241</v>
      </c>
      <c r="G1322" s="3" t="s">
        <v>59</v>
      </c>
      <c r="H1322" s="2" t="s">
        <v>21</v>
      </c>
      <c r="I1322" s="2" t="s">
        <v>2962</v>
      </c>
      <c r="J1322" s="3" t="str">
        <f>HYPERLINK("https://www.boe.es/gazeta/dias/1823/08/05/pdfs/GES-1823-117.pdf#page=6","Abrir facsímil")</f>
        <v>Abrir facsímil</v>
      </c>
      <c r="K1322" s="3" t="s">
        <v>23</v>
      </c>
    </row>
    <row r="1323" spans="1:11" ht="42" customHeight="1">
      <c r="A1323" s="2" t="s">
        <v>2963</v>
      </c>
      <c r="B1323" s="2" t="s">
        <v>2964</v>
      </c>
      <c r="C1323" s="2" t="s">
        <v>17</v>
      </c>
      <c r="D1323" s="2" t="s">
        <v>18</v>
      </c>
      <c r="E1323" s="5">
        <v>-28119</v>
      </c>
      <c r="F1323" s="3" t="s">
        <v>545</v>
      </c>
      <c r="G1323" s="3" t="s">
        <v>59</v>
      </c>
      <c r="H1323" s="2" t="s">
        <v>21</v>
      </c>
      <c r="I1323" s="2" t="s">
        <v>2965</v>
      </c>
      <c r="J1323" s="3" t="str">
        <f>HYPERLINK("https://www.boe.es/gazeta/dias/1823/01/04/pdfs/GMD-1823-4.pdf#page=6","Abrir facsímil")</f>
        <v>Abrir facsímil</v>
      </c>
      <c r="K1323" s="3" t="s">
        <v>23</v>
      </c>
    </row>
    <row r="1324" spans="1:11" ht="42" customHeight="1">
      <c r="A1324" s="2" t="s">
        <v>2966</v>
      </c>
      <c r="B1324" s="2" t="s">
        <v>2967</v>
      </c>
      <c r="C1324" s="2" t="s">
        <v>56</v>
      </c>
      <c r="D1324" s="2" t="s">
        <v>57</v>
      </c>
      <c r="E1324" s="5">
        <v>-28030</v>
      </c>
      <c r="F1324" s="3" t="s">
        <v>145</v>
      </c>
      <c r="G1324" s="3" t="s">
        <v>48</v>
      </c>
      <c r="H1324" s="2" t="s">
        <v>21</v>
      </c>
      <c r="I1324" s="2" t="s">
        <v>2968</v>
      </c>
      <c r="J1324" s="3" t="str">
        <f>HYPERLINK("https://www.boe.es/gazeta/dias/1823/04/03/pdfs/GMD-1823-97.pdf#page=3","Abrir facsímil")</f>
        <v>Abrir facsímil</v>
      </c>
      <c r="K1324" s="3" t="s">
        <v>23</v>
      </c>
    </row>
    <row r="1325" spans="1:11" ht="42" customHeight="1">
      <c r="A1325" s="2" t="s">
        <v>2969</v>
      </c>
      <c r="B1325" s="2" t="s">
        <v>2970</v>
      </c>
      <c r="C1325" s="2" t="s">
        <v>73</v>
      </c>
      <c r="D1325" s="2" t="s">
        <v>74</v>
      </c>
      <c r="E1325" s="5">
        <v>-28040</v>
      </c>
      <c r="F1325" s="3" t="s">
        <v>2971</v>
      </c>
      <c r="G1325" s="3" t="s">
        <v>20</v>
      </c>
      <c r="H1325" s="2" t="s">
        <v>21</v>
      </c>
      <c r="I1325" s="2" t="s">
        <v>2972</v>
      </c>
      <c r="J1325" s="3" t="str">
        <f>HYPERLINK("https://www.boe.es/gazeta/dias/1823/03/24/pdfs/GMD-1823-87.pdf#page=4","Abrir facsímil")</f>
        <v>Abrir facsímil</v>
      </c>
      <c r="K1325" s="3" t="s">
        <v>23</v>
      </c>
    </row>
    <row r="1326" spans="1:11" ht="42" customHeight="1">
      <c r="A1326" s="2" t="s">
        <v>2969</v>
      </c>
      <c r="B1326" s="2" t="s">
        <v>2970</v>
      </c>
      <c r="C1326" s="2" t="s">
        <v>109</v>
      </c>
      <c r="D1326" s="2" t="s">
        <v>74</v>
      </c>
      <c r="E1326" s="5">
        <v>-28038</v>
      </c>
      <c r="F1326" s="3" t="s">
        <v>2379</v>
      </c>
      <c r="G1326" s="3" t="s">
        <v>20</v>
      </c>
      <c r="H1326" s="2" t="s">
        <v>21</v>
      </c>
      <c r="I1326" s="2" t="s">
        <v>2973</v>
      </c>
      <c r="J1326" s="3" t="str">
        <f>HYPERLINK("https://www.boe.es/gazeta/dias/1823/03/26/pdfs/GMD-1823-89.pdf#page=4","Abrir facsímil")</f>
        <v>Abrir facsímil</v>
      </c>
      <c r="K1326" s="3" t="s">
        <v>23</v>
      </c>
    </row>
    <row r="1327" spans="1:11" ht="42" customHeight="1">
      <c r="A1327" s="2" t="s">
        <v>2969</v>
      </c>
      <c r="B1327" s="2" t="s">
        <v>2970</v>
      </c>
      <c r="C1327" s="2" t="s">
        <v>109</v>
      </c>
      <c r="D1327" s="2" t="s">
        <v>74</v>
      </c>
      <c r="E1327" s="5">
        <v>-28037</v>
      </c>
      <c r="F1327" s="3" t="s">
        <v>192</v>
      </c>
      <c r="G1327" s="3" t="s">
        <v>20</v>
      </c>
      <c r="H1327" s="2" t="s">
        <v>21</v>
      </c>
      <c r="I1327" s="2" t="s">
        <v>2974</v>
      </c>
      <c r="J1327" s="3" t="str">
        <f>HYPERLINK("https://www.boe.es/gazeta/dias/1823/03/27/pdfs/GMD-1823-90.pdf#page=4","Abrir facsímil")</f>
        <v>Abrir facsímil</v>
      </c>
      <c r="K1327" s="3" t="s">
        <v>23</v>
      </c>
    </row>
    <row r="1328" spans="1:11" ht="42" customHeight="1">
      <c r="A1328" s="2" t="s">
        <v>2969</v>
      </c>
      <c r="B1328" s="2" t="s">
        <v>2970</v>
      </c>
      <c r="C1328" s="2" t="s">
        <v>84</v>
      </c>
      <c r="D1328" s="2" t="s">
        <v>74</v>
      </c>
      <c r="E1328" s="5">
        <v>-28036</v>
      </c>
      <c r="F1328" s="3" t="s">
        <v>2216</v>
      </c>
      <c r="G1328" s="3" t="s">
        <v>20</v>
      </c>
      <c r="H1328" s="2" t="s">
        <v>21</v>
      </c>
      <c r="I1328" s="2" t="s">
        <v>2975</v>
      </c>
      <c r="J1328" s="3" t="str">
        <f>HYPERLINK("https://www.boe.es/gazeta/dias/1823/03/28/pdfs/GMD-1823-91.pdf#page=4","Abrir facsímil")</f>
        <v>Abrir facsímil</v>
      </c>
      <c r="K1328" s="3" t="s">
        <v>23</v>
      </c>
    </row>
    <row r="1329" spans="1:11" ht="42" customHeight="1">
      <c r="A1329" s="2" t="s">
        <v>2969</v>
      </c>
      <c r="B1329" s="2" t="s">
        <v>2970</v>
      </c>
      <c r="C1329" s="2" t="s">
        <v>73</v>
      </c>
      <c r="D1329" s="2" t="s">
        <v>74</v>
      </c>
      <c r="E1329" s="5">
        <v>-28035</v>
      </c>
      <c r="F1329" s="3" t="s">
        <v>138</v>
      </c>
      <c r="G1329" s="3" t="s">
        <v>20</v>
      </c>
      <c r="H1329" s="2" t="s">
        <v>21</v>
      </c>
      <c r="I1329" s="2" t="s">
        <v>2976</v>
      </c>
      <c r="J1329" s="3" t="str">
        <f>HYPERLINK("https://www.boe.es/gazeta/dias/1823/03/29/pdfs/GMD-1823-92.pdf#page=4","Abrir facsímil")</f>
        <v>Abrir facsímil</v>
      </c>
      <c r="K1329" s="3" t="s">
        <v>23</v>
      </c>
    </row>
    <row r="1330" spans="1:11" ht="42" customHeight="1">
      <c r="A1330" s="2" t="s">
        <v>2977</v>
      </c>
      <c r="B1330" s="2" t="s">
        <v>2978</v>
      </c>
      <c r="C1330" s="2" t="s">
        <v>79</v>
      </c>
      <c r="D1330" s="2" t="s">
        <v>74</v>
      </c>
      <c r="E1330" s="5">
        <v>-28032</v>
      </c>
      <c r="F1330" s="3" t="s">
        <v>668</v>
      </c>
      <c r="G1330" s="3" t="s">
        <v>20</v>
      </c>
      <c r="H1330" s="2" t="s">
        <v>21</v>
      </c>
      <c r="I1330" s="2" t="s">
        <v>2979</v>
      </c>
      <c r="J1330" s="3" t="str">
        <f>HYPERLINK("https://www.boe.es/gazeta/dias/1823/04/01/pdfs/GMD-1823-95.pdf#page=4","Abrir facsímil")</f>
        <v>Abrir facsímil</v>
      </c>
      <c r="K1330" s="3" t="s">
        <v>23</v>
      </c>
    </row>
    <row r="1331" spans="1:11" ht="42" customHeight="1">
      <c r="A1331" s="2" t="s">
        <v>2980</v>
      </c>
      <c r="B1331" s="2" t="s">
        <v>2981</v>
      </c>
      <c r="C1331" s="2" t="s">
        <v>17</v>
      </c>
      <c r="D1331" s="2" t="s">
        <v>18</v>
      </c>
      <c r="E1331" s="5">
        <v>-28038</v>
      </c>
      <c r="F1331" s="3" t="s">
        <v>2379</v>
      </c>
      <c r="G1331" s="3" t="s">
        <v>20</v>
      </c>
      <c r="H1331" s="2" t="s">
        <v>21</v>
      </c>
      <c r="I1331" s="2" t="s">
        <v>2982</v>
      </c>
      <c r="J1331" s="3" t="str">
        <f>HYPERLINK("https://www.boe.es/gazeta/dias/1823/03/26/pdfs/GMD-1823-89.pdf#page=4","Abrir facsímil")</f>
        <v>Abrir facsímil</v>
      </c>
      <c r="K1331" s="3" t="s">
        <v>23</v>
      </c>
    </row>
    <row r="1332" spans="1:11" ht="42" customHeight="1">
      <c r="A1332" s="2" t="s">
        <v>2983</v>
      </c>
      <c r="B1332" s="2" t="s">
        <v>2983</v>
      </c>
      <c r="C1332" s="2" t="s">
        <v>17</v>
      </c>
      <c r="D1332" s="2" t="s">
        <v>18</v>
      </c>
      <c r="E1332" s="5">
        <v>-27918</v>
      </c>
      <c r="F1332" s="3" t="s">
        <v>218</v>
      </c>
      <c r="G1332" s="3" t="s">
        <v>27</v>
      </c>
      <c r="H1332" s="2" t="s">
        <v>21</v>
      </c>
      <c r="I1332" s="2" t="s">
        <v>2984</v>
      </c>
      <c r="J1332" s="3" t="str">
        <f>HYPERLINK("https://www.boe.es/gazeta/dias/1823/07/24/pdfs/GMD-1823-463.pdf#page=2","Abrir facsímil")</f>
        <v>Abrir facsímil</v>
      </c>
      <c r="K1332" s="3" t="s">
        <v>23</v>
      </c>
    </row>
    <row r="1333" spans="1:11" ht="42" customHeight="1">
      <c r="A1333" s="2" t="s">
        <v>2983</v>
      </c>
      <c r="B1333" s="2" t="s">
        <v>2983</v>
      </c>
      <c r="C1333" s="2" t="s">
        <v>17</v>
      </c>
      <c r="D1333" s="2" t="s">
        <v>18</v>
      </c>
      <c r="E1333" s="5">
        <v>-27918</v>
      </c>
      <c r="F1333" s="3" t="s">
        <v>218</v>
      </c>
      <c r="G1333" s="3" t="s">
        <v>48</v>
      </c>
      <c r="H1333" s="2" t="s">
        <v>21</v>
      </c>
      <c r="I1333" s="2" t="s">
        <v>2985</v>
      </c>
      <c r="J1333" s="3" t="str">
        <f>HYPERLINK("https://www.boe.es/gazeta/dias/1823/07/24/pdfs/GMD-1823-463.pdf#page=3","Abrir facsímil")</f>
        <v>Abrir facsímil</v>
      </c>
      <c r="K1333" s="3" t="s">
        <v>23</v>
      </c>
    </row>
    <row r="1334" spans="1:11" ht="42" customHeight="1">
      <c r="A1334" s="2" t="s">
        <v>2986</v>
      </c>
      <c r="B1334" s="2" t="s">
        <v>2987</v>
      </c>
      <c r="C1334" s="2" t="s">
        <v>17</v>
      </c>
      <c r="D1334" s="2" t="s">
        <v>18</v>
      </c>
      <c r="E1334" s="5">
        <v>-27897</v>
      </c>
      <c r="F1334" s="3" t="s">
        <v>1569</v>
      </c>
      <c r="G1334" s="3" t="s">
        <v>20</v>
      </c>
      <c r="H1334" s="2" t="s">
        <v>21</v>
      </c>
      <c r="I1334" s="2" t="s">
        <v>2988</v>
      </c>
      <c r="J1334" s="3" t="str">
        <f>HYPERLINK("https://www.boe.es/gazeta/dias/1823/08/14/pdfs/GMD-1823-593.pdf#page=4","Abrir facsímil")</f>
        <v>Abrir facsímil</v>
      </c>
      <c r="K1334" s="3" t="s">
        <v>23</v>
      </c>
    </row>
    <row r="1335" spans="1:11" ht="42" customHeight="1">
      <c r="A1335" s="2" t="s">
        <v>2989</v>
      </c>
      <c r="B1335" s="2" t="s">
        <v>2990</v>
      </c>
      <c r="C1335" s="2" t="s">
        <v>17</v>
      </c>
      <c r="D1335" s="2" t="s">
        <v>18</v>
      </c>
      <c r="E1335" s="5">
        <v>-27906</v>
      </c>
      <c r="F1335" s="3" t="s">
        <v>241</v>
      </c>
      <c r="G1335" s="3" t="s">
        <v>59</v>
      </c>
      <c r="H1335" s="2" t="s">
        <v>21</v>
      </c>
      <c r="I1335" s="2" t="s">
        <v>2991</v>
      </c>
      <c r="J1335" s="3" t="str">
        <f>HYPERLINK("https://www.boe.es/gazeta/dias/1823/08/05/pdfs/GES-1823-117.pdf#page=6","Abrir facsímil")</f>
        <v>Abrir facsímil</v>
      </c>
      <c r="K1335" s="3" t="s">
        <v>23</v>
      </c>
    </row>
    <row r="1336" spans="1:11" ht="42" customHeight="1">
      <c r="A1336" s="2" t="s">
        <v>2992</v>
      </c>
      <c r="B1336" s="2" t="s">
        <v>2992</v>
      </c>
      <c r="C1336" s="2" t="s">
        <v>84</v>
      </c>
      <c r="D1336" s="2" t="s">
        <v>74</v>
      </c>
      <c r="E1336" s="5">
        <v>-27925</v>
      </c>
      <c r="F1336" s="3" t="s">
        <v>1744</v>
      </c>
      <c r="G1336" s="3" t="s">
        <v>20</v>
      </c>
      <c r="H1336" s="2" t="s">
        <v>21</v>
      </c>
      <c r="I1336" s="2" t="s">
        <v>2993</v>
      </c>
      <c r="J1336" s="3" t="str">
        <f>HYPERLINK("https://www.boe.es/gazeta/dias/1823/07/17/pdfs/GMD-1823-413.pdf#page=4","Abrir facsímil")</f>
        <v>Abrir facsímil</v>
      </c>
      <c r="K1336" s="3" t="s">
        <v>23</v>
      </c>
    </row>
    <row r="1337" spans="1:11" ht="42" customHeight="1">
      <c r="A1337" s="2" t="s">
        <v>2994</v>
      </c>
      <c r="B1337" s="2" t="s">
        <v>2994</v>
      </c>
      <c r="C1337" s="2" t="s">
        <v>56</v>
      </c>
      <c r="D1337" s="2" t="s">
        <v>57</v>
      </c>
      <c r="E1337" s="5">
        <v>-27967</v>
      </c>
      <c r="F1337" s="3" t="s">
        <v>412</v>
      </c>
      <c r="G1337" s="3" t="s">
        <v>27</v>
      </c>
      <c r="H1337" s="2" t="s">
        <v>21</v>
      </c>
      <c r="I1337" s="2" t="s">
        <v>2995</v>
      </c>
      <c r="J1337" s="3" t="str">
        <f>HYPERLINK("https://www.boe.es/gazeta/dias/1823/06/05/pdfs/GES-1823-59.pdf#page=2","Abrir facsímil")</f>
        <v>Abrir facsímil</v>
      </c>
      <c r="K1337" s="3" t="s">
        <v>23</v>
      </c>
    </row>
    <row r="1338" spans="1:11" ht="42" customHeight="1">
      <c r="A1338" s="2" t="s">
        <v>2996</v>
      </c>
      <c r="B1338" s="2" t="s">
        <v>2996</v>
      </c>
      <c r="C1338" s="2" t="s">
        <v>56</v>
      </c>
      <c r="D1338" s="2" t="s">
        <v>57</v>
      </c>
      <c r="E1338" s="5">
        <v>-27904</v>
      </c>
      <c r="F1338" s="3" t="s">
        <v>1748</v>
      </c>
      <c r="G1338" s="3" t="s">
        <v>48</v>
      </c>
      <c r="H1338" s="2" t="s">
        <v>21</v>
      </c>
      <c r="I1338" s="2" t="s">
        <v>2997</v>
      </c>
      <c r="J1338" s="3" t="str">
        <f>HYPERLINK("https://www.boe.es/gazeta/dias/1823/08/07/pdfs/GES-1823-120.pdf#page=3","Abrir facsímil")</f>
        <v>Abrir facsímil</v>
      </c>
      <c r="K1338" s="3" t="s">
        <v>23</v>
      </c>
    </row>
    <row r="1339" spans="1:11" ht="42" customHeight="1">
      <c r="A1339" s="2" t="s">
        <v>2998</v>
      </c>
      <c r="B1339" s="2" t="s">
        <v>2999</v>
      </c>
      <c r="C1339" s="2" t="s">
        <v>56</v>
      </c>
      <c r="D1339" s="2" t="s">
        <v>57</v>
      </c>
      <c r="E1339" s="5">
        <v>-27934</v>
      </c>
      <c r="F1339" s="3" t="s">
        <v>634</v>
      </c>
      <c r="G1339" s="3" t="s">
        <v>20</v>
      </c>
      <c r="H1339" s="2" t="s">
        <v>21</v>
      </c>
      <c r="I1339" s="2" t="s">
        <v>3000</v>
      </c>
      <c r="J1339" s="3" t="str">
        <f>HYPERLINK("https://www.boe.es/gazeta/dias/1823/07/08/pdfs/GMD-1823-353.pdf#page=4","Abrir facsímil")</f>
        <v>Abrir facsímil</v>
      </c>
      <c r="K1339" s="3" t="s">
        <v>23</v>
      </c>
    </row>
    <row r="1340" spans="1:11" ht="42" customHeight="1">
      <c r="A1340" s="2" t="s">
        <v>3001</v>
      </c>
      <c r="B1340" s="2" t="s">
        <v>3002</v>
      </c>
      <c r="C1340" s="2" t="s">
        <v>84</v>
      </c>
      <c r="D1340" s="2" t="s">
        <v>74</v>
      </c>
      <c r="E1340" s="5">
        <v>-28032</v>
      </c>
      <c r="F1340" s="3" t="s">
        <v>668</v>
      </c>
      <c r="G1340" s="3" t="s">
        <v>20</v>
      </c>
      <c r="H1340" s="2" t="s">
        <v>21</v>
      </c>
      <c r="I1340" s="2" t="s">
        <v>3003</v>
      </c>
      <c r="J1340" s="3" t="str">
        <f>HYPERLINK("https://www.boe.es/gazeta/dias/1823/04/01/pdfs/GMD-1823-95.pdf#page=4","Abrir facsímil")</f>
        <v>Abrir facsímil</v>
      </c>
      <c r="K1340" s="3" t="s">
        <v>23</v>
      </c>
    </row>
    <row r="1341" spans="1:11" ht="42" customHeight="1">
      <c r="A1341" s="2" t="s">
        <v>3004</v>
      </c>
      <c r="B1341" s="2" t="s">
        <v>3005</v>
      </c>
      <c r="C1341" s="2" t="s">
        <v>17</v>
      </c>
      <c r="D1341" s="2" t="s">
        <v>18</v>
      </c>
      <c r="E1341" s="5">
        <v>-27993</v>
      </c>
      <c r="F1341" s="3" t="s">
        <v>977</v>
      </c>
      <c r="G1341" s="3" t="s">
        <v>978</v>
      </c>
      <c r="H1341" s="2" t="s">
        <v>21</v>
      </c>
      <c r="I1341" s="2" t="s">
        <v>3006</v>
      </c>
      <c r="J1341" s="3" t="str">
        <f>HYPERLINK("https://www.boe.es/gazeta/dias/1823/05/10/pdfs/GES-1823-30.pdf#page=4","Abrir facsímil")</f>
        <v>Abrir facsímil</v>
      </c>
      <c r="K1341" s="3" t="s">
        <v>23</v>
      </c>
    </row>
    <row r="1342" spans="1:11" ht="42" customHeight="1">
      <c r="A1342" s="2" t="s">
        <v>3007</v>
      </c>
      <c r="B1342" s="2" t="s">
        <v>3008</v>
      </c>
      <c r="C1342" s="2" t="s">
        <v>17</v>
      </c>
      <c r="D1342" s="2" t="s">
        <v>18</v>
      </c>
      <c r="E1342" s="5">
        <v>-27991</v>
      </c>
      <c r="F1342" s="3" t="s">
        <v>328</v>
      </c>
      <c r="G1342" s="3" t="s">
        <v>34</v>
      </c>
      <c r="H1342" s="2" t="s">
        <v>21</v>
      </c>
      <c r="I1342" s="2" t="s">
        <v>3009</v>
      </c>
      <c r="J1342" s="3" t="str">
        <f>HYPERLINK("https://www.boe.es/gazeta/dias/1823/05/12/pdfs/GES-1823-32.pdf#page=5","Abrir facsímil")</f>
        <v>Abrir facsímil</v>
      </c>
      <c r="K1342" s="3" t="s">
        <v>23</v>
      </c>
    </row>
    <row r="1343" spans="1:11" ht="42" customHeight="1">
      <c r="A1343" s="2" t="s">
        <v>3010</v>
      </c>
      <c r="B1343" s="2" t="s">
        <v>3011</v>
      </c>
      <c r="C1343" s="2" t="s">
        <v>17</v>
      </c>
      <c r="D1343" s="2" t="s">
        <v>18</v>
      </c>
      <c r="E1343" s="5">
        <v>-27986</v>
      </c>
      <c r="F1343" s="3" t="s">
        <v>75</v>
      </c>
      <c r="G1343" s="3" t="s">
        <v>27</v>
      </c>
      <c r="H1343" s="2" t="s">
        <v>21</v>
      </c>
      <c r="I1343" s="2" t="s">
        <v>3012</v>
      </c>
      <c r="J1343" s="3" t="str">
        <f>HYPERLINK("https://www.boe.es/gazeta/dias/1823/05/17/pdfs/GES-1823-37.pdf#page=2","Abrir facsímil")</f>
        <v>Abrir facsímil</v>
      </c>
      <c r="K1343" s="3" t="s">
        <v>23</v>
      </c>
    </row>
    <row r="1344" spans="1:11" ht="42" customHeight="1">
      <c r="A1344" s="2" t="s">
        <v>3013</v>
      </c>
      <c r="B1344" s="2" t="s">
        <v>3014</v>
      </c>
      <c r="C1344" s="2" t="s">
        <v>17</v>
      </c>
      <c r="D1344" s="2" t="s">
        <v>18</v>
      </c>
      <c r="E1344" s="5">
        <v>-27955</v>
      </c>
      <c r="F1344" s="3" t="s">
        <v>3015</v>
      </c>
      <c r="G1344" s="3" t="s">
        <v>48</v>
      </c>
      <c r="H1344" s="2" t="s">
        <v>21</v>
      </c>
      <c r="I1344" s="2" t="s">
        <v>3016</v>
      </c>
      <c r="J1344" s="3" t="str">
        <f>HYPERLINK("https://www.boe.es/gazeta/dias/1823/06/17/pdfs/GMD-1823-183.pdf#page=3","Abrir facsímil")</f>
        <v>Abrir facsímil</v>
      </c>
      <c r="K1344" s="3" t="s">
        <v>23</v>
      </c>
    </row>
    <row r="1345" spans="1:11" ht="42" customHeight="1">
      <c r="A1345" s="2" t="s">
        <v>3017</v>
      </c>
      <c r="B1345" s="2" t="s">
        <v>3018</v>
      </c>
      <c r="C1345" s="2" t="s">
        <v>17</v>
      </c>
      <c r="D1345" s="2" t="s">
        <v>18</v>
      </c>
      <c r="E1345" s="5">
        <v>-27969</v>
      </c>
      <c r="F1345" s="3" t="s">
        <v>204</v>
      </c>
      <c r="G1345" s="3" t="s">
        <v>39</v>
      </c>
      <c r="H1345" s="2" t="s">
        <v>21</v>
      </c>
      <c r="I1345" s="2" t="s">
        <v>3019</v>
      </c>
      <c r="J1345" s="3" t="str">
        <f>HYPERLINK("https://www.boe.es/gazeta/dias/1823/06/03/pdfs/GMD-1823-53.pdf#page=1","Abrir facsímil")</f>
        <v>Abrir facsímil</v>
      </c>
      <c r="K1345" s="3" t="s">
        <v>23</v>
      </c>
    </row>
    <row r="1346" spans="1:11" ht="42" customHeight="1">
      <c r="A1346" s="2" t="s">
        <v>3017</v>
      </c>
      <c r="B1346" s="2" t="s">
        <v>3018</v>
      </c>
      <c r="C1346" s="2" t="s">
        <v>79</v>
      </c>
      <c r="D1346" s="2" t="s">
        <v>74</v>
      </c>
      <c r="E1346" s="5">
        <v>-27927</v>
      </c>
      <c r="F1346" s="3" t="s">
        <v>1426</v>
      </c>
      <c r="G1346" s="3" t="s">
        <v>20</v>
      </c>
      <c r="H1346" s="2" t="s">
        <v>21</v>
      </c>
      <c r="I1346" s="2" t="s">
        <v>3020</v>
      </c>
      <c r="J1346" s="3" t="str">
        <f>HYPERLINK("https://www.boe.es/gazeta/dias/1823/07/15/pdfs/GES-1823-95.pdf#page=4","Abrir facsímil")</f>
        <v>Abrir facsímil</v>
      </c>
      <c r="K1346" s="3" t="s">
        <v>23</v>
      </c>
    </row>
    <row r="1347" spans="1:11" ht="42" customHeight="1">
      <c r="A1347" s="2" t="s">
        <v>3017</v>
      </c>
      <c r="B1347" s="2" t="s">
        <v>3018</v>
      </c>
      <c r="C1347" s="2" t="s">
        <v>79</v>
      </c>
      <c r="D1347" s="2" t="s">
        <v>74</v>
      </c>
      <c r="E1347" s="5">
        <v>-27804</v>
      </c>
      <c r="F1347" s="3" t="s">
        <v>836</v>
      </c>
      <c r="G1347" s="3" t="s">
        <v>48</v>
      </c>
      <c r="H1347" s="2" t="s">
        <v>21</v>
      </c>
      <c r="I1347" s="2" t="s">
        <v>3021</v>
      </c>
      <c r="J1347" s="3" t="str">
        <f>HYPERLINK("https://www.boe.es/gazeta/dias/1823/11/15/pdfs/GMD-1823-1123.pdf#page=3","Abrir facsímil")</f>
        <v>Abrir facsímil</v>
      </c>
      <c r="K1347" s="3" t="s">
        <v>23</v>
      </c>
    </row>
    <row r="1348" spans="1:11" ht="42" customHeight="1">
      <c r="A1348" s="2" t="s">
        <v>3022</v>
      </c>
      <c r="B1348" s="2" t="s">
        <v>3022</v>
      </c>
      <c r="C1348" s="2" t="s">
        <v>56</v>
      </c>
      <c r="D1348" s="2" t="s">
        <v>57</v>
      </c>
      <c r="E1348" s="5">
        <v>-28001</v>
      </c>
      <c r="F1348" s="3" t="s">
        <v>768</v>
      </c>
      <c r="G1348" s="3" t="s">
        <v>27</v>
      </c>
      <c r="H1348" s="2" t="s">
        <v>21</v>
      </c>
      <c r="I1348" s="2" t="s">
        <v>3023</v>
      </c>
      <c r="J1348" s="3" t="str">
        <f>HYPERLINK("https://www.boe.es/gazeta/dias/1823/05/02/pdfs/GES-1823-22.pdf#page=2","Abrir facsímil")</f>
        <v>Abrir facsímil</v>
      </c>
      <c r="K1348" s="3" t="s">
        <v>23</v>
      </c>
    </row>
    <row r="1349" spans="1:11" ht="42" customHeight="1">
      <c r="A1349" s="2" t="s">
        <v>3024</v>
      </c>
      <c r="B1349" s="2" t="s">
        <v>3024</v>
      </c>
      <c r="C1349" s="2" t="s">
        <v>56</v>
      </c>
      <c r="D1349" s="2" t="s">
        <v>57</v>
      </c>
      <c r="E1349" s="5">
        <v>-27995</v>
      </c>
      <c r="F1349" s="3" t="s">
        <v>326</v>
      </c>
      <c r="G1349" s="3" t="s">
        <v>27</v>
      </c>
      <c r="H1349" s="2" t="s">
        <v>21</v>
      </c>
      <c r="I1349" s="2" t="s">
        <v>3025</v>
      </c>
      <c r="J1349" s="3" t="str">
        <f>HYPERLINK("https://www.boe.es/gazeta/dias/1823/05/08/pdfs/GMD-1823-112.pdf#page=2","Abrir facsímil")</f>
        <v>Abrir facsímil</v>
      </c>
      <c r="K1349" s="3" t="s">
        <v>23</v>
      </c>
    </row>
    <row r="1350" spans="1:11" ht="42" customHeight="1">
      <c r="A1350" s="2" t="s">
        <v>3026</v>
      </c>
      <c r="B1350" s="2" t="s">
        <v>3027</v>
      </c>
      <c r="C1350" s="2" t="s">
        <v>79</v>
      </c>
      <c r="D1350" s="2" t="s">
        <v>74</v>
      </c>
      <c r="E1350" s="5">
        <v>-28106</v>
      </c>
      <c r="F1350" s="3" t="s">
        <v>280</v>
      </c>
      <c r="G1350" s="3" t="s">
        <v>20</v>
      </c>
      <c r="H1350" s="2" t="s">
        <v>21</v>
      </c>
      <c r="I1350" s="2" t="s">
        <v>3028</v>
      </c>
      <c r="J1350" s="3" t="str">
        <f>HYPERLINK("https://www.boe.es/gazeta/dias/1823/01/17/pdfs/GMD-1823-17.pdf#page=4","Abrir facsímil")</f>
        <v>Abrir facsímil</v>
      </c>
      <c r="K1350" s="3" t="s">
        <v>23</v>
      </c>
    </row>
    <row r="1351" spans="1:11" ht="42" customHeight="1">
      <c r="A1351" s="2" t="s">
        <v>3029</v>
      </c>
      <c r="B1351" s="2" t="s">
        <v>3030</v>
      </c>
      <c r="C1351" s="2" t="s">
        <v>17</v>
      </c>
      <c r="D1351" s="2" t="s">
        <v>18</v>
      </c>
      <c r="E1351" s="5">
        <v>-28078</v>
      </c>
      <c r="F1351" s="3" t="s">
        <v>508</v>
      </c>
      <c r="G1351" s="3" t="s">
        <v>59</v>
      </c>
      <c r="H1351" s="2" t="s">
        <v>21</v>
      </c>
      <c r="I1351" s="2" t="s">
        <v>3031</v>
      </c>
      <c r="J1351" s="3" t="str">
        <f>HYPERLINK("https://www.boe.es/gazeta/dias/1823/02/14/pdfs/GMD-1823-48.pdf#page=6","Abrir facsímil")</f>
        <v>Abrir facsímil</v>
      </c>
      <c r="K1351" s="3" t="s">
        <v>23</v>
      </c>
    </row>
    <row r="1352" spans="1:11" ht="42" customHeight="1">
      <c r="A1352" s="2" t="s">
        <v>3032</v>
      </c>
      <c r="B1352" s="2" t="s">
        <v>3033</v>
      </c>
      <c r="C1352" s="2" t="s">
        <v>17</v>
      </c>
      <c r="D1352" s="2" t="s">
        <v>18</v>
      </c>
      <c r="E1352" s="5">
        <v>-27980</v>
      </c>
      <c r="F1352" s="3" t="s">
        <v>1068</v>
      </c>
      <c r="G1352" s="3" t="s">
        <v>39</v>
      </c>
      <c r="H1352" s="2" t="s">
        <v>21</v>
      </c>
      <c r="I1352" s="2" t="s">
        <v>3034</v>
      </c>
      <c r="J1352" s="3" t="str">
        <f>HYPERLINK("https://www.boe.es/gazeta/dias/1823/05/23/pdfs/GES-1823-44.pdf#page=1","Abrir facsímil")</f>
        <v>Abrir facsímil</v>
      </c>
      <c r="K1352" s="3" t="s">
        <v>23</v>
      </c>
    </row>
    <row r="1353" spans="1:11" ht="42" customHeight="1">
      <c r="A1353" s="2" t="s">
        <v>3035</v>
      </c>
      <c r="B1353" s="2" t="s">
        <v>3036</v>
      </c>
      <c r="C1353" s="2" t="s">
        <v>17</v>
      </c>
      <c r="D1353" s="2" t="s">
        <v>18</v>
      </c>
      <c r="E1353" s="5">
        <v>-28060</v>
      </c>
      <c r="F1353" s="3" t="s">
        <v>180</v>
      </c>
      <c r="G1353" s="3" t="s">
        <v>48</v>
      </c>
      <c r="H1353" s="2" t="s">
        <v>21</v>
      </c>
      <c r="I1353" s="2" t="s">
        <v>3037</v>
      </c>
      <c r="J1353" s="3" t="str">
        <f>HYPERLINK("https://www.boe.es/gazeta/dias/1823/03/04/pdfs/GMD-1823-67.pdf#page=3","Abrir facsímil")</f>
        <v>Abrir facsímil</v>
      </c>
      <c r="K1353" s="3" t="s">
        <v>23</v>
      </c>
    </row>
    <row r="1354" spans="1:11" ht="42" customHeight="1">
      <c r="A1354" s="2" t="s">
        <v>3038</v>
      </c>
      <c r="B1354" s="2" t="s">
        <v>3039</v>
      </c>
      <c r="C1354" s="2" t="s">
        <v>325</v>
      </c>
      <c r="D1354" s="2" t="s">
        <v>74</v>
      </c>
      <c r="E1354" s="5">
        <v>-27859</v>
      </c>
      <c r="F1354" s="3" t="s">
        <v>2722</v>
      </c>
      <c r="G1354" s="3" t="s">
        <v>20</v>
      </c>
      <c r="H1354" s="2" t="s">
        <v>21</v>
      </c>
      <c r="I1354" s="2" t="s">
        <v>3040</v>
      </c>
      <c r="J1354" s="3" t="str">
        <f>HYPERLINK("https://www.boe.es/gazeta/dias/1823/09/21/pdfs/GES-1823-165.pdf#page=4","Abrir facsímil")</f>
        <v>Abrir facsímil</v>
      </c>
      <c r="K1354" s="3" t="s">
        <v>23</v>
      </c>
    </row>
    <row r="1355" spans="1:11" ht="42" customHeight="1">
      <c r="A1355" s="2" t="s">
        <v>3041</v>
      </c>
      <c r="B1355" s="2" t="s">
        <v>3042</v>
      </c>
      <c r="C1355" s="2" t="s">
        <v>84</v>
      </c>
      <c r="D1355" s="2" t="s">
        <v>74</v>
      </c>
      <c r="E1355" s="5">
        <v>-28030</v>
      </c>
      <c r="F1355" s="3" t="s">
        <v>145</v>
      </c>
      <c r="G1355" s="3" t="s">
        <v>48</v>
      </c>
      <c r="H1355" s="2" t="s">
        <v>21</v>
      </c>
      <c r="I1355" s="2" t="s">
        <v>3043</v>
      </c>
      <c r="J1355" s="3" t="str">
        <f>HYPERLINK("https://www.boe.es/gazeta/dias/1823/04/03/pdfs/GMD-1823-97.pdf#page=3","Abrir facsímil")</f>
        <v>Abrir facsímil</v>
      </c>
      <c r="K1355" s="3" t="s">
        <v>23</v>
      </c>
    </row>
    <row r="1356" spans="1:11" ht="42" customHeight="1">
      <c r="A1356" s="2" t="s">
        <v>3044</v>
      </c>
      <c r="B1356" s="2" t="s">
        <v>3045</v>
      </c>
      <c r="C1356" s="2" t="s">
        <v>17</v>
      </c>
      <c r="D1356" s="2" t="s">
        <v>117</v>
      </c>
      <c r="E1356" s="5">
        <v>-27857</v>
      </c>
      <c r="F1356" s="3" t="s">
        <v>118</v>
      </c>
      <c r="G1356" s="3" t="s">
        <v>39</v>
      </c>
      <c r="H1356" s="2" t="s">
        <v>21</v>
      </c>
      <c r="I1356" s="2" t="s">
        <v>3046</v>
      </c>
      <c r="J1356" s="3" t="str">
        <f>HYPERLINK("https://www.boe.es/gazeta/dias/1823/09/23/pdfs/GMD-1823-843E.pdf#page=1","Abrir facsímil")</f>
        <v>Abrir facsímil</v>
      </c>
      <c r="K1356" s="3" t="s">
        <v>23</v>
      </c>
    </row>
    <row r="1357" spans="1:11" ht="42" customHeight="1">
      <c r="A1357" s="2" t="s">
        <v>3047</v>
      </c>
      <c r="B1357" s="2" t="s">
        <v>3048</v>
      </c>
      <c r="C1357" s="2" t="s">
        <v>17</v>
      </c>
      <c r="D1357" s="2" t="s">
        <v>18</v>
      </c>
      <c r="E1357" s="5">
        <v>-27879</v>
      </c>
      <c r="F1357" s="3" t="s">
        <v>638</v>
      </c>
      <c r="G1357" s="3" t="s">
        <v>27</v>
      </c>
      <c r="H1357" s="2" t="s">
        <v>21</v>
      </c>
      <c r="I1357" s="2" t="s">
        <v>3049</v>
      </c>
      <c r="J1357" s="3" t="str">
        <f>HYPERLINK("https://www.boe.es/gazeta/dias/1823/09/01/pdfs/GES-1823-145.pdf#page=2","Abrir facsímil")</f>
        <v>Abrir facsímil</v>
      </c>
      <c r="K1357" s="3" t="s">
        <v>23</v>
      </c>
    </row>
    <row r="1358" spans="1:11" ht="42" customHeight="1">
      <c r="A1358" s="2" t="s">
        <v>3050</v>
      </c>
      <c r="B1358" s="2" t="s">
        <v>3050</v>
      </c>
      <c r="C1358" s="2" t="s">
        <v>56</v>
      </c>
      <c r="D1358" s="2" t="s">
        <v>57</v>
      </c>
      <c r="E1358" s="5">
        <v>-28023</v>
      </c>
      <c r="F1358" s="3" t="s">
        <v>384</v>
      </c>
      <c r="G1358" s="3" t="s">
        <v>20</v>
      </c>
      <c r="H1358" s="2" t="s">
        <v>21</v>
      </c>
      <c r="I1358" s="2" t="s">
        <v>3051</v>
      </c>
      <c r="J1358" s="3" t="str">
        <f>HYPERLINK("https://www.boe.es/gazeta/dias/1823/04/10/pdfs/GMD-1823-105.pdf#page=4","Abrir facsímil")</f>
        <v>Abrir facsímil</v>
      </c>
      <c r="K1358" s="3" t="s">
        <v>23</v>
      </c>
    </row>
    <row r="1359" spans="1:11" ht="42" customHeight="1">
      <c r="A1359" s="2" t="s">
        <v>3052</v>
      </c>
      <c r="B1359" s="2" t="s">
        <v>3052</v>
      </c>
      <c r="C1359" s="2" t="s">
        <v>17</v>
      </c>
      <c r="D1359" s="2" t="s">
        <v>18</v>
      </c>
      <c r="E1359" s="5">
        <v>-28017</v>
      </c>
      <c r="F1359" s="3" t="s">
        <v>2912</v>
      </c>
      <c r="G1359" s="3" t="s">
        <v>48</v>
      </c>
      <c r="H1359" s="2" t="s">
        <v>21</v>
      </c>
      <c r="I1359" s="2" t="s">
        <v>3053</v>
      </c>
      <c r="J1359" s="3" t="str">
        <f>HYPERLINK("https://www.boe.es/gazeta/dias/1823/04/16/pdfs/GES-1823-6.pdf#page=3","Abrir facsímil")</f>
        <v>Abrir facsímil</v>
      </c>
      <c r="K1359" s="3" t="s">
        <v>23</v>
      </c>
    </row>
    <row r="1360" spans="1:11" ht="42" customHeight="1">
      <c r="A1360" s="2" t="s">
        <v>3052</v>
      </c>
      <c r="B1360" s="2" t="s">
        <v>3052</v>
      </c>
      <c r="C1360" s="2" t="s">
        <v>17</v>
      </c>
      <c r="D1360" s="2" t="s">
        <v>18</v>
      </c>
      <c r="E1360" s="5">
        <v>-28002</v>
      </c>
      <c r="F1360" s="3" t="s">
        <v>315</v>
      </c>
      <c r="G1360" s="3" t="s">
        <v>34</v>
      </c>
      <c r="H1360" s="2" t="s">
        <v>21</v>
      </c>
      <c r="I1360" s="2" t="s">
        <v>3054</v>
      </c>
      <c r="J1360" s="3" t="str">
        <f>HYPERLINK("https://www.boe.es/gazeta/dias/1823/05/01/pdfs/GES-1823-21.pdf#page=5","Abrir facsímil")</f>
        <v>Abrir facsímil</v>
      </c>
      <c r="K1360" s="3" t="s">
        <v>23</v>
      </c>
    </row>
    <row r="1361" spans="1:11" ht="42" customHeight="1">
      <c r="A1361" s="2" t="s">
        <v>3052</v>
      </c>
      <c r="B1361" s="2" t="s">
        <v>3052</v>
      </c>
      <c r="C1361" s="2" t="s">
        <v>17</v>
      </c>
      <c r="D1361" s="2" t="s">
        <v>18</v>
      </c>
      <c r="E1361" s="5">
        <v>-27897</v>
      </c>
      <c r="F1361" s="3" t="s">
        <v>1569</v>
      </c>
      <c r="G1361" s="3" t="s">
        <v>48</v>
      </c>
      <c r="H1361" s="2" t="s">
        <v>21</v>
      </c>
      <c r="I1361" s="2" t="s">
        <v>3055</v>
      </c>
      <c r="J1361" s="3" t="str">
        <f>HYPERLINK("https://www.boe.es/gazeta/dias/1823/08/14/pdfs/GMD-1823-593.pdf#page=3","Abrir facsímil")</f>
        <v>Abrir facsímil</v>
      </c>
      <c r="K1361" s="3" t="s">
        <v>23</v>
      </c>
    </row>
    <row r="1362" spans="1:11" ht="42" customHeight="1">
      <c r="A1362" s="2" t="s">
        <v>3052</v>
      </c>
      <c r="B1362" s="2" t="s">
        <v>3052</v>
      </c>
      <c r="C1362" s="2" t="s">
        <v>17</v>
      </c>
      <c r="D1362" s="2" t="s">
        <v>18</v>
      </c>
      <c r="E1362" s="5">
        <v>-27861</v>
      </c>
      <c r="F1362" s="3" t="s">
        <v>425</v>
      </c>
      <c r="G1362" s="3" t="s">
        <v>48</v>
      </c>
      <c r="H1362" s="2" t="s">
        <v>21</v>
      </c>
      <c r="I1362" s="2" t="s">
        <v>3056</v>
      </c>
      <c r="J1362" s="3" t="str">
        <f>HYPERLINK("https://www.boe.es/gazeta/dias/1823/09/19/pdfs/GES-1823-163.pdf#page=3","Abrir facsímil")</f>
        <v>Abrir facsímil</v>
      </c>
      <c r="K1362" s="3" t="s">
        <v>23</v>
      </c>
    </row>
    <row r="1363" spans="1:11" ht="42" customHeight="1">
      <c r="A1363" s="2" t="s">
        <v>3057</v>
      </c>
      <c r="B1363" s="2" t="s">
        <v>3057</v>
      </c>
      <c r="C1363" s="2" t="s">
        <v>73</v>
      </c>
      <c r="D1363" s="2" t="s">
        <v>74</v>
      </c>
      <c r="E1363" s="5">
        <v>-28116</v>
      </c>
      <c r="F1363" s="3" t="s">
        <v>134</v>
      </c>
      <c r="G1363" s="3" t="s">
        <v>20</v>
      </c>
      <c r="H1363" s="2" t="s">
        <v>21</v>
      </c>
      <c r="I1363" s="2" t="s">
        <v>3058</v>
      </c>
      <c r="J1363" s="3" t="str">
        <f>HYPERLINK("https://www.boe.es/gazeta/dias/1823/01/07/pdfs/GMD-1823-7.pdf#page=4","Abrir facsímil")</f>
        <v>Abrir facsímil</v>
      </c>
      <c r="K1363" s="3" t="s">
        <v>23</v>
      </c>
    </row>
    <row r="1364" spans="1:11" ht="42" customHeight="1">
      <c r="A1364" s="2" t="s">
        <v>3059</v>
      </c>
      <c r="B1364" s="2" t="s">
        <v>3060</v>
      </c>
      <c r="C1364" s="2" t="s">
        <v>109</v>
      </c>
      <c r="D1364" s="2" t="s">
        <v>74</v>
      </c>
      <c r="E1364" s="5">
        <v>-27992</v>
      </c>
      <c r="F1364" s="3" t="s">
        <v>565</v>
      </c>
      <c r="G1364" s="3" t="s">
        <v>1279</v>
      </c>
      <c r="H1364" s="2" t="s">
        <v>21</v>
      </c>
      <c r="I1364" s="2" t="s">
        <v>3061</v>
      </c>
      <c r="J1364" s="3" t="str">
        <f>HYPERLINK("https://www.boe.es/gazeta/dias/1823/05/11/pdfs/GES-1823-31.pdf#page=2","Abrir facsímil")</f>
        <v>Abrir facsímil</v>
      </c>
      <c r="K1364" s="3" t="s">
        <v>23</v>
      </c>
    </row>
    <row r="1365" spans="1:11" ht="42" customHeight="1">
      <c r="A1365" s="2" t="s">
        <v>3062</v>
      </c>
      <c r="B1365" s="2" t="s">
        <v>3063</v>
      </c>
      <c r="C1365" s="2" t="s">
        <v>17</v>
      </c>
      <c r="D1365" s="2" t="s">
        <v>18</v>
      </c>
      <c r="E1365" s="5">
        <v>-27801</v>
      </c>
      <c r="F1365" s="3" t="s">
        <v>800</v>
      </c>
      <c r="G1365" s="3" t="s">
        <v>39</v>
      </c>
      <c r="H1365" s="2" t="s">
        <v>21</v>
      </c>
      <c r="I1365" s="2" t="s">
        <v>3064</v>
      </c>
      <c r="J1365" s="3" t="str">
        <f>HYPERLINK("https://www.boe.es/gazeta/dias/1823/11/18/pdfs/GMD-1823-1133.pdf#page=1","Abrir facsímil")</f>
        <v>Abrir facsímil</v>
      </c>
      <c r="K1365" s="3" t="s">
        <v>23</v>
      </c>
    </row>
    <row r="1366" spans="1:11" ht="42" customHeight="1">
      <c r="A1366" s="2" t="s">
        <v>3065</v>
      </c>
      <c r="B1366" s="2" t="s">
        <v>3066</v>
      </c>
      <c r="C1366" s="2" t="s">
        <v>79</v>
      </c>
      <c r="D1366" s="2" t="s">
        <v>74</v>
      </c>
      <c r="E1366" s="5">
        <v>-27977</v>
      </c>
      <c r="F1366" s="3" t="s">
        <v>1489</v>
      </c>
      <c r="G1366" s="3" t="s">
        <v>1490</v>
      </c>
      <c r="H1366" s="2" t="s">
        <v>21</v>
      </c>
      <c r="I1366" s="2" t="s">
        <v>3067</v>
      </c>
      <c r="J1366" s="3" t="str">
        <f>HYPERLINK("https://www.boe.es/gazeta/dias/1823/05/26/pdfs/GES-1823-47.pdf#page=6","Abrir facsímil")</f>
        <v>Abrir facsímil</v>
      </c>
      <c r="K1366" s="3" t="s">
        <v>23</v>
      </c>
    </row>
    <row r="1367" spans="1:11" ht="42" customHeight="1">
      <c r="A1367" s="2" t="s">
        <v>3068</v>
      </c>
      <c r="B1367" s="2" t="s">
        <v>3069</v>
      </c>
      <c r="C1367" s="2" t="s">
        <v>56</v>
      </c>
      <c r="D1367" s="2" t="s">
        <v>57</v>
      </c>
      <c r="E1367" s="5">
        <v>-27944</v>
      </c>
      <c r="F1367" s="3" t="s">
        <v>658</v>
      </c>
      <c r="G1367" s="3" t="s">
        <v>48</v>
      </c>
      <c r="H1367" s="2" t="s">
        <v>21</v>
      </c>
      <c r="I1367" s="2" t="s">
        <v>3070</v>
      </c>
      <c r="J1367" s="3" t="str">
        <f>HYPERLINK("https://www.boe.es/gazeta/dias/1823/06/28/pdfs/GMD-1823-303.pdf#page=3","Abrir facsímil")</f>
        <v>Abrir facsímil</v>
      </c>
      <c r="K1367" s="3" t="s">
        <v>23</v>
      </c>
    </row>
    <row r="1368" spans="1:11" ht="42" customHeight="1">
      <c r="A1368" s="2" t="s">
        <v>3071</v>
      </c>
      <c r="B1368" s="2" t="s">
        <v>3072</v>
      </c>
      <c r="C1368" s="2" t="s">
        <v>17</v>
      </c>
      <c r="D1368" s="2" t="s">
        <v>18</v>
      </c>
      <c r="E1368" s="5">
        <v>-28001</v>
      </c>
      <c r="F1368" s="3" t="s">
        <v>768</v>
      </c>
      <c r="G1368" s="3" t="s">
        <v>2756</v>
      </c>
      <c r="H1368" s="2" t="s">
        <v>28</v>
      </c>
      <c r="I1368" s="2" t="s">
        <v>3073</v>
      </c>
      <c r="J1368" s="3" t="str">
        <f>HYPERLINK("https://www.boe.es/gazeta/dias/1823/05/02/pdfs/GES-1823-22.pdf#page=6","Abrir facsímil")</f>
        <v>Abrir facsímil</v>
      </c>
      <c r="K1368" s="3" t="s">
        <v>30</v>
      </c>
    </row>
    <row r="1369" spans="1:11" ht="42" customHeight="1">
      <c r="A1369" s="2" t="s">
        <v>3074</v>
      </c>
      <c r="B1369" s="2" t="s">
        <v>3075</v>
      </c>
      <c r="C1369" s="2" t="s">
        <v>17</v>
      </c>
      <c r="D1369" s="2" t="s">
        <v>18</v>
      </c>
      <c r="E1369" s="5">
        <v>-27916</v>
      </c>
      <c r="F1369" s="3" t="s">
        <v>1558</v>
      </c>
      <c r="G1369" s="3" t="s">
        <v>20</v>
      </c>
      <c r="H1369" s="2" t="s">
        <v>21</v>
      </c>
      <c r="I1369" s="2" t="s">
        <v>3076</v>
      </c>
      <c r="J1369" s="3" t="str">
        <f>HYPERLINK("https://www.boe.es/gazeta/dias/1823/07/26/pdfs/GMD-1823-473.pdf#page=4","Abrir facsímil")</f>
        <v>Abrir facsímil</v>
      </c>
      <c r="K1369" s="3" t="s">
        <v>23</v>
      </c>
    </row>
    <row r="1370" spans="1:11" ht="42" customHeight="1">
      <c r="A1370" s="2" t="s">
        <v>3077</v>
      </c>
      <c r="B1370" s="2" t="s">
        <v>3077</v>
      </c>
      <c r="C1370" s="2" t="s">
        <v>17</v>
      </c>
      <c r="D1370" s="2" t="s">
        <v>18</v>
      </c>
      <c r="E1370" s="5">
        <v>-28074</v>
      </c>
      <c r="F1370" s="3" t="s">
        <v>212</v>
      </c>
      <c r="G1370" s="3" t="s">
        <v>39</v>
      </c>
      <c r="H1370" s="2" t="s">
        <v>21</v>
      </c>
      <c r="I1370" s="2" t="s">
        <v>3078</v>
      </c>
      <c r="J1370" s="3" t="str">
        <f>HYPERLINK("https://www.boe.es/gazeta/dias/1823/02/18/pdfs/GMD-1823-52.pdf#page=1","Abrir facsímil")</f>
        <v>Abrir facsímil</v>
      </c>
      <c r="K1370" s="3" t="s">
        <v>23</v>
      </c>
    </row>
    <row r="1371" spans="1:11" ht="42" customHeight="1">
      <c r="A1371" s="2" t="s">
        <v>3079</v>
      </c>
      <c r="B1371" s="2" t="s">
        <v>3079</v>
      </c>
      <c r="C1371" s="2" t="s">
        <v>17</v>
      </c>
      <c r="D1371" s="2" t="s">
        <v>18</v>
      </c>
      <c r="E1371" s="5">
        <v>-27878</v>
      </c>
      <c r="F1371" s="3" t="s">
        <v>1581</v>
      </c>
      <c r="G1371" s="3" t="s">
        <v>20</v>
      </c>
      <c r="H1371" s="2" t="s">
        <v>21</v>
      </c>
      <c r="I1371" s="2" t="s">
        <v>3080</v>
      </c>
      <c r="J1371" s="3" t="str">
        <f>HYPERLINK("https://www.boe.es/gazeta/dias/1823/09/02/pdfs/GMD-1823-683.pdf#page=4","Abrir facsímil")</f>
        <v>Abrir facsímil</v>
      </c>
      <c r="K1371" s="3" t="s">
        <v>23</v>
      </c>
    </row>
    <row r="1372" spans="1:11" ht="42" customHeight="1">
      <c r="A1372" s="2" t="s">
        <v>3081</v>
      </c>
      <c r="B1372" s="2" t="s">
        <v>3081</v>
      </c>
      <c r="C1372" s="2" t="s">
        <v>17</v>
      </c>
      <c r="D1372" s="2" t="s">
        <v>18</v>
      </c>
      <c r="E1372" s="5">
        <v>-27937</v>
      </c>
      <c r="F1372" s="3" t="s">
        <v>897</v>
      </c>
      <c r="G1372" s="3" t="s">
        <v>27</v>
      </c>
      <c r="H1372" s="2" t="s">
        <v>21</v>
      </c>
      <c r="I1372" s="2" t="s">
        <v>3082</v>
      </c>
      <c r="J1372" s="3" t="str">
        <f>HYPERLINK("https://www.boe.es/gazeta/dias/1823/07/05/pdfs/GMD-1823-343.pdf#page=2","Abrir facsímil")</f>
        <v>Abrir facsímil</v>
      </c>
      <c r="K1372" s="3" t="s">
        <v>23</v>
      </c>
    </row>
    <row r="1373" spans="1:11" ht="42" customHeight="1">
      <c r="A1373" s="2" t="s">
        <v>3081</v>
      </c>
      <c r="B1373" s="2" t="s">
        <v>3081</v>
      </c>
      <c r="C1373" s="2" t="s">
        <v>17</v>
      </c>
      <c r="D1373" s="2" t="s">
        <v>18</v>
      </c>
      <c r="E1373" s="5">
        <v>-27917</v>
      </c>
      <c r="F1373" s="3" t="s">
        <v>363</v>
      </c>
      <c r="G1373" s="3" t="s">
        <v>27</v>
      </c>
      <c r="H1373" s="2" t="s">
        <v>21</v>
      </c>
      <c r="I1373" s="2" t="s">
        <v>3083</v>
      </c>
      <c r="J1373" s="3" t="str">
        <f>HYPERLINK("https://www.boe.es/gazeta/dias/1823/07/25/pdfs/GES-1823-106.pdf#page=2","Abrir facsímil")</f>
        <v>Abrir facsímil</v>
      </c>
      <c r="K1373" s="3" t="s">
        <v>23</v>
      </c>
    </row>
    <row r="1374" spans="1:11" ht="42" customHeight="1">
      <c r="A1374" s="2" t="s">
        <v>3084</v>
      </c>
      <c r="B1374" s="2" t="s">
        <v>3085</v>
      </c>
      <c r="C1374" s="2" t="s">
        <v>109</v>
      </c>
      <c r="D1374" s="2" t="s">
        <v>74</v>
      </c>
      <c r="E1374" s="5">
        <v>-27964</v>
      </c>
      <c r="F1374" s="3" t="s">
        <v>58</v>
      </c>
      <c r="G1374" s="3" t="s">
        <v>27</v>
      </c>
      <c r="H1374" s="2" t="s">
        <v>21</v>
      </c>
      <c r="I1374" s="2" t="s">
        <v>3086</v>
      </c>
      <c r="J1374" s="3" t="str">
        <f>HYPERLINK("https://www.boe.es/gazeta/dias/1823/06/08/pdfs/GES-1823-62.pdf#page=2","Abrir facsímil")</f>
        <v>Abrir facsímil</v>
      </c>
      <c r="K1374" s="3" t="s">
        <v>23</v>
      </c>
    </row>
    <row r="1375" spans="1:11" ht="42" customHeight="1">
      <c r="A1375" s="2" t="s">
        <v>3087</v>
      </c>
      <c r="B1375" s="2" t="s">
        <v>3088</v>
      </c>
      <c r="C1375" s="2" t="s">
        <v>73</v>
      </c>
      <c r="D1375" s="2" t="s">
        <v>74</v>
      </c>
      <c r="E1375" s="5">
        <v>-28117</v>
      </c>
      <c r="F1375" s="3" t="s">
        <v>271</v>
      </c>
      <c r="G1375" s="3" t="s">
        <v>48</v>
      </c>
      <c r="H1375" s="2" t="s">
        <v>21</v>
      </c>
      <c r="I1375" s="2" t="s">
        <v>3089</v>
      </c>
      <c r="J1375" s="3" t="str">
        <f>HYPERLINK("https://www.boe.es/gazeta/dias/1823/01/06/pdfs/GMD-1823-6.pdf#page=3","Abrir facsímil")</f>
        <v>Abrir facsímil</v>
      </c>
      <c r="K1375" s="3" t="s">
        <v>23</v>
      </c>
    </row>
    <row r="1376" spans="1:11" ht="42" customHeight="1">
      <c r="A1376" s="2" t="s">
        <v>3090</v>
      </c>
      <c r="B1376" s="2" t="s">
        <v>3091</v>
      </c>
      <c r="C1376" s="2" t="s">
        <v>79</v>
      </c>
      <c r="D1376" s="2" t="s">
        <v>74</v>
      </c>
      <c r="E1376" s="5">
        <v>-27951</v>
      </c>
      <c r="F1376" s="3" t="s">
        <v>548</v>
      </c>
      <c r="G1376" s="3" t="s">
        <v>27</v>
      </c>
      <c r="H1376" s="2" t="s">
        <v>21</v>
      </c>
      <c r="I1376" s="2" t="s">
        <v>3092</v>
      </c>
      <c r="J1376" s="3" t="str">
        <f>HYPERLINK("https://www.boe.es/gazeta/dias/1823/06/21/pdfs/GES-1823-69.pdf#page=2","Abrir facsímil")</f>
        <v>Abrir facsímil</v>
      </c>
      <c r="K1376" s="3" t="s">
        <v>23</v>
      </c>
    </row>
    <row r="1377" spans="1:11" ht="42" customHeight="1">
      <c r="A1377" s="2" t="s">
        <v>3093</v>
      </c>
      <c r="B1377" s="2" t="s">
        <v>3093</v>
      </c>
      <c r="C1377" s="2" t="s">
        <v>109</v>
      </c>
      <c r="D1377" s="2" t="s">
        <v>74</v>
      </c>
      <c r="E1377" s="5">
        <v>-27911</v>
      </c>
      <c r="F1377" s="3" t="s">
        <v>368</v>
      </c>
      <c r="G1377" s="3" t="s">
        <v>48</v>
      </c>
      <c r="H1377" s="2" t="s">
        <v>21</v>
      </c>
      <c r="I1377" s="2" t="s">
        <v>3094</v>
      </c>
      <c r="J1377" s="3" t="str">
        <f>HYPERLINK("https://www.boe.es/gazeta/dias/1823/07/31/pdfs/GES-1823-112.pdf#page=3","Abrir facsímil")</f>
        <v>Abrir facsímil</v>
      </c>
      <c r="K1377" s="3" t="s">
        <v>23</v>
      </c>
    </row>
    <row r="1378" spans="1:11" ht="42" customHeight="1">
      <c r="A1378" s="2" t="s">
        <v>3095</v>
      </c>
      <c r="B1378" s="2" t="s">
        <v>3096</v>
      </c>
      <c r="C1378" s="2" t="s">
        <v>56</v>
      </c>
      <c r="D1378" s="2" t="s">
        <v>57</v>
      </c>
      <c r="E1378" s="5">
        <v>-27986</v>
      </c>
      <c r="F1378" s="3" t="s">
        <v>75</v>
      </c>
      <c r="G1378" s="3" t="s">
        <v>59</v>
      </c>
      <c r="H1378" s="2" t="s">
        <v>21</v>
      </c>
      <c r="I1378" s="2" t="s">
        <v>3097</v>
      </c>
      <c r="J1378" s="3" t="str">
        <f>HYPERLINK("https://www.boe.es/gazeta/dias/1823/05/17/pdfs/GES-1823-37.pdf#page=6","Abrir facsímil")</f>
        <v>Abrir facsímil</v>
      </c>
      <c r="K1378" s="3" t="s">
        <v>23</v>
      </c>
    </row>
    <row r="1379" spans="1:11" ht="42" customHeight="1">
      <c r="A1379" s="2" t="s">
        <v>3098</v>
      </c>
      <c r="B1379" s="2" t="s">
        <v>3098</v>
      </c>
      <c r="C1379" s="2" t="s">
        <v>56</v>
      </c>
      <c r="D1379" s="2" t="s">
        <v>57</v>
      </c>
      <c r="E1379" s="5">
        <v>-28080</v>
      </c>
      <c r="F1379" s="3" t="s">
        <v>1010</v>
      </c>
      <c r="G1379" s="3" t="s">
        <v>27</v>
      </c>
      <c r="H1379" s="2" t="s">
        <v>21</v>
      </c>
      <c r="I1379" s="2" t="s">
        <v>3099</v>
      </c>
      <c r="J1379" s="3" t="str">
        <f>HYPERLINK("https://www.boe.es/gazeta/dias/1823/02/12/pdfs/GMD-1823-46.pdf#page=2","Abrir facsímil")</f>
        <v>Abrir facsímil</v>
      </c>
      <c r="K1379" s="3" t="s">
        <v>23</v>
      </c>
    </row>
    <row r="1380" spans="1:11" ht="42" customHeight="1">
      <c r="A1380" s="2" t="s">
        <v>3100</v>
      </c>
      <c r="B1380" s="2" t="s">
        <v>3101</v>
      </c>
      <c r="C1380" s="2" t="s">
        <v>79</v>
      </c>
      <c r="D1380" s="2" t="s">
        <v>74</v>
      </c>
      <c r="E1380" s="5">
        <v>-28002</v>
      </c>
      <c r="F1380" s="3" t="s">
        <v>315</v>
      </c>
      <c r="G1380" s="3" t="s">
        <v>1116</v>
      </c>
      <c r="H1380" s="2" t="s">
        <v>21</v>
      </c>
      <c r="I1380" s="2" t="s">
        <v>3102</v>
      </c>
      <c r="J1380" s="3" t="str">
        <f>HYPERLINK("https://www.boe.es/gazeta/dias/1823/05/01/pdfs/GES-1823-21.pdf#page=4","Abrir facsímil")</f>
        <v>Abrir facsímil</v>
      </c>
      <c r="K1380" s="3" t="s">
        <v>23</v>
      </c>
    </row>
    <row r="1381" spans="1:11" ht="42" customHeight="1">
      <c r="A1381" s="2" t="s">
        <v>3100</v>
      </c>
      <c r="B1381" s="2" t="s">
        <v>3101</v>
      </c>
      <c r="C1381" s="2" t="s">
        <v>109</v>
      </c>
      <c r="D1381" s="2" t="s">
        <v>74</v>
      </c>
      <c r="E1381" s="5">
        <v>-27998</v>
      </c>
      <c r="F1381" s="3" t="s">
        <v>1058</v>
      </c>
      <c r="G1381" s="3" t="s">
        <v>20</v>
      </c>
      <c r="H1381" s="2" t="s">
        <v>21</v>
      </c>
      <c r="I1381" s="2" t="s">
        <v>3103</v>
      </c>
      <c r="J1381" s="3" t="str">
        <f>HYPERLINK("https://www.boe.es/gazeta/dias/1823/05/05/pdfs/GES-1823-25.pdf#page=4","Abrir facsímil")</f>
        <v>Abrir facsímil</v>
      </c>
      <c r="K1381" s="3" t="s">
        <v>23</v>
      </c>
    </row>
    <row r="1382" spans="1:11" ht="42" customHeight="1">
      <c r="A1382" s="2" t="s">
        <v>3104</v>
      </c>
      <c r="B1382" s="2" t="s">
        <v>3105</v>
      </c>
      <c r="C1382" s="2" t="s">
        <v>79</v>
      </c>
      <c r="D1382" s="2" t="s">
        <v>74</v>
      </c>
      <c r="E1382" s="5">
        <v>-27986</v>
      </c>
      <c r="F1382" s="3" t="s">
        <v>75</v>
      </c>
      <c r="G1382" s="3" t="s">
        <v>20</v>
      </c>
      <c r="H1382" s="2" t="s">
        <v>21</v>
      </c>
      <c r="I1382" s="2" t="s">
        <v>3106</v>
      </c>
      <c r="J1382" s="3" t="str">
        <f>HYPERLINK("https://www.boe.es/gazeta/dias/1823/05/17/pdfs/GES-1823-37.pdf#page=4","Abrir facsímil")</f>
        <v>Abrir facsímil</v>
      </c>
      <c r="K1382" s="3" t="s">
        <v>23</v>
      </c>
    </row>
    <row r="1383" spans="1:11" ht="42" customHeight="1">
      <c r="A1383" s="2" t="s">
        <v>3107</v>
      </c>
      <c r="B1383" s="2" t="s">
        <v>3107</v>
      </c>
      <c r="C1383" s="2" t="s">
        <v>17</v>
      </c>
      <c r="D1383" s="2" t="s">
        <v>18</v>
      </c>
      <c r="E1383" s="5">
        <v>-28120</v>
      </c>
      <c r="F1383" s="3" t="s">
        <v>2772</v>
      </c>
      <c r="G1383" s="3" t="s">
        <v>3108</v>
      </c>
      <c r="H1383" s="2" t="s">
        <v>21</v>
      </c>
      <c r="I1383" s="2" t="s">
        <v>3109</v>
      </c>
      <c r="J1383" s="3" t="str">
        <f>HYPERLINK("https://www.boe.es/gazeta/dias/1823/01/03/pdfs/GMD-1823-3.pdf#page=3","Abrir facsímil")</f>
        <v>Abrir facsímil</v>
      </c>
      <c r="K1383" s="3" t="s">
        <v>23</v>
      </c>
    </row>
    <row r="1384" spans="1:11" ht="42" customHeight="1">
      <c r="A1384" s="2" t="s">
        <v>3107</v>
      </c>
      <c r="B1384" s="2" t="s">
        <v>3107</v>
      </c>
      <c r="C1384" s="2" t="s">
        <v>17</v>
      </c>
      <c r="D1384" s="2" t="s">
        <v>18</v>
      </c>
      <c r="E1384" s="5">
        <v>-28119</v>
      </c>
      <c r="F1384" s="3" t="s">
        <v>545</v>
      </c>
      <c r="G1384" s="3" t="s">
        <v>27</v>
      </c>
      <c r="H1384" s="2" t="s">
        <v>21</v>
      </c>
      <c r="I1384" s="2" t="s">
        <v>3110</v>
      </c>
      <c r="J1384" s="3" t="str">
        <f>HYPERLINK("https://www.boe.es/gazeta/dias/1823/01/04/pdfs/GMD-1823-4.pdf#page=2","Abrir facsímil")</f>
        <v>Abrir facsímil</v>
      </c>
      <c r="K1384" s="3" t="s">
        <v>23</v>
      </c>
    </row>
    <row r="1385" spans="1:11" ht="42" customHeight="1">
      <c r="A1385" s="2" t="s">
        <v>3107</v>
      </c>
      <c r="B1385" s="2" t="s">
        <v>3107</v>
      </c>
      <c r="C1385" s="2" t="s">
        <v>17</v>
      </c>
      <c r="D1385" s="2" t="s">
        <v>18</v>
      </c>
      <c r="E1385" s="5">
        <v>-28119</v>
      </c>
      <c r="F1385" s="3" t="s">
        <v>545</v>
      </c>
      <c r="G1385" s="3" t="s">
        <v>48</v>
      </c>
      <c r="H1385" s="2" t="s">
        <v>21</v>
      </c>
      <c r="I1385" s="2" t="s">
        <v>3111</v>
      </c>
      <c r="J1385" s="3" t="str">
        <f>HYPERLINK("https://www.boe.es/gazeta/dias/1823/01/04/pdfs/GMD-1823-4.pdf#page=3","Abrir facsímil")</f>
        <v>Abrir facsímil</v>
      </c>
      <c r="K1385" s="3" t="s">
        <v>23</v>
      </c>
    </row>
    <row r="1386" spans="1:11" ht="42" customHeight="1">
      <c r="A1386" s="2" t="s">
        <v>3107</v>
      </c>
      <c r="B1386" s="2" t="s">
        <v>3107</v>
      </c>
      <c r="C1386" s="2" t="s">
        <v>73</v>
      </c>
      <c r="D1386" s="2" t="s">
        <v>74</v>
      </c>
      <c r="E1386" s="5">
        <v>-28119</v>
      </c>
      <c r="F1386" s="3" t="s">
        <v>545</v>
      </c>
      <c r="G1386" s="3" t="s">
        <v>34</v>
      </c>
      <c r="H1386" s="2" t="s">
        <v>21</v>
      </c>
      <c r="I1386" s="2" t="s">
        <v>3112</v>
      </c>
      <c r="J1386" s="3" t="str">
        <f>HYPERLINK("https://www.boe.es/gazeta/dias/1823/01/04/pdfs/GMD-1823-4.pdf#page=5","Abrir facsímil")</f>
        <v>Abrir facsímil</v>
      </c>
      <c r="K1386" s="3" t="s">
        <v>23</v>
      </c>
    </row>
    <row r="1387" spans="1:11" ht="42" customHeight="1">
      <c r="A1387" s="2" t="s">
        <v>3107</v>
      </c>
      <c r="B1387" s="2" t="s">
        <v>3107</v>
      </c>
      <c r="C1387" s="2" t="s">
        <v>73</v>
      </c>
      <c r="D1387" s="2" t="s">
        <v>74</v>
      </c>
      <c r="E1387" s="5">
        <v>-28118</v>
      </c>
      <c r="F1387" s="3" t="s">
        <v>252</v>
      </c>
      <c r="G1387" s="3" t="s">
        <v>253</v>
      </c>
      <c r="H1387" s="2" t="s">
        <v>21</v>
      </c>
      <c r="I1387" s="2" t="s">
        <v>3113</v>
      </c>
      <c r="J1387" s="3" t="str">
        <f>HYPERLINK("https://www.boe.es/gazeta/dias/1823/01/05/pdfs/GMD-1823-5.pdf#page=2","Abrir facsímil")</f>
        <v>Abrir facsímil</v>
      </c>
      <c r="K1387" s="3" t="s">
        <v>23</v>
      </c>
    </row>
    <row r="1388" spans="1:11" ht="42" customHeight="1">
      <c r="A1388" s="2" t="s">
        <v>3107</v>
      </c>
      <c r="B1388" s="2" t="s">
        <v>3107</v>
      </c>
      <c r="C1388" s="2" t="s">
        <v>79</v>
      </c>
      <c r="D1388" s="2" t="s">
        <v>74</v>
      </c>
      <c r="E1388" s="5">
        <v>-28115</v>
      </c>
      <c r="F1388" s="3" t="s">
        <v>579</v>
      </c>
      <c r="G1388" s="3" t="s">
        <v>27</v>
      </c>
      <c r="H1388" s="2" t="s">
        <v>21</v>
      </c>
      <c r="I1388" s="2" t="s">
        <v>3114</v>
      </c>
      <c r="J1388" s="3" t="str">
        <f>HYPERLINK("https://www.boe.es/gazeta/dias/1823/01/08/pdfs/GMD-1823-8.pdf#page=2","Abrir facsímil")</f>
        <v>Abrir facsímil</v>
      </c>
      <c r="K1388" s="3" t="s">
        <v>23</v>
      </c>
    </row>
    <row r="1389" spans="1:11" ht="42" customHeight="1">
      <c r="A1389" s="2" t="s">
        <v>3107</v>
      </c>
      <c r="B1389" s="2" t="s">
        <v>3107</v>
      </c>
      <c r="C1389" s="2" t="s">
        <v>293</v>
      </c>
      <c r="D1389" s="2" t="s">
        <v>74</v>
      </c>
      <c r="E1389" s="5">
        <v>-28107</v>
      </c>
      <c r="F1389" s="3" t="s">
        <v>278</v>
      </c>
      <c r="G1389" s="3" t="s">
        <v>27</v>
      </c>
      <c r="H1389" s="2" t="s">
        <v>21</v>
      </c>
      <c r="I1389" s="2" t="s">
        <v>3115</v>
      </c>
      <c r="J1389" s="3" t="str">
        <f>HYPERLINK("https://www.boe.es/gazeta/dias/1823/01/16/pdfs/GMD-1823-16.pdf#page=2","Abrir facsímil")</f>
        <v>Abrir facsímil</v>
      </c>
      <c r="K1389" s="3" t="s">
        <v>23</v>
      </c>
    </row>
    <row r="1390" spans="1:11" ht="42" customHeight="1">
      <c r="A1390" s="2" t="s">
        <v>3107</v>
      </c>
      <c r="B1390" s="2" t="s">
        <v>3107</v>
      </c>
      <c r="C1390" s="2" t="s">
        <v>109</v>
      </c>
      <c r="D1390" s="2" t="s">
        <v>74</v>
      </c>
      <c r="E1390" s="5">
        <v>-28105</v>
      </c>
      <c r="F1390" s="3" t="s">
        <v>502</v>
      </c>
      <c r="G1390" s="3" t="s">
        <v>27</v>
      </c>
      <c r="H1390" s="2" t="s">
        <v>21</v>
      </c>
      <c r="I1390" s="2" t="s">
        <v>3116</v>
      </c>
      <c r="J1390" s="3" t="str">
        <f>HYPERLINK("https://www.boe.es/gazeta/dias/1823/01/18/pdfs/GMD-1823-18.pdf#page=2","Abrir facsímil")</f>
        <v>Abrir facsímil</v>
      </c>
      <c r="K1390" s="3" t="s">
        <v>23</v>
      </c>
    </row>
    <row r="1391" spans="1:11" ht="42" customHeight="1">
      <c r="A1391" s="2" t="s">
        <v>3107</v>
      </c>
      <c r="B1391" s="2" t="s">
        <v>3107</v>
      </c>
      <c r="C1391" s="2" t="s">
        <v>17</v>
      </c>
      <c r="D1391" s="2" t="s">
        <v>18</v>
      </c>
      <c r="E1391" s="5">
        <v>-28105</v>
      </c>
      <c r="F1391" s="3" t="s">
        <v>502</v>
      </c>
      <c r="G1391" s="3" t="s">
        <v>48</v>
      </c>
      <c r="H1391" s="2" t="s">
        <v>21</v>
      </c>
      <c r="I1391" s="2" t="s">
        <v>3117</v>
      </c>
      <c r="J1391" s="3" t="str">
        <f>HYPERLINK("https://www.boe.es/gazeta/dias/1823/01/18/pdfs/GMD-1823-18.pdf#page=3","Abrir facsímil")</f>
        <v>Abrir facsímil</v>
      </c>
      <c r="K1391" s="3" t="s">
        <v>23</v>
      </c>
    </row>
    <row r="1392" spans="1:11" ht="42" customHeight="1">
      <c r="A1392" s="2" t="s">
        <v>3107</v>
      </c>
      <c r="B1392" s="2" t="s">
        <v>3107</v>
      </c>
      <c r="C1392" s="2" t="s">
        <v>17</v>
      </c>
      <c r="D1392" s="2" t="s">
        <v>18</v>
      </c>
      <c r="E1392" s="5">
        <v>-28103</v>
      </c>
      <c r="F1392" s="3" t="s">
        <v>285</v>
      </c>
      <c r="G1392" s="3" t="s">
        <v>48</v>
      </c>
      <c r="H1392" s="2" t="s">
        <v>21</v>
      </c>
      <c r="I1392" s="2" t="s">
        <v>3118</v>
      </c>
      <c r="J1392" s="3" t="str">
        <f>HYPERLINK("https://www.boe.es/gazeta/dias/1823/01/20/pdfs/GMD-1823-20.pdf#page=3","Abrir facsímil")</f>
        <v>Abrir facsímil</v>
      </c>
      <c r="K1392" s="3" t="s">
        <v>23</v>
      </c>
    </row>
    <row r="1393" spans="1:11" ht="42" customHeight="1">
      <c r="A1393" s="2" t="s">
        <v>3107</v>
      </c>
      <c r="B1393" s="2" t="s">
        <v>3107</v>
      </c>
      <c r="C1393" s="2" t="s">
        <v>109</v>
      </c>
      <c r="D1393" s="2" t="s">
        <v>74</v>
      </c>
      <c r="E1393" s="5">
        <v>-28102</v>
      </c>
      <c r="F1393" s="3" t="s">
        <v>287</v>
      </c>
      <c r="G1393" s="3" t="s">
        <v>48</v>
      </c>
      <c r="H1393" s="2" t="s">
        <v>21</v>
      </c>
      <c r="I1393" s="2" t="s">
        <v>3119</v>
      </c>
      <c r="J1393" s="3" t="str">
        <f>HYPERLINK("https://www.boe.es/gazeta/dias/1823/01/21/pdfs/GMD-1823-22.pdf#page=3","Abrir facsímil")</f>
        <v>Abrir facsímil</v>
      </c>
      <c r="K1393" s="3" t="s">
        <v>23</v>
      </c>
    </row>
    <row r="1394" spans="1:11" ht="42" customHeight="1">
      <c r="A1394" s="2" t="s">
        <v>3107</v>
      </c>
      <c r="B1394" s="2" t="s">
        <v>3107</v>
      </c>
      <c r="C1394" s="2" t="s">
        <v>17</v>
      </c>
      <c r="D1394" s="2" t="s">
        <v>18</v>
      </c>
      <c r="E1394" s="5">
        <v>-28101</v>
      </c>
      <c r="F1394" s="3" t="s">
        <v>1041</v>
      </c>
      <c r="G1394" s="3" t="s">
        <v>27</v>
      </c>
      <c r="H1394" s="2" t="s">
        <v>21</v>
      </c>
      <c r="I1394" s="2" t="s">
        <v>3120</v>
      </c>
      <c r="J1394" s="3" t="str">
        <f>HYPERLINK("https://www.boe.es/gazeta/dias/1823/01/22/pdfs/GMD-1823-23.pdf#page=2","Abrir facsímil")</f>
        <v>Abrir facsímil</v>
      </c>
      <c r="K1394" s="3" t="s">
        <v>23</v>
      </c>
    </row>
    <row r="1395" spans="1:11" ht="42" customHeight="1">
      <c r="A1395" s="2" t="s">
        <v>3107</v>
      </c>
      <c r="B1395" s="2" t="s">
        <v>3107</v>
      </c>
      <c r="C1395" s="2" t="s">
        <v>293</v>
      </c>
      <c r="D1395" s="2" t="s">
        <v>74</v>
      </c>
      <c r="E1395" s="5">
        <v>-28099</v>
      </c>
      <c r="F1395" s="3" t="s">
        <v>1689</v>
      </c>
      <c r="G1395" s="3" t="s">
        <v>27</v>
      </c>
      <c r="H1395" s="2" t="s">
        <v>21</v>
      </c>
      <c r="I1395" s="2" t="s">
        <v>3121</v>
      </c>
      <c r="J1395" s="3" t="str">
        <f>HYPERLINK("https://www.boe.es/gazeta/dias/1823/01/24/pdfs/GMD-1823-25.pdf#page=2","Abrir facsímil")</f>
        <v>Abrir facsímil</v>
      </c>
      <c r="K1395" s="3" t="s">
        <v>23</v>
      </c>
    </row>
    <row r="1396" spans="1:11" ht="42" customHeight="1">
      <c r="A1396" s="2" t="s">
        <v>3107</v>
      </c>
      <c r="B1396" s="2" t="s">
        <v>3107</v>
      </c>
      <c r="C1396" s="2" t="s">
        <v>293</v>
      </c>
      <c r="D1396" s="2" t="s">
        <v>74</v>
      </c>
      <c r="E1396" s="5">
        <v>-28093</v>
      </c>
      <c r="F1396" s="3" t="s">
        <v>1044</v>
      </c>
      <c r="G1396" s="3" t="s">
        <v>27</v>
      </c>
      <c r="H1396" s="2" t="s">
        <v>21</v>
      </c>
      <c r="I1396" s="2" t="s">
        <v>3122</v>
      </c>
      <c r="J1396" s="3" t="str">
        <f>HYPERLINK("https://www.boe.es/gazeta/dias/1823/01/30/pdfs/GMD-1823-31.pdf#page=2","Abrir facsímil")</f>
        <v>Abrir facsímil</v>
      </c>
      <c r="K1396" s="3" t="s">
        <v>23</v>
      </c>
    </row>
    <row r="1397" spans="1:11" ht="42" customHeight="1">
      <c r="A1397" s="2" t="s">
        <v>3107</v>
      </c>
      <c r="B1397" s="2" t="s">
        <v>3107</v>
      </c>
      <c r="C1397" s="2" t="s">
        <v>17</v>
      </c>
      <c r="D1397" s="2" t="s">
        <v>18</v>
      </c>
      <c r="E1397" s="5">
        <v>-28092</v>
      </c>
      <c r="F1397" s="3" t="s">
        <v>105</v>
      </c>
      <c r="G1397" s="3" t="s">
        <v>27</v>
      </c>
      <c r="H1397" s="2" t="s">
        <v>21</v>
      </c>
      <c r="I1397" s="2" t="s">
        <v>3123</v>
      </c>
      <c r="J1397" s="3" t="str">
        <f>HYPERLINK("https://www.boe.es/gazeta/dias/1823/01/31/pdfs/GMD-1823-32.pdf#page=2","Abrir facsímil")</f>
        <v>Abrir facsímil</v>
      </c>
      <c r="K1397" s="3" t="s">
        <v>23</v>
      </c>
    </row>
    <row r="1398" spans="1:11" ht="42" customHeight="1">
      <c r="A1398" s="2" t="s">
        <v>3107</v>
      </c>
      <c r="B1398" s="2" t="s">
        <v>3107</v>
      </c>
      <c r="C1398" s="2" t="s">
        <v>17</v>
      </c>
      <c r="D1398" s="2" t="s">
        <v>18</v>
      </c>
      <c r="E1398" s="5">
        <v>-28091</v>
      </c>
      <c r="F1398" s="3" t="s">
        <v>1047</v>
      </c>
      <c r="G1398" s="3" t="s">
        <v>27</v>
      </c>
      <c r="H1398" s="2" t="s">
        <v>21</v>
      </c>
      <c r="I1398" s="2" t="s">
        <v>3124</v>
      </c>
      <c r="J1398" s="3" t="str">
        <f>HYPERLINK("https://www.boe.es/gazeta/dias/1823/02/01/pdfs/GMD-1823-34.pdf#page=2","Abrir facsímil")</f>
        <v>Abrir facsímil</v>
      </c>
      <c r="K1398" s="3" t="s">
        <v>23</v>
      </c>
    </row>
    <row r="1399" spans="1:11" ht="42" customHeight="1">
      <c r="A1399" s="2" t="s">
        <v>3107</v>
      </c>
      <c r="B1399" s="2" t="s">
        <v>3107</v>
      </c>
      <c r="C1399" s="2" t="s">
        <v>56</v>
      </c>
      <c r="D1399" s="2" t="s">
        <v>57</v>
      </c>
      <c r="E1399" s="5">
        <v>-28087</v>
      </c>
      <c r="F1399" s="3" t="s">
        <v>3125</v>
      </c>
      <c r="G1399" s="3" t="s">
        <v>48</v>
      </c>
      <c r="H1399" s="2" t="s">
        <v>21</v>
      </c>
      <c r="I1399" s="2" t="s">
        <v>3126</v>
      </c>
      <c r="J1399" s="3" t="str">
        <f>HYPERLINK("https://www.boe.es/gazeta/dias/1823/02/05/pdfs/GMD-1823-38.pdf#page=3","Abrir facsímil")</f>
        <v>Abrir facsímil</v>
      </c>
      <c r="K1399" s="3" t="s">
        <v>23</v>
      </c>
    </row>
    <row r="1400" spans="1:11" ht="42" customHeight="1">
      <c r="A1400" s="2" t="s">
        <v>3107</v>
      </c>
      <c r="B1400" s="2" t="s">
        <v>3107</v>
      </c>
      <c r="C1400" s="2" t="s">
        <v>17</v>
      </c>
      <c r="D1400" s="2" t="s">
        <v>18</v>
      </c>
      <c r="E1400" s="5">
        <v>-28085</v>
      </c>
      <c r="F1400" s="3" t="s">
        <v>458</v>
      </c>
      <c r="G1400" s="3" t="s">
        <v>20</v>
      </c>
      <c r="H1400" s="2" t="s">
        <v>21</v>
      </c>
      <c r="I1400" s="2" t="s">
        <v>3127</v>
      </c>
      <c r="J1400" s="3" t="str">
        <f>HYPERLINK("https://www.boe.es/gazeta/dias/1823/02/07/pdfs/GMD-1823-40.pdf#page=4","Abrir facsímil")</f>
        <v>Abrir facsímil</v>
      </c>
      <c r="K1400" s="3" t="s">
        <v>23</v>
      </c>
    </row>
    <row r="1401" spans="1:11" ht="42" customHeight="1">
      <c r="A1401" s="2" t="s">
        <v>3107</v>
      </c>
      <c r="B1401" s="2" t="s">
        <v>3107</v>
      </c>
      <c r="C1401" s="2" t="s">
        <v>73</v>
      </c>
      <c r="D1401" s="2" t="s">
        <v>74</v>
      </c>
      <c r="E1401" s="5">
        <v>-28085</v>
      </c>
      <c r="F1401" s="3" t="s">
        <v>458</v>
      </c>
      <c r="G1401" s="3" t="s">
        <v>34</v>
      </c>
      <c r="H1401" s="2" t="s">
        <v>21</v>
      </c>
      <c r="I1401" s="2" t="s">
        <v>3128</v>
      </c>
      <c r="J1401" s="3" t="str">
        <f>HYPERLINK("https://www.boe.es/gazeta/dias/1823/02/07/pdfs/GMD-1823-40.pdf#page=5","Abrir facsímil")</f>
        <v>Abrir facsímil</v>
      </c>
      <c r="K1401" s="3" t="s">
        <v>23</v>
      </c>
    </row>
    <row r="1402" spans="1:11" ht="42" customHeight="1">
      <c r="A1402" s="2" t="s">
        <v>3107</v>
      </c>
      <c r="B1402" s="2" t="s">
        <v>3107</v>
      </c>
      <c r="C1402" s="2" t="s">
        <v>79</v>
      </c>
      <c r="D1402" s="2" t="s">
        <v>74</v>
      </c>
      <c r="E1402" s="5">
        <v>-28084</v>
      </c>
      <c r="F1402" s="3" t="s">
        <v>1049</v>
      </c>
      <c r="G1402" s="3" t="s">
        <v>3129</v>
      </c>
      <c r="H1402" s="2" t="s">
        <v>21</v>
      </c>
      <c r="I1402" s="2" t="s">
        <v>3130</v>
      </c>
      <c r="J1402" s="3" t="str">
        <f>HYPERLINK("https://www.boe.es/gazeta/dias/1823/02/08/pdfs/GMD-1823-41.pdf#page=2","Abrir facsímil")</f>
        <v>Abrir facsímil</v>
      </c>
      <c r="K1402" s="3" t="s">
        <v>23</v>
      </c>
    </row>
    <row r="1403" spans="1:11" ht="42" customHeight="1">
      <c r="A1403" s="2" t="s">
        <v>3107</v>
      </c>
      <c r="B1403" s="2" t="s">
        <v>3107</v>
      </c>
      <c r="C1403" s="2" t="s">
        <v>73</v>
      </c>
      <c r="D1403" s="2" t="s">
        <v>74</v>
      </c>
      <c r="E1403" s="5">
        <v>-28084</v>
      </c>
      <c r="F1403" s="3" t="s">
        <v>1049</v>
      </c>
      <c r="G1403" s="3" t="s">
        <v>48</v>
      </c>
      <c r="H1403" s="2" t="s">
        <v>21</v>
      </c>
      <c r="I1403" s="2" t="s">
        <v>3131</v>
      </c>
      <c r="J1403" s="3" t="str">
        <f>HYPERLINK("https://www.boe.es/gazeta/dias/1823/02/08/pdfs/GMD-1823-41.pdf#page=3","Abrir facsímil")</f>
        <v>Abrir facsímil</v>
      </c>
      <c r="K1403" s="3" t="s">
        <v>23</v>
      </c>
    </row>
    <row r="1404" spans="1:11" ht="42" customHeight="1">
      <c r="A1404" s="2" t="s">
        <v>3107</v>
      </c>
      <c r="B1404" s="2" t="s">
        <v>3107</v>
      </c>
      <c r="C1404" s="2" t="s">
        <v>17</v>
      </c>
      <c r="D1404" s="2" t="s">
        <v>18</v>
      </c>
      <c r="E1404" s="5">
        <v>-28083</v>
      </c>
      <c r="F1404" s="3" t="s">
        <v>291</v>
      </c>
      <c r="G1404" s="3" t="s">
        <v>39</v>
      </c>
      <c r="H1404" s="2" t="s">
        <v>21</v>
      </c>
      <c r="I1404" s="2" t="s">
        <v>3132</v>
      </c>
      <c r="J1404" s="3" t="str">
        <f>HYPERLINK("https://www.boe.es/gazeta/dias/1823/02/09/pdfs/GMD-1823-43.pdf#page=1","Abrir facsímil")</f>
        <v>Abrir facsímil</v>
      </c>
      <c r="K1404" s="3" t="s">
        <v>23</v>
      </c>
    </row>
    <row r="1405" spans="1:11" ht="42" customHeight="1">
      <c r="A1405" s="2" t="s">
        <v>3107</v>
      </c>
      <c r="B1405" s="2" t="s">
        <v>3107</v>
      </c>
      <c r="C1405" s="2" t="s">
        <v>56</v>
      </c>
      <c r="D1405" s="2" t="s">
        <v>57</v>
      </c>
      <c r="E1405" s="5">
        <v>-28082</v>
      </c>
      <c r="F1405" s="3" t="s">
        <v>468</v>
      </c>
      <c r="G1405" s="3" t="s">
        <v>27</v>
      </c>
      <c r="H1405" s="2" t="s">
        <v>21</v>
      </c>
      <c r="I1405" s="2" t="s">
        <v>3133</v>
      </c>
      <c r="J1405" s="3" t="str">
        <f>HYPERLINK("https://www.boe.es/gazeta/dias/1823/02/10/pdfs/GMD-1823-44.pdf#page=2","Abrir facsímil")</f>
        <v>Abrir facsímil</v>
      </c>
      <c r="K1405" s="3" t="s">
        <v>23</v>
      </c>
    </row>
    <row r="1406" spans="1:11" ht="42" customHeight="1">
      <c r="A1406" s="2" t="s">
        <v>3107</v>
      </c>
      <c r="B1406" s="2" t="s">
        <v>3107</v>
      </c>
      <c r="C1406" s="2" t="s">
        <v>79</v>
      </c>
      <c r="D1406" s="2" t="s">
        <v>74</v>
      </c>
      <c r="E1406" s="5">
        <v>-28081</v>
      </c>
      <c r="F1406" s="3" t="s">
        <v>170</v>
      </c>
      <c r="G1406" s="3" t="s">
        <v>27</v>
      </c>
      <c r="H1406" s="2" t="s">
        <v>21</v>
      </c>
      <c r="I1406" s="2" t="s">
        <v>3134</v>
      </c>
      <c r="J1406" s="3" t="str">
        <f>HYPERLINK("https://www.boe.es/gazeta/dias/1823/02/11/pdfs/GMD-1823-45.pdf#page=2","Abrir facsímil")</f>
        <v>Abrir facsímil</v>
      </c>
      <c r="K1406" s="3" t="s">
        <v>23</v>
      </c>
    </row>
    <row r="1407" spans="1:11" ht="42" customHeight="1">
      <c r="A1407" s="2" t="s">
        <v>3107</v>
      </c>
      <c r="B1407" s="2" t="s">
        <v>3107</v>
      </c>
      <c r="C1407" s="2" t="s">
        <v>79</v>
      </c>
      <c r="D1407" s="2" t="s">
        <v>74</v>
      </c>
      <c r="E1407" s="5">
        <v>-28078</v>
      </c>
      <c r="F1407" s="3" t="s">
        <v>508</v>
      </c>
      <c r="G1407" s="3" t="s">
        <v>27</v>
      </c>
      <c r="H1407" s="2" t="s">
        <v>21</v>
      </c>
      <c r="I1407" s="2" t="s">
        <v>3135</v>
      </c>
      <c r="J1407" s="3" t="str">
        <f>HYPERLINK("https://www.boe.es/gazeta/dias/1823/02/14/pdfs/GMD-1823-48.pdf#page=2","Abrir facsímil")</f>
        <v>Abrir facsímil</v>
      </c>
      <c r="K1407" s="3" t="s">
        <v>23</v>
      </c>
    </row>
    <row r="1408" spans="1:11" ht="42" customHeight="1">
      <c r="A1408" s="2" t="s">
        <v>3107</v>
      </c>
      <c r="B1408" s="2" t="s">
        <v>3107</v>
      </c>
      <c r="C1408" s="2" t="s">
        <v>79</v>
      </c>
      <c r="D1408" s="2" t="s">
        <v>74</v>
      </c>
      <c r="E1408" s="5">
        <v>-28077</v>
      </c>
      <c r="F1408" s="3" t="s">
        <v>536</v>
      </c>
      <c r="G1408" s="3" t="s">
        <v>20</v>
      </c>
      <c r="H1408" s="2" t="s">
        <v>21</v>
      </c>
      <c r="I1408" s="2" t="s">
        <v>3136</v>
      </c>
      <c r="J1408" s="3" t="str">
        <f>HYPERLINK("https://www.boe.es/gazeta/dias/1823/02/15/pdfs/GMD-1823-49.pdf#page=4","Abrir facsímil")</f>
        <v>Abrir facsímil</v>
      </c>
      <c r="K1408" s="3" t="s">
        <v>23</v>
      </c>
    </row>
    <row r="1409" spans="1:11" ht="42" customHeight="1">
      <c r="A1409" s="2" t="s">
        <v>3107</v>
      </c>
      <c r="B1409" s="2" t="s">
        <v>3107</v>
      </c>
      <c r="C1409" s="2" t="s">
        <v>79</v>
      </c>
      <c r="D1409" s="2" t="s">
        <v>74</v>
      </c>
      <c r="E1409" s="5">
        <v>-28071</v>
      </c>
      <c r="F1409" s="3" t="s">
        <v>587</v>
      </c>
      <c r="G1409" s="3" t="s">
        <v>27</v>
      </c>
      <c r="H1409" s="2" t="s">
        <v>21</v>
      </c>
      <c r="I1409" s="2" t="s">
        <v>3137</v>
      </c>
      <c r="J1409" s="3" t="str">
        <f>HYPERLINK("https://www.boe.es/gazeta/dias/1823/02/21/pdfs/GMD-1823-55.pdf#page=2","Abrir facsímil")</f>
        <v>Abrir facsímil</v>
      </c>
      <c r="K1409" s="3" t="s">
        <v>23</v>
      </c>
    </row>
    <row r="1410" spans="1:11" ht="42" customHeight="1">
      <c r="A1410" s="2" t="s">
        <v>3107</v>
      </c>
      <c r="B1410" s="2" t="s">
        <v>3107</v>
      </c>
      <c r="C1410" s="2" t="s">
        <v>109</v>
      </c>
      <c r="D1410" s="2" t="s">
        <v>74</v>
      </c>
      <c r="E1410" s="5">
        <v>-28060</v>
      </c>
      <c r="F1410" s="3" t="s">
        <v>180</v>
      </c>
      <c r="G1410" s="3" t="s">
        <v>20</v>
      </c>
      <c r="H1410" s="2" t="s">
        <v>21</v>
      </c>
      <c r="I1410" s="2" t="s">
        <v>3138</v>
      </c>
      <c r="J1410" s="3" t="str">
        <f>HYPERLINK("https://www.boe.es/gazeta/dias/1823/03/04/pdfs/GMD-1823-67.pdf#page=4","Abrir facsímil")</f>
        <v>Abrir facsímil</v>
      </c>
      <c r="K1410" s="3" t="s">
        <v>23</v>
      </c>
    </row>
    <row r="1411" spans="1:11" ht="42" customHeight="1">
      <c r="A1411" s="2" t="s">
        <v>3107</v>
      </c>
      <c r="B1411" s="2" t="s">
        <v>3107</v>
      </c>
      <c r="C1411" s="2" t="s">
        <v>17</v>
      </c>
      <c r="D1411" s="2" t="s">
        <v>18</v>
      </c>
      <c r="E1411" s="5">
        <v>-28054</v>
      </c>
      <c r="F1411" s="3" t="s">
        <v>1292</v>
      </c>
      <c r="G1411" s="3" t="s">
        <v>27</v>
      </c>
      <c r="H1411" s="2" t="s">
        <v>21</v>
      </c>
      <c r="I1411" s="2" t="s">
        <v>3139</v>
      </c>
      <c r="J1411" s="3" t="str">
        <f>HYPERLINK("https://www.boe.es/gazeta/dias/1823/03/10/pdfs/GMD-1823-73.pdf#page=2","Abrir facsímil")</f>
        <v>Abrir facsímil</v>
      </c>
      <c r="K1411" s="3" t="s">
        <v>23</v>
      </c>
    </row>
    <row r="1412" spans="1:11" ht="42" customHeight="1">
      <c r="A1412" s="2" t="s">
        <v>3107</v>
      </c>
      <c r="B1412" s="2" t="s">
        <v>3107</v>
      </c>
      <c r="C1412" s="2" t="s">
        <v>17</v>
      </c>
      <c r="D1412" s="2" t="s">
        <v>18</v>
      </c>
      <c r="E1412" s="5">
        <v>-28050</v>
      </c>
      <c r="F1412" s="3" t="s">
        <v>473</v>
      </c>
      <c r="G1412" s="3" t="s">
        <v>27</v>
      </c>
      <c r="H1412" s="2" t="s">
        <v>21</v>
      </c>
      <c r="I1412" s="2" t="s">
        <v>3140</v>
      </c>
      <c r="J1412" s="3" t="str">
        <f>HYPERLINK("https://www.boe.es/gazeta/dias/1823/03/14/pdfs/GMD-1823-77.pdf#page=2","Abrir facsímil")</f>
        <v>Abrir facsímil</v>
      </c>
      <c r="K1412" s="3" t="s">
        <v>23</v>
      </c>
    </row>
    <row r="1413" spans="1:11" ht="42" customHeight="1">
      <c r="A1413" s="2" t="s">
        <v>3107</v>
      </c>
      <c r="B1413" s="2" t="s">
        <v>3107</v>
      </c>
      <c r="C1413" s="2" t="s">
        <v>79</v>
      </c>
      <c r="D1413" s="2" t="s">
        <v>74</v>
      </c>
      <c r="E1413" s="5">
        <v>-28049</v>
      </c>
      <c r="F1413" s="3" t="s">
        <v>198</v>
      </c>
      <c r="G1413" s="3" t="s">
        <v>48</v>
      </c>
      <c r="H1413" s="2" t="s">
        <v>21</v>
      </c>
      <c r="I1413" s="2" t="s">
        <v>3141</v>
      </c>
      <c r="J1413" s="3" t="str">
        <f>HYPERLINK("https://www.boe.es/gazeta/dias/1823/03/15/pdfs/GMD-1823-78.pdf#page=3","Abrir facsímil")</f>
        <v>Abrir facsímil</v>
      </c>
      <c r="K1413" s="3" t="s">
        <v>23</v>
      </c>
    </row>
    <row r="1414" spans="1:11" ht="42" customHeight="1">
      <c r="A1414" s="2" t="s">
        <v>3107</v>
      </c>
      <c r="B1414" s="2" t="s">
        <v>3107</v>
      </c>
      <c r="C1414" s="2" t="s">
        <v>79</v>
      </c>
      <c r="D1414" s="2" t="s">
        <v>74</v>
      </c>
      <c r="E1414" s="5">
        <v>-28005</v>
      </c>
      <c r="F1414" s="3" t="s">
        <v>1648</v>
      </c>
      <c r="G1414" s="3" t="s">
        <v>48</v>
      </c>
      <c r="H1414" s="2" t="s">
        <v>21</v>
      </c>
      <c r="I1414" s="2" t="s">
        <v>3142</v>
      </c>
      <c r="J1414" s="3" t="str">
        <f>HYPERLINK("https://www.boe.es/gazeta/dias/1823/04/28/pdfs/GES-1823-18.pdf#page=3","Abrir facsímil")</f>
        <v>Abrir facsímil</v>
      </c>
      <c r="K1414" s="3" t="s">
        <v>23</v>
      </c>
    </row>
    <row r="1415" spans="1:11" ht="42" customHeight="1">
      <c r="A1415" s="2" t="s">
        <v>3107</v>
      </c>
      <c r="B1415" s="2" t="s">
        <v>3107</v>
      </c>
      <c r="C1415" s="2" t="s">
        <v>109</v>
      </c>
      <c r="D1415" s="2" t="s">
        <v>74</v>
      </c>
      <c r="E1415" s="5">
        <v>-28004</v>
      </c>
      <c r="F1415" s="3" t="s">
        <v>33</v>
      </c>
      <c r="G1415" s="3" t="s">
        <v>48</v>
      </c>
      <c r="H1415" s="2" t="s">
        <v>21</v>
      </c>
      <c r="I1415" s="2" t="s">
        <v>3143</v>
      </c>
      <c r="J1415" s="3" t="str">
        <f>HYPERLINK("https://www.boe.es/gazeta/dias/1823/04/29/pdfs/GES-1823-19.pdf#page=3","Abrir facsímil")</f>
        <v>Abrir facsímil</v>
      </c>
      <c r="K1415" s="3" t="s">
        <v>23</v>
      </c>
    </row>
    <row r="1416" spans="1:11" ht="42" customHeight="1">
      <c r="A1416" s="2" t="s">
        <v>3107</v>
      </c>
      <c r="B1416" s="2" t="s">
        <v>3107</v>
      </c>
      <c r="C1416" s="2" t="s">
        <v>17</v>
      </c>
      <c r="D1416" s="2" t="s">
        <v>18</v>
      </c>
      <c r="E1416" s="5">
        <v>-28004</v>
      </c>
      <c r="F1416" s="3" t="s">
        <v>33</v>
      </c>
      <c r="G1416" s="3" t="s">
        <v>34</v>
      </c>
      <c r="H1416" s="2" t="s">
        <v>21</v>
      </c>
      <c r="I1416" s="2" t="s">
        <v>3144</v>
      </c>
      <c r="J1416" s="3" t="str">
        <f>HYPERLINK("https://www.boe.es/gazeta/dias/1823/04/29/pdfs/GES-1823-19.pdf#page=5","Abrir facsímil")</f>
        <v>Abrir facsímil</v>
      </c>
      <c r="K1416" s="3" t="s">
        <v>23</v>
      </c>
    </row>
    <row r="1417" spans="1:11" ht="42" customHeight="1">
      <c r="A1417" s="2" t="s">
        <v>3107</v>
      </c>
      <c r="B1417" s="2" t="s">
        <v>3107</v>
      </c>
      <c r="C1417" s="2" t="s">
        <v>56</v>
      </c>
      <c r="D1417" s="2" t="s">
        <v>57</v>
      </c>
      <c r="E1417" s="5">
        <v>-28003</v>
      </c>
      <c r="F1417" s="3" t="s">
        <v>26</v>
      </c>
      <c r="G1417" s="3" t="s">
        <v>48</v>
      </c>
      <c r="H1417" s="2" t="s">
        <v>21</v>
      </c>
      <c r="I1417" s="2" t="s">
        <v>3145</v>
      </c>
      <c r="J1417" s="3" t="str">
        <f>HYPERLINK("https://www.boe.es/gazeta/dias/1823/04/30/pdfs/GES-1823-20.pdf#page=3","Abrir facsímil")</f>
        <v>Abrir facsímil</v>
      </c>
      <c r="K1417" s="3" t="s">
        <v>23</v>
      </c>
    </row>
    <row r="1418" spans="1:11" ht="42" customHeight="1">
      <c r="A1418" s="2" t="s">
        <v>3107</v>
      </c>
      <c r="B1418" s="2" t="s">
        <v>3107</v>
      </c>
      <c r="C1418" s="2" t="s">
        <v>73</v>
      </c>
      <c r="D1418" s="2" t="s">
        <v>74</v>
      </c>
      <c r="E1418" s="5">
        <v>-28000</v>
      </c>
      <c r="F1418" s="3" t="s">
        <v>1118</v>
      </c>
      <c r="G1418" s="3" t="s">
        <v>48</v>
      </c>
      <c r="H1418" s="2" t="s">
        <v>21</v>
      </c>
      <c r="I1418" s="2" t="s">
        <v>3146</v>
      </c>
      <c r="J1418" s="3" t="str">
        <f>HYPERLINK("https://www.boe.es/gazeta/dias/1823/05/03/pdfs/GES-1823-23.pdf#page=3","Abrir facsímil")</f>
        <v>Abrir facsímil</v>
      </c>
      <c r="K1418" s="3" t="s">
        <v>23</v>
      </c>
    </row>
    <row r="1419" spans="1:11" ht="42" customHeight="1">
      <c r="A1419" s="2" t="s">
        <v>3107</v>
      </c>
      <c r="B1419" s="2" t="s">
        <v>3107</v>
      </c>
      <c r="C1419" s="2" t="s">
        <v>17</v>
      </c>
      <c r="D1419" s="2" t="s">
        <v>18</v>
      </c>
      <c r="E1419" s="5">
        <v>-28000</v>
      </c>
      <c r="F1419" s="3" t="s">
        <v>1118</v>
      </c>
      <c r="G1419" s="3" t="s">
        <v>34</v>
      </c>
      <c r="H1419" s="2" t="s">
        <v>21</v>
      </c>
      <c r="I1419" s="2" t="s">
        <v>3147</v>
      </c>
      <c r="J1419" s="3" t="str">
        <f>HYPERLINK("https://www.boe.es/gazeta/dias/1823/05/03/pdfs/GES-1823-23.pdf#page=5","Abrir facsímil")</f>
        <v>Abrir facsímil</v>
      </c>
      <c r="K1419" s="3" t="s">
        <v>23</v>
      </c>
    </row>
    <row r="1420" spans="1:11" ht="42" customHeight="1">
      <c r="A1420" s="2" t="s">
        <v>3107</v>
      </c>
      <c r="B1420" s="2" t="s">
        <v>3107</v>
      </c>
      <c r="C1420" s="2" t="s">
        <v>17</v>
      </c>
      <c r="D1420" s="2" t="s">
        <v>18</v>
      </c>
      <c r="E1420" s="5">
        <v>-27995</v>
      </c>
      <c r="F1420" s="3" t="s">
        <v>320</v>
      </c>
      <c r="G1420" s="3" t="s">
        <v>39</v>
      </c>
      <c r="H1420" s="2" t="s">
        <v>21</v>
      </c>
      <c r="I1420" s="2" t="s">
        <v>3148</v>
      </c>
      <c r="J1420" s="3" t="str">
        <f>HYPERLINK("https://www.boe.es/gazeta/dias/1823/05/08/pdfs/GES-1823-28.pdf#page=1","Abrir facsímil")</f>
        <v>Abrir facsímil</v>
      </c>
      <c r="K1420" s="3" t="s">
        <v>23</v>
      </c>
    </row>
    <row r="1421" spans="1:11" ht="42" customHeight="1">
      <c r="A1421" s="2" t="s">
        <v>3107</v>
      </c>
      <c r="B1421" s="2" t="s">
        <v>3107</v>
      </c>
      <c r="C1421" s="2" t="s">
        <v>17</v>
      </c>
      <c r="D1421" s="2" t="s">
        <v>18</v>
      </c>
      <c r="E1421" s="5">
        <v>-27993</v>
      </c>
      <c r="F1421" s="3" t="s">
        <v>1062</v>
      </c>
      <c r="G1421" s="3" t="s">
        <v>48</v>
      </c>
      <c r="H1421" s="2" t="s">
        <v>21</v>
      </c>
      <c r="I1421" s="2" t="s">
        <v>3149</v>
      </c>
      <c r="J1421" s="3" t="str">
        <f>HYPERLINK("https://www.boe.es/gazeta/dias/1823/05/10/pdfs/GMD-1823-122.pdf#page=3","Abrir facsímil")</f>
        <v>Abrir facsímil</v>
      </c>
      <c r="K1421" s="3" t="s">
        <v>23</v>
      </c>
    </row>
    <row r="1422" spans="1:11" ht="42" customHeight="1">
      <c r="A1422" s="2" t="s">
        <v>3107</v>
      </c>
      <c r="B1422" s="2" t="s">
        <v>3107</v>
      </c>
      <c r="C1422" s="2" t="s">
        <v>17</v>
      </c>
      <c r="D1422" s="2" t="s">
        <v>18</v>
      </c>
      <c r="E1422" s="5">
        <v>-27993</v>
      </c>
      <c r="F1422" s="3" t="s">
        <v>1062</v>
      </c>
      <c r="G1422" s="3" t="s">
        <v>20</v>
      </c>
      <c r="H1422" s="2" t="s">
        <v>21</v>
      </c>
      <c r="I1422" s="2" t="s">
        <v>3150</v>
      </c>
      <c r="J1422" s="3" t="str">
        <f>HYPERLINK("https://www.boe.es/gazeta/dias/1823/05/10/pdfs/GMD-1823-122.pdf#page=4","Abrir facsímil")</f>
        <v>Abrir facsímil</v>
      </c>
      <c r="K1422" s="3" t="s">
        <v>23</v>
      </c>
    </row>
    <row r="1423" spans="1:11" ht="42" customHeight="1">
      <c r="A1423" s="2" t="s">
        <v>3107</v>
      </c>
      <c r="B1423" s="2" t="s">
        <v>3107</v>
      </c>
      <c r="C1423" s="2" t="s">
        <v>56</v>
      </c>
      <c r="D1423" s="2" t="s">
        <v>57</v>
      </c>
      <c r="E1423" s="5">
        <v>-27992</v>
      </c>
      <c r="F1423" s="3" t="s">
        <v>565</v>
      </c>
      <c r="G1423" s="3" t="s">
        <v>48</v>
      </c>
      <c r="H1423" s="2" t="s">
        <v>21</v>
      </c>
      <c r="I1423" s="2" t="s">
        <v>3151</v>
      </c>
      <c r="J1423" s="3" t="str">
        <f>HYPERLINK("https://www.boe.es/gazeta/dias/1823/05/11/pdfs/GES-1823-31.pdf#page=3","Abrir facsímil")</f>
        <v>Abrir facsímil</v>
      </c>
      <c r="K1423" s="3" t="s">
        <v>23</v>
      </c>
    </row>
    <row r="1424" spans="1:11" ht="42" customHeight="1">
      <c r="A1424" s="2" t="s">
        <v>3107</v>
      </c>
      <c r="B1424" s="2" t="s">
        <v>3107</v>
      </c>
      <c r="C1424" s="2" t="s">
        <v>109</v>
      </c>
      <c r="D1424" s="2" t="s">
        <v>74</v>
      </c>
      <c r="E1424" s="5">
        <v>-27989</v>
      </c>
      <c r="F1424" s="3" t="s">
        <v>1134</v>
      </c>
      <c r="G1424" s="3" t="s">
        <v>27</v>
      </c>
      <c r="H1424" s="2" t="s">
        <v>21</v>
      </c>
      <c r="I1424" s="2" t="s">
        <v>3152</v>
      </c>
      <c r="J1424" s="3" t="str">
        <f>HYPERLINK("https://www.boe.es/gazeta/dias/1823/05/14/pdfs/GES-1823-34.pdf#page=2","Abrir facsímil")</f>
        <v>Abrir facsímil</v>
      </c>
      <c r="K1424" s="3" t="s">
        <v>23</v>
      </c>
    </row>
    <row r="1425" spans="1:11" ht="42" customHeight="1">
      <c r="A1425" s="2" t="s">
        <v>3107</v>
      </c>
      <c r="B1425" s="2" t="s">
        <v>3107</v>
      </c>
      <c r="C1425" s="2" t="s">
        <v>79</v>
      </c>
      <c r="D1425" s="2" t="s">
        <v>74</v>
      </c>
      <c r="E1425" s="5">
        <v>-27986</v>
      </c>
      <c r="F1425" s="3" t="s">
        <v>607</v>
      </c>
      <c r="G1425" s="3" t="s">
        <v>48</v>
      </c>
      <c r="H1425" s="2" t="s">
        <v>21</v>
      </c>
      <c r="I1425" s="2" t="s">
        <v>3153</v>
      </c>
      <c r="J1425" s="3" t="str">
        <f>HYPERLINK("https://www.boe.es/gazeta/dias/1823/05/17/pdfs/GMD-1823-152.pdf#page=3","Abrir facsímil")</f>
        <v>Abrir facsímil</v>
      </c>
      <c r="K1425" s="3" t="s">
        <v>23</v>
      </c>
    </row>
    <row r="1426" spans="1:11" ht="42" customHeight="1">
      <c r="A1426" s="2" t="s">
        <v>3107</v>
      </c>
      <c r="B1426" s="2" t="s">
        <v>3107</v>
      </c>
      <c r="C1426" s="2" t="s">
        <v>17</v>
      </c>
      <c r="D1426" s="2" t="s">
        <v>18</v>
      </c>
      <c r="E1426" s="5">
        <v>-27983</v>
      </c>
      <c r="F1426" s="3" t="s">
        <v>337</v>
      </c>
      <c r="G1426" s="3" t="s">
        <v>27</v>
      </c>
      <c r="H1426" s="2" t="s">
        <v>21</v>
      </c>
      <c r="I1426" s="2" t="s">
        <v>3154</v>
      </c>
      <c r="J1426" s="3" t="str">
        <f>HYPERLINK("https://www.boe.es/gazeta/dias/1823/05/20/pdfs/GES-1823-40.pdf#page=2","Abrir facsímil")</f>
        <v>Abrir facsímil</v>
      </c>
      <c r="K1426" s="3" t="s">
        <v>23</v>
      </c>
    </row>
    <row r="1427" spans="1:11" ht="42" customHeight="1">
      <c r="A1427" s="2" t="s">
        <v>3107</v>
      </c>
      <c r="B1427" s="2" t="s">
        <v>3107</v>
      </c>
      <c r="C1427" s="2" t="s">
        <v>79</v>
      </c>
      <c r="D1427" s="2" t="s">
        <v>74</v>
      </c>
      <c r="E1427" s="5">
        <v>-27982</v>
      </c>
      <c r="F1427" s="3" t="s">
        <v>340</v>
      </c>
      <c r="G1427" s="3" t="s">
        <v>590</v>
      </c>
      <c r="H1427" s="2" t="s">
        <v>21</v>
      </c>
      <c r="I1427" s="2" t="s">
        <v>3155</v>
      </c>
      <c r="J1427" s="3" t="str">
        <f>HYPERLINK("https://www.boe.es/gazeta/dias/1823/05/21/pdfs/GES-1823-42.pdf#page=5","Abrir facsímil")</f>
        <v>Abrir facsímil</v>
      </c>
      <c r="K1427" s="3" t="s">
        <v>23</v>
      </c>
    </row>
    <row r="1428" spans="1:11" ht="42" customHeight="1">
      <c r="A1428" s="2" t="s">
        <v>3107</v>
      </c>
      <c r="B1428" s="2" t="s">
        <v>3107</v>
      </c>
      <c r="C1428" s="2" t="s">
        <v>17</v>
      </c>
      <c r="D1428" s="2" t="s">
        <v>18</v>
      </c>
      <c r="E1428" s="5">
        <v>-27982</v>
      </c>
      <c r="F1428" s="3" t="s">
        <v>340</v>
      </c>
      <c r="G1428" s="3" t="s">
        <v>20</v>
      </c>
      <c r="H1428" s="2" t="s">
        <v>21</v>
      </c>
      <c r="I1428" s="2" t="s">
        <v>3156</v>
      </c>
      <c r="J1428" s="3" t="str">
        <f>HYPERLINK("https://www.boe.es/gazeta/dias/1823/05/21/pdfs/GES-1823-42.pdf#page=4","Abrir facsímil")</f>
        <v>Abrir facsímil</v>
      </c>
      <c r="K1428" s="3" t="s">
        <v>23</v>
      </c>
    </row>
    <row r="1429" spans="1:11" ht="42" customHeight="1">
      <c r="A1429" s="2" t="s">
        <v>3107</v>
      </c>
      <c r="B1429" s="2" t="s">
        <v>3107</v>
      </c>
      <c r="C1429" s="2" t="s">
        <v>109</v>
      </c>
      <c r="D1429" s="2" t="s">
        <v>74</v>
      </c>
      <c r="E1429" s="5">
        <v>-27976</v>
      </c>
      <c r="F1429" s="3" t="s">
        <v>1156</v>
      </c>
      <c r="G1429" s="3" t="s">
        <v>27</v>
      </c>
      <c r="H1429" s="2" t="s">
        <v>21</v>
      </c>
      <c r="I1429" s="2" t="s">
        <v>3157</v>
      </c>
      <c r="J1429" s="3" t="str">
        <f>HYPERLINK("https://www.boe.es/gazeta/dias/1823/05/27/pdfs/GES-1823-49.pdf#page=2","Abrir facsímil")</f>
        <v>Abrir facsímil</v>
      </c>
      <c r="K1429" s="3" t="s">
        <v>23</v>
      </c>
    </row>
    <row r="1430" spans="1:11" ht="42" customHeight="1">
      <c r="A1430" s="2" t="s">
        <v>3107</v>
      </c>
      <c r="B1430" s="2" t="s">
        <v>3107</v>
      </c>
      <c r="C1430" s="2" t="s">
        <v>109</v>
      </c>
      <c r="D1430" s="2" t="s">
        <v>74</v>
      </c>
      <c r="E1430" s="5">
        <v>-27974</v>
      </c>
      <c r="F1430" s="3" t="s">
        <v>618</v>
      </c>
      <c r="G1430" s="3" t="s">
        <v>39</v>
      </c>
      <c r="H1430" s="2" t="s">
        <v>21</v>
      </c>
      <c r="I1430" s="2" t="s">
        <v>3158</v>
      </c>
      <c r="J1430" s="3" t="str">
        <f>HYPERLINK("https://www.boe.es/gazeta/dias/1823/05/29/pdfs/GES-1823-52.pdf#page=1","Abrir facsímil")</f>
        <v>Abrir facsímil</v>
      </c>
      <c r="K1430" s="3" t="s">
        <v>23</v>
      </c>
    </row>
    <row r="1431" spans="1:11" ht="42" customHeight="1">
      <c r="A1431" s="2" t="s">
        <v>3107</v>
      </c>
      <c r="B1431" s="2" t="s">
        <v>3107</v>
      </c>
      <c r="C1431" s="2" t="s">
        <v>56</v>
      </c>
      <c r="D1431" s="2" t="s">
        <v>57</v>
      </c>
      <c r="E1431" s="5">
        <v>-27970</v>
      </c>
      <c r="F1431" s="3" t="s">
        <v>1030</v>
      </c>
      <c r="G1431" s="3" t="s">
        <v>27</v>
      </c>
      <c r="H1431" s="2" t="s">
        <v>21</v>
      </c>
      <c r="I1431" s="2" t="s">
        <v>3159</v>
      </c>
      <c r="J1431" s="3" t="str">
        <f>HYPERLINK("https://www.boe.es/gazeta/dias/1823/06/02/pdfs/GES-1823-56.pdf#page=2","Abrir facsímil")</f>
        <v>Abrir facsímil</v>
      </c>
      <c r="K1431" s="3" t="s">
        <v>23</v>
      </c>
    </row>
    <row r="1432" spans="1:11" ht="42" customHeight="1">
      <c r="A1432" s="2" t="s">
        <v>3107</v>
      </c>
      <c r="B1432" s="2" t="s">
        <v>3107</v>
      </c>
      <c r="C1432" s="2" t="s">
        <v>79</v>
      </c>
      <c r="D1432" s="2" t="s">
        <v>74</v>
      </c>
      <c r="E1432" s="5">
        <v>-27969</v>
      </c>
      <c r="F1432" s="3" t="s">
        <v>855</v>
      </c>
      <c r="G1432" s="3" t="s">
        <v>1158</v>
      </c>
      <c r="H1432" s="2" t="s">
        <v>21</v>
      </c>
      <c r="I1432" s="2" t="s">
        <v>3160</v>
      </c>
      <c r="J1432" s="3" t="str">
        <f>HYPERLINK("https://www.boe.es/gazeta/dias/1823/06/03/pdfs/GES-1823-57.pdf#page=2","Abrir facsímil")</f>
        <v>Abrir facsímil</v>
      </c>
      <c r="K1432" s="3" t="s">
        <v>23</v>
      </c>
    </row>
    <row r="1433" spans="1:11" ht="42" customHeight="1">
      <c r="A1433" s="2" t="s">
        <v>3107</v>
      </c>
      <c r="B1433" s="2" t="s">
        <v>3107</v>
      </c>
      <c r="C1433" s="2" t="s">
        <v>17</v>
      </c>
      <c r="D1433" s="2" t="s">
        <v>18</v>
      </c>
      <c r="E1433" s="5">
        <v>-27968</v>
      </c>
      <c r="F1433" s="3" t="s">
        <v>1160</v>
      </c>
      <c r="G1433" s="3" t="s">
        <v>39</v>
      </c>
      <c r="H1433" s="2" t="s">
        <v>21</v>
      </c>
      <c r="I1433" s="2" t="s">
        <v>3161</v>
      </c>
      <c r="J1433" s="3" t="str">
        <f>HYPERLINK("https://www.boe.es/gazeta/dias/1823/06/04/pdfs/GES-1823-58.pdf#page=1","Abrir facsímil")</f>
        <v>Abrir facsímil</v>
      </c>
      <c r="K1433" s="3" t="s">
        <v>23</v>
      </c>
    </row>
    <row r="1434" spans="1:11" ht="42" customHeight="1">
      <c r="A1434" s="2" t="s">
        <v>3107</v>
      </c>
      <c r="B1434" s="2" t="s">
        <v>3107</v>
      </c>
      <c r="C1434" s="2" t="s">
        <v>73</v>
      </c>
      <c r="D1434" s="2" t="s">
        <v>74</v>
      </c>
      <c r="E1434" s="5">
        <v>-27968</v>
      </c>
      <c r="F1434" s="3" t="s">
        <v>1160</v>
      </c>
      <c r="G1434" s="3" t="s">
        <v>27</v>
      </c>
      <c r="H1434" s="2" t="s">
        <v>21</v>
      </c>
      <c r="I1434" s="2" t="s">
        <v>3162</v>
      </c>
      <c r="J1434" s="3" t="str">
        <f>HYPERLINK("https://www.boe.es/gazeta/dias/1823/06/04/pdfs/GES-1823-58.pdf#page=2","Abrir facsímil")</f>
        <v>Abrir facsímil</v>
      </c>
      <c r="K1434" s="3" t="s">
        <v>23</v>
      </c>
    </row>
    <row r="1435" spans="1:11" ht="42" customHeight="1">
      <c r="A1435" s="2" t="s">
        <v>3107</v>
      </c>
      <c r="B1435" s="2" t="s">
        <v>3107</v>
      </c>
      <c r="C1435" s="2" t="s">
        <v>79</v>
      </c>
      <c r="D1435" s="2" t="s">
        <v>74</v>
      </c>
      <c r="E1435" s="5">
        <v>-27964</v>
      </c>
      <c r="F1435" s="3" t="s">
        <v>58</v>
      </c>
      <c r="G1435" s="3" t="s">
        <v>39</v>
      </c>
      <c r="H1435" s="2" t="s">
        <v>21</v>
      </c>
      <c r="I1435" s="2" t="s">
        <v>3163</v>
      </c>
      <c r="J1435" s="3" t="str">
        <f>HYPERLINK("https://www.boe.es/gazeta/dias/1823/06/08/pdfs/GES-1823-62.pdf#page=1","Abrir facsímil")</f>
        <v>Abrir facsímil</v>
      </c>
      <c r="K1435" s="3" t="s">
        <v>23</v>
      </c>
    </row>
    <row r="1436" spans="1:11" ht="42" customHeight="1">
      <c r="A1436" s="2" t="s">
        <v>3107</v>
      </c>
      <c r="B1436" s="2" t="s">
        <v>3107</v>
      </c>
      <c r="C1436" s="2" t="s">
        <v>17</v>
      </c>
      <c r="D1436" s="2" t="s">
        <v>18</v>
      </c>
      <c r="E1436" s="5">
        <v>-27964</v>
      </c>
      <c r="F1436" s="3" t="s">
        <v>58</v>
      </c>
      <c r="G1436" s="3" t="s">
        <v>27</v>
      </c>
      <c r="H1436" s="2" t="s">
        <v>21</v>
      </c>
      <c r="I1436" s="2" t="s">
        <v>3164</v>
      </c>
      <c r="J1436" s="3" t="str">
        <f>HYPERLINK("https://www.boe.es/gazeta/dias/1823/06/08/pdfs/GES-1823-62.pdf#page=2","Abrir facsímil")</f>
        <v>Abrir facsímil</v>
      </c>
      <c r="K1436" s="3" t="s">
        <v>23</v>
      </c>
    </row>
    <row r="1437" spans="1:11" ht="42" customHeight="1">
      <c r="A1437" s="2" t="s">
        <v>3107</v>
      </c>
      <c r="B1437" s="2" t="s">
        <v>3107</v>
      </c>
      <c r="C1437" s="2" t="s">
        <v>17</v>
      </c>
      <c r="D1437" s="2" t="s">
        <v>18</v>
      </c>
      <c r="E1437" s="5">
        <v>-27964</v>
      </c>
      <c r="F1437" s="3" t="s">
        <v>58</v>
      </c>
      <c r="G1437" s="3" t="s">
        <v>48</v>
      </c>
      <c r="H1437" s="2" t="s">
        <v>21</v>
      </c>
      <c r="I1437" s="2" t="s">
        <v>3165</v>
      </c>
      <c r="J1437" s="3" t="str">
        <f>HYPERLINK("https://www.boe.es/gazeta/dias/1823/06/08/pdfs/GES-1823-62.pdf#page=3","Abrir facsímil")</f>
        <v>Abrir facsímil</v>
      </c>
      <c r="K1437" s="3" t="s">
        <v>23</v>
      </c>
    </row>
    <row r="1438" spans="1:11" ht="42" customHeight="1">
      <c r="A1438" s="2" t="s">
        <v>3107</v>
      </c>
      <c r="B1438" s="2" t="s">
        <v>3107</v>
      </c>
      <c r="C1438" s="2" t="s">
        <v>56</v>
      </c>
      <c r="D1438" s="2" t="s">
        <v>57</v>
      </c>
      <c r="E1438" s="5">
        <v>-27962</v>
      </c>
      <c r="F1438" s="3" t="s">
        <v>594</v>
      </c>
      <c r="G1438" s="3" t="s">
        <v>27</v>
      </c>
      <c r="H1438" s="2" t="s">
        <v>21</v>
      </c>
      <c r="I1438" s="2" t="s">
        <v>3166</v>
      </c>
      <c r="J1438" s="3" t="str">
        <f>HYPERLINK("https://www.boe.es/gazeta/dias/1823/06/10/pdfs/GES-1823-64.pdf#page=2","Abrir facsímil")</f>
        <v>Abrir facsímil</v>
      </c>
      <c r="K1438" s="3" t="s">
        <v>23</v>
      </c>
    </row>
    <row r="1439" spans="1:11" ht="42" customHeight="1">
      <c r="A1439" s="2" t="s">
        <v>3107</v>
      </c>
      <c r="B1439" s="2" t="s">
        <v>3107</v>
      </c>
      <c r="C1439" s="2" t="s">
        <v>56</v>
      </c>
      <c r="D1439" s="2" t="s">
        <v>57</v>
      </c>
      <c r="E1439" s="5">
        <v>-27940</v>
      </c>
      <c r="F1439" s="3" t="s">
        <v>348</v>
      </c>
      <c r="G1439" s="3" t="s">
        <v>48</v>
      </c>
      <c r="H1439" s="2" t="s">
        <v>21</v>
      </c>
      <c r="I1439" s="2" t="s">
        <v>3167</v>
      </c>
      <c r="J1439" s="3" t="str">
        <f>HYPERLINK("https://www.boe.es/gazeta/dias/1823/07/02/pdfs/GES-1823-82.pdf#page=3","Abrir facsímil")</f>
        <v>Abrir facsímil</v>
      </c>
      <c r="K1439" s="3" t="s">
        <v>23</v>
      </c>
    </row>
    <row r="1440" spans="1:11" ht="42" customHeight="1">
      <c r="A1440" s="2" t="s">
        <v>3107</v>
      </c>
      <c r="B1440" s="2" t="s">
        <v>3107</v>
      </c>
      <c r="C1440" s="2" t="s">
        <v>73</v>
      </c>
      <c r="D1440" s="2" t="s">
        <v>74</v>
      </c>
      <c r="E1440" s="5">
        <v>-27939</v>
      </c>
      <c r="F1440" s="3" t="s">
        <v>1076</v>
      </c>
      <c r="G1440" s="3" t="s">
        <v>48</v>
      </c>
      <c r="H1440" s="2" t="s">
        <v>21</v>
      </c>
      <c r="I1440" s="2" t="s">
        <v>3168</v>
      </c>
      <c r="J1440" s="3" t="str">
        <f>HYPERLINK("https://www.boe.es/gazeta/dias/1823/07/03/pdfs/GES-1823-83.pdf#page=3","Abrir facsímil")</f>
        <v>Abrir facsímil</v>
      </c>
      <c r="K1440" s="3" t="s">
        <v>23</v>
      </c>
    </row>
    <row r="1441" spans="1:11" ht="42" customHeight="1">
      <c r="A1441" s="2" t="s">
        <v>3107</v>
      </c>
      <c r="B1441" s="2" t="s">
        <v>3107</v>
      </c>
      <c r="C1441" s="2" t="s">
        <v>79</v>
      </c>
      <c r="D1441" s="2" t="s">
        <v>74</v>
      </c>
      <c r="E1441" s="5">
        <v>-27935</v>
      </c>
      <c r="F1441" s="3" t="s">
        <v>350</v>
      </c>
      <c r="G1441" s="3" t="s">
        <v>27</v>
      </c>
      <c r="H1441" s="2" t="s">
        <v>21</v>
      </c>
      <c r="I1441" s="2" t="s">
        <v>3169</v>
      </c>
      <c r="J1441" s="3" t="str">
        <f>HYPERLINK("https://www.boe.es/gazeta/dias/1823/07/07/pdfs/GES-1823-87.pdf#page=2","Abrir facsímil")</f>
        <v>Abrir facsímil</v>
      </c>
      <c r="K1441" s="3" t="s">
        <v>23</v>
      </c>
    </row>
    <row r="1442" spans="1:11" ht="42" customHeight="1">
      <c r="A1442" s="2" t="s">
        <v>3107</v>
      </c>
      <c r="B1442" s="2" t="s">
        <v>3107</v>
      </c>
      <c r="C1442" s="2" t="s">
        <v>56</v>
      </c>
      <c r="D1442" s="2" t="s">
        <v>57</v>
      </c>
      <c r="E1442" s="5">
        <v>-27930</v>
      </c>
      <c r="F1442" s="3" t="s">
        <v>2334</v>
      </c>
      <c r="G1442" s="3" t="s">
        <v>39</v>
      </c>
      <c r="H1442" s="2" t="s">
        <v>21</v>
      </c>
      <c r="I1442" s="2" t="s">
        <v>3170</v>
      </c>
      <c r="J1442" s="3" t="str">
        <f>HYPERLINK("https://www.boe.es/gazeta/dias/1823/07/12/pdfs/GES-1823-92.pdf#page=1","Abrir facsímil")</f>
        <v>Abrir facsímil</v>
      </c>
      <c r="K1442" s="3" t="s">
        <v>23</v>
      </c>
    </row>
    <row r="1443" spans="1:11" ht="42" customHeight="1">
      <c r="A1443" s="2" t="s">
        <v>3107</v>
      </c>
      <c r="B1443" s="2" t="s">
        <v>3107</v>
      </c>
      <c r="C1443" s="2" t="s">
        <v>56</v>
      </c>
      <c r="D1443" s="2" t="s">
        <v>57</v>
      </c>
      <c r="E1443" s="5">
        <v>-27929</v>
      </c>
      <c r="F1443" s="3" t="s">
        <v>598</v>
      </c>
      <c r="G1443" s="3" t="s">
        <v>27</v>
      </c>
      <c r="H1443" s="2" t="s">
        <v>21</v>
      </c>
      <c r="I1443" s="2" t="s">
        <v>3171</v>
      </c>
      <c r="J1443" s="3" t="str">
        <f>HYPERLINK("https://www.boe.es/gazeta/dias/1823/07/13/pdfs/GES-1823-93.pdf#page=2","Abrir facsímil")</f>
        <v>Abrir facsímil</v>
      </c>
      <c r="K1443" s="3" t="s">
        <v>23</v>
      </c>
    </row>
    <row r="1444" spans="1:11" ht="42" customHeight="1">
      <c r="A1444" s="2" t="s">
        <v>3107</v>
      </c>
      <c r="B1444" s="2" t="s">
        <v>3107</v>
      </c>
      <c r="C1444" s="2" t="s">
        <v>56</v>
      </c>
      <c r="D1444" s="2" t="s">
        <v>57</v>
      </c>
      <c r="E1444" s="5">
        <v>-27929</v>
      </c>
      <c r="F1444" s="3" t="s">
        <v>598</v>
      </c>
      <c r="G1444" s="3" t="s">
        <v>48</v>
      </c>
      <c r="H1444" s="2" t="s">
        <v>21</v>
      </c>
      <c r="I1444" s="2" t="s">
        <v>3172</v>
      </c>
      <c r="J1444" s="3" t="str">
        <f>HYPERLINK("https://www.boe.es/gazeta/dias/1823/07/13/pdfs/GES-1823-93.pdf#page=3","Abrir facsímil")</f>
        <v>Abrir facsímil</v>
      </c>
      <c r="K1444" s="3" t="s">
        <v>23</v>
      </c>
    </row>
    <row r="1445" spans="1:11" ht="42" customHeight="1">
      <c r="A1445" s="2" t="s">
        <v>3107</v>
      </c>
      <c r="B1445" s="2" t="s">
        <v>3107</v>
      </c>
      <c r="C1445" s="2" t="s">
        <v>17</v>
      </c>
      <c r="D1445" s="2" t="s">
        <v>18</v>
      </c>
      <c r="E1445" s="5">
        <v>-27928</v>
      </c>
      <c r="F1445" s="3" t="s">
        <v>1316</v>
      </c>
      <c r="G1445" s="3" t="s">
        <v>3173</v>
      </c>
      <c r="H1445" s="2" t="s">
        <v>21</v>
      </c>
      <c r="I1445" s="2" t="s">
        <v>3174</v>
      </c>
      <c r="J1445" s="3" t="str">
        <f>HYPERLINK("https://www.boe.es/gazeta/dias/1823/07/14/pdfs/GES-1823-94.pdf#page=1","Abrir facsímil")</f>
        <v>Abrir facsímil</v>
      </c>
      <c r="K1445" s="3" t="s">
        <v>23</v>
      </c>
    </row>
    <row r="1446" spans="1:11" ht="42" customHeight="1">
      <c r="A1446" s="2" t="s">
        <v>3107</v>
      </c>
      <c r="B1446" s="2" t="s">
        <v>3107</v>
      </c>
      <c r="C1446" s="2" t="s">
        <v>17</v>
      </c>
      <c r="D1446" s="2" t="s">
        <v>18</v>
      </c>
      <c r="E1446" s="5">
        <v>-27927</v>
      </c>
      <c r="F1446" s="3" t="s">
        <v>1426</v>
      </c>
      <c r="G1446" s="3" t="s">
        <v>27</v>
      </c>
      <c r="H1446" s="2" t="s">
        <v>21</v>
      </c>
      <c r="I1446" s="2" t="s">
        <v>3175</v>
      </c>
      <c r="J1446" s="3" t="str">
        <f>HYPERLINK("https://www.boe.es/gazeta/dias/1823/07/15/pdfs/GES-1823-95.pdf#page=2","Abrir facsímil")</f>
        <v>Abrir facsímil</v>
      </c>
      <c r="K1446" s="3" t="s">
        <v>23</v>
      </c>
    </row>
    <row r="1447" spans="1:11" ht="42" customHeight="1">
      <c r="A1447" s="2" t="s">
        <v>3107</v>
      </c>
      <c r="B1447" s="2" t="s">
        <v>3107</v>
      </c>
      <c r="C1447" s="2" t="s">
        <v>79</v>
      </c>
      <c r="D1447" s="2" t="s">
        <v>74</v>
      </c>
      <c r="E1447" s="5">
        <v>-27925</v>
      </c>
      <c r="F1447" s="3" t="s">
        <v>89</v>
      </c>
      <c r="G1447" s="3" t="s">
        <v>27</v>
      </c>
      <c r="H1447" s="2" t="s">
        <v>21</v>
      </c>
      <c r="I1447" s="2" t="s">
        <v>3176</v>
      </c>
      <c r="J1447" s="3" t="str">
        <f>HYPERLINK("https://www.boe.es/gazeta/dias/1823/07/17/pdfs/GES-1823-97.pdf#page=2","Abrir facsímil")</f>
        <v>Abrir facsímil</v>
      </c>
      <c r="K1447" s="3" t="s">
        <v>23</v>
      </c>
    </row>
    <row r="1448" spans="1:11" ht="42" customHeight="1">
      <c r="A1448" s="2" t="s">
        <v>3107</v>
      </c>
      <c r="B1448" s="2" t="s">
        <v>3107</v>
      </c>
      <c r="C1448" s="2" t="s">
        <v>109</v>
      </c>
      <c r="D1448" s="2" t="s">
        <v>74</v>
      </c>
      <c r="E1448" s="5">
        <v>-27923</v>
      </c>
      <c r="F1448" s="3" t="s">
        <v>354</v>
      </c>
      <c r="G1448" s="3" t="s">
        <v>39</v>
      </c>
      <c r="H1448" s="2" t="s">
        <v>21</v>
      </c>
      <c r="I1448" s="2" t="s">
        <v>3177</v>
      </c>
      <c r="J1448" s="3" t="str">
        <f>HYPERLINK("https://www.boe.es/gazeta/dias/1823/07/19/pdfs/GES-1823-100.pdf#page=1","Abrir facsímil")</f>
        <v>Abrir facsímil</v>
      </c>
      <c r="K1448" s="3" t="s">
        <v>23</v>
      </c>
    </row>
    <row r="1449" spans="1:11" ht="42" customHeight="1">
      <c r="A1449" s="2" t="s">
        <v>3107</v>
      </c>
      <c r="B1449" s="2" t="s">
        <v>3107</v>
      </c>
      <c r="C1449" s="2" t="s">
        <v>109</v>
      </c>
      <c r="D1449" s="2" t="s">
        <v>74</v>
      </c>
      <c r="E1449" s="5">
        <v>-27922</v>
      </c>
      <c r="F1449" s="3" t="s">
        <v>1959</v>
      </c>
      <c r="G1449" s="3" t="s">
        <v>27</v>
      </c>
      <c r="H1449" s="2" t="s">
        <v>21</v>
      </c>
      <c r="I1449" s="2" t="s">
        <v>3178</v>
      </c>
      <c r="J1449" s="3" t="str">
        <f>HYPERLINK("https://www.boe.es/gazeta/dias/1823/07/20/pdfs/GES-1823-101.pdf#page=2","Abrir facsímil")</f>
        <v>Abrir facsímil</v>
      </c>
      <c r="K1449" s="3" t="s">
        <v>23</v>
      </c>
    </row>
    <row r="1450" spans="1:11" ht="42" customHeight="1">
      <c r="A1450" s="2" t="s">
        <v>3107</v>
      </c>
      <c r="B1450" s="2" t="s">
        <v>3107</v>
      </c>
      <c r="C1450" s="2" t="s">
        <v>79</v>
      </c>
      <c r="D1450" s="2" t="s">
        <v>74</v>
      </c>
      <c r="E1450" s="5">
        <v>-27921</v>
      </c>
      <c r="F1450" s="3" t="s">
        <v>356</v>
      </c>
      <c r="G1450" s="3" t="s">
        <v>27</v>
      </c>
      <c r="H1450" s="2" t="s">
        <v>21</v>
      </c>
      <c r="I1450" s="2" t="s">
        <v>3179</v>
      </c>
      <c r="J1450" s="3" t="str">
        <f>HYPERLINK("https://www.boe.es/gazeta/dias/1823/07/21/pdfs/GES-1823-102.pdf#page=2","Abrir facsímil")</f>
        <v>Abrir facsímil</v>
      </c>
      <c r="K1450" s="3" t="s">
        <v>23</v>
      </c>
    </row>
    <row r="1451" spans="1:11" ht="42" customHeight="1">
      <c r="A1451" s="2" t="s">
        <v>3107</v>
      </c>
      <c r="B1451" s="2" t="s">
        <v>3107</v>
      </c>
      <c r="C1451" s="2" t="s">
        <v>56</v>
      </c>
      <c r="D1451" s="2" t="s">
        <v>57</v>
      </c>
      <c r="E1451" s="5">
        <v>-27919</v>
      </c>
      <c r="F1451" s="3" t="s">
        <v>361</v>
      </c>
      <c r="G1451" s="3" t="s">
        <v>39</v>
      </c>
      <c r="H1451" s="2" t="s">
        <v>21</v>
      </c>
      <c r="I1451" s="2" t="s">
        <v>3180</v>
      </c>
      <c r="J1451" s="3" t="str">
        <f>HYPERLINK("https://www.boe.es/gazeta/dias/1823/07/23/pdfs/GES-1823-104.pdf#page=1","Abrir facsímil")</f>
        <v>Abrir facsímil</v>
      </c>
      <c r="K1451" s="3" t="s">
        <v>23</v>
      </c>
    </row>
    <row r="1452" spans="1:11" ht="42" customHeight="1">
      <c r="A1452" s="2" t="s">
        <v>3107</v>
      </c>
      <c r="B1452" s="2" t="s">
        <v>3107</v>
      </c>
      <c r="C1452" s="2" t="s">
        <v>73</v>
      </c>
      <c r="D1452" s="2" t="s">
        <v>74</v>
      </c>
      <c r="E1452" s="5">
        <v>-27918</v>
      </c>
      <c r="F1452" s="3" t="s">
        <v>3181</v>
      </c>
      <c r="G1452" s="3" t="s">
        <v>39</v>
      </c>
      <c r="H1452" s="2" t="s">
        <v>21</v>
      </c>
      <c r="I1452" s="2" t="s">
        <v>3182</v>
      </c>
      <c r="J1452" s="3" t="str">
        <f>HYPERLINK("https://www.boe.es/gazeta/dias/1823/07/24/pdfs/GES-1823-105.pdf#page=1","Abrir facsímil")</f>
        <v>Abrir facsímil</v>
      </c>
      <c r="K1452" s="3" t="s">
        <v>23</v>
      </c>
    </row>
    <row r="1453" spans="1:11" ht="42" customHeight="1">
      <c r="A1453" s="2" t="s">
        <v>3107</v>
      </c>
      <c r="B1453" s="2" t="s">
        <v>3107</v>
      </c>
      <c r="C1453" s="2" t="s">
        <v>17</v>
      </c>
      <c r="D1453" s="2" t="s">
        <v>18</v>
      </c>
      <c r="E1453" s="5">
        <v>-27917</v>
      </c>
      <c r="F1453" s="3" t="s">
        <v>363</v>
      </c>
      <c r="G1453" s="3" t="s">
        <v>27</v>
      </c>
      <c r="H1453" s="2" t="s">
        <v>21</v>
      </c>
      <c r="I1453" s="2" t="s">
        <v>3183</v>
      </c>
      <c r="J1453" s="3" t="str">
        <f>HYPERLINK("https://www.boe.es/gazeta/dias/1823/07/25/pdfs/GES-1823-106.pdf#page=2","Abrir facsímil")</f>
        <v>Abrir facsímil</v>
      </c>
      <c r="K1453" s="3" t="s">
        <v>23</v>
      </c>
    </row>
    <row r="1454" spans="1:11" ht="42" customHeight="1">
      <c r="A1454" s="2" t="s">
        <v>3107</v>
      </c>
      <c r="B1454" s="2" t="s">
        <v>3107</v>
      </c>
      <c r="C1454" s="2" t="s">
        <v>79</v>
      </c>
      <c r="D1454" s="2" t="s">
        <v>74</v>
      </c>
      <c r="E1454" s="5">
        <v>-27914</v>
      </c>
      <c r="F1454" s="3" t="s">
        <v>776</v>
      </c>
      <c r="G1454" s="3" t="s">
        <v>39</v>
      </c>
      <c r="H1454" s="2" t="s">
        <v>21</v>
      </c>
      <c r="I1454" s="2" t="s">
        <v>3184</v>
      </c>
      <c r="J1454" s="3" t="str">
        <f>HYPERLINK("https://www.boe.es/gazeta/dias/1823/07/28/pdfs/GES-1823-109.pdf#page=1","Abrir facsímil")</f>
        <v>Abrir facsímil</v>
      </c>
      <c r="K1454" s="3" t="s">
        <v>23</v>
      </c>
    </row>
    <row r="1455" spans="1:11" ht="42" customHeight="1">
      <c r="A1455" s="2" t="s">
        <v>3107</v>
      </c>
      <c r="B1455" s="2" t="s">
        <v>3107</v>
      </c>
      <c r="C1455" s="2" t="s">
        <v>17</v>
      </c>
      <c r="D1455" s="2" t="s">
        <v>18</v>
      </c>
      <c r="E1455" s="5">
        <v>-27914</v>
      </c>
      <c r="F1455" s="3" t="s">
        <v>776</v>
      </c>
      <c r="G1455" s="3" t="s">
        <v>27</v>
      </c>
      <c r="H1455" s="2" t="s">
        <v>21</v>
      </c>
      <c r="I1455" s="2" t="s">
        <v>3185</v>
      </c>
      <c r="J1455" s="3" t="str">
        <f>HYPERLINK("https://www.boe.es/gazeta/dias/1823/07/28/pdfs/GES-1823-109.pdf#page=2","Abrir facsímil")</f>
        <v>Abrir facsímil</v>
      </c>
      <c r="K1455" s="3" t="s">
        <v>23</v>
      </c>
    </row>
    <row r="1456" spans="1:11" ht="42" customHeight="1">
      <c r="A1456" s="2" t="s">
        <v>3107</v>
      </c>
      <c r="B1456" s="2" t="s">
        <v>3107</v>
      </c>
      <c r="C1456" s="2" t="s">
        <v>17</v>
      </c>
      <c r="D1456" s="2" t="s">
        <v>18</v>
      </c>
      <c r="E1456" s="5">
        <v>-27912</v>
      </c>
      <c r="F1456" s="3" t="s">
        <v>365</v>
      </c>
      <c r="G1456" s="3" t="s">
        <v>27</v>
      </c>
      <c r="H1456" s="2" t="s">
        <v>21</v>
      </c>
      <c r="I1456" s="2" t="s">
        <v>3186</v>
      </c>
      <c r="J1456" s="3" t="str">
        <f>HYPERLINK("https://www.boe.es/gazeta/dias/1823/07/30/pdfs/GES-1823-111.pdf#page=2","Abrir facsímil")</f>
        <v>Abrir facsímil</v>
      </c>
      <c r="K1456" s="3" t="s">
        <v>23</v>
      </c>
    </row>
    <row r="1457" spans="1:11" ht="42" customHeight="1">
      <c r="A1457" s="2" t="s">
        <v>3107</v>
      </c>
      <c r="B1457" s="2" t="s">
        <v>3107</v>
      </c>
      <c r="C1457" s="2" t="s">
        <v>109</v>
      </c>
      <c r="D1457" s="2" t="s">
        <v>74</v>
      </c>
      <c r="E1457" s="5">
        <v>-27907</v>
      </c>
      <c r="F1457" s="3" t="s">
        <v>370</v>
      </c>
      <c r="G1457" s="3" t="s">
        <v>39</v>
      </c>
      <c r="H1457" s="2" t="s">
        <v>21</v>
      </c>
      <c r="I1457" s="2" t="s">
        <v>3187</v>
      </c>
      <c r="J1457" s="3" t="str">
        <f>HYPERLINK("https://www.boe.es/gazeta/dias/1823/08/04/pdfs/GES-1823-116.pdf#page=1","Abrir facsímil")</f>
        <v>Abrir facsímil</v>
      </c>
      <c r="K1457" s="3" t="s">
        <v>23</v>
      </c>
    </row>
    <row r="1458" spans="1:11" ht="42" customHeight="1">
      <c r="A1458" s="2" t="s">
        <v>3188</v>
      </c>
      <c r="B1458" s="2" t="s">
        <v>3189</v>
      </c>
      <c r="C1458" s="2" t="s">
        <v>56</v>
      </c>
      <c r="D1458" s="2" t="s">
        <v>57</v>
      </c>
      <c r="E1458" s="5">
        <v>-27913</v>
      </c>
      <c r="F1458" s="3" t="s">
        <v>821</v>
      </c>
      <c r="G1458" s="3" t="s">
        <v>20</v>
      </c>
      <c r="H1458" s="2" t="s">
        <v>21</v>
      </c>
      <c r="I1458" s="2" t="s">
        <v>3190</v>
      </c>
      <c r="J1458" s="3" t="str">
        <f>HYPERLINK("https://www.boe.es/gazeta/dias/1823/07/29/pdfs/GES-1823-110.pdf#page=4","Abrir facsímil")</f>
        <v>Abrir facsímil</v>
      </c>
      <c r="K1458" s="3" t="s">
        <v>23</v>
      </c>
    </row>
    <row r="1459" spans="1:11" ht="42" customHeight="1">
      <c r="A1459" s="2" t="s">
        <v>3188</v>
      </c>
      <c r="B1459" s="2" t="s">
        <v>3189</v>
      </c>
      <c r="C1459" s="2" t="s">
        <v>56</v>
      </c>
      <c r="D1459" s="2" t="s">
        <v>57</v>
      </c>
      <c r="E1459" s="5">
        <v>-27873</v>
      </c>
      <c r="F1459" s="3" t="s">
        <v>160</v>
      </c>
      <c r="G1459" s="3" t="s">
        <v>20</v>
      </c>
      <c r="H1459" s="2" t="s">
        <v>21</v>
      </c>
      <c r="I1459" s="2" t="s">
        <v>3191</v>
      </c>
      <c r="J1459" s="3" t="str">
        <f>HYPERLINK("https://www.boe.es/gazeta/dias/1823/09/07/pdfs/GES-1823-151.pdf#page=4","Abrir facsímil")</f>
        <v>Abrir facsímil</v>
      </c>
      <c r="K1459" s="3" t="s">
        <v>23</v>
      </c>
    </row>
    <row r="1460" spans="1:11" ht="42" customHeight="1">
      <c r="A1460" s="2" t="s">
        <v>3192</v>
      </c>
      <c r="B1460" s="2" t="s">
        <v>3193</v>
      </c>
      <c r="C1460" s="2" t="s">
        <v>56</v>
      </c>
      <c r="D1460" s="2" t="s">
        <v>57</v>
      </c>
      <c r="E1460" s="5">
        <v>-27932</v>
      </c>
      <c r="F1460" s="3" t="s">
        <v>707</v>
      </c>
      <c r="G1460" s="3" t="s">
        <v>39</v>
      </c>
      <c r="H1460" s="2" t="s">
        <v>21</v>
      </c>
      <c r="I1460" s="2" t="s">
        <v>3194</v>
      </c>
      <c r="J1460" s="3" t="str">
        <f>HYPERLINK("https://www.boe.es/gazeta/dias/1823/07/10/pdfs/GES-1823-90.pdf#page=1","Abrir facsímil")</f>
        <v>Abrir facsímil</v>
      </c>
      <c r="K1460" s="3" t="s">
        <v>23</v>
      </c>
    </row>
    <row r="1461" spans="1:11" ht="42" customHeight="1">
      <c r="A1461" s="2" t="s">
        <v>3195</v>
      </c>
      <c r="B1461" s="2" t="s">
        <v>3196</v>
      </c>
      <c r="C1461" s="2" t="s">
        <v>79</v>
      </c>
      <c r="D1461" s="2" t="s">
        <v>74</v>
      </c>
      <c r="E1461" s="5">
        <v>-28105</v>
      </c>
      <c r="F1461" s="3" t="s">
        <v>502</v>
      </c>
      <c r="G1461" s="3" t="s">
        <v>48</v>
      </c>
      <c r="H1461" s="2" t="s">
        <v>21</v>
      </c>
      <c r="I1461" s="2" t="s">
        <v>3197</v>
      </c>
      <c r="J1461" s="3" t="str">
        <f>HYPERLINK("https://www.boe.es/gazeta/dias/1823/01/18/pdfs/GMD-1823-18.pdf#page=3","Abrir facsímil")</f>
        <v>Abrir facsímil</v>
      </c>
      <c r="K1461" s="3" t="s">
        <v>23</v>
      </c>
    </row>
    <row r="1462" spans="1:11" ht="42" customHeight="1">
      <c r="A1462" s="2" t="s">
        <v>3198</v>
      </c>
      <c r="B1462" s="2" t="s">
        <v>3199</v>
      </c>
      <c r="C1462" s="2" t="s">
        <v>17</v>
      </c>
      <c r="D1462" s="2" t="s">
        <v>18</v>
      </c>
      <c r="E1462" s="5">
        <v>-28120</v>
      </c>
      <c r="F1462" s="3" t="s">
        <v>2772</v>
      </c>
      <c r="G1462" s="3" t="s">
        <v>3108</v>
      </c>
      <c r="H1462" s="2" t="s">
        <v>21</v>
      </c>
      <c r="I1462" s="2" t="s">
        <v>3200</v>
      </c>
      <c r="J1462" s="3" t="str">
        <f>HYPERLINK("https://www.boe.es/gazeta/dias/1823/01/03/pdfs/GMD-1823-3.pdf#page=3","Abrir facsímil")</f>
        <v>Abrir facsímil</v>
      </c>
      <c r="K1462" s="3" t="s">
        <v>23</v>
      </c>
    </row>
    <row r="1463" spans="1:11" ht="42" customHeight="1">
      <c r="A1463" s="2" t="s">
        <v>3198</v>
      </c>
      <c r="B1463" s="2" t="s">
        <v>3199</v>
      </c>
      <c r="C1463" s="2" t="s">
        <v>73</v>
      </c>
      <c r="D1463" s="2" t="s">
        <v>74</v>
      </c>
      <c r="E1463" s="5">
        <v>-28105</v>
      </c>
      <c r="F1463" s="3" t="s">
        <v>502</v>
      </c>
      <c r="G1463" s="3" t="s">
        <v>48</v>
      </c>
      <c r="H1463" s="2" t="s">
        <v>21</v>
      </c>
      <c r="I1463" s="2" t="s">
        <v>3201</v>
      </c>
      <c r="J1463" s="3" t="str">
        <f>HYPERLINK("https://www.boe.es/gazeta/dias/1823/01/18/pdfs/GMD-1823-18.pdf#page=3","Abrir facsímil")</f>
        <v>Abrir facsímil</v>
      </c>
      <c r="K1463" s="3" t="s">
        <v>23</v>
      </c>
    </row>
    <row r="1464" spans="1:11" ht="42" customHeight="1">
      <c r="A1464" s="2" t="s">
        <v>3198</v>
      </c>
      <c r="B1464" s="2" t="s">
        <v>3199</v>
      </c>
      <c r="C1464" s="2" t="s">
        <v>17</v>
      </c>
      <c r="D1464" s="2" t="s">
        <v>18</v>
      </c>
      <c r="E1464" s="5">
        <v>-28104</v>
      </c>
      <c r="F1464" s="3" t="s">
        <v>114</v>
      </c>
      <c r="G1464" s="3" t="s">
        <v>27</v>
      </c>
      <c r="H1464" s="2" t="s">
        <v>21</v>
      </c>
      <c r="I1464" s="2" t="s">
        <v>3202</v>
      </c>
      <c r="J1464" s="3" t="str">
        <f>HYPERLINK("https://www.boe.es/gazeta/dias/1823/01/19/pdfs/GMD-1823-19.pdf#page=2","Abrir facsímil")</f>
        <v>Abrir facsímil</v>
      </c>
      <c r="K1464" s="3" t="s">
        <v>23</v>
      </c>
    </row>
    <row r="1465" spans="1:11" ht="42" customHeight="1">
      <c r="A1465" s="2" t="s">
        <v>3198</v>
      </c>
      <c r="B1465" s="2" t="s">
        <v>3199</v>
      </c>
      <c r="C1465" s="2" t="s">
        <v>293</v>
      </c>
      <c r="D1465" s="2" t="s">
        <v>74</v>
      </c>
      <c r="E1465" s="5">
        <v>-28098</v>
      </c>
      <c r="F1465" s="3" t="s">
        <v>1101</v>
      </c>
      <c r="G1465" s="3" t="s">
        <v>48</v>
      </c>
      <c r="H1465" s="2" t="s">
        <v>21</v>
      </c>
      <c r="I1465" s="2" t="s">
        <v>3203</v>
      </c>
      <c r="J1465" s="3" t="str">
        <f>HYPERLINK("https://www.boe.es/gazeta/dias/1823/01/25/pdfs/GMD-1823-26.pdf#page=3","Abrir facsímil")</f>
        <v>Abrir facsímil</v>
      </c>
      <c r="K1465" s="3" t="s">
        <v>23</v>
      </c>
    </row>
    <row r="1466" spans="1:11" ht="42" customHeight="1">
      <c r="A1466" s="2" t="s">
        <v>3198</v>
      </c>
      <c r="B1466" s="2" t="s">
        <v>3199</v>
      </c>
      <c r="C1466" s="2" t="s">
        <v>56</v>
      </c>
      <c r="D1466" s="2" t="s">
        <v>57</v>
      </c>
      <c r="E1466" s="5">
        <v>-28082</v>
      </c>
      <c r="F1466" s="3" t="s">
        <v>468</v>
      </c>
      <c r="G1466" s="3" t="s">
        <v>20</v>
      </c>
      <c r="H1466" s="2" t="s">
        <v>21</v>
      </c>
      <c r="I1466" s="2" t="s">
        <v>3204</v>
      </c>
      <c r="J1466" s="3" t="str">
        <f>HYPERLINK("https://www.boe.es/gazeta/dias/1823/02/10/pdfs/GMD-1823-44.pdf#page=4","Abrir facsímil")</f>
        <v>Abrir facsímil</v>
      </c>
      <c r="K1466" s="3" t="s">
        <v>23</v>
      </c>
    </row>
    <row r="1467" spans="1:11" ht="42" customHeight="1">
      <c r="A1467" s="2" t="s">
        <v>3198</v>
      </c>
      <c r="B1467" s="2" t="s">
        <v>3199</v>
      </c>
      <c r="C1467" s="2" t="s">
        <v>17</v>
      </c>
      <c r="D1467" s="2" t="s">
        <v>18</v>
      </c>
      <c r="E1467" s="5">
        <v>-28077</v>
      </c>
      <c r="F1467" s="3" t="s">
        <v>536</v>
      </c>
      <c r="G1467" s="3" t="s">
        <v>48</v>
      </c>
      <c r="H1467" s="2" t="s">
        <v>21</v>
      </c>
      <c r="I1467" s="2" t="s">
        <v>3205</v>
      </c>
      <c r="J1467" s="3" t="str">
        <f>HYPERLINK("https://www.boe.es/gazeta/dias/1823/02/15/pdfs/GMD-1823-49.pdf#page=3","Abrir facsímil")</f>
        <v>Abrir facsímil</v>
      </c>
      <c r="K1467" s="3" t="s">
        <v>23</v>
      </c>
    </row>
    <row r="1468" spans="1:11" ht="42" customHeight="1">
      <c r="A1468" s="2" t="s">
        <v>3198</v>
      </c>
      <c r="B1468" s="2" t="s">
        <v>3199</v>
      </c>
      <c r="C1468" s="2" t="s">
        <v>109</v>
      </c>
      <c r="D1468" s="2" t="s">
        <v>74</v>
      </c>
      <c r="E1468" s="5">
        <v>-28060</v>
      </c>
      <c r="F1468" s="3" t="s">
        <v>180</v>
      </c>
      <c r="G1468" s="3" t="s">
        <v>48</v>
      </c>
      <c r="H1468" s="2" t="s">
        <v>21</v>
      </c>
      <c r="I1468" s="2" t="s">
        <v>3206</v>
      </c>
      <c r="J1468" s="3" t="str">
        <f>HYPERLINK("https://www.boe.es/gazeta/dias/1823/03/04/pdfs/GMD-1823-67.pdf#page=3","Abrir facsímil")</f>
        <v>Abrir facsímil</v>
      </c>
      <c r="K1468" s="3" t="s">
        <v>23</v>
      </c>
    </row>
    <row r="1469" spans="1:11" ht="42" customHeight="1">
      <c r="A1469" s="2" t="s">
        <v>3198</v>
      </c>
      <c r="B1469" s="2" t="s">
        <v>3199</v>
      </c>
      <c r="C1469" s="2" t="s">
        <v>79</v>
      </c>
      <c r="D1469" s="2" t="s">
        <v>74</v>
      </c>
      <c r="E1469" s="5">
        <v>-28059</v>
      </c>
      <c r="F1469" s="3" t="s">
        <v>149</v>
      </c>
      <c r="G1469" s="3" t="s">
        <v>20</v>
      </c>
      <c r="H1469" s="2" t="s">
        <v>21</v>
      </c>
      <c r="I1469" s="2" t="s">
        <v>3207</v>
      </c>
      <c r="J1469" s="3" t="str">
        <f>HYPERLINK("https://www.boe.es/gazeta/dias/1823/03/05/pdfs/GMD-1823-68.pdf#page=4","Abrir facsímil")</f>
        <v>Abrir facsímil</v>
      </c>
      <c r="K1469" s="3" t="s">
        <v>23</v>
      </c>
    </row>
    <row r="1470" spans="1:11" ht="42" customHeight="1">
      <c r="A1470" s="2" t="s">
        <v>3198</v>
      </c>
      <c r="B1470" s="2" t="s">
        <v>3199</v>
      </c>
      <c r="C1470" s="2" t="s">
        <v>109</v>
      </c>
      <c r="D1470" s="2" t="s">
        <v>74</v>
      </c>
      <c r="E1470" s="5">
        <v>-28057</v>
      </c>
      <c r="F1470" s="3" t="s">
        <v>301</v>
      </c>
      <c r="G1470" s="3" t="s">
        <v>20</v>
      </c>
      <c r="H1470" s="2" t="s">
        <v>21</v>
      </c>
      <c r="I1470" s="2" t="s">
        <v>3208</v>
      </c>
      <c r="J1470" s="3" t="str">
        <f>HYPERLINK("https://www.boe.es/gazeta/dias/1823/03/07/pdfs/GMD-1823-70.pdf#page=4","Abrir facsímil")</f>
        <v>Abrir facsímil</v>
      </c>
      <c r="K1470" s="3" t="s">
        <v>23</v>
      </c>
    </row>
    <row r="1471" spans="1:11" ht="42" customHeight="1">
      <c r="A1471" s="2" t="s">
        <v>3198</v>
      </c>
      <c r="B1471" s="2" t="s">
        <v>3199</v>
      </c>
      <c r="C1471" s="2" t="s">
        <v>17</v>
      </c>
      <c r="D1471" s="2" t="s">
        <v>18</v>
      </c>
      <c r="E1471" s="5">
        <v>-28055</v>
      </c>
      <c r="F1471" s="3" t="s">
        <v>313</v>
      </c>
      <c r="G1471" s="3" t="s">
        <v>27</v>
      </c>
      <c r="H1471" s="2" t="s">
        <v>21</v>
      </c>
      <c r="I1471" s="2" t="s">
        <v>3209</v>
      </c>
      <c r="J1471" s="3" t="str">
        <f>HYPERLINK("https://www.boe.es/gazeta/dias/1823/03/09/pdfs/GMD-1823-72.pdf#page=2","Abrir facsímil")</f>
        <v>Abrir facsímil</v>
      </c>
      <c r="K1471" s="3" t="s">
        <v>23</v>
      </c>
    </row>
    <row r="1472" spans="1:11" ht="42" customHeight="1">
      <c r="A1472" s="2" t="s">
        <v>3198</v>
      </c>
      <c r="B1472" s="2" t="s">
        <v>3199</v>
      </c>
      <c r="C1472" s="2" t="s">
        <v>17</v>
      </c>
      <c r="D1472" s="2" t="s">
        <v>18</v>
      </c>
      <c r="E1472" s="5">
        <v>-28054</v>
      </c>
      <c r="F1472" s="3" t="s">
        <v>1292</v>
      </c>
      <c r="G1472" s="3" t="s">
        <v>27</v>
      </c>
      <c r="H1472" s="2" t="s">
        <v>21</v>
      </c>
      <c r="I1472" s="2" t="s">
        <v>3210</v>
      </c>
      <c r="J1472" s="3" t="str">
        <f>HYPERLINK("https://www.boe.es/gazeta/dias/1823/03/10/pdfs/GMD-1823-73.pdf#page=2","Abrir facsímil")</f>
        <v>Abrir facsímil</v>
      </c>
      <c r="K1472" s="3" t="s">
        <v>23</v>
      </c>
    </row>
    <row r="1473" spans="1:11" ht="42" customHeight="1">
      <c r="A1473" s="2" t="s">
        <v>3198</v>
      </c>
      <c r="B1473" s="2" t="s">
        <v>3199</v>
      </c>
      <c r="C1473" s="2" t="s">
        <v>56</v>
      </c>
      <c r="D1473" s="2" t="s">
        <v>57</v>
      </c>
      <c r="E1473" s="5">
        <v>-28049</v>
      </c>
      <c r="F1473" s="3" t="s">
        <v>198</v>
      </c>
      <c r="G1473" s="3" t="s">
        <v>27</v>
      </c>
      <c r="H1473" s="2" t="s">
        <v>21</v>
      </c>
      <c r="I1473" s="2" t="s">
        <v>3211</v>
      </c>
      <c r="J1473" s="3" t="str">
        <f>HYPERLINK("https://www.boe.es/gazeta/dias/1823/03/15/pdfs/GMD-1823-78.pdf#page=2","Abrir facsímil")</f>
        <v>Abrir facsímil</v>
      </c>
      <c r="K1473" s="3" t="s">
        <v>23</v>
      </c>
    </row>
    <row r="1474" spans="1:11" ht="42" customHeight="1">
      <c r="A1474" s="2" t="s">
        <v>3198</v>
      </c>
      <c r="B1474" s="2" t="s">
        <v>3199</v>
      </c>
      <c r="C1474" s="2" t="s">
        <v>109</v>
      </c>
      <c r="D1474" s="2" t="s">
        <v>74</v>
      </c>
      <c r="E1474" s="5">
        <v>-28046</v>
      </c>
      <c r="F1474" s="3" t="s">
        <v>85</v>
      </c>
      <c r="G1474" s="3" t="s">
        <v>48</v>
      </c>
      <c r="H1474" s="2" t="s">
        <v>21</v>
      </c>
      <c r="I1474" s="2" t="s">
        <v>3212</v>
      </c>
      <c r="J1474" s="3" t="str">
        <f>HYPERLINK("https://www.boe.es/gazeta/dias/1823/03/18/pdfs/GMD-1823-81.pdf#page=3","Abrir facsímil")</f>
        <v>Abrir facsímil</v>
      </c>
      <c r="K1474" s="3" t="s">
        <v>23</v>
      </c>
    </row>
    <row r="1475" spans="1:11" ht="42" customHeight="1">
      <c r="A1475" s="2" t="s">
        <v>3198</v>
      </c>
      <c r="B1475" s="2" t="s">
        <v>3199</v>
      </c>
      <c r="C1475" s="2" t="s">
        <v>17</v>
      </c>
      <c r="D1475" s="2" t="s">
        <v>18</v>
      </c>
      <c r="E1475" s="5">
        <v>-28008</v>
      </c>
      <c r="F1475" s="3" t="s">
        <v>309</v>
      </c>
      <c r="G1475" s="3" t="s">
        <v>27</v>
      </c>
      <c r="H1475" s="2" t="s">
        <v>21</v>
      </c>
      <c r="I1475" s="2" t="s">
        <v>3213</v>
      </c>
      <c r="J1475" s="3" t="str">
        <f>HYPERLINK("https://www.boe.es/gazeta/dias/1823/04/25/pdfs/GES-1823-15.pdf#page=2","Abrir facsímil")</f>
        <v>Abrir facsímil</v>
      </c>
      <c r="K1475" s="3" t="s">
        <v>23</v>
      </c>
    </row>
    <row r="1476" spans="1:11" ht="42" customHeight="1">
      <c r="A1476" s="2" t="s">
        <v>3198</v>
      </c>
      <c r="B1476" s="2" t="s">
        <v>3199</v>
      </c>
      <c r="C1476" s="2" t="s">
        <v>79</v>
      </c>
      <c r="D1476" s="2" t="s">
        <v>74</v>
      </c>
      <c r="E1476" s="5">
        <v>-28007</v>
      </c>
      <c r="F1476" s="3" t="s">
        <v>311</v>
      </c>
      <c r="G1476" s="3" t="s">
        <v>27</v>
      </c>
      <c r="H1476" s="2" t="s">
        <v>21</v>
      </c>
      <c r="I1476" s="2" t="s">
        <v>3214</v>
      </c>
      <c r="J1476" s="3" t="str">
        <f>HYPERLINK("https://www.boe.es/gazeta/dias/1823/04/26/pdfs/GES-1823-16.pdf#page=2","Abrir facsímil")</f>
        <v>Abrir facsímil</v>
      </c>
      <c r="K1476" s="3" t="s">
        <v>23</v>
      </c>
    </row>
    <row r="1477" spans="1:11" ht="42" customHeight="1">
      <c r="A1477" s="2" t="s">
        <v>3198</v>
      </c>
      <c r="B1477" s="2" t="s">
        <v>3199</v>
      </c>
      <c r="C1477" s="2" t="s">
        <v>17</v>
      </c>
      <c r="D1477" s="2" t="s">
        <v>18</v>
      </c>
      <c r="E1477" s="5">
        <v>-28007</v>
      </c>
      <c r="F1477" s="3" t="s">
        <v>311</v>
      </c>
      <c r="G1477" s="3" t="s">
        <v>48</v>
      </c>
      <c r="H1477" s="2" t="s">
        <v>21</v>
      </c>
      <c r="I1477" s="2" t="s">
        <v>3215</v>
      </c>
      <c r="J1477" s="3" t="str">
        <f>HYPERLINK("https://www.boe.es/gazeta/dias/1823/04/26/pdfs/GES-1823-16.pdf#page=3","Abrir facsímil")</f>
        <v>Abrir facsímil</v>
      </c>
      <c r="K1477" s="3" t="s">
        <v>23</v>
      </c>
    </row>
    <row r="1478" spans="1:11" ht="42" customHeight="1">
      <c r="A1478" s="2" t="s">
        <v>3198</v>
      </c>
      <c r="B1478" s="2" t="s">
        <v>3199</v>
      </c>
      <c r="C1478" s="2" t="s">
        <v>79</v>
      </c>
      <c r="D1478" s="2" t="s">
        <v>74</v>
      </c>
      <c r="E1478" s="5">
        <v>-28006</v>
      </c>
      <c r="F1478" s="3" t="s">
        <v>183</v>
      </c>
      <c r="G1478" s="3" t="s">
        <v>27</v>
      </c>
      <c r="H1478" s="2" t="s">
        <v>21</v>
      </c>
      <c r="I1478" s="2" t="s">
        <v>3216</v>
      </c>
      <c r="J1478" s="3" t="str">
        <f>HYPERLINK("https://www.boe.es/gazeta/dias/1823/04/27/pdfs/GES-1823-17.pdf#page=2","Abrir facsímil")</f>
        <v>Abrir facsímil</v>
      </c>
      <c r="K1478" s="3" t="s">
        <v>23</v>
      </c>
    </row>
    <row r="1479" spans="1:11" ht="42" customHeight="1">
      <c r="A1479" s="2" t="s">
        <v>3198</v>
      </c>
      <c r="B1479" s="2" t="s">
        <v>3199</v>
      </c>
      <c r="C1479" s="2" t="s">
        <v>17</v>
      </c>
      <c r="D1479" s="2" t="s">
        <v>18</v>
      </c>
      <c r="E1479" s="5">
        <v>-28004</v>
      </c>
      <c r="F1479" s="3" t="s">
        <v>33</v>
      </c>
      <c r="G1479" s="3" t="s">
        <v>2112</v>
      </c>
      <c r="H1479" s="2" t="s">
        <v>21</v>
      </c>
      <c r="I1479" s="2" t="s">
        <v>3217</v>
      </c>
      <c r="J1479" s="3" t="str">
        <f>HYPERLINK("https://www.boe.es/gazeta/dias/1823/04/29/pdfs/GES-1823-19.pdf#page=4","Abrir facsímil")</f>
        <v>Abrir facsímil</v>
      </c>
      <c r="K1479" s="3" t="s">
        <v>23</v>
      </c>
    </row>
    <row r="1480" spans="1:11" ht="42" customHeight="1">
      <c r="A1480" s="2" t="s">
        <v>3198</v>
      </c>
      <c r="B1480" s="2" t="s">
        <v>3199</v>
      </c>
      <c r="C1480" s="2" t="s">
        <v>109</v>
      </c>
      <c r="D1480" s="2" t="s">
        <v>74</v>
      </c>
      <c r="E1480" s="5">
        <v>-28004</v>
      </c>
      <c r="F1480" s="3" t="s">
        <v>33</v>
      </c>
      <c r="G1480" s="3" t="s">
        <v>27</v>
      </c>
      <c r="H1480" s="2" t="s">
        <v>21</v>
      </c>
      <c r="I1480" s="2" t="s">
        <v>3218</v>
      </c>
      <c r="J1480" s="3" t="str">
        <f>HYPERLINK("https://www.boe.es/gazeta/dias/1823/04/29/pdfs/GES-1823-19.pdf#page=2","Abrir facsímil")</f>
        <v>Abrir facsímil</v>
      </c>
      <c r="K1480" s="3" t="s">
        <v>23</v>
      </c>
    </row>
    <row r="1481" spans="1:11" ht="42" customHeight="1">
      <c r="A1481" s="2" t="s">
        <v>3198</v>
      </c>
      <c r="B1481" s="2" t="s">
        <v>3199</v>
      </c>
      <c r="C1481" s="2" t="s">
        <v>17</v>
      </c>
      <c r="D1481" s="2" t="s">
        <v>18</v>
      </c>
      <c r="E1481" s="5">
        <v>-28000</v>
      </c>
      <c r="F1481" s="3" t="s">
        <v>1118</v>
      </c>
      <c r="G1481" s="3" t="s">
        <v>48</v>
      </c>
      <c r="H1481" s="2" t="s">
        <v>21</v>
      </c>
      <c r="I1481" s="2" t="s">
        <v>3219</v>
      </c>
      <c r="J1481" s="3" t="str">
        <f>HYPERLINK("https://www.boe.es/gazeta/dias/1823/05/03/pdfs/GES-1823-23.pdf#page=3","Abrir facsímil")</f>
        <v>Abrir facsímil</v>
      </c>
      <c r="K1481" s="3" t="s">
        <v>23</v>
      </c>
    </row>
    <row r="1482" spans="1:11" ht="42" customHeight="1">
      <c r="A1482" s="2" t="s">
        <v>3198</v>
      </c>
      <c r="B1482" s="2" t="s">
        <v>3199</v>
      </c>
      <c r="C1482" s="2" t="s">
        <v>17</v>
      </c>
      <c r="D1482" s="2" t="s">
        <v>18</v>
      </c>
      <c r="E1482" s="5">
        <v>-28000</v>
      </c>
      <c r="F1482" s="3" t="s">
        <v>138</v>
      </c>
      <c r="G1482" s="3" t="s">
        <v>27</v>
      </c>
      <c r="H1482" s="2" t="s">
        <v>21</v>
      </c>
      <c r="I1482" s="2" t="s">
        <v>3220</v>
      </c>
      <c r="J1482" s="3" t="str">
        <f>HYPERLINK("https://www.boe.es/gazeta/dias/1823/05/03/pdfs/GMD-1823-92.pdf#page=2","Abrir facsímil")</f>
        <v>Abrir facsímil</v>
      </c>
      <c r="K1482" s="3" t="s">
        <v>23</v>
      </c>
    </row>
    <row r="1483" spans="1:11" ht="42" customHeight="1">
      <c r="A1483" s="2" t="s">
        <v>3198</v>
      </c>
      <c r="B1483" s="2" t="s">
        <v>3199</v>
      </c>
      <c r="C1483" s="2" t="s">
        <v>109</v>
      </c>
      <c r="D1483" s="2" t="s">
        <v>74</v>
      </c>
      <c r="E1483" s="5">
        <v>-27996</v>
      </c>
      <c r="F1483" s="3" t="s">
        <v>695</v>
      </c>
      <c r="G1483" s="3" t="s">
        <v>27</v>
      </c>
      <c r="H1483" s="2" t="s">
        <v>21</v>
      </c>
      <c r="I1483" s="2" t="s">
        <v>3221</v>
      </c>
      <c r="J1483" s="3" t="str">
        <f>HYPERLINK("https://www.boe.es/gazeta/dias/1823/05/07/pdfs/GES-1823-27.pdf#page=2","Abrir facsímil")</f>
        <v>Abrir facsímil</v>
      </c>
      <c r="K1483" s="3" t="s">
        <v>23</v>
      </c>
    </row>
    <row r="1484" spans="1:11" ht="42" customHeight="1">
      <c r="A1484" s="2" t="s">
        <v>3198</v>
      </c>
      <c r="B1484" s="2" t="s">
        <v>3199</v>
      </c>
      <c r="C1484" s="2" t="s">
        <v>17</v>
      </c>
      <c r="D1484" s="2" t="s">
        <v>18</v>
      </c>
      <c r="E1484" s="5">
        <v>-27995</v>
      </c>
      <c r="F1484" s="3" t="s">
        <v>320</v>
      </c>
      <c r="G1484" s="3" t="s">
        <v>321</v>
      </c>
      <c r="H1484" s="2" t="s">
        <v>21</v>
      </c>
      <c r="I1484" s="2" t="s">
        <v>3222</v>
      </c>
      <c r="J1484" s="3" t="str">
        <f>HYPERLINK("https://www.boe.es/gazeta/dias/1823/05/08/pdfs/GES-1823-28.pdf#page=3","Abrir facsímil")</f>
        <v>Abrir facsímil</v>
      </c>
      <c r="K1484" s="3" t="s">
        <v>23</v>
      </c>
    </row>
    <row r="1485" spans="1:11" ht="42" customHeight="1">
      <c r="A1485" s="2" t="s">
        <v>3198</v>
      </c>
      <c r="B1485" s="2" t="s">
        <v>3199</v>
      </c>
      <c r="C1485" s="2" t="s">
        <v>79</v>
      </c>
      <c r="D1485" s="2" t="s">
        <v>74</v>
      </c>
      <c r="E1485" s="5">
        <v>-27995</v>
      </c>
      <c r="F1485" s="3" t="s">
        <v>320</v>
      </c>
      <c r="G1485" s="3" t="s">
        <v>27</v>
      </c>
      <c r="H1485" s="2" t="s">
        <v>21</v>
      </c>
      <c r="I1485" s="2" t="s">
        <v>3223</v>
      </c>
      <c r="J1485" s="3" t="str">
        <f>HYPERLINK("https://www.boe.es/gazeta/dias/1823/05/08/pdfs/GES-1823-28.pdf#page=2","Abrir facsímil")</f>
        <v>Abrir facsímil</v>
      </c>
      <c r="K1485" s="3" t="s">
        <v>23</v>
      </c>
    </row>
    <row r="1486" spans="1:11" ht="42" customHeight="1">
      <c r="A1486" s="2" t="s">
        <v>3198</v>
      </c>
      <c r="B1486" s="2" t="s">
        <v>3199</v>
      </c>
      <c r="C1486" s="2" t="s">
        <v>109</v>
      </c>
      <c r="D1486" s="2" t="s">
        <v>74</v>
      </c>
      <c r="E1486" s="5">
        <v>-27993</v>
      </c>
      <c r="F1486" s="3" t="s">
        <v>1062</v>
      </c>
      <c r="G1486" s="3" t="s">
        <v>48</v>
      </c>
      <c r="H1486" s="2" t="s">
        <v>21</v>
      </c>
      <c r="I1486" s="2" t="s">
        <v>3224</v>
      </c>
      <c r="J1486" s="3" t="str">
        <f>HYPERLINK("https://www.boe.es/gazeta/dias/1823/05/10/pdfs/GMD-1823-122.pdf#page=3","Abrir facsímil")</f>
        <v>Abrir facsímil</v>
      </c>
      <c r="K1486" s="3" t="s">
        <v>23</v>
      </c>
    </row>
    <row r="1487" spans="1:11" ht="42" customHeight="1">
      <c r="A1487" s="2" t="s">
        <v>3198</v>
      </c>
      <c r="B1487" s="2" t="s">
        <v>3199</v>
      </c>
      <c r="C1487" s="2" t="s">
        <v>17</v>
      </c>
      <c r="D1487" s="2" t="s">
        <v>18</v>
      </c>
      <c r="E1487" s="5">
        <v>-27992</v>
      </c>
      <c r="F1487" s="3" t="s">
        <v>565</v>
      </c>
      <c r="G1487" s="3" t="s">
        <v>1279</v>
      </c>
      <c r="H1487" s="2" t="s">
        <v>21</v>
      </c>
      <c r="I1487" s="2" t="s">
        <v>3225</v>
      </c>
      <c r="J1487" s="3" t="str">
        <f>HYPERLINK("https://www.boe.es/gazeta/dias/1823/05/11/pdfs/GES-1823-31.pdf#page=2","Abrir facsímil")</f>
        <v>Abrir facsímil</v>
      </c>
      <c r="K1487" s="3" t="s">
        <v>23</v>
      </c>
    </row>
    <row r="1488" spans="1:11" ht="42" customHeight="1">
      <c r="A1488" s="2" t="s">
        <v>3198</v>
      </c>
      <c r="B1488" s="2" t="s">
        <v>3199</v>
      </c>
      <c r="C1488" s="2" t="s">
        <v>17</v>
      </c>
      <c r="D1488" s="2" t="s">
        <v>18</v>
      </c>
      <c r="E1488" s="5">
        <v>-27990</v>
      </c>
      <c r="F1488" s="3" t="s">
        <v>330</v>
      </c>
      <c r="G1488" s="3" t="s">
        <v>39</v>
      </c>
      <c r="H1488" s="2" t="s">
        <v>21</v>
      </c>
      <c r="I1488" s="2" t="s">
        <v>3226</v>
      </c>
      <c r="J1488" s="3" t="str">
        <f>HYPERLINK("https://www.boe.es/gazeta/dias/1823/05/13/pdfs/GMD-1823-132.pdf#page=1","Abrir facsímil")</f>
        <v>Abrir facsímil</v>
      </c>
      <c r="K1488" s="3" t="s">
        <v>23</v>
      </c>
    </row>
    <row r="1489" spans="1:11" ht="42" customHeight="1">
      <c r="A1489" s="2" t="s">
        <v>3198</v>
      </c>
      <c r="B1489" s="2" t="s">
        <v>3199</v>
      </c>
      <c r="C1489" s="2" t="s">
        <v>293</v>
      </c>
      <c r="D1489" s="2" t="s">
        <v>74</v>
      </c>
      <c r="E1489" s="5">
        <v>-27988</v>
      </c>
      <c r="F1489" s="3" t="s">
        <v>2022</v>
      </c>
      <c r="G1489" s="3" t="s">
        <v>27</v>
      </c>
      <c r="H1489" s="2" t="s">
        <v>21</v>
      </c>
      <c r="I1489" s="2" t="s">
        <v>3227</v>
      </c>
      <c r="J1489" s="3" t="str">
        <f>HYPERLINK("https://www.boe.es/gazeta/dias/1823/05/15/pdfs/GMD-1823-142.pdf#page=2","Abrir facsímil")</f>
        <v>Abrir facsímil</v>
      </c>
      <c r="K1489" s="3" t="s">
        <v>23</v>
      </c>
    </row>
    <row r="1490" spans="1:11" ht="42" customHeight="1">
      <c r="A1490" s="2" t="s">
        <v>3198</v>
      </c>
      <c r="B1490" s="2" t="s">
        <v>3199</v>
      </c>
      <c r="C1490" s="2" t="s">
        <v>109</v>
      </c>
      <c r="D1490" s="2" t="s">
        <v>74</v>
      </c>
      <c r="E1490" s="5">
        <v>-27986</v>
      </c>
      <c r="F1490" s="3" t="s">
        <v>75</v>
      </c>
      <c r="G1490" s="3" t="s">
        <v>48</v>
      </c>
      <c r="H1490" s="2" t="s">
        <v>21</v>
      </c>
      <c r="I1490" s="2" t="s">
        <v>3228</v>
      </c>
      <c r="J1490" s="3" t="str">
        <f>HYPERLINK("https://www.boe.es/gazeta/dias/1823/05/17/pdfs/GES-1823-37.pdf#page=3","Abrir facsímil")</f>
        <v>Abrir facsímil</v>
      </c>
      <c r="K1490" s="3" t="s">
        <v>23</v>
      </c>
    </row>
    <row r="1491" spans="1:11" ht="42" customHeight="1">
      <c r="A1491" s="2" t="s">
        <v>3198</v>
      </c>
      <c r="B1491" s="2" t="s">
        <v>3199</v>
      </c>
      <c r="C1491" s="2" t="s">
        <v>56</v>
      </c>
      <c r="D1491" s="2" t="s">
        <v>57</v>
      </c>
      <c r="E1491" s="5">
        <v>-27986</v>
      </c>
      <c r="F1491" s="3" t="s">
        <v>607</v>
      </c>
      <c r="G1491" s="3" t="s">
        <v>48</v>
      </c>
      <c r="H1491" s="2" t="s">
        <v>21</v>
      </c>
      <c r="I1491" s="2" t="s">
        <v>3229</v>
      </c>
      <c r="J1491" s="3" t="str">
        <f>HYPERLINK("https://www.boe.es/gazeta/dias/1823/05/17/pdfs/GMD-1823-152.pdf#page=3","Abrir facsímil")</f>
        <v>Abrir facsímil</v>
      </c>
      <c r="K1491" s="3" t="s">
        <v>23</v>
      </c>
    </row>
    <row r="1492" spans="1:11" ht="42" customHeight="1">
      <c r="A1492" s="2" t="s">
        <v>3198</v>
      </c>
      <c r="B1492" s="2" t="s">
        <v>3199</v>
      </c>
      <c r="C1492" s="2" t="s">
        <v>109</v>
      </c>
      <c r="D1492" s="2" t="s">
        <v>74</v>
      </c>
      <c r="E1492" s="5">
        <v>-27985</v>
      </c>
      <c r="F1492" s="3" t="s">
        <v>951</v>
      </c>
      <c r="G1492" s="3" t="s">
        <v>39</v>
      </c>
      <c r="H1492" s="2" t="s">
        <v>21</v>
      </c>
      <c r="I1492" s="2" t="s">
        <v>3230</v>
      </c>
      <c r="J1492" s="3" t="str">
        <f>HYPERLINK("https://www.boe.es/gazeta/dias/1823/05/18/pdfs/GES-1823-38.pdf#page=1","Abrir facsímil")</f>
        <v>Abrir facsímil</v>
      </c>
      <c r="K1492" s="3" t="s">
        <v>23</v>
      </c>
    </row>
    <row r="1493" spans="1:11" ht="42" customHeight="1">
      <c r="A1493" s="2" t="s">
        <v>3198</v>
      </c>
      <c r="B1493" s="2" t="s">
        <v>3199</v>
      </c>
      <c r="C1493" s="2" t="s">
        <v>56</v>
      </c>
      <c r="D1493" s="2" t="s">
        <v>57</v>
      </c>
      <c r="E1493" s="5">
        <v>-27984</v>
      </c>
      <c r="F1493" s="3" t="s">
        <v>335</v>
      </c>
      <c r="G1493" s="3" t="s">
        <v>48</v>
      </c>
      <c r="H1493" s="2" t="s">
        <v>21</v>
      </c>
      <c r="I1493" s="2" t="s">
        <v>3231</v>
      </c>
      <c r="J1493" s="3" t="str">
        <f>HYPERLINK("https://www.boe.es/gazeta/dias/1823/05/19/pdfs/GES-1823-39.pdf#page=3","Abrir facsímil")</f>
        <v>Abrir facsímil</v>
      </c>
      <c r="K1493" s="3" t="s">
        <v>23</v>
      </c>
    </row>
    <row r="1494" spans="1:11" ht="42" customHeight="1">
      <c r="A1494" s="2" t="s">
        <v>3198</v>
      </c>
      <c r="B1494" s="2" t="s">
        <v>3199</v>
      </c>
      <c r="C1494" s="2" t="s">
        <v>79</v>
      </c>
      <c r="D1494" s="2" t="s">
        <v>74</v>
      </c>
      <c r="E1494" s="5">
        <v>-27980</v>
      </c>
      <c r="F1494" s="3" t="s">
        <v>1068</v>
      </c>
      <c r="G1494" s="3" t="s">
        <v>34</v>
      </c>
      <c r="H1494" s="2" t="s">
        <v>21</v>
      </c>
      <c r="I1494" s="2" t="s">
        <v>3232</v>
      </c>
      <c r="J1494" s="3" t="str">
        <f>HYPERLINK("https://www.boe.es/gazeta/dias/1823/05/23/pdfs/GES-1823-44.pdf#page=5","Abrir facsímil")</f>
        <v>Abrir facsímil</v>
      </c>
      <c r="K1494" s="3" t="s">
        <v>23</v>
      </c>
    </row>
    <row r="1495" spans="1:11" ht="42" customHeight="1">
      <c r="A1495" s="2" t="s">
        <v>3198</v>
      </c>
      <c r="B1495" s="2" t="s">
        <v>3199</v>
      </c>
      <c r="C1495" s="2" t="s">
        <v>109</v>
      </c>
      <c r="D1495" s="2" t="s">
        <v>74</v>
      </c>
      <c r="E1495" s="5">
        <v>-27970</v>
      </c>
      <c r="F1495" s="3" t="s">
        <v>1030</v>
      </c>
      <c r="G1495" s="3" t="s">
        <v>39</v>
      </c>
      <c r="H1495" s="2" t="s">
        <v>21</v>
      </c>
      <c r="I1495" s="2" t="s">
        <v>3233</v>
      </c>
      <c r="J1495" s="3" t="str">
        <f>HYPERLINK("https://www.boe.es/gazeta/dias/1823/06/02/pdfs/GES-1823-56.pdf#page=1","Abrir facsímil")</f>
        <v>Abrir facsímil</v>
      </c>
      <c r="K1495" s="3" t="s">
        <v>23</v>
      </c>
    </row>
    <row r="1496" spans="1:11" ht="42" customHeight="1">
      <c r="A1496" s="2" t="s">
        <v>3198</v>
      </c>
      <c r="B1496" s="2" t="s">
        <v>3199</v>
      </c>
      <c r="C1496" s="2" t="s">
        <v>56</v>
      </c>
      <c r="D1496" s="2" t="s">
        <v>57</v>
      </c>
      <c r="E1496" s="5">
        <v>-27970</v>
      </c>
      <c r="F1496" s="3" t="s">
        <v>1030</v>
      </c>
      <c r="G1496" s="3" t="s">
        <v>27</v>
      </c>
      <c r="H1496" s="2" t="s">
        <v>21</v>
      </c>
      <c r="I1496" s="2" t="s">
        <v>3234</v>
      </c>
      <c r="J1496" s="3" t="str">
        <f>HYPERLINK("https://www.boe.es/gazeta/dias/1823/06/02/pdfs/GES-1823-56.pdf#page=2","Abrir facsímil")</f>
        <v>Abrir facsímil</v>
      </c>
      <c r="K1496" s="3" t="s">
        <v>23</v>
      </c>
    </row>
    <row r="1497" spans="1:11" ht="42" customHeight="1">
      <c r="A1497" s="2" t="s">
        <v>3198</v>
      </c>
      <c r="B1497" s="2" t="s">
        <v>3199</v>
      </c>
      <c r="C1497" s="2" t="s">
        <v>109</v>
      </c>
      <c r="D1497" s="2" t="s">
        <v>74</v>
      </c>
      <c r="E1497" s="5">
        <v>-27969</v>
      </c>
      <c r="F1497" s="3" t="s">
        <v>855</v>
      </c>
      <c r="G1497" s="3" t="s">
        <v>1158</v>
      </c>
      <c r="H1497" s="2" t="s">
        <v>21</v>
      </c>
      <c r="I1497" s="2" t="s">
        <v>3235</v>
      </c>
      <c r="J1497" s="3" t="str">
        <f>HYPERLINK("https://www.boe.es/gazeta/dias/1823/06/03/pdfs/GES-1823-57.pdf#page=2","Abrir facsímil")</f>
        <v>Abrir facsímil</v>
      </c>
      <c r="K1497" s="3" t="s">
        <v>23</v>
      </c>
    </row>
    <row r="1498" spans="1:11" ht="42" customHeight="1">
      <c r="A1498" s="2" t="s">
        <v>3198</v>
      </c>
      <c r="B1498" s="2" t="s">
        <v>3199</v>
      </c>
      <c r="C1498" s="2" t="s">
        <v>84</v>
      </c>
      <c r="D1498" s="2" t="s">
        <v>74</v>
      </c>
      <c r="E1498" s="5">
        <v>-27967</v>
      </c>
      <c r="F1498" s="3" t="s">
        <v>412</v>
      </c>
      <c r="G1498" s="3" t="s">
        <v>20</v>
      </c>
      <c r="H1498" s="2" t="s">
        <v>21</v>
      </c>
      <c r="I1498" s="2" t="s">
        <v>3236</v>
      </c>
      <c r="J1498" s="3" t="str">
        <f>HYPERLINK("https://www.boe.es/gazeta/dias/1823/06/05/pdfs/GES-1823-59.pdf#page=4","Abrir facsímil")</f>
        <v>Abrir facsímil</v>
      </c>
      <c r="K1498" s="3" t="s">
        <v>23</v>
      </c>
    </row>
    <row r="1499" spans="1:11" ht="42" customHeight="1">
      <c r="A1499" s="2" t="s">
        <v>3198</v>
      </c>
      <c r="B1499" s="2" t="s">
        <v>3199</v>
      </c>
      <c r="C1499" s="2" t="s">
        <v>109</v>
      </c>
      <c r="D1499" s="2" t="s">
        <v>74</v>
      </c>
      <c r="E1499" s="5">
        <v>-27964</v>
      </c>
      <c r="F1499" s="3" t="s">
        <v>58</v>
      </c>
      <c r="G1499" s="3" t="s">
        <v>27</v>
      </c>
      <c r="H1499" s="2" t="s">
        <v>21</v>
      </c>
      <c r="I1499" s="2" t="s">
        <v>3237</v>
      </c>
      <c r="J1499" s="3" t="str">
        <f>HYPERLINK("https://www.boe.es/gazeta/dias/1823/06/08/pdfs/GES-1823-62.pdf#page=2","Abrir facsímil")</f>
        <v>Abrir facsímil</v>
      </c>
      <c r="K1499" s="3" t="s">
        <v>23</v>
      </c>
    </row>
    <row r="1500" spans="1:11" ht="42" customHeight="1">
      <c r="A1500" s="2" t="s">
        <v>3198</v>
      </c>
      <c r="B1500" s="2" t="s">
        <v>3199</v>
      </c>
      <c r="C1500" s="2" t="s">
        <v>56</v>
      </c>
      <c r="D1500" s="2" t="s">
        <v>57</v>
      </c>
      <c r="E1500" s="5">
        <v>-27951</v>
      </c>
      <c r="F1500" s="3" t="s">
        <v>548</v>
      </c>
      <c r="G1500" s="3" t="s">
        <v>39</v>
      </c>
      <c r="H1500" s="2" t="s">
        <v>21</v>
      </c>
      <c r="I1500" s="2" t="s">
        <v>3238</v>
      </c>
      <c r="J1500" s="3" t="str">
        <f>HYPERLINK("https://www.boe.es/gazeta/dias/1823/06/21/pdfs/GES-1823-69.pdf#page=1","Abrir facsímil")</f>
        <v>Abrir facsímil</v>
      </c>
      <c r="K1500" s="3" t="s">
        <v>23</v>
      </c>
    </row>
    <row r="1501" spans="1:11" ht="42" customHeight="1">
      <c r="A1501" s="2" t="s">
        <v>3198</v>
      </c>
      <c r="B1501" s="2" t="s">
        <v>3199</v>
      </c>
      <c r="C1501" s="2" t="s">
        <v>17</v>
      </c>
      <c r="D1501" s="2" t="s">
        <v>18</v>
      </c>
      <c r="E1501" s="5">
        <v>-27939</v>
      </c>
      <c r="F1501" s="3" t="s">
        <v>1076</v>
      </c>
      <c r="G1501" s="3" t="s">
        <v>27</v>
      </c>
      <c r="H1501" s="2" t="s">
        <v>21</v>
      </c>
      <c r="I1501" s="2" t="s">
        <v>3239</v>
      </c>
      <c r="J1501" s="3" t="str">
        <f>HYPERLINK("https://www.boe.es/gazeta/dias/1823/07/03/pdfs/GES-1823-83.pdf#page=2","Abrir facsímil")</f>
        <v>Abrir facsímil</v>
      </c>
      <c r="K1501" s="3" t="s">
        <v>23</v>
      </c>
    </row>
    <row r="1502" spans="1:11" ht="42" customHeight="1">
      <c r="A1502" s="2" t="s">
        <v>3198</v>
      </c>
      <c r="B1502" s="2" t="s">
        <v>3199</v>
      </c>
      <c r="C1502" s="2" t="s">
        <v>17</v>
      </c>
      <c r="D1502" s="2" t="s">
        <v>18</v>
      </c>
      <c r="E1502" s="5">
        <v>-27938</v>
      </c>
      <c r="F1502" s="3" t="s">
        <v>101</v>
      </c>
      <c r="G1502" s="3" t="s">
        <v>27</v>
      </c>
      <c r="H1502" s="2" t="s">
        <v>21</v>
      </c>
      <c r="I1502" s="2" t="s">
        <v>3240</v>
      </c>
      <c r="J1502" s="3" t="str">
        <f>HYPERLINK("https://www.boe.es/gazeta/dias/1823/07/04/pdfs/GES-1823-84.pdf#page=2","Abrir facsímil")</f>
        <v>Abrir facsímil</v>
      </c>
      <c r="K1502" s="3" t="s">
        <v>23</v>
      </c>
    </row>
    <row r="1503" spans="1:11" ht="42" customHeight="1">
      <c r="A1503" s="2" t="s">
        <v>3198</v>
      </c>
      <c r="B1503" s="2" t="s">
        <v>3199</v>
      </c>
      <c r="C1503" s="2" t="s">
        <v>73</v>
      </c>
      <c r="D1503" s="2" t="s">
        <v>74</v>
      </c>
      <c r="E1503" s="5">
        <v>-27938</v>
      </c>
      <c r="F1503" s="3" t="s">
        <v>101</v>
      </c>
      <c r="G1503" s="3" t="s">
        <v>48</v>
      </c>
      <c r="H1503" s="2" t="s">
        <v>21</v>
      </c>
      <c r="I1503" s="2" t="s">
        <v>3241</v>
      </c>
      <c r="J1503" s="3" t="str">
        <f>HYPERLINK("https://www.boe.es/gazeta/dias/1823/07/04/pdfs/GES-1823-84.pdf#page=3","Abrir facsímil")</f>
        <v>Abrir facsímil</v>
      </c>
      <c r="K1503" s="3" t="s">
        <v>23</v>
      </c>
    </row>
    <row r="1504" spans="1:11" ht="42" customHeight="1">
      <c r="A1504" s="2" t="s">
        <v>3198</v>
      </c>
      <c r="B1504" s="2" t="s">
        <v>3199</v>
      </c>
      <c r="C1504" s="2" t="s">
        <v>17</v>
      </c>
      <c r="D1504" s="2" t="s">
        <v>18</v>
      </c>
      <c r="E1504" s="5">
        <v>-27932</v>
      </c>
      <c r="F1504" s="3" t="s">
        <v>707</v>
      </c>
      <c r="G1504" s="3" t="s">
        <v>27</v>
      </c>
      <c r="H1504" s="2" t="s">
        <v>21</v>
      </c>
      <c r="I1504" s="2" t="s">
        <v>3242</v>
      </c>
      <c r="J1504" s="3" t="str">
        <f>HYPERLINK("https://www.boe.es/gazeta/dias/1823/07/10/pdfs/GES-1823-90.pdf#page=2","Abrir facsímil")</f>
        <v>Abrir facsímil</v>
      </c>
      <c r="K1504" s="3" t="s">
        <v>23</v>
      </c>
    </row>
    <row r="1505" spans="1:11" ht="42" customHeight="1">
      <c r="A1505" s="2" t="s">
        <v>3198</v>
      </c>
      <c r="B1505" s="2" t="s">
        <v>3199</v>
      </c>
      <c r="C1505" s="2" t="s">
        <v>17</v>
      </c>
      <c r="D1505" s="2" t="s">
        <v>18</v>
      </c>
      <c r="E1505" s="5">
        <v>-27928</v>
      </c>
      <c r="F1505" s="3" t="s">
        <v>1316</v>
      </c>
      <c r="G1505" s="3" t="s">
        <v>3173</v>
      </c>
      <c r="H1505" s="2" t="s">
        <v>21</v>
      </c>
      <c r="I1505" s="2" t="s">
        <v>3243</v>
      </c>
      <c r="J1505" s="3" t="str">
        <f>HYPERLINK("https://www.boe.es/gazeta/dias/1823/07/14/pdfs/GES-1823-94.pdf#page=1","Abrir facsímil")</f>
        <v>Abrir facsímil</v>
      </c>
      <c r="K1505" s="3" t="s">
        <v>23</v>
      </c>
    </row>
    <row r="1506" spans="1:11" ht="42" customHeight="1">
      <c r="A1506" s="2" t="s">
        <v>3198</v>
      </c>
      <c r="B1506" s="2" t="s">
        <v>3199</v>
      </c>
      <c r="C1506" s="2" t="s">
        <v>17</v>
      </c>
      <c r="D1506" s="2" t="s">
        <v>18</v>
      </c>
      <c r="E1506" s="5">
        <v>-27926</v>
      </c>
      <c r="F1506" s="3" t="s">
        <v>2158</v>
      </c>
      <c r="G1506" s="3" t="s">
        <v>2159</v>
      </c>
      <c r="H1506" s="2" t="s">
        <v>21</v>
      </c>
      <c r="I1506" s="2" t="s">
        <v>3244</v>
      </c>
      <c r="J1506" s="3" t="str">
        <f>HYPERLINK("https://www.boe.es/gazeta/dias/1823/07/16/pdfs/GES-1823-96.pdf#page=2","Abrir facsímil")</f>
        <v>Abrir facsímil</v>
      </c>
      <c r="K1506" s="3" t="s">
        <v>23</v>
      </c>
    </row>
    <row r="1507" spans="1:11" ht="42" customHeight="1">
      <c r="A1507" s="2" t="s">
        <v>3198</v>
      </c>
      <c r="B1507" s="2" t="s">
        <v>3199</v>
      </c>
      <c r="C1507" s="2" t="s">
        <v>79</v>
      </c>
      <c r="D1507" s="2" t="s">
        <v>74</v>
      </c>
      <c r="E1507" s="5">
        <v>-27926</v>
      </c>
      <c r="F1507" s="3" t="s">
        <v>2158</v>
      </c>
      <c r="G1507" s="3" t="s">
        <v>39</v>
      </c>
      <c r="H1507" s="2" t="s">
        <v>21</v>
      </c>
      <c r="I1507" s="2" t="s">
        <v>3245</v>
      </c>
      <c r="J1507" s="3" t="str">
        <f>HYPERLINK("https://www.boe.es/gazeta/dias/1823/07/16/pdfs/GES-1823-96.pdf#page=1","Abrir facsímil")</f>
        <v>Abrir facsímil</v>
      </c>
      <c r="K1507" s="3" t="s">
        <v>23</v>
      </c>
    </row>
    <row r="1508" spans="1:11" ht="42" customHeight="1">
      <c r="A1508" s="2" t="s">
        <v>3198</v>
      </c>
      <c r="B1508" s="2" t="s">
        <v>3199</v>
      </c>
      <c r="C1508" s="2" t="s">
        <v>17</v>
      </c>
      <c r="D1508" s="2" t="s">
        <v>18</v>
      </c>
      <c r="E1508" s="5">
        <v>-27924</v>
      </c>
      <c r="F1508" s="3" t="s">
        <v>2385</v>
      </c>
      <c r="G1508" s="3" t="s">
        <v>39</v>
      </c>
      <c r="H1508" s="2" t="s">
        <v>21</v>
      </c>
      <c r="I1508" s="2" t="s">
        <v>3246</v>
      </c>
      <c r="J1508" s="3" t="str">
        <f>HYPERLINK("https://www.boe.es/gazeta/dias/1823/07/18/pdfs/GES-1823-99.pdf#page=1","Abrir facsímil")</f>
        <v>Abrir facsímil</v>
      </c>
      <c r="K1508" s="3" t="s">
        <v>23</v>
      </c>
    </row>
    <row r="1509" spans="1:11" ht="42" customHeight="1">
      <c r="A1509" s="2" t="s">
        <v>3198</v>
      </c>
      <c r="B1509" s="2" t="s">
        <v>3199</v>
      </c>
      <c r="C1509" s="2" t="s">
        <v>17</v>
      </c>
      <c r="D1509" s="2" t="s">
        <v>18</v>
      </c>
      <c r="E1509" s="5">
        <v>-27923</v>
      </c>
      <c r="F1509" s="3" t="s">
        <v>354</v>
      </c>
      <c r="G1509" s="3" t="s">
        <v>27</v>
      </c>
      <c r="H1509" s="2" t="s">
        <v>21</v>
      </c>
      <c r="I1509" s="2" t="s">
        <v>3247</v>
      </c>
      <c r="J1509" s="3" t="str">
        <f>HYPERLINK("https://www.boe.es/gazeta/dias/1823/07/19/pdfs/GES-1823-100.pdf#page=2","Abrir facsímil")</f>
        <v>Abrir facsímil</v>
      </c>
      <c r="K1509" s="3" t="s">
        <v>23</v>
      </c>
    </row>
    <row r="1510" spans="1:11" ht="42" customHeight="1">
      <c r="A1510" s="2" t="s">
        <v>3198</v>
      </c>
      <c r="B1510" s="2" t="s">
        <v>3199</v>
      </c>
      <c r="C1510" s="2" t="s">
        <v>73</v>
      </c>
      <c r="D1510" s="2" t="s">
        <v>74</v>
      </c>
      <c r="E1510" s="5">
        <v>-27920</v>
      </c>
      <c r="F1510" s="3" t="s">
        <v>358</v>
      </c>
      <c r="G1510" s="3" t="s">
        <v>27</v>
      </c>
      <c r="H1510" s="2" t="s">
        <v>21</v>
      </c>
      <c r="I1510" s="2" t="s">
        <v>3248</v>
      </c>
      <c r="J1510" s="3" t="str">
        <f>HYPERLINK("https://www.boe.es/gazeta/dias/1823/07/22/pdfs/GES-1823-103.pdf#page=2","Abrir facsímil")</f>
        <v>Abrir facsímil</v>
      </c>
      <c r="K1510" s="3" t="s">
        <v>23</v>
      </c>
    </row>
    <row r="1511" spans="1:11" ht="42" customHeight="1">
      <c r="A1511" s="2" t="s">
        <v>3198</v>
      </c>
      <c r="B1511" s="2" t="s">
        <v>3199</v>
      </c>
      <c r="C1511" s="2" t="s">
        <v>73</v>
      </c>
      <c r="D1511" s="2" t="s">
        <v>74</v>
      </c>
      <c r="E1511" s="5">
        <v>-27918</v>
      </c>
      <c r="F1511" s="3" t="s">
        <v>3181</v>
      </c>
      <c r="G1511" s="3" t="s">
        <v>3249</v>
      </c>
      <c r="H1511" s="2" t="s">
        <v>21</v>
      </c>
      <c r="I1511" s="2" t="s">
        <v>3250</v>
      </c>
      <c r="J1511" s="3" t="str">
        <f>HYPERLINK("https://www.boe.es/gazeta/dias/1823/07/24/pdfs/GES-1823-105.pdf#page=3","Abrir facsímil")</f>
        <v>Abrir facsímil</v>
      </c>
      <c r="K1511" s="3" t="s">
        <v>23</v>
      </c>
    </row>
    <row r="1512" spans="1:11" ht="42" customHeight="1">
      <c r="A1512" s="2" t="s">
        <v>3198</v>
      </c>
      <c r="B1512" s="2" t="s">
        <v>3199</v>
      </c>
      <c r="C1512" s="2" t="s">
        <v>293</v>
      </c>
      <c r="D1512" s="2" t="s">
        <v>74</v>
      </c>
      <c r="E1512" s="5">
        <v>-27914</v>
      </c>
      <c r="F1512" s="3" t="s">
        <v>776</v>
      </c>
      <c r="G1512" s="3" t="s">
        <v>39</v>
      </c>
      <c r="H1512" s="2" t="s">
        <v>21</v>
      </c>
      <c r="I1512" s="2" t="s">
        <v>3251</v>
      </c>
      <c r="J1512" s="3" t="str">
        <f>HYPERLINK("https://www.boe.es/gazeta/dias/1823/07/28/pdfs/GES-1823-109.pdf#page=1","Abrir facsímil")</f>
        <v>Abrir facsímil</v>
      </c>
      <c r="K1512" s="3" t="s">
        <v>23</v>
      </c>
    </row>
    <row r="1513" spans="1:11" ht="42" customHeight="1">
      <c r="A1513" s="2" t="s">
        <v>3198</v>
      </c>
      <c r="B1513" s="2" t="s">
        <v>3199</v>
      </c>
      <c r="C1513" s="2" t="s">
        <v>293</v>
      </c>
      <c r="D1513" s="2" t="s">
        <v>74</v>
      </c>
      <c r="E1513" s="5">
        <v>-27913</v>
      </c>
      <c r="F1513" s="3" t="s">
        <v>821</v>
      </c>
      <c r="G1513" s="3" t="s">
        <v>1204</v>
      </c>
      <c r="H1513" s="2" t="s">
        <v>21</v>
      </c>
      <c r="I1513" s="2" t="s">
        <v>3252</v>
      </c>
      <c r="J1513" s="3" t="str">
        <f>HYPERLINK("https://www.boe.es/gazeta/dias/1823/07/29/pdfs/GES-1823-110.pdf#page=2","Abrir facsímil")</f>
        <v>Abrir facsímil</v>
      </c>
      <c r="K1513" s="3" t="s">
        <v>23</v>
      </c>
    </row>
    <row r="1514" spans="1:11" ht="42" customHeight="1">
      <c r="A1514" s="2" t="s">
        <v>3198</v>
      </c>
      <c r="B1514" s="2" t="s">
        <v>3199</v>
      </c>
      <c r="C1514" s="2" t="s">
        <v>17</v>
      </c>
      <c r="D1514" s="2" t="s">
        <v>18</v>
      </c>
      <c r="E1514" s="5">
        <v>-27913</v>
      </c>
      <c r="F1514" s="3" t="s">
        <v>821</v>
      </c>
      <c r="G1514" s="3" t="s">
        <v>39</v>
      </c>
      <c r="H1514" s="2" t="s">
        <v>21</v>
      </c>
      <c r="I1514" s="2" t="s">
        <v>3253</v>
      </c>
      <c r="J1514" s="3" t="str">
        <f>HYPERLINK("https://www.boe.es/gazeta/dias/1823/07/29/pdfs/GES-1823-110.pdf#page=1","Abrir facsímil")</f>
        <v>Abrir facsímil</v>
      </c>
      <c r="K1514" s="3" t="s">
        <v>23</v>
      </c>
    </row>
    <row r="1515" spans="1:11" ht="42" customHeight="1">
      <c r="A1515" s="2" t="s">
        <v>3198</v>
      </c>
      <c r="B1515" s="2" t="s">
        <v>3199</v>
      </c>
      <c r="C1515" s="2" t="s">
        <v>109</v>
      </c>
      <c r="D1515" s="2" t="s">
        <v>74</v>
      </c>
      <c r="E1515" s="5">
        <v>-27912</v>
      </c>
      <c r="F1515" s="3" t="s">
        <v>365</v>
      </c>
      <c r="G1515" s="3" t="s">
        <v>366</v>
      </c>
      <c r="H1515" s="2" t="s">
        <v>21</v>
      </c>
      <c r="I1515" s="2" t="s">
        <v>3254</v>
      </c>
      <c r="J1515" s="3" t="str">
        <f>HYPERLINK("https://www.boe.es/gazeta/dias/1823/07/30/pdfs/GES-1823-111.pdf#page=4","Abrir facsímil")</f>
        <v>Abrir facsímil</v>
      </c>
      <c r="K1515" s="3" t="s">
        <v>23</v>
      </c>
    </row>
    <row r="1516" spans="1:11" ht="42" customHeight="1">
      <c r="A1516" s="2" t="s">
        <v>3198</v>
      </c>
      <c r="B1516" s="2" t="s">
        <v>3199</v>
      </c>
      <c r="C1516" s="2" t="s">
        <v>73</v>
      </c>
      <c r="D1516" s="2" t="s">
        <v>74</v>
      </c>
      <c r="E1516" s="5">
        <v>-27911</v>
      </c>
      <c r="F1516" s="3" t="s">
        <v>368</v>
      </c>
      <c r="G1516" s="3" t="s">
        <v>20</v>
      </c>
      <c r="H1516" s="2" t="s">
        <v>21</v>
      </c>
      <c r="I1516" s="2" t="s">
        <v>3255</v>
      </c>
      <c r="J1516" s="3" t="str">
        <f>HYPERLINK("https://www.boe.es/gazeta/dias/1823/07/31/pdfs/GES-1823-112.pdf#page=4","Abrir facsímil")</f>
        <v>Abrir facsímil</v>
      </c>
      <c r="K1516" s="3" t="s">
        <v>23</v>
      </c>
    </row>
    <row r="1517" spans="1:11" ht="42" customHeight="1">
      <c r="A1517" s="2" t="s">
        <v>3198</v>
      </c>
      <c r="B1517" s="2" t="s">
        <v>3199</v>
      </c>
      <c r="C1517" s="2" t="s">
        <v>109</v>
      </c>
      <c r="D1517" s="2" t="s">
        <v>74</v>
      </c>
      <c r="E1517" s="5">
        <v>-27910</v>
      </c>
      <c r="F1517" s="3" t="s">
        <v>38</v>
      </c>
      <c r="G1517" s="3" t="s">
        <v>48</v>
      </c>
      <c r="H1517" s="2" t="s">
        <v>21</v>
      </c>
      <c r="I1517" s="2" t="s">
        <v>3256</v>
      </c>
      <c r="J1517" s="3" t="str">
        <f>HYPERLINK("https://www.boe.es/gazeta/dias/1823/08/01/pdfs/GES-1823-113.pdf#page=3","Abrir facsímil")</f>
        <v>Abrir facsímil</v>
      </c>
      <c r="K1517" s="3" t="s">
        <v>23</v>
      </c>
    </row>
    <row r="1518" spans="1:11" ht="42" customHeight="1">
      <c r="A1518" s="2" t="s">
        <v>3198</v>
      </c>
      <c r="B1518" s="2" t="s">
        <v>3199</v>
      </c>
      <c r="C1518" s="2" t="s">
        <v>17</v>
      </c>
      <c r="D1518" s="2" t="s">
        <v>18</v>
      </c>
      <c r="E1518" s="5">
        <v>-27908</v>
      </c>
      <c r="F1518" s="3" t="s">
        <v>80</v>
      </c>
      <c r="G1518" s="3" t="s">
        <v>27</v>
      </c>
      <c r="H1518" s="2" t="s">
        <v>21</v>
      </c>
      <c r="I1518" s="2" t="s">
        <v>3257</v>
      </c>
      <c r="J1518" s="3" t="str">
        <f>HYPERLINK("https://www.boe.es/gazeta/dias/1823/08/03/pdfs/GES-1823-115.pdf#page=2","Abrir facsímil")</f>
        <v>Abrir facsímil</v>
      </c>
      <c r="K1518" s="3" t="s">
        <v>23</v>
      </c>
    </row>
    <row r="1519" spans="1:11" ht="42" customHeight="1">
      <c r="A1519" s="2" t="s">
        <v>3198</v>
      </c>
      <c r="B1519" s="2" t="s">
        <v>3199</v>
      </c>
      <c r="C1519" s="2" t="s">
        <v>56</v>
      </c>
      <c r="D1519" s="2" t="s">
        <v>57</v>
      </c>
      <c r="E1519" s="5">
        <v>-27873</v>
      </c>
      <c r="F1519" s="3" t="s">
        <v>160</v>
      </c>
      <c r="G1519" s="3" t="s">
        <v>27</v>
      </c>
      <c r="H1519" s="2" t="s">
        <v>21</v>
      </c>
      <c r="I1519" s="2" t="s">
        <v>3258</v>
      </c>
      <c r="J1519" s="3" t="str">
        <f>HYPERLINK("https://www.boe.es/gazeta/dias/1823/09/07/pdfs/GES-1823-151.pdf#page=2","Abrir facsímil")</f>
        <v>Abrir facsímil</v>
      </c>
      <c r="K1519" s="3" t="s">
        <v>23</v>
      </c>
    </row>
    <row r="1520" spans="1:11" ht="42" customHeight="1">
      <c r="A1520" s="2" t="s">
        <v>3259</v>
      </c>
      <c r="B1520" s="2" t="s">
        <v>3260</v>
      </c>
      <c r="C1520" s="2" t="s">
        <v>79</v>
      </c>
      <c r="D1520" s="2" t="s">
        <v>74</v>
      </c>
      <c r="E1520" s="5">
        <v>-28046</v>
      </c>
      <c r="F1520" s="3" t="s">
        <v>85</v>
      </c>
      <c r="G1520" s="3" t="s">
        <v>27</v>
      </c>
      <c r="H1520" s="2" t="s">
        <v>21</v>
      </c>
      <c r="I1520" s="2" t="s">
        <v>3261</v>
      </c>
      <c r="J1520" s="3" t="str">
        <f>HYPERLINK("https://www.boe.es/gazeta/dias/1823/03/18/pdfs/GMD-1823-81.pdf#page=2","Abrir facsímil")</f>
        <v>Abrir facsímil</v>
      </c>
      <c r="K1520" s="3" t="s">
        <v>23</v>
      </c>
    </row>
    <row r="1521" spans="1:11" ht="42" customHeight="1">
      <c r="A1521" s="2" t="s">
        <v>3262</v>
      </c>
      <c r="B1521" s="2" t="s">
        <v>3263</v>
      </c>
      <c r="C1521" s="2" t="s">
        <v>79</v>
      </c>
      <c r="D1521" s="2" t="s">
        <v>74</v>
      </c>
      <c r="E1521" s="5">
        <v>-27918</v>
      </c>
      <c r="F1521" s="3" t="s">
        <v>3181</v>
      </c>
      <c r="G1521" s="3" t="s">
        <v>27</v>
      </c>
      <c r="H1521" s="2" t="s">
        <v>21</v>
      </c>
      <c r="I1521" s="2" t="s">
        <v>3264</v>
      </c>
      <c r="J1521" s="3" t="str">
        <f>HYPERLINK("https://www.boe.es/gazeta/dias/1823/07/24/pdfs/GES-1823-105.pdf#page=2","Abrir facsímil")</f>
        <v>Abrir facsímil</v>
      </c>
      <c r="K1521" s="3" t="s">
        <v>23</v>
      </c>
    </row>
    <row r="1522" spans="1:11" ht="42" customHeight="1">
      <c r="A1522" s="2" t="s">
        <v>3265</v>
      </c>
      <c r="B1522" s="2" t="s">
        <v>3265</v>
      </c>
      <c r="C1522" s="2" t="s">
        <v>17</v>
      </c>
      <c r="D1522" s="2" t="s">
        <v>18</v>
      </c>
      <c r="E1522" s="5">
        <v>-28112</v>
      </c>
      <c r="F1522" s="3" t="s">
        <v>43</v>
      </c>
      <c r="G1522" s="3" t="s">
        <v>39</v>
      </c>
      <c r="H1522" s="2" t="s">
        <v>21</v>
      </c>
      <c r="I1522" s="2" t="s">
        <v>3266</v>
      </c>
      <c r="J1522" s="3" t="str">
        <f>HYPERLINK("https://www.boe.es/gazeta/dias/1823/01/11/pdfs/GMD-1823-11.pdf#page=1","Abrir facsímil")</f>
        <v>Abrir facsímil</v>
      </c>
      <c r="K1522" s="3" t="s">
        <v>23</v>
      </c>
    </row>
    <row r="1523" spans="1:11" ht="42" customHeight="1">
      <c r="A1523" s="2" t="s">
        <v>3267</v>
      </c>
      <c r="B1523" s="2" t="s">
        <v>3268</v>
      </c>
      <c r="C1523" s="2" t="s">
        <v>17</v>
      </c>
      <c r="D1523" s="2" t="s">
        <v>18</v>
      </c>
      <c r="E1523" s="5">
        <v>-27874</v>
      </c>
      <c r="F1523" s="3" t="s">
        <v>1410</v>
      </c>
      <c r="G1523" s="3" t="s">
        <v>27</v>
      </c>
      <c r="H1523" s="2" t="s">
        <v>21</v>
      </c>
      <c r="I1523" s="2" t="s">
        <v>3269</v>
      </c>
      <c r="J1523" s="3" t="str">
        <f>HYPERLINK("https://www.boe.es/gazeta/dias/1823/09/06/pdfs/GES-1823-150.pdf#page=2","Abrir facsímil")</f>
        <v>Abrir facsímil</v>
      </c>
      <c r="K1523" s="3" t="s">
        <v>23</v>
      </c>
    </row>
    <row r="1524" spans="1:11" ht="42" customHeight="1">
      <c r="A1524" s="2" t="s">
        <v>3270</v>
      </c>
      <c r="B1524" s="2" t="s">
        <v>3270</v>
      </c>
      <c r="C1524" s="2" t="s">
        <v>17</v>
      </c>
      <c r="D1524" s="2" t="s">
        <v>18</v>
      </c>
      <c r="E1524" s="5">
        <v>-28037</v>
      </c>
      <c r="F1524" s="3" t="s">
        <v>192</v>
      </c>
      <c r="G1524" s="3" t="s">
        <v>48</v>
      </c>
      <c r="H1524" s="2" t="s">
        <v>21</v>
      </c>
      <c r="I1524" s="2" t="s">
        <v>3271</v>
      </c>
      <c r="J1524" s="3" t="str">
        <f>HYPERLINK("https://www.boe.es/gazeta/dias/1823/03/27/pdfs/GMD-1823-90.pdf#page=3","Abrir facsímil")</f>
        <v>Abrir facsímil</v>
      </c>
      <c r="K1524" s="3" t="s">
        <v>23</v>
      </c>
    </row>
    <row r="1525" spans="1:11" ht="42" customHeight="1">
      <c r="A1525" s="2" t="s">
        <v>3272</v>
      </c>
      <c r="B1525" s="2" t="s">
        <v>3272</v>
      </c>
      <c r="C1525" s="2" t="s">
        <v>17</v>
      </c>
      <c r="D1525" s="2" t="s">
        <v>18</v>
      </c>
      <c r="E1525" s="5">
        <v>-28120</v>
      </c>
      <c r="F1525" s="3" t="s">
        <v>2772</v>
      </c>
      <c r="G1525" s="3" t="s">
        <v>3108</v>
      </c>
      <c r="H1525" s="2" t="s">
        <v>21</v>
      </c>
      <c r="I1525" s="2" t="s">
        <v>3273</v>
      </c>
      <c r="J1525" s="3" t="str">
        <f>HYPERLINK("https://www.boe.es/gazeta/dias/1823/01/03/pdfs/GMD-1823-3.pdf#page=3","Abrir facsímil")</f>
        <v>Abrir facsímil</v>
      </c>
      <c r="K1525" s="3" t="s">
        <v>23</v>
      </c>
    </row>
    <row r="1526" spans="1:11" ht="42" customHeight="1">
      <c r="A1526" s="2" t="s">
        <v>3274</v>
      </c>
      <c r="B1526" s="2" t="s">
        <v>3275</v>
      </c>
      <c r="C1526" s="2" t="s">
        <v>56</v>
      </c>
      <c r="D1526" s="2" t="s">
        <v>57</v>
      </c>
      <c r="E1526" s="5">
        <v>-28023</v>
      </c>
      <c r="F1526" s="3" t="s">
        <v>384</v>
      </c>
      <c r="G1526" s="3" t="s">
        <v>27</v>
      </c>
      <c r="H1526" s="2" t="s">
        <v>21</v>
      </c>
      <c r="I1526" s="2" t="s">
        <v>3276</v>
      </c>
      <c r="J1526" s="3" t="str">
        <f>HYPERLINK("https://www.boe.es/gazeta/dias/1823/04/10/pdfs/GMD-1823-105.pdf#page=2","Abrir facsímil")</f>
        <v>Abrir facsímil</v>
      </c>
      <c r="K1526" s="3" t="s">
        <v>23</v>
      </c>
    </row>
    <row r="1527" spans="1:11" ht="42" customHeight="1">
      <c r="A1527" s="2" t="s">
        <v>3277</v>
      </c>
      <c r="B1527" s="2" t="s">
        <v>3277</v>
      </c>
      <c r="C1527" s="2" t="s">
        <v>109</v>
      </c>
      <c r="D1527" s="2" t="s">
        <v>74</v>
      </c>
      <c r="E1527" s="5">
        <v>-28090</v>
      </c>
      <c r="F1527" s="3" t="s">
        <v>174</v>
      </c>
      <c r="G1527" s="3" t="s">
        <v>39</v>
      </c>
      <c r="H1527" s="2" t="s">
        <v>21</v>
      </c>
      <c r="I1527" s="2" t="s">
        <v>3278</v>
      </c>
      <c r="J1527" s="3" t="str">
        <f>HYPERLINK("https://www.boe.es/gazeta/dias/1823/02/02/pdfs/GMD-1823-35.pdf#page=1","Abrir facsímil")</f>
        <v>Abrir facsímil</v>
      </c>
      <c r="K1527" s="3" t="s">
        <v>23</v>
      </c>
    </row>
    <row r="1528" spans="1:11" ht="42" customHeight="1">
      <c r="A1528" s="2" t="s">
        <v>3279</v>
      </c>
      <c r="B1528" s="2" t="s">
        <v>3279</v>
      </c>
      <c r="C1528" s="2" t="s">
        <v>73</v>
      </c>
      <c r="D1528" s="2" t="s">
        <v>74</v>
      </c>
      <c r="E1528" s="5">
        <v>-28120</v>
      </c>
      <c r="F1528" s="3" t="s">
        <v>2772</v>
      </c>
      <c r="G1528" s="3" t="s">
        <v>3108</v>
      </c>
      <c r="H1528" s="2" t="s">
        <v>21</v>
      </c>
      <c r="I1528" s="2" t="s">
        <v>3280</v>
      </c>
      <c r="J1528" s="3" t="str">
        <f>HYPERLINK("https://www.boe.es/gazeta/dias/1823/01/03/pdfs/GMD-1823-3.pdf#page=3","Abrir facsímil")</f>
        <v>Abrir facsímil</v>
      </c>
      <c r="K1528" s="3" t="s">
        <v>23</v>
      </c>
    </row>
    <row r="1529" spans="1:11" ht="42" customHeight="1">
      <c r="A1529" s="2" t="s">
        <v>3279</v>
      </c>
      <c r="B1529" s="2" t="s">
        <v>3279</v>
      </c>
      <c r="C1529" s="2" t="s">
        <v>109</v>
      </c>
      <c r="D1529" s="2" t="s">
        <v>74</v>
      </c>
      <c r="E1529" s="5">
        <v>-28079</v>
      </c>
      <c r="F1529" s="3" t="s">
        <v>178</v>
      </c>
      <c r="G1529" s="3" t="s">
        <v>39</v>
      </c>
      <c r="H1529" s="2" t="s">
        <v>21</v>
      </c>
      <c r="I1529" s="2" t="s">
        <v>3281</v>
      </c>
      <c r="J1529" s="3" t="str">
        <f>HYPERLINK("https://www.boe.es/gazeta/dias/1823/02/13/pdfs/GMD-1823-47.pdf#page=1","Abrir facsímil")</f>
        <v>Abrir facsímil</v>
      </c>
      <c r="K1529" s="3" t="s">
        <v>23</v>
      </c>
    </row>
    <row r="1530" spans="1:11" ht="42" customHeight="1">
      <c r="A1530" s="2" t="s">
        <v>3282</v>
      </c>
      <c r="B1530" s="2" t="s">
        <v>3283</v>
      </c>
      <c r="C1530" s="2" t="s">
        <v>293</v>
      </c>
      <c r="D1530" s="2" t="s">
        <v>74</v>
      </c>
      <c r="E1530" s="5">
        <v>-28106</v>
      </c>
      <c r="F1530" s="3" t="s">
        <v>280</v>
      </c>
      <c r="G1530" s="3" t="s">
        <v>20</v>
      </c>
      <c r="H1530" s="2" t="s">
        <v>21</v>
      </c>
      <c r="I1530" s="2" t="s">
        <v>3284</v>
      </c>
      <c r="J1530" s="3" t="str">
        <f>HYPERLINK("https://www.boe.es/gazeta/dias/1823/01/17/pdfs/GMD-1823-17.pdf#page=4","Abrir facsímil")</f>
        <v>Abrir facsímil</v>
      </c>
      <c r="K1530" s="3" t="s">
        <v>23</v>
      </c>
    </row>
    <row r="1531" spans="1:11" ht="42" customHeight="1">
      <c r="A1531" s="2" t="s">
        <v>3285</v>
      </c>
      <c r="B1531" s="2" t="s">
        <v>3286</v>
      </c>
      <c r="C1531" s="2" t="s">
        <v>17</v>
      </c>
      <c r="D1531" s="2" t="s">
        <v>18</v>
      </c>
      <c r="E1531" s="5">
        <v>-27987</v>
      </c>
      <c r="F1531" s="3" t="s">
        <v>332</v>
      </c>
      <c r="G1531" s="3" t="s">
        <v>39</v>
      </c>
      <c r="H1531" s="2" t="s">
        <v>21</v>
      </c>
      <c r="I1531" s="2" t="s">
        <v>3287</v>
      </c>
      <c r="J1531" s="3" t="str">
        <f>HYPERLINK("https://www.boe.es/gazeta/dias/1823/05/16/pdfs/GES-1823-36.pdf#page=1","Abrir facsímil")</f>
        <v>Abrir facsímil</v>
      </c>
      <c r="K1531" s="3" t="s">
        <v>23</v>
      </c>
    </row>
    <row r="1532" spans="1:11" ht="42" customHeight="1">
      <c r="A1532" s="2" t="s">
        <v>3288</v>
      </c>
      <c r="B1532" s="2" t="s">
        <v>3289</v>
      </c>
      <c r="C1532" s="2" t="s">
        <v>79</v>
      </c>
      <c r="D1532" s="2" t="s">
        <v>74</v>
      </c>
      <c r="E1532" s="5">
        <v>-28032</v>
      </c>
      <c r="F1532" s="3" t="s">
        <v>668</v>
      </c>
      <c r="G1532" s="3" t="s">
        <v>39</v>
      </c>
      <c r="H1532" s="2" t="s">
        <v>21</v>
      </c>
      <c r="I1532" s="2" t="s">
        <v>3290</v>
      </c>
      <c r="J1532" s="3" t="str">
        <f>HYPERLINK("https://www.boe.es/gazeta/dias/1823/04/01/pdfs/GMD-1823-95.pdf#page=1","Abrir facsímil")</f>
        <v>Abrir facsímil</v>
      </c>
      <c r="K1532" s="3" t="s">
        <v>23</v>
      </c>
    </row>
    <row r="1533" spans="1:11" ht="42" customHeight="1">
      <c r="A1533" s="2" t="s">
        <v>3291</v>
      </c>
      <c r="B1533" s="2" t="s">
        <v>3291</v>
      </c>
      <c r="C1533" s="2" t="s">
        <v>17</v>
      </c>
      <c r="D1533" s="2" t="s">
        <v>18</v>
      </c>
      <c r="E1533" s="5">
        <v>-27929</v>
      </c>
      <c r="F1533" s="3" t="s">
        <v>598</v>
      </c>
      <c r="G1533" s="3" t="s">
        <v>48</v>
      </c>
      <c r="H1533" s="2" t="s">
        <v>21</v>
      </c>
      <c r="I1533" s="2" t="s">
        <v>3292</v>
      </c>
      <c r="J1533" s="3" t="str">
        <f>HYPERLINK("https://www.boe.es/gazeta/dias/1823/07/13/pdfs/GES-1823-93.pdf#page=3","Abrir facsímil")</f>
        <v>Abrir facsímil</v>
      </c>
      <c r="K1533" s="3" t="s">
        <v>23</v>
      </c>
    </row>
    <row r="1534" spans="1:11" ht="42" customHeight="1">
      <c r="A1534" s="2" t="s">
        <v>3293</v>
      </c>
      <c r="B1534" s="2" t="s">
        <v>3293</v>
      </c>
      <c r="C1534" s="2" t="s">
        <v>56</v>
      </c>
      <c r="D1534" s="2" t="s">
        <v>57</v>
      </c>
      <c r="E1534" s="5">
        <v>-28035</v>
      </c>
      <c r="F1534" s="3" t="s">
        <v>138</v>
      </c>
      <c r="G1534" s="3" t="s">
        <v>20</v>
      </c>
      <c r="H1534" s="2" t="s">
        <v>21</v>
      </c>
      <c r="I1534" s="2" t="s">
        <v>3294</v>
      </c>
      <c r="J1534" s="3" t="str">
        <f>HYPERLINK("https://www.boe.es/gazeta/dias/1823/03/29/pdfs/GMD-1823-92.pdf#page=4","Abrir facsímil")</f>
        <v>Abrir facsímil</v>
      </c>
      <c r="K1534" s="3" t="s">
        <v>23</v>
      </c>
    </row>
    <row r="1535" spans="1:11" ht="42" customHeight="1">
      <c r="A1535" s="2" t="s">
        <v>3295</v>
      </c>
      <c r="B1535" s="2" t="s">
        <v>3296</v>
      </c>
      <c r="C1535" s="2" t="s">
        <v>56</v>
      </c>
      <c r="D1535" s="2" t="s">
        <v>57</v>
      </c>
      <c r="E1535" s="5">
        <v>-27911</v>
      </c>
      <c r="F1535" s="3" t="s">
        <v>368</v>
      </c>
      <c r="G1535" s="3" t="s">
        <v>20</v>
      </c>
      <c r="H1535" s="2" t="s">
        <v>21</v>
      </c>
      <c r="I1535" s="2" t="s">
        <v>3297</v>
      </c>
      <c r="J1535" s="3" t="str">
        <f>HYPERLINK("https://www.boe.es/gazeta/dias/1823/07/31/pdfs/GES-1823-112.pdf#page=4","Abrir facsímil")</f>
        <v>Abrir facsímil</v>
      </c>
      <c r="K1535" s="3" t="s">
        <v>23</v>
      </c>
    </row>
    <row r="1536" spans="1:11" ht="42" customHeight="1">
      <c r="A1536" s="2" t="s">
        <v>3298</v>
      </c>
      <c r="B1536" s="2" t="s">
        <v>3299</v>
      </c>
      <c r="C1536" s="2" t="s">
        <v>17</v>
      </c>
      <c r="D1536" s="2" t="s">
        <v>18</v>
      </c>
      <c r="E1536" s="5">
        <v>-27906</v>
      </c>
      <c r="F1536" s="3" t="s">
        <v>241</v>
      </c>
      <c r="G1536" s="3" t="s">
        <v>59</v>
      </c>
      <c r="H1536" s="2" t="s">
        <v>21</v>
      </c>
      <c r="I1536" s="2" t="s">
        <v>3300</v>
      </c>
      <c r="J1536" s="3" t="str">
        <f>HYPERLINK("https://www.boe.es/gazeta/dias/1823/08/05/pdfs/GES-1823-117.pdf#page=6","Abrir facsímil")</f>
        <v>Abrir facsímil</v>
      </c>
      <c r="K1536" s="3" t="s">
        <v>23</v>
      </c>
    </row>
    <row r="1537" spans="1:11" ht="42" customHeight="1">
      <c r="A1537" s="2" t="s">
        <v>3301</v>
      </c>
      <c r="B1537" s="2" t="s">
        <v>3301</v>
      </c>
      <c r="C1537" s="2" t="s">
        <v>17</v>
      </c>
      <c r="D1537" s="2" t="s">
        <v>117</v>
      </c>
      <c r="E1537" s="5">
        <v>-27932</v>
      </c>
      <c r="F1537" s="3" t="s">
        <v>1947</v>
      </c>
      <c r="G1537" s="3" t="s">
        <v>39</v>
      </c>
      <c r="H1537" s="2" t="s">
        <v>21</v>
      </c>
      <c r="I1537" s="2" t="s">
        <v>3302</v>
      </c>
      <c r="J1537" s="3" t="str">
        <f>HYPERLINK("https://www.boe.es/gazeta/dias/1823/07/10/pdfs/GMD-1823-373E.pdf#page=1","Abrir facsímil")</f>
        <v>Abrir facsímil</v>
      </c>
      <c r="K1537" s="3" t="s">
        <v>23</v>
      </c>
    </row>
    <row r="1538" spans="1:11" ht="42" customHeight="1">
      <c r="A1538" s="2" t="s">
        <v>3303</v>
      </c>
      <c r="B1538" s="2" t="s">
        <v>3304</v>
      </c>
      <c r="C1538" s="2" t="s">
        <v>17</v>
      </c>
      <c r="D1538" s="2" t="s">
        <v>18</v>
      </c>
      <c r="E1538" s="5">
        <v>-27878</v>
      </c>
      <c r="F1538" s="3" t="s">
        <v>1581</v>
      </c>
      <c r="G1538" s="3" t="s">
        <v>39</v>
      </c>
      <c r="H1538" s="2" t="s">
        <v>21</v>
      </c>
      <c r="I1538" s="2" t="s">
        <v>3305</v>
      </c>
      <c r="J1538" s="3" t="str">
        <f>HYPERLINK("https://www.boe.es/gazeta/dias/1823/09/02/pdfs/GMD-1823-683.pdf#page=1","Abrir facsímil")</f>
        <v>Abrir facsímil</v>
      </c>
      <c r="K1538" s="3" t="s">
        <v>23</v>
      </c>
    </row>
    <row r="1539" spans="1:11" ht="42" customHeight="1">
      <c r="A1539" s="2" t="s">
        <v>3306</v>
      </c>
      <c r="B1539" s="2" t="s">
        <v>3307</v>
      </c>
      <c r="C1539" s="2" t="s">
        <v>109</v>
      </c>
      <c r="D1539" s="2" t="s">
        <v>74</v>
      </c>
      <c r="E1539" s="5">
        <v>-27984</v>
      </c>
      <c r="F1539" s="3" t="s">
        <v>335</v>
      </c>
      <c r="G1539" s="3" t="s">
        <v>27</v>
      </c>
      <c r="H1539" s="2" t="s">
        <v>21</v>
      </c>
      <c r="I1539" s="2" t="s">
        <v>3308</v>
      </c>
      <c r="J1539" s="3" t="str">
        <f>HYPERLINK("https://www.boe.es/gazeta/dias/1823/05/19/pdfs/GES-1823-39.pdf#page=2","Abrir facsímil")</f>
        <v>Abrir facsímil</v>
      </c>
      <c r="K1539" s="3" t="s">
        <v>23</v>
      </c>
    </row>
    <row r="1540" spans="1:11" ht="42" customHeight="1">
      <c r="A1540" s="2" t="s">
        <v>3309</v>
      </c>
      <c r="B1540" s="2" t="s">
        <v>3310</v>
      </c>
      <c r="C1540" s="2" t="s">
        <v>17</v>
      </c>
      <c r="D1540" s="2" t="s">
        <v>18</v>
      </c>
      <c r="E1540" s="5">
        <v>-28022</v>
      </c>
      <c r="F1540" s="3" t="s">
        <v>439</v>
      </c>
      <c r="G1540" s="3" t="s">
        <v>48</v>
      </c>
      <c r="H1540" s="2" t="s">
        <v>21</v>
      </c>
      <c r="I1540" s="2" t="s">
        <v>3311</v>
      </c>
      <c r="J1540" s="3" t="str">
        <f>HYPERLINK("https://www.boe.es/gazeta/dias/1823/04/11/pdfs/GMD-1823-106.pdf#page=3","Abrir facsímil")</f>
        <v>Abrir facsímil</v>
      </c>
      <c r="K1540" s="3" t="s">
        <v>23</v>
      </c>
    </row>
    <row r="1541" spans="1:11" ht="42" customHeight="1">
      <c r="A1541" s="2" t="s">
        <v>3312</v>
      </c>
      <c r="B1541" s="2" t="s">
        <v>3313</v>
      </c>
      <c r="C1541" s="2" t="s">
        <v>109</v>
      </c>
      <c r="D1541" s="2" t="s">
        <v>74</v>
      </c>
      <c r="E1541" s="5">
        <v>-28114</v>
      </c>
      <c r="F1541" s="3" t="s">
        <v>153</v>
      </c>
      <c r="G1541" s="3" t="s">
        <v>59</v>
      </c>
      <c r="H1541" s="2" t="s">
        <v>21</v>
      </c>
      <c r="I1541" s="2" t="s">
        <v>3314</v>
      </c>
      <c r="J1541" s="3" t="str">
        <f>HYPERLINK("https://www.boe.es/gazeta/dias/1823/01/09/pdfs/GMD-1823-9.pdf#page=6","Abrir facsímil")</f>
        <v>Abrir facsímil</v>
      </c>
      <c r="K1541" s="3" t="s">
        <v>23</v>
      </c>
    </row>
    <row r="1542" spans="1:11" ht="42" customHeight="1">
      <c r="A1542" s="2" t="s">
        <v>3315</v>
      </c>
      <c r="B1542" s="2" t="s">
        <v>3315</v>
      </c>
      <c r="C1542" s="2" t="s">
        <v>56</v>
      </c>
      <c r="D1542" s="2" t="s">
        <v>57</v>
      </c>
      <c r="E1542" s="5">
        <v>-28061</v>
      </c>
      <c r="F1542" s="3" t="s">
        <v>704</v>
      </c>
      <c r="G1542" s="3" t="s">
        <v>48</v>
      </c>
      <c r="H1542" s="2" t="s">
        <v>21</v>
      </c>
      <c r="I1542" s="2" t="s">
        <v>3316</v>
      </c>
      <c r="J1542" s="3" t="str">
        <f>HYPERLINK("https://www.boe.es/gazeta/dias/1823/03/03/pdfs/GMD-1823-66.pdf#page=3","Abrir facsímil")</f>
        <v>Abrir facsímil</v>
      </c>
      <c r="K1542" s="3" t="s">
        <v>23</v>
      </c>
    </row>
    <row r="1543" spans="1:11" ht="42" customHeight="1">
      <c r="A1543" s="2" t="s">
        <v>3317</v>
      </c>
      <c r="B1543" s="2" t="s">
        <v>3317</v>
      </c>
      <c r="C1543" s="2" t="s">
        <v>79</v>
      </c>
      <c r="D1543" s="2" t="s">
        <v>74</v>
      </c>
      <c r="E1543" s="5">
        <v>-28119</v>
      </c>
      <c r="F1543" s="3" t="s">
        <v>545</v>
      </c>
      <c r="G1543" s="3" t="s">
        <v>48</v>
      </c>
      <c r="H1543" s="2" t="s">
        <v>21</v>
      </c>
      <c r="I1543" s="2" t="s">
        <v>3318</v>
      </c>
      <c r="J1543" s="3" t="str">
        <f>HYPERLINK("https://www.boe.es/gazeta/dias/1823/01/04/pdfs/GMD-1823-4.pdf#page=3","Abrir facsímil")</f>
        <v>Abrir facsímil</v>
      </c>
      <c r="K1543" s="3" t="s">
        <v>23</v>
      </c>
    </row>
    <row r="1544" spans="1:11" ht="42" customHeight="1">
      <c r="A1544" s="2" t="s">
        <v>3317</v>
      </c>
      <c r="B1544" s="2" t="s">
        <v>3317</v>
      </c>
      <c r="C1544" s="2" t="s">
        <v>17</v>
      </c>
      <c r="D1544" s="2" t="s">
        <v>18</v>
      </c>
      <c r="E1544" s="5">
        <v>-28106</v>
      </c>
      <c r="F1544" s="3" t="s">
        <v>280</v>
      </c>
      <c r="G1544" s="3" t="s">
        <v>281</v>
      </c>
      <c r="H1544" s="2" t="s">
        <v>21</v>
      </c>
      <c r="I1544" s="2" t="s">
        <v>3319</v>
      </c>
      <c r="J1544" s="3" t="str">
        <f>HYPERLINK("https://www.boe.es/gazeta/dias/1823/01/17/pdfs/GMD-1823-17.pdf#page=2","Abrir facsímil")</f>
        <v>Abrir facsímil</v>
      </c>
      <c r="K1544" s="3" t="s">
        <v>23</v>
      </c>
    </row>
    <row r="1545" spans="1:11" ht="42" customHeight="1">
      <c r="A1545" s="2" t="s">
        <v>3317</v>
      </c>
      <c r="B1545" s="2" t="s">
        <v>3317</v>
      </c>
      <c r="C1545" s="2" t="s">
        <v>73</v>
      </c>
      <c r="D1545" s="2" t="s">
        <v>74</v>
      </c>
      <c r="E1545" s="5">
        <v>-28081</v>
      </c>
      <c r="F1545" s="3" t="s">
        <v>170</v>
      </c>
      <c r="G1545" s="3" t="s">
        <v>20</v>
      </c>
      <c r="H1545" s="2" t="s">
        <v>21</v>
      </c>
      <c r="I1545" s="2" t="s">
        <v>3320</v>
      </c>
      <c r="J1545" s="3" t="str">
        <f>HYPERLINK("https://www.boe.es/gazeta/dias/1823/02/11/pdfs/GMD-1823-45.pdf#page=4","Abrir facsímil")</f>
        <v>Abrir facsímil</v>
      </c>
      <c r="K1545" s="3" t="s">
        <v>23</v>
      </c>
    </row>
    <row r="1546" spans="1:11" ht="42" customHeight="1">
      <c r="A1546" s="2" t="s">
        <v>3317</v>
      </c>
      <c r="B1546" s="2" t="s">
        <v>3317</v>
      </c>
      <c r="C1546" s="2" t="s">
        <v>56</v>
      </c>
      <c r="D1546" s="2" t="s">
        <v>57</v>
      </c>
      <c r="E1546" s="5">
        <v>-28077</v>
      </c>
      <c r="F1546" s="3" t="s">
        <v>536</v>
      </c>
      <c r="G1546" s="3" t="s">
        <v>39</v>
      </c>
      <c r="H1546" s="2" t="s">
        <v>21</v>
      </c>
      <c r="I1546" s="2" t="s">
        <v>3321</v>
      </c>
      <c r="J1546" s="3" t="str">
        <f>HYPERLINK("https://www.boe.es/gazeta/dias/1823/02/15/pdfs/GMD-1823-49.pdf#page=1","Abrir facsímil")</f>
        <v>Abrir facsímil</v>
      </c>
      <c r="K1546" s="3" t="s">
        <v>23</v>
      </c>
    </row>
    <row r="1547" spans="1:11" ht="42" customHeight="1">
      <c r="A1547" s="2" t="s">
        <v>3317</v>
      </c>
      <c r="B1547" s="2" t="s">
        <v>3317</v>
      </c>
      <c r="C1547" s="2" t="s">
        <v>56</v>
      </c>
      <c r="D1547" s="2" t="s">
        <v>57</v>
      </c>
      <c r="E1547" s="5">
        <v>-28061</v>
      </c>
      <c r="F1547" s="3" t="s">
        <v>704</v>
      </c>
      <c r="G1547" s="3" t="s">
        <v>27</v>
      </c>
      <c r="H1547" s="2" t="s">
        <v>21</v>
      </c>
      <c r="I1547" s="2" t="s">
        <v>3322</v>
      </c>
      <c r="J1547" s="3" t="str">
        <f>HYPERLINK("https://www.boe.es/gazeta/dias/1823/03/03/pdfs/GMD-1823-66.pdf#page=2","Abrir facsímil")</f>
        <v>Abrir facsímil</v>
      </c>
      <c r="K1547" s="3" t="s">
        <v>23</v>
      </c>
    </row>
    <row r="1548" spans="1:11" ht="42" customHeight="1">
      <c r="A1548" s="2" t="s">
        <v>3317</v>
      </c>
      <c r="B1548" s="2" t="s">
        <v>3317</v>
      </c>
      <c r="C1548" s="2" t="s">
        <v>79</v>
      </c>
      <c r="D1548" s="2" t="s">
        <v>74</v>
      </c>
      <c r="E1548" s="5">
        <v>-28056</v>
      </c>
      <c r="F1548" s="3" t="s">
        <v>572</v>
      </c>
      <c r="G1548" s="3" t="s">
        <v>34</v>
      </c>
      <c r="H1548" s="2" t="s">
        <v>21</v>
      </c>
      <c r="I1548" s="2" t="s">
        <v>3323</v>
      </c>
      <c r="J1548" s="3" t="str">
        <f>HYPERLINK("https://www.boe.es/gazeta/dias/1823/03/08/pdfs/GMD-1823-71.pdf#page=5","Abrir facsímil")</f>
        <v>Abrir facsímil</v>
      </c>
      <c r="K1548" s="3" t="s">
        <v>23</v>
      </c>
    </row>
    <row r="1549" spans="1:11" ht="42" customHeight="1">
      <c r="A1549" s="2" t="s">
        <v>3317</v>
      </c>
      <c r="B1549" s="2" t="s">
        <v>3317</v>
      </c>
      <c r="C1549" s="2" t="s">
        <v>79</v>
      </c>
      <c r="D1549" s="2" t="s">
        <v>74</v>
      </c>
      <c r="E1549" s="5">
        <v>-28045</v>
      </c>
      <c r="F1549" s="3" t="s">
        <v>245</v>
      </c>
      <c r="G1549" s="3" t="s">
        <v>27</v>
      </c>
      <c r="H1549" s="2" t="s">
        <v>21</v>
      </c>
      <c r="I1549" s="2" t="s">
        <v>3324</v>
      </c>
      <c r="J1549" s="3" t="str">
        <f>HYPERLINK("https://www.boe.es/gazeta/dias/1823/03/19/pdfs/GMD-1823-82.pdf#page=2","Abrir facsímil")</f>
        <v>Abrir facsímil</v>
      </c>
      <c r="K1549" s="3" t="s">
        <v>23</v>
      </c>
    </row>
    <row r="1550" spans="1:11" ht="42" customHeight="1">
      <c r="A1550" s="2" t="s">
        <v>3317</v>
      </c>
      <c r="B1550" s="2" t="s">
        <v>3317</v>
      </c>
      <c r="C1550" s="2" t="s">
        <v>325</v>
      </c>
      <c r="D1550" s="2" t="s">
        <v>74</v>
      </c>
      <c r="E1550" s="5">
        <v>-28024</v>
      </c>
      <c r="F1550" s="3" t="s">
        <v>1659</v>
      </c>
      <c r="G1550" s="3" t="s">
        <v>48</v>
      </c>
      <c r="H1550" s="2" t="s">
        <v>21</v>
      </c>
      <c r="I1550" s="2" t="s">
        <v>3325</v>
      </c>
      <c r="J1550" s="3" t="str">
        <f>HYPERLINK("https://www.boe.es/gazeta/dias/1823/04/09/pdfs/GMD-1823-104.pdf#page=3","Abrir facsímil")</f>
        <v>Abrir facsímil</v>
      </c>
      <c r="K1550" s="3" t="s">
        <v>23</v>
      </c>
    </row>
    <row r="1551" spans="1:11" ht="42" customHeight="1">
      <c r="A1551" s="2" t="s">
        <v>3317</v>
      </c>
      <c r="B1551" s="2" t="s">
        <v>3317</v>
      </c>
      <c r="C1551" s="2" t="s">
        <v>17</v>
      </c>
      <c r="D1551" s="2" t="s">
        <v>18</v>
      </c>
      <c r="E1551" s="5">
        <v>-28011</v>
      </c>
      <c r="F1551" s="3" t="s">
        <v>3326</v>
      </c>
      <c r="G1551" s="3" t="s">
        <v>20</v>
      </c>
      <c r="H1551" s="2" t="s">
        <v>21</v>
      </c>
      <c r="I1551" s="2" t="s">
        <v>3327</v>
      </c>
      <c r="J1551" s="3" t="str">
        <f>HYPERLINK("https://www.boe.es/gazeta/dias/1823/04/22/pdfs/GES-1823-12.pdf#page=4","Abrir facsímil")</f>
        <v>Abrir facsímil</v>
      </c>
      <c r="K1551" s="3" t="s">
        <v>23</v>
      </c>
    </row>
    <row r="1552" spans="1:11" ht="42" customHeight="1">
      <c r="A1552" s="2" t="s">
        <v>3317</v>
      </c>
      <c r="B1552" s="2" t="s">
        <v>3317</v>
      </c>
      <c r="C1552" s="2" t="s">
        <v>17</v>
      </c>
      <c r="D1552" s="2" t="s">
        <v>18</v>
      </c>
      <c r="E1552" s="5">
        <v>-28003</v>
      </c>
      <c r="F1552" s="3" t="s">
        <v>26</v>
      </c>
      <c r="G1552" s="3" t="s">
        <v>20</v>
      </c>
      <c r="H1552" s="2" t="s">
        <v>21</v>
      </c>
      <c r="I1552" s="2" t="s">
        <v>3328</v>
      </c>
      <c r="J1552" s="3" t="str">
        <f>HYPERLINK("https://www.boe.es/gazeta/dias/1823/04/30/pdfs/GES-1823-20.pdf#page=4","Abrir facsímil")</f>
        <v>Abrir facsímil</v>
      </c>
      <c r="K1552" s="3" t="s">
        <v>23</v>
      </c>
    </row>
    <row r="1553" spans="1:11" ht="42" customHeight="1">
      <c r="A1553" s="2" t="s">
        <v>3317</v>
      </c>
      <c r="B1553" s="2" t="s">
        <v>3317</v>
      </c>
      <c r="C1553" s="2" t="s">
        <v>17</v>
      </c>
      <c r="D1553" s="2" t="s">
        <v>18</v>
      </c>
      <c r="E1553" s="5">
        <v>-27870</v>
      </c>
      <c r="F1553" s="3" t="s">
        <v>376</v>
      </c>
      <c r="G1553" s="3" t="s">
        <v>48</v>
      </c>
      <c r="H1553" s="2" t="s">
        <v>21</v>
      </c>
      <c r="I1553" s="2" t="s">
        <v>3329</v>
      </c>
      <c r="J1553" s="3" t="str">
        <f>HYPERLINK("https://www.boe.es/gazeta/dias/1823/09/10/pdfs/GES-1823-154.pdf#page=3","Abrir facsímil")</f>
        <v>Abrir facsímil</v>
      </c>
      <c r="K1553" s="3" t="s">
        <v>23</v>
      </c>
    </row>
    <row r="1554" spans="1:11" ht="42" customHeight="1">
      <c r="A1554" s="2" t="s">
        <v>3317</v>
      </c>
      <c r="B1554" s="2" t="s">
        <v>3317</v>
      </c>
      <c r="C1554" s="2" t="s">
        <v>109</v>
      </c>
      <c r="D1554" s="2" t="s">
        <v>74</v>
      </c>
      <c r="E1554" s="5">
        <v>-27868</v>
      </c>
      <c r="F1554" s="3" t="s">
        <v>2166</v>
      </c>
      <c r="G1554" s="3" t="s">
        <v>39</v>
      </c>
      <c r="H1554" s="2" t="s">
        <v>21</v>
      </c>
      <c r="I1554" s="2" t="s">
        <v>3330</v>
      </c>
      <c r="J1554" s="3" t="str">
        <f>HYPERLINK("https://www.boe.es/gazeta/dias/1823/09/12/pdfs/GES-1823-156.pdf#page=1","Abrir facsímil")</f>
        <v>Abrir facsímil</v>
      </c>
      <c r="K1554" s="3" t="s">
        <v>23</v>
      </c>
    </row>
    <row r="1555" spans="1:11" ht="42" customHeight="1">
      <c r="A1555" s="2" t="s">
        <v>3331</v>
      </c>
      <c r="B1555" s="2" t="s">
        <v>3332</v>
      </c>
      <c r="C1555" s="2" t="s">
        <v>17</v>
      </c>
      <c r="D1555" s="2" t="s">
        <v>18</v>
      </c>
      <c r="E1555" s="5">
        <v>-28006</v>
      </c>
      <c r="F1555" s="3" t="s">
        <v>183</v>
      </c>
      <c r="G1555" s="3" t="s">
        <v>59</v>
      </c>
      <c r="H1555" s="2" t="s">
        <v>21</v>
      </c>
      <c r="I1555" s="2" t="s">
        <v>3333</v>
      </c>
      <c r="J1555" s="3" t="str">
        <f>HYPERLINK("https://www.boe.es/gazeta/dias/1823/04/27/pdfs/GES-1823-17.pdf#page=6","Abrir facsímil")</f>
        <v>Abrir facsímil</v>
      </c>
      <c r="K1555" s="3" t="s">
        <v>23</v>
      </c>
    </row>
    <row r="1556" spans="1:11" ht="42" customHeight="1">
      <c r="A1556" s="2" t="s">
        <v>3334</v>
      </c>
      <c r="B1556" s="2" t="s">
        <v>3335</v>
      </c>
      <c r="C1556" s="2" t="s">
        <v>17</v>
      </c>
      <c r="D1556" s="2" t="s">
        <v>18</v>
      </c>
      <c r="E1556" s="5">
        <v>-28102</v>
      </c>
      <c r="F1556" s="3" t="s">
        <v>287</v>
      </c>
      <c r="G1556" s="3" t="s">
        <v>20</v>
      </c>
      <c r="H1556" s="2" t="s">
        <v>21</v>
      </c>
      <c r="I1556" s="2" t="s">
        <v>3336</v>
      </c>
      <c r="J1556" s="3" t="str">
        <f>HYPERLINK("https://www.boe.es/gazeta/dias/1823/01/21/pdfs/GMD-1823-22.pdf#page=4","Abrir facsímil")</f>
        <v>Abrir facsímil</v>
      </c>
      <c r="K1556" s="3" t="s">
        <v>23</v>
      </c>
    </row>
    <row r="1557" spans="1:11" ht="42" customHeight="1">
      <c r="A1557" s="2" t="s">
        <v>3337</v>
      </c>
      <c r="B1557" s="2" t="s">
        <v>3338</v>
      </c>
      <c r="C1557" s="2" t="s">
        <v>79</v>
      </c>
      <c r="D1557" s="2" t="s">
        <v>74</v>
      </c>
      <c r="E1557" s="5">
        <v>-27932</v>
      </c>
      <c r="F1557" s="3" t="s">
        <v>707</v>
      </c>
      <c r="G1557" s="3" t="s">
        <v>20</v>
      </c>
      <c r="H1557" s="2" t="s">
        <v>21</v>
      </c>
      <c r="I1557" s="2" t="s">
        <v>3339</v>
      </c>
      <c r="J1557" s="3" t="str">
        <f>HYPERLINK("https://www.boe.es/gazeta/dias/1823/07/10/pdfs/GES-1823-90.pdf#page=4","Abrir facsímil")</f>
        <v>Abrir facsímil</v>
      </c>
      <c r="K1557" s="3" t="s">
        <v>23</v>
      </c>
    </row>
    <row r="1558" spans="1:11" ht="42" customHeight="1">
      <c r="A1558" s="2" t="s">
        <v>3340</v>
      </c>
      <c r="B1558" s="2" t="s">
        <v>3340</v>
      </c>
      <c r="C1558" s="2" t="s">
        <v>56</v>
      </c>
      <c r="D1558" s="2" t="s">
        <v>57</v>
      </c>
      <c r="E1558" s="5">
        <v>-28039</v>
      </c>
      <c r="F1558" s="3" t="s">
        <v>126</v>
      </c>
      <c r="G1558" s="3" t="s">
        <v>20</v>
      </c>
      <c r="H1558" s="2" t="s">
        <v>21</v>
      </c>
      <c r="I1558" s="2" t="s">
        <v>3341</v>
      </c>
      <c r="J1558" s="3" t="str">
        <f>HYPERLINK("https://www.boe.es/gazeta/dias/1823/03/25/pdfs/GMD-1823-88.pdf#page=4","Abrir facsímil")</f>
        <v>Abrir facsímil</v>
      </c>
      <c r="K1558" s="3" t="s">
        <v>23</v>
      </c>
    </row>
    <row r="1559" spans="1:11" ht="42" customHeight="1">
      <c r="A1559" s="2" t="s">
        <v>3342</v>
      </c>
      <c r="B1559" s="2" t="s">
        <v>3343</v>
      </c>
      <c r="C1559" s="2" t="s">
        <v>73</v>
      </c>
      <c r="D1559" s="2" t="s">
        <v>74</v>
      </c>
      <c r="E1559" s="5">
        <v>-27941</v>
      </c>
      <c r="F1559" s="3" t="s">
        <v>1551</v>
      </c>
      <c r="G1559" s="3" t="s">
        <v>27</v>
      </c>
      <c r="H1559" s="2" t="s">
        <v>28</v>
      </c>
      <c r="I1559" s="2" t="s">
        <v>3344</v>
      </c>
      <c r="J1559" s="3" t="str">
        <f>HYPERLINK("https://www.boe.es/gazeta/dias/1823/07/01/pdfs/GMD-1823-323.pdf#page=2","Abrir facsímil")</f>
        <v>Abrir facsímil</v>
      </c>
      <c r="K1559" s="3" t="s">
        <v>30</v>
      </c>
    </row>
    <row r="1560" spans="1:11" ht="42" customHeight="1">
      <c r="A1560" s="2" t="s">
        <v>3345</v>
      </c>
      <c r="B1560" s="2" t="s">
        <v>3345</v>
      </c>
      <c r="C1560" s="2" t="s">
        <v>56</v>
      </c>
      <c r="D1560" s="2" t="s">
        <v>57</v>
      </c>
      <c r="E1560" s="5">
        <v>-28063</v>
      </c>
      <c r="F1560" s="3" t="s">
        <v>2493</v>
      </c>
      <c r="G1560" s="3" t="s">
        <v>48</v>
      </c>
      <c r="H1560" s="2" t="s">
        <v>21</v>
      </c>
      <c r="I1560" s="2" t="s">
        <v>3346</v>
      </c>
      <c r="J1560" s="3" t="str">
        <f>HYPERLINK("https://www.boe.es/gazeta/dias/1823/03/01/pdfs/GMD-1823-63.pdf#page=3","Abrir facsímil")</f>
        <v>Abrir facsímil</v>
      </c>
      <c r="K1560" s="3" t="s">
        <v>23</v>
      </c>
    </row>
    <row r="1561" spans="1:11" ht="42" customHeight="1">
      <c r="A1561" s="2" t="s">
        <v>3345</v>
      </c>
      <c r="B1561" s="2" t="s">
        <v>3345</v>
      </c>
      <c r="C1561" s="2" t="s">
        <v>17</v>
      </c>
      <c r="D1561" s="2" t="s">
        <v>18</v>
      </c>
      <c r="E1561" s="5">
        <v>-27993</v>
      </c>
      <c r="F1561" s="3" t="s">
        <v>1062</v>
      </c>
      <c r="G1561" s="3" t="s">
        <v>59</v>
      </c>
      <c r="H1561" s="2" t="s">
        <v>21</v>
      </c>
      <c r="I1561" s="2" t="s">
        <v>3347</v>
      </c>
      <c r="J1561" s="3" t="str">
        <f>HYPERLINK("https://www.boe.es/gazeta/dias/1823/05/10/pdfs/GMD-1823-122.pdf#page=6","Abrir facsímil")</f>
        <v>Abrir facsímil</v>
      </c>
      <c r="K1561" s="3" t="s">
        <v>23</v>
      </c>
    </row>
    <row r="1562" spans="1:11" ht="42" customHeight="1">
      <c r="A1562" s="2" t="s">
        <v>3348</v>
      </c>
      <c r="B1562" s="2" t="s">
        <v>3348</v>
      </c>
      <c r="C1562" s="2" t="s">
        <v>79</v>
      </c>
      <c r="D1562" s="2" t="s">
        <v>74</v>
      </c>
      <c r="E1562" s="5">
        <v>-27927</v>
      </c>
      <c r="F1562" s="3" t="s">
        <v>1426</v>
      </c>
      <c r="G1562" s="3" t="s">
        <v>20</v>
      </c>
      <c r="H1562" s="2" t="s">
        <v>21</v>
      </c>
      <c r="I1562" s="2" t="s">
        <v>3349</v>
      </c>
      <c r="J1562" s="3" t="str">
        <f>HYPERLINK("https://www.boe.es/gazeta/dias/1823/07/15/pdfs/GES-1823-95.pdf#page=4","Abrir facsímil")</f>
        <v>Abrir facsímil</v>
      </c>
      <c r="K1562" s="3" t="s">
        <v>23</v>
      </c>
    </row>
    <row r="1563" spans="1:11" ht="42" customHeight="1">
      <c r="A1563" s="2" t="s">
        <v>3350</v>
      </c>
      <c r="B1563" s="2" t="s">
        <v>3351</v>
      </c>
      <c r="C1563" s="2" t="s">
        <v>79</v>
      </c>
      <c r="D1563" s="2" t="s">
        <v>74</v>
      </c>
      <c r="E1563" s="5">
        <v>-28001</v>
      </c>
      <c r="F1563" s="3" t="s">
        <v>768</v>
      </c>
      <c r="G1563" s="3" t="s">
        <v>34</v>
      </c>
      <c r="H1563" s="2" t="s">
        <v>21</v>
      </c>
      <c r="I1563" s="2" t="s">
        <v>3352</v>
      </c>
      <c r="J1563" s="3" t="str">
        <f>HYPERLINK("https://www.boe.es/gazeta/dias/1823/05/02/pdfs/GES-1823-22.pdf#page=5","Abrir facsímil")</f>
        <v>Abrir facsímil</v>
      </c>
      <c r="K1563" s="3" t="s">
        <v>23</v>
      </c>
    </row>
    <row r="1564" spans="1:11" ht="42" customHeight="1">
      <c r="A1564" s="2" t="s">
        <v>3353</v>
      </c>
      <c r="B1564" s="2" t="s">
        <v>3354</v>
      </c>
      <c r="C1564" s="2" t="s">
        <v>17</v>
      </c>
      <c r="D1564" s="2" t="s">
        <v>18</v>
      </c>
      <c r="E1564" s="5">
        <v>-28048</v>
      </c>
      <c r="F1564" s="3" t="s">
        <v>399</v>
      </c>
      <c r="G1564" s="3" t="s">
        <v>59</v>
      </c>
      <c r="H1564" s="2" t="s">
        <v>21</v>
      </c>
      <c r="I1564" s="2" t="s">
        <v>3355</v>
      </c>
      <c r="J1564" s="3" t="str">
        <f>HYPERLINK("https://www.boe.es/gazeta/dias/1823/03/16/pdfs/GMD-1823-79.pdf#page=6","Abrir facsímil")</f>
        <v>Abrir facsímil</v>
      </c>
      <c r="K1564" s="3" t="s">
        <v>23</v>
      </c>
    </row>
    <row r="1565" spans="1:11" ht="42" customHeight="1">
      <c r="A1565" s="2" t="s">
        <v>3353</v>
      </c>
      <c r="B1565" s="2" t="s">
        <v>3354</v>
      </c>
      <c r="C1565" s="2" t="s">
        <v>17</v>
      </c>
      <c r="D1565" s="2" t="s">
        <v>18</v>
      </c>
      <c r="E1565" s="5">
        <v>-27986</v>
      </c>
      <c r="F1565" s="3" t="s">
        <v>607</v>
      </c>
      <c r="G1565" s="3" t="s">
        <v>20</v>
      </c>
      <c r="H1565" s="2" t="s">
        <v>21</v>
      </c>
      <c r="I1565" s="2" t="s">
        <v>3356</v>
      </c>
      <c r="J1565" s="3" t="str">
        <f>HYPERLINK("https://www.boe.es/gazeta/dias/1823/05/17/pdfs/GMD-1823-152.pdf#page=4","Abrir facsímil")</f>
        <v>Abrir facsímil</v>
      </c>
      <c r="K1565" s="3" t="s">
        <v>23</v>
      </c>
    </row>
    <row r="1566" spans="1:11" ht="42" customHeight="1">
      <c r="A1566" s="2" t="s">
        <v>3357</v>
      </c>
      <c r="B1566" s="2" t="s">
        <v>3358</v>
      </c>
      <c r="C1566" s="2" t="s">
        <v>56</v>
      </c>
      <c r="D1566" s="2" t="s">
        <v>57</v>
      </c>
      <c r="E1566" s="5">
        <v>-27827</v>
      </c>
      <c r="F1566" s="3" t="s">
        <v>531</v>
      </c>
      <c r="G1566" s="3" t="s">
        <v>48</v>
      </c>
      <c r="H1566" s="2" t="s">
        <v>21</v>
      </c>
      <c r="I1566" s="2" t="s">
        <v>3359</v>
      </c>
      <c r="J1566" s="3" t="str">
        <f>HYPERLINK("https://www.boe.es/gazeta/dias/1823/10/23/pdfs/GMD-1823-1013.pdf#page=3","Abrir facsímil")</f>
        <v>Abrir facsímil</v>
      </c>
      <c r="K1566" s="3" t="s">
        <v>23</v>
      </c>
    </row>
    <row r="1567" spans="1:11" ht="42" customHeight="1">
      <c r="A1567" s="2" t="s">
        <v>3360</v>
      </c>
      <c r="B1567" s="2" t="s">
        <v>3360</v>
      </c>
      <c r="C1567" s="2" t="s">
        <v>109</v>
      </c>
      <c r="D1567" s="2" t="s">
        <v>74</v>
      </c>
      <c r="E1567" s="5">
        <v>-27911</v>
      </c>
      <c r="F1567" s="3" t="s">
        <v>368</v>
      </c>
      <c r="G1567" s="3" t="s">
        <v>48</v>
      </c>
      <c r="H1567" s="2" t="s">
        <v>21</v>
      </c>
      <c r="I1567" s="2" t="s">
        <v>3361</v>
      </c>
      <c r="J1567" s="3" t="str">
        <f>HYPERLINK("https://www.boe.es/gazeta/dias/1823/07/31/pdfs/GES-1823-112.pdf#page=3","Abrir facsímil")</f>
        <v>Abrir facsímil</v>
      </c>
      <c r="K1567" s="3" t="s">
        <v>23</v>
      </c>
    </row>
    <row r="1568" spans="1:11" ht="42" customHeight="1">
      <c r="A1568" s="2" t="s">
        <v>3362</v>
      </c>
      <c r="B1568" s="2" t="s">
        <v>3363</v>
      </c>
      <c r="C1568" s="2" t="s">
        <v>84</v>
      </c>
      <c r="D1568" s="2" t="s">
        <v>74</v>
      </c>
      <c r="E1568" s="5">
        <v>-27888</v>
      </c>
      <c r="F1568" s="3" t="s">
        <v>232</v>
      </c>
      <c r="G1568" s="3" t="s">
        <v>48</v>
      </c>
      <c r="H1568" s="2" t="s">
        <v>21</v>
      </c>
      <c r="I1568" s="2" t="s">
        <v>3364</v>
      </c>
      <c r="J1568" s="3" t="str">
        <f>HYPERLINK("https://www.boe.es/gazeta/dias/1823/08/23/pdfs/GMD-1823-633.pdf#page=3","Abrir facsímil")</f>
        <v>Abrir facsímil</v>
      </c>
      <c r="K1568" s="3" t="s">
        <v>23</v>
      </c>
    </row>
    <row r="1569" spans="1:11" ht="42" customHeight="1">
      <c r="A1569" s="2" t="s">
        <v>3365</v>
      </c>
      <c r="B1569" s="2" t="s">
        <v>3366</v>
      </c>
      <c r="C1569" s="2" t="s">
        <v>56</v>
      </c>
      <c r="D1569" s="2" t="s">
        <v>57</v>
      </c>
      <c r="E1569" s="5">
        <v>-27972</v>
      </c>
      <c r="F1569" s="3" t="s">
        <v>429</v>
      </c>
      <c r="G1569" s="3" t="s">
        <v>39</v>
      </c>
      <c r="H1569" s="2" t="s">
        <v>21</v>
      </c>
      <c r="I1569" s="2" t="s">
        <v>3367</v>
      </c>
      <c r="J1569" s="3" t="str">
        <f>HYPERLINK("https://www.boe.es/gazeta/dias/1823/05/31/pdfs/GES-1823-54.pdf#page=1","Abrir facsímil")</f>
        <v>Abrir facsímil</v>
      </c>
      <c r="K1569" s="3" t="s">
        <v>23</v>
      </c>
    </row>
    <row r="1570" spans="1:11" ht="42" customHeight="1">
      <c r="A1570" s="2" t="s">
        <v>3368</v>
      </c>
      <c r="B1570" s="2" t="s">
        <v>3369</v>
      </c>
      <c r="C1570" s="2" t="s">
        <v>17</v>
      </c>
      <c r="D1570" s="2" t="s">
        <v>18</v>
      </c>
      <c r="E1570" s="5">
        <v>-27764</v>
      </c>
      <c r="F1570" s="3" t="s">
        <v>3370</v>
      </c>
      <c r="G1570" s="3" t="s">
        <v>39</v>
      </c>
      <c r="H1570" s="2" t="s">
        <v>21</v>
      </c>
      <c r="I1570" s="2" t="s">
        <v>3371</v>
      </c>
      <c r="J1570" s="3" t="str">
        <f>HYPERLINK("https://www.boe.es/gazeta/dias/1823/12/25/pdfs/GMD-1823-1293.pdf#page=1","Abrir facsímil")</f>
        <v>Abrir facsímil</v>
      </c>
      <c r="K1570" s="3" t="s">
        <v>23</v>
      </c>
    </row>
    <row r="1571" spans="1:11" ht="42" customHeight="1">
      <c r="A1571" s="2" t="s">
        <v>3372</v>
      </c>
      <c r="B1571" s="2" t="s">
        <v>3372</v>
      </c>
      <c r="C1571" s="2" t="s">
        <v>17</v>
      </c>
      <c r="D1571" s="2" t="s">
        <v>18</v>
      </c>
      <c r="E1571" s="5">
        <v>-27937</v>
      </c>
      <c r="F1571" s="3" t="s">
        <v>897</v>
      </c>
      <c r="G1571" s="3" t="s">
        <v>48</v>
      </c>
      <c r="H1571" s="2" t="s">
        <v>21</v>
      </c>
      <c r="I1571" s="2" t="s">
        <v>3373</v>
      </c>
      <c r="J1571" s="3" t="str">
        <f>HYPERLINK("https://www.boe.es/gazeta/dias/1823/07/05/pdfs/GMD-1823-343.pdf#page=3","Abrir facsímil")</f>
        <v>Abrir facsímil</v>
      </c>
      <c r="K1571" s="3" t="s">
        <v>23</v>
      </c>
    </row>
    <row r="1572" spans="1:11" ht="42" customHeight="1">
      <c r="A1572" s="2" t="s">
        <v>3374</v>
      </c>
      <c r="B1572" s="2" t="s">
        <v>3374</v>
      </c>
      <c r="C1572" s="2" t="s">
        <v>17</v>
      </c>
      <c r="D1572" s="2" t="s">
        <v>18</v>
      </c>
      <c r="E1572" s="5">
        <v>-27918</v>
      </c>
      <c r="F1572" s="3" t="s">
        <v>218</v>
      </c>
      <c r="G1572" s="3" t="s">
        <v>48</v>
      </c>
      <c r="H1572" s="2" t="s">
        <v>21</v>
      </c>
      <c r="I1572" s="2" t="s">
        <v>3375</v>
      </c>
      <c r="J1572" s="3" t="str">
        <f>HYPERLINK("https://www.boe.es/gazeta/dias/1823/07/24/pdfs/GMD-1823-463.pdf#page=3","Abrir facsímil")</f>
        <v>Abrir facsímil</v>
      </c>
      <c r="K1572" s="3" t="s">
        <v>23</v>
      </c>
    </row>
    <row r="1573" spans="1:11" ht="42" customHeight="1">
      <c r="A1573" s="2" t="s">
        <v>3376</v>
      </c>
      <c r="B1573" s="2" t="s">
        <v>3376</v>
      </c>
      <c r="C1573" s="2" t="s">
        <v>56</v>
      </c>
      <c r="D1573" s="2" t="s">
        <v>57</v>
      </c>
      <c r="E1573" s="5">
        <v>-27864</v>
      </c>
      <c r="F1573" s="3" t="s">
        <v>1301</v>
      </c>
      <c r="G1573" s="3" t="s">
        <v>48</v>
      </c>
      <c r="H1573" s="2" t="s">
        <v>21</v>
      </c>
      <c r="I1573" s="2" t="s">
        <v>3377</v>
      </c>
      <c r="J1573" s="3" t="str">
        <f>HYPERLINK("https://www.boe.es/gazeta/dias/1823/09/16/pdfs/GES-1823-160.pdf#page=3","Abrir facsímil")</f>
        <v>Abrir facsímil</v>
      </c>
      <c r="K1573" s="3" t="s">
        <v>23</v>
      </c>
    </row>
    <row r="1574" spans="1:11" ht="42" customHeight="1">
      <c r="A1574" s="2" t="s">
        <v>3378</v>
      </c>
      <c r="B1574" s="2" t="s">
        <v>3378</v>
      </c>
      <c r="C1574" s="2" t="s">
        <v>17</v>
      </c>
      <c r="D1574" s="2" t="s">
        <v>18</v>
      </c>
      <c r="E1574" s="5">
        <v>-28043</v>
      </c>
      <c r="F1574" s="3" t="s">
        <v>69</v>
      </c>
      <c r="G1574" s="3" t="s">
        <v>39</v>
      </c>
      <c r="H1574" s="2" t="s">
        <v>21</v>
      </c>
      <c r="I1574" s="2" t="s">
        <v>3379</v>
      </c>
      <c r="J1574" s="3" t="str">
        <f>HYPERLINK("https://www.boe.es/gazeta/dias/1823/03/21/pdfs/GMD-1823-84.pdf#page=1","Abrir facsímil")</f>
        <v>Abrir facsímil</v>
      </c>
      <c r="K1574" s="3" t="s">
        <v>23</v>
      </c>
    </row>
    <row r="1575" spans="1:11" ht="42" customHeight="1">
      <c r="A1575" s="2" t="s">
        <v>3380</v>
      </c>
      <c r="B1575" s="2" t="s">
        <v>3381</v>
      </c>
      <c r="C1575" s="2" t="s">
        <v>79</v>
      </c>
      <c r="D1575" s="2" t="s">
        <v>74</v>
      </c>
      <c r="E1575" s="5">
        <v>-28055</v>
      </c>
      <c r="F1575" s="3" t="s">
        <v>313</v>
      </c>
      <c r="G1575" s="3" t="s">
        <v>20</v>
      </c>
      <c r="H1575" s="2" t="s">
        <v>21</v>
      </c>
      <c r="I1575" s="2" t="s">
        <v>3382</v>
      </c>
      <c r="J1575" s="3" t="str">
        <f>HYPERLINK("https://www.boe.es/gazeta/dias/1823/03/09/pdfs/GMD-1823-72.pdf#page=4","Abrir facsímil")</f>
        <v>Abrir facsímil</v>
      </c>
      <c r="K1575" s="3" t="s">
        <v>23</v>
      </c>
    </row>
    <row r="1576" spans="1:11" ht="42" customHeight="1">
      <c r="A1576" s="2" t="s">
        <v>3383</v>
      </c>
      <c r="B1576" s="2" t="s">
        <v>3384</v>
      </c>
      <c r="C1576" s="2" t="s">
        <v>56</v>
      </c>
      <c r="D1576" s="2" t="s">
        <v>57</v>
      </c>
      <c r="E1576" s="5">
        <v>-27925</v>
      </c>
      <c r="F1576" s="3" t="s">
        <v>89</v>
      </c>
      <c r="G1576" s="3" t="s">
        <v>39</v>
      </c>
      <c r="H1576" s="2" t="s">
        <v>21</v>
      </c>
      <c r="I1576" s="2" t="s">
        <v>3385</v>
      </c>
      <c r="J1576" s="3" t="str">
        <f>HYPERLINK("https://www.boe.es/gazeta/dias/1823/07/17/pdfs/GES-1823-97.pdf#page=1","Abrir facsímil")</f>
        <v>Abrir facsímil</v>
      </c>
      <c r="K1576" s="3" t="s">
        <v>23</v>
      </c>
    </row>
    <row r="1577" spans="1:11" ht="42" customHeight="1">
      <c r="A1577" s="2" t="s">
        <v>3386</v>
      </c>
      <c r="B1577" s="2" t="s">
        <v>3387</v>
      </c>
      <c r="C1577" s="2" t="s">
        <v>17</v>
      </c>
      <c r="D1577" s="2" t="s">
        <v>18</v>
      </c>
      <c r="E1577" s="5">
        <v>-27799</v>
      </c>
      <c r="F1577" s="3" t="s">
        <v>3388</v>
      </c>
      <c r="G1577" s="3" t="s">
        <v>20</v>
      </c>
      <c r="H1577" s="2" t="s">
        <v>21</v>
      </c>
      <c r="I1577" s="2" t="s">
        <v>3389</v>
      </c>
      <c r="J1577" s="3" t="str">
        <f>HYPERLINK("https://www.boe.es/gazeta/dias/1823/11/20/pdfs/GMD-1823-1143.pdf#page=4","Abrir facsímil")</f>
        <v>Abrir facsímil</v>
      </c>
      <c r="K1577" s="3" t="s">
        <v>23</v>
      </c>
    </row>
    <row r="1578" spans="1:11" ht="42" customHeight="1">
      <c r="A1578" s="2" t="s">
        <v>3390</v>
      </c>
      <c r="B1578" s="2" t="s">
        <v>3390</v>
      </c>
      <c r="C1578" s="2" t="s">
        <v>293</v>
      </c>
      <c r="D1578" s="2" t="s">
        <v>74</v>
      </c>
      <c r="E1578" s="5">
        <v>-27778</v>
      </c>
      <c r="F1578" s="3" t="s">
        <v>1343</v>
      </c>
      <c r="G1578" s="3" t="s">
        <v>20</v>
      </c>
      <c r="H1578" s="2" t="s">
        <v>21</v>
      </c>
      <c r="I1578" s="2" t="s">
        <v>3391</v>
      </c>
      <c r="J1578" s="3" t="str">
        <f>HYPERLINK("https://www.boe.es/gazeta/dias/1823/12/11/pdfs/GMD-1823-1233.pdf#page=4","Abrir facsímil")</f>
        <v>Abrir facsímil</v>
      </c>
      <c r="K1578" s="3" t="s">
        <v>23</v>
      </c>
    </row>
    <row r="1579" spans="1:11" ht="42" customHeight="1">
      <c r="A1579" s="2" t="s">
        <v>3392</v>
      </c>
      <c r="B1579" s="2" t="s">
        <v>3393</v>
      </c>
      <c r="C1579" s="2" t="s">
        <v>17</v>
      </c>
      <c r="D1579" s="2" t="s">
        <v>18</v>
      </c>
      <c r="E1579" s="5">
        <v>-27992</v>
      </c>
      <c r="F1579" s="3" t="s">
        <v>565</v>
      </c>
      <c r="G1579" s="3" t="s">
        <v>20</v>
      </c>
      <c r="H1579" s="2" t="s">
        <v>21</v>
      </c>
      <c r="I1579" s="2" t="s">
        <v>3394</v>
      </c>
      <c r="J1579" s="3" t="str">
        <f>HYPERLINK("https://www.boe.es/gazeta/dias/1823/05/11/pdfs/GES-1823-31.pdf#page=4","Abrir facsímil")</f>
        <v>Abrir facsímil</v>
      </c>
      <c r="K1579" s="3" t="s">
        <v>23</v>
      </c>
    </row>
    <row r="1580" spans="1:11" ht="42" customHeight="1">
      <c r="A1580" s="2" t="s">
        <v>3395</v>
      </c>
      <c r="B1580" s="2" t="s">
        <v>3395</v>
      </c>
      <c r="C1580" s="2" t="s">
        <v>17</v>
      </c>
      <c r="D1580" s="2" t="s">
        <v>18</v>
      </c>
      <c r="E1580" s="5">
        <v>-28085</v>
      </c>
      <c r="F1580" s="3" t="s">
        <v>458</v>
      </c>
      <c r="G1580" s="3" t="s">
        <v>59</v>
      </c>
      <c r="H1580" s="2" t="s">
        <v>21</v>
      </c>
      <c r="I1580" s="2" t="s">
        <v>3396</v>
      </c>
      <c r="J1580" s="3" t="str">
        <f>HYPERLINK("https://www.boe.es/gazeta/dias/1823/02/07/pdfs/GMD-1823-40.pdf#page=6","Abrir facsímil")</f>
        <v>Abrir facsímil</v>
      </c>
      <c r="K1580" s="3" t="s">
        <v>23</v>
      </c>
    </row>
    <row r="1581" spans="1:11" ht="42" customHeight="1">
      <c r="A1581" s="2" t="s">
        <v>3397</v>
      </c>
      <c r="B1581" s="2" t="s">
        <v>3398</v>
      </c>
      <c r="C1581" s="2" t="s">
        <v>17</v>
      </c>
      <c r="D1581" s="2" t="s">
        <v>18</v>
      </c>
      <c r="E1581" s="5">
        <v>-28024</v>
      </c>
      <c r="F1581" s="3" t="s">
        <v>1659</v>
      </c>
      <c r="G1581" s="3" t="s">
        <v>27</v>
      </c>
      <c r="H1581" s="2" t="s">
        <v>21</v>
      </c>
      <c r="I1581" s="2" t="s">
        <v>3399</v>
      </c>
      <c r="J1581" s="3" t="str">
        <f>HYPERLINK("https://www.boe.es/gazeta/dias/1823/04/09/pdfs/GMD-1823-104.pdf#page=2","Abrir facsímil")</f>
        <v>Abrir facsímil</v>
      </c>
      <c r="K1581" s="3" t="s">
        <v>23</v>
      </c>
    </row>
    <row r="1582" spans="1:11" ht="42" customHeight="1">
      <c r="A1582" s="2" t="s">
        <v>3400</v>
      </c>
      <c r="B1582" s="2" t="s">
        <v>3400</v>
      </c>
      <c r="C1582" s="2" t="s">
        <v>109</v>
      </c>
      <c r="D1582" s="2" t="s">
        <v>74</v>
      </c>
      <c r="E1582" s="5">
        <v>-28085</v>
      </c>
      <c r="F1582" s="3" t="s">
        <v>458</v>
      </c>
      <c r="G1582" s="3" t="s">
        <v>39</v>
      </c>
      <c r="H1582" s="2" t="s">
        <v>21</v>
      </c>
      <c r="I1582" s="2" t="s">
        <v>3401</v>
      </c>
      <c r="J1582" s="3" t="str">
        <f>HYPERLINK("https://www.boe.es/gazeta/dias/1823/02/07/pdfs/GMD-1823-40.pdf#page=1","Abrir facsímil")</f>
        <v>Abrir facsímil</v>
      </c>
      <c r="K1582" s="3" t="s">
        <v>23</v>
      </c>
    </row>
    <row r="1583" spans="1:11" ht="42" customHeight="1">
      <c r="A1583" s="2" t="s">
        <v>3400</v>
      </c>
      <c r="B1583" s="2" t="s">
        <v>3400</v>
      </c>
      <c r="C1583" s="2" t="s">
        <v>79</v>
      </c>
      <c r="D1583" s="2" t="s">
        <v>74</v>
      </c>
      <c r="E1583" s="5">
        <v>-28046</v>
      </c>
      <c r="F1583" s="3" t="s">
        <v>85</v>
      </c>
      <c r="G1583" s="3" t="s">
        <v>20</v>
      </c>
      <c r="H1583" s="2" t="s">
        <v>21</v>
      </c>
      <c r="I1583" s="2" t="s">
        <v>3402</v>
      </c>
      <c r="J1583" s="3" t="str">
        <f>HYPERLINK("https://www.boe.es/gazeta/dias/1823/03/18/pdfs/GMD-1823-81.pdf#page=4","Abrir facsímil")</f>
        <v>Abrir facsímil</v>
      </c>
      <c r="K1583" s="3" t="s">
        <v>23</v>
      </c>
    </row>
    <row r="1584" spans="1:11" ht="42" customHeight="1">
      <c r="A1584" s="2" t="s">
        <v>3400</v>
      </c>
      <c r="B1584" s="2" t="s">
        <v>3400</v>
      </c>
      <c r="C1584" s="2" t="s">
        <v>73</v>
      </c>
      <c r="D1584" s="2" t="s">
        <v>74</v>
      </c>
      <c r="E1584" s="5">
        <v>-28042</v>
      </c>
      <c r="F1584" s="3" t="s">
        <v>1218</v>
      </c>
      <c r="G1584" s="3" t="s">
        <v>20</v>
      </c>
      <c r="H1584" s="2" t="s">
        <v>21</v>
      </c>
      <c r="I1584" s="2" t="s">
        <v>3403</v>
      </c>
      <c r="J1584" s="3" t="str">
        <f>HYPERLINK("https://www.boe.es/gazeta/dias/1823/03/22/pdfs/GMD-1823-85.pdf#page=4","Abrir facsímil")</f>
        <v>Abrir facsímil</v>
      </c>
      <c r="K1584" s="3" t="s">
        <v>23</v>
      </c>
    </row>
    <row r="1585" spans="1:11" ht="42" customHeight="1">
      <c r="A1585" s="2" t="s">
        <v>3400</v>
      </c>
      <c r="B1585" s="2" t="s">
        <v>3400</v>
      </c>
      <c r="C1585" s="2" t="s">
        <v>17</v>
      </c>
      <c r="D1585" s="2" t="s">
        <v>18</v>
      </c>
      <c r="E1585" s="5">
        <v>-27993</v>
      </c>
      <c r="F1585" s="3" t="s">
        <v>977</v>
      </c>
      <c r="G1585" s="3" t="s">
        <v>978</v>
      </c>
      <c r="H1585" s="2" t="s">
        <v>21</v>
      </c>
      <c r="I1585" s="2" t="s">
        <v>3404</v>
      </c>
      <c r="J1585" s="3" t="str">
        <f>HYPERLINK("https://www.boe.es/gazeta/dias/1823/05/10/pdfs/GES-1823-30.pdf#page=4","Abrir facsímil")</f>
        <v>Abrir facsímil</v>
      </c>
      <c r="K1585" s="3" t="s">
        <v>23</v>
      </c>
    </row>
    <row r="1586" spans="1:11" ht="42" customHeight="1">
      <c r="A1586" s="2" t="s">
        <v>3400</v>
      </c>
      <c r="B1586" s="2" t="s">
        <v>3400</v>
      </c>
      <c r="C1586" s="2" t="s">
        <v>17</v>
      </c>
      <c r="D1586" s="2" t="s">
        <v>18</v>
      </c>
      <c r="E1586" s="5">
        <v>-27899</v>
      </c>
      <c r="F1586" s="3" t="s">
        <v>2172</v>
      </c>
      <c r="G1586" s="3" t="s">
        <v>20</v>
      </c>
      <c r="H1586" s="2" t="s">
        <v>21</v>
      </c>
      <c r="I1586" s="2" t="s">
        <v>3405</v>
      </c>
      <c r="J1586" s="3" t="str">
        <f>HYPERLINK("https://www.boe.es/gazeta/dias/1823/08/12/pdfs/GES-1823-125.pdf#page=4","Abrir facsímil")</f>
        <v>Abrir facsímil</v>
      </c>
      <c r="K1586" s="3" t="s">
        <v>23</v>
      </c>
    </row>
    <row r="1587" spans="1:11" ht="42" customHeight="1">
      <c r="A1587" s="2" t="s">
        <v>3400</v>
      </c>
      <c r="B1587" s="2" t="s">
        <v>3400</v>
      </c>
      <c r="C1587" s="2" t="s">
        <v>56</v>
      </c>
      <c r="D1587" s="2" t="s">
        <v>57</v>
      </c>
      <c r="E1587" s="5">
        <v>-27878</v>
      </c>
      <c r="F1587" s="3" t="s">
        <v>1581</v>
      </c>
      <c r="G1587" s="3" t="s">
        <v>59</v>
      </c>
      <c r="H1587" s="2" t="s">
        <v>21</v>
      </c>
      <c r="I1587" s="2" t="s">
        <v>3406</v>
      </c>
      <c r="J1587" s="3" t="str">
        <f>HYPERLINK("https://www.boe.es/gazeta/dias/1823/09/02/pdfs/GMD-1823-683.pdf#page=6","Abrir facsímil")</f>
        <v>Abrir facsímil</v>
      </c>
      <c r="K1587" s="3" t="s">
        <v>23</v>
      </c>
    </row>
    <row r="1588" spans="1:11" ht="42" customHeight="1">
      <c r="A1588" s="2" t="s">
        <v>3400</v>
      </c>
      <c r="B1588" s="2" t="s">
        <v>3400</v>
      </c>
      <c r="C1588" s="2" t="s">
        <v>17</v>
      </c>
      <c r="D1588" s="2" t="s">
        <v>18</v>
      </c>
      <c r="E1588" s="5">
        <v>-27874</v>
      </c>
      <c r="F1588" s="3" t="s">
        <v>1410</v>
      </c>
      <c r="G1588" s="3" t="s">
        <v>48</v>
      </c>
      <c r="H1588" s="2" t="s">
        <v>21</v>
      </c>
      <c r="I1588" s="2" t="s">
        <v>3407</v>
      </c>
      <c r="J1588" s="3" t="str">
        <f>HYPERLINK("https://www.boe.es/gazeta/dias/1823/09/06/pdfs/GES-1823-150.pdf#page=3","Abrir facsímil")</f>
        <v>Abrir facsímil</v>
      </c>
      <c r="K1588" s="3" t="s">
        <v>23</v>
      </c>
    </row>
    <row r="1589" spans="1:11" ht="42" customHeight="1">
      <c r="A1589" s="2" t="s">
        <v>3400</v>
      </c>
      <c r="B1589" s="2" t="s">
        <v>3400</v>
      </c>
      <c r="C1589" s="2" t="s">
        <v>17</v>
      </c>
      <c r="D1589" s="2" t="s">
        <v>18</v>
      </c>
      <c r="E1589" s="5">
        <v>-27860</v>
      </c>
      <c r="F1589" s="3" t="s">
        <v>998</v>
      </c>
      <c r="G1589" s="3" t="s">
        <v>39</v>
      </c>
      <c r="H1589" s="2" t="s">
        <v>21</v>
      </c>
      <c r="I1589" s="2" t="s">
        <v>3408</v>
      </c>
      <c r="J1589" s="3" t="str">
        <f>HYPERLINK("https://www.boe.es/gazeta/dias/1823/09/20/pdfs/GMD-1823-813.pdf#page=1","Abrir facsímil")</f>
        <v>Abrir facsímil</v>
      </c>
      <c r="K1589" s="3" t="s">
        <v>23</v>
      </c>
    </row>
    <row r="1590" spans="1:11" ht="42" customHeight="1">
      <c r="A1590" s="2" t="s">
        <v>3400</v>
      </c>
      <c r="B1590" s="2" t="s">
        <v>3400</v>
      </c>
      <c r="C1590" s="2" t="s">
        <v>17</v>
      </c>
      <c r="D1590" s="2" t="s">
        <v>18</v>
      </c>
      <c r="E1590" s="5">
        <v>-27797</v>
      </c>
      <c r="F1590" s="3" t="s">
        <v>3409</v>
      </c>
      <c r="G1590" s="3" t="s">
        <v>39</v>
      </c>
      <c r="H1590" s="2" t="s">
        <v>21</v>
      </c>
      <c r="I1590" s="2" t="s">
        <v>3410</v>
      </c>
      <c r="J1590" s="3" t="str">
        <f>HYPERLINK("https://www.boe.es/gazeta/dias/1823/11/22/pdfs/GMD-1823-1153.pdf#page=1","Abrir facsímil")</f>
        <v>Abrir facsímil</v>
      </c>
      <c r="K1590" s="3" t="s">
        <v>23</v>
      </c>
    </row>
    <row r="1591" spans="1:11" ht="42" customHeight="1">
      <c r="A1591" s="2" t="s">
        <v>3411</v>
      </c>
      <c r="B1591" s="2" t="s">
        <v>3411</v>
      </c>
      <c r="C1591" s="2" t="s">
        <v>17</v>
      </c>
      <c r="D1591" s="2" t="s">
        <v>18</v>
      </c>
      <c r="E1591" s="5">
        <v>-28018</v>
      </c>
      <c r="F1591" s="3" t="s">
        <v>2613</v>
      </c>
      <c r="G1591" s="3" t="s">
        <v>27</v>
      </c>
      <c r="H1591" s="2" t="s">
        <v>21</v>
      </c>
      <c r="I1591" s="2" t="s">
        <v>3412</v>
      </c>
      <c r="J1591" s="3" t="str">
        <f>HYPERLINK("https://www.boe.es/gazeta/dias/1823/04/15/pdfs/GES-1823-5.pdf#page=2","Abrir facsímil")</f>
        <v>Abrir facsímil</v>
      </c>
      <c r="K1591" s="3" t="s">
        <v>23</v>
      </c>
    </row>
    <row r="1592" spans="1:11" ht="42" customHeight="1">
      <c r="A1592" s="2" t="s">
        <v>3411</v>
      </c>
      <c r="B1592" s="2" t="s">
        <v>3411</v>
      </c>
      <c r="C1592" s="2" t="s">
        <v>17</v>
      </c>
      <c r="D1592" s="2" t="s">
        <v>18</v>
      </c>
      <c r="E1592" s="5">
        <v>-27932</v>
      </c>
      <c r="F1592" s="3" t="s">
        <v>786</v>
      </c>
      <c r="G1592" s="3" t="s">
        <v>34</v>
      </c>
      <c r="H1592" s="2" t="s">
        <v>21</v>
      </c>
      <c r="I1592" s="2" t="s">
        <v>3413</v>
      </c>
      <c r="J1592" s="3" t="str">
        <f>HYPERLINK("https://www.boe.es/gazeta/dias/1823/07/10/pdfs/GMD-1823-363.pdf#page=5","Abrir facsímil")</f>
        <v>Abrir facsímil</v>
      </c>
      <c r="K1592" s="3" t="s">
        <v>23</v>
      </c>
    </row>
    <row r="1593" spans="1:11" ht="42" customHeight="1">
      <c r="A1593" s="2" t="s">
        <v>3414</v>
      </c>
      <c r="B1593" s="2" t="s">
        <v>3415</v>
      </c>
      <c r="C1593" s="2" t="s">
        <v>56</v>
      </c>
      <c r="D1593" s="2" t="s">
        <v>57</v>
      </c>
      <c r="E1593" s="5">
        <v>-28016</v>
      </c>
      <c r="F1593" s="3" t="s">
        <v>287</v>
      </c>
      <c r="G1593" s="3" t="s">
        <v>3416</v>
      </c>
      <c r="H1593" s="2" t="s">
        <v>21</v>
      </c>
      <c r="I1593" s="2" t="s">
        <v>3417</v>
      </c>
      <c r="J1593" s="3" t="str">
        <f>HYPERLINK("https://www.boe.es/gazeta/dias/1823/04/17/pdfs/GMD-1823-22.pdf#page=4","Abrir facsímil")</f>
        <v>Abrir facsímil</v>
      </c>
      <c r="K1593" s="3" t="s">
        <v>23</v>
      </c>
    </row>
    <row r="1594" spans="1:11" ht="42" customHeight="1">
      <c r="A1594" s="2" t="s">
        <v>3418</v>
      </c>
      <c r="B1594" s="2" t="s">
        <v>3418</v>
      </c>
      <c r="C1594" s="2" t="s">
        <v>56</v>
      </c>
      <c r="D1594" s="2" t="s">
        <v>57</v>
      </c>
      <c r="E1594" s="5">
        <v>-28084</v>
      </c>
      <c r="F1594" s="3" t="s">
        <v>1049</v>
      </c>
      <c r="G1594" s="3" t="s">
        <v>39</v>
      </c>
      <c r="H1594" s="2" t="s">
        <v>21</v>
      </c>
      <c r="I1594" s="2" t="s">
        <v>3419</v>
      </c>
      <c r="J1594" s="3" t="str">
        <f>HYPERLINK("https://www.boe.es/gazeta/dias/1823/02/08/pdfs/GMD-1823-41.pdf#page=1","Abrir facsímil")</f>
        <v>Abrir facsímil</v>
      </c>
      <c r="K1594" s="3" t="s">
        <v>23</v>
      </c>
    </row>
    <row r="1595" spans="1:11" ht="42" customHeight="1">
      <c r="A1595" s="2" t="s">
        <v>3420</v>
      </c>
      <c r="B1595" s="2" t="s">
        <v>3420</v>
      </c>
      <c r="C1595" s="2" t="s">
        <v>17</v>
      </c>
      <c r="D1595" s="2" t="s">
        <v>18</v>
      </c>
      <c r="E1595" s="5">
        <v>-28063</v>
      </c>
      <c r="F1595" s="3" t="s">
        <v>2493</v>
      </c>
      <c r="G1595" s="3" t="s">
        <v>39</v>
      </c>
      <c r="H1595" s="2" t="s">
        <v>21</v>
      </c>
      <c r="I1595" s="2" t="s">
        <v>3421</v>
      </c>
      <c r="J1595" s="3" t="str">
        <f>HYPERLINK("https://www.boe.es/gazeta/dias/1823/03/01/pdfs/GMD-1823-63.pdf#page=1","Abrir facsímil")</f>
        <v>Abrir facsímil</v>
      </c>
      <c r="K1595" s="3" t="s">
        <v>23</v>
      </c>
    </row>
    <row r="1596" spans="1:11" ht="42" customHeight="1">
      <c r="A1596" s="2" t="s">
        <v>3422</v>
      </c>
      <c r="B1596" s="2" t="s">
        <v>3422</v>
      </c>
      <c r="C1596" s="2" t="s">
        <v>56</v>
      </c>
      <c r="D1596" s="2" t="s">
        <v>57</v>
      </c>
      <c r="E1596" s="5">
        <v>-27822</v>
      </c>
      <c r="F1596" s="3" t="s">
        <v>992</v>
      </c>
      <c r="G1596" s="3" t="s">
        <v>27</v>
      </c>
      <c r="H1596" s="2" t="s">
        <v>21</v>
      </c>
      <c r="I1596" s="2" t="s">
        <v>3423</v>
      </c>
      <c r="J1596" s="3" t="str">
        <f>HYPERLINK("https://www.boe.es/gazeta/dias/1823/10/28/pdfs/GMD-1823-1033.pdf#page=2","Abrir facsímil")</f>
        <v>Abrir facsímil</v>
      </c>
      <c r="K1596" s="3" t="s">
        <v>23</v>
      </c>
    </row>
    <row r="1597" spans="1:11" ht="42" customHeight="1">
      <c r="A1597" s="2" t="s">
        <v>3424</v>
      </c>
      <c r="B1597" s="2" t="s">
        <v>3425</v>
      </c>
      <c r="C1597" s="2" t="s">
        <v>17</v>
      </c>
      <c r="D1597" s="2" t="s">
        <v>18</v>
      </c>
      <c r="E1597" s="5">
        <v>-27972</v>
      </c>
      <c r="F1597" s="3" t="s">
        <v>429</v>
      </c>
      <c r="G1597" s="3" t="s">
        <v>39</v>
      </c>
      <c r="H1597" s="2" t="s">
        <v>21</v>
      </c>
      <c r="I1597" s="2" t="s">
        <v>3426</v>
      </c>
      <c r="J1597" s="3" t="str">
        <f>HYPERLINK("https://www.boe.es/gazeta/dias/1823/05/31/pdfs/GES-1823-54.pdf#page=1","Abrir facsímil")</f>
        <v>Abrir facsímil</v>
      </c>
      <c r="K1597" s="3" t="s">
        <v>23</v>
      </c>
    </row>
    <row r="1598" spans="1:11" ht="42" customHeight="1">
      <c r="A1598" s="2" t="s">
        <v>3427</v>
      </c>
      <c r="B1598" s="2" t="s">
        <v>3427</v>
      </c>
      <c r="C1598" s="2" t="s">
        <v>17</v>
      </c>
      <c r="D1598" s="2" t="s">
        <v>18</v>
      </c>
      <c r="E1598" s="5">
        <v>-27861</v>
      </c>
      <c r="F1598" s="3" t="s">
        <v>425</v>
      </c>
      <c r="G1598" s="3" t="s">
        <v>39</v>
      </c>
      <c r="H1598" s="2" t="s">
        <v>21</v>
      </c>
      <c r="I1598" s="2" t="s">
        <v>3428</v>
      </c>
      <c r="J1598" s="3" t="str">
        <f>HYPERLINK("https://www.boe.es/gazeta/dias/1823/09/19/pdfs/GES-1823-163.pdf#page=1","Abrir facsímil")</f>
        <v>Abrir facsímil</v>
      </c>
      <c r="K1598" s="3" t="s">
        <v>23</v>
      </c>
    </row>
    <row r="1599" spans="1:11" ht="42" customHeight="1">
      <c r="A1599" s="2" t="s">
        <v>3429</v>
      </c>
      <c r="B1599" s="2" t="s">
        <v>3429</v>
      </c>
      <c r="C1599" s="2" t="s">
        <v>79</v>
      </c>
      <c r="D1599" s="2" t="s">
        <v>74</v>
      </c>
      <c r="E1599" s="5">
        <v>-28091</v>
      </c>
      <c r="F1599" s="3" t="s">
        <v>1047</v>
      </c>
      <c r="G1599" s="3" t="s">
        <v>34</v>
      </c>
      <c r="H1599" s="2" t="s">
        <v>21</v>
      </c>
      <c r="I1599" s="2" t="s">
        <v>3430</v>
      </c>
      <c r="J1599" s="3" t="str">
        <f>HYPERLINK("https://www.boe.es/gazeta/dias/1823/02/01/pdfs/GMD-1823-34.pdf#page=5","Abrir facsímil")</f>
        <v>Abrir facsímil</v>
      </c>
      <c r="K1599" s="3" t="s">
        <v>23</v>
      </c>
    </row>
    <row r="1600" spans="1:11" ht="42" customHeight="1">
      <c r="A1600" s="2" t="s">
        <v>3431</v>
      </c>
      <c r="B1600" s="2" t="s">
        <v>3432</v>
      </c>
      <c r="C1600" s="2" t="s">
        <v>73</v>
      </c>
      <c r="D1600" s="2" t="s">
        <v>74</v>
      </c>
      <c r="E1600" s="5">
        <v>-28051</v>
      </c>
      <c r="F1600" s="3" t="s">
        <v>305</v>
      </c>
      <c r="G1600" s="3" t="s">
        <v>48</v>
      </c>
      <c r="H1600" s="2" t="s">
        <v>21</v>
      </c>
      <c r="I1600" s="2" t="s">
        <v>3433</v>
      </c>
      <c r="J1600" s="3" t="str">
        <f>HYPERLINK("https://www.boe.es/gazeta/dias/1823/03/13/pdfs/GMD-1823-76.pdf#page=3","Abrir facsímil")</f>
        <v>Abrir facsímil</v>
      </c>
      <c r="K1600" s="3" t="s">
        <v>23</v>
      </c>
    </row>
    <row r="1601" spans="1:11" ht="42" customHeight="1">
      <c r="A1601" s="2" t="s">
        <v>3434</v>
      </c>
      <c r="B1601" s="2" t="s">
        <v>3434</v>
      </c>
      <c r="C1601" s="2" t="s">
        <v>79</v>
      </c>
      <c r="D1601" s="2" t="s">
        <v>74</v>
      </c>
      <c r="E1601" s="5">
        <v>-28118</v>
      </c>
      <c r="F1601" s="3" t="s">
        <v>252</v>
      </c>
      <c r="G1601" s="3" t="s">
        <v>59</v>
      </c>
      <c r="H1601" s="2" t="s">
        <v>21</v>
      </c>
      <c r="I1601" s="2" t="s">
        <v>3435</v>
      </c>
      <c r="J1601" s="3" t="str">
        <f>HYPERLINK("https://www.boe.es/gazeta/dias/1823/01/05/pdfs/GMD-1823-5.pdf#page=6","Abrir facsímil")</f>
        <v>Abrir facsímil</v>
      </c>
      <c r="K1601" s="3" t="s">
        <v>23</v>
      </c>
    </row>
    <row r="1602" spans="1:11" ht="42" customHeight="1">
      <c r="A1602" s="2" t="s">
        <v>3436</v>
      </c>
      <c r="B1602" s="2" t="s">
        <v>3436</v>
      </c>
      <c r="C1602" s="2" t="s">
        <v>17</v>
      </c>
      <c r="D1602" s="2" t="s">
        <v>18</v>
      </c>
      <c r="E1602" s="5">
        <v>-27958</v>
      </c>
      <c r="F1602" s="3" t="s">
        <v>2203</v>
      </c>
      <c r="G1602" s="3" t="s">
        <v>39</v>
      </c>
      <c r="H1602" s="2" t="s">
        <v>21</v>
      </c>
      <c r="I1602" s="2" t="s">
        <v>3437</v>
      </c>
      <c r="J1602" s="3" t="str">
        <f>HYPERLINK("https://www.boe.es/gazeta/dias/1823/06/14/pdfs/GMD-1823-153.pdf#page=1","Abrir facsímil")</f>
        <v>Abrir facsímil</v>
      </c>
      <c r="K1602" s="3" t="s">
        <v>23</v>
      </c>
    </row>
    <row r="1603" spans="1:11" ht="42" customHeight="1">
      <c r="A1603" s="2" t="s">
        <v>3438</v>
      </c>
      <c r="B1603" s="2" t="s">
        <v>3438</v>
      </c>
      <c r="C1603" s="2" t="s">
        <v>17</v>
      </c>
      <c r="D1603" s="2" t="s">
        <v>18</v>
      </c>
      <c r="E1603" s="5">
        <v>-27897</v>
      </c>
      <c r="F1603" s="3" t="s">
        <v>1569</v>
      </c>
      <c r="G1603" s="3" t="s">
        <v>39</v>
      </c>
      <c r="H1603" s="2" t="s">
        <v>21</v>
      </c>
      <c r="I1603" s="2" t="s">
        <v>3439</v>
      </c>
      <c r="J1603" s="3" t="str">
        <f>HYPERLINK("https://www.boe.es/gazeta/dias/1823/08/14/pdfs/GMD-1823-593.pdf#page=1","Abrir facsímil")</f>
        <v>Abrir facsímil</v>
      </c>
      <c r="K1603" s="3" t="s">
        <v>23</v>
      </c>
    </row>
    <row r="1604" spans="1:11" ht="42" customHeight="1">
      <c r="A1604" s="2" t="s">
        <v>3440</v>
      </c>
      <c r="B1604" s="2" t="s">
        <v>3441</v>
      </c>
      <c r="C1604" s="2" t="s">
        <v>17</v>
      </c>
      <c r="D1604" s="2" t="s">
        <v>18</v>
      </c>
      <c r="E1604" s="5">
        <v>-27892</v>
      </c>
      <c r="F1604" s="3" t="s">
        <v>1571</v>
      </c>
      <c r="G1604" s="3" t="s">
        <v>27</v>
      </c>
      <c r="H1604" s="2" t="s">
        <v>21</v>
      </c>
      <c r="I1604" s="2" t="s">
        <v>3442</v>
      </c>
      <c r="J1604" s="3" t="str">
        <f>HYPERLINK("https://www.boe.es/gazeta/dias/1823/08/19/pdfs/GMD-1823-613.pdf#page=2","Abrir facsímil")</f>
        <v>Abrir facsímil</v>
      </c>
      <c r="K1604" s="3" t="s">
        <v>23</v>
      </c>
    </row>
    <row r="1605" spans="1:11" ht="42" customHeight="1">
      <c r="A1605" s="2" t="s">
        <v>3443</v>
      </c>
      <c r="B1605" s="2" t="s">
        <v>3443</v>
      </c>
      <c r="C1605" s="2" t="s">
        <v>17</v>
      </c>
      <c r="D1605" s="2" t="s">
        <v>18</v>
      </c>
      <c r="E1605" s="5">
        <v>-28100</v>
      </c>
      <c r="F1605" s="3" t="s">
        <v>737</v>
      </c>
      <c r="G1605" s="3" t="s">
        <v>48</v>
      </c>
      <c r="H1605" s="2" t="s">
        <v>21</v>
      </c>
      <c r="I1605" s="2" t="s">
        <v>3444</v>
      </c>
      <c r="J1605" s="3" t="str">
        <f>HYPERLINK("https://www.boe.es/gazeta/dias/1823/01/23/pdfs/GMD-1823-24.pdf#page=3","Abrir facsímil")</f>
        <v>Abrir facsímil</v>
      </c>
      <c r="K1605" s="3" t="s">
        <v>23</v>
      </c>
    </row>
    <row r="1606" spans="1:11" ht="42" customHeight="1">
      <c r="A1606" s="2" t="s">
        <v>3443</v>
      </c>
      <c r="B1606" s="2" t="s">
        <v>3443</v>
      </c>
      <c r="C1606" s="2" t="s">
        <v>17</v>
      </c>
      <c r="D1606" s="2" t="s">
        <v>18</v>
      </c>
      <c r="E1606" s="5">
        <v>-27934</v>
      </c>
      <c r="F1606" s="3" t="s">
        <v>634</v>
      </c>
      <c r="G1606" s="3" t="s">
        <v>20</v>
      </c>
      <c r="H1606" s="2" t="s">
        <v>21</v>
      </c>
      <c r="I1606" s="2" t="s">
        <v>3445</v>
      </c>
      <c r="J1606" s="3" t="str">
        <f>HYPERLINK("https://www.boe.es/gazeta/dias/1823/07/08/pdfs/GMD-1823-353.pdf#page=4","Abrir facsímil")</f>
        <v>Abrir facsímil</v>
      </c>
      <c r="K1606" s="3" t="s">
        <v>23</v>
      </c>
    </row>
    <row r="1607" spans="1:11" ht="42" customHeight="1">
      <c r="A1607" s="2" t="s">
        <v>3443</v>
      </c>
      <c r="B1607" s="2" t="s">
        <v>3443</v>
      </c>
      <c r="C1607" s="2" t="s">
        <v>17</v>
      </c>
      <c r="D1607" s="2" t="s">
        <v>18</v>
      </c>
      <c r="E1607" s="5">
        <v>-27920</v>
      </c>
      <c r="F1607" s="3" t="s">
        <v>1334</v>
      </c>
      <c r="G1607" s="3" t="s">
        <v>39</v>
      </c>
      <c r="H1607" s="2" t="s">
        <v>21</v>
      </c>
      <c r="I1607" s="2" t="s">
        <v>3446</v>
      </c>
      <c r="J1607" s="3" t="str">
        <f>HYPERLINK("https://www.boe.es/gazeta/dias/1823/07/22/pdfs/GMD-1823-443.pdf#page=1","Abrir facsímil")</f>
        <v>Abrir facsímil</v>
      </c>
      <c r="K1607" s="3" t="s">
        <v>23</v>
      </c>
    </row>
    <row r="1608" spans="1:11" ht="42" customHeight="1">
      <c r="A1608" s="2" t="s">
        <v>3443</v>
      </c>
      <c r="B1608" s="2" t="s">
        <v>3443</v>
      </c>
      <c r="C1608" s="2" t="s">
        <v>17</v>
      </c>
      <c r="D1608" s="2" t="s">
        <v>18</v>
      </c>
      <c r="E1608" s="5">
        <v>-27918</v>
      </c>
      <c r="F1608" s="3" t="s">
        <v>218</v>
      </c>
      <c r="G1608" s="3" t="s">
        <v>48</v>
      </c>
      <c r="H1608" s="2" t="s">
        <v>21</v>
      </c>
      <c r="I1608" s="2" t="s">
        <v>3447</v>
      </c>
      <c r="J1608" s="3" t="str">
        <f>HYPERLINK("https://www.boe.es/gazeta/dias/1823/07/24/pdfs/GMD-1823-463.pdf#page=3","Abrir facsímil")</f>
        <v>Abrir facsímil</v>
      </c>
      <c r="K1608" s="3" t="s">
        <v>23</v>
      </c>
    </row>
    <row r="1609" spans="1:11" ht="42" customHeight="1">
      <c r="A1609" s="2" t="s">
        <v>3448</v>
      </c>
      <c r="B1609" s="2" t="s">
        <v>3449</v>
      </c>
      <c r="C1609" s="2" t="s">
        <v>17</v>
      </c>
      <c r="D1609" s="2" t="s">
        <v>18</v>
      </c>
      <c r="E1609" s="5">
        <v>-27766</v>
      </c>
      <c r="F1609" s="3" t="s">
        <v>3450</v>
      </c>
      <c r="G1609" s="3" t="s">
        <v>20</v>
      </c>
      <c r="H1609" s="2" t="s">
        <v>21</v>
      </c>
      <c r="I1609" s="2" t="s">
        <v>3451</v>
      </c>
      <c r="J1609" s="3" t="str">
        <f>HYPERLINK("https://www.boe.es/gazeta/dias/1823/12/23/pdfs/GMD-1823-1283.pdf#page=4","Abrir facsímil")</f>
        <v>Abrir facsímil</v>
      </c>
      <c r="K1609" s="3" t="s">
        <v>23</v>
      </c>
    </row>
    <row r="1610" spans="1:11" ht="42" customHeight="1">
      <c r="A1610" s="2" t="s">
        <v>3452</v>
      </c>
      <c r="B1610" s="2" t="s">
        <v>3452</v>
      </c>
      <c r="C1610" s="2" t="s">
        <v>17</v>
      </c>
      <c r="D1610" s="2" t="s">
        <v>18</v>
      </c>
      <c r="E1610" s="5">
        <v>-27878</v>
      </c>
      <c r="F1610" s="3" t="s">
        <v>1581</v>
      </c>
      <c r="G1610" s="3" t="s">
        <v>39</v>
      </c>
      <c r="H1610" s="2" t="s">
        <v>21</v>
      </c>
      <c r="I1610" s="2" t="s">
        <v>3453</v>
      </c>
      <c r="J1610" s="3" t="str">
        <f>HYPERLINK("https://www.boe.es/gazeta/dias/1823/09/02/pdfs/GMD-1823-683.pdf#page=1","Abrir facsímil")</f>
        <v>Abrir facsímil</v>
      </c>
      <c r="K1610" s="3" t="s">
        <v>23</v>
      </c>
    </row>
    <row r="1611" spans="1:11" ht="42" customHeight="1">
      <c r="A1611" s="2" t="s">
        <v>3454</v>
      </c>
      <c r="B1611" s="2" t="s">
        <v>3454</v>
      </c>
      <c r="C1611" s="2" t="s">
        <v>17</v>
      </c>
      <c r="D1611" s="2" t="s">
        <v>18</v>
      </c>
      <c r="E1611" s="5">
        <v>-27918</v>
      </c>
      <c r="F1611" s="3" t="s">
        <v>218</v>
      </c>
      <c r="G1611" s="3" t="s">
        <v>48</v>
      </c>
      <c r="H1611" s="2" t="s">
        <v>21</v>
      </c>
      <c r="I1611" s="2" t="s">
        <v>3455</v>
      </c>
      <c r="J1611" s="3" t="str">
        <f>HYPERLINK("https://www.boe.es/gazeta/dias/1823/07/24/pdfs/GMD-1823-463.pdf#page=3","Abrir facsímil")</f>
        <v>Abrir facsímil</v>
      </c>
      <c r="K1611" s="3" t="s">
        <v>23</v>
      </c>
    </row>
    <row r="1612" spans="1:11" ht="42" customHeight="1">
      <c r="A1612" s="2" t="s">
        <v>3456</v>
      </c>
      <c r="B1612" s="2" t="s">
        <v>3456</v>
      </c>
      <c r="C1612" s="2" t="s">
        <v>17</v>
      </c>
      <c r="D1612" s="2" t="s">
        <v>18</v>
      </c>
      <c r="E1612" s="5">
        <v>-27918</v>
      </c>
      <c r="F1612" s="3" t="s">
        <v>218</v>
      </c>
      <c r="G1612" s="3" t="s">
        <v>48</v>
      </c>
      <c r="H1612" s="2" t="s">
        <v>21</v>
      </c>
      <c r="I1612" s="2" t="s">
        <v>3457</v>
      </c>
      <c r="J1612" s="3" t="str">
        <f>HYPERLINK("https://www.boe.es/gazeta/dias/1823/07/24/pdfs/GMD-1823-463.pdf#page=3","Abrir facsímil")</f>
        <v>Abrir facsímil</v>
      </c>
      <c r="K1612" s="3" t="s">
        <v>23</v>
      </c>
    </row>
    <row r="1613" spans="1:11" ht="42" customHeight="1">
      <c r="A1613" s="2" t="s">
        <v>3458</v>
      </c>
      <c r="B1613" s="2" t="s">
        <v>3458</v>
      </c>
      <c r="C1613" s="2" t="s">
        <v>17</v>
      </c>
      <c r="D1613" s="2" t="s">
        <v>18</v>
      </c>
      <c r="E1613" s="5">
        <v>-28084</v>
      </c>
      <c r="F1613" s="3" t="s">
        <v>1049</v>
      </c>
      <c r="G1613" s="3" t="s">
        <v>3129</v>
      </c>
      <c r="H1613" s="2" t="s">
        <v>21</v>
      </c>
      <c r="I1613" s="2" t="s">
        <v>3459</v>
      </c>
      <c r="J1613" s="3" t="str">
        <f>HYPERLINK("https://www.boe.es/gazeta/dias/1823/02/08/pdfs/GMD-1823-41.pdf#page=2","Abrir facsímil")</f>
        <v>Abrir facsímil</v>
      </c>
      <c r="K1613" s="3" t="s">
        <v>23</v>
      </c>
    </row>
    <row r="1614" spans="1:11" ht="42" customHeight="1">
      <c r="A1614" s="2" t="s">
        <v>3460</v>
      </c>
      <c r="B1614" s="2" t="s">
        <v>3461</v>
      </c>
      <c r="C1614" s="2" t="s">
        <v>56</v>
      </c>
      <c r="D1614" s="2" t="s">
        <v>57</v>
      </c>
      <c r="E1614" s="5">
        <v>-27906</v>
      </c>
      <c r="F1614" s="3" t="s">
        <v>241</v>
      </c>
      <c r="G1614" s="3" t="s">
        <v>59</v>
      </c>
      <c r="H1614" s="2" t="s">
        <v>21</v>
      </c>
      <c r="I1614" s="2" t="s">
        <v>3462</v>
      </c>
      <c r="J1614" s="3" t="str">
        <f>HYPERLINK("https://www.boe.es/gazeta/dias/1823/08/05/pdfs/GES-1823-117.pdf#page=6","Abrir facsímil")</f>
        <v>Abrir facsímil</v>
      </c>
      <c r="K1614" s="3" t="s">
        <v>23</v>
      </c>
    </row>
    <row r="1615" spans="1:11" ht="42" customHeight="1">
      <c r="A1615" s="2" t="s">
        <v>3463</v>
      </c>
      <c r="B1615" s="2" t="s">
        <v>3464</v>
      </c>
      <c r="C1615" s="2" t="s">
        <v>109</v>
      </c>
      <c r="D1615" s="2" t="s">
        <v>74</v>
      </c>
      <c r="E1615" s="5">
        <v>-28111</v>
      </c>
      <c r="F1615" s="3" t="s">
        <v>275</v>
      </c>
      <c r="G1615" s="3" t="s">
        <v>276</v>
      </c>
      <c r="H1615" s="2" t="s">
        <v>21</v>
      </c>
      <c r="I1615" s="2" t="s">
        <v>3465</v>
      </c>
      <c r="J1615" s="3" t="str">
        <f>HYPERLINK("https://www.boe.es/gazeta/dias/1823/01/12/pdfs/GMD-1823-12.pdf#page=7","Abrir facsímil")</f>
        <v>Abrir facsímil</v>
      </c>
      <c r="K1615" s="3" t="s">
        <v>23</v>
      </c>
    </row>
    <row r="1616" spans="1:11" ht="42" customHeight="1">
      <c r="A1616" s="2" t="s">
        <v>3463</v>
      </c>
      <c r="B1616" s="2" t="s">
        <v>3464</v>
      </c>
      <c r="C1616" s="2" t="s">
        <v>73</v>
      </c>
      <c r="D1616" s="2" t="s">
        <v>74</v>
      </c>
      <c r="E1616" s="5">
        <v>-28054</v>
      </c>
      <c r="F1616" s="3" t="s">
        <v>1292</v>
      </c>
      <c r="G1616" s="3" t="s">
        <v>27</v>
      </c>
      <c r="H1616" s="2" t="s">
        <v>21</v>
      </c>
      <c r="I1616" s="2" t="s">
        <v>3466</v>
      </c>
      <c r="J1616" s="3" t="str">
        <f>HYPERLINK("https://www.boe.es/gazeta/dias/1823/03/10/pdfs/GMD-1823-73.pdf#page=2","Abrir facsímil")</f>
        <v>Abrir facsímil</v>
      </c>
      <c r="K1616" s="3" t="s">
        <v>23</v>
      </c>
    </row>
    <row r="1617" spans="1:11" ht="42" customHeight="1">
      <c r="A1617" s="2" t="s">
        <v>3467</v>
      </c>
      <c r="B1617" s="2" t="s">
        <v>3468</v>
      </c>
      <c r="C1617" s="2" t="s">
        <v>79</v>
      </c>
      <c r="D1617" s="2" t="s">
        <v>74</v>
      </c>
      <c r="E1617" s="5">
        <v>-28014</v>
      </c>
      <c r="F1617" s="3" t="s">
        <v>2805</v>
      </c>
      <c r="G1617" s="3" t="s">
        <v>20</v>
      </c>
      <c r="H1617" s="2" t="s">
        <v>21</v>
      </c>
      <c r="I1617" s="2" t="s">
        <v>3469</v>
      </c>
      <c r="J1617" s="3" t="str">
        <f>HYPERLINK("https://www.boe.es/gazeta/dias/1823/04/19/pdfs/GES-1823-9.pdf#page=4","Abrir facsímil")</f>
        <v>Abrir facsímil</v>
      </c>
      <c r="K1617" s="3" t="s">
        <v>23</v>
      </c>
    </row>
    <row r="1618" spans="1:11" ht="42" customHeight="1">
      <c r="A1618" s="2" t="s">
        <v>3470</v>
      </c>
      <c r="B1618" s="2" t="s">
        <v>3470</v>
      </c>
      <c r="C1618" s="2" t="s">
        <v>79</v>
      </c>
      <c r="D1618" s="2" t="s">
        <v>74</v>
      </c>
      <c r="E1618" s="5">
        <v>-28087</v>
      </c>
      <c r="F1618" s="3" t="s">
        <v>3125</v>
      </c>
      <c r="G1618" s="3" t="s">
        <v>20</v>
      </c>
      <c r="H1618" s="2" t="s">
        <v>21</v>
      </c>
      <c r="I1618" s="2" t="s">
        <v>3471</v>
      </c>
      <c r="J1618" s="3" t="str">
        <f>HYPERLINK("https://www.boe.es/gazeta/dias/1823/02/05/pdfs/GMD-1823-38.pdf#page=4","Abrir facsímil")</f>
        <v>Abrir facsímil</v>
      </c>
      <c r="K1618" s="3" t="s">
        <v>23</v>
      </c>
    </row>
    <row r="1619" spans="1:11" ht="42" customHeight="1">
      <c r="A1619" s="2" t="s">
        <v>3470</v>
      </c>
      <c r="B1619" s="2" t="s">
        <v>3470</v>
      </c>
      <c r="C1619" s="2" t="s">
        <v>109</v>
      </c>
      <c r="D1619" s="2" t="s">
        <v>74</v>
      </c>
      <c r="E1619" s="5">
        <v>-28085</v>
      </c>
      <c r="F1619" s="3" t="s">
        <v>458</v>
      </c>
      <c r="G1619" s="3" t="s">
        <v>34</v>
      </c>
      <c r="H1619" s="2" t="s">
        <v>21</v>
      </c>
      <c r="I1619" s="2" t="s">
        <v>3472</v>
      </c>
      <c r="J1619" s="3" t="str">
        <f>HYPERLINK("https://www.boe.es/gazeta/dias/1823/02/07/pdfs/GMD-1823-40.pdf#page=5","Abrir facsímil")</f>
        <v>Abrir facsímil</v>
      </c>
      <c r="K1619" s="3" t="s">
        <v>23</v>
      </c>
    </row>
    <row r="1620" spans="1:11" ht="42" customHeight="1">
      <c r="A1620" s="2" t="s">
        <v>3473</v>
      </c>
      <c r="B1620" s="2" t="s">
        <v>3474</v>
      </c>
      <c r="C1620" s="2" t="s">
        <v>17</v>
      </c>
      <c r="D1620" s="2" t="s">
        <v>18</v>
      </c>
      <c r="E1620" s="5">
        <v>-28089</v>
      </c>
      <c r="F1620" s="3" t="s">
        <v>1979</v>
      </c>
      <c r="G1620" s="3" t="s">
        <v>27</v>
      </c>
      <c r="H1620" s="2" t="s">
        <v>21</v>
      </c>
      <c r="I1620" s="2" t="s">
        <v>3475</v>
      </c>
      <c r="J1620" s="3" t="str">
        <f>HYPERLINK("https://www.boe.es/gazeta/dias/1823/02/03/pdfs/GMD-1823-36.pdf#page=2","Abrir facsímil")</f>
        <v>Abrir facsímil</v>
      </c>
      <c r="K1620" s="3" t="s">
        <v>23</v>
      </c>
    </row>
    <row r="1621" spans="1:11" ht="42" customHeight="1">
      <c r="A1621" s="2" t="s">
        <v>3476</v>
      </c>
      <c r="B1621" s="2" t="s">
        <v>3477</v>
      </c>
      <c r="C1621" s="2" t="s">
        <v>56</v>
      </c>
      <c r="D1621" s="2" t="s">
        <v>57</v>
      </c>
      <c r="E1621" s="5">
        <v>-27986</v>
      </c>
      <c r="F1621" s="3" t="s">
        <v>75</v>
      </c>
      <c r="G1621" s="3" t="s">
        <v>27</v>
      </c>
      <c r="H1621" s="2" t="s">
        <v>21</v>
      </c>
      <c r="I1621" s="2" t="s">
        <v>3478</v>
      </c>
      <c r="J1621" s="3" t="str">
        <f>HYPERLINK("https://www.boe.es/gazeta/dias/1823/05/17/pdfs/GES-1823-37.pdf#page=2","Abrir facsímil")</f>
        <v>Abrir facsímil</v>
      </c>
      <c r="K1621" s="3" t="s">
        <v>23</v>
      </c>
    </row>
    <row r="1622" spans="1:11" ht="42" customHeight="1">
      <c r="A1622" s="2" t="s">
        <v>3479</v>
      </c>
      <c r="B1622" s="2" t="s">
        <v>3479</v>
      </c>
      <c r="C1622" s="2" t="s">
        <v>56</v>
      </c>
      <c r="D1622" s="2" t="s">
        <v>57</v>
      </c>
      <c r="E1622" s="5">
        <v>-27960</v>
      </c>
      <c r="F1622" s="3" t="s">
        <v>741</v>
      </c>
      <c r="G1622" s="3" t="s">
        <v>34</v>
      </c>
      <c r="H1622" s="2" t="s">
        <v>21</v>
      </c>
      <c r="I1622" s="2" t="s">
        <v>3480</v>
      </c>
      <c r="J1622" s="3" t="str">
        <f>HYPERLINK("https://www.boe.es/gazeta/dias/1823/06/12/pdfs/GES-1823-66.pdf#page=5","Abrir facsímil")</f>
        <v>Abrir facsímil</v>
      </c>
      <c r="K1622" s="3" t="s">
        <v>23</v>
      </c>
    </row>
    <row r="1623" spans="1:11" ht="42" customHeight="1">
      <c r="A1623" s="2" t="s">
        <v>3481</v>
      </c>
      <c r="B1623" s="2" t="s">
        <v>3481</v>
      </c>
      <c r="C1623" s="2" t="s">
        <v>17</v>
      </c>
      <c r="D1623" s="2" t="s">
        <v>18</v>
      </c>
      <c r="E1623" s="5">
        <v>-28076</v>
      </c>
      <c r="F1623" s="3" t="s">
        <v>1638</v>
      </c>
      <c r="G1623" s="3" t="s">
        <v>34</v>
      </c>
      <c r="H1623" s="2" t="s">
        <v>21</v>
      </c>
      <c r="I1623" s="2" t="s">
        <v>3482</v>
      </c>
      <c r="J1623" s="3" t="str">
        <f>HYPERLINK("https://www.boe.es/gazeta/dias/1823/02/16/pdfs/GMD-1823-50.pdf#page=5","Abrir facsímil")</f>
        <v>Abrir facsímil</v>
      </c>
      <c r="K1623" s="3" t="s">
        <v>23</v>
      </c>
    </row>
    <row r="1624" spans="1:11" ht="42" customHeight="1">
      <c r="A1624" s="2" t="s">
        <v>3483</v>
      </c>
      <c r="B1624" s="2" t="s">
        <v>3484</v>
      </c>
      <c r="C1624" s="2" t="s">
        <v>109</v>
      </c>
      <c r="D1624" s="2" t="s">
        <v>74</v>
      </c>
      <c r="E1624" s="5">
        <v>-27887</v>
      </c>
      <c r="F1624" s="3" t="s">
        <v>1196</v>
      </c>
      <c r="G1624" s="3" t="s">
        <v>20</v>
      </c>
      <c r="H1624" s="2" t="s">
        <v>21</v>
      </c>
      <c r="I1624" s="2" t="s">
        <v>3485</v>
      </c>
      <c r="J1624" s="3" t="str">
        <f>HYPERLINK("https://www.boe.es/gazeta/dias/1823/08/24/pdfs/GES-1823-137.pdf#page=4","Abrir facsímil")</f>
        <v>Abrir facsímil</v>
      </c>
      <c r="K1624" s="3" t="s">
        <v>23</v>
      </c>
    </row>
    <row r="1625" spans="1:11" ht="42" customHeight="1">
      <c r="A1625" s="2" t="s">
        <v>3486</v>
      </c>
      <c r="B1625" s="2" t="s">
        <v>3487</v>
      </c>
      <c r="C1625" s="2" t="s">
        <v>79</v>
      </c>
      <c r="D1625" s="2" t="s">
        <v>74</v>
      </c>
      <c r="E1625" s="5">
        <v>-28032</v>
      </c>
      <c r="F1625" s="3" t="s">
        <v>668</v>
      </c>
      <c r="G1625" s="3" t="s">
        <v>39</v>
      </c>
      <c r="H1625" s="2" t="s">
        <v>21</v>
      </c>
      <c r="I1625" s="2" t="s">
        <v>3488</v>
      </c>
      <c r="J1625" s="3" t="str">
        <f>HYPERLINK("https://www.boe.es/gazeta/dias/1823/04/01/pdfs/GMD-1823-95.pdf#page=1","Abrir facsímil")</f>
        <v>Abrir facsímil</v>
      </c>
      <c r="K1625" s="3" t="s">
        <v>23</v>
      </c>
    </row>
    <row r="1626" spans="1:11" ht="42" customHeight="1">
      <c r="A1626" s="2" t="s">
        <v>3489</v>
      </c>
      <c r="B1626" s="2" t="s">
        <v>3489</v>
      </c>
      <c r="C1626" s="2" t="s">
        <v>17</v>
      </c>
      <c r="D1626" s="2" t="s">
        <v>18</v>
      </c>
      <c r="E1626" s="5">
        <v>-27899</v>
      </c>
      <c r="F1626" s="3" t="s">
        <v>215</v>
      </c>
      <c r="G1626" s="3" t="s">
        <v>20</v>
      </c>
      <c r="H1626" s="2" t="s">
        <v>21</v>
      </c>
      <c r="I1626" s="2" t="s">
        <v>3490</v>
      </c>
      <c r="J1626" s="3" t="str">
        <f>HYPERLINK("https://www.boe.es/gazeta/dias/1823/08/12/pdfs/GMD-1823-583.pdf#page=4","Abrir facsímil")</f>
        <v>Abrir facsímil</v>
      </c>
      <c r="K1626" s="3" t="s">
        <v>23</v>
      </c>
    </row>
    <row r="1627" spans="1:11" ht="42" customHeight="1">
      <c r="A1627" s="2" t="s">
        <v>3491</v>
      </c>
      <c r="B1627" s="2" t="s">
        <v>3491</v>
      </c>
      <c r="C1627" s="2" t="s">
        <v>17</v>
      </c>
      <c r="D1627" s="2" t="s">
        <v>18</v>
      </c>
      <c r="E1627" s="5">
        <v>-27864</v>
      </c>
      <c r="F1627" s="3" t="s">
        <v>395</v>
      </c>
      <c r="G1627" s="3" t="s">
        <v>48</v>
      </c>
      <c r="H1627" s="2" t="s">
        <v>21</v>
      </c>
      <c r="I1627" s="2" t="s">
        <v>3492</v>
      </c>
      <c r="J1627" s="3" t="str">
        <f>HYPERLINK("https://www.boe.es/gazeta/dias/1823/09/16/pdfs/GMD-1823-783.pdf#page=3","Abrir facsímil")</f>
        <v>Abrir facsímil</v>
      </c>
      <c r="K1627" s="3" t="s">
        <v>23</v>
      </c>
    </row>
    <row r="1628" spans="1:11" ht="42" customHeight="1">
      <c r="A1628" s="2" t="s">
        <v>3493</v>
      </c>
      <c r="B1628" s="2" t="s">
        <v>3494</v>
      </c>
      <c r="C1628" s="2" t="s">
        <v>79</v>
      </c>
      <c r="D1628" s="2" t="s">
        <v>74</v>
      </c>
      <c r="E1628" s="5">
        <v>-28118</v>
      </c>
      <c r="F1628" s="3" t="s">
        <v>252</v>
      </c>
      <c r="G1628" s="3" t="s">
        <v>59</v>
      </c>
      <c r="H1628" s="2" t="s">
        <v>21</v>
      </c>
      <c r="I1628" s="2" t="s">
        <v>3495</v>
      </c>
      <c r="J1628" s="3" t="str">
        <f>HYPERLINK("https://www.boe.es/gazeta/dias/1823/01/05/pdfs/GMD-1823-5.pdf#page=6","Abrir facsímil")</f>
        <v>Abrir facsímil</v>
      </c>
      <c r="K1628" s="3" t="s">
        <v>23</v>
      </c>
    </row>
    <row r="1629" spans="1:11" ht="42" customHeight="1">
      <c r="A1629" s="2" t="s">
        <v>3496</v>
      </c>
      <c r="B1629" s="2" t="s">
        <v>3497</v>
      </c>
      <c r="C1629" s="2" t="s">
        <v>79</v>
      </c>
      <c r="D1629" s="2" t="s">
        <v>74</v>
      </c>
      <c r="E1629" s="5">
        <v>-28083</v>
      </c>
      <c r="F1629" s="3" t="s">
        <v>291</v>
      </c>
      <c r="G1629" s="3" t="s">
        <v>20</v>
      </c>
      <c r="H1629" s="2" t="s">
        <v>21</v>
      </c>
      <c r="I1629" s="2" t="s">
        <v>3498</v>
      </c>
      <c r="J1629" s="3" t="str">
        <f>HYPERLINK("https://www.boe.es/gazeta/dias/1823/02/09/pdfs/GMD-1823-43.pdf#page=4","Abrir facsímil")</f>
        <v>Abrir facsímil</v>
      </c>
      <c r="K1629" s="3" t="s">
        <v>23</v>
      </c>
    </row>
    <row r="1630" spans="1:11" ht="42" customHeight="1">
      <c r="A1630" s="2" t="s">
        <v>3499</v>
      </c>
      <c r="B1630" s="2" t="s">
        <v>3500</v>
      </c>
      <c r="C1630" s="2" t="s">
        <v>17</v>
      </c>
      <c r="D1630" s="2" t="s">
        <v>18</v>
      </c>
      <c r="E1630" s="5">
        <v>-28004</v>
      </c>
      <c r="F1630" s="3" t="s">
        <v>33</v>
      </c>
      <c r="G1630" s="3" t="s">
        <v>2827</v>
      </c>
      <c r="H1630" s="2" t="s">
        <v>21</v>
      </c>
      <c r="I1630" s="2" t="s">
        <v>3501</v>
      </c>
      <c r="J1630" s="3" t="str">
        <f>HYPERLINK("https://www.boe.es/gazeta/dias/1823/04/29/pdfs/GES-1823-19.pdf#page=6","Abrir facsímil")</f>
        <v>Abrir facsímil</v>
      </c>
      <c r="K1630" s="3" t="s">
        <v>23</v>
      </c>
    </row>
    <row r="1631" spans="1:11" ht="42" customHeight="1">
      <c r="A1631" s="2" t="s">
        <v>3502</v>
      </c>
      <c r="B1631" s="2" t="s">
        <v>3502</v>
      </c>
      <c r="C1631" s="2" t="s">
        <v>109</v>
      </c>
      <c r="D1631" s="2" t="s">
        <v>74</v>
      </c>
      <c r="E1631" s="5">
        <v>-27933</v>
      </c>
      <c r="F1631" s="3" t="s">
        <v>1079</v>
      </c>
      <c r="G1631" s="3" t="s">
        <v>48</v>
      </c>
      <c r="H1631" s="2" t="s">
        <v>21</v>
      </c>
      <c r="I1631" s="2" t="s">
        <v>3503</v>
      </c>
      <c r="J1631" s="3" t="str">
        <f>HYPERLINK("https://www.boe.es/gazeta/dias/1823/07/09/pdfs/GES-1823-89.pdf#page=3","Abrir facsímil")</f>
        <v>Abrir facsímil</v>
      </c>
      <c r="K1631" s="3" t="s">
        <v>23</v>
      </c>
    </row>
    <row r="1632" spans="1:11" ht="42" customHeight="1">
      <c r="A1632" s="2" t="s">
        <v>3504</v>
      </c>
      <c r="B1632" s="2" t="s">
        <v>3505</v>
      </c>
      <c r="C1632" s="2" t="s">
        <v>17</v>
      </c>
      <c r="D1632" s="2" t="s">
        <v>18</v>
      </c>
      <c r="E1632" s="5">
        <v>-27897</v>
      </c>
      <c r="F1632" s="3" t="s">
        <v>1569</v>
      </c>
      <c r="G1632" s="3" t="s">
        <v>20</v>
      </c>
      <c r="H1632" s="2" t="s">
        <v>21</v>
      </c>
      <c r="I1632" s="2" t="s">
        <v>3506</v>
      </c>
      <c r="J1632" s="3" t="str">
        <f>HYPERLINK("https://www.boe.es/gazeta/dias/1823/08/14/pdfs/GMD-1823-593.pdf#page=4","Abrir facsímil")</f>
        <v>Abrir facsímil</v>
      </c>
      <c r="K1632" s="3" t="s">
        <v>23</v>
      </c>
    </row>
    <row r="1633" spans="1:11" ht="42" customHeight="1">
      <c r="A1633" s="2" t="s">
        <v>3507</v>
      </c>
      <c r="B1633" s="2" t="s">
        <v>3508</v>
      </c>
      <c r="C1633" s="2" t="s">
        <v>17</v>
      </c>
      <c r="D1633" s="2" t="s">
        <v>18</v>
      </c>
      <c r="E1633" s="5">
        <v>-27982</v>
      </c>
      <c r="F1633" s="3" t="s">
        <v>340</v>
      </c>
      <c r="G1633" s="3" t="s">
        <v>59</v>
      </c>
      <c r="H1633" s="2" t="s">
        <v>21</v>
      </c>
      <c r="I1633" s="2" t="s">
        <v>3509</v>
      </c>
      <c r="J1633" s="3" t="str">
        <f>HYPERLINK("https://www.boe.es/gazeta/dias/1823/05/21/pdfs/GES-1823-42.pdf#page=6","Abrir facsímil")</f>
        <v>Abrir facsímil</v>
      </c>
      <c r="K1633" s="3" t="s">
        <v>23</v>
      </c>
    </row>
    <row r="1634" spans="1:11" ht="42" customHeight="1">
      <c r="A1634" s="2" t="s">
        <v>3510</v>
      </c>
      <c r="B1634" s="2" t="s">
        <v>3511</v>
      </c>
      <c r="C1634" s="2" t="s">
        <v>79</v>
      </c>
      <c r="D1634" s="2" t="s">
        <v>74</v>
      </c>
      <c r="E1634" s="5">
        <v>-28076</v>
      </c>
      <c r="F1634" s="3" t="s">
        <v>1638</v>
      </c>
      <c r="G1634" s="3" t="s">
        <v>34</v>
      </c>
      <c r="H1634" s="2" t="s">
        <v>21</v>
      </c>
      <c r="I1634" s="2" t="s">
        <v>3512</v>
      </c>
      <c r="J1634" s="3" t="str">
        <f>HYPERLINK("https://www.boe.es/gazeta/dias/1823/02/16/pdfs/GMD-1823-50.pdf#page=5","Abrir facsímil")</f>
        <v>Abrir facsímil</v>
      </c>
      <c r="K1634" s="3" t="s">
        <v>23</v>
      </c>
    </row>
    <row r="1635" spans="1:11" ht="42" customHeight="1">
      <c r="A1635" s="2" t="s">
        <v>3513</v>
      </c>
      <c r="B1635" s="2" t="s">
        <v>3514</v>
      </c>
      <c r="C1635" s="2" t="s">
        <v>17</v>
      </c>
      <c r="D1635" s="2" t="s">
        <v>18</v>
      </c>
      <c r="E1635" s="5">
        <v>-27991</v>
      </c>
      <c r="F1635" s="3" t="s">
        <v>328</v>
      </c>
      <c r="G1635" s="3" t="s">
        <v>27</v>
      </c>
      <c r="H1635" s="2" t="s">
        <v>21</v>
      </c>
      <c r="I1635" s="2" t="s">
        <v>3515</v>
      </c>
      <c r="J1635" s="3" t="str">
        <f>HYPERLINK("https://www.boe.es/gazeta/dias/1823/05/12/pdfs/GES-1823-32.pdf#page=2","Abrir facsímil")</f>
        <v>Abrir facsímil</v>
      </c>
      <c r="K1635" s="3" t="s">
        <v>23</v>
      </c>
    </row>
    <row r="1636" spans="1:11" ht="42" customHeight="1">
      <c r="A1636" s="2" t="s">
        <v>3516</v>
      </c>
      <c r="B1636" s="2" t="s">
        <v>3517</v>
      </c>
      <c r="C1636" s="2" t="s">
        <v>17</v>
      </c>
      <c r="D1636" s="2" t="s">
        <v>18</v>
      </c>
      <c r="E1636" s="5">
        <v>-27897</v>
      </c>
      <c r="F1636" s="3" t="s">
        <v>1569</v>
      </c>
      <c r="G1636" s="3" t="s">
        <v>20</v>
      </c>
      <c r="H1636" s="2" t="s">
        <v>21</v>
      </c>
      <c r="I1636" s="2" t="s">
        <v>3518</v>
      </c>
      <c r="J1636" s="3" t="str">
        <f>HYPERLINK("https://www.boe.es/gazeta/dias/1823/08/14/pdfs/GMD-1823-593.pdf#page=4","Abrir facsímil")</f>
        <v>Abrir facsímil</v>
      </c>
      <c r="K1636" s="3" t="s">
        <v>23</v>
      </c>
    </row>
    <row r="1637" spans="1:11" ht="42" customHeight="1">
      <c r="A1637" s="2" t="s">
        <v>3519</v>
      </c>
      <c r="B1637" s="2" t="s">
        <v>3519</v>
      </c>
      <c r="C1637" s="2" t="s">
        <v>79</v>
      </c>
      <c r="D1637" s="2" t="s">
        <v>74</v>
      </c>
      <c r="E1637" s="5">
        <v>-28048</v>
      </c>
      <c r="F1637" s="3" t="s">
        <v>399</v>
      </c>
      <c r="G1637" s="3" t="s">
        <v>20</v>
      </c>
      <c r="H1637" s="2" t="s">
        <v>21</v>
      </c>
      <c r="I1637" s="2" t="s">
        <v>3520</v>
      </c>
      <c r="J1637" s="3" t="str">
        <f>HYPERLINK("https://www.boe.es/gazeta/dias/1823/03/16/pdfs/GMD-1823-79.pdf#page=4","Abrir facsímil")</f>
        <v>Abrir facsímil</v>
      </c>
      <c r="K1637" s="3" t="s">
        <v>23</v>
      </c>
    </row>
    <row r="1638" spans="1:11" ht="42" customHeight="1">
      <c r="A1638" s="2" t="s">
        <v>3519</v>
      </c>
      <c r="B1638" s="2" t="s">
        <v>3519</v>
      </c>
      <c r="C1638" s="2" t="s">
        <v>79</v>
      </c>
      <c r="D1638" s="2" t="s">
        <v>74</v>
      </c>
      <c r="E1638" s="5">
        <v>-27982</v>
      </c>
      <c r="F1638" s="3" t="s">
        <v>340</v>
      </c>
      <c r="G1638" s="3" t="s">
        <v>27</v>
      </c>
      <c r="H1638" s="2" t="s">
        <v>21</v>
      </c>
      <c r="I1638" s="2" t="s">
        <v>3521</v>
      </c>
      <c r="J1638" s="3" t="str">
        <f>HYPERLINK("https://www.boe.es/gazeta/dias/1823/05/21/pdfs/GES-1823-42.pdf#page=2","Abrir facsímil")</f>
        <v>Abrir facsímil</v>
      </c>
      <c r="K1638" s="3" t="s">
        <v>23</v>
      </c>
    </row>
    <row r="1639" spans="1:11" ht="42" customHeight="1">
      <c r="A1639" s="2" t="s">
        <v>3519</v>
      </c>
      <c r="B1639" s="2" t="s">
        <v>3519</v>
      </c>
      <c r="C1639" s="2" t="s">
        <v>17</v>
      </c>
      <c r="D1639" s="2" t="s">
        <v>18</v>
      </c>
      <c r="E1639" s="5">
        <v>-27877</v>
      </c>
      <c r="F1639" s="3" t="s">
        <v>844</v>
      </c>
      <c r="G1639" s="3" t="s">
        <v>48</v>
      </c>
      <c r="H1639" s="2" t="s">
        <v>21</v>
      </c>
      <c r="I1639" s="2" t="s">
        <v>3522</v>
      </c>
      <c r="J1639" s="3" t="str">
        <f>HYPERLINK("https://www.boe.es/gazeta/dias/1823/09/03/pdfs/GES-1823-147.pdf#page=3","Abrir facsímil")</f>
        <v>Abrir facsímil</v>
      </c>
      <c r="K1639" s="3" t="s">
        <v>23</v>
      </c>
    </row>
    <row r="1640" spans="1:11" ht="42" customHeight="1">
      <c r="A1640" s="2" t="s">
        <v>3523</v>
      </c>
      <c r="B1640" s="2" t="s">
        <v>3524</v>
      </c>
      <c r="C1640" s="2" t="s">
        <v>109</v>
      </c>
      <c r="D1640" s="2" t="s">
        <v>74</v>
      </c>
      <c r="E1640" s="5">
        <v>-28028</v>
      </c>
      <c r="F1640" s="3" t="s">
        <v>893</v>
      </c>
      <c r="G1640" s="3" t="s">
        <v>20</v>
      </c>
      <c r="H1640" s="2" t="s">
        <v>21</v>
      </c>
      <c r="I1640" s="2" t="s">
        <v>3525</v>
      </c>
      <c r="J1640" s="3" t="str">
        <f>HYPERLINK("https://www.boe.es/gazeta/dias/1823/04/05/pdfs/GMD-1823-99.pdf#page=4","Abrir facsímil")</f>
        <v>Abrir facsímil</v>
      </c>
      <c r="K1640" s="3" t="s">
        <v>23</v>
      </c>
    </row>
    <row r="1641" spans="1:11" ht="42" customHeight="1">
      <c r="A1641" s="2" t="s">
        <v>3526</v>
      </c>
      <c r="B1641" s="2" t="s">
        <v>3526</v>
      </c>
      <c r="C1641" s="2" t="s">
        <v>17</v>
      </c>
      <c r="D1641" s="2" t="s">
        <v>18</v>
      </c>
      <c r="E1641" s="5">
        <v>-27913</v>
      </c>
      <c r="F1641" s="3" t="s">
        <v>829</v>
      </c>
      <c r="G1641" s="3" t="s">
        <v>34</v>
      </c>
      <c r="H1641" s="2" t="s">
        <v>21</v>
      </c>
      <c r="I1641" s="2" t="s">
        <v>3527</v>
      </c>
      <c r="J1641" s="3" t="str">
        <f>HYPERLINK("https://www.boe.es/gazeta/dias/1823/07/29/pdfs/GMD-1823-483.pdf#page=5","Abrir facsímil")</f>
        <v>Abrir facsímil</v>
      </c>
      <c r="K1641" s="3" t="s">
        <v>23</v>
      </c>
    </row>
    <row r="1642" spans="1:11" ht="42" customHeight="1">
      <c r="A1642" s="2" t="s">
        <v>3528</v>
      </c>
      <c r="B1642" s="2" t="s">
        <v>3529</v>
      </c>
      <c r="C1642" s="2" t="s">
        <v>17</v>
      </c>
      <c r="D1642" s="2" t="s">
        <v>18</v>
      </c>
      <c r="E1642" s="5">
        <v>-27857</v>
      </c>
      <c r="F1642" s="3" t="s">
        <v>378</v>
      </c>
      <c r="G1642" s="3" t="s">
        <v>59</v>
      </c>
      <c r="H1642" s="2" t="s">
        <v>21</v>
      </c>
      <c r="I1642" s="2" t="s">
        <v>3530</v>
      </c>
      <c r="J1642" s="3" t="str">
        <f>HYPERLINK("https://www.boe.es/gazeta/dias/1823/09/23/pdfs/GMD-1823-833.pdf#page=6","Abrir facsímil")</f>
        <v>Abrir facsímil</v>
      </c>
      <c r="K1642" s="3" t="s">
        <v>23</v>
      </c>
    </row>
    <row r="1643" spans="1:11" ht="42" customHeight="1">
      <c r="A1643" s="2" t="s">
        <v>3528</v>
      </c>
      <c r="B1643" s="2" t="s">
        <v>3529</v>
      </c>
      <c r="C1643" s="2" t="s">
        <v>56</v>
      </c>
      <c r="D1643" s="2" t="s">
        <v>57</v>
      </c>
      <c r="E1643" s="5">
        <v>-27841</v>
      </c>
      <c r="F1643" s="3" t="s">
        <v>721</v>
      </c>
      <c r="G1643" s="3" t="s">
        <v>20</v>
      </c>
      <c r="H1643" s="2" t="s">
        <v>21</v>
      </c>
      <c r="I1643" s="2" t="s">
        <v>3531</v>
      </c>
      <c r="J1643" s="3" t="str">
        <f>HYPERLINK("https://www.boe.es/gazeta/dias/1823/10/09/pdfs/GMD-1823-953.pdf#page=4","Abrir facsímil")</f>
        <v>Abrir facsímil</v>
      </c>
      <c r="K1643" s="3" t="s">
        <v>23</v>
      </c>
    </row>
    <row r="1644" spans="1:11" ht="42" customHeight="1">
      <c r="A1644" s="2" t="s">
        <v>3532</v>
      </c>
      <c r="B1644" s="2" t="s">
        <v>3533</v>
      </c>
      <c r="C1644" s="2" t="s">
        <v>79</v>
      </c>
      <c r="D1644" s="2" t="s">
        <v>74</v>
      </c>
      <c r="E1644" s="5">
        <v>-28110</v>
      </c>
      <c r="F1644" s="3" t="s">
        <v>249</v>
      </c>
      <c r="G1644" s="3" t="s">
        <v>39</v>
      </c>
      <c r="H1644" s="2" t="s">
        <v>21</v>
      </c>
      <c r="I1644" s="2" t="s">
        <v>3534</v>
      </c>
      <c r="J1644" s="3" t="str">
        <f>HYPERLINK("https://www.boe.es/gazeta/dias/1823/01/13/pdfs/GMD-1823-13.pdf#page=1","Abrir facsímil")</f>
        <v>Abrir facsímil</v>
      </c>
      <c r="K1644" s="3" t="s">
        <v>23</v>
      </c>
    </row>
    <row r="1645" spans="1:11" ht="42" customHeight="1">
      <c r="A1645" s="2" t="s">
        <v>3535</v>
      </c>
      <c r="B1645" s="2" t="s">
        <v>3535</v>
      </c>
      <c r="C1645" s="2" t="s">
        <v>79</v>
      </c>
      <c r="D1645" s="2" t="s">
        <v>74</v>
      </c>
      <c r="E1645" s="5">
        <v>-27947</v>
      </c>
      <c r="F1645" s="3" t="s">
        <v>2144</v>
      </c>
      <c r="G1645" s="3" t="s">
        <v>27</v>
      </c>
      <c r="H1645" s="2" t="s">
        <v>21</v>
      </c>
      <c r="I1645" s="2" t="s">
        <v>3536</v>
      </c>
      <c r="J1645" s="3" t="str">
        <f>HYPERLINK("https://www.boe.es/gazeta/dias/1823/06/25/pdfs/GES-1823-75.pdf#page=2","Abrir facsímil")</f>
        <v>Abrir facsímil</v>
      </c>
      <c r="K1645" s="3" t="s">
        <v>23</v>
      </c>
    </row>
    <row r="1646" spans="1:11" ht="42" customHeight="1">
      <c r="A1646" s="2" t="s">
        <v>3537</v>
      </c>
      <c r="B1646" s="2" t="s">
        <v>3537</v>
      </c>
      <c r="C1646" s="2" t="s">
        <v>56</v>
      </c>
      <c r="D1646" s="2" t="s">
        <v>57</v>
      </c>
      <c r="E1646" s="5">
        <v>-27912</v>
      </c>
      <c r="F1646" s="3" t="s">
        <v>365</v>
      </c>
      <c r="G1646" s="3" t="s">
        <v>48</v>
      </c>
      <c r="H1646" s="2" t="s">
        <v>21</v>
      </c>
      <c r="I1646" s="2" t="s">
        <v>3538</v>
      </c>
      <c r="J1646" s="3" t="str">
        <f>HYPERLINK("https://www.boe.es/gazeta/dias/1823/07/30/pdfs/GES-1823-111.pdf#page=3","Abrir facsímil")</f>
        <v>Abrir facsímil</v>
      </c>
      <c r="K1646" s="3" t="s">
        <v>23</v>
      </c>
    </row>
    <row r="1647" spans="1:11" ht="42" customHeight="1">
      <c r="A1647" s="2" t="s">
        <v>3539</v>
      </c>
      <c r="B1647" s="2" t="s">
        <v>3540</v>
      </c>
      <c r="C1647" s="2" t="s">
        <v>17</v>
      </c>
      <c r="D1647" s="2" t="s">
        <v>18</v>
      </c>
      <c r="E1647" s="5">
        <v>-27962</v>
      </c>
      <c r="F1647" s="3" t="s">
        <v>594</v>
      </c>
      <c r="G1647" s="3" t="s">
        <v>20</v>
      </c>
      <c r="H1647" s="2" t="s">
        <v>21</v>
      </c>
      <c r="I1647" s="2" t="s">
        <v>3541</v>
      </c>
      <c r="J1647" s="3" t="str">
        <f>HYPERLINK("https://www.boe.es/gazeta/dias/1823/06/10/pdfs/GES-1823-64.pdf#page=4","Abrir facsímil")</f>
        <v>Abrir facsímil</v>
      </c>
      <c r="K1647" s="3" t="s">
        <v>23</v>
      </c>
    </row>
    <row r="1648" spans="1:11" ht="42" customHeight="1">
      <c r="A1648" s="2" t="s">
        <v>3542</v>
      </c>
      <c r="B1648" s="2" t="s">
        <v>3543</v>
      </c>
      <c r="C1648" s="2" t="s">
        <v>17</v>
      </c>
      <c r="D1648" s="2" t="s">
        <v>18</v>
      </c>
      <c r="E1648" s="5">
        <v>-28066</v>
      </c>
      <c r="F1648" s="3" t="s">
        <v>19</v>
      </c>
      <c r="G1648" s="3" t="s">
        <v>20</v>
      </c>
      <c r="H1648" s="2" t="s">
        <v>21</v>
      </c>
      <c r="I1648" s="2" t="s">
        <v>3544</v>
      </c>
      <c r="J1648" s="3" t="str">
        <f>HYPERLINK("https://www.boe.es/gazeta/dias/1823/02/26/pdfs/GMD-1823-60.pdf#page=4","Abrir facsímil")</f>
        <v>Abrir facsímil</v>
      </c>
      <c r="K1648" s="3" t="s">
        <v>23</v>
      </c>
    </row>
    <row r="1649" spans="1:11" ht="42" customHeight="1">
      <c r="A1649" s="2" t="s">
        <v>3545</v>
      </c>
      <c r="B1649" s="2" t="s">
        <v>3545</v>
      </c>
      <c r="C1649" s="2" t="s">
        <v>17</v>
      </c>
      <c r="D1649" s="2" t="s">
        <v>18</v>
      </c>
      <c r="E1649" s="5">
        <v>-27920</v>
      </c>
      <c r="F1649" s="3" t="s">
        <v>1334</v>
      </c>
      <c r="G1649" s="3" t="s">
        <v>48</v>
      </c>
      <c r="H1649" s="2" t="s">
        <v>21</v>
      </c>
      <c r="I1649" s="2" t="s">
        <v>3546</v>
      </c>
      <c r="J1649" s="3" t="str">
        <f>HYPERLINK("https://www.boe.es/gazeta/dias/1823/07/22/pdfs/GMD-1823-443.pdf#page=3","Abrir facsímil")</f>
        <v>Abrir facsímil</v>
      </c>
      <c r="K1649" s="3" t="s">
        <v>23</v>
      </c>
    </row>
    <row r="1650" spans="1:11" ht="42" customHeight="1">
      <c r="A1650" s="2" t="s">
        <v>3547</v>
      </c>
      <c r="B1650" s="2" t="s">
        <v>3548</v>
      </c>
      <c r="C1650" s="2" t="s">
        <v>109</v>
      </c>
      <c r="D1650" s="2" t="s">
        <v>74</v>
      </c>
      <c r="E1650" s="5">
        <v>-27848</v>
      </c>
      <c r="F1650" s="3" t="s">
        <v>1083</v>
      </c>
      <c r="G1650" s="3" t="s">
        <v>1084</v>
      </c>
      <c r="H1650" s="2" t="s">
        <v>21</v>
      </c>
      <c r="I1650" s="2" t="s">
        <v>3549</v>
      </c>
      <c r="J1650" s="3" t="str">
        <f>HYPERLINK("https://www.boe.es/gazeta/dias/1823/10/02/pdfs/GES-1823-176.pdf#page=3","Abrir facsímil")</f>
        <v>Abrir facsímil</v>
      </c>
      <c r="K1650" s="3" t="s">
        <v>23</v>
      </c>
    </row>
    <row r="1651" spans="1:11" ht="42" customHeight="1">
      <c r="A1651" s="2" t="s">
        <v>3550</v>
      </c>
      <c r="B1651" s="2" t="s">
        <v>3551</v>
      </c>
      <c r="C1651" s="2" t="s">
        <v>17</v>
      </c>
      <c r="D1651" s="2" t="s">
        <v>18</v>
      </c>
      <c r="E1651" s="5">
        <v>-27901</v>
      </c>
      <c r="F1651" s="3" t="s">
        <v>840</v>
      </c>
      <c r="G1651" s="3" t="s">
        <v>27</v>
      </c>
      <c r="H1651" s="2" t="s">
        <v>21</v>
      </c>
      <c r="I1651" s="2" t="s">
        <v>3552</v>
      </c>
      <c r="J1651" s="3" t="str">
        <f>HYPERLINK("https://www.boe.es/gazeta/dias/1823/08/10/pdfs/GES-1823-123.pdf#page=2","Abrir facsímil")</f>
        <v>Abrir facsímil</v>
      </c>
      <c r="K1651" s="3" t="s">
        <v>23</v>
      </c>
    </row>
    <row r="1652" spans="1:11" ht="42" customHeight="1">
      <c r="A1652" s="2" t="s">
        <v>3553</v>
      </c>
      <c r="B1652" s="2" t="s">
        <v>3554</v>
      </c>
      <c r="C1652" s="2" t="s">
        <v>17</v>
      </c>
      <c r="D1652" s="2" t="s">
        <v>18</v>
      </c>
      <c r="E1652" s="5">
        <v>-28048</v>
      </c>
      <c r="F1652" s="3" t="s">
        <v>399</v>
      </c>
      <c r="G1652" s="3" t="s">
        <v>20</v>
      </c>
      <c r="H1652" s="2" t="s">
        <v>21</v>
      </c>
      <c r="I1652" s="2" t="s">
        <v>3555</v>
      </c>
      <c r="J1652" s="3" t="str">
        <f>HYPERLINK("https://www.boe.es/gazeta/dias/1823/03/16/pdfs/GMD-1823-79.pdf#page=4","Abrir facsímil")</f>
        <v>Abrir facsímil</v>
      </c>
      <c r="K1652" s="3" t="s">
        <v>23</v>
      </c>
    </row>
    <row r="1653" spans="1:11" ht="42" customHeight="1">
      <c r="A1653" s="2" t="s">
        <v>3556</v>
      </c>
      <c r="B1653" s="2" t="s">
        <v>3557</v>
      </c>
      <c r="C1653" s="2" t="s">
        <v>17</v>
      </c>
      <c r="D1653" s="2" t="s">
        <v>18</v>
      </c>
      <c r="E1653" s="5">
        <v>-28052</v>
      </c>
      <c r="F1653" s="3" t="s">
        <v>1025</v>
      </c>
      <c r="G1653" s="3" t="s">
        <v>1794</v>
      </c>
      <c r="H1653" s="2" t="s">
        <v>28</v>
      </c>
      <c r="I1653" s="2" t="s">
        <v>3558</v>
      </c>
      <c r="J1653" s="3" t="str">
        <f>HYPERLINK("https://www.boe.es/gazeta/dias/1823/03/12/pdfs/GMD-1823-75.pdf#page=1","Abrir facsímil")</f>
        <v>Abrir facsímil</v>
      </c>
      <c r="K1653" s="3" t="s">
        <v>30</v>
      </c>
    </row>
    <row r="1654" spans="1:11" ht="42" customHeight="1">
      <c r="A1654" s="2" t="s">
        <v>3559</v>
      </c>
      <c r="B1654" s="2" t="s">
        <v>3560</v>
      </c>
      <c r="C1654" s="2" t="s">
        <v>79</v>
      </c>
      <c r="D1654" s="2" t="s">
        <v>74</v>
      </c>
      <c r="E1654" s="5">
        <v>-27920</v>
      </c>
      <c r="F1654" s="3" t="s">
        <v>1334</v>
      </c>
      <c r="G1654" s="3" t="s">
        <v>715</v>
      </c>
      <c r="H1654" s="2" t="s">
        <v>21</v>
      </c>
      <c r="I1654" s="2" t="s">
        <v>3561</v>
      </c>
      <c r="J1654" s="3" t="str">
        <f>HYPERLINK("https://www.boe.es/gazeta/dias/1823/07/22/pdfs/GMD-1823-443.pdf#page=8","Abrir facsímil")</f>
        <v>Abrir facsímil</v>
      </c>
      <c r="K1654" s="3" t="s">
        <v>23</v>
      </c>
    </row>
    <row r="1655" spans="1:11" ht="42" customHeight="1">
      <c r="A1655" s="2" t="s">
        <v>3562</v>
      </c>
      <c r="B1655" s="2" t="s">
        <v>3562</v>
      </c>
      <c r="C1655" s="2" t="s">
        <v>17</v>
      </c>
      <c r="D1655" s="2" t="s">
        <v>18</v>
      </c>
      <c r="E1655" s="5">
        <v>-27986</v>
      </c>
      <c r="F1655" s="3" t="s">
        <v>75</v>
      </c>
      <c r="G1655" s="3" t="s">
        <v>34</v>
      </c>
      <c r="H1655" s="2" t="s">
        <v>21</v>
      </c>
      <c r="I1655" s="2" t="s">
        <v>3563</v>
      </c>
      <c r="J1655" s="3" t="str">
        <f>HYPERLINK("https://www.boe.es/gazeta/dias/1823/05/17/pdfs/GES-1823-37.pdf#page=5","Abrir facsímil")</f>
        <v>Abrir facsímil</v>
      </c>
      <c r="K1655" s="3" t="s">
        <v>23</v>
      </c>
    </row>
    <row r="1656" spans="1:11" ht="42" customHeight="1">
      <c r="A1656" s="2" t="s">
        <v>3564</v>
      </c>
      <c r="B1656" s="2" t="s">
        <v>3564</v>
      </c>
      <c r="C1656" s="2" t="s">
        <v>17</v>
      </c>
      <c r="D1656" s="2" t="s">
        <v>18</v>
      </c>
      <c r="E1656" s="5">
        <v>-27878</v>
      </c>
      <c r="F1656" s="3" t="s">
        <v>1581</v>
      </c>
      <c r="G1656" s="3" t="s">
        <v>48</v>
      </c>
      <c r="H1656" s="2" t="s">
        <v>21</v>
      </c>
      <c r="I1656" s="2" t="s">
        <v>3565</v>
      </c>
      <c r="J1656" s="3" t="str">
        <f>HYPERLINK("https://www.boe.es/gazeta/dias/1823/09/02/pdfs/GMD-1823-683.pdf#page=3","Abrir facsímil")</f>
        <v>Abrir facsímil</v>
      </c>
      <c r="K1656" s="3" t="s">
        <v>23</v>
      </c>
    </row>
    <row r="1657" spans="1:11" ht="42" customHeight="1">
      <c r="A1657" s="2" t="s">
        <v>3566</v>
      </c>
      <c r="B1657" s="2" t="s">
        <v>3567</v>
      </c>
      <c r="C1657" s="2" t="s">
        <v>56</v>
      </c>
      <c r="D1657" s="2" t="s">
        <v>57</v>
      </c>
      <c r="E1657" s="5">
        <v>-27941</v>
      </c>
      <c r="F1657" s="3" t="s">
        <v>1551</v>
      </c>
      <c r="G1657" s="3" t="s">
        <v>39</v>
      </c>
      <c r="H1657" s="2" t="s">
        <v>21</v>
      </c>
      <c r="I1657" s="2" t="s">
        <v>3568</v>
      </c>
      <c r="J1657" s="3" t="str">
        <f>HYPERLINK("https://www.boe.es/gazeta/dias/1823/07/01/pdfs/GMD-1823-323.pdf#page=1","Abrir facsímil")</f>
        <v>Abrir facsímil</v>
      </c>
      <c r="K1657" s="3" t="s">
        <v>23</v>
      </c>
    </row>
    <row r="1658" spans="1:11" ht="42" customHeight="1">
      <c r="A1658" s="2" t="s">
        <v>3569</v>
      </c>
      <c r="B1658" s="2" t="s">
        <v>3569</v>
      </c>
      <c r="C1658" s="2" t="s">
        <v>17</v>
      </c>
      <c r="D1658" s="2" t="s">
        <v>18</v>
      </c>
      <c r="E1658" s="5">
        <v>-27944</v>
      </c>
      <c r="F1658" s="3" t="s">
        <v>658</v>
      </c>
      <c r="G1658" s="3" t="s">
        <v>39</v>
      </c>
      <c r="H1658" s="2" t="s">
        <v>21</v>
      </c>
      <c r="I1658" s="2" t="s">
        <v>3570</v>
      </c>
      <c r="J1658" s="3" t="str">
        <f>HYPERLINK("https://www.boe.es/gazeta/dias/1823/06/28/pdfs/GMD-1823-303.pdf#page=1","Abrir facsímil")</f>
        <v>Abrir facsímil</v>
      </c>
      <c r="K1658" s="3" t="s">
        <v>23</v>
      </c>
    </row>
    <row r="1659" spans="1:11" ht="42" customHeight="1">
      <c r="A1659" s="2" t="s">
        <v>3571</v>
      </c>
      <c r="B1659" s="2" t="s">
        <v>3572</v>
      </c>
      <c r="C1659" s="2" t="s">
        <v>17</v>
      </c>
      <c r="D1659" s="2" t="s">
        <v>18</v>
      </c>
      <c r="E1659" s="5">
        <v>-28090</v>
      </c>
      <c r="F1659" s="3" t="s">
        <v>174</v>
      </c>
      <c r="G1659" s="3" t="s">
        <v>20</v>
      </c>
      <c r="H1659" s="2" t="s">
        <v>21</v>
      </c>
      <c r="I1659" s="2" t="s">
        <v>3573</v>
      </c>
      <c r="J1659" s="3" t="str">
        <f>HYPERLINK("https://www.boe.es/gazeta/dias/1823/02/02/pdfs/GMD-1823-35.pdf#page=4","Abrir facsímil")</f>
        <v>Abrir facsímil</v>
      </c>
      <c r="K1659" s="3" t="s">
        <v>23</v>
      </c>
    </row>
    <row r="1660" spans="1:11" ht="42" customHeight="1">
      <c r="A1660" s="2" t="s">
        <v>3574</v>
      </c>
      <c r="B1660" s="2" t="s">
        <v>3575</v>
      </c>
      <c r="C1660" s="2" t="s">
        <v>109</v>
      </c>
      <c r="D1660" s="2" t="s">
        <v>74</v>
      </c>
      <c r="E1660" s="5">
        <v>-27984</v>
      </c>
      <c r="F1660" s="3" t="s">
        <v>335</v>
      </c>
      <c r="G1660" s="3" t="s">
        <v>27</v>
      </c>
      <c r="H1660" s="2" t="s">
        <v>28</v>
      </c>
      <c r="I1660" s="2" t="s">
        <v>3576</v>
      </c>
      <c r="J1660" s="3" t="str">
        <f>HYPERLINK("https://www.boe.es/gazeta/dias/1823/05/19/pdfs/GES-1823-39.pdf#page=2","Abrir facsímil")</f>
        <v>Abrir facsímil</v>
      </c>
      <c r="K1660" s="3" t="s">
        <v>30</v>
      </c>
    </row>
    <row r="1661" spans="1:11" ht="42" customHeight="1">
      <c r="A1661" s="2" t="s">
        <v>3577</v>
      </c>
      <c r="B1661" s="2" t="s">
        <v>3577</v>
      </c>
      <c r="C1661" s="2" t="s">
        <v>325</v>
      </c>
      <c r="D1661" s="2" t="s">
        <v>74</v>
      </c>
      <c r="E1661" s="5">
        <v>-27930</v>
      </c>
      <c r="F1661" s="3" t="s">
        <v>3578</v>
      </c>
      <c r="G1661" s="3" t="s">
        <v>20</v>
      </c>
      <c r="H1661" s="2" t="s">
        <v>21</v>
      </c>
      <c r="I1661" s="2" t="s">
        <v>3579</v>
      </c>
      <c r="J1661" s="3" t="str">
        <f>HYPERLINK("https://www.boe.es/gazeta/dias/1823/07/12/pdfs/GMD-1823-393.pdf#page=4","Abrir facsímil")</f>
        <v>Abrir facsímil</v>
      </c>
      <c r="K1661" s="3" t="s">
        <v>23</v>
      </c>
    </row>
    <row r="1662" spans="1:11" ht="42" customHeight="1">
      <c r="A1662" s="2" t="s">
        <v>3580</v>
      </c>
      <c r="B1662" s="2" t="s">
        <v>3581</v>
      </c>
      <c r="C1662" s="2" t="s">
        <v>325</v>
      </c>
      <c r="D1662" s="2" t="s">
        <v>74</v>
      </c>
      <c r="E1662" s="5">
        <v>-27960</v>
      </c>
      <c r="F1662" s="3" t="s">
        <v>682</v>
      </c>
      <c r="G1662" s="3" t="s">
        <v>815</v>
      </c>
      <c r="H1662" s="2" t="s">
        <v>21</v>
      </c>
      <c r="I1662" s="2" t="s">
        <v>3582</v>
      </c>
      <c r="J1662" s="3" t="str">
        <f>HYPERLINK("https://www.boe.es/gazeta/dias/1823/06/12/pdfs/GMD-1823-123.pdf#page=6","Abrir facsímil")</f>
        <v>Abrir facsímil</v>
      </c>
      <c r="K1662" s="3" t="s">
        <v>23</v>
      </c>
    </row>
    <row r="1663" spans="1:11" ht="42" customHeight="1">
      <c r="A1663" s="2" t="s">
        <v>3583</v>
      </c>
      <c r="B1663" s="2" t="s">
        <v>3584</v>
      </c>
      <c r="C1663" s="2" t="s">
        <v>79</v>
      </c>
      <c r="D1663" s="2" t="s">
        <v>74</v>
      </c>
      <c r="E1663" s="5">
        <v>-28101</v>
      </c>
      <c r="F1663" s="3" t="s">
        <v>1041</v>
      </c>
      <c r="G1663" s="3" t="s">
        <v>39</v>
      </c>
      <c r="H1663" s="2" t="s">
        <v>21</v>
      </c>
      <c r="I1663" s="2" t="s">
        <v>3585</v>
      </c>
      <c r="J1663" s="3" t="str">
        <f>HYPERLINK("https://www.boe.es/gazeta/dias/1823/01/22/pdfs/GMD-1823-23.pdf#page=1","Abrir facsímil")</f>
        <v>Abrir facsímil</v>
      </c>
      <c r="K1663" s="3" t="s">
        <v>23</v>
      </c>
    </row>
    <row r="1664" spans="1:11" ht="42" customHeight="1">
      <c r="A1664" s="2" t="s">
        <v>3586</v>
      </c>
      <c r="B1664" s="2" t="s">
        <v>3586</v>
      </c>
      <c r="C1664" s="2" t="s">
        <v>17</v>
      </c>
      <c r="D1664" s="2" t="s">
        <v>18</v>
      </c>
      <c r="E1664" s="5">
        <v>-27904</v>
      </c>
      <c r="F1664" s="3" t="s">
        <v>1227</v>
      </c>
      <c r="G1664" s="3" t="s">
        <v>20</v>
      </c>
      <c r="H1664" s="2" t="s">
        <v>21</v>
      </c>
      <c r="I1664" s="2" t="s">
        <v>3587</v>
      </c>
      <c r="J1664" s="3" t="str">
        <f>HYPERLINK("https://www.boe.es/gazeta/dias/1823/08/07/pdfs/GMD-1823-543.pdf#page=4","Abrir facsímil")</f>
        <v>Abrir facsímil</v>
      </c>
      <c r="K1664" s="3" t="s">
        <v>23</v>
      </c>
    </row>
    <row r="1665" spans="1:11" ht="42" customHeight="1">
      <c r="A1665" s="2" t="s">
        <v>3588</v>
      </c>
      <c r="B1665" s="2" t="s">
        <v>3589</v>
      </c>
      <c r="C1665" s="2" t="s">
        <v>17</v>
      </c>
      <c r="D1665" s="2" t="s">
        <v>117</v>
      </c>
      <c r="E1665" s="5">
        <v>-27811</v>
      </c>
      <c r="F1665" s="3" t="s">
        <v>3590</v>
      </c>
      <c r="G1665" s="3" t="s">
        <v>39</v>
      </c>
      <c r="H1665" s="2" t="s">
        <v>21</v>
      </c>
      <c r="I1665" s="2" t="s">
        <v>3591</v>
      </c>
      <c r="J1665" s="3" t="str">
        <f>HYPERLINK("https://www.boe.es/gazeta/dias/1823/11/08/pdfs/GMD-1823-1093E.pdf#page=1","Abrir facsímil")</f>
        <v>Abrir facsímil</v>
      </c>
      <c r="K1665" s="3" t="s">
        <v>23</v>
      </c>
    </row>
    <row r="1666" spans="1:11" ht="42" customHeight="1">
      <c r="A1666" s="2" t="s">
        <v>3588</v>
      </c>
      <c r="B1666" s="2" t="s">
        <v>3589</v>
      </c>
      <c r="C1666" s="2" t="s">
        <v>17</v>
      </c>
      <c r="D1666" s="2" t="s">
        <v>18</v>
      </c>
      <c r="E1666" s="5">
        <v>-27804</v>
      </c>
      <c r="F1666" s="3" t="s">
        <v>836</v>
      </c>
      <c r="G1666" s="3" t="s">
        <v>39</v>
      </c>
      <c r="H1666" s="2" t="s">
        <v>21</v>
      </c>
      <c r="I1666" s="2" t="s">
        <v>3592</v>
      </c>
      <c r="J1666" s="3" t="str">
        <f>HYPERLINK("https://www.boe.es/gazeta/dias/1823/11/15/pdfs/GMD-1823-1123.pdf#page=1","Abrir facsímil")</f>
        <v>Abrir facsímil</v>
      </c>
      <c r="K1666" s="3" t="s">
        <v>23</v>
      </c>
    </row>
    <row r="1667" spans="1:11" ht="42" customHeight="1">
      <c r="A1667" s="2" t="s">
        <v>3593</v>
      </c>
      <c r="B1667" s="2" t="s">
        <v>3593</v>
      </c>
      <c r="C1667" s="2" t="s">
        <v>17</v>
      </c>
      <c r="D1667" s="2" t="s">
        <v>18</v>
      </c>
      <c r="E1667" s="5">
        <v>-27904</v>
      </c>
      <c r="F1667" s="3" t="s">
        <v>1227</v>
      </c>
      <c r="G1667" s="3" t="s">
        <v>20</v>
      </c>
      <c r="H1667" s="2" t="s">
        <v>21</v>
      </c>
      <c r="I1667" s="2" t="s">
        <v>3594</v>
      </c>
      <c r="J1667" s="3" t="str">
        <f>HYPERLINK("https://www.boe.es/gazeta/dias/1823/08/07/pdfs/GMD-1823-543.pdf#page=4","Abrir facsímil")</f>
        <v>Abrir facsímil</v>
      </c>
      <c r="K1667" s="3" t="s">
        <v>23</v>
      </c>
    </row>
    <row r="1668" spans="1:11" ht="42" customHeight="1">
      <c r="A1668" s="2" t="s">
        <v>3595</v>
      </c>
      <c r="B1668" s="2" t="s">
        <v>3595</v>
      </c>
      <c r="C1668" s="2" t="s">
        <v>56</v>
      </c>
      <c r="D1668" s="2" t="s">
        <v>57</v>
      </c>
      <c r="E1668" s="5">
        <v>-28077</v>
      </c>
      <c r="F1668" s="3" t="s">
        <v>536</v>
      </c>
      <c r="G1668" s="3" t="s">
        <v>59</v>
      </c>
      <c r="H1668" s="2" t="s">
        <v>21</v>
      </c>
      <c r="I1668" s="2" t="s">
        <v>3596</v>
      </c>
      <c r="J1668" s="3" t="str">
        <f>HYPERLINK("https://www.boe.es/gazeta/dias/1823/02/15/pdfs/GMD-1823-49.pdf#page=6","Abrir facsímil")</f>
        <v>Abrir facsímil</v>
      </c>
      <c r="K1668" s="3" t="s">
        <v>23</v>
      </c>
    </row>
    <row r="1669" spans="1:11" ht="42" customHeight="1">
      <c r="A1669" s="2" t="s">
        <v>3595</v>
      </c>
      <c r="B1669" s="2" t="s">
        <v>3595</v>
      </c>
      <c r="C1669" s="2" t="s">
        <v>17</v>
      </c>
      <c r="D1669" s="2" t="s">
        <v>18</v>
      </c>
      <c r="E1669" s="5">
        <v>-27944</v>
      </c>
      <c r="F1669" s="3" t="s">
        <v>658</v>
      </c>
      <c r="G1669" s="3" t="s">
        <v>39</v>
      </c>
      <c r="H1669" s="2" t="s">
        <v>21</v>
      </c>
      <c r="I1669" s="2" t="s">
        <v>3597</v>
      </c>
      <c r="J1669" s="3" t="str">
        <f>HYPERLINK("https://www.boe.es/gazeta/dias/1823/06/28/pdfs/GMD-1823-303.pdf#page=1","Abrir facsímil")</f>
        <v>Abrir facsímil</v>
      </c>
      <c r="K1669" s="3" t="s">
        <v>23</v>
      </c>
    </row>
    <row r="1670" spans="1:11" ht="42" customHeight="1">
      <c r="A1670" s="2" t="s">
        <v>3595</v>
      </c>
      <c r="B1670" s="2" t="s">
        <v>3595</v>
      </c>
      <c r="C1670" s="2" t="s">
        <v>17</v>
      </c>
      <c r="D1670" s="2" t="s">
        <v>18</v>
      </c>
      <c r="E1670" s="5">
        <v>-27918</v>
      </c>
      <c r="F1670" s="3" t="s">
        <v>218</v>
      </c>
      <c r="G1670" s="3" t="s">
        <v>20</v>
      </c>
      <c r="H1670" s="2" t="s">
        <v>21</v>
      </c>
      <c r="I1670" s="2" t="s">
        <v>3598</v>
      </c>
      <c r="J1670" s="3" t="str">
        <f>HYPERLINK("https://www.boe.es/gazeta/dias/1823/07/24/pdfs/GMD-1823-463.pdf#page=4","Abrir facsímil")</f>
        <v>Abrir facsímil</v>
      </c>
      <c r="K1670" s="3" t="s">
        <v>23</v>
      </c>
    </row>
    <row r="1671" spans="1:11" ht="42" customHeight="1">
      <c r="A1671" s="2" t="s">
        <v>3595</v>
      </c>
      <c r="B1671" s="2" t="s">
        <v>3595</v>
      </c>
      <c r="C1671" s="2" t="s">
        <v>17</v>
      </c>
      <c r="D1671" s="2" t="s">
        <v>18</v>
      </c>
      <c r="E1671" s="5">
        <v>-27874</v>
      </c>
      <c r="F1671" s="3" t="s">
        <v>1410</v>
      </c>
      <c r="G1671" s="3" t="s">
        <v>27</v>
      </c>
      <c r="H1671" s="2" t="s">
        <v>21</v>
      </c>
      <c r="I1671" s="2" t="s">
        <v>3599</v>
      </c>
      <c r="J1671" s="3" t="str">
        <f>HYPERLINK("https://www.boe.es/gazeta/dias/1823/09/06/pdfs/GES-1823-150.pdf#page=2","Abrir facsímil")</f>
        <v>Abrir facsímil</v>
      </c>
      <c r="K1671" s="3" t="s">
        <v>23</v>
      </c>
    </row>
    <row r="1672" spans="1:11" ht="42" customHeight="1">
      <c r="A1672" s="2" t="s">
        <v>3600</v>
      </c>
      <c r="B1672" s="2" t="s">
        <v>3600</v>
      </c>
      <c r="C1672" s="2" t="s">
        <v>17</v>
      </c>
      <c r="D1672" s="2" t="s">
        <v>18</v>
      </c>
      <c r="E1672" s="5">
        <v>-27860</v>
      </c>
      <c r="F1672" s="3" t="s">
        <v>998</v>
      </c>
      <c r="G1672" s="3" t="s">
        <v>34</v>
      </c>
      <c r="H1672" s="2" t="s">
        <v>21</v>
      </c>
      <c r="I1672" s="2" t="s">
        <v>3601</v>
      </c>
      <c r="J1672" s="3" t="str">
        <f>HYPERLINK("https://www.boe.es/gazeta/dias/1823/09/20/pdfs/GMD-1823-813.pdf#page=5","Abrir facsímil")</f>
        <v>Abrir facsímil</v>
      </c>
      <c r="K1672" s="3" t="s">
        <v>23</v>
      </c>
    </row>
    <row r="1673" spans="1:11" ht="42" customHeight="1">
      <c r="A1673" s="2" t="s">
        <v>3595</v>
      </c>
      <c r="B1673" s="2" t="s">
        <v>3595</v>
      </c>
      <c r="C1673" s="2" t="s">
        <v>17</v>
      </c>
      <c r="D1673" s="2" t="s">
        <v>18</v>
      </c>
      <c r="E1673" s="5">
        <v>-27860</v>
      </c>
      <c r="F1673" s="3" t="s">
        <v>998</v>
      </c>
      <c r="G1673" s="3" t="s">
        <v>59</v>
      </c>
      <c r="H1673" s="2" t="s">
        <v>21</v>
      </c>
      <c r="I1673" s="2" t="s">
        <v>3602</v>
      </c>
      <c r="J1673" s="3" t="str">
        <f>HYPERLINK("https://www.boe.es/gazeta/dias/1823/09/20/pdfs/GMD-1823-813.pdf#page=6","Abrir facsímil")</f>
        <v>Abrir facsímil</v>
      </c>
      <c r="K1673" s="3" t="s">
        <v>23</v>
      </c>
    </row>
    <row r="1674" spans="1:11" ht="42" customHeight="1">
      <c r="A1674" s="2" t="s">
        <v>3603</v>
      </c>
      <c r="B1674" s="2" t="s">
        <v>3604</v>
      </c>
      <c r="C1674" s="2" t="s">
        <v>17</v>
      </c>
      <c r="D1674" s="2" t="s">
        <v>18</v>
      </c>
      <c r="E1674" s="5">
        <v>-27801</v>
      </c>
      <c r="F1674" s="3" t="s">
        <v>800</v>
      </c>
      <c r="G1674" s="3" t="s">
        <v>48</v>
      </c>
      <c r="H1674" s="2" t="s">
        <v>21</v>
      </c>
      <c r="I1674" s="2" t="s">
        <v>3605</v>
      </c>
      <c r="J1674" s="3" t="str">
        <f>HYPERLINK("https://www.boe.es/gazeta/dias/1823/11/18/pdfs/GMD-1823-1133.pdf#page=3","Abrir facsímil")</f>
        <v>Abrir facsímil</v>
      </c>
      <c r="K1674" s="3" t="s">
        <v>23</v>
      </c>
    </row>
    <row r="1675" spans="1:11" ht="42" customHeight="1">
      <c r="A1675" s="2" t="s">
        <v>3606</v>
      </c>
      <c r="B1675" s="2" t="s">
        <v>3606</v>
      </c>
      <c r="C1675" s="2" t="s">
        <v>17</v>
      </c>
      <c r="D1675" s="2" t="s">
        <v>18</v>
      </c>
      <c r="E1675" s="5">
        <v>-27855</v>
      </c>
      <c r="F1675" s="3" t="s">
        <v>380</v>
      </c>
      <c r="G1675" s="3" t="s">
        <v>27</v>
      </c>
      <c r="H1675" s="2" t="s">
        <v>21</v>
      </c>
      <c r="I1675" s="2" t="s">
        <v>3607</v>
      </c>
      <c r="J1675" s="3" t="str">
        <f>HYPERLINK("https://www.boe.es/gazeta/dias/1823/09/25/pdfs/GMD-1823-853.pdf#page=2","Abrir facsímil")</f>
        <v>Abrir facsímil</v>
      </c>
      <c r="K1675" s="3" t="s">
        <v>23</v>
      </c>
    </row>
    <row r="1676" spans="1:11" ht="42" customHeight="1">
      <c r="A1676" s="2" t="s">
        <v>3608</v>
      </c>
      <c r="B1676" s="2" t="s">
        <v>3608</v>
      </c>
      <c r="C1676" s="2" t="s">
        <v>17</v>
      </c>
      <c r="D1676" s="2" t="s">
        <v>117</v>
      </c>
      <c r="E1676" s="5">
        <v>-27953</v>
      </c>
      <c r="F1676" s="3" t="s">
        <v>2684</v>
      </c>
      <c r="G1676" s="3" t="s">
        <v>39</v>
      </c>
      <c r="H1676" s="2" t="s">
        <v>21</v>
      </c>
      <c r="I1676" s="2" t="s">
        <v>3609</v>
      </c>
      <c r="J1676" s="3" t="str">
        <f>HYPERLINK("https://www.boe.es/gazeta/dias/1823/06/19/pdfs/GMD-1823-203E.pdf#page=1","Abrir facsímil")</f>
        <v>Abrir facsímil</v>
      </c>
      <c r="K1676" s="3" t="s">
        <v>23</v>
      </c>
    </row>
    <row r="1677" spans="1:11" ht="42" customHeight="1">
      <c r="A1677" s="2" t="s">
        <v>3610</v>
      </c>
      <c r="B1677" s="2" t="s">
        <v>3610</v>
      </c>
      <c r="C1677" s="2" t="s">
        <v>17</v>
      </c>
      <c r="D1677" s="2" t="s">
        <v>18</v>
      </c>
      <c r="E1677" s="5">
        <v>-27996</v>
      </c>
      <c r="F1677" s="3" t="s">
        <v>695</v>
      </c>
      <c r="G1677" s="3" t="s">
        <v>20</v>
      </c>
      <c r="H1677" s="2" t="s">
        <v>21</v>
      </c>
      <c r="I1677" s="2" t="s">
        <v>3611</v>
      </c>
      <c r="J1677" s="3" t="str">
        <f>HYPERLINK("https://www.boe.es/gazeta/dias/1823/05/07/pdfs/GES-1823-27.pdf#page=4","Abrir facsímil")</f>
        <v>Abrir facsímil</v>
      </c>
      <c r="K1677" s="3" t="s">
        <v>23</v>
      </c>
    </row>
    <row r="1678" spans="1:11" ht="42" customHeight="1">
      <c r="A1678" s="2" t="s">
        <v>3612</v>
      </c>
      <c r="B1678" s="2" t="s">
        <v>3612</v>
      </c>
      <c r="C1678" s="2" t="s">
        <v>17</v>
      </c>
      <c r="D1678" s="2" t="s">
        <v>18</v>
      </c>
      <c r="E1678" s="5">
        <v>-27944</v>
      </c>
      <c r="F1678" s="3" t="s">
        <v>658</v>
      </c>
      <c r="G1678" s="3" t="s">
        <v>39</v>
      </c>
      <c r="H1678" s="2" t="s">
        <v>21</v>
      </c>
      <c r="I1678" s="2" t="s">
        <v>3613</v>
      </c>
      <c r="J1678" s="3" t="str">
        <f>HYPERLINK("https://www.boe.es/gazeta/dias/1823/06/28/pdfs/GMD-1823-303.pdf#page=1","Abrir facsímil")</f>
        <v>Abrir facsímil</v>
      </c>
      <c r="K1678" s="3" t="s">
        <v>23</v>
      </c>
    </row>
    <row r="1679" spans="1:11" ht="42" customHeight="1">
      <c r="A1679" s="2" t="s">
        <v>3614</v>
      </c>
      <c r="B1679" s="2" t="s">
        <v>3615</v>
      </c>
      <c r="C1679" s="2" t="s">
        <v>56</v>
      </c>
      <c r="D1679" s="2" t="s">
        <v>57</v>
      </c>
      <c r="E1679" s="5">
        <v>-27920</v>
      </c>
      <c r="F1679" s="3" t="s">
        <v>1334</v>
      </c>
      <c r="G1679" s="3" t="s">
        <v>715</v>
      </c>
      <c r="H1679" s="2" t="s">
        <v>21</v>
      </c>
      <c r="I1679" s="2" t="s">
        <v>3616</v>
      </c>
      <c r="J1679" s="3" t="str">
        <f>HYPERLINK("https://www.boe.es/gazeta/dias/1823/07/22/pdfs/GMD-1823-443.pdf#page=8","Abrir facsímil")</f>
        <v>Abrir facsímil</v>
      </c>
      <c r="K1679" s="3" t="s">
        <v>23</v>
      </c>
    </row>
    <row r="1680" spans="1:11" ht="42" customHeight="1">
      <c r="A1680" s="2" t="s">
        <v>3617</v>
      </c>
      <c r="B1680" s="2" t="s">
        <v>3618</v>
      </c>
      <c r="C1680" s="2" t="s">
        <v>79</v>
      </c>
      <c r="D1680" s="2" t="s">
        <v>74</v>
      </c>
      <c r="E1680" s="5">
        <v>-27822</v>
      </c>
      <c r="F1680" s="3" t="s">
        <v>992</v>
      </c>
      <c r="G1680" s="3" t="s">
        <v>48</v>
      </c>
      <c r="H1680" s="2" t="s">
        <v>21</v>
      </c>
      <c r="I1680" s="2" t="s">
        <v>3619</v>
      </c>
      <c r="J1680" s="3" t="str">
        <f>HYPERLINK("https://www.boe.es/gazeta/dias/1823/10/28/pdfs/GMD-1823-1033.pdf#page=3","Abrir facsímil")</f>
        <v>Abrir facsímil</v>
      </c>
      <c r="K1680" s="3" t="s">
        <v>23</v>
      </c>
    </row>
    <row r="1681" spans="1:11" ht="42" customHeight="1">
      <c r="A1681" s="2" t="s">
        <v>3620</v>
      </c>
      <c r="B1681" s="2" t="s">
        <v>3621</v>
      </c>
      <c r="C1681" s="2" t="s">
        <v>79</v>
      </c>
      <c r="D1681" s="2" t="s">
        <v>74</v>
      </c>
      <c r="E1681" s="5">
        <v>-27848</v>
      </c>
      <c r="F1681" s="3" t="s">
        <v>1083</v>
      </c>
      <c r="G1681" s="3" t="s">
        <v>3622</v>
      </c>
      <c r="H1681" s="2" t="s">
        <v>21</v>
      </c>
      <c r="I1681" s="2" t="s">
        <v>3623</v>
      </c>
      <c r="J1681" s="3" t="str">
        <f>HYPERLINK("https://www.boe.es/gazeta/dias/1823/10/02/pdfs/GES-1823-176.pdf#page=4","Abrir facsímil")</f>
        <v>Abrir facsímil</v>
      </c>
      <c r="K1681" s="3" t="s">
        <v>23</v>
      </c>
    </row>
    <row r="1682" spans="1:11" ht="42" customHeight="1">
      <c r="A1682" s="2" t="s">
        <v>3624</v>
      </c>
      <c r="B1682" s="2" t="s">
        <v>3625</v>
      </c>
      <c r="C1682" s="2" t="s">
        <v>17</v>
      </c>
      <c r="D1682" s="2" t="s">
        <v>18</v>
      </c>
      <c r="E1682" s="5">
        <v>-27863</v>
      </c>
      <c r="F1682" s="3" t="s">
        <v>651</v>
      </c>
      <c r="G1682" s="3" t="s">
        <v>27</v>
      </c>
      <c r="H1682" s="2" t="s">
        <v>21</v>
      </c>
      <c r="I1682" s="2" t="s">
        <v>3626</v>
      </c>
      <c r="J1682" s="3" t="str">
        <f>HYPERLINK("https://www.boe.es/gazeta/dias/1823/09/17/pdfs/GES-1823-161.pdf#page=2","Abrir facsímil")</f>
        <v>Abrir facsímil</v>
      </c>
      <c r="K1682" s="3" t="s">
        <v>23</v>
      </c>
    </row>
    <row r="1683" spans="1:11" ht="42" customHeight="1">
      <c r="A1683" s="2" t="s">
        <v>3627</v>
      </c>
      <c r="B1683" s="2" t="s">
        <v>3627</v>
      </c>
      <c r="C1683" s="2" t="s">
        <v>17</v>
      </c>
      <c r="D1683" s="2" t="s">
        <v>18</v>
      </c>
      <c r="E1683" s="5">
        <v>-27918</v>
      </c>
      <c r="F1683" s="3" t="s">
        <v>218</v>
      </c>
      <c r="G1683" s="3" t="s">
        <v>48</v>
      </c>
      <c r="H1683" s="2" t="s">
        <v>21</v>
      </c>
      <c r="I1683" s="2" t="s">
        <v>3628</v>
      </c>
      <c r="J1683" s="3" t="str">
        <f>HYPERLINK("https://www.boe.es/gazeta/dias/1823/07/24/pdfs/GMD-1823-463.pdf#page=3","Abrir facsímil")</f>
        <v>Abrir facsímil</v>
      </c>
      <c r="K1683" s="3" t="s">
        <v>23</v>
      </c>
    </row>
    <row r="1684" spans="1:11" ht="42" customHeight="1">
      <c r="A1684" s="2" t="s">
        <v>3629</v>
      </c>
      <c r="B1684" s="2" t="s">
        <v>3629</v>
      </c>
      <c r="C1684" s="2" t="s">
        <v>17</v>
      </c>
      <c r="D1684" s="2" t="s">
        <v>18</v>
      </c>
      <c r="E1684" s="5">
        <v>-27918</v>
      </c>
      <c r="F1684" s="3" t="s">
        <v>218</v>
      </c>
      <c r="G1684" s="3" t="s">
        <v>27</v>
      </c>
      <c r="H1684" s="2" t="s">
        <v>21</v>
      </c>
      <c r="I1684" s="2" t="s">
        <v>3630</v>
      </c>
      <c r="J1684" s="3" t="str">
        <f>HYPERLINK("https://www.boe.es/gazeta/dias/1823/07/24/pdfs/GMD-1823-463.pdf#page=2","Abrir facsímil")</f>
        <v>Abrir facsímil</v>
      </c>
      <c r="K1684" s="3" t="s">
        <v>23</v>
      </c>
    </row>
    <row r="1685" spans="1:11" ht="42" customHeight="1">
      <c r="A1685" s="2" t="s">
        <v>3631</v>
      </c>
      <c r="B1685" s="2" t="s">
        <v>3631</v>
      </c>
      <c r="C1685" s="2" t="s">
        <v>17</v>
      </c>
      <c r="D1685" s="2" t="s">
        <v>18</v>
      </c>
      <c r="E1685" s="5">
        <v>-27901</v>
      </c>
      <c r="F1685" s="3" t="s">
        <v>840</v>
      </c>
      <c r="G1685" s="3" t="s">
        <v>39</v>
      </c>
      <c r="H1685" s="2" t="s">
        <v>21</v>
      </c>
      <c r="I1685" s="2" t="s">
        <v>3632</v>
      </c>
      <c r="J1685" s="3" t="str">
        <f>HYPERLINK("https://www.boe.es/gazeta/dias/1823/08/10/pdfs/GES-1823-123.pdf#page=1","Abrir facsímil")</f>
        <v>Abrir facsímil</v>
      </c>
      <c r="K1685" s="3" t="s">
        <v>23</v>
      </c>
    </row>
    <row r="1686" spans="1:11" ht="42" customHeight="1">
      <c r="A1686" s="2" t="s">
        <v>3631</v>
      </c>
      <c r="B1686" s="2" t="s">
        <v>3631</v>
      </c>
      <c r="C1686" s="2" t="s">
        <v>17</v>
      </c>
      <c r="D1686" s="2" t="s">
        <v>117</v>
      </c>
      <c r="E1686" s="5">
        <v>-27873</v>
      </c>
      <c r="F1686" s="3" t="s">
        <v>1668</v>
      </c>
      <c r="G1686" s="3" t="s">
        <v>3173</v>
      </c>
      <c r="H1686" s="2" t="s">
        <v>21</v>
      </c>
      <c r="I1686" s="2" t="s">
        <v>3633</v>
      </c>
      <c r="J1686" s="3" t="str">
        <f>HYPERLINK("https://www.boe.es/gazeta/dias/1823/09/07/pdfs/GMD-1823-72E.pdf#page=1","Abrir facsímil")</f>
        <v>Abrir facsímil</v>
      </c>
      <c r="K1686" s="3" t="s">
        <v>23</v>
      </c>
    </row>
    <row r="1687" spans="1:11" ht="42" customHeight="1">
      <c r="A1687" s="2" t="s">
        <v>3631</v>
      </c>
      <c r="B1687" s="2" t="s">
        <v>3631</v>
      </c>
      <c r="C1687" s="2" t="s">
        <v>17</v>
      </c>
      <c r="D1687" s="2" t="s">
        <v>18</v>
      </c>
      <c r="E1687" s="5">
        <v>-27799</v>
      </c>
      <c r="F1687" s="3" t="s">
        <v>3388</v>
      </c>
      <c r="G1687" s="3" t="s">
        <v>27</v>
      </c>
      <c r="H1687" s="2" t="s">
        <v>21</v>
      </c>
      <c r="I1687" s="2" t="s">
        <v>3634</v>
      </c>
      <c r="J1687" s="3" t="str">
        <f>HYPERLINK("https://www.boe.es/gazeta/dias/1823/11/20/pdfs/GMD-1823-1143.pdf#page=2","Abrir facsímil")</f>
        <v>Abrir facsímil</v>
      </c>
      <c r="K1687" s="3" t="s">
        <v>23</v>
      </c>
    </row>
    <row r="1688" spans="1:11" ht="42" customHeight="1">
      <c r="A1688" s="2" t="s">
        <v>3635</v>
      </c>
      <c r="B1688" s="2" t="s">
        <v>3635</v>
      </c>
      <c r="C1688" s="2" t="s">
        <v>17</v>
      </c>
      <c r="D1688" s="2" t="s">
        <v>18</v>
      </c>
      <c r="E1688" s="5">
        <v>-27927</v>
      </c>
      <c r="F1688" s="3" t="s">
        <v>2409</v>
      </c>
      <c r="G1688" s="3" t="s">
        <v>48</v>
      </c>
      <c r="H1688" s="2" t="s">
        <v>21</v>
      </c>
      <c r="I1688" s="2" t="s">
        <v>3636</v>
      </c>
      <c r="J1688" s="3" t="str">
        <f>HYPERLINK("https://www.boe.es/gazeta/dias/1823/07/15/pdfs/GMD-1823-403.pdf#page=3","Abrir facsímil")</f>
        <v>Abrir facsímil</v>
      </c>
      <c r="K1688" s="3" t="s">
        <v>23</v>
      </c>
    </row>
    <row r="1689" spans="1:11" ht="42" customHeight="1">
      <c r="A1689" s="2" t="s">
        <v>3637</v>
      </c>
      <c r="B1689" s="2" t="s">
        <v>3637</v>
      </c>
      <c r="C1689" s="2" t="s">
        <v>17</v>
      </c>
      <c r="D1689" s="2" t="s">
        <v>18</v>
      </c>
      <c r="E1689" s="5">
        <v>-27927</v>
      </c>
      <c r="F1689" s="3" t="s">
        <v>2409</v>
      </c>
      <c r="G1689" s="3" t="s">
        <v>48</v>
      </c>
      <c r="H1689" s="2" t="s">
        <v>21</v>
      </c>
      <c r="I1689" s="2" t="s">
        <v>3638</v>
      </c>
      <c r="J1689" s="3" t="str">
        <f>HYPERLINK("https://www.boe.es/gazeta/dias/1823/07/15/pdfs/GMD-1823-403.pdf#page=3","Abrir facsímil")</f>
        <v>Abrir facsímil</v>
      </c>
      <c r="K1689" s="3" t="s">
        <v>23</v>
      </c>
    </row>
    <row r="1690" spans="1:11" ht="42" customHeight="1">
      <c r="A1690" s="2" t="s">
        <v>3639</v>
      </c>
      <c r="B1690" s="2" t="s">
        <v>3639</v>
      </c>
      <c r="C1690" s="2" t="s">
        <v>17</v>
      </c>
      <c r="D1690" s="2" t="s">
        <v>117</v>
      </c>
      <c r="E1690" s="5">
        <v>-27953</v>
      </c>
      <c r="F1690" s="3" t="s">
        <v>2684</v>
      </c>
      <c r="G1690" s="3" t="s">
        <v>39</v>
      </c>
      <c r="H1690" s="2" t="s">
        <v>21</v>
      </c>
      <c r="I1690" s="2" t="s">
        <v>3640</v>
      </c>
      <c r="J1690" s="3" t="str">
        <f>HYPERLINK("https://www.boe.es/gazeta/dias/1823/06/19/pdfs/GMD-1823-203E.pdf#page=1","Abrir facsímil")</f>
        <v>Abrir facsímil</v>
      </c>
      <c r="K1690" s="3" t="s">
        <v>23</v>
      </c>
    </row>
    <row r="1691" spans="1:11" ht="42" customHeight="1">
      <c r="A1691" s="2" t="s">
        <v>3639</v>
      </c>
      <c r="B1691" s="2" t="s">
        <v>3639</v>
      </c>
      <c r="C1691" s="2" t="s">
        <v>17</v>
      </c>
      <c r="D1691" s="2" t="s">
        <v>18</v>
      </c>
      <c r="E1691" s="5">
        <v>-27918</v>
      </c>
      <c r="F1691" s="3" t="s">
        <v>218</v>
      </c>
      <c r="G1691" s="3" t="s">
        <v>48</v>
      </c>
      <c r="H1691" s="2" t="s">
        <v>21</v>
      </c>
      <c r="I1691" s="2" t="s">
        <v>3641</v>
      </c>
      <c r="J1691" s="3" t="str">
        <f>HYPERLINK("https://www.boe.es/gazeta/dias/1823/07/24/pdfs/GMD-1823-463.pdf#page=3","Abrir facsímil")</f>
        <v>Abrir facsímil</v>
      </c>
      <c r="K1691" s="3" t="s">
        <v>23</v>
      </c>
    </row>
    <row r="1692" spans="1:11" ht="42" customHeight="1">
      <c r="A1692" s="2" t="s">
        <v>3639</v>
      </c>
      <c r="B1692" s="2" t="s">
        <v>3639</v>
      </c>
      <c r="C1692" s="2" t="s">
        <v>17</v>
      </c>
      <c r="D1692" s="2" t="s">
        <v>18</v>
      </c>
      <c r="E1692" s="5">
        <v>-27917</v>
      </c>
      <c r="F1692" s="3" t="s">
        <v>363</v>
      </c>
      <c r="G1692" s="3" t="s">
        <v>20</v>
      </c>
      <c r="H1692" s="2" t="s">
        <v>21</v>
      </c>
      <c r="I1692" s="2" t="s">
        <v>3642</v>
      </c>
      <c r="J1692" s="3" t="str">
        <f>HYPERLINK("https://www.boe.es/gazeta/dias/1823/07/25/pdfs/GES-1823-106.pdf#page=4","Abrir facsímil")</f>
        <v>Abrir facsímil</v>
      </c>
      <c r="K1692" s="3" t="s">
        <v>23</v>
      </c>
    </row>
    <row r="1693" spans="1:11" ht="42" customHeight="1">
      <c r="A1693" s="2" t="s">
        <v>3643</v>
      </c>
      <c r="B1693" s="2" t="s">
        <v>3643</v>
      </c>
      <c r="C1693" s="2" t="s">
        <v>17</v>
      </c>
      <c r="D1693" s="2" t="s">
        <v>18</v>
      </c>
      <c r="E1693" s="5">
        <v>-27944</v>
      </c>
      <c r="F1693" s="3" t="s">
        <v>658</v>
      </c>
      <c r="G1693" s="3" t="s">
        <v>39</v>
      </c>
      <c r="H1693" s="2" t="s">
        <v>21</v>
      </c>
      <c r="I1693" s="2" t="s">
        <v>3644</v>
      </c>
      <c r="J1693" s="3" t="str">
        <f>HYPERLINK("https://www.boe.es/gazeta/dias/1823/06/28/pdfs/GMD-1823-303.pdf#page=1","Abrir facsímil")</f>
        <v>Abrir facsímil</v>
      </c>
      <c r="K1693" s="3" t="s">
        <v>23</v>
      </c>
    </row>
    <row r="1694" spans="1:11" ht="42" customHeight="1">
      <c r="A1694" s="2" t="s">
        <v>3645</v>
      </c>
      <c r="B1694" s="2" t="s">
        <v>3646</v>
      </c>
      <c r="C1694" s="2" t="s">
        <v>79</v>
      </c>
      <c r="D1694" s="2" t="s">
        <v>74</v>
      </c>
      <c r="E1694" s="5">
        <v>-27907</v>
      </c>
      <c r="F1694" s="3" t="s">
        <v>370</v>
      </c>
      <c r="G1694" s="3" t="s">
        <v>20</v>
      </c>
      <c r="H1694" s="2" t="s">
        <v>21</v>
      </c>
      <c r="I1694" s="2" t="s">
        <v>3647</v>
      </c>
      <c r="J1694" s="3" t="str">
        <f>HYPERLINK("https://www.boe.es/gazeta/dias/1823/08/04/pdfs/GES-1823-116.pdf#page=4","Abrir facsímil")</f>
        <v>Abrir facsímil</v>
      </c>
      <c r="K1694" s="3" t="s">
        <v>23</v>
      </c>
    </row>
    <row r="1695" spans="1:11" ht="42" customHeight="1">
      <c r="A1695" s="2" t="s">
        <v>3648</v>
      </c>
      <c r="B1695" s="2" t="s">
        <v>3649</v>
      </c>
      <c r="C1695" s="2" t="s">
        <v>17</v>
      </c>
      <c r="D1695" s="2" t="s">
        <v>18</v>
      </c>
      <c r="E1695" s="5">
        <v>-27801</v>
      </c>
      <c r="F1695" s="3" t="s">
        <v>800</v>
      </c>
      <c r="G1695" s="3" t="s">
        <v>27</v>
      </c>
      <c r="H1695" s="2" t="s">
        <v>21</v>
      </c>
      <c r="I1695" s="2" t="s">
        <v>3650</v>
      </c>
      <c r="J1695" s="3" t="str">
        <f>HYPERLINK("https://www.boe.es/gazeta/dias/1823/11/18/pdfs/GMD-1823-1133.pdf#page=2","Abrir facsímil")</f>
        <v>Abrir facsímil</v>
      </c>
      <c r="K1695" s="3" t="s">
        <v>23</v>
      </c>
    </row>
    <row r="1696" spans="1:11" ht="42" customHeight="1">
      <c r="A1696" s="2" t="s">
        <v>3651</v>
      </c>
      <c r="B1696" s="2" t="s">
        <v>3651</v>
      </c>
      <c r="C1696" s="2" t="s">
        <v>17</v>
      </c>
      <c r="D1696" s="2" t="s">
        <v>18</v>
      </c>
      <c r="E1696" s="5">
        <v>-27892</v>
      </c>
      <c r="F1696" s="3" t="s">
        <v>1229</v>
      </c>
      <c r="G1696" s="3" t="s">
        <v>39</v>
      </c>
      <c r="H1696" s="2" t="s">
        <v>21</v>
      </c>
      <c r="I1696" s="2" t="s">
        <v>3652</v>
      </c>
      <c r="J1696" s="3" t="str">
        <f>HYPERLINK("https://www.boe.es/gazeta/dias/1823/08/19/pdfs/GES-1823-132.pdf#page=1","Abrir facsímil")</f>
        <v>Abrir facsímil</v>
      </c>
      <c r="K1696" s="3" t="s">
        <v>23</v>
      </c>
    </row>
    <row r="1697" spans="1:11" ht="42" customHeight="1">
      <c r="A1697" s="2" t="s">
        <v>3653</v>
      </c>
      <c r="B1697" s="2" t="s">
        <v>3654</v>
      </c>
      <c r="C1697" s="2" t="s">
        <v>17</v>
      </c>
      <c r="D1697" s="2" t="s">
        <v>18</v>
      </c>
      <c r="E1697" s="5">
        <v>-28004</v>
      </c>
      <c r="F1697" s="3" t="s">
        <v>313</v>
      </c>
      <c r="G1697" s="3" t="s">
        <v>27</v>
      </c>
      <c r="H1697" s="2" t="s">
        <v>21</v>
      </c>
      <c r="I1697" s="2" t="s">
        <v>3655</v>
      </c>
      <c r="J1697" s="3" t="str">
        <f>HYPERLINK("https://www.boe.es/gazeta/dias/1823/04/29/pdfs/GMD-1823-72.pdf#page=2","Abrir facsímil")</f>
        <v>Abrir facsímil</v>
      </c>
      <c r="K1697" s="3" t="s">
        <v>23</v>
      </c>
    </row>
    <row r="1698" spans="1:11" ht="42" customHeight="1">
      <c r="A1698" s="2" t="s">
        <v>3656</v>
      </c>
      <c r="B1698" s="2" t="s">
        <v>3657</v>
      </c>
      <c r="C1698" s="2" t="s">
        <v>17</v>
      </c>
      <c r="D1698" s="2" t="s">
        <v>18</v>
      </c>
      <c r="E1698" s="5">
        <v>-27872</v>
      </c>
      <c r="F1698" s="3" t="s">
        <v>374</v>
      </c>
      <c r="G1698" s="3" t="s">
        <v>20</v>
      </c>
      <c r="H1698" s="2" t="s">
        <v>21</v>
      </c>
      <c r="I1698" s="2" t="s">
        <v>3658</v>
      </c>
      <c r="J1698" s="3" t="str">
        <f>HYPERLINK("https://www.boe.es/gazeta/dias/1823/09/08/pdfs/GES-1823-152.pdf#page=4","Abrir facsímil")</f>
        <v>Abrir facsímil</v>
      </c>
      <c r="K1698" s="3" t="s">
        <v>23</v>
      </c>
    </row>
    <row r="1699" spans="1:11" ht="42" customHeight="1">
      <c r="A1699" s="2" t="s">
        <v>3659</v>
      </c>
      <c r="B1699" s="2" t="s">
        <v>3660</v>
      </c>
      <c r="C1699" s="2" t="s">
        <v>79</v>
      </c>
      <c r="D1699" s="2" t="s">
        <v>74</v>
      </c>
      <c r="E1699" s="5">
        <v>-27907</v>
      </c>
      <c r="F1699" s="3" t="s">
        <v>370</v>
      </c>
      <c r="G1699" s="3" t="s">
        <v>20</v>
      </c>
      <c r="H1699" s="2" t="s">
        <v>21</v>
      </c>
      <c r="I1699" s="2" t="s">
        <v>3661</v>
      </c>
      <c r="J1699" s="3" t="str">
        <f>HYPERLINK("https://www.boe.es/gazeta/dias/1823/08/04/pdfs/GES-1823-116.pdf#page=4","Abrir facsímil")</f>
        <v>Abrir facsímil</v>
      </c>
      <c r="K1699" s="3" t="s">
        <v>23</v>
      </c>
    </row>
    <row r="1700" spans="1:11" ht="42" customHeight="1">
      <c r="A1700" s="2" t="s">
        <v>3662</v>
      </c>
      <c r="B1700" s="2" t="s">
        <v>3663</v>
      </c>
      <c r="C1700" s="2" t="s">
        <v>17</v>
      </c>
      <c r="D1700" s="2" t="s">
        <v>18</v>
      </c>
      <c r="E1700" s="5">
        <v>-27970</v>
      </c>
      <c r="F1700" s="3" t="s">
        <v>1030</v>
      </c>
      <c r="G1700" s="3" t="s">
        <v>48</v>
      </c>
      <c r="H1700" s="2" t="s">
        <v>21</v>
      </c>
      <c r="I1700" s="2" t="s">
        <v>3664</v>
      </c>
      <c r="J1700" s="3" t="str">
        <f>HYPERLINK("https://www.boe.es/gazeta/dias/1823/06/02/pdfs/GES-1823-56.pdf#page=3","Abrir facsímil")</f>
        <v>Abrir facsímil</v>
      </c>
      <c r="K1700" s="3" t="s">
        <v>23</v>
      </c>
    </row>
    <row r="1701" spans="1:11" ht="42" customHeight="1">
      <c r="A1701" s="2" t="s">
        <v>3665</v>
      </c>
      <c r="B1701" s="2" t="s">
        <v>3665</v>
      </c>
      <c r="C1701" s="2" t="s">
        <v>17</v>
      </c>
      <c r="D1701" s="2" t="s">
        <v>18</v>
      </c>
      <c r="E1701" s="5">
        <v>-27892</v>
      </c>
      <c r="F1701" s="3" t="s">
        <v>1571</v>
      </c>
      <c r="G1701" s="3" t="s">
        <v>20</v>
      </c>
      <c r="H1701" s="2" t="s">
        <v>21</v>
      </c>
      <c r="I1701" s="2" t="s">
        <v>3666</v>
      </c>
      <c r="J1701" s="3" t="str">
        <f>HYPERLINK("https://www.boe.es/gazeta/dias/1823/08/19/pdfs/GMD-1823-613.pdf#page=4","Abrir facsímil")</f>
        <v>Abrir facsímil</v>
      </c>
      <c r="K1701" s="3" t="s">
        <v>23</v>
      </c>
    </row>
    <row r="1702" spans="1:11" ht="42" customHeight="1">
      <c r="A1702" s="2" t="s">
        <v>3667</v>
      </c>
      <c r="B1702" s="2" t="s">
        <v>3668</v>
      </c>
      <c r="C1702" s="2" t="s">
        <v>17</v>
      </c>
      <c r="D1702" s="2" t="s">
        <v>18</v>
      </c>
      <c r="E1702" s="5">
        <v>-28065</v>
      </c>
      <c r="F1702" s="3" t="s">
        <v>686</v>
      </c>
      <c r="G1702" s="3" t="s">
        <v>20</v>
      </c>
      <c r="H1702" s="2" t="s">
        <v>28</v>
      </c>
      <c r="I1702" s="2" t="s">
        <v>3669</v>
      </c>
      <c r="J1702" s="3" t="str">
        <f>HYPERLINK("https://www.boe.es/gazeta/dias/1823/02/27/pdfs/GMD-1823-61.pdf#page=4","Abrir facsímil")</f>
        <v>Abrir facsímil</v>
      </c>
      <c r="K1702" s="3" t="s">
        <v>30</v>
      </c>
    </row>
    <row r="1703" spans="1:11" ht="42" customHeight="1">
      <c r="A1703" s="2" t="s">
        <v>3670</v>
      </c>
      <c r="B1703" s="2" t="s">
        <v>3671</v>
      </c>
      <c r="C1703" s="2" t="s">
        <v>56</v>
      </c>
      <c r="D1703" s="2" t="s">
        <v>57</v>
      </c>
      <c r="E1703" s="5">
        <v>-27881</v>
      </c>
      <c r="F1703" s="3" t="s">
        <v>485</v>
      </c>
      <c r="G1703" s="3" t="s">
        <v>20</v>
      </c>
      <c r="H1703" s="2" t="s">
        <v>21</v>
      </c>
      <c r="I1703" s="2" t="s">
        <v>3672</v>
      </c>
      <c r="J1703" s="3" t="str">
        <f>HYPERLINK("https://www.boe.es/gazeta/dias/1823/08/30/pdfs/GES-1823-143.pdf#page=4","Abrir facsímil")</f>
        <v>Abrir facsímil</v>
      </c>
      <c r="K1703" s="3" t="s">
        <v>23</v>
      </c>
    </row>
    <row r="1704" spans="1:11" ht="42" customHeight="1">
      <c r="A1704" s="2" t="s">
        <v>3673</v>
      </c>
      <c r="B1704" s="2" t="s">
        <v>3673</v>
      </c>
      <c r="C1704" s="2" t="s">
        <v>17</v>
      </c>
      <c r="D1704" s="2" t="s">
        <v>18</v>
      </c>
      <c r="E1704" s="5">
        <v>-27944</v>
      </c>
      <c r="F1704" s="3" t="s">
        <v>658</v>
      </c>
      <c r="G1704" s="3" t="s">
        <v>39</v>
      </c>
      <c r="H1704" s="2" t="s">
        <v>21</v>
      </c>
      <c r="I1704" s="2" t="s">
        <v>3674</v>
      </c>
      <c r="J1704" s="3" t="str">
        <f>HYPERLINK("https://www.boe.es/gazeta/dias/1823/06/28/pdfs/GMD-1823-303.pdf#page=1","Abrir facsímil")</f>
        <v>Abrir facsímil</v>
      </c>
      <c r="K1704" s="3" t="s">
        <v>23</v>
      </c>
    </row>
    <row r="1705" spans="1:11" ht="42" customHeight="1">
      <c r="A1705" s="2" t="s">
        <v>3675</v>
      </c>
      <c r="B1705" s="2" t="s">
        <v>3676</v>
      </c>
      <c r="C1705" s="2" t="s">
        <v>17</v>
      </c>
      <c r="D1705" s="2" t="s">
        <v>117</v>
      </c>
      <c r="E1705" s="5">
        <v>-27845</v>
      </c>
      <c r="F1705" s="3" t="s">
        <v>1590</v>
      </c>
      <c r="G1705" s="3" t="s">
        <v>39</v>
      </c>
      <c r="H1705" s="2" t="s">
        <v>21</v>
      </c>
      <c r="I1705" s="2" t="s">
        <v>3677</v>
      </c>
      <c r="J1705" s="3" t="str">
        <f>HYPERLINK("https://www.boe.es/gazeta/dias/1823/10/05/pdfs/GMD-1823-923E.pdf#page=1","Abrir facsímil")</f>
        <v>Abrir facsímil</v>
      </c>
      <c r="K1705" s="3" t="s">
        <v>23</v>
      </c>
    </row>
    <row r="1706" spans="1:11" ht="42" customHeight="1">
      <c r="A1706" s="2" t="s">
        <v>3678</v>
      </c>
      <c r="B1706" s="2" t="s">
        <v>3678</v>
      </c>
      <c r="C1706" s="2" t="s">
        <v>17</v>
      </c>
      <c r="D1706" s="2" t="s">
        <v>18</v>
      </c>
      <c r="E1706" s="5">
        <v>-27918</v>
      </c>
      <c r="F1706" s="3" t="s">
        <v>218</v>
      </c>
      <c r="G1706" s="3" t="s">
        <v>48</v>
      </c>
      <c r="H1706" s="2" t="s">
        <v>21</v>
      </c>
      <c r="I1706" s="2" t="s">
        <v>3679</v>
      </c>
      <c r="J1706" s="3" t="str">
        <f>HYPERLINK("https://www.boe.es/gazeta/dias/1823/07/24/pdfs/GMD-1823-463.pdf#page=3","Abrir facsímil")</f>
        <v>Abrir facsímil</v>
      </c>
      <c r="K1706" s="3" t="s">
        <v>23</v>
      </c>
    </row>
    <row r="1707" spans="1:11" ht="42" customHeight="1">
      <c r="A1707" s="2" t="s">
        <v>3680</v>
      </c>
      <c r="B1707" s="2" t="s">
        <v>3681</v>
      </c>
      <c r="C1707" s="2" t="s">
        <v>17</v>
      </c>
      <c r="D1707" s="2" t="s">
        <v>18</v>
      </c>
      <c r="E1707" s="5">
        <v>-27939</v>
      </c>
      <c r="F1707" s="3" t="s">
        <v>1403</v>
      </c>
      <c r="G1707" s="3" t="s">
        <v>2756</v>
      </c>
      <c r="H1707" s="2" t="s">
        <v>21</v>
      </c>
      <c r="I1707" s="2" t="s">
        <v>3682</v>
      </c>
      <c r="J1707" s="3" t="str">
        <f>HYPERLINK("https://www.boe.es/gazeta/dias/1823/07/03/pdfs/GMD-1823-333.pdf#page=6","Abrir facsímil")</f>
        <v>Abrir facsímil</v>
      </c>
      <c r="K1707" s="3" t="s">
        <v>23</v>
      </c>
    </row>
    <row r="1708" spans="1:11" ht="42" customHeight="1">
      <c r="A1708" s="2" t="s">
        <v>3683</v>
      </c>
      <c r="B1708" s="2" t="s">
        <v>3684</v>
      </c>
      <c r="C1708" s="2" t="s">
        <v>17</v>
      </c>
      <c r="D1708" s="2" t="s">
        <v>18</v>
      </c>
      <c r="E1708" s="5">
        <v>-27930</v>
      </c>
      <c r="F1708" s="3" t="s">
        <v>2334</v>
      </c>
      <c r="G1708" s="3" t="s">
        <v>20</v>
      </c>
      <c r="H1708" s="2" t="s">
        <v>21</v>
      </c>
      <c r="I1708" s="2" t="s">
        <v>3685</v>
      </c>
      <c r="J1708" s="3" t="str">
        <f>HYPERLINK("https://www.boe.es/gazeta/dias/1823/07/12/pdfs/GES-1823-92.pdf#page=4","Abrir facsímil")</f>
        <v>Abrir facsímil</v>
      </c>
      <c r="K1708" s="3" t="s">
        <v>23</v>
      </c>
    </row>
    <row r="1709" spans="1:11" ht="42" customHeight="1">
      <c r="A1709" s="2" t="s">
        <v>3686</v>
      </c>
      <c r="B1709" s="2" t="s">
        <v>3686</v>
      </c>
      <c r="C1709" s="2" t="s">
        <v>17</v>
      </c>
      <c r="D1709" s="2" t="s">
        <v>18</v>
      </c>
      <c r="E1709" s="5">
        <v>-28040</v>
      </c>
      <c r="F1709" s="3" t="s">
        <v>2971</v>
      </c>
      <c r="G1709" s="3" t="s">
        <v>48</v>
      </c>
      <c r="H1709" s="2" t="s">
        <v>21</v>
      </c>
      <c r="I1709" s="2" t="s">
        <v>3687</v>
      </c>
      <c r="J1709" s="3" t="str">
        <f>HYPERLINK("https://www.boe.es/gazeta/dias/1823/03/24/pdfs/GMD-1823-87.pdf#page=3","Abrir facsímil")</f>
        <v>Abrir facsímil</v>
      </c>
      <c r="K1709" s="3" t="s">
        <v>23</v>
      </c>
    </row>
    <row r="1710" spans="1:11" ht="42" customHeight="1">
      <c r="A1710" s="2" t="s">
        <v>3688</v>
      </c>
      <c r="B1710" s="2" t="s">
        <v>3688</v>
      </c>
      <c r="C1710" s="2" t="s">
        <v>17</v>
      </c>
      <c r="D1710" s="2" t="s">
        <v>18</v>
      </c>
      <c r="E1710" s="5">
        <v>-28077</v>
      </c>
      <c r="F1710" s="3" t="s">
        <v>536</v>
      </c>
      <c r="G1710" s="3" t="s">
        <v>59</v>
      </c>
      <c r="H1710" s="2" t="s">
        <v>21</v>
      </c>
      <c r="I1710" s="2" t="s">
        <v>3689</v>
      </c>
      <c r="J1710" s="3" t="str">
        <f>HYPERLINK("https://www.boe.es/gazeta/dias/1823/02/15/pdfs/GMD-1823-49.pdf#page=6","Abrir facsímil")</f>
        <v>Abrir facsímil</v>
      </c>
      <c r="K1710" s="3" t="s">
        <v>23</v>
      </c>
    </row>
    <row r="1711" spans="1:11" ht="42" customHeight="1">
      <c r="A1711" s="2" t="s">
        <v>3690</v>
      </c>
      <c r="B1711" s="2" t="s">
        <v>3691</v>
      </c>
      <c r="C1711" s="2" t="s">
        <v>17</v>
      </c>
      <c r="D1711" s="2" t="s">
        <v>117</v>
      </c>
      <c r="E1711" s="5">
        <v>-27843</v>
      </c>
      <c r="F1711" s="3" t="s">
        <v>3692</v>
      </c>
      <c r="G1711" s="3" t="s">
        <v>39</v>
      </c>
      <c r="H1711" s="2" t="s">
        <v>21</v>
      </c>
      <c r="I1711" s="2" t="s">
        <v>3693</v>
      </c>
      <c r="J1711" s="3" t="str">
        <f>HYPERLINK("https://www.boe.es/gazeta/dias/1823/10/07/pdfs/GMD-1823-943E.pdf#page=1","Abrir facsímil")</f>
        <v>Abrir facsímil</v>
      </c>
      <c r="K1711" s="3" t="s">
        <v>23</v>
      </c>
    </row>
    <row r="1712" spans="1:11" ht="42" customHeight="1">
      <c r="A1712" s="2" t="s">
        <v>3694</v>
      </c>
      <c r="B1712" s="2" t="s">
        <v>3695</v>
      </c>
      <c r="C1712" s="2" t="s">
        <v>17</v>
      </c>
      <c r="D1712" s="2" t="s">
        <v>117</v>
      </c>
      <c r="E1712" s="5">
        <v>-27843</v>
      </c>
      <c r="F1712" s="3" t="s">
        <v>3692</v>
      </c>
      <c r="G1712" s="3" t="s">
        <v>39</v>
      </c>
      <c r="H1712" s="2" t="s">
        <v>21</v>
      </c>
      <c r="I1712" s="2" t="s">
        <v>3696</v>
      </c>
      <c r="J1712" s="3" t="str">
        <f>HYPERLINK("https://www.boe.es/gazeta/dias/1823/10/07/pdfs/GMD-1823-943E.pdf#page=1","Abrir facsímil")</f>
        <v>Abrir facsímil</v>
      </c>
      <c r="K1712" s="3" t="s">
        <v>23</v>
      </c>
    </row>
    <row r="1713" spans="1:11" ht="42" customHeight="1">
      <c r="A1713" s="2" t="s">
        <v>3697</v>
      </c>
      <c r="B1713" s="2" t="s">
        <v>3698</v>
      </c>
      <c r="C1713" s="2" t="s">
        <v>17</v>
      </c>
      <c r="D1713" s="2" t="s">
        <v>18</v>
      </c>
      <c r="E1713" s="5">
        <v>-27818</v>
      </c>
      <c r="F1713" s="3" t="s">
        <v>1597</v>
      </c>
      <c r="G1713" s="3" t="s">
        <v>20</v>
      </c>
      <c r="H1713" s="2" t="s">
        <v>21</v>
      </c>
      <c r="I1713" s="2" t="s">
        <v>3699</v>
      </c>
      <c r="J1713" s="3" t="str">
        <f>HYPERLINK("https://www.boe.es/gazeta/dias/1823/11/01/pdfs/GMD-1823-1053.pdf#page=4","Abrir facsímil")</f>
        <v>Abrir facsímil</v>
      </c>
      <c r="K1713" s="3" t="s">
        <v>23</v>
      </c>
    </row>
    <row r="1714" spans="1:11" ht="42" customHeight="1">
      <c r="A1714" s="2" t="s">
        <v>3700</v>
      </c>
      <c r="B1714" s="2" t="s">
        <v>3700</v>
      </c>
      <c r="C1714" s="2" t="s">
        <v>17</v>
      </c>
      <c r="D1714" s="2" t="s">
        <v>18</v>
      </c>
      <c r="E1714" s="5">
        <v>-27877</v>
      </c>
      <c r="F1714" s="3" t="s">
        <v>844</v>
      </c>
      <c r="G1714" s="3" t="s">
        <v>27</v>
      </c>
      <c r="H1714" s="2" t="s">
        <v>21</v>
      </c>
      <c r="I1714" s="2" t="s">
        <v>3701</v>
      </c>
      <c r="J1714" s="3" t="str">
        <f>HYPERLINK("https://www.boe.es/gazeta/dias/1823/09/03/pdfs/GES-1823-147.pdf#page=2","Abrir facsímil")</f>
        <v>Abrir facsímil</v>
      </c>
      <c r="K1714" s="3" t="s">
        <v>23</v>
      </c>
    </row>
    <row r="1715" spans="1:11" ht="42" customHeight="1">
      <c r="A1715" s="2" t="s">
        <v>3702</v>
      </c>
      <c r="B1715" s="2" t="s">
        <v>3702</v>
      </c>
      <c r="C1715" s="2" t="s">
        <v>17</v>
      </c>
      <c r="D1715" s="2" t="s">
        <v>18</v>
      </c>
      <c r="E1715" s="5">
        <v>-27934</v>
      </c>
      <c r="F1715" s="3" t="s">
        <v>634</v>
      </c>
      <c r="G1715" s="3" t="s">
        <v>20</v>
      </c>
      <c r="H1715" s="2" t="s">
        <v>21</v>
      </c>
      <c r="I1715" s="2" t="s">
        <v>3703</v>
      </c>
      <c r="J1715" s="3" t="str">
        <f>HYPERLINK("https://www.boe.es/gazeta/dias/1823/07/08/pdfs/GMD-1823-353.pdf#page=4","Abrir facsímil")</f>
        <v>Abrir facsímil</v>
      </c>
      <c r="K1715" s="3" t="s">
        <v>23</v>
      </c>
    </row>
    <row r="1716" spans="1:11" ht="42" customHeight="1">
      <c r="A1716" s="2" t="s">
        <v>3702</v>
      </c>
      <c r="B1716" s="2" t="s">
        <v>3702</v>
      </c>
      <c r="C1716" s="2" t="s">
        <v>17</v>
      </c>
      <c r="D1716" s="2" t="s">
        <v>117</v>
      </c>
      <c r="E1716" s="5">
        <v>-27932</v>
      </c>
      <c r="F1716" s="3" t="s">
        <v>1947</v>
      </c>
      <c r="G1716" s="3" t="s">
        <v>39</v>
      </c>
      <c r="H1716" s="2" t="s">
        <v>21</v>
      </c>
      <c r="I1716" s="2" t="s">
        <v>3704</v>
      </c>
      <c r="J1716" s="3" t="str">
        <f>HYPERLINK("https://www.boe.es/gazeta/dias/1823/07/10/pdfs/GMD-1823-373E.pdf#page=1","Abrir facsímil")</f>
        <v>Abrir facsímil</v>
      </c>
      <c r="K1716" s="3" t="s">
        <v>23</v>
      </c>
    </row>
    <row r="1717" spans="1:11" ht="42" customHeight="1">
      <c r="A1717" s="2" t="s">
        <v>3702</v>
      </c>
      <c r="B1717" s="2" t="s">
        <v>3702</v>
      </c>
      <c r="C1717" s="2" t="s">
        <v>17</v>
      </c>
      <c r="D1717" s="2" t="s">
        <v>18</v>
      </c>
      <c r="E1717" s="5">
        <v>-27927</v>
      </c>
      <c r="F1717" s="3" t="s">
        <v>2409</v>
      </c>
      <c r="G1717" s="3" t="s">
        <v>48</v>
      </c>
      <c r="H1717" s="2" t="s">
        <v>21</v>
      </c>
      <c r="I1717" s="2" t="s">
        <v>3705</v>
      </c>
      <c r="J1717" s="3" t="str">
        <f>HYPERLINK("https://www.boe.es/gazeta/dias/1823/07/15/pdfs/GMD-1823-403.pdf#page=3","Abrir facsímil")</f>
        <v>Abrir facsímil</v>
      </c>
      <c r="K1717" s="3" t="s">
        <v>23</v>
      </c>
    </row>
    <row r="1718" spans="1:11" ht="42" customHeight="1">
      <c r="A1718" s="2" t="s">
        <v>3702</v>
      </c>
      <c r="B1718" s="2" t="s">
        <v>3702</v>
      </c>
      <c r="C1718" s="2" t="s">
        <v>17</v>
      </c>
      <c r="D1718" s="2" t="s">
        <v>18</v>
      </c>
      <c r="E1718" s="5">
        <v>-27923</v>
      </c>
      <c r="F1718" s="3" t="s">
        <v>1225</v>
      </c>
      <c r="G1718" s="3" t="s">
        <v>48</v>
      </c>
      <c r="H1718" s="2" t="s">
        <v>21</v>
      </c>
      <c r="I1718" s="2" t="s">
        <v>3706</v>
      </c>
      <c r="J1718" s="3" t="str">
        <f>HYPERLINK("https://www.boe.es/gazeta/dias/1823/07/19/pdfs/GMD-1823-433.pdf#page=3","Abrir facsímil")</f>
        <v>Abrir facsímil</v>
      </c>
      <c r="K1718" s="3" t="s">
        <v>23</v>
      </c>
    </row>
    <row r="1719" spans="1:11" ht="42" customHeight="1">
      <c r="A1719" s="2" t="s">
        <v>3702</v>
      </c>
      <c r="B1719" s="2" t="s">
        <v>3702</v>
      </c>
      <c r="C1719" s="2" t="s">
        <v>17</v>
      </c>
      <c r="D1719" s="2" t="s">
        <v>18</v>
      </c>
      <c r="E1719" s="5">
        <v>-27918</v>
      </c>
      <c r="F1719" s="3" t="s">
        <v>218</v>
      </c>
      <c r="G1719" s="3" t="s">
        <v>48</v>
      </c>
      <c r="H1719" s="2" t="s">
        <v>21</v>
      </c>
      <c r="I1719" s="2" t="s">
        <v>3707</v>
      </c>
      <c r="J1719" s="3" t="str">
        <f>HYPERLINK("https://www.boe.es/gazeta/dias/1823/07/24/pdfs/GMD-1823-463.pdf#page=3","Abrir facsímil")</f>
        <v>Abrir facsímil</v>
      </c>
      <c r="K1719" s="3" t="s">
        <v>23</v>
      </c>
    </row>
    <row r="1720" spans="1:11" ht="42" customHeight="1">
      <c r="A1720" s="2" t="s">
        <v>3702</v>
      </c>
      <c r="B1720" s="2" t="s">
        <v>3702</v>
      </c>
      <c r="C1720" s="2" t="s">
        <v>17</v>
      </c>
      <c r="D1720" s="2" t="s">
        <v>18</v>
      </c>
      <c r="E1720" s="5">
        <v>-27918</v>
      </c>
      <c r="F1720" s="3" t="s">
        <v>218</v>
      </c>
      <c r="G1720" s="3" t="s">
        <v>20</v>
      </c>
      <c r="H1720" s="2" t="s">
        <v>21</v>
      </c>
      <c r="I1720" s="2" t="s">
        <v>3708</v>
      </c>
      <c r="J1720" s="3" t="str">
        <f>HYPERLINK("https://www.boe.es/gazeta/dias/1823/07/24/pdfs/GMD-1823-463.pdf#page=4","Abrir facsímil")</f>
        <v>Abrir facsímil</v>
      </c>
      <c r="K1720" s="3" t="s">
        <v>23</v>
      </c>
    </row>
    <row r="1721" spans="1:11" ht="42" customHeight="1">
      <c r="A1721" s="2" t="s">
        <v>3702</v>
      </c>
      <c r="B1721" s="2" t="s">
        <v>3702</v>
      </c>
      <c r="C1721" s="2" t="s">
        <v>17</v>
      </c>
      <c r="D1721" s="2" t="s">
        <v>18</v>
      </c>
      <c r="E1721" s="5">
        <v>-27918</v>
      </c>
      <c r="F1721" s="3" t="s">
        <v>218</v>
      </c>
      <c r="G1721" s="3" t="s">
        <v>34</v>
      </c>
      <c r="H1721" s="2" t="s">
        <v>21</v>
      </c>
      <c r="I1721" s="2" t="s">
        <v>3709</v>
      </c>
      <c r="J1721" s="3" t="str">
        <f>HYPERLINK("https://www.boe.es/gazeta/dias/1823/07/24/pdfs/GMD-1823-463.pdf#page=5","Abrir facsímil")</f>
        <v>Abrir facsímil</v>
      </c>
      <c r="K1721" s="3" t="s">
        <v>23</v>
      </c>
    </row>
    <row r="1722" spans="1:11" ht="42" customHeight="1">
      <c r="A1722" s="2" t="s">
        <v>3702</v>
      </c>
      <c r="B1722" s="2" t="s">
        <v>3702</v>
      </c>
      <c r="C1722" s="2" t="s">
        <v>17</v>
      </c>
      <c r="D1722" s="2" t="s">
        <v>18</v>
      </c>
      <c r="E1722" s="5">
        <v>-27913</v>
      </c>
      <c r="F1722" s="3" t="s">
        <v>829</v>
      </c>
      <c r="G1722" s="3" t="s">
        <v>34</v>
      </c>
      <c r="H1722" s="2" t="s">
        <v>21</v>
      </c>
      <c r="I1722" s="2" t="s">
        <v>3710</v>
      </c>
      <c r="J1722" s="3" t="str">
        <f>HYPERLINK("https://www.boe.es/gazeta/dias/1823/07/29/pdfs/GMD-1823-483.pdf#page=5","Abrir facsímil")</f>
        <v>Abrir facsímil</v>
      </c>
      <c r="K1722" s="3" t="s">
        <v>23</v>
      </c>
    </row>
    <row r="1723" spans="1:11" ht="42" customHeight="1">
      <c r="A1723" s="2" t="s">
        <v>3702</v>
      </c>
      <c r="B1723" s="2" t="s">
        <v>3702</v>
      </c>
      <c r="C1723" s="2" t="s">
        <v>17</v>
      </c>
      <c r="D1723" s="2" t="s">
        <v>18</v>
      </c>
      <c r="E1723" s="5">
        <v>-27902</v>
      </c>
      <c r="F1723" s="3" t="s">
        <v>259</v>
      </c>
      <c r="G1723" s="3" t="s">
        <v>48</v>
      </c>
      <c r="H1723" s="2" t="s">
        <v>21</v>
      </c>
      <c r="I1723" s="2" t="s">
        <v>3711</v>
      </c>
      <c r="J1723" s="3" t="str">
        <f>HYPERLINK("https://www.boe.es/gazeta/dias/1823/08/09/pdfs/GMD-1823-563.pdf#page=3","Abrir facsímil")</f>
        <v>Abrir facsímil</v>
      </c>
      <c r="K1723" s="3" t="s">
        <v>23</v>
      </c>
    </row>
    <row r="1724" spans="1:11" ht="42" customHeight="1">
      <c r="A1724" s="2" t="s">
        <v>3702</v>
      </c>
      <c r="B1724" s="2" t="s">
        <v>3702</v>
      </c>
      <c r="C1724" s="2" t="s">
        <v>17</v>
      </c>
      <c r="D1724" s="2" t="s">
        <v>117</v>
      </c>
      <c r="E1724" s="5">
        <v>-27886</v>
      </c>
      <c r="F1724" s="3" t="s">
        <v>2388</v>
      </c>
      <c r="G1724" s="3" t="s">
        <v>39</v>
      </c>
      <c r="H1724" s="2" t="s">
        <v>21</v>
      </c>
      <c r="I1724" s="2" t="s">
        <v>3712</v>
      </c>
      <c r="J1724" s="3" t="str">
        <f>HYPERLINK("https://www.boe.es/gazeta/dias/1823/08/25/pdfs/GMD-1823-643E.pdf#page=1","Abrir facsímil")</f>
        <v>Abrir facsímil</v>
      </c>
      <c r="K1724" s="3" t="s">
        <v>23</v>
      </c>
    </row>
    <row r="1725" spans="1:11" ht="42" customHeight="1">
      <c r="A1725" s="2" t="s">
        <v>3713</v>
      </c>
      <c r="B1725" s="2" t="s">
        <v>3714</v>
      </c>
      <c r="C1725" s="2" t="s">
        <v>17</v>
      </c>
      <c r="D1725" s="2" t="s">
        <v>117</v>
      </c>
      <c r="E1725" s="5">
        <v>-27886</v>
      </c>
      <c r="F1725" s="3" t="s">
        <v>2388</v>
      </c>
      <c r="G1725" s="3" t="s">
        <v>39</v>
      </c>
      <c r="H1725" s="2" t="s">
        <v>28</v>
      </c>
      <c r="I1725" s="2" t="s">
        <v>3715</v>
      </c>
      <c r="J1725" s="3" t="str">
        <f>HYPERLINK("https://www.boe.es/gazeta/dias/1823/08/25/pdfs/GMD-1823-643E.pdf#page=1","Abrir facsímil")</f>
        <v>Abrir facsímil</v>
      </c>
      <c r="K1725" s="3" t="s">
        <v>30</v>
      </c>
    </row>
    <row r="1726" spans="1:11" ht="42" customHeight="1">
      <c r="A1726" s="2" t="s">
        <v>3716</v>
      </c>
      <c r="B1726" s="2" t="s">
        <v>3716</v>
      </c>
      <c r="C1726" s="2" t="s">
        <v>17</v>
      </c>
      <c r="D1726" s="2" t="s">
        <v>18</v>
      </c>
      <c r="E1726" s="5">
        <v>-28074</v>
      </c>
      <c r="F1726" s="3" t="s">
        <v>212</v>
      </c>
      <c r="G1726" s="3" t="s">
        <v>39</v>
      </c>
      <c r="H1726" s="2" t="s">
        <v>21</v>
      </c>
      <c r="I1726" s="2" t="s">
        <v>3717</v>
      </c>
      <c r="J1726" s="3" t="str">
        <f>HYPERLINK("https://www.boe.es/gazeta/dias/1823/02/18/pdfs/GMD-1823-52.pdf#page=1","Abrir facsímil")</f>
        <v>Abrir facsímil</v>
      </c>
      <c r="K1726" s="3" t="s">
        <v>23</v>
      </c>
    </row>
    <row r="1727" spans="1:11" ht="42" customHeight="1">
      <c r="A1727" s="2" t="s">
        <v>3716</v>
      </c>
      <c r="B1727" s="2" t="s">
        <v>3716</v>
      </c>
      <c r="C1727" s="2" t="s">
        <v>17</v>
      </c>
      <c r="D1727" s="2" t="s">
        <v>18</v>
      </c>
      <c r="E1727" s="5">
        <v>-27996</v>
      </c>
      <c r="F1727" s="3" t="s">
        <v>695</v>
      </c>
      <c r="G1727" s="3" t="s">
        <v>20</v>
      </c>
      <c r="H1727" s="2" t="s">
        <v>21</v>
      </c>
      <c r="I1727" s="2" t="s">
        <v>3718</v>
      </c>
      <c r="J1727" s="3" t="str">
        <f>HYPERLINK("https://www.boe.es/gazeta/dias/1823/05/07/pdfs/GES-1823-27.pdf#page=4","Abrir facsímil")</f>
        <v>Abrir facsímil</v>
      </c>
      <c r="K1727" s="3" t="s">
        <v>23</v>
      </c>
    </row>
    <row r="1728" spans="1:11" ht="42" customHeight="1">
      <c r="A1728" s="2" t="s">
        <v>3719</v>
      </c>
      <c r="B1728" s="2" t="s">
        <v>3719</v>
      </c>
      <c r="C1728" s="2" t="s">
        <v>79</v>
      </c>
      <c r="D1728" s="2" t="s">
        <v>74</v>
      </c>
      <c r="E1728" s="5">
        <v>-27911</v>
      </c>
      <c r="F1728" s="3" t="s">
        <v>1393</v>
      </c>
      <c r="G1728" s="3" t="s">
        <v>20</v>
      </c>
      <c r="H1728" s="2" t="s">
        <v>21</v>
      </c>
      <c r="I1728" s="2" t="s">
        <v>3720</v>
      </c>
      <c r="J1728" s="3" t="str">
        <f>HYPERLINK("https://www.boe.es/gazeta/dias/1823/07/31/pdfs/GMD-1823-503.pdf#page=4","Abrir facsímil")</f>
        <v>Abrir facsímil</v>
      </c>
      <c r="K1728" s="3" t="s">
        <v>23</v>
      </c>
    </row>
    <row r="1729" spans="1:11" ht="42" customHeight="1">
      <c r="A1729" s="2" t="s">
        <v>3719</v>
      </c>
      <c r="B1729" s="2" t="s">
        <v>3719</v>
      </c>
      <c r="C1729" s="2" t="s">
        <v>17</v>
      </c>
      <c r="D1729" s="2" t="s">
        <v>18</v>
      </c>
      <c r="E1729" s="5">
        <v>-27827</v>
      </c>
      <c r="F1729" s="3" t="s">
        <v>531</v>
      </c>
      <c r="G1729" s="3" t="s">
        <v>20</v>
      </c>
      <c r="H1729" s="2" t="s">
        <v>21</v>
      </c>
      <c r="I1729" s="2" t="s">
        <v>3721</v>
      </c>
      <c r="J1729" s="3" t="str">
        <f>HYPERLINK("https://www.boe.es/gazeta/dias/1823/10/23/pdfs/GMD-1823-1013.pdf#page=4","Abrir facsímil")</f>
        <v>Abrir facsímil</v>
      </c>
      <c r="K1729" s="3" t="s">
        <v>23</v>
      </c>
    </row>
    <row r="1730" spans="1:11" ht="42" customHeight="1">
      <c r="A1730" s="2" t="s">
        <v>3722</v>
      </c>
      <c r="B1730" s="2" t="s">
        <v>3723</v>
      </c>
      <c r="C1730" s="2" t="s">
        <v>17</v>
      </c>
      <c r="D1730" s="2" t="s">
        <v>18</v>
      </c>
      <c r="E1730" s="5">
        <v>-27762</v>
      </c>
      <c r="F1730" s="3" t="s">
        <v>1614</v>
      </c>
      <c r="G1730" s="3" t="s">
        <v>39</v>
      </c>
      <c r="H1730" s="2" t="s">
        <v>21</v>
      </c>
      <c r="I1730" s="2" t="s">
        <v>3724</v>
      </c>
      <c r="J1730" s="3" t="str">
        <f>HYPERLINK("https://www.boe.es/gazeta/dias/1823/12/27/pdfs/GMD-1823-1303.pdf#page=1","Abrir facsímil")</f>
        <v>Abrir facsímil</v>
      </c>
      <c r="K1730" s="3" t="s">
        <v>23</v>
      </c>
    </row>
    <row r="1731" spans="1:11" ht="42" customHeight="1">
      <c r="A1731" s="2" t="s">
        <v>3725</v>
      </c>
      <c r="B1731" s="2" t="s">
        <v>3725</v>
      </c>
      <c r="C1731" s="2" t="s">
        <v>79</v>
      </c>
      <c r="D1731" s="2" t="s">
        <v>74</v>
      </c>
      <c r="E1731" s="5">
        <v>-27874</v>
      </c>
      <c r="F1731" s="3" t="s">
        <v>122</v>
      </c>
      <c r="G1731" s="3" t="s">
        <v>39</v>
      </c>
      <c r="H1731" s="2" t="s">
        <v>21</v>
      </c>
      <c r="I1731" s="2" t="s">
        <v>3726</v>
      </c>
      <c r="J1731" s="3" t="str">
        <f>HYPERLINK("https://www.boe.es/gazeta/dias/1823/09/06/pdfs/GMD-1823-713.pdf#page=1","Abrir facsímil")</f>
        <v>Abrir facsímil</v>
      </c>
      <c r="K1731" s="3" t="s">
        <v>23</v>
      </c>
    </row>
    <row r="1732" spans="1:11" ht="42" customHeight="1">
      <c r="A1732" s="2" t="s">
        <v>3727</v>
      </c>
      <c r="B1732" s="2" t="s">
        <v>3727</v>
      </c>
      <c r="C1732" s="2" t="s">
        <v>17</v>
      </c>
      <c r="D1732" s="2" t="s">
        <v>117</v>
      </c>
      <c r="E1732" s="5">
        <v>-27886</v>
      </c>
      <c r="F1732" s="3" t="s">
        <v>2388</v>
      </c>
      <c r="G1732" s="3" t="s">
        <v>39</v>
      </c>
      <c r="H1732" s="2" t="s">
        <v>21</v>
      </c>
      <c r="I1732" s="2" t="s">
        <v>3728</v>
      </c>
      <c r="J1732" s="3" t="str">
        <f>HYPERLINK("https://www.boe.es/gazeta/dias/1823/08/25/pdfs/GMD-1823-643E.pdf#page=1","Abrir facsímil")</f>
        <v>Abrir facsímil</v>
      </c>
      <c r="K1732" s="3" t="s">
        <v>23</v>
      </c>
    </row>
    <row r="1733" spans="1:11" ht="42" customHeight="1">
      <c r="A1733" s="2" t="s">
        <v>3729</v>
      </c>
      <c r="B1733" s="2" t="s">
        <v>3730</v>
      </c>
      <c r="C1733" s="2" t="s">
        <v>79</v>
      </c>
      <c r="D1733" s="2" t="s">
        <v>74</v>
      </c>
      <c r="E1733" s="5">
        <v>-27864</v>
      </c>
      <c r="F1733" s="3" t="s">
        <v>395</v>
      </c>
      <c r="G1733" s="3" t="s">
        <v>39</v>
      </c>
      <c r="H1733" s="2" t="s">
        <v>21</v>
      </c>
      <c r="I1733" s="2" t="s">
        <v>3731</v>
      </c>
      <c r="J1733" s="3" t="str">
        <f>HYPERLINK("https://www.boe.es/gazeta/dias/1823/09/16/pdfs/GMD-1823-783.pdf#page=1","Abrir facsímil")</f>
        <v>Abrir facsímil</v>
      </c>
      <c r="K1733" s="3" t="s">
        <v>23</v>
      </c>
    </row>
    <row r="1734" spans="1:11" ht="42" customHeight="1">
      <c r="A1734" s="2" t="s">
        <v>3732</v>
      </c>
      <c r="B1734" s="2" t="s">
        <v>3733</v>
      </c>
      <c r="C1734" s="2" t="s">
        <v>17</v>
      </c>
      <c r="D1734" s="2" t="s">
        <v>18</v>
      </c>
      <c r="E1734" s="5">
        <v>-27879</v>
      </c>
      <c r="F1734" s="3" t="s">
        <v>638</v>
      </c>
      <c r="G1734" s="3" t="s">
        <v>39</v>
      </c>
      <c r="H1734" s="2" t="s">
        <v>21</v>
      </c>
      <c r="I1734" s="2" t="s">
        <v>3734</v>
      </c>
      <c r="J1734" s="3" t="str">
        <f>HYPERLINK("https://www.boe.es/gazeta/dias/1823/09/01/pdfs/GES-1823-145.pdf#page=1","Abrir facsímil")</f>
        <v>Abrir facsímil</v>
      </c>
      <c r="K1734" s="3" t="s">
        <v>23</v>
      </c>
    </row>
    <row r="1735" spans="1:11" ht="42" customHeight="1">
      <c r="A1735" s="2" t="s">
        <v>3735</v>
      </c>
      <c r="B1735" s="2" t="s">
        <v>3736</v>
      </c>
      <c r="C1735" s="2" t="s">
        <v>17</v>
      </c>
      <c r="D1735" s="2" t="s">
        <v>18</v>
      </c>
      <c r="E1735" s="5">
        <v>-27953</v>
      </c>
      <c r="F1735" s="3" t="s">
        <v>1543</v>
      </c>
      <c r="G1735" s="3" t="s">
        <v>39</v>
      </c>
      <c r="H1735" s="2" t="s">
        <v>21</v>
      </c>
      <c r="I1735" s="2" t="s">
        <v>3737</v>
      </c>
      <c r="J1735" s="3" t="str">
        <f>HYPERLINK("https://www.boe.es/gazeta/dias/1823/06/19/pdfs/GMD-1823-193.pdf#page=1","Abrir facsímil")</f>
        <v>Abrir facsímil</v>
      </c>
      <c r="K1735" s="3" t="s">
        <v>23</v>
      </c>
    </row>
    <row r="1736" spans="1:11" ht="42" customHeight="1">
      <c r="A1736" s="2" t="s">
        <v>3738</v>
      </c>
      <c r="B1736" s="2" t="s">
        <v>3738</v>
      </c>
      <c r="C1736" s="2" t="s">
        <v>17</v>
      </c>
      <c r="D1736" s="2" t="s">
        <v>18</v>
      </c>
      <c r="E1736" s="5">
        <v>-28011</v>
      </c>
      <c r="F1736" s="3" t="s">
        <v>3326</v>
      </c>
      <c r="G1736" s="3" t="s">
        <v>20</v>
      </c>
      <c r="H1736" s="2" t="s">
        <v>21</v>
      </c>
      <c r="I1736" s="2" t="s">
        <v>3739</v>
      </c>
      <c r="J1736" s="3" t="str">
        <f>HYPERLINK("https://www.boe.es/gazeta/dias/1823/04/22/pdfs/GES-1823-12.pdf#page=4","Abrir facsímil")</f>
        <v>Abrir facsímil</v>
      </c>
      <c r="K1736" s="3" t="s">
        <v>23</v>
      </c>
    </row>
    <row r="1737" spans="1:11" ht="42" customHeight="1">
      <c r="A1737" s="2" t="s">
        <v>3740</v>
      </c>
      <c r="B1737" s="2" t="s">
        <v>3740</v>
      </c>
      <c r="C1737" s="2" t="s">
        <v>17</v>
      </c>
      <c r="D1737" s="2" t="s">
        <v>18</v>
      </c>
      <c r="E1737" s="5">
        <v>-27993</v>
      </c>
      <c r="F1737" s="3" t="s">
        <v>1062</v>
      </c>
      <c r="G1737" s="3" t="s">
        <v>34</v>
      </c>
      <c r="H1737" s="2" t="s">
        <v>21</v>
      </c>
      <c r="I1737" s="2" t="s">
        <v>3741</v>
      </c>
      <c r="J1737" s="3" t="str">
        <f>HYPERLINK("https://www.boe.es/gazeta/dias/1823/05/10/pdfs/GMD-1823-122.pdf#page=5","Abrir facsímil")</f>
        <v>Abrir facsímil</v>
      </c>
      <c r="K1737" s="3" t="s">
        <v>23</v>
      </c>
    </row>
    <row r="1738" spans="1:11" ht="42" customHeight="1">
      <c r="A1738" s="2" t="s">
        <v>3742</v>
      </c>
      <c r="B1738" s="2" t="s">
        <v>3742</v>
      </c>
      <c r="C1738" s="2" t="s">
        <v>17</v>
      </c>
      <c r="D1738" s="2" t="s">
        <v>18</v>
      </c>
      <c r="E1738" s="5">
        <v>-28049</v>
      </c>
      <c r="F1738" s="3" t="s">
        <v>198</v>
      </c>
      <c r="G1738" s="3" t="s">
        <v>20</v>
      </c>
      <c r="H1738" s="2" t="s">
        <v>21</v>
      </c>
      <c r="I1738" s="2" t="s">
        <v>3743</v>
      </c>
      <c r="J1738" s="3" t="str">
        <f>HYPERLINK("https://www.boe.es/gazeta/dias/1823/03/15/pdfs/GMD-1823-78.pdf#page=4","Abrir facsímil")</f>
        <v>Abrir facsímil</v>
      </c>
      <c r="K1738" s="3" t="s">
        <v>23</v>
      </c>
    </row>
    <row r="1739" spans="1:11" ht="42" customHeight="1">
      <c r="A1739" s="2" t="s">
        <v>3744</v>
      </c>
      <c r="B1739" s="2" t="s">
        <v>3745</v>
      </c>
      <c r="C1739" s="2" t="s">
        <v>56</v>
      </c>
      <c r="D1739" s="2" t="s">
        <v>57</v>
      </c>
      <c r="E1739" s="5">
        <v>-27967</v>
      </c>
      <c r="F1739" s="3" t="s">
        <v>412</v>
      </c>
      <c r="G1739" s="3" t="s">
        <v>27</v>
      </c>
      <c r="H1739" s="2" t="s">
        <v>21</v>
      </c>
      <c r="I1739" s="2" t="s">
        <v>3746</v>
      </c>
      <c r="J1739" s="3" t="str">
        <f>HYPERLINK("https://www.boe.es/gazeta/dias/1823/06/05/pdfs/GES-1823-59.pdf#page=2","Abrir facsímil")</f>
        <v>Abrir facsímil</v>
      </c>
      <c r="K1739" s="3" t="s">
        <v>23</v>
      </c>
    </row>
    <row r="1740" spans="1:11" ht="42" customHeight="1">
      <c r="A1740" s="2" t="s">
        <v>3747</v>
      </c>
      <c r="B1740" s="2" t="s">
        <v>3748</v>
      </c>
      <c r="C1740" s="2" t="s">
        <v>17</v>
      </c>
      <c r="D1740" s="2" t="s">
        <v>18</v>
      </c>
      <c r="E1740" s="5">
        <v>-28062</v>
      </c>
      <c r="F1740" s="3" t="s">
        <v>1357</v>
      </c>
      <c r="G1740" s="3" t="s">
        <v>20</v>
      </c>
      <c r="H1740" s="2" t="s">
        <v>21</v>
      </c>
      <c r="I1740" s="2" t="s">
        <v>3749</v>
      </c>
      <c r="J1740" s="3" t="str">
        <f>HYPERLINK("https://www.boe.es/gazeta/dias/1823/03/02/pdfs/GMD-1823-65.pdf#page=4","Abrir facsímil")</f>
        <v>Abrir facsímil</v>
      </c>
      <c r="K1740" s="3" t="s">
        <v>23</v>
      </c>
    </row>
    <row r="1741" spans="1:11" ht="42" customHeight="1">
      <c r="A1741" s="2" t="s">
        <v>3750</v>
      </c>
      <c r="B1741" s="2" t="s">
        <v>3750</v>
      </c>
      <c r="C1741" s="2" t="s">
        <v>17</v>
      </c>
      <c r="D1741" s="2" t="s">
        <v>18</v>
      </c>
      <c r="E1741" s="5">
        <v>-28001</v>
      </c>
      <c r="F1741" s="3" t="s">
        <v>768</v>
      </c>
      <c r="G1741" s="3" t="s">
        <v>27</v>
      </c>
      <c r="H1741" s="2" t="s">
        <v>21</v>
      </c>
      <c r="I1741" s="2" t="s">
        <v>3751</v>
      </c>
      <c r="J1741" s="3" t="str">
        <f>HYPERLINK("https://www.boe.es/gazeta/dias/1823/05/02/pdfs/GES-1823-22.pdf#page=2","Abrir facsímil")</f>
        <v>Abrir facsímil</v>
      </c>
      <c r="K1741" s="3" t="s">
        <v>23</v>
      </c>
    </row>
    <row r="1742" spans="1:11" ht="42" customHeight="1">
      <c r="A1742" s="2" t="s">
        <v>3750</v>
      </c>
      <c r="B1742" s="2" t="s">
        <v>3750</v>
      </c>
      <c r="C1742" s="2" t="s">
        <v>17</v>
      </c>
      <c r="D1742" s="2" t="s">
        <v>18</v>
      </c>
      <c r="E1742" s="5">
        <v>-27948</v>
      </c>
      <c r="F1742" s="3" t="s">
        <v>3752</v>
      </c>
      <c r="G1742" s="3" t="s">
        <v>27</v>
      </c>
      <c r="H1742" s="2" t="s">
        <v>21</v>
      </c>
      <c r="I1742" s="2" t="s">
        <v>3753</v>
      </c>
      <c r="J1742" s="3" t="str">
        <f>HYPERLINK("https://www.boe.es/gazeta/dias/1823/06/24/pdfs/GMD-1823-263.pdf#page=2","Abrir facsímil")</f>
        <v>Abrir facsímil</v>
      </c>
      <c r="K1742" s="3" t="s">
        <v>23</v>
      </c>
    </row>
    <row r="1743" spans="1:11" ht="42" customHeight="1">
      <c r="A1743" s="2" t="s">
        <v>3750</v>
      </c>
      <c r="B1743" s="2" t="s">
        <v>3750</v>
      </c>
      <c r="C1743" s="2" t="s">
        <v>17</v>
      </c>
      <c r="D1743" s="2" t="s">
        <v>18</v>
      </c>
      <c r="E1743" s="5">
        <v>-27913</v>
      </c>
      <c r="F1743" s="3" t="s">
        <v>821</v>
      </c>
      <c r="G1743" s="3" t="s">
        <v>1204</v>
      </c>
      <c r="H1743" s="2" t="s">
        <v>21</v>
      </c>
      <c r="I1743" s="2" t="s">
        <v>3754</v>
      </c>
      <c r="J1743" s="3" t="str">
        <f>HYPERLINK("https://www.boe.es/gazeta/dias/1823/07/29/pdfs/GES-1823-110.pdf#page=2","Abrir facsímil")</f>
        <v>Abrir facsímil</v>
      </c>
      <c r="K1743" s="3" t="s">
        <v>23</v>
      </c>
    </row>
    <row r="1744" spans="1:11" ht="42" customHeight="1">
      <c r="A1744" s="2" t="s">
        <v>3755</v>
      </c>
      <c r="B1744" s="2" t="s">
        <v>3756</v>
      </c>
      <c r="C1744" s="2" t="s">
        <v>79</v>
      </c>
      <c r="D1744" s="2" t="s">
        <v>117</v>
      </c>
      <c r="E1744" s="5">
        <v>-27958</v>
      </c>
      <c r="F1744" s="3" t="s">
        <v>163</v>
      </c>
      <c r="G1744" s="3" t="s">
        <v>27</v>
      </c>
      <c r="H1744" s="2" t="s">
        <v>21</v>
      </c>
      <c r="I1744" s="2" t="s">
        <v>3757</v>
      </c>
      <c r="J1744" s="3" t="str">
        <f>HYPERLINK("https://www.boe.es/gazeta/dias/1823/06/14/pdfs/GMD-1823-163E.pdf#page=2","Abrir facsímil")</f>
        <v>Abrir facsímil</v>
      </c>
      <c r="K1744" s="3" t="s">
        <v>23</v>
      </c>
    </row>
    <row r="1745" spans="1:11" ht="42" customHeight="1">
      <c r="A1745" s="2" t="s">
        <v>3758</v>
      </c>
      <c r="B1745" s="2" t="s">
        <v>3759</v>
      </c>
      <c r="C1745" s="2" t="s">
        <v>109</v>
      </c>
      <c r="D1745" s="2" t="s">
        <v>74</v>
      </c>
      <c r="E1745" s="5">
        <v>-28103</v>
      </c>
      <c r="F1745" s="3" t="s">
        <v>285</v>
      </c>
      <c r="G1745" s="3" t="s">
        <v>27</v>
      </c>
      <c r="H1745" s="2" t="s">
        <v>21</v>
      </c>
      <c r="I1745" s="2" t="s">
        <v>3760</v>
      </c>
      <c r="J1745" s="3" t="str">
        <f>HYPERLINK("https://www.boe.es/gazeta/dias/1823/01/20/pdfs/GMD-1823-20.pdf#page=2","Abrir facsímil")</f>
        <v>Abrir facsímil</v>
      </c>
      <c r="K1745" s="3" t="s">
        <v>23</v>
      </c>
    </row>
    <row r="1746" spans="1:11" ht="42" customHeight="1">
      <c r="A1746" s="2" t="s">
        <v>3761</v>
      </c>
      <c r="B1746" s="2" t="s">
        <v>3761</v>
      </c>
      <c r="C1746" s="2" t="s">
        <v>17</v>
      </c>
      <c r="D1746" s="2" t="s">
        <v>18</v>
      </c>
      <c r="E1746" s="5">
        <v>-28025</v>
      </c>
      <c r="F1746" s="3" t="s">
        <v>477</v>
      </c>
      <c r="G1746" s="3" t="s">
        <v>48</v>
      </c>
      <c r="H1746" s="2" t="s">
        <v>21</v>
      </c>
      <c r="I1746" s="2" t="s">
        <v>3762</v>
      </c>
      <c r="J1746" s="3" t="str">
        <f>HYPERLINK("https://www.boe.es/gazeta/dias/1823/04/08/pdfs/GMD-1823-103.pdf#page=3","Abrir facsímil")</f>
        <v>Abrir facsímil</v>
      </c>
      <c r="K1746" s="3" t="s">
        <v>23</v>
      </c>
    </row>
    <row r="1747" spans="1:11" ht="42" customHeight="1">
      <c r="A1747" s="2" t="s">
        <v>3763</v>
      </c>
      <c r="B1747" s="2" t="s">
        <v>3763</v>
      </c>
      <c r="C1747" s="2" t="s">
        <v>17</v>
      </c>
      <c r="D1747" s="2" t="s">
        <v>18</v>
      </c>
      <c r="E1747" s="5">
        <v>-27918</v>
      </c>
      <c r="F1747" s="3" t="s">
        <v>218</v>
      </c>
      <c r="G1747" s="3" t="s">
        <v>20</v>
      </c>
      <c r="H1747" s="2" t="s">
        <v>21</v>
      </c>
      <c r="I1747" s="2" t="s">
        <v>3764</v>
      </c>
      <c r="J1747" s="3" t="str">
        <f>HYPERLINK("https://www.boe.es/gazeta/dias/1823/07/24/pdfs/GMD-1823-463.pdf#page=4","Abrir facsímil")</f>
        <v>Abrir facsímil</v>
      </c>
      <c r="K1747" s="3" t="s">
        <v>23</v>
      </c>
    </row>
    <row r="1748" spans="1:11" ht="42" customHeight="1">
      <c r="A1748" s="2" t="s">
        <v>3765</v>
      </c>
      <c r="B1748" s="2" t="s">
        <v>3765</v>
      </c>
      <c r="C1748" s="2" t="s">
        <v>17</v>
      </c>
      <c r="D1748" s="2" t="s">
        <v>117</v>
      </c>
      <c r="E1748" s="5">
        <v>-27925</v>
      </c>
      <c r="F1748" s="3" t="s">
        <v>3766</v>
      </c>
      <c r="G1748" s="3" t="s">
        <v>39</v>
      </c>
      <c r="H1748" s="2" t="s">
        <v>21</v>
      </c>
      <c r="I1748" s="2" t="s">
        <v>3767</v>
      </c>
      <c r="J1748" s="3" t="str">
        <f>HYPERLINK("https://www.boe.es/gazeta/dias/1823/07/17/pdfs/GMD-1823-423E.pdf#page=1","Abrir facsímil")</f>
        <v>Abrir facsímil</v>
      </c>
      <c r="K1748" s="3" t="s">
        <v>23</v>
      </c>
    </row>
    <row r="1749" spans="1:11" ht="42" customHeight="1">
      <c r="A1749" s="2" t="s">
        <v>3765</v>
      </c>
      <c r="B1749" s="2" t="s">
        <v>3765</v>
      </c>
      <c r="C1749" s="2" t="s">
        <v>17</v>
      </c>
      <c r="D1749" s="2" t="s">
        <v>18</v>
      </c>
      <c r="E1749" s="5">
        <v>-27923</v>
      </c>
      <c r="F1749" s="3" t="s">
        <v>1225</v>
      </c>
      <c r="G1749" s="3" t="s">
        <v>20</v>
      </c>
      <c r="H1749" s="2" t="s">
        <v>21</v>
      </c>
      <c r="I1749" s="2" t="s">
        <v>3768</v>
      </c>
      <c r="J1749" s="3" t="str">
        <f>HYPERLINK("https://www.boe.es/gazeta/dias/1823/07/19/pdfs/GMD-1823-433.pdf#page=4","Abrir facsímil")</f>
        <v>Abrir facsímil</v>
      </c>
      <c r="K1749" s="3" t="s">
        <v>23</v>
      </c>
    </row>
    <row r="1750" spans="1:11" ht="42" customHeight="1">
      <c r="A1750" s="2" t="s">
        <v>3765</v>
      </c>
      <c r="B1750" s="2" t="s">
        <v>3765</v>
      </c>
      <c r="C1750" s="2" t="s">
        <v>17</v>
      </c>
      <c r="D1750" s="2" t="s">
        <v>18</v>
      </c>
      <c r="E1750" s="5">
        <v>-27918</v>
      </c>
      <c r="F1750" s="3" t="s">
        <v>218</v>
      </c>
      <c r="G1750" s="3" t="s">
        <v>34</v>
      </c>
      <c r="H1750" s="2" t="s">
        <v>21</v>
      </c>
      <c r="I1750" s="2" t="s">
        <v>3769</v>
      </c>
      <c r="J1750" s="3" t="str">
        <f>HYPERLINK("https://www.boe.es/gazeta/dias/1823/07/24/pdfs/GMD-1823-463.pdf#page=5","Abrir facsímil")</f>
        <v>Abrir facsímil</v>
      </c>
      <c r="K1750" s="3" t="s">
        <v>23</v>
      </c>
    </row>
    <row r="1751" spans="1:11" ht="42" customHeight="1">
      <c r="A1751" s="2" t="s">
        <v>3770</v>
      </c>
      <c r="B1751" s="2" t="s">
        <v>3771</v>
      </c>
      <c r="C1751" s="2" t="s">
        <v>17</v>
      </c>
      <c r="D1751" s="2" t="s">
        <v>18</v>
      </c>
      <c r="E1751" s="5">
        <v>-27892</v>
      </c>
      <c r="F1751" s="3" t="s">
        <v>1571</v>
      </c>
      <c r="G1751" s="3" t="s">
        <v>39</v>
      </c>
      <c r="H1751" s="2" t="s">
        <v>21</v>
      </c>
      <c r="I1751" s="2" t="s">
        <v>3772</v>
      </c>
      <c r="J1751" s="3" t="str">
        <f>HYPERLINK("https://www.boe.es/gazeta/dias/1823/08/19/pdfs/GMD-1823-613.pdf#page=1","Abrir facsímil")</f>
        <v>Abrir facsímil</v>
      </c>
      <c r="K1751" s="3" t="s">
        <v>23</v>
      </c>
    </row>
    <row r="1752" spans="1:11" ht="42" customHeight="1">
      <c r="A1752" s="2" t="s">
        <v>3773</v>
      </c>
      <c r="B1752" s="2" t="s">
        <v>3774</v>
      </c>
      <c r="C1752" s="2" t="s">
        <v>73</v>
      </c>
      <c r="D1752" s="2" t="s">
        <v>74</v>
      </c>
      <c r="E1752" s="5">
        <v>-27905</v>
      </c>
      <c r="F1752" s="3" t="s">
        <v>236</v>
      </c>
      <c r="G1752" s="3" t="s">
        <v>237</v>
      </c>
      <c r="H1752" s="2" t="s">
        <v>21</v>
      </c>
      <c r="I1752" s="2" t="s">
        <v>3775</v>
      </c>
      <c r="J1752" s="3" t="str">
        <f>HYPERLINK("https://www.boe.es/gazeta/dias/1823/08/06/pdfs/GES-1823-119.pdf#page=4","Abrir facsímil")</f>
        <v>Abrir facsímil</v>
      </c>
      <c r="K1752" s="3" t="s">
        <v>23</v>
      </c>
    </row>
    <row r="1753" spans="1:11" ht="42" customHeight="1">
      <c r="A1753" s="2" t="s">
        <v>3776</v>
      </c>
      <c r="B1753" s="2" t="s">
        <v>3776</v>
      </c>
      <c r="C1753" s="2" t="s">
        <v>17</v>
      </c>
      <c r="D1753" s="2" t="s">
        <v>18</v>
      </c>
      <c r="E1753" s="5">
        <v>-27918</v>
      </c>
      <c r="F1753" s="3" t="s">
        <v>218</v>
      </c>
      <c r="G1753" s="3" t="s">
        <v>48</v>
      </c>
      <c r="H1753" s="2" t="s">
        <v>21</v>
      </c>
      <c r="I1753" s="2" t="s">
        <v>3777</v>
      </c>
      <c r="J1753" s="3" t="str">
        <f>HYPERLINK("https://www.boe.es/gazeta/dias/1823/07/24/pdfs/GMD-1823-463.pdf#page=3","Abrir facsímil")</f>
        <v>Abrir facsímil</v>
      </c>
      <c r="K1753" s="3" t="s">
        <v>23</v>
      </c>
    </row>
    <row r="1754" spans="1:11" ht="42" customHeight="1">
      <c r="A1754" s="2" t="s">
        <v>3778</v>
      </c>
      <c r="B1754" s="2" t="s">
        <v>3778</v>
      </c>
      <c r="C1754" s="2" t="s">
        <v>17</v>
      </c>
      <c r="D1754" s="2" t="s">
        <v>18</v>
      </c>
      <c r="E1754" s="5">
        <v>-27861</v>
      </c>
      <c r="F1754" s="3" t="s">
        <v>425</v>
      </c>
      <c r="G1754" s="3" t="s">
        <v>39</v>
      </c>
      <c r="H1754" s="2" t="s">
        <v>21</v>
      </c>
      <c r="I1754" s="2" t="s">
        <v>3779</v>
      </c>
      <c r="J1754" s="3" t="str">
        <f>HYPERLINK("https://www.boe.es/gazeta/dias/1823/09/19/pdfs/GES-1823-163.pdf#page=1","Abrir facsímil")</f>
        <v>Abrir facsímil</v>
      </c>
      <c r="K1754" s="3" t="s">
        <v>23</v>
      </c>
    </row>
    <row r="1755" spans="1:11" ht="42" customHeight="1">
      <c r="A1755" s="2" t="s">
        <v>3778</v>
      </c>
      <c r="B1755" s="2" t="s">
        <v>3778</v>
      </c>
      <c r="C1755" s="2" t="s">
        <v>17</v>
      </c>
      <c r="D1755" s="2" t="s">
        <v>18</v>
      </c>
      <c r="E1755" s="5">
        <v>-27801</v>
      </c>
      <c r="F1755" s="3" t="s">
        <v>800</v>
      </c>
      <c r="G1755" s="3" t="s">
        <v>48</v>
      </c>
      <c r="H1755" s="2" t="s">
        <v>21</v>
      </c>
      <c r="I1755" s="2" t="s">
        <v>3780</v>
      </c>
      <c r="J1755" s="3" t="str">
        <f>HYPERLINK("https://www.boe.es/gazeta/dias/1823/11/18/pdfs/GMD-1823-1133.pdf#page=3","Abrir facsímil")</f>
        <v>Abrir facsímil</v>
      </c>
      <c r="K1755" s="3" t="s">
        <v>23</v>
      </c>
    </row>
    <row r="1756" spans="1:11" ht="42" customHeight="1">
      <c r="A1756" s="2" t="s">
        <v>3781</v>
      </c>
      <c r="B1756" s="2" t="s">
        <v>3781</v>
      </c>
      <c r="C1756" s="2" t="s">
        <v>109</v>
      </c>
      <c r="D1756" s="2" t="s">
        <v>74</v>
      </c>
      <c r="E1756" s="5">
        <v>-28048</v>
      </c>
      <c r="F1756" s="3" t="s">
        <v>399</v>
      </c>
      <c r="G1756" s="3" t="s">
        <v>20</v>
      </c>
      <c r="H1756" s="2" t="s">
        <v>21</v>
      </c>
      <c r="I1756" s="2" t="s">
        <v>3782</v>
      </c>
      <c r="J1756" s="3" t="str">
        <f>HYPERLINK("https://www.boe.es/gazeta/dias/1823/03/16/pdfs/GMD-1823-79.pdf#page=4","Abrir facsímil")</f>
        <v>Abrir facsímil</v>
      </c>
      <c r="K1756" s="3" t="s">
        <v>23</v>
      </c>
    </row>
    <row r="1757" spans="1:11" ht="42" customHeight="1">
      <c r="A1757" s="2" t="s">
        <v>3781</v>
      </c>
      <c r="B1757" s="2" t="s">
        <v>3781</v>
      </c>
      <c r="C1757" s="2" t="s">
        <v>56</v>
      </c>
      <c r="D1757" s="2" t="s">
        <v>57</v>
      </c>
      <c r="E1757" s="5">
        <v>-27945</v>
      </c>
      <c r="F1757" s="3" t="s">
        <v>628</v>
      </c>
      <c r="G1757" s="3" t="s">
        <v>39</v>
      </c>
      <c r="H1757" s="2" t="s">
        <v>21</v>
      </c>
      <c r="I1757" s="2" t="s">
        <v>3783</v>
      </c>
      <c r="J1757" s="3" t="str">
        <f>HYPERLINK("https://www.boe.es/gazeta/dias/1823/06/27/pdfs/GES-1823-77.pdf#page=1","Abrir facsímil")</f>
        <v>Abrir facsímil</v>
      </c>
      <c r="K1757" s="3" t="s">
        <v>23</v>
      </c>
    </row>
    <row r="1758" spans="1:11" ht="42" customHeight="1">
      <c r="A1758" s="2" t="s">
        <v>3784</v>
      </c>
      <c r="B1758" s="2" t="s">
        <v>3785</v>
      </c>
      <c r="C1758" s="2" t="s">
        <v>17</v>
      </c>
      <c r="D1758" s="2" t="s">
        <v>18</v>
      </c>
      <c r="E1758" s="5">
        <v>-28007</v>
      </c>
      <c r="F1758" s="3" t="s">
        <v>1190</v>
      </c>
      <c r="G1758" s="3" t="s">
        <v>20</v>
      </c>
      <c r="H1758" s="2" t="s">
        <v>21</v>
      </c>
      <c r="I1758" s="2" t="s">
        <v>3786</v>
      </c>
      <c r="J1758" s="3" t="str">
        <f>HYPERLINK("https://www.boe.es/gazeta/dias/1823/04/26/pdfs/GMD-1823-62.pdf#page=4","Abrir facsímil")</f>
        <v>Abrir facsímil</v>
      </c>
      <c r="K1758" s="3" t="s">
        <v>23</v>
      </c>
    </row>
    <row r="1759" spans="1:11" ht="42" customHeight="1">
      <c r="A1759" s="2" t="s">
        <v>3787</v>
      </c>
      <c r="B1759" s="2" t="s">
        <v>3788</v>
      </c>
      <c r="C1759" s="2" t="s">
        <v>293</v>
      </c>
      <c r="D1759" s="2" t="s">
        <v>74</v>
      </c>
      <c r="E1759" s="5">
        <v>-28056</v>
      </c>
      <c r="F1759" s="3" t="s">
        <v>572</v>
      </c>
      <c r="G1759" s="3" t="s">
        <v>59</v>
      </c>
      <c r="H1759" s="2" t="s">
        <v>21</v>
      </c>
      <c r="I1759" s="2" t="s">
        <v>3789</v>
      </c>
      <c r="J1759" s="3" t="str">
        <f>HYPERLINK("https://www.boe.es/gazeta/dias/1823/03/08/pdfs/GMD-1823-71.pdf#page=6","Abrir facsímil")</f>
        <v>Abrir facsímil</v>
      </c>
      <c r="K1759" s="3" t="s">
        <v>23</v>
      </c>
    </row>
    <row r="1760" spans="1:11" ht="42" customHeight="1">
      <c r="A1760" s="2" t="s">
        <v>3790</v>
      </c>
      <c r="B1760" s="2" t="s">
        <v>3791</v>
      </c>
      <c r="C1760" s="2" t="s">
        <v>17</v>
      </c>
      <c r="D1760" s="2" t="s">
        <v>18</v>
      </c>
      <c r="E1760" s="5">
        <v>-27861</v>
      </c>
      <c r="F1760" s="3" t="s">
        <v>425</v>
      </c>
      <c r="G1760" s="3" t="s">
        <v>39</v>
      </c>
      <c r="H1760" s="2" t="s">
        <v>21</v>
      </c>
      <c r="I1760" s="2" t="s">
        <v>3792</v>
      </c>
      <c r="J1760" s="3" t="str">
        <f>HYPERLINK("https://www.boe.es/gazeta/dias/1823/09/19/pdfs/GES-1823-163.pdf#page=1","Abrir facsímil")</f>
        <v>Abrir facsímil</v>
      </c>
      <c r="K1760" s="3" t="s">
        <v>23</v>
      </c>
    </row>
    <row r="1761" spans="1:11" ht="42" customHeight="1">
      <c r="A1761" s="2" t="s">
        <v>3793</v>
      </c>
      <c r="B1761" s="2" t="s">
        <v>3793</v>
      </c>
      <c r="C1761" s="2" t="s">
        <v>17</v>
      </c>
      <c r="D1761" s="2" t="s">
        <v>18</v>
      </c>
      <c r="E1761" s="5">
        <v>-27960</v>
      </c>
      <c r="F1761" s="3" t="s">
        <v>682</v>
      </c>
      <c r="G1761" s="3" t="s">
        <v>815</v>
      </c>
      <c r="H1761" s="2" t="s">
        <v>21</v>
      </c>
      <c r="I1761" s="2" t="s">
        <v>3794</v>
      </c>
      <c r="J1761" s="3" t="str">
        <f>HYPERLINK("https://www.boe.es/gazeta/dias/1823/06/12/pdfs/GMD-1823-123.pdf#page=6","Abrir facsímil")</f>
        <v>Abrir facsímil</v>
      </c>
      <c r="K1761" s="3" t="s">
        <v>23</v>
      </c>
    </row>
    <row r="1762" spans="1:11" ht="42" customHeight="1">
      <c r="A1762" s="2" t="s">
        <v>3795</v>
      </c>
      <c r="B1762" s="2" t="s">
        <v>3796</v>
      </c>
      <c r="C1762" s="2" t="s">
        <v>17</v>
      </c>
      <c r="D1762" s="2" t="s">
        <v>18</v>
      </c>
      <c r="E1762" s="5">
        <v>-27864</v>
      </c>
      <c r="F1762" s="3" t="s">
        <v>395</v>
      </c>
      <c r="G1762" s="3" t="s">
        <v>39</v>
      </c>
      <c r="H1762" s="2" t="s">
        <v>21</v>
      </c>
      <c r="I1762" s="2" t="s">
        <v>3797</v>
      </c>
      <c r="J1762" s="3" t="str">
        <f>HYPERLINK("https://www.boe.es/gazeta/dias/1823/09/16/pdfs/GMD-1823-783.pdf#page=1","Abrir facsímil")</f>
        <v>Abrir facsímil</v>
      </c>
      <c r="K1762" s="3" t="s">
        <v>23</v>
      </c>
    </row>
    <row r="1763" spans="1:11" ht="42" customHeight="1">
      <c r="A1763" s="2" t="s">
        <v>3798</v>
      </c>
      <c r="B1763" s="2" t="s">
        <v>3799</v>
      </c>
      <c r="C1763" s="2" t="s">
        <v>17</v>
      </c>
      <c r="D1763" s="2" t="s">
        <v>18</v>
      </c>
      <c r="E1763" s="5">
        <v>-27999</v>
      </c>
      <c r="F1763" s="3" t="s">
        <v>97</v>
      </c>
      <c r="G1763" s="3" t="s">
        <v>1257</v>
      </c>
      <c r="H1763" s="2" t="s">
        <v>21</v>
      </c>
      <c r="I1763" s="2" t="s">
        <v>3800</v>
      </c>
      <c r="J1763" s="3" t="str">
        <f>HYPERLINK("https://www.boe.es/gazeta/dias/1823/05/04/pdfs/GES-1823-24.pdf#page=2","Abrir facsímil")</f>
        <v>Abrir facsímil</v>
      </c>
      <c r="K1763" s="3" t="s">
        <v>23</v>
      </c>
    </row>
    <row r="1764" spans="1:11" ht="42" customHeight="1">
      <c r="A1764" s="2" t="s">
        <v>3801</v>
      </c>
      <c r="B1764" s="2" t="s">
        <v>3801</v>
      </c>
      <c r="C1764" s="2" t="s">
        <v>17</v>
      </c>
      <c r="D1764" s="2" t="s">
        <v>18</v>
      </c>
      <c r="E1764" s="5">
        <v>-28094</v>
      </c>
      <c r="F1764" s="3" t="s">
        <v>93</v>
      </c>
      <c r="G1764" s="3" t="s">
        <v>20</v>
      </c>
      <c r="H1764" s="2" t="s">
        <v>21</v>
      </c>
      <c r="I1764" s="2" t="s">
        <v>3802</v>
      </c>
      <c r="J1764" s="3" t="str">
        <f>HYPERLINK("https://www.boe.es/gazeta/dias/1823/01/29/pdfs/GMD-1823-30.pdf#page=4","Abrir facsímil")</f>
        <v>Abrir facsímil</v>
      </c>
      <c r="K1764" s="3" t="s">
        <v>23</v>
      </c>
    </row>
    <row r="1765" spans="1:11" ht="42" customHeight="1">
      <c r="A1765" s="2" t="s">
        <v>3803</v>
      </c>
      <c r="B1765" s="2" t="s">
        <v>3803</v>
      </c>
      <c r="C1765" s="2" t="s">
        <v>17</v>
      </c>
      <c r="D1765" s="2" t="s">
        <v>18</v>
      </c>
      <c r="E1765" s="5">
        <v>-27874</v>
      </c>
      <c r="F1765" s="3" t="s">
        <v>122</v>
      </c>
      <c r="G1765" s="3" t="s">
        <v>27</v>
      </c>
      <c r="H1765" s="2" t="s">
        <v>21</v>
      </c>
      <c r="I1765" s="2" t="s">
        <v>3804</v>
      </c>
      <c r="J1765" s="3" t="str">
        <f>HYPERLINK("https://www.boe.es/gazeta/dias/1823/09/06/pdfs/GMD-1823-713.pdf#page=2","Abrir facsímil")</f>
        <v>Abrir facsímil</v>
      </c>
      <c r="K1765" s="3" t="s">
        <v>23</v>
      </c>
    </row>
    <row r="1766" spans="1:11" ht="42" customHeight="1">
      <c r="A1766" s="2" t="s">
        <v>3805</v>
      </c>
      <c r="B1766" s="2" t="s">
        <v>3806</v>
      </c>
      <c r="C1766" s="2" t="s">
        <v>79</v>
      </c>
      <c r="D1766" s="2" t="s">
        <v>74</v>
      </c>
      <c r="E1766" s="5">
        <v>-27920</v>
      </c>
      <c r="F1766" s="3" t="s">
        <v>1334</v>
      </c>
      <c r="G1766" s="3" t="s">
        <v>276</v>
      </c>
      <c r="H1766" s="2" t="s">
        <v>21</v>
      </c>
      <c r="I1766" s="2" t="s">
        <v>3807</v>
      </c>
      <c r="J1766" s="3" t="str">
        <f>HYPERLINK("https://www.boe.es/gazeta/dias/1823/07/22/pdfs/GMD-1823-443.pdf#page=7","Abrir facsímil")</f>
        <v>Abrir facsímil</v>
      </c>
      <c r="K1766" s="3" t="s">
        <v>23</v>
      </c>
    </row>
    <row r="1767" spans="1:11" ht="42" customHeight="1">
      <c r="A1767" s="2" t="s">
        <v>3808</v>
      </c>
      <c r="B1767" s="2" t="s">
        <v>3809</v>
      </c>
      <c r="C1767" s="2" t="s">
        <v>17</v>
      </c>
      <c r="D1767" s="2" t="s">
        <v>18</v>
      </c>
      <c r="E1767" s="5">
        <v>-27911</v>
      </c>
      <c r="F1767" s="3" t="s">
        <v>368</v>
      </c>
      <c r="G1767" s="3" t="s">
        <v>39</v>
      </c>
      <c r="H1767" s="2" t="s">
        <v>21</v>
      </c>
      <c r="I1767" s="2" t="s">
        <v>3810</v>
      </c>
      <c r="J1767" s="3" t="str">
        <f>HYPERLINK("https://www.boe.es/gazeta/dias/1823/07/31/pdfs/GES-1823-112.pdf#page=1","Abrir facsímil")</f>
        <v>Abrir facsímil</v>
      </c>
      <c r="K1767" s="3" t="s">
        <v>23</v>
      </c>
    </row>
    <row r="1768" spans="1:11" ht="42" customHeight="1">
      <c r="A1768" s="2" t="s">
        <v>3811</v>
      </c>
      <c r="B1768" s="2" t="s">
        <v>3811</v>
      </c>
      <c r="C1768" s="2" t="s">
        <v>56</v>
      </c>
      <c r="D1768" s="2" t="s">
        <v>57</v>
      </c>
      <c r="E1768" s="5">
        <v>-28077</v>
      </c>
      <c r="F1768" s="3" t="s">
        <v>536</v>
      </c>
      <c r="G1768" s="3" t="s">
        <v>59</v>
      </c>
      <c r="H1768" s="2" t="s">
        <v>21</v>
      </c>
      <c r="I1768" s="2" t="s">
        <v>3812</v>
      </c>
      <c r="J1768" s="3" t="str">
        <f>HYPERLINK("https://www.boe.es/gazeta/dias/1823/02/15/pdfs/GMD-1823-49.pdf#page=6","Abrir facsímil")</f>
        <v>Abrir facsímil</v>
      </c>
      <c r="K1768" s="3" t="s">
        <v>23</v>
      </c>
    </row>
    <row r="1769" spans="1:11" ht="42" customHeight="1">
      <c r="A1769" s="2" t="s">
        <v>3811</v>
      </c>
      <c r="B1769" s="2" t="s">
        <v>3811</v>
      </c>
      <c r="C1769" s="2" t="s">
        <v>17</v>
      </c>
      <c r="D1769" s="2" t="s">
        <v>18</v>
      </c>
      <c r="E1769" s="5">
        <v>-27967</v>
      </c>
      <c r="F1769" s="3" t="s">
        <v>2493</v>
      </c>
      <c r="G1769" s="3" t="s">
        <v>20</v>
      </c>
      <c r="H1769" s="2" t="s">
        <v>21</v>
      </c>
      <c r="I1769" s="2" t="s">
        <v>3813</v>
      </c>
      <c r="J1769" s="3" t="str">
        <f>HYPERLINK("https://www.boe.es/gazeta/dias/1823/06/05/pdfs/GMD-1823-63.pdf#page=4","Abrir facsímil")</f>
        <v>Abrir facsímil</v>
      </c>
      <c r="K1769" s="3" t="s">
        <v>23</v>
      </c>
    </row>
    <row r="1770" spans="1:11" ht="42" customHeight="1">
      <c r="A1770" s="2" t="s">
        <v>3814</v>
      </c>
      <c r="B1770" s="2" t="s">
        <v>3815</v>
      </c>
      <c r="C1770" s="2" t="s">
        <v>109</v>
      </c>
      <c r="D1770" s="2" t="s">
        <v>74</v>
      </c>
      <c r="E1770" s="5">
        <v>-28043</v>
      </c>
      <c r="F1770" s="3" t="s">
        <v>69</v>
      </c>
      <c r="G1770" s="3" t="s">
        <v>59</v>
      </c>
      <c r="H1770" s="2" t="s">
        <v>21</v>
      </c>
      <c r="I1770" s="2" t="s">
        <v>3816</v>
      </c>
      <c r="J1770" s="3" t="str">
        <f>HYPERLINK("https://www.boe.es/gazeta/dias/1823/03/21/pdfs/GMD-1823-84.pdf#page=6","Abrir facsímil")</f>
        <v>Abrir facsímil</v>
      </c>
      <c r="K1770" s="3" t="s">
        <v>23</v>
      </c>
    </row>
    <row r="1771" spans="1:11" ht="42" customHeight="1">
      <c r="A1771" s="2" t="s">
        <v>3817</v>
      </c>
      <c r="B1771" s="2" t="s">
        <v>3818</v>
      </c>
      <c r="C1771" s="2" t="s">
        <v>109</v>
      </c>
      <c r="D1771" s="2" t="s">
        <v>74</v>
      </c>
      <c r="E1771" s="5">
        <v>-28031</v>
      </c>
      <c r="F1771" s="3" t="s">
        <v>1211</v>
      </c>
      <c r="G1771" s="3" t="s">
        <v>20</v>
      </c>
      <c r="H1771" s="2" t="s">
        <v>21</v>
      </c>
      <c r="I1771" s="2" t="s">
        <v>3819</v>
      </c>
      <c r="J1771" s="3" t="str">
        <f>HYPERLINK("https://www.boe.es/gazeta/dias/1823/04/02/pdfs/GMD-1823-96.pdf#page=4","Abrir facsímil")</f>
        <v>Abrir facsímil</v>
      </c>
      <c r="K1771" s="3" t="s">
        <v>23</v>
      </c>
    </row>
    <row r="1772" spans="1:11" ht="42" customHeight="1">
      <c r="A1772" s="2" t="s">
        <v>3820</v>
      </c>
      <c r="B1772" s="2" t="s">
        <v>3821</v>
      </c>
      <c r="C1772" s="2" t="s">
        <v>84</v>
      </c>
      <c r="D1772" s="2" t="s">
        <v>74</v>
      </c>
      <c r="E1772" s="5">
        <v>-28109</v>
      </c>
      <c r="F1772" s="3" t="s">
        <v>889</v>
      </c>
      <c r="G1772" s="3" t="s">
        <v>20</v>
      </c>
      <c r="H1772" s="2" t="s">
        <v>21</v>
      </c>
      <c r="I1772" s="2" t="s">
        <v>3822</v>
      </c>
      <c r="J1772" s="3" t="str">
        <f>HYPERLINK("https://www.boe.es/gazeta/dias/1823/01/14/pdfs/GMD-1823-14.pdf#page=4","Abrir facsímil")</f>
        <v>Abrir facsímil</v>
      </c>
      <c r="K1772" s="3" t="s">
        <v>23</v>
      </c>
    </row>
    <row r="1773" spans="1:11" ht="42" customHeight="1">
      <c r="A1773" s="2" t="s">
        <v>3823</v>
      </c>
      <c r="B1773" s="2" t="s">
        <v>3823</v>
      </c>
      <c r="C1773" s="2" t="s">
        <v>56</v>
      </c>
      <c r="D1773" s="2" t="s">
        <v>57</v>
      </c>
      <c r="E1773" s="5">
        <v>-28084</v>
      </c>
      <c r="F1773" s="3" t="s">
        <v>1049</v>
      </c>
      <c r="G1773" s="3" t="s">
        <v>39</v>
      </c>
      <c r="H1773" s="2" t="s">
        <v>21</v>
      </c>
      <c r="I1773" s="2" t="s">
        <v>3824</v>
      </c>
      <c r="J1773" s="3" t="str">
        <f>HYPERLINK("https://www.boe.es/gazeta/dias/1823/02/08/pdfs/GMD-1823-41.pdf#page=1","Abrir facsímil")</f>
        <v>Abrir facsímil</v>
      </c>
      <c r="K1773" s="3" t="s">
        <v>23</v>
      </c>
    </row>
    <row r="1774" spans="1:11" ht="42" customHeight="1">
      <c r="A1774" s="2" t="s">
        <v>3825</v>
      </c>
      <c r="B1774" s="2" t="s">
        <v>3825</v>
      </c>
      <c r="C1774" s="2" t="s">
        <v>73</v>
      </c>
      <c r="D1774" s="2" t="s">
        <v>74</v>
      </c>
      <c r="E1774" s="5">
        <v>-28046</v>
      </c>
      <c r="F1774" s="3" t="s">
        <v>85</v>
      </c>
      <c r="G1774" s="3" t="s">
        <v>27</v>
      </c>
      <c r="H1774" s="2" t="s">
        <v>21</v>
      </c>
      <c r="I1774" s="2" t="s">
        <v>3826</v>
      </c>
      <c r="J1774" s="3" t="str">
        <f>HYPERLINK("https://www.boe.es/gazeta/dias/1823/03/18/pdfs/GMD-1823-81.pdf#page=2","Abrir facsímil")</f>
        <v>Abrir facsímil</v>
      </c>
      <c r="K1774" s="3" t="s">
        <v>23</v>
      </c>
    </row>
    <row r="1775" spans="1:11" ht="42" customHeight="1">
      <c r="A1775" s="2" t="s">
        <v>3827</v>
      </c>
      <c r="B1775" s="2" t="s">
        <v>3828</v>
      </c>
      <c r="C1775" s="2" t="s">
        <v>17</v>
      </c>
      <c r="D1775" s="2" t="s">
        <v>18</v>
      </c>
      <c r="E1775" s="5">
        <v>-28065</v>
      </c>
      <c r="F1775" s="3" t="s">
        <v>686</v>
      </c>
      <c r="G1775" s="3" t="s">
        <v>20</v>
      </c>
      <c r="H1775" s="2" t="s">
        <v>21</v>
      </c>
      <c r="I1775" s="2" t="s">
        <v>3829</v>
      </c>
      <c r="J1775" s="3" t="str">
        <f>HYPERLINK("https://www.boe.es/gazeta/dias/1823/02/27/pdfs/GMD-1823-61.pdf#page=4","Abrir facsímil")</f>
        <v>Abrir facsímil</v>
      </c>
      <c r="K1775" s="3" t="s">
        <v>23</v>
      </c>
    </row>
    <row r="1776" spans="1:11" ht="42" customHeight="1">
      <c r="A1776" s="2" t="s">
        <v>3830</v>
      </c>
      <c r="B1776" s="2" t="s">
        <v>3831</v>
      </c>
      <c r="C1776" s="2" t="s">
        <v>17</v>
      </c>
      <c r="D1776" s="2" t="s">
        <v>18</v>
      </c>
      <c r="E1776" s="5">
        <v>-28010</v>
      </c>
      <c r="F1776" s="3" t="s">
        <v>808</v>
      </c>
      <c r="G1776" s="3" t="s">
        <v>20</v>
      </c>
      <c r="H1776" s="2" t="s">
        <v>21</v>
      </c>
      <c r="I1776" s="2" t="s">
        <v>3832</v>
      </c>
      <c r="J1776" s="3" t="str">
        <f>HYPERLINK("https://www.boe.es/gazeta/dias/1823/04/23/pdfs/GES-1823-13.pdf#page=4","Abrir facsímil")</f>
        <v>Abrir facsímil</v>
      </c>
      <c r="K1776" s="3" t="s">
        <v>23</v>
      </c>
    </row>
    <row r="1777" spans="1:11" ht="42" customHeight="1">
      <c r="A1777" s="2" t="s">
        <v>3833</v>
      </c>
      <c r="B1777" s="2" t="s">
        <v>3833</v>
      </c>
      <c r="C1777" s="2" t="s">
        <v>73</v>
      </c>
      <c r="D1777" s="2" t="s">
        <v>74</v>
      </c>
      <c r="E1777" s="5">
        <v>-28004</v>
      </c>
      <c r="F1777" s="3" t="s">
        <v>33</v>
      </c>
      <c r="G1777" s="3" t="s">
        <v>48</v>
      </c>
      <c r="H1777" s="2" t="s">
        <v>21</v>
      </c>
      <c r="I1777" s="2" t="s">
        <v>3834</v>
      </c>
      <c r="J1777" s="3" t="str">
        <f>HYPERLINK("https://www.boe.es/gazeta/dias/1823/04/29/pdfs/GES-1823-19.pdf#page=3","Abrir facsímil")</f>
        <v>Abrir facsímil</v>
      </c>
      <c r="K1777" s="3" t="s">
        <v>23</v>
      </c>
    </row>
    <row r="1778" spans="1:11" ht="42" customHeight="1">
      <c r="A1778" s="2" t="s">
        <v>3835</v>
      </c>
      <c r="B1778" s="2" t="s">
        <v>3836</v>
      </c>
      <c r="C1778" s="2" t="s">
        <v>84</v>
      </c>
      <c r="D1778" s="2" t="s">
        <v>74</v>
      </c>
      <c r="E1778" s="5">
        <v>-27860</v>
      </c>
      <c r="F1778" s="3" t="s">
        <v>998</v>
      </c>
      <c r="G1778" s="3" t="s">
        <v>715</v>
      </c>
      <c r="H1778" s="2" t="s">
        <v>21</v>
      </c>
      <c r="I1778" s="2" t="s">
        <v>3837</v>
      </c>
      <c r="J1778" s="3" t="str">
        <f>HYPERLINK("https://www.boe.es/gazeta/dias/1823/09/20/pdfs/GMD-1823-813.pdf#page=8","Abrir facsímil")</f>
        <v>Abrir facsímil</v>
      </c>
      <c r="K1778" s="3" t="s">
        <v>23</v>
      </c>
    </row>
    <row r="1779" spans="1:11" ht="42" customHeight="1">
      <c r="A1779" s="2" t="s">
        <v>3838</v>
      </c>
      <c r="B1779" s="2" t="s">
        <v>3838</v>
      </c>
      <c r="C1779" s="2" t="s">
        <v>17</v>
      </c>
      <c r="D1779" s="2" t="s">
        <v>18</v>
      </c>
      <c r="E1779" s="5">
        <v>-28035</v>
      </c>
      <c r="F1779" s="3" t="s">
        <v>138</v>
      </c>
      <c r="G1779" s="3" t="s">
        <v>39</v>
      </c>
      <c r="H1779" s="2" t="s">
        <v>21</v>
      </c>
      <c r="I1779" s="2" t="s">
        <v>3839</v>
      </c>
      <c r="J1779" s="3" t="str">
        <f>HYPERLINK("https://www.boe.es/gazeta/dias/1823/03/29/pdfs/GMD-1823-92.pdf#page=1","Abrir facsímil")</f>
        <v>Abrir facsímil</v>
      </c>
      <c r="K1779" s="3" t="s">
        <v>23</v>
      </c>
    </row>
    <row r="1780" spans="1:11" ht="42" customHeight="1">
      <c r="A1780" s="2" t="s">
        <v>3840</v>
      </c>
      <c r="B1780" s="2" t="s">
        <v>3841</v>
      </c>
      <c r="C1780" s="2" t="s">
        <v>17</v>
      </c>
      <c r="D1780" s="2" t="s">
        <v>18</v>
      </c>
      <c r="E1780" s="5">
        <v>-27878</v>
      </c>
      <c r="F1780" s="3" t="s">
        <v>1581</v>
      </c>
      <c r="G1780" s="3" t="s">
        <v>39</v>
      </c>
      <c r="H1780" s="2" t="s">
        <v>21</v>
      </c>
      <c r="I1780" s="2" t="s">
        <v>3842</v>
      </c>
      <c r="J1780" s="3" t="str">
        <f>HYPERLINK("https://www.boe.es/gazeta/dias/1823/09/02/pdfs/GMD-1823-683.pdf#page=1","Abrir facsímil")</f>
        <v>Abrir facsímil</v>
      </c>
      <c r="K1780" s="3" t="s">
        <v>23</v>
      </c>
    </row>
    <row r="1781" spans="1:11" ht="42" customHeight="1">
      <c r="A1781" s="2" t="s">
        <v>3843</v>
      </c>
      <c r="B1781" s="2" t="s">
        <v>3844</v>
      </c>
      <c r="C1781" s="2" t="s">
        <v>17</v>
      </c>
      <c r="D1781" s="2" t="s">
        <v>18</v>
      </c>
      <c r="E1781" s="5">
        <v>-27878</v>
      </c>
      <c r="F1781" s="3" t="s">
        <v>1581</v>
      </c>
      <c r="G1781" s="3" t="s">
        <v>39</v>
      </c>
      <c r="H1781" s="2" t="s">
        <v>28</v>
      </c>
      <c r="I1781" s="2" t="s">
        <v>3845</v>
      </c>
      <c r="J1781" s="3" t="str">
        <f>HYPERLINK("https://www.boe.es/gazeta/dias/1823/09/02/pdfs/GMD-1823-683.pdf#page=1","Abrir facsímil")</f>
        <v>Abrir facsímil</v>
      </c>
      <c r="K1781" s="3" t="s">
        <v>30</v>
      </c>
    </row>
    <row r="1782" spans="1:11" ht="42" customHeight="1">
      <c r="A1782" s="2" t="s">
        <v>3846</v>
      </c>
      <c r="B1782" s="2" t="s">
        <v>3847</v>
      </c>
      <c r="C1782" s="2" t="s">
        <v>56</v>
      </c>
      <c r="D1782" s="2" t="s">
        <v>57</v>
      </c>
      <c r="E1782" s="5">
        <v>-27955</v>
      </c>
      <c r="F1782" s="3" t="s">
        <v>3015</v>
      </c>
      <c r="G1782" s="3" t="s">
        <v>48</v>
      </c>
      <c r="H1782" s="2" t="s">
        <v>21</v>
      </c>
      <c r="I1782" s="2" t="s">
        <v>3848</v>
      </c>
      <c r="J1782" s="3" t="str">
        <f>HYPERLINK("https://www.boe.es/gazeta/dias/1823/06/17/pdfs/GMD-1823-183.pdf#page=3","Abrir facsímil")</f>
        <v>Abrir facsímil</v>
      </c>
      <c r="K1782" s="3" t="s">
        <v>23</v>
      </c>
    </row>
    <row r="1783" spans="1:11" ht="42" customHeight="1">
      <c r="A1783" s="2" t="s">
        <v>3849</v>
      </c>
      <c r="B1783" s="2" t="s">
        <v>3850</v>
      </c>
      <c r="C1783" s="2" t="s">
        <v>79</v>
      </c>
      <c r="D1783" s="2" t="s">
        <v>74</v>
      </c>
      <c r="E1783" s="5">
        <v>-27908</v>
      </c>
      <c r="F1783" s="3" t="s">
        <v>80</v>
      </c>
      <c r="G1783" s="3" t="s">
        <v>20</v>
      </c>
      <c r="H1783" s="2" t="s">
        <v>21</v>
      </c>
      <c r="I1783" s="2" t="s">
        <v>3851</v>
      </c>
      <c r="J1783" s="3" t="str">
        <f>HYPERLINK("https://www.boe.es/gazeta/dias/1823/08/03/pdfs/GES-1823-115.pdf#page=4","Abrir facsímil")</f>
        <v>Abrir facsímil</v>
      </c>
      <c r="K1783" s="3" t="s">
        <v>23</v>
      </c>
    </row>
    <row r="1784" spans="1:11" ht="42" customHeight="1">
      <c r="A1784" s="2" t="s">
        <v>3852</v>
      </c>
      <c r="B1784" s="2" t="s">
        <v>3853</v>
      </c>
      <c r="C1784" s="2" t="s">
        <v>109</v>
      </c>
      <c r="D1784" s="2" t="s">
        <v>74</v>
      </c>
      <c r="E1784" s="5">
        <v>-27905</v>
      </c>
      <c r="F1784" s="3" t="s">
        <v>236</v>
      </c>
      <c r="G1784" s="3" t="s">
        <v>237</v>
      </c>
      <c r="H1784" s="2" t="s">
        <v>21</v>
      </c>
      <c r="I1784" s="2" t="s">
        <v>3854</v>
      </c>
      <c r="J1784" s="3" t="str">
        <f>HYPERLINK("https://www.boe.es/gazeta/dias/1823/08/06/pdfs/GES-1823-119.pdf#page=4","Abrir facsímil")</f>
        <v>Abrir facsímil</v>
      </c>
      <c r="K1784" s="3" t="s">
        <v>23</v>
      </c>
    </row>
    <row r="1785" spans="1:11" ht="42" customHeight="1">
      <c r="A1785" s="2" t="s">
        <v>3855</v>
      </c>
      <c r="B1785" s="2" t="s">
        <v>3855</v>
      </c>
      <c r="C1785" s="2" t="s">
        <v>109</v>
      </c>
      <c r="D1785" s="2" t="s">
        <v>74</v>
      </c>
      <c r="E1785" s="5">
        <v>-28119</v>
      </c>
      <c r="F1785" s="3" t="s">
        <v>545</v>
      </c>
      <c r="G1785" s="3" t="s">
        <v>20</v>
      </c>
      <c r="H1785" s="2" t="s">
        <v>21</v>
      </c>
      <c r="I1785" s="2" t="s">
        <v>3856</v>
      </c>
      <c r="J1785" s="3" t="str">
        <f>HYPERLINK("https://www.boe.es/gazeta/dias/1823/01/04/pdfs/GMD-1823-4.pdf#page=4","Abrir facsímil")</f>
        <v>Abrir facsímil</v>
      </c>
      <c r="K1785" s="3" t="s">
        <v>23</v>
      </c>
    </row>
    <row r="1786" spans="1:11" ht="42" customHeight="1">
      <c r="A1786" s="2" t="s">
        <v>3855</v>
      </c>
      <c r="B1786" s="2" t="s">
        <v>3855</v>
      </c>
      <c r="C1786" s="2" t="s">
        <v>109</v>
      </c>
      <c r="D1786" s="2" t="s">
        <v>74</v>
      </c>
      <c r="E1786" s="5">
        <v>-28114</v>
      </c>
      <c r="F1786" s="3" t="s">
        <v>153</v>
      </c>
      <c r="G1786" s="3" t="s">
        <v>20</v>
      </c>
      <c r="H1786" s="2" t="s">
        <v>21</v>
      </c>
      <c r="I1786" s="2" t="s">
        <v>3857</v>
      </c>
      <c r="J1786" s="3" t="str">
        <f>HYPERLINK("https://www.boe.es/gazeta/dias/1823/01/09/pdfs/GMD-1823-9.pdf#page=4","Abrir facsímil")</f>
        <v>Abrir facsímil</v>
      </c>
      <c r="K1786" s="3" t="s">
        <v>23</v>
      </c>
    </row>
    <row r="1787" spans="1:11" ht="42" customHeight="1">
      <c r="A1787" s="2" t="s">
        <v>3855</v>
      </c>
      <c r="B1787" s="2" t="s">
        <v>3855</v>
      </c>
      <c r="C1787" s="2" t="s">
        <v>79</v>
      </c>
      <c r="D1787" s="2" t="s">
        <v>74</v>
      </c>
      <c r="E1787" s="5">
        <v>-28110</v>
      </c>
      <c r="F1787" s="3" t="s">
        <v>249</v>
      </c>
      <c r="G1787" s="3" t="s">
        <v>39</v>
      </c>
      <c r="H1787" s="2" t="s">
        <v>21</v>
      </c>
      <c r="I1787" s="2" t="s">
        <v>3858</v>
      </c>
      <c r="J1787" s="3" t="str">
        <f>HYPERLINK("https://www.boe.es/gazeta/dias/1823/01/13/pdfs/GMD-1823-13.pdf#page=1","Abrir facsímil")</f>
        <v>Abrir facsímil</v>
      </c>
      <c r="K1787" s="3" t="s">
        <v>23</v>
      </c>
    </row>
    <row r="1788" spans="1:11" ht="42" customHeight="1">
      <c r="A1788" s="2" t="s">
        <v>3855</v>
      </c>
      <c r="B1788" s="2" t="s">
        <v>3855</v>
      </c>
      <c r="C1788" s="2" t="s">
        <v>17</v>
      </c>
      <c r="D1788" s="2" t="s">
        <v>18</v>
      </c>
      <c r="E1788" s="5">
        <v>-28108</v>
      </c>
      <c r="F1788" s="3" t="s">
        <v>406</v>
      </c>
      <c r="G1788" s="3" t="s">
        <v>27</v>
      </c>
      <c r="H1788" s="2" t="s">
        <v>21</v>
      </c>
      <c r="I1788" s="2" t="s">
        <v>3859</v>
      </c>
      <c r="J1788" s="3" t="str">
        <f>HYPERLINK("https://www.boe.es/gazeta/dias/1823/01/15/pdfs/GMD-1823-15.pdf#page=2","Abrir facsímil")</f>
        <v>Abrir facsímil</v>
      </c>
      <c r="K1788" s="3" t="s">
        <v>23</v>
      </c>
    </row>
    <row r="1789" spans="1:11" ht="42" customHeight="1">
      <c r="A1789" s="2" t="s">
        <v>3855</v>
      </c>
      <c r="B1789" s="2" t="s">
        <v>3855</v>
      </c>
      <c r="C1789" s="2" t="s">
        <v>17</v>
      </c>
      <c r="D1789" s="2" t="s">
        <v>18</v>
      </c>
      <c r="E1789" s="5">
        <v>-28107</v>
      </c>
      <c r="F1789" s="3" t="s">
        <v>278</v>
      </c>
      <c r="G1789" s="3" t="s">
        <v>27</v>
      </c>
      <c r="H1789" s="2" t="s">
        <v>21</v>
      </c>
      <c r="I1789" s="2" t="s">
        <v>3860</v>
      </c>
      <c r="J1789" s="3" t="str">
        <f>HYPERLINK("https://www.boe.es/gazeta/dias/1823/01/16/pdfs/GMD-1823-16.pdf#page=2","Abrir facsímil")</f>
        <v>Abrir facsímil</v>
      </c>
      <c r="K1789" s="3" t="s">
        <v>23</v>
      </c>
    </row>
    <row r="1790" spans="1:11" ht="42" customHeight="1">
      <c r="A1790" s="2" t="s">
        <v>3855</v>
      </c>
      <c r="B1790" s="2" t="s">
        <v>3855</v>
      </c>
      <c r="C1790" s="2" t="s">
        <v>109</v>
      </c>
      <c r="D1790" s="2" t="s">
        <v>74</v>
      </c>
      <c r="E1790" s="5">
        <v>-28101</v>
      </c>
      <c r="F1790" s="3" t="s">
        <v>1041</v>
      </c>
      <c r="G1790" s="3" t="s">
        <v>48</v>
      </c>
      <c r="H1790" s="2" t="s">
        <v>21</v>
      </c>
      <c r="I1790" s="2" t="s">
        <v>3861</v>
      </c>
      <c r="J1790" s="3" t="str">
        <f>HYPERLINK("https://www.boe.es/gazeta/dias/1823/01/22/pdfs/GMD-1823-23.pdf#page=3","Abrir facsímil")</f>
        <v>Abrir facsímil</v>
      </c>
      <c r="K1790" s="3" t="s">
        <v>23</v>
      </c>
    </row>
    <row r="1791" spans="1:11" ht="42" customHeight="1">
      <c r="A1791" s="2" t="s">
        <v>3855</v>
      </c>
      <c r="B1791" s="2" t="s">
        <v>3855</v>
      </c>
      <c r="C1791" s="2" t="s">
        <v>79</v>
      </c>
      <c r="D1791" s="2" t="s">
        <v>74</v>
      </c>
      <c r="E1791" s="5">
        <v>-28098</v>
      </c>
      <c r="F1791" s="3" t="s">
        <v>1101</v>
      </c>
      <c r="G1791" s="3" t="s">
        <v>48</v>
      </c>
      <c r="H1791" s="2" t="s">
        <v>21</v>
      </c>
      <c r="I1791" s="2" t="s">
        <v>3862</v>
      </c>
      <c r="J1791" s="3" t="str">
        <f>HYPERLINK("https://www.boe.es/gazeta/dias/1823/01/25/pdfs/GMD-1823-26.pdf#page=3","Abrir facsímil")</f>
        <v>Abrir facsímil</v>
      </c>
      <c r="K1791" s="3" t="s">
        <v>23</v>
      </c>
    </row>
    <row r="1792" spans="1:11" ht="42" customHeight="1">
      <c r="A1792" s="2" t="s">
        <v>3855</v>
      </c>
      <c r="B1792" s="2" t="s">
        <v>3855</v>
      </c>
      <c r="C1792" s="2" t="s">
        <v>17</v>
      </c>
      <c r="D1792" s="2" t="s">
        <v>18</v>
      </c>
      <c r="E1792" s="5">
        <v>-28096</v>
      </c>
      <c r="F1792" s="3" t="s">
        <v>534</v>
      </c>
      <c r="G1792" s="3" t="s">
        <v>27</v>
      </c>
      <c r="H1792" s="2" t="s">
        <v>21</v>
      </c>
      <c r="I1792" s="2" t="s">
        <v>3863</v>
      </c>
      <c r="J1792" s="3" t="str">
        <f>HYPERLINK("https://www.boe.es/gazeta/dias/1823/01/27/pdfs/GMD-1823-28.pdf#page=2","Abrir facsímil")</f>
        <v>Abrir facsímil</v>
      </c>
      <c r="K1792" s="3" t="s">
        <v>23</v>
      </c>
    </row>
    <row r="1793" spans="1:11" ht="42" customHeight="1">
      <c r="A1793" s="2" t="s">
        <v>3855</v>
      </c>
      <c r="B1793" s="2" t="s">
        <v>3855</v>
      </c>
      <c r="C1793" s="2" t="s">
        <v>17</v>
      </c>
      <c r="D1793" s="2" t="s">
        <v>18</v>
      </c>
      <c r="E1793" s="5">
        <v>-28093</v>
      </c>
      <c r="F1793" s="3" t="s">
        <v>1044</v>
      </c>
      <c r="G1793" s="3" t="s">
        <v>27</v>
      </c>
      <c r="H1793" s="2" t="s">
        <v>21</v>
      </c>
      <c r="I1793" s="2" t="s">
        <v>3864</v>
      </c>
      <c r="J1793" s="3" t="str">
        <f>HYPERLINK("https://www.boe.es/gazeta/dias/1823/01/30/pdfs/GMD-1823-31.pdf#page=2","Abrir facsímil")</f>
        <v>Abrir facsímil</v>
      </c>
      <c r="K1793" s="3" t="s">
        <v>23</v>
      </c>
    </row>
    <row r="1794" spans="1:11" ht="42" customHeight="1">
      <c r="A1794" s="2" t="s">
        <v>3855</v>
      </c>
      <c r="B1794" s="2" t="s">
        <v>3855</v>
      </c>
      <c r="C1794" s="2" t="s">
        <v>109</v>
      </c>
      <c r="D1794" s="2" t="s">
        <v>74</v>
      </c>
      <c r="E1794" s="5">
        <v>-28087</v>
      </c>
      <c r="F1794" s="3" t="s">
        <v>3125</v>
      </c>
      <c r="G1794" s="3" t="s">
        <v>34</v>
      </c>
      <c r="H1794" s="2" t="s">
        <v>21</v>
      </c>
      <c r="I1794" s="2" t="s">
        <v>3865</v>
      </c>
      <c r="J1794" s="3" t="str">
        <f>HYPERLINK("https://www.boe.es/gazeta/dias/1823/02/05/pdfs/GMD-1823-38.pdf#page=5","Abrir facsímil")</f>
        <v>Abrir facsímil</v>
      </c>
      <c r="K1794" s="3" t="s">
        <v>23</v>
      </c>
    </row>
    <row r="1795" spans="1:11" ht="42" customHeight="1">
      <c r="A1795" s="2" t="s">
        <v>3855</v>
      </c>
      <c r="B1795" s="2" t="s">
        <v>3855</v>
      </c>
      <c r="C1795" s="2" t="s">
        <v>73</v>
      </c>
      <c r="D1795" s="2" t="s">
        <v>74</v>
      </c>
      <c r="E1795" s="5">
        <v>-28086</v>
      </c>
      <c r="F1795" s="3" t="s">
        <v>289</v>
      </c>
      <c r="G1795" s="3" t="s">
        <v>48</v>
      </c>
      <c r="H1795" s="2" t="s">
        <v>21</v>
      </c>
      <c r="I1795" s="2" t="s">
        <v>3866</v>
      </c>
      <c r="J1795" s="3" t="str">
        <f>HYPERLINK("https://www.boe.es/gazeta/dias/1823/02/06/pdfs/GMD-1823-39.pdf#page=3","Abrir facsímil")</f>
        <v>Abrir facsímil</v>
      </c>
      <c r="K1795" s="3" t="s">
        <v>23</v>
      </c>
    </row>
    <row r="1796" spans="1:11" ht="42" customHeight="1">
      <c r="A1796" s="2" t="s">
        <v>3855</v>
      </c>
      <c r="B1796" s="2" t="s">
        <v>3855</v>
      </c>
      <c r="C1796" s="2" t="s">
        <v>17</v>
      </c>
      <c r="D1796" s="2" t="s">
        <v>18</v>
      </c>
      <c r="E1796" s="5">
        <v>-28073</v>
      </c>
      <c r="F1796" s="3" t="s">
        <v>204</v>
      </c>
      <c r="G1796" s="3" t="s">
        <v>27</v>
      </c>
      <c r="H1796" s="2" t="s">
        <v>21</v>
      </c>
      <c r="I1796" s="2" t="s">
        <v>3867</v>
      </c>
      <c r="J1796" s="3" t="str">
        <f>HYPERLINK("https://www.boe.es/gazeta/dias/1823/02/19/pdfs/GMD-1823-53.pdf#page=2","Abrir facsímil")</f>
        <v>Abrir facsímil</v>
      </c>
      <c r="K1796" s="3" t="s">
        <v>23</v>
      </c>
    </row>
    <row r="1797" spans="1:11" ht="42" customHeight="1">
      <c r="A1797" s="2" t="s">
        <v>3855</v>
      </c>
      <c r="B1797" s="2" t="s">
        <v>3855</v>
      </c>
      <c r="C1797" s="2" t="s">
        <v>325</v>
      </c>
      <c r="D1797" s="2" t="s">
        <v>74</v>
      </c>
      <c r="E1797" s="5">
        <v>-28071</v>
      </c>
      <c r="F1797" s="3" t="s">
        <v>587</v>
      </c>
      <c r="G1797" s="3" t="s">
        <v>27</v>
      </c>
      <c r="H1797" s="2" t="s">
        <v>21</v>
      </c>
      <c r="I1797" s="2" t="s">
        <v>3868</v>
      </c>
      <c r="J1797" s="3" t="str">
        <f>HYPERLINK("https://www.boe.es/gazeta/dias/1823/02/21/pdfs/GMD-1823-55.pdf#page=2","Abrir facsímil")</f>
        <v>Abrir facsímil</v>
      </c>
      <c r="K1797" s="3" t="s">
        <v>23</v>
      </c>
    </row>
    <row r="1798" spans="1:11" ht="42" customHeight="1">
      <c r="A1798" s="2" t="s">
        <v>3855</v>
      </c>
      <c r="B1798" s="2" t="s">
        <v>3855</v>
      </c>
      <c r="C1798" s="2" t="s">
        <v>17</v>
      </c>
      <c r="D1798" s="2" t="s">
        <v>18</v>
      </c>
      <c r="E1798" s="5">
        <v>-28054</v>
      </c>
      <c r="F1798" s="3" t="s">
        <v>1292</v>
      </c>
      <c r="G1798" s="3" t="s">
        <v>27</v>
      </c>
      <c r="H1798" s="2" t="s">
        <v>21</v>
      </c>
      <c r="I1798" s="2" t="s">
        <v>3869</v>
      </c>
      <c r="J1798" s="3" t="str">
        <f>HYPERLINK("https://www.boe.es/gazeta/dias/1823/03/10/pdfs/GMD-1823-73.pdf#page=2","Abrir facsímil")</f>
        <v>Abrir facsímil</v>
      </c>
      <c r="K1798" s="3" t="s">
        <v>23</v>
      </c>
    </row>
    <row r="1799" spans="1:11" ht="42" customHeight="1">
      <c r="A1799" s="2" t="s">
        <v>3855</v>
      </c>
      <c r="B1799" s="2" t="s">
        <v>3855</v>
      </c>
      <c r="C1799" s="2" t="s">
        <v>17</v>
      </c>
      <c r="D1799" s="2" t="s">
        <v>18</v>
      </c>
      <c r="E1799" s="5">
        <v>-28003</v>
      </c>
      <c r="F1799" s="3" t="s">
        <v>26</v>
      </c>
      <c r="G1799" s="3" t="s">
        <v>20</v>
      </c>
      <c r="H1799" s="2" t="s">
        <v>21</v>
      </c>
      <c r="I1799" s="2" t="s">
        <v>3870</v>
      </c>
      <c r="J1799" s="3" t="str">
        <f>HYPERLINK("https://www.boe.es/gazeta/dias/1823/04/30/pdfs/GES-1823-20.pdf#page=4","Abrir facsímil")</f>
        <v>Abrir facsímil</v>
      </c>
      <c r="K1799" s="3" t="s">
        <v>23</v>
      </c>
    </row>
    <row r="1800" spans="1:11" ht="42" customHeight="1">
      <c r="A1800" s="2" t="s">
        <v>3855</v>
      </c>
      <c r="B1800" s="2" t="s">
        <v>3855</v>
      </c>
      <c r="C1800" s="2" t="s">
        <v>79</v>
      </c>
      <c r="D1800" s="2" t="s">
        <v>74</v>
      </c>
      <c r="E1800" s="5">
        <v>-27998</v>
      </c>
      <c r="F1800" s="3" t="s">
        <v>1058</v>
      </c>
      <c r="G1800" s="3" t="s">
        <v>20</v>
      </c>
      <c r="H1800" s="2" t="s">
        <v>21</v>
      </c>
      <c r="I1800" s="2" t="s">
        <v>3871</v>
      </c>
      <c r="J1800" s="3" t="str">
        <f>HYPERLINK("https://www.boe.es/gazeta/dias/1823/05/05/pdfs/GES-1823-25.pdf#page=4","Abrir facsímil")</f>
        <v>Abrir facsímil</v>
      </c>
      <c r="K1800" s="3" t="s">
        <v>23</v>
      </c>
    </row>
    <row r="1801" spans="1:11" ht="42" customHeight="1">
      <c r="A1801" s="2" t="s">
        <v>3855</v>
      </c>
      <c r="B1801" s="2" t="s">
        <v>3855</v>
      </c>
      <c r="C1801" s="2" t="s">
        <v>56</v>
      </c>
      <c r="D1801" s="2" t="s">
        <v>57</v>
      </c>
      <c r="E1801" s="5">
        <v>-27995</v>
      </c>
      <c r="F1801" s="3" t="s">
        <v>320</v>
      </c>
      <c r="G1801" s="3" t="s">
        <v>321</v>
      </c>
      <c r="H1801" s="2" t="s">
        <v>21</v>
      </c>
      <c r="I1801" s="2" t="s">
        <v>3872</v>
      </c>
      <c r="J1801" s="3" t="str">
        <f>HYPERLINK("https://www.boe.es/gazeta/dias/1823/05/08/pdfs/GES-1823-28.pdf#page=3","Abrir facsímil")</f>
        <v>Abrir facsímil</v>
      </c>
      <c r="K1801" s="3" t="s">
        <v>23</v>
      </c>
    </row>
    <row r="1802" spans="1:11" ht="42" customHeight="1">
      <c r="A1802" s="2" t="s">
        <v>3855</v>
      </c>
      <c r="B1802" s="2" t="s">
        <v>3855</v>
      </c>
      <c r="C1802" s="2" t="s">
        <v>73</v>
      </c>
      <c r="D1802" s="2" t="s">
        <v>74</v>
      </c>
      <c r="E1802" s="5">
        <v>-27993</v>
      </c>
      <c r="F1802" s="3" t="s">
        <v>977</v>
      </c>
      <c r="G1802" s="3" t="s">
        <v>48</v>
      </c>
      <c r="H1802" s="2" t="s">
        <v>21</v>
      </c>
      <c r="I1802" s="2" t="s">
        <v>3873</v>
      </c>
      <c r="J1802" s="3" t="str">
        <f>HYPERLINK("https://www.boe.es/gazeta/dias/1823/05/10/pdfs/GES-1823-30.pdf#page=3","Abrir facsímil")</f>
        <v>Abrir facsímil</v>
      </c>
      <c r="K1802" s="3" t="s">
        <v>23</v>
      </c>
    </row>
    <row r="1803" spans="1:11" ht="42" customHeight="1">
      <c r="A1803" s="2" t="s">
        <v>3855</v>
      </c>
      <c r="B1803" s="2" t="s">
        <v>3855</v>
      </c>
      <c r="C1803" s="2" t="s">
        <v>84</v>
      </c>
      <c r="D1803" s="2" t="s">
        <v>74</v>
      </c>
      <c r="E1803" s="5">
        <v>-27986</v>
      </c>
      <c r="F1803" s="3" t="s">
        <v>607</v>
      </c>
      <c r="G1803" s="3" t="s">
        <v>27</v>
      </c>
      <c r="H1803" s="2" t="s">
        <v>21</v>
      </c>
      <c r="I1803" s="2" t="s">
        <v>3874</v>
      </c>
      <c r="J1803" s="3" t="str">
        <f>HYPERLINK("https://www.boe.es/gazeta/dias/1823/05/17/pdfs/GMD-1823-152.pdf#page=2","Abrir facsímil")</f>
        <v>Abrir facsímil</v>
      </c>
      <c r="K1803" s="3" t="s">
        <v>23</v>
      </c>
    </row>
    <row r="1804" spans="1:11" ht="42" customHeight="1">
      <c r="A1804" s="2" t="s">
        <v>3855</v>
      </c>
      <c r="B1804" s="2" t="s">
        <v>3855</v>
      </c>
      <c r="C1804" s="2" t="s">
        <v>17</v>
      </c>
      <c r="D1804" s="2" t="s">
        <v>18</v>
      </c>
      <c r="E1804" s="5">
        <v>-27984</v>
      </c>
      <c r="F1804" s="3" t="s">
        <v>335</v>
      </c>
      <c r="G1804" s="3" t="s">
        <v>34</v>
      </c>
      <c r="H1804" s="2" t="s">
        <v>21</v>
      </c>
      <c r="I1804" s="2" t="s">
        <v>3875</v>
      </c>
      <c r="J1804" s="3" t="str">
        <f>HYPERLINK("https://www.boe.es/gazeta/dias/1823/05/19/pdfs/GES-1823-39.pdf#page=5","Abrir facsímil")</f>
        <v>Abrir facsímil</v>
      </c>
      <c r="K1804" s="3" t="s">
        <v>23</v>
      </c>
    </row>
    <row r="1805" spans="1:11" ht="42" customHeight="1">
      <c r="A1805" s="2" t="s">
        <v>3855</v>
      </c>
      <c r="B1805" s="2" t="s">
        <v>3855</v>
      </c>
      <c r="C1805" s="2" t="s">
        <v>17</v>
      </c>
      <c r="D1805" s="2" t="s">
        <v>18</v>
      </c>
      <c r="E1805" s="5">
        <v>-27974</v>
      </c>
      <c r="F1805" s="3" t="s">
        <v>618</v>
      </c>
      <c r="G1805" s="3" t="s">
        <v>39</v>
      </c>
      <c r="H1805" s="2" t="s">
        <v>21</v>
      </c>
      <c r="I1805" s="2" t="s">
        <v>3876</v>
      </c>
      <c r="J1805" s="3" t="str">
        <f>HYPERLINK("https://www.boe.es/gazeta/dias/1823/05/29/pdfs/GES-1823-52.pdf#page=1","Abrir facsímil")</f>
        <v>Abrir facsímil</v>
      </c>
      <c r="K1805" s="3" t="s">
        <v>23</v>
      </c>
    </row>
    <row r="1806" spans="1:11" ht="42" customHeight="1">
      <c r="A1806" s="2" t="s">
        <v>3855</v>
      </c>
      <c r="B1806" s="2" t="s">
        <v>3855</v>
      </c>
      <c r="C1806" s="2" t="s">
        <v>109</v>
      </c>
      <c r="D1806" s="2" t="s">
        <v>74</v>
      </c>
      <c r="E1806" s="5">
        <v>-27970</v>
      </c>
      <c r="F1806" s="3" t="s">
        <v>1030</v>
      </c>
      <c r="G1806" s="3" t="s">
        <v>39</v>
      </c>
      <c r="H1806" s="2" t="s">
        <v>21</v>
      </c>
      <c r="I1806" s="2" t="s">
        <v>3877</v>
      </c>
      <c r="J1806" s="3" t="str">
        <f>HYPERLINK("https://www.boe.es/gazeta/dias/1823/06/02/pdfs/GES-1823-56.pdf#page=1","Abrir facsímil")</f>
        <v>Abrir facsímil</v>
      </c>
      <c r="K1806" s="3" t="s">
        <v>23</v>
      </c>
    </row>
    <row r="1807" spans="1:11" ht="42" customHeight="1">
      <c r="A1807" s="2" t="s">
        <v>3855</v>
      </c>
      <c r="B1807" s="2" t="s">
        <v>3855</v>
      </c>
      <c r="C1807" s="2" t="s">
        <v>79</v>
      </c>
      <c r="D1807" s="2" t="s">
        <v>74</v>
      </c>
      <c r="E1807" s="5">
        <v>-27967</v>
      </c>
      <c r="F1807" s="3" t="s">
        <v>412</v>
      </c>
      <c r="G1807" s="3" t="s">
        <v>27</v>
      </c>
      <c r="H1807" s="2" t="s">
        <v>21</v>
      </c>
      <c r="I1807" s="2" t="s">
        <v>3878</v>
      </c>
      <c r="J1807" s="3" t="str">
        <f>HYPERLINK("https://www.boe.es/gazeta/dias/1823/06/05/pdfs/GES-1823-59.pdf#page=2","Abrir facsímil")</f>
        <v>Abrir facsímil</v>
      </c>
      <c r="K1807" s="3" t="s">
        <v>23</v>
      </c>
    </row>
    <row r="1808" spans="1:11" ht="42" customHeight="1">
      <c r="A1808" s="2" t="s">
        <v>3855</v>
      </c>
      <c r="B1808" s="2" t="s">
        <v>3855</v>
      </c>
      <c r="C1808" s="2" t="s">
        <v>73</v>
      </c>
      <c r="D1808" s="2" t="s">
        <v>74</v>
      </c>
      <c r="E1808" s="5">
        <v>-27965</v>
      </c>
      <c r="F1808" s="3" t="s">
        <v>208</v>
      </c>
      <c r="G1808" s="3" t="s">
        <v>20</v>
      </c>
      <c r="H1808" s="2" t="s">
        <v>21</v>
      </c>
      <c r="I1808" s="2" t="s">
        <v>3879</v>
      </c>
      <c r="J1808" s="3" t="str">
        <f>HYPERLINK("https://www.boe.es/gazeta/dias/1823/06/07/pdfs/GES-1823-61.pdf#page=4","Abrir facsímil")</f>
        <v>Abrir facsímil</v>
      </c>
      <c r="K1808" s="3" t="s">
        <v>23</v>
      </c>
    </row>
    <row r="1809" spans="1:11" ht="42" customHeight="1">
      <c r="A1809" s="2" t="s">
        <v>3855</v>
      </c>
      <c r="B1809" s="2" t="s">
        <v>3855</v>
      </c>
      <c r="C1809" s="2" t="s">
        <v>109</v>
      </c>
      <c r="D1809" s="2" t="s">
        <v>74</v>
      </c>
      <c r="E1809" s="5">
        <v>-27961</v>
      </c>
      <c r="F1809" s="3" t="s">
        <v>52</v>
      </c>
      <c r="G1809" s="3" t="s">
        <v>39</v>
      </c>
      <c r="H1809" s="2" t="s">
        <v>21</v>
      </c>
      <c r="I1809" s="2" t="s">
        <v>3880</v>
      </c>
      <c r="J1809" s="3" t="str">
        <f>HYPERLINK("https://www.boe.es/gazeta/dias/1823/06/11/pdfs/GES-1823-65.pdf#page=1","Abrir facsímil")</f>
        <v>Abrir facsímil</v>
      </c>
      <c r="K1809" s="3" t="s">
        <v>23</v>
      </c>
    </row>
    <row r="1810" spans="1:11" ht="42" customHeight="1">
      <c r="A1810" s="2" t="s">
        <v>3855</v>
      </c>
      <c r="B1810" s="2" t="s">
        <v>3855</v>
      </c>
      <c r="C1810" s="2" t="s">
        <v>17</v>
      </c>
      <c r="D1810" s="2" t="s">
        <v>18</v>
      </c>
      <c r="E1810" s="5">
        <v>-27941</v>
      </c>
      <c r="F1810" s="3" t="s">
        <v>527</v>
      </c>
      <c r="G1810" s="3" t="s">
        <v>27</v>
      </c>
      <c r="H1810" s="2" t="s">
        <v>21</v>
      </c>
      <c r="I1810" s="2" t="s">
        <v>3881</v>
      </c>
      <c r="J1810" s="3" t="str">
        <f>HYPERLINK("https://www.boe.es/gazeta/dias/1823/07/01/pdfs/GES-1823-81.pdf#page=2","Abrir facsímil")</f>
        <v>Abrir facsímil</v>
      </c>
      <c r="K1810" s="3" t="s">
        <v>23</v>
      </c>
    </row>
    <row r="1811" spans="1:11" ht="42" customHeight="1">
      <c r="A1811" s="2" t="s">
        <v>3855</v>
      </c>
      <c r="B1811" s="2" t="s">
        <v>3855</v>
      </c>
      <c r="C1811" s="2" t="s">
        <v>79</v>
      </c>
      <c r="D1811" s="2" t="s">
        <v>74</v>
      </c>
      <c r="E1811" s="5">
        <v>-27935</v>
      </c>
      <c r="F1811" s="3" t="s">
        <v>350</v>
      </c>
      <c r="G1811" s="3" t="s">
        <v>48</v>
      </c>
      <c r="H1811" s="2" t="s">
        <v>21</v>
      </c>
      <c r="I1811" s="2" t="s">
        <v>3882</v>
      </c>
      <c r="J1811" s="3" t="str">
        <f>HYPERLINK("https://www.boe.es/gazeta/dias/1823/07/07/pdfs/GES-1823-87.pdf#page=3","Abrir facsímil")</f>
        <v>Abrir facsímil</v>
      </c>
      <c r="K1811" s="3" t="s">
        <v>23</v>
      </c>
    </row>
    <row r="1812" spans="1:11" ht="42" customHeight="1">
      <c r="A1812" s="2" t="s">
        <v>3855</v>
      </c>
      <c r="B1812" s="2" t="s">
        <v>3855</v>
      </c>
      <c r="C1812" s="2" t="s">
        <v>109</v>
      </c>
      <c r="D1812" s="2" t="s">
        <v>74</v>
      </c>
      <c r="E1812" s="5">
        <v>-27933</v>
      </c>
      <c r="F1812" s="3" t="s">
        <v>1079</v>
      </c>
      <c r="G1812" s="3" t="s">
        <v>39</v>
      </c>
      <c r="H1812" s="2" t="s">
        <v>21</v>
      </c>
      <c r="I1812" s="2" t="s">
        <v>3883</v>
      </c>
      <c r="J1812" s="3" t="str">
        <f>HYPERLINK("https://www.boe.es/gazeta/dias/1823/07/09/pdfs/GES-1823-89.pdf#page=1","Abrir facsímil")</f>
        <v>Abrir facsímil</v>
      </c>
      <c r="K1812" s="3" t="s">
        <v>23</v>
      </c>
    </row>
    <row r="1813" spans="1:11" ht="42" customHeight="1">
      <c r="A1813" s="2" t="s">
        <v>3855</v>
      </c>
      <c r="B1813" s="2" t="s">
        <v>3855</v>
      </c>
      <c r="C1813" s="2" t="s">
        <v>109</v>
      </c>
      <c r="D1813" s="2" t="s">
        <v>74</v>
      </c>
      <c r="E1813" s="5">
        <v>-27933</v>
      </c>
      <c r="F1813" s="3" t="s">
        <v>1079</v>
      </c>
      <c r="G1813" s="3" t="s">
        <v>48</v>
      </c>
      <c r="H1813" s="2" t="s">
        <v>21</v>
      </c>
      <c r="I1813" s="2" t="s">
        <v>3884</v>
      </c>
      <c r="J1813" s="3" t="str">
        <f>HYPERLINK("https://www.boe.es/gazeta/dias/1823/07/09/pdfs/GES-1823-89.pdf#page=3","Abrir facsímil")</f>
        <v>Abrir facsímil</v>
      </c>
      <c r="K1813" s="3" t="s">
        <v>23</v>
      </c>
    </row>
    <row r="1814" spans="1:11" ht="42" customHeight="1">
      <c r="A1814" s="2" t="s">
        <v>3855</v>
      </c>
      <c r="B1814" s="2" t="s">
        <v>3855</v>
      </c>
      <c r="C1814" s="2" t="s">
        <v>17</v>
      </c>
      <c r="D1814" s="2" t="s">
        <v>18</v>
      </c>
      <c r="E1814" s="5">
        <v>-27930</v>
      </c>
      <c r="F1814" s="3" t="s">
        <v>2334</v>
      </c>
      <c r="G1814" s="3" t="s">
        <v>39</v>
      </c>
      <c r="H1814" s="2" t="s">
        <v>21</v>
      </c>
      <c r="I1814" s="2" t="s">
        <v>3885</v>
      </c>
      <c r="J1814" s="3" t="str">
        <f>HYPERLINK("https://www.boe.es/gazeta/dias/1823/07/12/pdfs/GES-1823-92.pdf#page=1","Abrir facsímil")</f>
        <v>Abrir facsímil</v>
      </c>
      <c r="K1814" s="3" t="s">
        <v>23</v>
      </c>
    </row>
    <row r="1815" spans="1:11" ht="42" customHeight="1">
      <c r="A1815" s="2" t="s">
        <v>3855</v>
      </c>
      <c r="B1815" s="2" t="s">
        <v>3855</v>
      </c>
      <c r="C1815" s="2" t="s">
        <v>84</v>
      </c>
      <c r="D1815" s="2" t="s">
        <v>74</v>
      </c>
      <c r="E1815" s="5">
        <v>-27923</v>
      </c>
      <c r="F1815" s="3" t="s">
        <v>354</v>
      </c>
      <c r="G1815" s="3" t="s">
        <v>39</v>
      </c>
      <c r="H1815" s="2" t="s">
        <v>21</v>
      </c>
      <c r="I1815" s="2" t="s">
        <v>3886</v>
      </c>
      <c r="J1815" s="3" t="str">
        <f>HYPERLINK("https://www.boe.es/gazeta/dias/1823/07/19/pdfs/GES-1823-100.pdf#page=1","Abrir facsímil")</f>
        <v>Abrir facsímil</v>
      </c>
      <c r="K1815" s="3" t="s">
        <v>23</v>
      </c>
    </row>
    <row r="1816" spans="1:11" ht="42" customHeight="1">
      <c r="A1816" s="2" t="s">
        <v>3855</v>
      </c>
      <c r="B1816" s="2" t="s">
        <v>3855</v>
      </c>
      <c r="C1816" s="2" t="s">
        <v>109</v>
      </c>
      <c r="D1816" s="2" t="s">
        <v>74</v>
      </c>
      <c r="E1816" s="5">
        <v>-27918</v>
      </c>
      <c r="F1816" s="3" t="s">
        <v>3181</v>
      </c>
      <c r="G1816" s="3" t="s">
        <v>39</v>
      </c>
      <c r="H1816" s="2" t="s">
        <v>21</v>
      </c>
      <c r="I1816" s="2" t="s">
        <v>3887</v>
      </c>
      <c r="J1816" s="3" t="str">
        <f>HYPERLINK("https://www.boe.es/gazeta/dias/1823/07/24/pdfs/GES-1823-105.pdf#page=1","Abrir facsímil")</f>
        <v>Abrir facsímil</v>
      </c>
      <c r="K1816" s="3" t="s">
        <v>23</v>
      </c>
    </row>
    <row r="1817" spans="1:11" ht="42" customHeight="1">
      <c r="A1817" s="2" t="s">
        <v>3888</v>
      </c>
      <c r="B1817" s="2" t="s">
        <v>3888</v>
      </c>
      <c r="C1817" s="2" t="s">
        <v>79</v>
      </c>
      <c r="D1817" s="2" t="s">
        <v>74</v>
      </c>
      <c r="E1817" s="5">
        <v>-28047</v>
      </c>
      <c r="F1817" s="3" t="s">
        <v>2269</v>
      </c>
      <c r="G1817" s="3" t="s">
        <v>48</v>
      </c>
      <c r="H1817" s="2" t="s">
        <v>21</v>
      </c>
      <c r="I1817" s="2" t="s">
        <v>3889</v>
      </c>
      <c r="J1817" s="3" t="str">
        <f>HYPERLINK("https://www.boe.es/gazeta/dias/1823/03/17/pdfs/GMD-1823-80.pdf#page=3","Abrir facsímil")</f>
        <v>Abrir facsímil</v>
      </c>
      <c r="K1817" s="3" t="s">
        <v>23</v>
      </c>
    </row>
    <row r="1818" spans="1:11" ht="42" customHeight="1">
      <c r="A1818" s="2" t="s">
        <v>3890</v>
      </c>
      <c r="B1818" s="2" t="s">
        <v>3891</v>
      </c>
      <c r="C1818" s="2" t="s">
        <v>17</v>
      </c>
      <c r="D1818" s="2" t="s">
        <v>117</v>
      </c>
      <c r="E1818" s="5">
        <v>-27953</v>
      </c>
      <c r="F1818" s="3" t="s">
        <v>2684</v>
      </c>
      <c r="G1818" s="3" t="s">
        <v>39</v>
      </c>
      <c r="H1818" s="2" t="s">
        <v>21</v>
      </c>
      <c r="I1818" s="2" t="s">
        <v>3892</v>
      </c>
      <c r="J1818" s="3" t="str">
        <f>HYPERLINK("https://www.boe.es/gazeta/dias/1823/06/19/pdfs/GMD-1823-203E.pdf#page=1","Abrir facsímil")</f>
        <v>Abrir facsímil</v>
      </c>
      <c r="K1818" s="3" t="s">
        <v>23</v>
      </c>
    </row>
    <row r="1819" spans="1:11" ht="42" customHeight="1">
      <c r="A1819" s="2" t="s">
        <v>3893</v>
      </c>
      <c r="B1819" s="2" t="s">
        <v>3893</v>
      </c>
      <c r="C1819" s="2" t="s">
        <v>17</v>
      </c>
      <c r="D1819" s="2" t="s">
        <v>18</v>
      </c>
      <c r="E1819" s="5">
        <v>-28101</v>
      </c>
      <c r="F1819" s="3" t="s">
        <v>1041</v>
      </c>
      <c r="G1819" s="3" t="s">
        <v>48</v>
      </c>
      <c r="H1819" s="2" t="s">
        <v>21</v>
      </c>
      <c r="I1819" s="2" t="s">
        <v>3894</v>
      </c>
      <c r="J1819" s="3" t="str">
        <f>HYPERLINK("https://www.boe.es/gazeta/dias/1823/01/22/pdfs/GMD-1823-23.pdf#page=3","Abrir facsímil")</f>
        <v>Abrir facsímil</v>
      </c>
      <c r="K1819" s="3" t="s">
        <v>23</v>
      </c>
    </row>
    <row r="1820" spans="1:11" ht="42" customHeight="1">
      <c r="A1820" s="2" t="s">
        <v>3895</v>
      </c>
      <c r="B1820" s="2" t="s">
        <v>3896</v>
      </c>
      <c r="C1820" s="2" t="s">
        <v>293</v>
      </c>
      <c r="D1820" s="2" t="s">
        <v>74</v>
      </c>
      <c r="E1820" s="5">
        <v>-27839</v>
      </c>
      <c r="F1820" s="3" t="s">
        <v>263</v>
      </c>
      <c r="G1820" s="3" t="s">
        <v>48</v>
      </c>
      <c r="H1820" s="2" t="s">
        <v>21</v>
      </c>
      <c r="I1820" s="2" t="s">
        <v>3897</v>
      </c>
      <c r="J1820" s="3" t="str">
        <f>HYPERLINK("https://www.boe.es/gazeta/dias/1823/10/11/pdfs/GMD-1823-963.pdf#page=3","Abrir facsímil")</f>
        <v>Abrir facsímil</v>
      </c>
      <c r="K1820" s="3" t="s">
        <v>23</v>
      </c>
    </row>
    <row r="1821" spans="1:11" ht="42" customHeight="1">
      <c r="A1821" s="2" t="s">
        <v>3898</v>
      </c>
      <c r="B1821" s="2" t="s">
        <v>3899</v>
      </c>
      <c r="C1821" s="2" t="s">
        <v>109</v>
      </c>
      <c r="D1821" s="2" t="s">
        <v>74</v>
      </c>
      <c r="E1821" s="5">
        <v>-28119</v>
      </c>
      <c r="F1821" s="3" t="s">
        <v>545</v>
      </c>
      <c r="G1821" s="3" t="s">
        <v>39</v>
      </c>
      <c r="H1821" s="2" t="s">
        <v>21</v>
      </c>
      <c r="I1821" s="2" t="s">
        <v>3900</v>
      </c>
      <c r="J1821" s="3" t="str">
        <f>HYPERLINK("https://www.boe.es/gazeta/dias/1823/01/04/pdfs/GMD-1823-4.pdf#page=1","Abrir facsímil")</f>
        <v>Abrir facsímil</v>
      </c>
      <c r="K1821" s="3" t="s">
        <v>23</v>
      </c>
    </row>
    <row r="1822" spans="1:11" ht="42" customHeight="1">
      <c r="A1822" s="2" t="s">
        <v>3901</v>
      </c>
      <c r="B1822" s="2" t="s">
        <v>3902</v>
      </c>
      <c r="C1822" s="2" t="s">
        <v>56</v>
      </c>
      <c r="D1822" s="2" t="s">
        <v>57</v>
      </c>
      <c r="E1822" s="5">
        <v>-27894</v>
      </c>
      <c r="F1822" s="3" t="s">
        <v>2013</v>
      </c>
      <c r="G1822" s="3" t="s">
        <v>48</v>
      </c>
      <c r="H1822" s="2" t="s">
        <v>21</v>
      </c>
      <c r="I1822" s="2" t="s">
        <v>3903</v>
      </c>
      <c r="J1822" s="3" t="str">
        <f>HYPERLINK("https://www.boe.es/gazeta/dias/1823/08/17/pdfs/GES-1823-130.pdf#page=3","Abrir facsímil")</f>
        <v>Abrir facsímil</v>
      </c>
      <c r="K1822" s="3" t="s">
        <v>23</v>
      </c>
    </row>
    <row r="1823" spans="1:11" ht="42" customHeight="1">
      <c r="A1823" s="2" t="s">
        <v>3904</v>
      </c>
      <c r="B1823" s="2" t="s">
        <v>3905</v>
      </c>
      <c r="C1823" s="2" t="s">
        <v>109</v>
      </c>
      <c r="D1823" s="2" t="s">
        <v>74</v>
      </c>
      <c r="E1823" s="5">
        <v>-27868</v>
      </c>
      <c r="F1823" s="3" t="s">
        <v>2166</v>
      </c>
      <c r="G1823" s="3" t="s">
        <v>20</v>
      </c>
      <c r="H1823" s="2" t="s">
        <v>21</v>
      </c>
      <c r="I1823" s="2" t="s">
        <v>3906</v>
      </c>
      <c r="J1823" s="3" t="str">
        <f>HYPERLINK("https://www.boe.es/gazeta/dias/1823/09/12/pdfs/GES-1823-156.pdf#page=4","Abrir facsímil")</f>
        <v>Abrir facsímil</v>
      </c>
      <c r="K1823" s="3" t="s">
        <v>23</v>
      </c>
    </row>
    <row r="1824" spans="1:11" ht="42" customHeight="1">
      <c r="A1824" s="2" t="s">
        <v>3907</v>
      </c>
      <c r="B1824" s="2" t="s">
        <v>3908</v>
      </c>
      <c r="C1824" s="2" t="s">
        <v>17</v>
      </c>
      <c r="D1824" s="2" t="s">
        <v>18</v>
      </c>
      <c r="E1824" s="5">
        <v>-28007</v>
      </c>
      <c r="F1824" s="3" t="s">
        <v>1190</v>
      </c>
      <c r="G1824" s="3" t="s">
        <v>20</v>
      </c>
      <c r="H1824" s="2" t="s">
        <v>21</v>
      </c>
      <c r="I1824" s="2" t="s">
        <v>3909</v>
      </c>
      <c r="J1824" s="3" t="str">
        <f>HYPERLINK("https://www.boe.es/gazeta/dias/1823/04/26/pdfs/GMD-1823-62.pdf#page=4","Abrir facsímil")</f>
        <v>Abrir facsímil</v>
      </c>
      <c r="K1824" s="3" t="s">
        <v>23</v>
      </c>
    </row>
    <row r="1825" spans="1:11" ht="42" customHeight="1">
      <c r="A1825" s="2" t="s">
        <v>3907</v>
      </c>
      <c r="B1825" s="2" t="s">
        <v>3908</v>
      </c>
      <c r="C1825" s="2" t="s">
        <v>17</v>
      </c>
      <c r="D1825" s="2" t="s">
        <v>18</v>
      </c>
      <c r="E1825" s="5">
        <v>-28004</v>
      </c>
      <c r="F1825" s="3" t="s">
        <v>313</v>
      </c>
      <c r="G1825" s="3" t="s">
        <v>20</v>
      </c>
      <c r="H1825" s="2" t="s">
        <v>21</v>
      </c>
      <c r="I1825" s="2" t="s">
        <v>3910</v>
      </c>
      <c r="J1825" s="3" t="str">
        <f>HYPERLINK("https://www.boe.es/gazeta/dias/1823/04/29/pdfs/GMD-1823-72.pdf#page=4","Abrir facsímil")</f>
        <v>Abrir facsímil</v>
      </c>
      <c r="K1825" s="3" t="s">
        <v>23</v>
      </c>
    </row>
    <row r="1826" spans="1:11" ht="42" customHeight="1">
      <c r="A1826" s="2" t="s">
        <v>3907</v>
      </c>
      <c r="B1826" s="2" t="s">
        <v>3908</v>
      </c>
      <c r="C1826" s="2" t="s">
        <v>17</v>
      </c>
      <c r="D1826" s="2" t="s">
        <v>117</v>
      </c>
      <c r="E1826" s="5">
        <v>-27925</v>
      </c>
      <c r="F1826" s="3" t="s">
        <v>3911</v>
      </c>
      <c r="G1826" s="3" t="s">
        <v>39</v>
      </c>
      <c r="H1826" s="2" t="s">
        <v>21</v>
      </c>
      <c r="I1826" s="2" t="s">
        <v>3912</v>
      </c>
      <c r="J1826" s="3" t="str">
        <f>HYPERLINK("https://www.boe.es/gazeta/dias/1823/07/17/pdfs/GES-1823-98E.pdf#page=1","Abrir facsímil")</f>
        <v>Abrir facsímil</v>
      </c>
      <c r="K1826" s="3" t="s">
        <v>23</v>
      </c>
    </row>
    <row r="1827" spans="1:11" ht="42" customHeight="1">
      <c r="A1827" s="2" t="s">
        <v>3907</v>
      </c>
      <c r="B1827" s="2" t="s">
        <v>3908</v>
      </c>
      <c r="C1827" s="2" t="s">
        <v>17</v>
      </c>
      <c r="D1827" s="2" t="s">
        <v>18</v>
      </c>
      <c r="E1827" s="5">
        <v>-27924</v>
      </c>
      <c r="F1827" s="3" t="s">
        <v>2385</v>
      </c>
      <c r="G1827" s="3" t="s">
        <v>39</v>
      </c>
      <c r="H1827" s="2" t="s">
        <v>21</v>
      </c>
      <c r="I1827" s="2" t="s">
        <v>3913</v>
      </c>
      <c r="J1827" s="3" t="str">
        <f>HYPERLINK("https://www.boe.es/gazeta/dias/1823/07/18/pdfs/GES-1823-99.pdf#page=1","Abrir facsímil")</f>
        <v>Abrir facsímil</v>
      </c>
      <c r="K1827" s="3" t="s">
        <v>23</v>
      </c>
    </row>
    <row r="1828" spans="1:11" ht="42" customHeight="1">
      <c r="A1828" s="2" t="s">
        <v>3914</v>
      </c>
      <c r="B1828" s="2" t="s">
        <v>3915</v>
      </c>
      <c r="C1828" s="2" t="s">
        <v>17</v>
      </c>
      <c r="D1828" s="2" t="s">
        <v>18</v>
      </c>
      <c r="E1828" s="5">
        <v>-28007</v>
      </c>
      <c r="F1828" s="3" t="s">
        <v>1190</v>
      </c>
      <c r="G1828" s="3" t="s">
        <v>20</v>
      </c>
      <c r="H1828" s="2" t="s">
        <v>21</v>
      </c>
      <c r="I1828" s="2" t="s">
        <v>3916</v>
      </c>
      <c r="J1828" s="3" t="str">
        <f>HYPERLINK("https://www.boe.es/gazeta/dias/1823/04/26/pdfs/GMD-1823-62.pdf#page=4","Abrir facsímil")</f>
        <v>Abrir facsímil</v>
      </c>
      <c r="K1828" s="3" t="s">
        <v>23</v>
      </c>
    </row>
    <row r="1829" spans="1:11" ht="42" customHeight="1">
      <c r="A1829" s="2" t="s">
        <v>3917</v>
      </c>
      <c r="B1829" s="2" t="s">
        <v>3917</v>
      </c>
      <c r="C1829" s="2" t="s">
        <v>109</v>
      </c>
      <c r="D1829" s="2" t="s">
        <v>74</v>
      </c>
      <c r="E1829" s="5">
        <v>-28091</v>
      </c>
      <c r="F1829" s="3" t="s">
        <v>1047</v>
      </c>
      <c r="G1829" s="3" t="s">
        <v>48</v>
      </c>
      <c r="H1829" s="2" t="s">
        <v>21</v>
      </c>
      <c r="I1829" s="2" t="s">
        <v>3918</v>
      </c>
      <c r="J1829" s="3" t="str">
        <f>HYPERLINK("https://www.boe.es/gazeta/dias/1823/02/01/pdfs/GMD-1823-34.pdf#page=3","Abrir facsímil")</f>
        <v>Abrir facsímil</v>
      </c>
      <c r="K1829" s="3" t="s">
        <v>23</v>
      </c>
    </row>
    <row r="1830" spans="1:11" ht="42" customHeight="1">
      <c r="A1830" s="2" t="s">
        <v>3917</v>
      </c>
      <c r="B1830" s="2" t="s">
        <v>3917</v>
      </c>
      <c r="C1830" s="2" t="s">
        <v>79</v>
      </c>
      <c r="D1830" s="2" t="s">
        <v>74</v>
      </c>
      <c r="E1830" s="5">
        <v>-28082</v>
      </c>
      <c r="F1830" s="3" t="s">
        <v>468</v>
      </c>
      <c r="G1830" s="3" t="s">
        <v>27</v>
      </c>
      <c r="H1830" s="2" t="s">
        <v>21</v>
      </c>
      <c r="I1830" s="2" t="s">
        <v>3919</v>
      </c>
      <c r="J1830" s="3" t="str">
        <f>HYPERLINK("https://www.boe.es/gazeta/dias/1823/02/10/pdfs/GMD-1823-44.pdf#page=2","Abrir facsímil")</f>
        <v>Abrir facsímil</v>
      </c>
      <c r="K1830" s="3" t="s">
        <v>23</v>
      </c>
    </row>
    <row r="1831" spans="1:11" ht="42" customHeight="1">
      <c r="A1831" s="2" t="s">
        <v>3917</v>
      </c>
      <c r="B1831" s="2" t="s">
        <v>3917</v>
      </c>
      <c r="C1831" s="2" t="s">
        <v>17</v>
      </c>
      <c r="D1831" s="2" t="s">
        <v>18</v>
      </c>
      <c r="E1831" s="5">
        <v>-28081</v>
      </c>
      <c r="F1831" s="3" t="s">
        <v>170</v>
      </c>
      <c r="G1831" s="3" t="s">
        <v>48</v>
      </c>
      <c r="H1831" s="2" t="s">
        <v>21</v>
      </c>
      <c r="I1831" s="2" t="s">
        <v>3920</v>
      </c>
      <c r="J1831" s="3" t="str">
        <f>HYPERLINK("https://www.boe.es/gazeta/dias/1823/02/11/pdfs/GMD-1823-45.pdf#page=3","Abrir facsímil")</f>
        <v>Abrir facsímil</v>
      </c>
      <c r="K1831" s="3" t="s">
        <v>23</v>
      </c>
    </row>
    <row r="1832" spans="1:11" ht="42" customHeight="1">
      <c r="A1832" s="2" t="s">
        <v>3917</v>
      </c>
      <c r="B1832" s="2" t="s">
        <v>3917</v>
      </c>
      <c r="C1832" s="2" t="s">
        <v>17</v>
      </c>
      <c r="D1832" s="2" t="s">
        <v>18</v>
      </c>
      <c r="E1832" s="5">
        <v>-28046</v>
      </c>
      <c r="F1832" s="3" t="s">
        <v>85</v>
      </c>
      <c r="G1832" s="3" t="s">
        <v>48</v>
      </c>
      <c r="H1832" s="2" t="s">
        <v>21</v>
      </c>
      <c r="I1832" s="2" t="s">
        <v>3921</v>
      </c>
      <c r="J1832" s="3" t="str">
        <f>HYPERLINK("https://www.boe.es/gazeta/dias/1823/03/18/pdfs/GMD-1823-81.pdf#page=3","Abrir facsímil")</f>
        <v>Abrir facsímil</v>
      </c>
      <c r="K1832" s="3" t="s">
        <v>23</v>
      </c>
    </row>
    <row r="1833" spans="1:11" ht="42" customHeight="1">
      <c r="A1833" s="2" t="s">
        <v>3917</v>
      </c>
      <c r="B1833" s="2" t="s">
        <v>3917</v>
      </c>
      <c r="C1833" s="2" t="s">
        <v>56</v>
      </c>
      <c r="D1833" s="2" t="s">
        <v>57</v>
      </c>
      <c r="E1833" s="5">
        <v>-28009</v>
      </c>
      <c r="F1833" s="3" t="s">
        <v>307</v>
      </c>
      <c r="G1833" s="3" t="s">
        <v>48</v>
      </c>
      <c r="H1833" s="2" t="s">
        <v>21</v>
      </c>
      <c r="I1833" s="2" t="s">
        <v>3922</v>
      </c>
      <c r="J1833" s="3" t="str">
        <f>HYPERLINK("https://www.boe.es/gazeta/dias/1823/04/24/pdfs/GES-1823-14.pdf#page=3","Abrir facsímil")</f>
        <v>Abrir facsímil</v>
      </c>
      <c r="K1833" s="3" t="s">
        <v>23</v>
      </c>
    </row>
    <row r="1834" spans="1:11" ht="42" customHeight="1">
      <c r="A1834" s="2" t="s">
        <v>3917</v>
      </c>
      <c r="B1834" s="2" t="s">
        <v>3917</v>
      </c>
      <c r="C1834" s="2" t="s">
        <v>17</v>
      </c>
      <c r="D1834" s="2" t="s">
        <v>18</v>
      </c>
      <c r="E1834" s="5">
        <v>-28007</v>
      </c>
      <c r="F1834" s="3" t="s">
        <v>311</v>
      </c>
      <c r="G1834" s="3" t="s">
        <v>39</v>
      </c>
      <c r="H1834" s="2" t="s">
        <v>21</v>
      </c>
      <c r="I1834" s="2" t="s">
        <v>3923</v>
      </c>
      <c r="J1834" s="3" t="str">
        <f>HYPERLINK("https://www.boe.es/gazeta/dias/1823/04/26/pdfs/GES-1823-16.pdf#page=1","Abrir facsímil")</f>
        <v>Abrir facsímil</v>
      </c>
      <c r="K1834" s="3" t="s">
        <v>23</v>
      </c>
    </row>
    <row r="1835" spans="1:11" ht="42" customHeight="1">
      <c r="A1835" s="2" t="s">
        <v>3917</v>
      </c>
      <c r="B1835" s="2" t="s">
        <v>3917</v>
      </c>
      <c r="C1835" s="2" t="s">
        <v>17</v>
      </c>
      <c r="D1835" s="2" t="s">
        <v>18</v>
      </c>
      <c r="E1835" s="5">
        <v>-28002</v>
      </c>
      <c r="F1835" s="3" t="s">
        <v>245</v>
      </c>
      <c r="G1835" s="3" t="s">
        <v>48</v>
      </c>
      <c r="H1835" s="2" t="s">
        <v>21</v>
      </c>
      <c r="I1835" s="2" t="s">
        <v>3924</v>
      </c>
      <c r="J1835" s="3" t="str">
        <f>HYPERLINK("https://www.boe.es/gazeta/dias/1823/05/01/pdfs/GMD-1823-82.pdf#page=3","Abrir facsímil")</f>
        <v>Abrir facsímil</v>
      </c>
      <c r="K1835" s="3" t="s">
        <v>23</v>
      </c>
    </row>
    <row r="1836" spans="1:11" ht="42" customHeight="1">
      <c r="A1836" s="2" t="s">
        <v>3917</v>
      </c>
      <c r="B1836" s="2" t="s">
        <v>3917</v>
      </c>
      <c r="C1836" s="2" t="s">
        <v>17</v>
      </c>
      <c r="D1836" s="2" t="s">
        <v>18</v>
      </c>
      <c r="E1836" s="5">
        <v>-27997</v>
      </c>
      <c r="F1836" s="3" t="s">
        <v>937</v>
      </c>
      <c r="G1836" s="3" t="s">
        <v>48</v>
      </c>
      <c r="H1836" s="2" t="s">
        <v>21</v>
      </c>
      <c r="I1836" s="2" t="s">
        <v>3925</v>
      </c>
      <c r="J1836" s="3" t="str">
        <f>HYPERLINK("https://www.boe.es/gazeta/dias/1823/05/06/pdfs/GMD-1823-102.pdf#page=3","Abrir facsímil")</f>
        <v>Abrir facsímil</v>
      </c>
      <c r="K1836" s="3" t="s">
        <v>23</v>
      </c>
    </row>
    <row r="1837" spans="1:11" ht="42" customHeight="1">
      <c r="A1837" s="2" t="s">
        <v>3917</v>
      </c>
      <c r="B1837" s="2" t="s">
        <v>3917</v>
      </c>
      <c r="C1837" s="2" t="s">
        <v>56</v>
      </c>
      <c r="D1837" s="2" t="s">
        <v>57</v>
      </c>
      <c r="E1837" s="5">
        <v>-27995</v>
      </c>
      <c r="F1837" s="3" t="s">
        <v>320</v>
      </c>
      <c r="G1837" s="3" t="s">
        <v>321</v>
      </c>
      <c r="H1837" s="2" t="s">
        <v>21</v>
      </c>
      <c r="I1837" s="2" t="s">
        <v>3926</v>
      </c>
      <c r="J1837" s="3" t="str">
        <f>HYPERLINK("https://www.boe.es/gazeta/dias/1823/05/08/pdfs/GES-1823-28.pdf#page=3","Abrir facsímil")</f>
        <v>Abrir facsímil</v>
      </c>
      <c r="K1837" s="3" t="s">
        <v>23</v>
      </c>
    </row>
    <row r="1838" spans="1:11" ht="42" customHeight="1">
      <c r="A1838" s="2" t="s">
        <v>3917</v>
      </c>
      <c r="B1838" s="2" t="s">
        <v>3917</v>
      </c>
      <c r="C1838" s="2" t="s">
        <v>293</v>
      </c>
      <c r="D1838" s="2" t="s">
        <v>74</v>
      </c>
      <c r="E1838" s="5">
        <v>-27994</v>
      </c>
      <c r="F1838" s="3" t="s">
        <v>714</v>
      </c>
      <c r="G1838" s="3" t="s">
        <v>20</v>
      </c>
      <c r="H1838" s="2" t="s">
        <v>21</v>
      </c>
      <c r="I1838" s="2" t="s">
        <v>3927</v>
      </c>
      <c r="J1838" s="3" t="str">
        <f>HYPERLINK("https://www.boe.es/gazeta/dias/1823/05/09/pdfs/GES-1823-29.pdf#page=4","Abrir facsímil")</f>
        <v>Abrir facsímil</v>
      </c>
      <c r="K1838" s="3" t="s">
        <v>23</v>
      </c>
    </row>
    <row r="1839" spans="1:11" ht="42" customHeight="1">
      <c r="A1839" s="2" t="s">
        <v>3917</v>
      </c>
      <c r="B1839" s="2" t="s">
        <v>3917</v>
      </c>
      <c r="C1839" s="2" t="s">
        <v>109</v>
      </c>
      <c r="D1839" s="2" t="s">
        <v>74</v>
      </c>
      <c r="E1839" s="5">
        <v>-27993</v>
      </c>
      <c r="F1839" s="3" t="s">
        <v>1062</v>
      </c>
      <c r="G1839" s="3" t="s">
        <v>48</v>
      </c>
      <c r="H1839" s="2" t="s">
        <v>21</v>
      </c>
      <c r="I1839" s="2" t="s">
        <v>3928</v>
      </c>
      <c r="J1839" s="3" t="str">
        <f>HYPERLINK("https://www.boe.es/gazeta/dias/1823/05/10/pdfs/GMD-1823-122.pdf#page=3","Abrir facsímil")</f>
        <v>Abrir facsímil</v>
      </c>
      <c r="K1839" s="3" t="s">
        <v>23</v>
      </c>
    </row>
    <row r="1840" spans="1:11" ht="42" customHeight="1">
      <c r="A1840" s="2" t="s">
        <v>3917</v>
      </c>
      <c r="B1840" s="2" t="s">
        <v>3917</v>
      </c>
      <c r="C1840" s="2" t="s">
        <v>73</v>
      </c>
      <c r="D1840" s="2" t="s">
        <v>74</v>
      </c>
      <c r="E1840" s="5">
        <v>-27992</v>
      </c>
      <c r="F1840" s="3" t="s">
        <v>565</v>
      </c>
      <c r="G1840" s="3" t="s">
        <v>48</v>
      </c>
      <c r="H1840" s="2" t="s">
        <v>21</v>
      </c>
      <c r="I1840" s="2" t="s">
        <v>3929</v>
      </c>
      <c r="J1840" s="3" t="str">
        <f>HYPERLINK("https://www.boe.es/gazeta/dias/1823/05/11/pdfs/GES-1823-31.pdf#page=3","Abrir facsímil")</f>
        <v>Abrir facsímil</v>
      </c>
      <c r="K1840" s="3" t="s">
        <v>23</v>
      </c>
    </row>
    <row r="1841" spans="1:11" ht="42" customHeight="1">
      <c r="A1841" s="2" t="s">
        <v>3917</v>
      </c>
      <c r="B1841" s="2" t="s">
        <v>3917</v>
      </c>
      <c r="C1841" s="2" t="s">
        <v>79</v>
      </c>
      <c r="D1841" s="2" t="s">
        <v>74</v>
      </c>
      <c r="E1841" s="5">
        <v>-27986</v>
      </c>
      <c r="F1841" s="3" t="s">
        <v>75</v>
      </c>
      <c r="G1841" s="3" t="s">
        <v>48</v>
      </c>
      <c r="H1841" s="2" t="s">
        <v>21</v>
      </c>
      <c r="I1841" s="2" t="s">
        <v>3930</v>
      </c>
      <c r="J1841" s="3" t="str">
        <f>HYPERLINK("https://www.boe.es/gazeta/dias/1823/05/17/pdfs/GES-1823-37.pdf#page=3","Abrir facsímil")</f>
        <v>Abrir facsímil</v>
      </c>
      <c r="K1841" s="3" t="s">
        <v>23</v>
      </c>
    </row>
    <row r="1842" spans="1:11" ht="42" customHeight="1">
      <c r="A1842" s="2" t="s">
        <v>3917</v>
      </c>
      <c r="B1842" s="2" t="s">
        <v>3917</v>
      </c>
      <c r="C1842" s="2" t="s">
        <v>293</v>
      </c>
      <c r="D1842" s="2" t="s">
        <v>74</v>
      </c>
      <c r="E1842" s="5">
        <v>-27985</v>
      </c>
      <c r="F1842" s="3" t="s">
        <v>951</v>
      </c>
      <c r="G1842" s="3" t="s">
        <v>20</v>
      </c>
      <c r="H1842" s="2" t="s">
        <v>21</v>
      </c>
      <c r="I1842" s="2" t="s">
        <v>3931</v>
      </c>
      <c r="J1842" s="3" t="str">
        <f>HYPERLINK("https://www.boe.es/gazeta/dias/1823/05/18/pdfs/GES-1823-38.pdf#page=4","Abrir facsímil")</f>
        <v>Abrir facsímil</v>
      </c>
      <c r="K1842" s="3" t="s">
        <v>23</v>
      </c>
    </row>
    <row r="1843" spans="1:11" ht="42" customHeight="1">
      <c r="A1843" s="2" t="s">
        <v>3917</v>
      </c>
      <c r="B1843" s="2" t="s">
        <v>3917</v>
      </c>
      <c r="C1843" s="2" t="s">
        <v>17</v>
      </c>
      <c r="D1843" s="2" t="s">
        <v>18</v>
      </c>
      <c r="E1843" s="5">
        <v>-27980</v>
      </c>
      <c r="F1843" s="3" t="s">
        <v>1068</v>
      </c>
      <c r="G1843" s="3" t="s">
        <v>34</v>
      </c>
      <c r="H1843" s="2" t="s">
        <v>21</v>
      </c>
      <c r="I1843" s="2" t="s">
        <v>3932</v>
      </c>
      <c r="J1843" s="3" t="str">
        <f>HYPERLINK("https://www.boe.es/gazeta/dias/1823/05/23/pdfs/GES-1823-44.pdf#page=5","Abrir facsímil")</f>
        <v>Abrir facsímil</v>
      </c>
      <c r="K1843" s="3" t="s">
        <v>23</v>
      </c>
    </row>
    <row r="1844" spans="1:11" ht="42" customHeight="1">
      <c r="A1844" s="2" t="s">
        <v>3917</v>
      </c>
      <c r="B1844" s="2" t="s">
        <v>3917</v>
      </c>
      <c r="C1844" s="2" t="s">
        <v>79</v>
      </c>
      <c r="D1844" s="2" t="s">
        <v>74</v>
      </c>
      <c r="E1844" s="5">
        <v>-27935</v>
      </c>
      <c r="F1844" s="3" t="s">
        <v>350</v>
      </c>
      <c r="G1844" s="3" t="s">
        <v>39</v>
      </c>
      <c r="H1844" s="2" t="s">
        <v>21</v>
      </c>
      <c r="I1844" s="2" t="s">
        <v>3933</v>
      </c>
      <c r="J1844" s="3" t="str">
        <f>HYPERLINK("https://www.boe.es/gazeta/dias/1823/07/07/pdfs/GES-1823-87.pdf#page=1","Abrir facsímil")</f>
        <v>Abrir facsímil</v>
      </c>
      <c r="K1844" s="3" t="s">
        <v>23</v>
      </c>
    </row>
    <row r="1845" spans="1:11" ht="42" customHeight="1">
      <c r="A1845" s="2" t="s">
        <v>3917</v>
      </c>
      <c r="B1845" s="2" t="s">
        <v>3917</v>
      </c>
      <c r="C1845" s="2" t="s">
        <v>109</v>
      </c>
      <c r="D1845" s="2" t="s">
        <v>74</v>
      </c>
      <c r="E1845" s="5">
        <v>-27933</v>
      </c>
      <c r="F1845" s="3" t="s">
        <v>1079</v>
      </c>
      <c r="G1845" s="3" t="s">
        <v>48</v>
      </c>
      <c r="H1845" s="2" t="s">
        <v>21</v>
      </c>
      <c r="I1845" s="2" t="s">
        <v>3934</v>
      </c>
      <c r="J1845" s="3" t="str">
        <f>HYPERLINK("https://www.boe.es/gazeta/dias/1823/07/09/pdfs/GES-1823-89.pdf#page=3","Abrir facsímil")</f>
        <v>Abrir facsímil</v>
      </c>
      <c r="K1845" s="3" t="s">
        <v>23</v>
      </c>
    </row>
    <row r="1846" spans="1:11" ht="42" customHeight="1">
      <c r="A1846" s="2" t="s">
        <v>3917</v>
      </c>
      <c r="B1846" s="2" t="s">
        <v>3917</v>
      </c>
      <c r="C1846" s="2" t="s">
        <v>109</v>
      </c>
      <c r="D1846" s="2" t="s">
        <v>74</v>
      </c>
      <c r="E1846" s="5">
        <v>-27930</v>
      </c>
      <c r="F1846" s="3" t="s">
        <v>2334</v>
      </c>
      <c r="G1846" s="3" t="s">
        <v>27</v>
      </c>
      <c r="H1846" s="2" t="s">
        <v>21</v>
      </c>
      <c r="I1846" s="2" t="s">
        <v>3935</v>
      </c>
      <c r="J1846" s="3" t="str">
        <f>HYPERLINK("https://www.boe.es/gazeta/dias/1823/07/12/pdfs/GES-1823-92.pdf#page=2","Abrir facsímil")</f>
        <v>Abrir facsímil</v>
      </c>
      <c r="K1846" s="3" t="s">
        <v>23</v>
      </c>
    </row>
    <row r="1847" spans="1:11" ht="42" customHeight="1">
      <c r="A1847" s="2" t="s">
        <v>3936</v>
      </c>
      <c r="B1847" s="2" t="s">
        <v>3936</v>
      </c>
      <c r="C1847" s="2" t="s">
        <v>17</v>
      </c>
      <c r="D1847" s="2" t="s">
        <v>18</v>
      </c>
      <c r="E1847" s="5">
        <v>-28107</v>
      </c>
      <c r="F1847" s="3" t="s">
        <v>278</v>
      </c>
      <c r="G1847" s="3" t="s">
        <v>34</v>
      </c>
      <c r="H1847" s="2" t="s">
        <v>21</v>
      </c>
      <c r="I1847" s="2" t="s">
        <v>3937</v>
      </c>
      <c r="J1847" s="3" t="str">
        <f>HYPERLINK("https://www.boe.es/gazeta/dias/1823/01/16/pdfs/GMD-1823-16.pdf#page=5","Abrir facsímil")</f>
        <v>Abrir facsímil</v>
      </c>
      <c r="K1847" s="3" t="s">
        <v>23</v>
      </c>
    </row>
    <row r="1848" spans="1:11" ht="42" customHeight="1">
      <c r="A1848" s="2" t="s">
        <v>3938</v>
      </c>
      <c r="B1848" s="2" t="s">
        <v>3939</v>
      </c>
      <c r="C1848" s="2" t="s">
        <v>79</v>
      </c>
      <c r="D1848" s="2" t="s">
        <v>74</v>
      </c>
      <c r="E1848" s="5">
        <v>-28043</v>
      </c>
      <c r="F1848" s="3" t="s">
        <v>69</v>
      </c>
      <c r="G1848" s="3" t="s">
        <v>59</v>
      </c>
      <c r="H1848" s="2" t="s">
        <v>21</v>
      </c>
      <c r="I1848" s="2" t="s">
        <v>3940</v>
      </c>
      <c r="J1848" s="3" t="str">
        <f>HYPERLINK("https://www.boe.es/gazeta/dias/1823/03/21/pdfs/GMD-1823-84.pdf#page=6","Abrir facsímil")</f>
        <v>Abrir facsímil</v>
      </c>
      <c r="K1848" s="3" t="s">
        <v>23</v>
      </c>
    </row>
    <row r="1849" spans="1:11" ht="42" customHeight="1">
      <c r="A1849" s="2" t="s">
        <v>3941</v>
      </c>
      <c r="B1849" s="2" t="s">
        <v>3942</v>
      </c>
      <c r="C1849" s="2" t="s">
        <v>17</v>
      </c>
      <c r="D1849" s="2" t="s">
        <v>18</v>
      </c>
      <c r="E1849" s="5">
        <v>-28119</v>
      </c>
      <c r="F1849" s="3" t="s">
        <v>545</v>
      </c>
      <c r="G1849" s="3" t="s">
        <v>34</v>
      </c>
      <c r="H1849" s="2" t="s">
        <v>21</v>
      </c>
      <c r="I1849" s="2" t="s">
        <v>3943</v>
      </c>
      <c r="J1849" s="3" t="str">
        <f>HYPERLINK("https://www.boe.es/gazeta/dias/1823/01/04/pdfs/GMD-1823-4.pdf#page=5","Abrir facsímil")</f>
        <v>Abrir facsímil</v>
      </c>
      <c r="K1849" s="3" t="s">
        <v>23</v>
      </c>
    </row>
    <row r="1850" spans="1:11" ht="42" customHeight="1">
      <c r="A1850" s="2" t="s">
        <v>3944</v>
      </c>
      <c r="B1850" s="2" t="s">
        <v>3945</v>
      </c>
      <c r="C1850" s="2" t="s">
        <v>56</v>
      </c>
      <c r="D1850" s="2" t="s">
        <v>57</v>
      </c>
      <c r="E1850" s="5">
        <v>-28105</v>
      </c>
      <c r="F1850" s="3" t="s">
        <v>502</v>
      </c>
      <c r="G1850" s="3" t="s">
        <v>20</v>
      </c>
      <c r="H1850" s="2" t="s">
        <v>21</v>
      </c>
      <c r="I1850" s="2" t="s">
        <v>3946</v>
      </c>
      <c r="J1850" s="3" t="str">
        <f>HYPERLINK("https://www.boe.es/gazeta/dias/1823/01/18/pdfs/GMD-1823-18.pdf#page=4","Abrir facsímil")</f>
        <v>Abrir facsímil</v>
      </c>
      <c r="K1850" s="3" t="s">
        <v>23</v>
      </c>
    </row>
    <row r="1851" spans="1:11" ht="42" customHeight="1">
      <c r="A1851" s="2" t="s">
        <v>3947</v>
      </c>
      <c r="B1851" s="2" t="s">
        <v>3948</v>
      </c>
      <c r="C1851" s="2" t="s">
        <v>17</v>
      </c>
      <c r="D1851" s="2" t="s">
        <v>18</v>
      </c>
      <c r="E1851" s="5">
        <v>-28103</v>
      </c>
      <c r="F1851" s="3" t="s">
        <v>285</v>
      </c>
      <c r="G1851" s="3" t="s">
        <v>27</v>
      </c>
      <c r="H1851" s="2" t="s">
        <v>21</v>
      </c>
      <c r="I1851" s="2" t="s">
        <v>3949</v>
      </c>
      <c r="J1851" s="3" t="str">
        <f>HYPERLINK("https://www.boe.es/gazeta/dias/1823/01/20/pdfs/GMD-1823-20.pdf#page=2","Abrir facsímil")</f>
        <v>Abrir facsímil</v>
      </c>
      <c r="K1851" s="3" t="s">
        <v>23</v>
      </c>
    </row>
    <row r="1852" spans="1:11" ht="42" customHeight="1">
      <c r="A1852" s="2" t="s">
        <v>3950</v>
      </c>
      <c r="B1852" s="2" t="s">
        <v>3951</v>
      </c>
      <c r="C1852" s="2" t="s">
        <v>17</v>
      </c>
      <c r="D1852" s="2" t="s">
        <v>18</v>
      </c>
      <c r="E1852" s="5">
        <v>-28037</v>
      </c>
      <c r="F1852" s="3" t="s">
        <v>192</v>
      </c>
      <c r="G1852" s="3" t="s">
        <v>48</v>
      </c>
      <c r="H1852" s="2" t="s">
        <v>21</v>
      </c>
      <c r="I1852" s="2" t="s">
        <v>3952</v>
      </c>
      <c r="J1852" s="3" t="str">
        <f>HYPERLINK("https://www.boe.es/gazeta/dias/1823/03/27/pdfs/GMD-1823-90.pdf#page=3","Abrir facsímil")</f>
        <v>Abrir facsímil</v>
      </c>
      <c r="K1852" s="3" t="s">
        <v>23</v>
      </c>
    </row>
    <row r="1853" spans="1:11" ht="42" customHeight="1">
      <c r="A1853" s="2" t="s">
        <v>3953</v>
      </c>
      <c r="B1853" s="2" t="s">
        <v>3954</v>
      </c>
      <c r="C1853" s="2" t="s">
        <v>79</v>
      </c>
      <c r="D1853" s="2" t="s">
        <v>74</v>
      </c>
      <c r="E1853" s="5">
        <v>-28057</v>
      </c>
      <c r="F1853" s="3" t="s">
        <v>301</v>
      </c>
      <c r="G1853" s="3" t="s">
        <v>20</v>
      </c>
      <c r="H1853" s="2" t="s">
        <v>21</v>
      </c>
      <c r="I1853" s="2" t="s">
        <v>3955</v>
      </c>
      <c r="J1853" s="3" t="str">
        <f>HYPERLINK("https://www.boe.es/gazeta/dias/1823/03/07/pdfs/GMD-1823-70.pdf#page=4","Abrir facsímil")</f>
        <v>Abrir facsímil</v>
      </c>
      <c r="K1853" s="3" t="s">
        <v>23</v>
      </c>
    </row>
    <row r="1854" spans="1:11" ht="42" customHeight="1">
      <c r="A1854" s="2" t="s">
        <v>3956</v>
      </c>
      <c r="B1854" s="2" t="s">
        <v>3957</v>
      </c>
      <c r="C1854" s="2" t="s">
        <v>109</v>
      </c>
      <c r="D1854" s="2" t="s">
        <v>74</v>
      </c>
      <c r="E1854" s="5">
        <v>-28112</v>
      </c>
      <c r="F1854" s="3" t="s">
        <v>43</v>
      </c>
      <c r="G1854" s="3" t="s">
        <v>27</v>
      </c>
      <c r="H1854" s="2" t="s">
        <v>21</v>
      </c>
      <c r="I1854" s="2" t="s">
        <v>3958</v>
      </c>
      <c r="J1854" s="3" t="str">
        <f>HYPERLINK("https://www.boe.es/gazeta/dias/1823/01/11/pdfs/GMD-1823-11.pdf#page=2","Abrir facsímil")</f>
        <v>Abrir facsímil</v>
      </c>
      <c r="K1854" s="3" t="s">
        <v>23</v>
      </c>
    </row>
    <row r="1855" spans="1:11" ht="42" customHeight="1">
      <c r="A1855" s="2" t="s">
        <v>3959</v>
      </c>
      <c r="B1855" s="2" t="s">
        <v>3960</v>
      </c>
      <c r="C1855" s="2" t="s">
        <v>325</v>
      </c>
      <c r="D1855" s="2" t="s">
        <v>74</v>
      </c>
      <c r="E1855" s="5">
        <v>-28071</v>
      </c>
      <c r="F1855" s="3" t="s">
        <v>587</v>
      </c>
      <c r="G1855" s="3" t="s">
        <v>27</v>
      </c>
      <c r="H1855" s="2" t="s">
        <v>21</v>
      </c>
      <c r="I1855" s="2" t="s">
        <v>3961</v>
      </c>
      <c r="J1855" s="3" t="str">
        <f>HYPERLINK("https://www.boe.es/gazeta/dias/1823/02/21/pdfs/GMD-1823-55.pdf#page=2","Abrir facsímil")</f>
        <v>Abrir facsímil</v>
      </c>
      <c r="K1855" s="3" t="s">
        <v>23</v>
      </c>
    </row>
    <row r="1856" spans="1:11" ht="42" customHeight="1">
      <c r="A1856" s="2" t="s">
        <v>3959</v>
      </c>
      <c r="B1856" s="2" t="s">
        <v>3960</v>
      </c>
      <c r="C1856" s="2" t="s">
        <v>109</v>
      </c>
      <c r="D1856" s="2" t="s">
        <v>74</v>
      </c>
      <c r="E1856" s="5">
        <v>-28066</v>
      </c>
      <c r="F1856" s="3" t="s">
        <v>19</v>
      </c>
      <c r="G1856" s="3" t="s">
        <v>48</v>
      </c>
      <c r="H1856" s="2" t="s">
        <v>21</v>
      </c>
      <c r="I1856" s="2" t="s">
        <v>3962</v>
      </c>
      <c r="J1856" s="3" t="str">
        <f>HYPERLINK("https://www.boe.es/gazeta/dias/1823/02/26/pdfs/GMD-1823-60.pdf#page=3","Abrir facsímil")</f>
        <v>Abrir facsímil</v>
      </c>
      <c r="K1856" s="3" t="s">
        <v>23</v>
      </c>
    </row>
    <row r="1857" spans="1:11" ht="42" customHeight="1">
      <c r="A1857" s="2" t="s">
        <v>3963</v>
      </c>
      <c r="B1857" s="2" t="s">
        <v>3963</v>
      </c>
      <c r="C1857" s="2" t="s">
        <v>17</v>
      </c>
      <c r="D1857" s="2" t="s">
        <v>18</v>
      </c>
      <c r="E1857" s="5">
        <v>-28104</v>
      </c>
      <c r="F1857" s="3" t="s">
        <v>114</v>
      </c>
      <c r="G1857" s="3" t="s">
        <v>48</v>
      </c>
      <c r="H1857" s="2" t="s">
        <v>21</v>
      </c>
      <c r="I1857" s="2" t="s">
        <v>3964</v>
      </c>
      <c r="J1857" s="3" t="str">
        <f>HYPERLINK("https://www.boe.es/gazeta/dias/1823/01/19/pdfs/GMD-1823-19.pdf#page=3","Abrir facsímil")</f>
        <v>Abrir facsímil</v>
      </c>
      <c r="K1857" s="3" t="s">
        <v>23</v>
      </c>
    </row>
    <row r="1858" spans="1:11" ht="42" customHeight="1">
      <c r="A1858" s="2" t="s">
        <v>3963</v>
      </c>
      <c r="B1858" s="2" t="s">
        <v>3963</v>
      </c>
      <c r="C1858" s="2" t="s">
        <v>17</v>
      </c>
      <c r="D1858" s="2" t="s">
        <v>18</v>
      </c>
      <c r="E1858" s="5">
        <v>-27998</v>
      </c>
      <c r="F1858" s="3" t="s">
        <v>1058</v>
      </c>
      <c r="G1858" s="3" t="s">
        <v>59</v>
      </c>
      <c r="H1858" s="2" t="s">
        <v>21</v>
      </c>
      <c r="I1858" s="2" t="s">
        <v>3965</v>
      </c>
      <c r="J1858" s="3" t="str">
        <f>HYPERLINK("https://www.boe.es/gazeta/dias/1823/05/05/pdfs/GES-1823-25.pdf#page=6","Abrir facsímil")</f>
        <v>Abrir facsímil</v>
      </c>
      <c r="K1858" s="3" t="s">
        <v>23</v>
      </c>
    </row>
    <row r="1859" spans="1:11" ht="42" customHeight="1">
      <c r="A1859" s="2" t="s">
        <v>3966</v>
      </c>
      <c r="B1859" s="2" t="s">
        <v>3967</v>
      </c>
      <c r="C1859" s="2" t="s">
        <v>17</v>
      </c>
      <c r="D1859" s="2" t="s">
        <v>18</v>
      </c>
      <c r="E1859" s="5">
        <v>-27982</v>
      </c>
      <c r="F1859" s="3" t="s">
        <v>340</v>
      </c>
      <c r="G1859" s="3" t="s">
        <v>59</v>
      </c>
      <c r="H1859" s="2" t="s">
        <v>21</v>
      </c>
      <c r="I1859" s="2" t="s">
        <v>3968</v>
      </c>
      <c r="J1859" s="3" t="str">
        <f>HYPERLINK("https://www.boe.es/gazeta/dias/1823/05/21/pdfs/GES-1823-42.pdf#page=6","Abrir facsímil")</f>
        <v>Abrir facsímil</v>
      </c>
      <c r="K1859" s="3" t="s">
        <v>23</v>
      </c>
    </row>
    <row r="1860" spans="1:11" ht="42" customHeight="1">
      <c r="A1860" s="2" t="s">
        <v>3969</v>
      </c>
      <c r="B1860" s="2" t="s">
        <v>3970</v>
      </c>
      <c r="C1860" s="2" t="s">
        <v>79</v>
      </c>
      <c r="D1860" s="2" t="s">
        <v>74</v>
      </c>
      <c r="E1860" s="5">
        <v>-28100</v>
      </c>
      <c r="F1860" s="3" t="s">
        <v>737</v>
      </c>
      <c r="G1860" s="3" t="s">
        <v>27</v>
      </c>
      <c r="H1860" s="2" t="s">
        <v>21</v>
      </c>
      <c r="I1860" s="2" t="s">
        <v>3971</v>
      </c>
      <c r="J1860" s="3" t="str">
        <f>HYPERLINK("https://www.boe.es/gazeta/dias/1823/01/23/pdfs/GMD-1823-24.pdf#page=2","Abrir facsímil")</f>
        <v>Abrir facsímil</v>
      </c>
      <c r="K1860" s="3" t="s">
        <v>23</v>
      </c>
    </row>
    <row r="1861" spans="1:11" ht="42" customHeight="1">
      <c r="A1861" s="2" t="s">
        <v>3972</v>
      </c>
      <c r="B1861" s="2" t="s">
        <v>3973</v>
      </c>
      <c r="C1861" s="2" t="s">
        <v>17</v>
      </c>
      <c r="D1861" s="2" t="s">
        <v>18</v>
      </c>
      <c r="E1861" s="5">
        <v>-28049</v>
      </c>
      <c r="F1861" s="3" t="s">
        <v>198</v>
      </c>
      <c r="G1861" s="3" t="s">
        <v>48</v>
      </c>
      <c r="H1861" s="2" t="s">
        <v>21</v>
      </c>
      <c r="I1861" s="2" t="s">
        <v>3974</v>
      </c>
      <c r="J1861" s="3" t="str">
        <f>HYPERLINK("https://www.boe.es/gazeta/dias/1823/03/15/pdfs/GMD-1823-78.pdf#page=3","Abrir facsímil")</f>
        <v>Abrir facsímil</v>
      </c>
      <c r="K1861" s="3" t="s">
        <v>23</v>
      </c>
    </row>
    <row r="1862" spans="1:11" ht="42" customHeight="1">
      <c r="A1862" s="2" t="s">
        <v>3975</v>
      </c>
      <c r="B1862" s="2" t="s">
        <v>3976</v>
      </c>
      <c r="C1862" s="2" t="s">
        <v>17</v>
      </c>
      <c r="D1862" s="2" t="s">
        <v>18</v>
      </c>
      <c r="E1862" s="5">
        <v>-28051</v>
      </c>
      <c r="F1862" s="3" t="s">
        <v>305</v>
      </c>
      <c r="G1862" s="3" t="s">
        <v>20</v>
      </c>
      <c r="H1862" s="2" t="s">
        <v>28</v>
      </c>
      <c r="I1862" s="2" t="s">
        <v>3977</v>
      </c>
      <c r="J1862" s="3" t="str">
        <f>HYPERLINK("https://www.boe.es/gazeta/dias/1823/03/13/pdfs/GMD-1823-76.pdf#page=4","Abrir facsímil")</f>
        <v>Abrir facsímil</v>
      </c>
      <c r="K1862" s="3" t="s">
        <v>30</v>
      </c>
    </row>
    <row r="1863" spans="1:11" ht="42" customHeight="1">
      <c r="A1863" s="2" t="s">
        <v>3978</v>
      </c>
      <c r="B1863" s="2" t="s">
        <v>3979</v>
      </c>
      <c r="C1863" s="2" t="s">
        <v>17</v>
      </c>
      <c r="D1863" s="2" t="s">
        <v>18</v>
      </c>
      <c r="E1863" s="5">
        <v>-27764</v>
      </c>
      <c r="F1863" s="3" t="s">
        <v>3370</v>
      </c>
      <c r="G1863" s="3" t="s">
        <v>20</v>
      </c>
      <c r="H1863" s="2" t="s">
        <v>28</v>
      </c>
      <c r="I1863" s="2" t="s">
        <v>3980</v>
      </c>
      <c r="J1863" s="3" t="str">
        <f>HYPERLINK("https://www.boe.es/gazeta/dias/1823/12/25/pdfs/GMD-1823-1293.pdf#page=4","Abrir facsímil")</f>
        <v>Abrir facsímil</v>
      </c>
      <c r="K1863" s="3" t="s">
        <v>30</v>
      </c>
    </row>
    <row r="1864" spans="1:11" ht="42" customHeight="1">
      <c r="A1864" s="2" t="s">
        <v>3981</v>
      </c>
      <c r="B1864" s="2" t="s">
        <v>3982</v>
      </c>
      <c r="C1864" s="2" t="s">
        <v>17</v>
      </c>
      <c r="D1864" s="2" t="s">
        <v>18</v>
      </c>
      <c r="E1864" s="5">
        <v>-28001</v>
      </c>
      <c r="F1864" s="3" t="s">
        <v>768</v>
      </c>
      <c r="G1864" s="3" t="s">
        <v>34</v>
      </c>
      <c r="H1864" s="2" t="s">
        <v>28</v>
      </c>
      <c r="I1864" s="2" t="s">
        <v>3983</v>
      </c>
      <c r="J1864" s="3" t="str">
        <f>HYPERLINK("https://www.boe.es/gazeta/dias/1823/05/02/pdfs/GES-1823-22.pdf#page=5","Abrir facsímil")</f>
        <v>Abrir facsímil</v>
      </c>
      <c r="K1864" s="3" t="s">
        <v>30</v>
      </c>
    </row>
    <row r="1865" spans="1:11" ht="42" customHeight="1">
      <c r="A1865" s="2" t="s">
        <v>3984</v>
      </c>
      <c r="B1865" s="2" t="s">
        <v>3985</v>
      </c>
      <c r="C1865" s="2" t="s">
        <v>17</v>
      </c>
      <c r="D1865" s="2" t="s">
        <v>18</v>
      </c>
      <c r="E1865" s="5">
        <v>-28023</v>
      </c>
      <c r="F1865" s="3" t="s">
        <v>384</v>
      </c>
      <c r="G1865" s="3" t="s">
        <v>20</v>
      </c>
      <c r="H1865" s="2" t="s">
        <v>28</v>
      </c>
      <c r="I1865" s="2" t="s">
        <v>3986</v>
      </c>
      <c r="J1865" s="3" t="str">
        <f>HYPERLINK("https://www.boe.es/gazeta/dias/1823/04/10/pdfs/GMD-1823-105.pdf#page=4","Abrir facsímil")</f>
        <v>Abrir facsímil</v>
      </c>
      <c r="K1865" s="3" t="s">
        <v>30</v>
      </c>
    </row>
    <row r="1866" spans="1:11" ht="42" customHeight="1">
      <c r="A1866" s="2" t="s">
        <v>3987</v>
      </c>
      <c r="B1866" s="2" t="s">
        <v>3987</v>
      </c>
      <c r="C1866" s="2" t="s">
        <v>17</v>
      </c>
      <c r="D1866" s="2" t="s">
        <v>18</v>
      </c>
      <c r="E1866" s="5">
        <v>-28061</v>
      </c>
      <c r="F1866" s="3" t="s">
        <v>704</v>
      </c>
      <c r="G1866" s="3" t="s">
        <v>59</v>
      </c>
      <c r="H1866" s="2" t="s">
        <v>21</v>
      </c>
      <c r="I1866" s="2" t="s">
        <v>3988</v>
      </c>
      <c r="J1866" s="3" t="str">
        <f>HYPERLINK("https://www.boe.es/gazeta/dias/1823/03/03/pdfs/GMD-1823-66.pdf#page=6","Abrir facsímil")</f>
        <v>Abrir facsímil</v>
      </c>
      <c r="K1866" s="3" t="s">
        <v>23</v>
      </c>
    </row>
    <row r="1867" spans="1:11" ht="42" customHeight="1">
      <c r="A1867" s="2" t="s">
        <v>3989</v>
      </c>
      <c r="B1867" s="2" t="s">
        <v>3989</v>
      </c>
      <c r="C1867" s="2" t="s">
        <v>73</v>
      </c>
      <c r="D1867" s="2" t="s">
        <v>74</v>
      </c>
      <c r="E1867" s="5">
        <v>-28008</v>
      </c>
      <c r="F1867" s="3" t="s">
        <v>309</v>
      </c>
      <c r="G1867" s="3" t="s">
        <v>20</v>
      </c>
      <c r="H1867" s="2" t="s">
        <v>21</v>
      </c>
      <c r="I1867" s="2" t="s">
        <v>3990</v>
      </c>
      <c r="J1867" s="3" t="str">
        <f>HYPERLINK("https://www.boe.es/gazeta/dias/1823/04/25/pdfs/GES-1823-15.pdf#page=4","Abrir facsímil")</f>
        <v>Abrir facsímil</v>
      </c>
      <c r="K1867" s="3" t="s">
        <v>23</v>
      </c>
    </row>
    <row r="1868" spans="1:11" ht="42" customHeight="1">
      <c r="A1868" s="2" t="s">
        <v>3989</v>
      </c>
      <c r="B1868" s="2" t="s">
        <v>3989</v>
      </c>
      <c r="C1868" s="2" t="s">
        <v>109</v>
      </c>
      <c r="D1868" s="2" t="s">
        <v>74</v>
      </c>
      <c r="E1868" s="5">
        <v>-27985</v>
      </c>
      <c r="F1868" s="3" t="s">
        <v>951</v>
      </c>
      <c r="G1868" s="3" t="s">
        <v>39</v>
      </c>
      <c r="H1868" s="2" t="s">
        <v>21</v>
      </c>
      <c r="I1868" s="2" t="s">
        <v>3991</v>
      </c>
      <c r="J1868" s="3" t="str">
        <f>HYPERLINK("https://www.boe.es/gazeta/dias/1823/05/18/pdfs/GES-1823-38.pdf#page=1","Abrir facsímil")</f>
        <v>Abrir facsímil</v>
      </c>
      <c r="K1868" s="3" t="s">
        <v>23</v>
      </c>
    </row>
    <row r="1869" spans="1:11" ht="42" customHeight="1">
      <c r="A1869" s="2" t="s">
        <v>3989</v>
      </c>
      <c r="B1869" s="2" t="s">
        <v>3989</v>
      </c>
      <c r="C1869" s="2" t="s">
        <v>79</v>
      </c>
      <c r="D1869" s="2" t="s">
        <v>74</v>
      </c>
      <c r="E1869" s="5">
        <v>-27944</v>
      </c>
      <c r="F1869" s="3" t="s">
        <v>2823</v>
      </c>
      <c r="G1869" s="3" t="s">
        <v>39</v>
      </c>
      <c r="H1869" s="2" t="s">
        <v>21</v>
      </c>
      <c r="I1869" s="2" t="s">
        <v>3992</v>
      </c>
      <c r="J1869" s="3" t="str">
        <f>HYPERLINK("https://www.boe.es/gazeta/dias/1823/06/28/pdfs/GES-1823-78.pdf#page=1","Abrir facsímil")</f>
        <v>Abrir facsímil</v>
      </c>
      <c r="K1869" s="3" t="s">
        <v>23</v>
      </c>
    </row>
    <row r="1870" spans="1:11" ht="42" customHeight="1">
      <c r="A1870" s="2" t="s">
        <v>3993</v>
      </c>
      <c r="B1870" s="2" t="s">
        <v>3994</v>
      </c>
      <c r="C1870" s="2" t="s">
        <v>109</v>
      </c>
      <c r="D1870" s="2" t="s">
        <v>74</v>
      </c>
      <c r="E1870" s="5">
        <v>-27773</v>
      </c>
      <c r="F1870" s="3" t="s">
        <v>513</v>
      </c>
      <c r="G1870" s="3" t="s">
        <v>48</v>
      </c>
      <c r="H1870" s="2" t="s">
        <v>21</v>
      </c>
      <c r="I1870" s="2" t="s">
        <v>3995</v>
      </c>
      <c r="J1870" s="3" t="str">
        <f>HYPERLINK("https://www.boe.es/gazeta/dias/1823/12/16/pdfs/GMD-1823-1253.pdf#page=3","Abrir facsímil")</f>
        <v>Abrir facsímil</v>
      </c>
      <c r="K1870" s="3" t="s">
        <v>23</v>
      </c>
    </row>
    <row r="1871" spans="1:11" ht="42" customHeight="1">
      <c r="A1871" s="2" t="s">
        <v>3996</v>
      </c>
      <c r="B1871" s="2" t="s">
        <v>3997</v>
      </c>
      <c r="C1871" s="2" t="s">
        <v>17</v>
      </c>
      <c r="D1871" s="2" t="s">
        <v>18</v>
      </c>
      <c r="E1871" s="5">
        <v>-28104</v>
      </c>
      <c r="F1871" s="3" t="s">
        <v>114</v>
      </c>
      <c r="G1871" s="3" t="s">
        <v>3998</v>
      </c>
      <c r="H1871" s="2" t="s">
        <v>21</v>
      </c>
      <c r="I1871" s="2" t="s">
        <v>3999</v>
      </c>
      <c r="J1871" s="3" t="str">
        <f>HYPERLINK("https://www.boe.es/gazeta/dias/1823/01/19/pdfs/GMD-1823-19.pdf#page=4","Abrir facsímil")</f>
        <v>Abrir facsímil</v>
      </c>
      <c r="K1871" s="3" t="s">
        <v>23</v>
      </c>
    </row>
    <row r="1872" spans="1:11" ht="42" customHeight="1">
      <c r="A1872" s="2" t="s">
        <v>4000</v>
      </c>
      <c r="B1872" s="2" t="s">
        <v>4001</v>
      </c>
      <c r="C1872" s="2" t="s">
        <v>109</v>
      </c>
      <c r="D1872" s="2" t="s">
        <v>74</v>
      </c>
      <c r="E1872" s="5">
        <v>-28056</v>
      </c>
      <c r="F1872" s="3" t="s">
        <v>572</v>
      </c>
      <c r="G1872" s="3" t="s">
        <v>48</v>
      </c>
      <c r="H1872" s="2" t="s">
        <v>21</v>
      </c>
      <c r="I1872" s="2" t="s">
        <v>4002</v>
      </c>
      <c r="J1872" s="3" t="str">
        <f>HYPERLINK("https://www.boe.es/gazeta/dias/1823/03/08/pdfs/GMD-1823-71.pdf#page=3","Abrir facsímil")</f>
        <v>Abrir facsímil</v>
      </c>
      <c r="K1872" s="3" t="s">
        <v>23</v>
      </c>
    </row>
    <row r="1873" spans="1:11" ht="42" customHeight="1">
      <c r="A1873" s="2" t="s">
        <v>4003</v>
      </c>
      <c r="B1873" s="2" t="s">
        <v>4004</v>
      </c>
      <c r="C1873" s="2" t="s">
        <v>73</v>
      </c>
      <c r="D1873" s="2" t="s">
        <v>74</v>
      </c>
      <c r="E1873" s="5">
        <v>-27927</v>
      </c>
      <c r="F1873" s="3" t="s">
        <v>1426</v>
      </c>
      <c r="G1873" s="3" t="s">
        <v>20</v>
      </c>
      <c r="H1873" s="2" t="s">
        <v>21</v>
      </c>
      <c r="I1873" s="2" t="s">
        <v>4005</v>
      </c>
      <c r="J1873" s="3" t="str">
        <f>HYPERLINK("https://www.boe.es/gazeta/dias/1823/07/15/pdfs/GES-1823-95.pdf#page=4","Abrir facsímil")</f>
        <v>Abrir facsímil</v>
      </c>
      <c r="K1873" s="3" t="s">
        <v>23</v>
      </c>
    </row>
    <row r="1874" spans="1:11" ht="42" customHeight="1">
      <c r="A1874" s="2" t="s">
        <v>4006</v>
      </c>
      <c r="B1874" s="2" t="s">
        <v>4007</v>
      </c>
      <c r="C1874" s="2" t="s">
        <v>17</v>
      </c>
      <c r="D1874" s="2" t="s">
        <v>18</v>
      </c>
      <c r="E1874" s="5">
        <v>-27972</v>
      </c>
      <c r="F1874" s="3" t="s">
        <v>1515</v>
      </c>
      <c r="G1874" s="3" t="s">
        <v>39</v>
      </c>
      <c r="H1874" s="2" t="s">
        <v>21</v>
      </c>
      <c r="I1874" s="2" t="s">
        <v>4008</v>
      </c>
      <c r="J1874" s="3" t="str">
        <f>HYPERLINK("https://www.boe.es/gazeta/dias/1823/05/31/pdfs/GMD-1823-33.pdf#page=1","Abrir facsímil")</f>
        <v>Abrir facsímil</v>
      </c>
      <c r="K1874" s="3" t="s">
        <v>23</v>
      </c>
    </row>
    <row r="1875" spans="1:11" ht="42" customHeight="1">
      <c r="A1875" s="2" t="s">
        <v>4009</v>
      </c>
      <c r="B1875" s="2" t="s">
        <v>4010</v>
      </c>
      <c r="C1875" s="2" t="s">
        <v>73</v>
      </c>
      <c r="D1875" s="2" t="s">
        <v>74</v>
      </c>
      <c r="E1875" s="5">
        <v>-27879</v>
      </c>
      <c r="F1875" s="3" t="s">
        <v>638</v>
      </c>
      <c r="G1875" s="3" t="s">
        <v>20</v>
      </c>
      <c r="H1875" s="2" t="s">
        <v>21</v>
      </c>
      <c r="I1875" s="2" t="s">
        <v>4011</v>
      </c>
      <c r="J1875" s="3" t="str">
        <f>HYPERLINK("https://www.boe.es/gazeta/dias/1823/09/01/pdfs/GES-1823-145.pdf#page=4","Abrir facsímil")</f>
        <v>Abrir facsímil</v>
      </c>
      <c r="K1875" s="3" t="s">
        <v>23</v>
      </c>
    </row>
    <row r="1876" spans="1:11" ht="42" customHeight="1">
      <c r="A1876" s="2" t="s">
        <v>4012</v>
      </c>
      <c r="B1876" s="2" t="s">
        <v>4013</v>
      </c>
      <c r="C1876" s="2" t="s">
        <v>17</v>
      </c>
      <c r="D1876" s="2" t="s">
        <v>18</v>
      </c>
      <c r="E1876" s="5">
        <v>-28080</v>
      </c>
      <c r="F1876" s="3" t="s">
        <v>1010</v>
      </c>
      <c r="G1876" s="3" t="s">
        <v>48</v>
      </c>
      <c r="H1876" s="2" t="s">
        <v>21</v>
      </c>
      <c r="I1876" s="2" t="s">
        <v>4014</v>
      </c>
      <c r="J1876" s="3" t="str">
        <f>HYPERLINK("https://www.boe.es/gazeta/dias/1823/02/12/pdfs/GMD-1823-46.pdf#page=3","Abrir facsímil")</f>
        <v>Abrir facsímil</v>
      </c>
      <c r="K1876" s="3" t="s">
        <v>23</v>
      </c>
    </row>
    <row r="1877" spans="1:11" ht="42" customHeight="1">
      <c r="A1877" s="2" t="s">
        <v>4015</v>
      </c>
      <c r="B1877" s="2" t="s">
        <v>4016</v>
      </c>
      <c r="C1877" s="2" t="s">
        <v>17</v>
      </c>
      <c r="D1877" s="2" t="s">
        <v>18</v>
      </c>
      <c r="E1877" s="5">
        <v>-28101</v>
      </c>
      <c r="F1877" s="3" t="s">
        <v>1041</v>
      </c>
      <c r="G1877" s="3" t="s">
        <v>27</v>
      </c>
      <c r="H1877" s="2" t="s">
        <v>21</v>
      </c>
      <c r="I1877" s="2" t="s">
        <v>4017</v>
      </c>
      <c r="J1877" s="3" t="str">
        <f>HYPERLINK("https://www.boe.es/gazeta/dias/1823/01/22/pdfs/GMD-1823-23.pdf#page=2","Abrir facsímil")</f>
        <v>Abrir facsímil</v>
      </c>
      <c r="K1877" s="3" t="s">
        <v>23</v>
      </c>
    </row>
    <row r="1878" spans="1:11" ht="42" customHeight="1">
      <c r="A1878" s="2" t="s">
        <v>4018</v>
      </c>
      <c r="B1878" s="2" t="s">
        <v>4019</v>
      </c>
      <c r="C1878" s="2" t="s">
        <v>17</v>
      </c>
      <c r="D1878" s="2" t="s">
        <v>18</v>
      </c>
      <c r="E1878" s="5">
        <v>-27930</v>
      </c>
      <c r="F1878" s="3" t="s">
        <v>2334</v>
      </c>
      <c r="G1878" s="3" t="s">
        <v>20</v>
      </c>
      <c r="H1878" s="2" t="s">
        <v>21</v>
      </c>
      <c r="I1878" s="2" t="s">
        <v>4020</v>
      </c>
      <c r="J1878" s="3" t="str">
        <f>HYPERLINK("https://www.boe.es/gazeta/dias/1823/07/12/pdfs/GES-1823-92.pdf#page=4","Abrir facsímil")</f>
        <v>Abrir facsímil</v>
      </c>
      <c r="K1878" s="3" t="s">
        <v>23</v>
      </c>
    </row>
    <row r="1879" spans="1:11" ht="42" customHeight="1">
      <c r="A1879" s="2" t="s">
        <v>4021</v>
      </c>
      <c r="B1879" s="2" t="s">
        <v>4022</v>
      </c>
      <c r="C1879" s="2" t="s">
        <v>79</v>
      </c>
      <c r="D1879" s="2" t="s">
        <v>74</v>
      </c>
      <c r="E1879" s="5">
        <v>-27783</v>
      </c>
      <c r="F1879" s="3" t="s">
        <v>941</v>
      </c>
      <c r="G1879" s="3" t="s">
        <v>39</v>
      </c>
      <c r="H1879" s="2" t="s">
        <v>21</v>
      </c>
      <c r="I1879" s="2" t="s">
        <v>4023</v>
      </c>
      <c r="J1879" s="3" t="str">
        <f>HYPERLINK("https://www.boe.es/gazeta/dias/1823/12/06/pdfs/GMD-1823-1213.pdf#page=1","Abrir facsímil")</f>
        <v>Abrir facsímil</v>
      </c>
      <c r="K1879" s="3" t="s">
        <v>23</v>
      </c>
    </row>
    <row r="1880" spans="1:11" ht="42" customHeight="1">
      <c r="A1880" s="2" t="s">
        <v>4024</v>
      </c>
      <c r="B1880" s="2" t="s">
        <v>4025</v>
      </c>
      <c r="C1880" s="2" t="s">
        <v>17</v>
      </c>
      <c r="D1880" s="2" t="s">
        <v>18</v>
      </c>
      <c r="E1880" s="5">
        <v>-27962</v>
      </c>
      <c r="F1880" s="3" t="s">
        <v>594</v>
      </c>
      <c r="G1880" s="3" t="s">
        <v>39</v>
      </c>
      <c r="H1880" s="2" t="s">
        <v>21</v>
      </c>
      <c r="I1880" s="2" t="s">
        <v>4026</v>
      </c>
      <c r="J1880" s="3" t="str">
        <f>HYPERLINK("https://www.boe.es/gazeta/dias/1823/06/10/pdfs/GES-1823-64.pdf#page=1","Abrir facsímil")</f>
        <v>Abrir facsímil</v>
      </c>
      <c r="K1880" s="3" t="s">
        <v>23</v>
      </c>
    </row>
    <row r="1881" spans="1:11" ht="42" customHeight="1">
      <c r="A1881" s="2" t="s">
        <v>4027</v>
      </c>
      <c r="B1881" s="2" t="s">
        <v>4028</v>
      </c>
      <c r="C1881" s="2" t="s">
        <v>109</v>
      </c>
      <c r="D1881" s="2" t="s">
        <v>74</v>
      </c>
      <c r="E1881" s="5">
        <v>-28037</v>
      </c>
      <c r="F1881" s="3" t="s">
        <v>192</v>
      </c>
      <c r="G1881" s="3" t="s">
        <v>48</v>
      </c>
      <c r="H1881" s="2" t="s">
        <v>21</v>
      </c>
      <c r="I1881" s="2" t="s">
        <v>4029</v>
      </c>
      <c r="J1881" s="3" t="str">
        <f>HYPERLINK("https://www.boe.es/gazeta/dias/1823/03/27/pdfs/GMD-1823-90.pdf#page=3","Abrir facsímil")</f>
        <v>Abrir facsímil</v>
      </c>
      <c r="K1881" s="3" t="s">
        <v>23</v>
      </c>
    </row>
    <row r="1882" spans="1:11" ht="42" customHeight="1">
      <c r="A1882" s="2" t="s">
        <v>4030</v>
      </c>
      <c r="B1882" s="2" t="s">
        <v>4030</v>
      </c>
      <c r="C1882" s="2" t="s">
        <v>73</v>
      </c>
      <c r="D1882" s="2" t="s">
        <v>74</v>
      </c>
      <c r="E1882" s="5">
        <v>-27902</v>
      </c>
      <c r="F1882" s="3" t="s">
        <v>221</v>
      </c>
      <c r="G1882" s="3" t="s">
        <v>27</v>
      </c>
      <c r="H1882" s="2" t="s">
        <v>21</v>
      </c>
      <c r="I1882" s="2" t="s">
        <v>4031</v>
      </c>
      <c r="J1882" s="3" t="str">
        <f>HYPERLINK("https://www.boe.es/gazeta/dias/1823/08/09/pdfs/GES-1823-122.pdf#page=2","Abrir facsímil")</f>
        <v>Abrir facsímil</v>
      </c>
      <c r="K1882" s="3" t="s">
        <v>23</v>
      </c>
    </row>
    <row r="1883" spans="1:11" ht="42" customHeight="1">
      <c r="A1883" s="2" t="s">
        <v>4032</v>
      </c>
      <c r="B1883" s="2" t="s">
        <v>4033</v>
      </c>
      <c r="C1883" s="2" t="s">
        <v>17</v>
      </c>
      <c r="D1883" s="2" t="s">
        <v>18</v>
      </c>
      <c r="E1883" s="5">
        <v>-27911</v>
      </c>
      <c r="F1883" s="3" t="s">
        <v>1393</v>
      </c>
      <c r="G1883" s="3" t="s">
        <v>20</v>
      </c>
      <c r="H1883" s="2" t="s">
        <v>21</v>
      </c>
      <c r="I1883" s="2" t="s">
        <v>4034</v>
      </c>
      <c r="J1883" s="3" t="str">
        <f>HYPERLINK("https://www.boe.es/gazeta/dias/1823/07/31/pdfs/GMD-1823-503.pdf#page=4","Abrir facsímil")</f>
        <v>Abrir facsímil</v>
      </c>
      <c r="K1883" s="3" t="s">
        <v>23</v>
      </c>
    </row>
    <row r="1884" spans="1:11" ht="42" customHeight="1">
      <c r="A1884" s="2" t="s">
        <v>4035</v>
      </c>
      <c r="B1884" s="2" t="s">
        <v>4036</v>
      </c>
      <c r="C1884" s="2" t="s">
        <v>79</v>
      </c>
      <c r="D1884" s="2" t="s">
        <v>74</v>
      </c>
      <c r="E1884" s="5">
        <v>-28055</v>
      </c>
      <c r="F1884" s="3" t="s">
        <v>313</v>
      </c>
      <c r="G1884" s="3" t="s">
        <v>48</v>
      </c>
      <c r="H1884" s="2" t="s">
        <v>21</v>
      </c>
      <c r="I1884" s="2" t="s">
        <v>4037</v>
      </c>
      <c r="J1884" s="3" t="str">
        <f>HYPERLINK("https://www.boe.es/gazeta/dias/1823/03/09/pdfs/GMD-1823-72.pdf#page=3","Abrir facsímil")</f>
        <v>Abrir facsímil</v>
      </c>
      <c r="K1884" s="3" t="s">
        <v>23</v>
      </c>
    </row>
    <row r="1885" spans="1:11" ht="42" customHeight="1">
      <c r="A1885" s="2" t="s">
        <v>4038</v>
      </c>
      <c r="B1885" s="2" t="s">
        <v>4039</v>
      </c>
      <c r="C1885" s="2" t="s">
        <v>56</v>
      </c>
      <c r="D1885" s="2" t="s">
        <v>57</v>
      </c>
      <c r="E1885" s="5">
        <v>-28077</v>
      </c>
      <c r="F1885" s="3" t="s">
        <v>536</v>
      </c>
      <c r="G1885" s="3" t="s">
        <v>59</v>
      </c>
      <c r="H1885" s="2" t="s">
        <v>21</v>
      </c>
      <c r="I1885" s="2" t="s">
        <v>4040</v>
      </c>
      <c r="J1885" s="3" t="str">
        <f>HYPERLINK("https://www.boe.es/gazeta/dias/1823/02/15/pdfs/GMD-1823-49.pdf#page=6","Abrir facsímil")</f>
        <v>Abrir facsímil</v>
      </c>
      <c r="K1885" s="3" t="s">
        <v>23</v>
      </c>
    </row>
    <row r="1886" spans="1:11" ht="42" customHeight="1">
      <c r="A1886" s="2" t="s">
        <v>4041</v>
      </c>
      <c r="B1886" s="2" t="s">
        <v>4042</v>
      </c>
      <c r="C1886" s="2" t="s">
        <v>73</v>
      </c>
      <c r="D1886" s="2" t="s">
        <v>74</v>
      </c>
      <c r="E1886" s="5">
        <v>-28078</v>
      </c>
      <c r="F1886" s="3" t="s">
        <v>508</v>
      </c>
      <c r="G1886" s="3" t="s">
        <v>59</v>
      </c>
      <c r="H1886" s="2" t="s">
        <v>21</v>
      </c>
      <c r="I1886" s="2" t="s">
        <v>4043</v>
      </c>
      <c r="J1886" s="3" t="str">
        <f>HYPERLINK("https://www.boe.es/gazeta/dias/1823/02/14/pdfs/GMD-1823-48.pdf#page=6","Abrir facsímil")</f>
        <v>Abrir facsímil</v>
      </c>
      <c r="K1886" s="3" t="s">
        <v>23</v>
      </c>
    </row>
    <row r="1887" spans="1:11" ht="42" customHeight="1">
      <c r="A1887" s="2" t="s">
        <v>4044</v>
      </c>
      <c r="B1887" s="2" t="s">
        <v>4044</v>
      </c>
      <c r="C1887" s="2" t="s">
        <v>17</v>
      </c>
      <c r="D1887" s="2" t="s">
        <v>18</v>
      </c>
      <c r="E1887" s="5">
        <v>-28082</v>
      </c>
      <c r="F1887" s="3" t="s">
        <v>468</v>
      </c>
      <c r="G1887" s="3" t="s">
        <v>34</v>
      </c>
      <c r="H1887" s="2" t="s">
        <v>21</v>
      </c>
      <c r="I1887" s="2" t="s">
        <v>4045</v>
      </c>
      <c r="J1887" s="3" t="str">
        <f>HYPERLINK("https://www.boe.es/gazeta/dias/1823/02/10/pdfs/GMD-1823-44.pdf#page=5","Abrir facsímil")</f>
        <v>Abrir facsímil</v>
      </c>
      <c r="K1887" s="3" t="s">
        <v>23</v>
      </c>
    </row>
    <row r="1888" spans="1:11" ht="42" customHeight="1">
      <c r="A1888" s="2" t="s">
        <v>4046</v>
      </c>
      <c r="B1888" s="2" t="s">
        <v>4047</v>
      </c>
      <c r="C1888" s="2" t="s">
        <v>17</v>
      </c>
      <c r="D1888" s="2" t="s">
        <v>18</v>
      </c>
      <c r="E1888" s="5">
        <v>-28083</v>
      </c>
      <c r="F1888" s="3" t="s">
        <v>291</v>
      </c>
      <c r="G1888" s="3" t="s">
        <v>59</v>
      </c>
      <c r="H1888" s="2" t="s">
        <v>21</v>
      </c>
      <c r="I1888" s="2" t="s">
        <v>4048</v>
      </c>
      <c r="J1888" s="3" t="str">
        <f>HYPERLINK("https://www.boe.es/gazeta/dias/1823/02/09/pdfs/GMD-1823-43.pdf#page=6","Abrir facsímil")</f>
        <v>Abrir facsímil</v>
      </c>
      <c r="K1888" s="3" t="s">
        <v>23</v>
      </c>
    </row>
    <row r="1889" spans="1:11" ht="42" customHeight="1">
      <c r="A1889" s="2" t="s">
        <v>4049</v>
      </c>
      <c r="B1889" s="2" t="s">
        <v>4050</v>
      </c>
      <c r="C1889" s="2" t="s">
        <v>56</v>
      </c>
      <c r="D1889" s="2" t="s">
        <v>57</v>
      </c>
      <c r="E1889" s="5">
        <v>-27968</v>
      </c>
      <c r="F1889" s="3" t="s">
        <v>1160</v>
      </c>
      <c r="G1889" s="3" t="s">
        <v>715</v>
      </c>
      <c r="H1889" s="2" t="s">
        <v>21</v>
      </c>
      <c r="I1889" s="2" t="s">
        <v>4051</v>
      </c>
      <c r="J1889" s="3" t="str">
        <f>HYPERLINK("https://www.boe.es/gazeta/dias/1823/06/04/pdfs/GES-1823-58.pdf#page=8","Abrir facsímil")</f>
        <v>Abrir facsímil</v>
      </c>
      <c r="K1889" s="3" t="s">
        <v>23</v>
      </c>
    </row>
    <row r="1890" spans="1:11" ht="42" customHeight="1">
      <c r="A1890" s="2" t="s">
        <v>4052</v>
      </c>
      <c r="B1890" s="2" t="s">
        <v>4053</v>
      </c>
      <c r="C1890" s="2" t="s">
        <v>79</v>
      </c>
      <c r="D1890" s="2" t="s">
        <v>74</v>
      </c>
      <c r="E1890" s="5">
        <v>-28001</v>
      </c>
      <c r="F1890" s="3" t="s">
        <v>768</v>
      </c>
      <c r="G1890" s="3" t="s">
        <v>34</v>
      </c>
      <c r="H1890" s="2" t="s">
        <v>21</v>
      </c>
      <c r="I1890" s="2" t="s">
        <v>4054</v>
      </c>
      <c r="J1890" s="3" t="str">
        <f>HYPERLINK("https://www.boe.es/gazeta/dias/1823/05/02/pdfs/GES-1823-22.pdf#page=5","Abrir facsímil")</f>
        <v>Abrir facsímil</v>
      </c>
      <c r="K1890" s="3" t="s">
        <v>23</v>
      </c>
    </row>
    <row r="1891" spans="1:11" ht="42" customHeight="1">
      <c r="A1891" s="2" t="s">
        <v>4055</v>
      </c>
      <c r="B1891" s="2" t="s">
        <v>4056</v>
      </c>
      <c r="C1891" s="2" t="s">
        <v>79</v>
      </c>
      <c r="D1891" s="2" t="s">
        <v>74</v>
      </c>
      <c r="E1891" s="5">
        <v>-28004</v>
      </c>
      <c r="F1891" s="3" t="s">
        <v>313</v>
      </c>
      <c r="G1891" s="3" t="s">
        <v>27</v>
      </c>
      <c r="H1891" s="2" t="s">
        <v>21</v>
      </c>
      <c r="I1891" s="2" t="s">
        <v>4057</v>
      </c>
      <c r="J1891" s="3" t="str">
        <f>HYPERLINK("https://www.boe.es/gazeta/dias/1823/04/29/pdfs/GMD-1823-72.pdf#page=2","Abrir facsímil")</f>
        <v>Abrir facsímil</v>
      </c>
      <c r="K1891" s="3" t="s">
        <v>23</v>
      </c>
    </row>
    <row r="1892" spans="1:11" ht="42" customHeight="1">
      <c r="A1892" s="2" t="s">
        <v>4058</v>
      </c>
      <c r="B1892" s="2" t="s">
        <v>4059</v>
      </c>
      <c r="C1892" s="2" t="s">
        <v>84</v>
      </c>
      <c r="D1892" s="2" t="s">
        <v>74</v>
      </c>
      <c r="E1892" s="5">
        <v>-28058</v>
      </c>
      <c r="F1892" s="3" t="s">
        <v>1282</v>
      </c>
      <c r="G1892" s="3" t="s">
        <v>59</v>
      </c>
      <c r="H1892" s="2" t="s">
        <v>21</v>
      </c>
      <c r="I1892" s="2" t="s">
        <v>4060</v>
      </c>
      <c r="J1892" s="3" t="str">
        <f>HYPERLINK("https://www.boe.es/gazeta/dias/1823/03/06/pdfs/GMD-1823-69.pdf#page=6","Abrir facsímil")</f>
        <v>Abrir facsímil</v>
      </c>
      <c r="K1892" s="3" t="s">
        <v>23</v>
      </c>
    </row>
    <row r="1893" spans="1:11" ht="42" customHeight="1">
      <c r="A1893" s="2" t="s">
        <v>4058</v>
      </c>
      <c r="B1893" s="2" t="s">
        <v>4059</v>
      </c>
      <c r="C1893" s="2" t="s">
        <v>17</v>
      </c>
      <c r="D1893" s="2" t="s">
        <v>18</v>
      </c>
      <c r="E1893" s="5">
        <v>-28009</v>
      </c>
      <c r="F1893" s="3" t="s">
        <v>212</v>
      </c>
      <c r="G1893" s="3" t="s">
        <v>20</v>
      </c>
      <c r="H1893" s="2" t="s">
        <v>21</v>
      </c>
      <c r="I1893" s="2" t="s">
        <v>4061</v>
      </c>
      <c r="J1893" s="3" t="str">
        <f>HYPERLINK("https://www.boe.es/gazeta/dias/1823/04/24/pdfs/GMD-1823-52.pdf#page=4","Abrir facsímil")</f>
        <v>Abrir facsímil</v>
      </c>
      <c r="K1893" s="3" t="s">
        <v>23</v>
      </c>
    </row>
    <row r="1894" spans="1:11" ht="42" customHeight="1">
      <c r="A1894" s="2" t="s">
        <v>4062</v>
      </c>
      <c r="B1894" s="2" t="s">
        <v>4063</v>
      </c>
      <c r="C1894" s="2" t="s">
        <v>109</v>
      </c>
      <c r="D1894" s="2" t="s">
        <v>74</v>
      </c>
      <c r="E1894" s="5">
        <v>-27891</v>
      </c>
      <c r="F1894" s="3" t="s">
        <v>825</v>
      </c>
      <c r="G1894" s="3" t="s">
        <v>20</v>
      </c>
      <c r="H1894" s="2" t="s">
        <v>21</v>
      </c>
      <c r="I1894" s="2" t="s">
        <v>4064</v>
      </c>
      <c r="J1894" s="3" t="str">
        <f>HYPERLINK("https://www.boe.es/gazeta/dias/1823/08/20/pdfs/GES-1823-133.pdf#page=4","Abrir facsímil")</f>
        <v>Abrir facsímil</v>
      </c>
      <c r="K1894" s="3" t="s">
        <v>23</v>
      </c>
    </row>
    <row r="1895" spans="1:11" ht="42" customHeight="1">
      <c r="A1895" s="2" t="s">
        <v>4065</v>
      </c>
      <c r="B1895" s="2" t="s">
        <v>4066</v>
      </c>
      <c r="C1895" s="2" t="s">
        <v>56</v>
      </c>
      <c r="D1895" s="2" t="s">
        <v>57</v>
      </c>
      <c r="E1895" s="5">
        <v>-28019</v>
      </c>
      <c r="F1895" s="3" t="s">
        <v>1663</v>
      </c>
      <c r="G1895" s="3" t="s">
        <v>48</v>
      </c>
      <c r="H1895" s="2" t="s">
        <v>21</v>
      </c>
      <c r="I1895" s="2" t="s">
        <v>4067</v>
      </c>
      <c r="J1895" s="3" t="str">
        <f>HYPERLINK("https://www.boe.es/gazeta/dias/1823/04/14/pdfs/GES-1823-4.pdf#page=3","Abrir facsímil")</f>
        <v>Abrir facsímil</v>
      </c>
      <c r="K1895" s="3" t="s">
        <v>23</v>
      </c>
    </row>
    <row r="1896" spans="1:11" ht="42" customHeight="1">
      <c r="A1896" s="2" t="s">
        <v>4068</v>
      </c>
      <c r="B1896" s="2" t="s">
        <v>4068</v>
      </c>
      <c r="C1896" s="2" t="s">
        <v>56</v>
      </c>
      <c r="D1896" s="2" t="s">
        <v>57</v>
      </c>
      <c r="E1896" s="5">
        <v>-27836</v>
      </c>
      <c r="F1896" s="3" t="s">
        <v>4069</v>
      </c>
      <c r="G1896" s="3" t="s">
        <v>48</v>
      </c>
      <c r="H1896" s="2" t="s">
        <v>21</v>
      </c>
      <c r="I1896" s="2" t="s">
        <v>4070</v>
      </c>
      <c r="J1896" s="3" t="str">
        <f>HYPERLINK("https://www.boe.es/gazeta/dias/1823/10/14/pdfs/GMD-1823-973.pdf#page=3","Abrir facsímil")</f>
        <v>Abrir facsímil</v>
      </c>
      <c r="K1896" s="3" t="s">
        <v>23</v>
      </c>
    </row>
    <row r="1897" spans="1:11" ht="42" customHeight="1">
      <c r="A1897" s="2" t="s">
        <v>4071</v>
      </c>
      <c r="B1897" s="2" t="s">
        <v>4072</v>
      </c>
      <c r="C1897" s="2" t="s">
        <v>56</v>
      </c>
      <c r="D1897" s="2" t="s">
        <v>57</v>
      </c>
      <c r="E1897" s="5">
        <v>-27832</v>
      </c>
      <c r="F1897" s="3" t="s">
        <v>1815</v>
      </c>
      <c r="G1897" s="3" t="s">
        <v>27</v>
      </c>
      <c r="H1897" s="2" t="s">
        <v>21</v>
      </c>
      <c r="I1897" s="2" t="s">
        <v>4073</v>
      </c>
      <c r="J1897" s="3" t="str">
        <f>HYPERLINK("https://www.boe.es/gazeta/dias/1823/10/18/pdfs/GMD-1823-993.pdf#page=2","Abrir facsímil")</f>
        <v>Abrir facsímil</v>
      </c>
      <c r="K1897" s="3" t="s">
        <v>23</v>
      </c>
    </row>
    <row r="1898" spans="1:11" ht="42" customHeight="1">
      <c r="A1898" s="2" t="s">
        <v>4074</v>
      </c>
      <c r="B1898" s="2" t="s">
        <v>4074</v>
      </c>
      <c r="C1898" s="2" t="s">
        <v>109</v>
      </c>
      <c r="D1898" s="2" t="s">
        <v>74</v>
      </c>
      <c r="E1898" s="5">
        <v>-28000</v>
      </c>
      <c r="F1898" s="3" t="s">
        <v>1118</v>
      </c>
      <c r="G1898" s="3" t="s">
        <v>20</v>
      </c>
      <c r="H1898" s="2" t="s">
        <v>21</v>
      </c>
      <c r="I1898" s="2" t="s">
        <v>4075</v>
      </c>
      <c r="J1898" s="3" t="str">
        <f>HYPERLINK("https://www.boe.es/gazeta/dias/1823/05/03/pdfs/GES-1823-23.pdf#page=4","Abrir facsímil")</f>
        <v>Abrir facsímil</v>
      </c>
      <c r="K1898" s="3" t="s">
        <v>23</v>
      </c>
    </row>
    <row r="1899" spans="1:11" ht="42" customHeight="1">
      <c r="A1899" s="2" t="s">
        <v>4076</v>
      </c>
      <c r="B1899" s="2" t="s">
        <v>4077</v>
      </c>
      <c r="C1899" s="2" t="s">
        <v>17</v>
      </c>
      <c r="D1899" s="2" t="s">
        <v>18</v>
      </c>
      <c r="E1899" s="5">
        <v>-28028</v>
      </c>
      <c r="F1899" s="3" t="s">
        <v>893</v>
      </c>
      <c r="G1899" s="3" t="s">
        <v>27</v>
      </c>
      <c r="H1899" s="2" t="s">
        <v>21</v>
      </c>
      <c r="I1899" s="2" t="s">
        <v>4078</v>
      </c>
      <c r="J1899" s="3" t="str">
        <f>HYPERLINK("https://www.boe.es/gazeta/dias/1823/04/05/pdfs/GMD-1823-99.pdf#page=2","Abrir facsímil")</f>
        <v>Abrir facsímil</v>
      </c>
      <c r="K1899" s="3" t="s">
        <v>23</v>
      </c>
    </row>
    <row r="1900" spans="1:11" ht="42" customHeight="1">
      <c r="A1900" s="2" t="s">
        <v>4079</v>
      </c>
      <c r="B1900" s="2" t="s">
        <v>4080</v>
      </c>
      <c r="C1900" s="2" t="s">
        <v>17</v>
      </c>
      <c r="D1900" s="2" t="s">
        <v>18</v>
      </c>
      <c r="E1900" s="5">
        <v>-28076</v>
      </c>
      <c r="F1900" s="3" t="s">
        <v>1638</v>
      </c>
      <c r="G1900" s="3" t="s">
        <v>59</v>
      </c>
      <c r="H1900" s="2" t="s">
        <v>21</v>
      </c>
      <c r="I1900" s="2" t="s">
        <v>4081</v>
      </c>
      <c r="J1900" s="3" t="str">
        <f>HYPERLINK("https://www.boe.es/gazeta/dias/1823/02/16/pdfs/GMD-1823-50.pdf#page=6","Abrir facsímil")</f>
        <v>Abrir facsímil</v>
      </c>
      <c r="K1900" s="3" t="s">
        <v>23</v>
      </c>
    </row>
    <row r="1901" spans="1:11" ht="42" customHeight="1">
      <c r="A1901" s="2" t="s">
        <v>4082</v>
      </c>
      <c r="B1901" s="2" t="s">
        <v>4082</v>
      </c>
      <c r="C1901" s="2" t="s">
        <v>17</v>
      </c>
      <c r="D1901" s="2" t="s">
        <v>18</v>
      </c>
      <c r="E1901" s="5">
        <v>-27991</v>
      </c>
      <c r="F1901" s="3" t="s">
        <v>328</v>
      </c>
      <c r="G1901" s="3" t="s">
        <v>34</v>
      </c>
      <c r="H1901" s="2" t="s">
        <v>21</v>
      </c>
      <c r="I1901" s="2" t="s">
        <v>4083</v>
      </c>
      <c r="J1901" s="3" t="str">
        <f>HYPERLINK("https://www.boe.es/gazeta/dias/1823/05/12/pdfs/GES-1823-32.pdf#page=5","Abrir facsímil")</f>
        <v>Abrir facsímil</v>
      </c>
      <c r="K1901" s="3" t="s">
        <v>23</v>
      </c>
    </row>
    <row r="1902" spans="1:11" ht="42" customHeight="1">
      <c r="A1902" s="2" t="s">
        <v>4084</v>
      </c>
      <c r="B1902" s="2" t="s">
        <v>4085</v>
      </c>
      <c r="C1902" s="2" t="s">
        <v>109</v>
      </c>
      <c r="D1902" s="2" t="s">
        <v>74</v>
      </c>
      <c r="E1902" s="5">
        <v>-27982</v>
      </c>
      <c r="F1902" s="3" t="s">
        <v>340</v>
      </c>
      <c r="G1902" s="3" t="s">
        <v>27</v>
      </c>
      <c r="H1902" s="2" t="s">
        <v>21</v>
      </c>
      <c r="I1902" s="2" t="s">
        <v>4086</v>
      </c>
      <c r="J1902" s="3" t="str">
        <f>HYPERLINK("https://www.boe.es/gazeta/dias/1823/05/21/pdfs/GES-1823-42.pdf#page=2","Abrir facsímil")</f>
        <v>Abrir facsímil</v>
      </c>
      <c r="K1902" s="3" t="s">
        <v>23</v>
      </c>
    </row>
    <row r="1903" spans="1:11" ht="42" customHeight="1">
      <c r="A1903" s="2" t="s">
        <v>4087</v>
      </c>
      <c r="B1903" s="2" t="s">
        <v>4088</v>
      </c>
      <c r="C1903" s="2" t="s">
        <v>17</v>
      </c>
      <c r="D1903" s="2" t="s">
        <v>18</v>
      </c>
      <c r="E1903" s="5">
        <v>-28044</v>
      </c>
      <c r="F1903" s="3" t="s">
        <v>1930</v>
      </c>
      <c r="G1903" s="3" t="s">
        <v>20</v>
      </c>
      <c r="H1903" s="2" t="s">
        <v>21</v>
      </c>
      <c r="I1903" s="2" t="s">
        <v>4089</v>
      </c>
      <c r="J1903" s="3" t="str">
        <f>HYPERLINK("https://www.boe.es/gazeta/dias/1823/03/20/pdfs/GMD-1823-83.pdf#page=4","Abrir facsímil")</f>
        <v>Abrir facsímil</v>
      </c>
      <c r="K1903" s="3" t="s">
        <v>23</v>
      </c>
    </row>
    <row r="1904" spans="1:11" ht="42" customHeight="1">
      <c r="A1904" s="2" t="s">
        <v>4090</v>
      </c>
      <c r="B1904" s="2" t="s">
        <v>4090</v>
      </c>
      <c r="C1904" s="2" t="s">
        <v>17</v>
      </c>
      <c r="D1904" s="2" t="s">
        <v>18</v>
      </c>
      <c r="E1904" s="5">
        <v>-28014</v>
      </c>
      <c r="F1904" s="3" t="s">
        <v>2805</v>
      </c>
      <c r="G1904" s="3" t="s">
        <v>48</v>
      </c>
      <c r="H1904" s="2" t="s">
        <v>21</v>
      </c>
      <c r="I1904" s="2" t="s">
        <v>4091</v>
      </c>
      <c r="J1904" s="3" t="str">
        <f>HYPERLINK("https://www.boe.es/gazeta/dias/1823/04/19/pdfs/GES-1823-9.pdf#page=3","Abrir facsímil")</f>
        <v>Abrir facsímil</v>
      </c>
      <c r="K1904" s="3" t="s">
        <v>23</v>
      </c>
    </row>
    <row r="1905" spans="1:11" ht="42" customHeight="1">
      <c r="A1905" s="2" t="s">
        <v>4092</v>
      </c>
      <c r="B1905" s="2" t="s">
        <v>4092</v>
      </c>
      <c r="C1905" s="2" t="s">
        <v>17</v>
      </c>
      <c r="D1905" s="2" t="s">
        <v>18</v>
      </c>
      <c r="E1905" s="5">
        <v>-28018</v>
      </c>
      <c r="F1905" s="3" t="s">
        <v>2613</v>
      </c>
      <c r="G1905" s="3" t="s">
        <v>4093</v>
      </c>
      <c r="H1905" s="2" t="s">
        <v>21</v>
      </c>
      <c r="I1905" s="2" t="s">
        <v>4094</v>
      </c>
      <c r="J1905" s="3" t="str">
        <f>HYPERLINK("https://www.boe.es/gazeta/dias/1823/04/15/pdfs/GES-1823-5.pdf#page=6","Abrir facsímil")</f>
        <v>Abrir facsímil</v>
      </c>
      <c r="K1905" s="3" t="s">
        <v>23</v>
      </c>
    </row>
    <row r="1906" spans="1:11" ht="42" customHeight="1">
      <c r="A1906" s="2" t="s">
        <v>4095</v>
      </c>
      <c r="B1906" s="2" t="s">
        <v>4096</v>
      </c>
      <c r="C1906" s="2" t="s">
        <v>17</v>
      </c>
      <c r="D1906" s="2" t="s">
        <v>18</v>
      </c>
      <c r="E1906" s="5">
        <v>-27967</v>
      </c>
      <c r="F1906" s="3" t="s">
        <v>412</v>
      </c>
      <c r="G1906" s="3" t="s">
        <v>27</v>
      </c>
      <c r="H1906" s="2" t="s">
        <v>21</v>
      </c>
      <c r="I1906" s="2" t="s">
        <v>4097</v>
      </c>
      <c r="J1906" s="3" t="str">
        <f>HYPERLINK("https://www.boe.es/gazeta/dias/1823/06/05/pdfs/GES-1823-59.pdf#page=2","Abrir facsímil")</f>
        <v>Abrir facsímil</v>
      </c>
      <c r="K1906" s="3" t="s">
        <v>23</v>
      </c>
    </row>
    <row r="1907" spans="1:11" ht="42" customHeight="1">
      <c r="A1907" s="2" t="s">
        <v>4098</v>
      </c>
      <c r="B1907" s="2" t="s">
        <v>4099</v>
      </c>
      <c r="C1907" s="2" t="s">
        <v>17</v>
      </c>
      <c r="D1907" s="2" t="s">
        <v>18</v>
      </c>
      <c r="E1907" s="5">
        <v>-27877</v>
      </c>
      <c r="F1907" s="3" t="s">
        <v>844</v>
      </c>
      <c r="G1907" s="3" t="s">
        <v>48</v>
      </c>
      <c r="H1907" s="2" t="s">
        <v>21</v>
      </c>
      <c r="I1907" s="2" t="s">
        <v>4100</v>
      </c>
      <c r="J1907" s="3" t="str">
        <f>HYPERLINK("https://www.boe.es/gazeta/dias/1823/09/03/pdfs/GES-1823-147.pdf#page=3","Abrir facsímil")</f>
        <v>Abrir facsímil</v>
      </c>
      <c r="K1907" s="3" t="s">
        <v>23</v>
      </c>
    </row>
    <row r="1908" spans="1:11" ht="42" customHeight="1">
      <c r="A1908" s="2" t="s">
        <v>4098</v>
      </c>
      <c r="B1908" s="2" t="s">
        <v>4099</v>
      </c>
      <c r="C1908" s="2" t="s">
        <v>17</v>
      </c>
      <c r="D1908" s="2" t="s">
        <v>18</v>
      </c>
      <c r="E1908" s="5">
        <v>-27877</v>
      </c>
      <c r="F1908" s="3" t="s">
        <v>844</v>
      </c>
      <c r="G1908" s="3" t="s">
        <v>20</v>
      </c>
      <c r="H1908" s="2" t="s">
        <v>21</v>
      </c>
      <c r="I1908" s="2" t="s">
        <v>4101</v>
      </c>
      <c r="J1908" s="3" t="str">
        <f>HYPERLINK("https://www.boe.es/gazeta/dias/1823/09/03/pdfs/GES-1823-147.pdf#page=4","Abrir facsímil")</f>
        <v>Abrir facsímil</v>
      </c>
      <c r="K1908" s="3" t="s">
        <v>23</v>
      </c>
    </row>
    <row r="1909" spans="1:11" ht="42" customHeight="1">
      <c r="A1909" s="2" t="s">
        <v>4102</v>
      </c>
      <c r="B1909" s="2" t="s">
        <v>4103</v>
      </c>
      <c r="C1909" s="2" t="s">
        <v>17</v>
      </c>
      <c r="D1909" s="2" t="s">
        <v>18</v>
      </c>
      <c r="E1909" s="5">
        <v>-27970</v>
      </c>
      <c r="F1909" s="3" t="s">
        <v>1030</v>
      </c>
      <c r="G1909" s="3" t="s">
        <v>59</v>
      </c>
      <c r="H1909" s="2" t="s">
        <v>21</v>
      </c>
      <c r="I1909" s="2" t="s">
        <v>4104</v>
      </c>
      <c r="J1909" s="3" t="str">
        <f>HYPERLINK("https://www.boe.es/gazeta/dias/1823/06/02/pdfs/GES-1823-56.pdf#page=6","Abrir facsímil")</f>
        <v>Abrir facsímil</v>
      </c>
      <c r="K1909" s="3" t="s">
        <v>23</v>
      </c>
    </row>
    <row r="1910" spans="1:11" ht="42" customHeight="1">
      <c r="A1910" s="2" t="s">
        <v>4105</v>
      </c>
      <c r="B1910" s="2" t="s">
        <v>4106</v>
      </c>
      <c r="C1910" s="2" t="s">
        <v>56</v>
      </c>
      <c r="D1910" s="2" t="s">
        <v>57</v>
      </c>
      <c r="E1910" s="5">
        <v>-27998</v>
      </c>
      <c r="F1910" s="3" t="s">
        <v>1058</v>
      </c>
      <c r="G1910" s="3" t="s">
        <v>59</v>
      </c>
      <c r="H1910" s="2" t="s">
        <v>21</v>
      </c>
      <c r="I1910" s="2" t="s">
        <v>4107</v>
      </c>
      <c r="J1910" s="3" t="str">
        <f>HYPERLINK("https://www.boe.es/gazeta/dias/1823/05/05/pdfs/GES-1823-25.pdf#page=6","Abrir facsímil")</f>
        <v>Abrir facsímil</v>
      </c>
      <c r="K1910" s="3" t="s">
        <v>23</v>
      </c>
    </row>
    <row r="1911" spans="1:11" ht="42" customHeight="1">
      <c r="A1911" s="2" t="s">
        <v>4108</v>
      </c>
      <c r="B1911" s="2" t="s">
        <v>4108</v>
      </c>
      <c r="C1911" s="2" t="s">
        <v>56</v>
      </c>
      <c r="D1911" s="2" t="s">
        <v>57</v>
      </c>
      <c r="E1911" s="5">
        <v>-27995</v>
      </c>
      <c r="F1911" s="3" t="s">
        <v>326</v>
      </c>
      <c r="G1911" s="3" t="s">
        <v>20</v>
      </c>
      <c r="H1911" s="2" t="s">
        <v>21</v>
      </c>
      <c r="I1911" s="2" t="s">
        <v>4109</v>
      </c>
      <c r="J1911" s="3" t="str">
        <f>HYPERLINK("https://www.boe.es/gazeta/dias/1823/05/08/pdfs/GMD-1823-112.pdf#page=4","Abrir facsímil")</f>
        <v>Abrir facsímil</v>
      </c>
      <c r="K1911" s="3" t="s">
        <v>23</v>
      </c>
    </row>
    <row r="1912" spans="1:11" ht="42" customHeight="1">
      <c r="A1912" s="2" t="s">
        <v>4108</v>
      </c>
      <c r="B1912" s="2" t="s">
        <v>4108</v>
      </c>
      <c r="C1912" s="2" t="s">
        <v>56</v>
      </c>
      <c r="D1912" s="2" t="s">
        <v>57</v>
      </c>
      <c r="E1912" s="5">
        <v>-27990</v>
      </c>
      <c r="F1912" s="3" t="s">
        <v>330</v>
      </c>
      <c r="G1912" s="3" t="s">
        <v>27</v>
      </c>
      <c r="H1912" s="2" t="s">
        <v>21</v>
      </c>
      <c r="I1912" s="2" t="s">
        <v>4110</v>
      </c>
      <c r="J1912" s="3" t="str">
        <f>HYPERLINK("https://www.boe.es/gazeta/dias/1823/05/13/pdfs/GMD-1823-132.pdf#page=2","Abrir facsímil")</f>
        <v>Abrir facsímil</v>
      </c>
      <c r="K1912" s="3" t="s">
        <v>23</v>
      </c>
    </row>
    <row r="1913" spans="1:11" ht="42" customHeight="1">
      <c r="A1913" s="2" t="s">
        <v>4111</v>
      </c>
      <c r="B1913" s="2" t="s">
        <v>4112</v>
      </c>
      <c r="C1913" s="2" t="s">
        <v>17</v>
      </c>
      <c r="D1913" s="2" t="s">
        <v>18</v>
      </c>
      <c r="E1913" s="5">
        <v>-27935</v>
      </c>
      <c r="F1913" s="3" t="s">
        <v>350</v>
      </c>
      <c r="G1913" s="3" t="s">
        <v>20</v>
      </c>
      <c r="H1913" s="2" t="s">
        <v>21</v>
      </c>
      <c r="I1913" s="2" t="s">
        <v>4113</v>
      </c>
      <c r="J1913" s="3" t="str">
        <f>HYPERLINK("https://www.boe.es/gazeta/dias/1823/07/07/pdfs/GES-1823-87.pdf#page=4","Abrir facsímil")</f>
        <v>Abrir facsímil</v>
      </c>
      <c r="K1913" s="3" t="s">
        <v>23</v>
      </c>
    </row>
    <row r="1914" spans="1:11" ht="42" customHeight="1">
      <c r="A1914" s="2" t="s">
        <v>4114</v>
      </c>
      <c r="B1914" s="2" t="s">
        <v>4115</v>
      </c>
      <c r="C1914" s="2" t="s">
        <v>17</v>
      </c>
      <c r="D1914" s="2" t="s">
        <v>18</v>
      </c>
      <c r="E1914" s="5">
        <v>-28100</v>
      </c>
      <c r="F1914" s="3" t="s">
        <v>737</v>
      </c>
      <c r="G1914" s="3" t="s">
        <v>20</v>
      </c>
      <c r="H1914" s="2" t="s">
        <v>21</v>
      </c>
      <c r="I1914" s="2" t="s">
        <v>4116</v>
      </c>
      <c r="J1914" s="3" t="str">
        <f>HYPERLINK("https://www.boe.es/gazeta/dias/1823/01/23/pdfs/GMD-1823-24.pdf#page=4","Abrir facsímil")</f>
        <v>Abrir facsímil</v>
      </c>
      <c r="K1914" s="3" t="s">
        <v>23</v>
      </c>
    </row>
    <row r="1915" spans="1:11" ht="42" customHeight="1">
      <c r="A1915" s="2" t="s">
        <v>4117</v>
      </c>
      <c r="B1915" s="2" t="s">
        <v>4118</v>
      </c>
      <c r="C1915" s="2" t="s">
        <v>17</v>
      </c>
      <c r="D1915" s="2" t="s">
        <v>18</v>
      </c>
      <c r="E1915" s="5">
        <v>-28002</v>
      </c>
      <c r="F1915" s="3" t="s">
        <v>245</v>
      </c>
      <c r="G1915" s="3" t="s">
        <v>48</v>
      </c>
      <c r="H1915" s="2" t="s">
        <v>21</v>
      </c>
      <c r="I1915" s="2" t="s">
        <v>4119</v>
      </c>
      <c r="J1915" s="3" t="str">
        <f>HYPERLINK("https://www.boe.es/gazeta/dias/1823/05/01/pdfs/GMD-1823-82.pdf#page=3","Abrir facsímil")</f>
        <v>Abrir facsímil</v>
      </c>
      <c r="K1915" s="3" t="s">
        <v>23</v>
      </c>
    </row>
    <row r="1916" spans="1:11" ht="42" customHeight="1">
      <c r="A1916" s="2" t="s">
        <v>4117</v>
      </c>
      <c r="B1916" s="2" t="s">
        <v>4118</v>
      </c>
      <c r="C1916" s="2" t="s">
        <v>84</v>
      </c>
      <c r="D1916" s="2" t="s">
        <v>74</v>
      </c>
      <c r="E1916" s="5">
        <v>-27987</v>
      </c>
      <c r="F1916" s="3" t="s">
        <v>332</v>
      </c>
      <c r="G1916" s="3" t="s">
        <v>59</v>
      </c>
      <c r="H1916" s="2" t="s">
        <v>21</v>
      </c>
      <c r="I1916" s="2" t="s">
        <v>4120</v>
      </c>
      <c r="J1916" s="3" t="str">
        <f>HYPERLINK("https://www.boe.es/gazeta/dias/1823/05/16/pdfs/GES-1823-36.pdf#page=6","Abrir facsímil")</f>
        <v>Abrir facsímil</v>
      </c>
      <c r="K1916" s="3" t="s">
        <v>23</v>
      </c>
    </row>
    <row r="1917" spans="1:11" ht="42" customHeight="1">
      <c r="A1917" s="2" t="s">
        <v>4117</v>
      </c>
      <c r="B1917" s="2" t="s">
        <v>4118</v>
      </c>
      <c r="C1917" s="2" t="s">
        <v>79</v>
      </c>
      <c r="D1917" s="2" t="s">
        <v>74</v>
      </c>
      <c r="E1917" s="5">
        <v>-27922</v>
      </c>
      <c r="F1917" s="3" t="s">
        <v>1959</v>
      </c>
      <c r="G1917" s="3" t="s">
        <v>20</v>
      </c>
      <c r="H1917" s="2" t="s">
        <v>21</v>
      </c>
      <c r="I1917" s="2" t="s">
        <v>4121</v>
      </c>
      <c r="J1917" s="3" t="str">
        <f>HYPERLINK("https://www.boe.es/gazeta/dias/1823/07/20/pdfs/GES-1823-101.pdf#page=4","Abrir facsímil")</f>
        <v>Abrir facsímil</v>
      </c>
      <c r="K1917" s="3" t="s">
        <v>23</v>
      </c>
    </row>
    <row r="1918" spans="1:11" ht="42" customHeight="1">
      <c r="A1918" s="2" t="s">
        <v>4117</v>
      </c>
      <c r="B1918" s="2" t="s">
        <v>4118</v>
      </c>
      <c r="C1918" s="2" t="s">
        <v>17</v>
      </c>
      <c r="D1918" s="2" t="s">
        <v>18</v>
      </c>
      <c r="E1918" s="5">
        <v>-27896</v>
      </c>
      <c r="F1918" s="3" t="s">
        <v>4122</v>
      </c>
      <c r="G1918" s="3" t="s">
        <v>20</v>
      </c>
      <c r="H1918" s="2" t="s">
        <v>21</v>
      </c>
      <c r="I1918" s="2" t="s">
        <v>4123</v>
      </c>
      <c r="J1918" s="3" t="str">
        <f>HYPERLINK("https://www.boe.es/gazeta/dias/1823/08/15/pdfs/GES-1823-128.pdf#page=4","Abrir facsímil")</f>
        <v>Abrir facsímil</v>
      </c>
      <c r="K1918" s="3" t="s">
        <v>23</v>
      </c>
    </row>
    <row r="1919" spans="1:11" ht="42" customHeight="1">
      <c r="A1919" s="2" t="s">
        <v>4124</v>
      </c>
      <c r="B1919" s="2" t="s">
        <v>4125</v>
      </c>
      <c r="C1919" s="2" t="s">
        <v>109</v>
      </c>
      <c r="D1919" s="2" t="s">
        <v>74</v>
      </c>
      <c r="E1919" s="5">
        <v>-28056</v>
      </c>
      <c r="F1919" s="3" t="s">
        <v>572</v>
      </c>
      <c r="G1919" s="3" t="s">
        <v>59</v>
      </c>
      <c r="H1919" s="2" t="s">
        <v>21</v>
      </c>
      <c r="I1919" s="2" t="s">
        <v>4126</v>
      </c>
      <c r="J1919" s="3" t="str">
        <f>HYPERLINK("https://www.boe.es/gazeta/dias/1823/03/08/pdfs/GMD-1823-71.pdf#page=6","Abrir facsímil")</f>
        <v>Abrir facsímil</v>
      </c>
      <c r="K1919" s="3" t="s">
        <v>23</v>
      </c>
    </row>
    <row r="1920" spans="1:11" ht="42" customHeight="1">
      <c r="A1920" s="2" t="s">
        <v>4127</v>
      </c>
      <c r="B1920" s="2" t="s">
        <v>4128</v>
      </c>
      <c r="C1920" s="2" t="s">
        <v>17</v>
      </c>
      <c r="D1920" s="2" t="s">
        <v>18</v>
      </c>
      <c r="E1920" s="5">
        <v>-28000</v>
      </c>
      <c r="F1920" s="3" t="s">
        <v>1118</v>
      </c>
      <c r="G1920" s="3" t="s">
        <v>20</v>
      </c>
      <c r="H1920" s="2" t="s">
        <v>21</v>
      </c>
      <c r="I1920" s="2" t="s">
        <v>4129</v>
      </c>
      <c r="J1920" s="3" t="str">
        <f>HYPERLINK("https://www.boe.es/gazeta/dias/1823/05/03/pdfs/GES-1823-23.pdf#page=4","Abrir facsímil")</f>
        <v>Abrir facsímil</v>
      </c>
      <c r="K1920" s="3" t="s">
        <v>23</v>
      </c>
    </row>
    <row r="1921" spans="1:11" ht="42" customHeight="1">
      <c r="A1921" s="2" t="s">
        <v>4130</v>
      </c>
      <c r="B1921" s="2" t="s">
        <v>4130</v>
      </c>
      <c r="C1921" s="2" t="s">
        <v>17</v>
      </c>
      <c r="D1921" s="2" t="s">
        <v>18</v>
      </c>
      <c r="E1921" s="5">
        <v>-28119</v>
      </c>
      <c r="F1921" s="3" t="s">
        <v>545</v>
      </c>
      <c r="G1921" s="3" t="s">
        <v>34</v>
      </c>
      <c r="H1921" s="2" t="s">
        <v>21</v>
      </c>
      <c r="I1921" s="2" t="s">
        <v>4131</v>
      </c>
      <c r="J1921" s="3" t="str">
        <f>HYPERLINK("https://www.boe.es/gazeta/dias/1823/01/04/pdfs/GMD-1823-4.pdf#page=5","Abrir facsímil")</f>
        <v>Abrir facsímil</v>
      </c>
      <c r="K1921" s="3" t="s">
        <v>23</v>
      </c>
    </row>
    <row r="1922" spans="1:11" ht="42" customHeight="1">
      <c r="A1922" s="2" t="s">
        <v>4130</v>
      </c>
      <c r="B1922" s="2" t="s">
        <v>4130</v>
      </c>
      <c r="C1922" s="2" t="s">
        <v>109</v>
      </c>
      <c r="D1922" s="2" t="s">
        <v>74</v>
      </c>
      <c r="E1922" s="5">
        <v>-28115</v>
      </c>
      <c r="F1922" s="3" t="s">
        <v>579</v>
      </c>
      <c r="G1922" s="3" t="s">
        <v>27</v>
      </c>
      <c r="H1922" s="2" t="s">
        <v>21</v>
      </c>
      <c r="I1922" s="2" t="s">
        <v>4132</v>
      </c>
      <c r="J1922" s="3" t="str">
        <f>HYPERLINK("https://www.boe.es/gazeta/dias/1823/01/08/pdfs/GMD-1823-8.pdf#page=2","Abrir facsímil")</f>
        <v>Abrir facsímil</v>
      </c>
      <c r="K1922" s="3" t="s">
        <v>23</v>
      </c>
    </row>
    <row r="1923" spans="1:11" ht="42" customHeight="1">
      <c r="A1923" s="2" t="s">
        <v>4130</v>
      </c>
      <c r="B1923" s="2" t="s">
        <v>4130</v>
      </c>
      <c r="C1923" s="2" t="s">
        <v>79</v>
      </c>
      <c r="D1923" s="2" t="s">
        <v>74</v>
      </c>
      <c r="E1923" s="5">
        <v>-28073</v>
      </c>
      <c r="F1923" s="3" t="s">
        <v>204</v>
      </c>
      <c r="G1923" s="3" t="s">
        <v>39</v>
      </c>
      <c r="H1923" s="2" t="s">
        <v>21</v>
      </c>
      <c r="I1923" s="2" t="s">
        <v>4133</v>
      </c>
      <c r="J1923" s="3" t="str">
        <f>HYPERLINK("https://www.boe.es/gazeta/dias/1823/02/19/pdfs/GMD-1823-53.pdf#page=1","Abrir facsímil")</f>
        <v>Abrir facsímil</v>
      </c>
      <c r="K1923" s="3" t="s">
        <v>23</v>
      </c>
    </row>
    <row r="1924" spans="1:11" ht="42" customHeight="1">
      <c r="A1924" s="2" t="s">
        <v>4130</v>
      </c>
      <c r="B1924" s="2" t="s">
        <v>4130</v>
      </c>
      <c r="C1924" s="2" t="s">
        <v>79</v>
      </c>
      <c r="D1924" s="2" t="s">
        <v>74</v>
      </c>
      <c r="E1924" s="5">
        <v>-27990</v>
      </c>
      <c r="F1924" s="3" t="s">
        <v>1132</v>
      </c>
      <c r="G1924" s="3" t="s">
        <v>48</v>
      </c>
      <c r="H1924" s="2" t="s">
        <v>21</v>
      </c>
      <c r="I1924" s="2" t="s">
        <v>4134</v>
      </c>
      <c r="J1924" s="3" t="str">
        <f>HYPERLINK("https://www.boe.es/gazeta/dias/1823/05/13/pdfs/GES-1823-33.pdf#page=3","Abrir facsímil")</f>
        <v>Abrir facsímil</v>
      </c>
      <c r="K1924" s="3" t="s">
        <v>23</v>
      </c>
    </row>
    <row r="1925" spans="1:11" ht="42" customHeight="1">
      <c r="A1925" s="2" t="s">
        <v>4130</v>
      </c>
      <c r="B1925" s="2" t="s">
        <v>4130</v>
      </c>
      <c r="C1925" s="2" t="s">
        <v>17</v>
      </c>
      <c r="D1925" s="2" t="s">
        <v>18</v>
      </c>
      <c r="E1925" s="5">
        <v>-27976</v>
      </c>
      <c r="F1925" s="3" t="s">
        <v>1156</v>
      </c>
      <c r="G1925" s="3" t="s">
        <v>39</v>
      </c>
      <c r="H1925" s="2" t="s">
        <v>21</v>
      </c>
      <c r="I1925" s="2" t="s">
        <v>4135</v>
      </c>
      <c r="J1925" s="3" t="str">
        <f>HYPERLINK("https://www.boe.es/gazeta/dias/1823/05/27/pdfs/GES-1823-49.pdf#page=1","Abrir facsímil")</f>
        <v>Abrir facsímil</v>
      </c>
      <c r="K1925" s="3" t="s">
        <v>23</v>
      </c>
    </row>
    <row r="1926" spans="1:11" ht="42" customHeight="1">
      <c r="A1926" s="2" t="s">
        <v>4130</v>
      </c>
      <c r="B1926" s="2" t="s">
        <v>4130</v>
      </c>
      <c r="C1926" s="2" t="s">
        <v>84</v>
      </c>
      <c r="D1926" s="2" t="s">
        <v>74</v>
      </c>
      <c r="E1926" s="5">
        <v>-27972</v>
      </c>
      <c r="F1926" s="3" t="s">
        <v>1515</v>
      </c>
      <c r="G1926" s="3" t="s">
        <v>3416</v>
      </c>
      <c r="H1926" s="2" t="s">
        <v>21</v>
      </c>
      <c r="I1926" s="2" t="s">
        <v>4136</v>
      </c>
      <c r="J1926" s="3" t="str">
        <f>HYPERLINK("https://www.boe.es/gazeta/dias/1823/05/31/pdfs/GMD-1823-33.pdf#page=4","Abrir facsímil")</f>
        <v>Abrir facsímil</v>
      </c>
      <c r="K1926" s="3" t="s">
        <v>23</v>
      </c>
    </row>
    <row r="1927" spans="1:11" ht="42" customHeight="1">
      <c r="A1927" s="2" t="s">
        <v>4137</v>
      </c>
      <c r="B1927" s="2" t="s">
        <v>4138</v>
      </c>
      <c r="C1927" s="2" t="s">
        <v>79</v>
      </c>
      <c r="D1927" s="2" t="s">
        <v>74</v>
      </c>
      <c r="E1927" s="5">
        <v>-27964</v>
      </c>
      <c r="F1927" s="3" t="s">
        <v>58</v>
      </c>
      <c r="G1927" s="3" t="s">
        <v>20</v>
      </c>
      <c r="H1927" s="2" t="s">
        <v>21</v>
      </c>
      <c r="I1927" s="2" t="s">
        <v>4139</v>
      </c>
      <c r="J1927" s="3" t="str">
        <f>HYPERLINK("https://www.boe.es/gazeta/dias/1823/06/08/pdfs/GES-1823-62.pdf#page=4","Abrir facsímil")</f>
        <v>Abrir facsímil</v>
      </c>
      <c r="K1927" s="3" t="s">
        <v>23</v>
      </c>
    </row>
    <row r="1928" spans="1:11" ht="42" customHeight="1">
      <c r="A1928" s="2" t="s">
        <v>4140</v>
      </c>
      <c r="B1928" s="2" t="s">
        <v>4141</v>
      </c>
      <c r="C1928" s="2" t="s">
        <v>56</v>
      </c>
      <c r="D1928" s="2" t="s">
        <v>57</v>
      </c>
      <c r="E1928" s="5">
        <v>-27974</v>
      </c>
      <c r="F1928" s="3" t="s">
        <v>1041</v>
      </c>
      <c r="G1928" s="3" t="s">
        <v>27</v>
      </c>
      <c r="H1928" s="2" t="s">
        <v>21</v>
      </c>
      <c r="I1928" s="2" t="s">
        <v>4142</v>
      </c>
      <c r="J1928" s="3" t="str">
        <f>HYPERLINK("https://www.boe.es/gazeta/dias/1823/05/29/pdfs/GMD-1823-23.pdf#page=2","Abrir facsímil")</f>
        <v>Abrir facsímil</v>
      </c>
      <c r="K1928" s="3" t="s">
        <v>23</v>
      </c>
    </row>
    <row r="1929" spans="1:11" ht="42" customHeight="1">
      <c r="A1929" s="2" t="s">
        <v>4140</v>
      </c>
      <c r="B1929" s="2" t="s">
        <v>4141</v>
      </c>
      <c r="C1929" s="2" t="s">
        <v>17</v>
      </c>
      <c r="D1929" s="2" t="s">
        <v>18</v>
      </c>
      <c r="E1929" s="5">
        <v>-27927</v>
      </c>
      <c r="F1929" s="3" t="s">
        <v>1426</v>
      </c>
      <c r="G1929" s="3" t="s">
        <v>20</v>
      </c>
      <c r="H1929" s="2" t="s">
        <v>21</v>
      </c>
      <c r="I1929" s="2" t="s">
        <v>4143</v>
      </c>
      <c r="J1929" s="3" t="str">
        <f>HYPERLINK("https://www.boe.es/gazeta/dias/1823/07/15/pdfs/GES-1823-95.pdf#page=4","Abrir facsímil")</f>
        <v>Abrir facsímil</v>
      </c>
      <c r="K1929" s="3" t="s">
        <v>23</v>
      </c>
    </row>
    <row r="1930" spans="1:11" ht="42" customHeight="1">
      <c r="A1930" s="2" t="s">
        <v>4140</v>
      </c>
      <c r="B1930" s="2" t="s">
        <v>4141</v>
      </c>
      <c r="C1930" s="2" t="s">
        <v>56</v>
      </c>
      <c r="D1930" s="2" t="s">
        <v>57</v>
      </c>
      <c r="E1930" s="5">
        <v>-27785</v>
      </c>
      <c r="F1930" s="3" t="s">
        <v>1397</v>
      </c>
      <c r="G1930" s="3" t="s">
        <v>39</v>
      </c>
      <c r="H1930" s="2" t="s">
        <v>21</v>
      </c>
      <c r="I1930" s="2" t="s">
        <v>4144</v>
      </c>
      <c r="J1930" s="3" t="str">
        <f>HYPERLINK("https://www.boe.es/gazeta/dias/1823/12/04/pdfs/GMD-1823-1203.pdf#page=1","Abrir facsímil")</f>
        <v>Abrir facsímil</v>
      </c>
      <c r="K1930" s="3" t="s">
        <v>23</v>
      </c>
    </row>
    <row r="1931" spans="1:11" ht="42" customHeight="1">
      <c r="A1931" s="2" t="s">
        <v>4145</v>
      </c>
      <c r="B1931" s="2" t="s">
        <v>4146</v>
      </c>
      <c r="C1931" s="2" t="s">
        <v>56</v>
      </c>
      <c r="D1931" s="2" t="s">
        <v>117</v>
      </c>
      <c r="E1931" s="5">
        <v>-27976</v>
      </c>
      <c r="F1931" s="3" t="s">
        <v>1541</v>
      </c>
      <c r="G1931" s="3" t="s">
        <v>39</v>
      </c>
      <c r="H1931" s="2" t="s">
        <v>21</v>
      </c>
      <c r="I1931" s="2" t="s">
        <v>4147</v>
      </c>
      <c r="J1931" s="3" t="str">
        <f>HYPERLINK("https://www.boe.es/gazeta/dias/1823/05/27/pdfs/GMD-1823-13E.pdf#page=1","Abrir facsímil")</f>
        <v>Abrir facsímil</v>
      </c>
      <c r="K1931" s="3" t="s">
        <v>23</v>
      </c>
    </row>
    <row r="1932" spans="1:11" ht="42" customHeight="1">
      <c r="A1932" s="2" t="s">
        <v>4148</v>
      </c>
      <c r="B1932" s="2" t="s">
        <v>4149</v>
      </c>
      <c r="C1932" s="2" t="s">
        <v>17</v>
      </c>
      <c r="D1932" s="2" t="s">
        <v>18</v>
      </c>
      <c r="E1932" s="5">
        <v>-27979</v>
      </c>
      <c r="F1932" s="3" t="s">
        <v>1071</v>
      </c>
      <c r="G1932" s="3" t="s">
        <v>34</v>
      </c>
      <c r="H1932" s="2" t="s">
        <v>21</v>
      </c>
      <c r="I1932" s="2" t="s">
        <v>4150</v>
      </c>
      <c r="J1932" s="3" t="str">
        <f>HYPERLINK("https://www.boe.es/gazeta/dias/1823/05/24/pdfs/GES-1823-45.pdf#page=5","Abrir facsímil")</f>
        <v>Abrir facsímil</v>
      </c>
      <c r="K1932" s="3" t="s">
        <v>23</v>
      </c>
    </row>
    <row r="1933" spans="1:11" ht="42" customHeight="1">
      <c r="A1933" s="2" t="s">
        <v>4148</v>
      </c>
      <c r="B1933" s="2" t="s">
        <v>4149</v>
      </c>
      <c r="C1933" s="2" t="s">
        <v>17</v>
      </c>
      <c r="D1933" s="2" t="s">
        <v>18</v>
      </c>
      <c r="E1933" s="5">
        <v>-27868</v>
      </c>
      <c r="F1933" s="3" t="s">
        <v>2166</v>
      </c>
      <c r="G1933" s="3" t="s">
        <v>27</v>
      </c>
      <c r="H1933" s="2" t="s">
        <v>21</v>
      </c>
      <c r="I1933" s="2" t="s">
        <v>4151</v>
      </c>
      <c r="J1933" s="3" t="str">
        <f>HYPERLINK("https://www.boe.es/gazeta/dias/1823/09/12/pdfs/GES-1823-156.pdf#page=2","Abrir facsímil")</f>
        <v>Abrir facsímil</v>
      </c>
      <c r="K1933" s="3" t="s">
        <v>23</v>
      </c>
    </row>
    <row r="1934" spans="1:11" ht="42" customHeight="1">
      <c r="A1934" s="2" t="s">
        <v>4152</v>
      </c>
      <c r="B1934" s="2" t="s">
        <v>4153</v>
      </c>
      <c r="C1934" s="2" t="s">
        <v>79</v>
      </c>
      <c r="D1934" s="2" t="s">
        <v>74</v>
      </c>
      <c r="E1934" s="5">
        <v>-28108</v>
      </c>
      <c r="F1934" s="3" t="s">
        <v>406</v>
      </c>
      <c r="G1934" s="3" t="s">
        <v>1710</v>
      </c>
      <c r="H1934" s="2" t="s">
        <v>21</v>
      </c>
      <c r="I1934" s="2" t="s">
        <v>4154</v>
      </c>
      <c r="J1934" s="3" t="str">
        <f>HYPERLINK("https://www.boe.es/gazeta/dias/1823/01/15/pdfs/GMD-1823-15.pdf#page=3","Abrir facsímil")</f>
        <v>Abrir facsímil</v>
      </c>
      <c r="K1934" s="3" t="s">
        <v>23</v>
      </c>
    </row>
    <row r="1935" spans="1:11" ht="42" customHeight="1">
      <c r="A1935" s="2" t="s">
        <v>4152</v>
      </c>
      <c r="B1935" s="2" t="s">
        <v>4153</v>
      </c>
      <c r="C1935" s="2" t="s">
        <v>17</v>
      </c>
      <c r="D1935" s="2" t="s">
        <v>18</v>
      </c>
      <c r="E1935" s="5">
        <v>-28101</v>
      </c>
      <c r="F1935" s="3" t="s">
        <v>1041</v>
      </c>
      <c r="G1935" s="3" t="s">
        <v>48</v>
      </c>
      <c r="H1935" s="2" t="s">
        <v>21</v>
      </c>
      <c r="I1935" s="2" t="s">
        <v>4155</v>
      </c>
      <c r="J1935" s="3" t="str">
        <f>HYPERLINK("https://www.boe.es/gazeta/dias/1823/01/22/pdfs/GMD-1823-23.pdf#page=3","Abrir facsímil")</f>
        <v>Abrir facsímil</v>
      </c>
      <c r="K1935" s="3" t="s">
        <v>23</v>
      </c>
    </row>
    <row r="1936" spans="1:11" ht="42" customHeight="1">
      <c r="A1936" s="2" t="s">
        <v>4152</v>
      </c>
      <c r="B1936" s="2" t="s">
        <v>4153</v>
      </c>
      <c r="C1936" s="2" t="s">
        <v>84</v>
      </c>
      <c r="D1936" s="2" t="s">
        <v>74</v>
      </c>
      <c r="E1936" s="5">
        <v>-28083</v>
      </c>
      <c r="F1936" s="3" t="s">
        <v>291</v>
      </c>
      <c r="G1936" s="3" t="s">
        <v>39</v>
      </c>
      <c r="H1936" s="2" t="s">
        <v>21</v>
      </c>
      <c r="I1936" s="2" t="s">
        <v>4156</v>
      </c>
      <c r="J1936" s="3" t="str">
        <f>HYPERLINK("https://www.boe.es/gazeta/dias/1823/02/09/pdfs/GMD-1823-43.pdf#page=1","Abrir facsímil")</f>
        <v>Abrir facsímil</v>
      </c>
      <c r="K1936" s="3" t="s">
        <v>23</v>
      </c>
    </row>
    <row r="1937" spans="1:11" ht="42" customHeight="1">
      <c r="A1937" s="2" t="s">
        <v>4152</v>
      </c>
      <c r="B1937" s="2" t="s">
        <v>4153</v>
      </c>
      <c r="C1937" s="2" t="s">
        <v>17</v>
      </c>
      <c r="D1937" s="2" t="s">
        <v>18</v>
      </c>
      <c r="E1937" s="5">
        <v>-28059</v>
      </c>
      <c r="F1937" s="3" t="s">
        <v>149</v>
      </c>
      <c r="G1937" s="3" t="s">
        <v>20</v>
      </c>
      <c r="H1937" s="2" t="s">
        <v>21</v>
      </c>
      <c r="I1937" s="2" t="s">
        <v>4157</v>
      </c>
      <c r="J1937" s="3" t="str">
        <f>HYPERLINK("https://www.boe.es/gazeta/dias/1823/03/05/pdfs/GMD-1823-68.pdf#page=4","Abrir facsímil")</f>
        <v>Abrir facsímil</v>
      </c>
      <c r="K1937" s="3" t="s">
        <v>23</v>
      </c>
    </row>
    <row r="1938" spans="1:11" ht="42" customHeight="1">
      <c r="A1938" s="2" t="s">
        <v>4152</v>
      </c>
      <c r="B1938" s="2" t="s">
        <v>4153</v>
      </c>
      <c r="C1938" s="2" t="s">
        <v>109</v>
      </c>
      <c r="D1938" s="2" t="s">
        <v>74</v>
      </c>
      <c r="E1938" s="5">
        <v>-27993</v>
      </c>
      <c r="F1938" s="3" t="s">
        <v>1062</v>
      </c>
      <c r="G1938" s="3" t="s">
        <v>20</v>
      </c>
      <c r="H1938" s="2" t="s">
        <v>21</v>
      </c>
      <c r="I1938" s="2" t="s">
        <v>4158</v>
      </c>
      <c r="J1938" s="3" t="str">
        <f>HYPERLINK("https://www.boe.es/gazeta/dias/1823/05/10/pdfs/GMD-1823-122.pdf#page=4","Abrir facsímil")</f>
        <v>Abrir facsímil</v>
      </c>
      <c r="K1938" s="3" t="s">
        <v>23</v>
      </c>
    </row>
    <row r="1939" spans="1:11" ht="42" customHeight="1">
      <c r="A1939" s="2" t="s">
        <v>4152</v>
      </c>
      <c r="B1939" s="2" t="s">
        <v>4153</v>
      </c>
      <c r="C1939" s="2" t="s">
        <v>56</v>
      </c>
      <c r="D1939" s="2" t="s">
        <v>57</v>
      </c>
      <c r="E1939" s="5">
        <v>-27990</v>
      </c>
      <c r="F1939" s="3" t="s">
        <v>1132</v>
      </c>
      <c r="G1939" s="3" t="s">
        <v>48</v>
      </c>
      <c r="H1939" s="2" t="s">
        <v>21</v>
      </c>
      <c r="I1939" s="2" t="s">
        <v>4159</v>
      </c>
      <c r="J1939" s="3" t="str">
        <f>HYPERLINK("https://www.boe.es/gazeta/dias/1823/05/13/pdfs/GES-1823-33.pdf#page=3","Abrir facsímil")</f>
        <v>Abrir facsímil</v>
      </c>
      <c r="K1939" s="3" t="s">
        <v>23</v>
      </c>
    </row>
    <row r="1940" spans="1:11" ht="42" customHeight="1">
      <c r="A1940" s="2" t="s">
        <v>4152</v>
      </c>
      <c r="B1940" s="2" t="s">
        <v>4153</v>
      </c>
      <c r="C1940" s="2" t="s">
        <v>109</v>
      </c>
      <c r="D1940" s="2" t="s">
        <v>74</v>
      </c>
      <c r="E1940" s="5">
        <v>-27968</v>
      </c>
      <c r="F1940" s="3" t="s">
        <v>1160</v>
      </c>
      <c r="G1940" s="3" t="s">
        <v>20</v>
      </c>
      <c r="H1940" s="2" t="s">
        <v>21</v>
      </c>
      <c r="I1940" s="2" t="s">
        <v>4160</v>
      </c>
      <c r="J1940" s="3" t="str">
        <f>HYPERLINK("https://www.boe.es/gazeta/dias/1823/06/04/pdfs/GES-1823-58.pdf#page=4","Abrir facsímil")</f>
        <v>Abrir facsímil</v>
      </c>
      <c r="K1940" s="3" t="s">
        <v>23</v>
      </c>
    </row>
    <row r="1941" spans="1:11" ht="42" customHeight="1">
      <c r="A1941" s="2" t="s">
        <v>4152</v>
      </c>
      <c r="B1941" s="2" t="s">
        <v>4153</v>
      </c>
      <c r="C1941" s="2" t="s">
        <v>17</v>
      </c>
      <c r="D1941" s="2" t="s">
        <v>18</v>
      </c>
      <c r="E1941" s="5">
        <v>-27868</v>
      </c>
      <c r="F1941" s="3" t="s">
        <v>2166</v>
      </c>
      <c r="G1941" s="3" t="s">
        <v>27</v>
      </c>
      <c r="H1941" s="2" t="s">
        <v>21</v>
      </c>
      <c r="I1941" s="2" t="s">
        <v>4161</v>
      </c>
      <c r="J1941" s="3" t="str">
        <f>HYPERLINK("https://www.boe.es/gazeta/dias/1823/09/12/pdfs/GES-1823-156.pdf#page=2","Abrir facsímil")</f>
        <v>Abrir facsímil</v>
      </c>
      <c r="K1941" s="3" t="s">
        <v>23</v>
      </c>
    </row>
    <row r="1942" spans="1:11" ht="42" customHeight="1">
      <c r="A1942" s="2" t="s">
        <v>4152</v>
      </c>
      <c r="B1942" s="2" t="s">
        <v>4153</v>
      </c>
      <c r="C1942" s="2" t="s">
        <v>17</v>
      </c>
      <c r="D1942" s="2" t="s">
        <v>18</v>
      </c>
      <c r="E1942" s="5">
        <v>-27868</v>
      </c>
      <c r="F1942" s="3" t="s">
        <v>2166</v>
      </c>
      <c r="G1942" s="3" t="s">
        <v>48</v>
      </c>
      <c r="H1942" s="2" t="s">
        <v>21</v>
      </c>
      <c r="I1942" s="2" t="s">
        <v>4162</v>
      </c>
      <c r="J1942" s="3" t="str">
        <f>HYPERLINK("https://www.boe.es/gazeta/dias/1823/09/12/pdfs/GES-1823-156.pdf#page=3","Abrir facsímil")</f>
        <v>Abrir facsímil</v>
      </c>
      <c r="K1942" s="3" t="s">
        <v>23</v>
      </c>
    </row>
    <row r="1943" spans="1:11" ht="42" customHeight="1">
      <c r="A1943" s="2" t="s">
        <v>4163</v>
      </c>
      <c r="B1943" s="2" t="s">
        <v>4164</v>
      </c>
      <c r="C1943" s="2" t="s">
        <v>109</v>
      </c>
      <c r="D1943" s="2" t="s">
        <v>74</v>
      </c>
      <c r="E1943" s="5">
        <v>-28079</v>
      </c>
      <c r="F1943" s="3" t="s">
        <v>178</v>
      </c>
      <c r="G1943" s="3" t="s">
        <v>27</v>
      </c>
      <c r="H1943" s="2" t="s">
        <v>21</v>
      </c>
      <c r="I1943" s="2" t="s">
        <v>4165</v>
      </c>
      <c r="J1943" s="3" t="str">
        <f>HYPERLINK("https://www.boe.es/gazeta/dias/1823/02/13/pdfs/GMD-1823-47.pdf#page=2","Abrir facsímil")</f>
        <v>Abrir facsímil</v>
      </c>
      <c r="K1943" s="3" t="s">
        <v>23</v>
      </c>
    </row>
    <row r="1944" spans="1:11" ht="42" customHeight="1">
      <c r="A1944" s="2" t="s">
        <v>4163</v>
      </c>
      <c r="B1944" s="2" t="s">
        <v>4164</v>
      </c>
      <c r="C1944" s="2" t="s">
        <v>109</v>
      </c>
      <c r="D1944" s="2" t="s">
        <v>74</v>
      </c>
      <c r="E1944" s="5">
        <v>-28000</v>
      </c>
      <c r="F1944" s="3" t="s">
        <v>1118</v>
      </c>
      <c r="G1944" s="3" t="s">
        <v>20</v>
      </c>
      <c r="H1944" s="2" t="s">
        <v>21</v>
      </c>
      <c r="I1944" s="2" t="s">
        <v>4166</v>
      </c>
      <c r="J1944" s="3" t="str">
        <f>HYPERLINK("https://www.boe.es/gazeta/dias/1823/05/03/pdfs/GES-1823-23.pdf#page=4","Abrir facsímil")</f>
        <v>Abrir facsímil</v>
      </c>
      <c r="K1944" s="3" t="s">
        <v>23</v>
      </c>
    </row>
    <row r="1945" spans="1:11" ht="42" customHeight="1">
      <c r="A1945" s="2" t="s">
        <v>4163</v>
      </c>
      <c r="B1945" s="2" t="s">
        <v>4164</v>
      </c>
      <c r="C1945" s="2" t="s">
        <v>109</v>
      </c>
      <c r="D1945" s="2" t="s">
        <v>74</v>
      </c>
      <c r="E1945" s="5">
        <v>-27990</v>
      </c>
      <c r="F1945" s="3" t="s">
        <v>1132</v>
      </c>
      <c r="G1945" s="3" t="s">
        <v>48</v>
      </c>
      <c r="H1945" s="2" t="s">
        <v>21</v>
      </c>
      <c r="I1945" s="2" t="s">
        <v>4167</v>
      </c>
      <c r="J1945" s="3" t="str">
        <f>HYPERLINK("https://www.boe.es/gazeta/dias/1823/05/13/pdfs/GES-1823-33.pdf#page=3","Abrir facsímil")</f>
        <v>Abrir facsímil</v>
      </c>
      <c r="K1945" s="3" t="s">
        <v>23</v>
      </c>
    </row>
    <row r="1946" spans="1:11" ht="42" customHeight="1">
      <c r="A1946" s="2" t="s">
        <v>4168</v>
      </c>
      <c r="B1946" s="2" t="s">
        <v>4169</v>
      </c>
      <c r="C1946" s="2" t="s">
        <v>17</v>
      </c>
      <c r="D1946" s="2" t="s">
        <v>18</v>
      </c>
      <c r="E1946" s="5">
        <v>-28083</v>
      </c>
      <c r="F1946" s="3" t="s">
        <v>291</v>
      </c>
      <c r="G1946" s="3" t="s">
        <v>27</v>
      </c>
      <c r="H1946" s="2" t="s">
        <v>21</v>
      </c>
      <c r="I1946" s="2" t="s">
        <v>4170</v>
      </c>
      <c r="J1946" s="3" t="str">
        <f>HYPERLINK("https://www.boe.es/gazeta/dias/1823/02/09/pdfs/GMD-1823-43.pdf#page=2","Abrir facsímil")</f>
        <v>Abrir facsímil</v>
      </c>
      <c r="K1946" s="3" t="s">
        <v>23</v>
      </c>
    </row>
    <row r="1947" spans="1:11" ht="42" customHeight="1">
      <c r="A1947" s="2" t="s">
        <v>4171</v>
      </c>
      <c r="B1947" s="2" t="s">
        <v>4172</v>
      </c>
      <c r="C1947" s="2" t="s">
        <v>17</v>
      </c>
      <c r="D1947" s="2" t="s">
        <v>18</v>
      </c>
      <c r="E1947" s="5">
        <v>-27995</v>
      </c>
      <c r="F1947" s="3" t="s">
        <v>326</v>
      </c>
      <c r="G1947" s="3" t="s">
        <v>27</v>
      </c>
      <c r="H1947" s="2" t="s">
        <v>21</v>
      </c>
      <c r="I1947" s="2" t="s">
        <v>4173</v>
      </c>
      <c r="J1947" s="3" t="str">
        <f>HYPERLINK("https://www.boe.es/gazeta/dias/1823/05/08/pdfs/GMD-1823-112.pdf#page=2","Abrir facsímil")</f>
        <v>Abrir facsímil</v>
      </c>
      <c r="K1947" s="3" t="s">
        <v>23</v>
      </c>
    </row>
    <row r="1948" spans="1:11" ht="42" customHeight="1">
      <c r="A1948" s="2" t="s">
        <v>4174</v>
      </c>
      <c r="B1948" s="2" t="s">
        <v>4175</v>
      </c>
      <c r="C1948" s="2" t="s">
        <v>17</v>
      </c>
      <c r="D1948" s="2" t="s">
        <v>18</v>
      </c>
      <c r="E1948" s="5">
        <v>-28066</v>
      </c>
      <c r="F1948" s="3" t="s">
        <v>19</v>
      </c>
      <c r="G1948" s="3" t="s">
        <v>20</v>
      </c>
      <c r="H1948" s="2" t="s">
        <v>21</v>
      </c>
      <c r="I1948" s="2" t="s">
        <v>4176</v>
      </c>
      <c r="J1948" s="3" t="str">
        <f>HYPERLINK("https://www.boe.es/gazeta/dias/1823/02/26/pdfs/GMD-1823-60.pdf#page=4","Abrir facsímil")</f>
        <v>Abrir facsímil</v>
      </c>
      <c r="K1948" s="3" t="s">
        <v>23</v>
      </c>
    </row>
    <row r="1949" spans="1:11" ht="42" customHeight="1">
      <c r="A1949" s="2" t="s">
        <v>4177</v>
      </c>
      <c r="B1949" s="2" t="s">
        <v>4178</v>
      </c>
      <c r="C1949" s="2" t="s">
        <v>17</v>
      </c>
      <c r="D1949" s="2" t="s">
        <v>18</v>
      </c>
      <c r="E1949" s="5">
        <v>-28092</v>
      </c>
      <c r="F1949" s="3" t="s">
        <v>105</v>
      </c>
      <c r="G1949" s="3" t="s">
        <v>27</v>
      </c>
      <c r="H1949" s="2" t="s">
        <v>21</v>
      </c>
      <c r="I1949" s="2" t="s">
        <v>4179</v>
      </c>
      <c r="J1949" s="3" t="str">
        <f>HYPERLINK("https://www.boe.es/gazeta/dias/1823/01/31/pdfs/GMD-1823-32.pdf#page=2","Abrir facsímil")</f>
        <v>Abrir facsímil</v>
      </c>
      <c r="K1949" s="3" t="s">
        <v>23</v>
      </c>
    </row>
    <row r="1950" spans="1:11" ht="42" customHeight="1">
      <c r="A1950" s="2" t="s">
        <v>4180</v>
      </c>
      <c r="B1950" s="2" t="s">
        <v>4181</v>
      </c>
      <c r="C1950" s="2" t="s">
        <v>79</v>
      </c>
      <c r="D1950" s="2" t="s">
        <v>74</v>
      </c>
      <c r="E1950" s="5">
        <v>-27870</v>
      </c>
      <c r="F1950" s="3" t="s">
        <v>376</v>
      </c>
      <c r="G1950" s="3" t="s">
        <v>20</v>
      </c>
      <c r="H1950" s="2" t="s">
        <v>21</v>
      </c>
      <c r="I1950" s="2" t="s">
        <v>4182</v>
      </c>
      <c r="J1950" s="3" t="str">
        <f>HYPERLINK("https://www.boe.es/gazeta/dias/1823/09/10/pdfs/GES-1823-154.pdf#page=4","Abrir facsímil")</f>
        <v>Abrir facsímil</v>
      </c>
      <c r="K1950" s="3" t="s">
        <v>23</v>
      </c>
    </row>
    <row r="1951" spans="1:11" ht="42" customHeight="1">
      <c r="A1951" s="2" t="s">
        <v>4183</v>
      </c>
      <c r="B1951" s="2" t="s">
        <v>4184</v>
      </c>
      <c r="C1951" s="2" t="s">
        <v>79</v>
      </c>
      <c r="D1951" s="2" t="s">
        <v>74</v>
      </c>
      <c r="E1951" s="5">
        <v>-28038</v>
      </c>
      <c r="F1951" s="3" t="s">
        <v>2379</v>
      </c>
      <c r="G1951" s="3" t="s">
        <v>20</v>
      </c>
      <c r="H1951" s="2" t="s">
        <v>21</v>
      </c>
      <c r="I1951" s="2" t="s">
        <v>4185</v>
      </c>
      <c r="J1951" s="3" t="str">
        <f>HYPERLINK("https://www.boe.es/gazeta/dias/1823/03/26/pdfs/GMD-1823-89.pdf#page=4","Abrir facsímil")</f>
        <v>Abrir facsímil</v>
      </c>
      <c r="K1951" s="3" t="s">
        <v>23</v>
      </c>
    </row>
    <row r="1952" spans="1:11" ht="42" customHeight="1">
      <c r="A1952" s="2" t="s">
        <v>4186</v>
      </c>
      <c r="B1952" s="2" t="s">
        <v>4186</v>
      </c>
      <c r="C1952" s="2" t="s">
        <v>109</v>
      </c>
      <c r="D1952" s="2" t="s">
        <v>74</v>
      </c>
      <c r="E1952" s="5">
        <v>-27790</v>
      </c>
      <c r="F1952" s="3" t="s">
        <v>4187</v>
      </c>
      <c r="G1952" s="3" t="s">
        <v>20</v>
      </c>
      <c r="H1952" s="2" t="s">
        <v>21</v>
      </c>
      <c r="I1952" s="2" t="s">
        <v>4188</v>
      </c>
      <c r="J1952" s="3" t="str">
        <f>HYPERLINK("https://www.boe.es/gazeta/dias/1823/11/29/pdfs/GMD-1823-1183.pdf#page=4","Abrir facsímil")</f>
        <v>Abrir facsímil</v>
      </c>
      <c r="K1952" s="3" t="s">
        <v>23</v>
      </c>
    </row>
    <row r="1953" spans="1:11" ht="42" customHeight="1">
      <c r="A1953" s="2" t="s">
        <v>4189</v>
      </c>
      <c r="B1953" s="2" t="s">
        <v>4190</v>
      </c>
      <c r="C1953" s="2" t="s">
        <v>56</v>
      </c>
      <c r="D1953" s="2" t="s">
        <v>57</v>
      </c>
      <c r="E1953" s="5">
        <v>-27888</v>
      </c>
      <c r="F1953" s="3" t="s">
        <v>232</v>
      </c>
      <c r="G1953" s="3" t="s">
        <v>27</v>
      </c>
      <c r="H1953" s="2" t="s">
        <v>21</v>
      </c>
      <c r="I1953" s="2" t="s">
        <v>4191</v>
      </c>
      <c r="J1953" s="3" t="str">
        <f>HYPERLINK("https://www.boe.es/gazeta/dias/1823/08/23/pdfs/GMD-1823-633.pdf#page=2","Abrir facsímil")</f>
        <v>Abrir facsímil</v>
      </c>
      <c r="K1953" s="3" t="s">
        <v>23</v>
      </c>
    </row>
    <row r="1954" spans="1:11" ht="42" customHeight="1">
      <c r="A1954" s="2" t="s">
        <v>4192</v>
      </c>
      <c r="B1954" s="2" t="s">
        <v>4193</v>
      </c>
      <c r="C1954" s="2" t="s">
        <v>17</v>
      </c>
      <c r="D1954" s="2" t="s">
        <v>18</v>
      </c>
      <c r="E1954" s="5">
        <v>-28051</v>
      </c>
      <c r="F1954" s="3" t="s">
        <v>305</v>
      </c>
      <c r="G1954" s="3" t="s">
        <v>20</v>
      </c>
      <c r="H1954" s="2" t="s">
        <v>21</v>
      </c>
      <c r="I1954" s="2" t="s">
        <v>4194</v>
      </c>
      <c r="J1954" s="3" t="str">
        <f>HYPERLINK("https://www.boe.es/gazeta/dias/1823/03/13/pdfs/GMD-1823-76.pdf#page=4","Abrir facsímil")</f>
        <v>Abrir facsímil</v>
      </c>
      <c r="K1954" s="3" t="s">
        <v>23</v>
      </c>
    </row>
    <row r="1955" spans="1:11" ht="42" customHeight="1">
      <c r="A1955" s="2" t="s">
        <v>4192</v>
      </c>
      <c r="B1955" s="2" t="s">
        <v>4193</v>
      </c>
      <c r="C1955" s="2" t="s">
        <v>56</v>
      </c>
      <c r="D1955" s="2" t="s">
        <v>57</v>
      </c>
      <c r="E1955" s="5">
        <v>-28032</v>
      </c>
      <c r="F1955" s="3" t="s">
        <v>668</v>
      </c>
      <c r="G1955" s="3" t="s">
        <v>20</v>
      </c>
      <c r="H1955" s="2" t="s">
        <v>21</v>
      </c>
      <c r="I1955" s="2" t="s">
        <v>4195</v>
      </c>
      <c r="J1955" s="3" t="str">
        <f>HYPERLINK("https://www.boe.es/gazeta/dias/1823/04/01/pdfs/GMD-1823-95.pdf#page=4","Abrir facsímil")</f>
        <v>Abrir facsímil</v>
      </c>
      <c r="K1955" s="3" t="s">
        <v>23</v>
      </c>
    </row>
    <row r="1956" spans="1:11" ht="42" customHeight="1">
      <c r="A1956" s="2" t="s">
        <v>4196</v>
      </c>
      <c r="B1956" s="2" t="s">
        <v>4197</v>
      </c>
      <c r="C1956" s="2" t="s">
        <v>17</v>
      </c>
      <c r="D1956" s="2" t="s">
        <v>18</v>
      </c>
      <c r="E1956" s="5">
        <v>-27889</v>
      </c>
      <c r="F1956" s="3" t="s">
        <v>1306</v>
      </c>
      <c r="G1956" s="3" t="s">
        <v>39</v>
      </c>
      <c r="H1956" s="2" t="s">
        <v>21</v>
      </c>
      <c r="I1956" s="2" t="s">
        <v>4198</v>
      </c>
      <c r="J1956" s="3" t="str">
        <f>HYPERLINK("https://www.boe.es/gazeta/dias/1823/08/22/pdfs/GES-1823-135.pdf#page=1","Abrir facsímil")</f>
        <v>Abrir facsímil</v>
      </c>
      <c r="K1956" s="3" t="s">
        <v>23</v>
      </c>
    </row>
    <row r="1957" spans="1:11" ht="42" customHeight="1">
      <c r="A1957" s="2" t="s">
        <v>4199</v>
      </c>
      <c r="B1957" s="2" t="s">
        <v>4200</v>
      </c>
      <c r="C1957" s="2" t="s">
        <v>56</v>
      </c>
      <c r="D1957" s="2" t="s">
        <v>57</v>
      </c>
      <c r="E1957" s="5">
        <v>-28004</v>
      </c>
      <c r="F1957" s="3" t="s">
        <v>313</v>
      </c>
      <c r="G1957" s="3" t="s">
        <v>27</v>
      </c>
      <c r="H1957" s="2" t="s">
        <v>21</v>
      </c>
      <c r="I1957" s="2" t="s">
        <v>4201</v>
      </c>
      <c r="J1957" s="3" t="str">
        <f>HYPERLINK("https://www.boe.es/gazeta/dias/1823/04/29/pdfs/GMD-1823-72.pdf#page=2","Abrir facsímil")</f>
        <v>Abrir facsímil</v>
      </c>
      <c r="K1957" s="3" t="s">
        <v>23</v>
      </c>
    </row>
    <row r="1958" spans="1:11" ht="42" customHeight="1">
      <c r="A1958" s="2" t="s">
        <v>4202</v>
      </c>
      <c r="B1958" s="2" t="s">
        <v>4203</v>
      </c>
      <c r="C1958" s="2" t="s">
        <v>56</v>
      </c>
      <c r="D1958" s="2" t="s">
        <v>57</v>
      </c>
      <c r="E1958" s="5">
        <v>-27972</v>
      </c>
      <c r="F1958" s="3" t="s">
        <v>1515</v>
      </c>
      <c r="G1958" s="3" t="s">
        <v>39</v>
      </c>
      <c r="H1958" s="2" t="s">
        <v>21</v>
      </c>
      <c r="I1958" s="2" t="s">
        <v>4204</v>
      </c>
      <c r="J1958" s="3" t="str">
        <f>HYPERLINK("https://www.boe.es/gazeta/dias/1823/05/31/pdfs/GMD-1823-33.pdf#page=1","Abrir facsímil")</f>
        <v>Abrir facsímil</v>
      </c>
      <c r="K1958" s="3" t="s">
        <v>23</v>
      </c>
    </row>
    <row r="1959" spans="1:11" ht="42" customHeight="1">
      <c r="A1959" s="2" t="s">
        <v>4205</v>
      </c>
      <c r="B1959" s="2" t="s">
        <v>4206</v>
      </c>
      <c r="C1959" s="2" t="s">
        <v>56</v>
      </c>
      <c r="D1959" s="2" t="s">
        <v>57</v>
      </c>
      <c r="E1959" s="5">
        <v>-27972</v>
      </c>
      <c r="F1959" s="3" t="s">
        <v>1515</v>
      </c>
      <c r="G1959" s="3" t="s">
        <v>39</v>
      </c>
      <c r="H1959" s="2" t="s">
        <v>21</v>
      </c>
      <c r="I1959" s="2" t="s">
        <v>4207</v>
      </c>
      <c r="J1959" s="3" t="str">
        <f>HYPERLINK("https://www.boe.es/gazeta/dias/1823/05/31/pdfs/GMD-1823-33.pdf#page=1","Abrir facsímil")</f>
        <v>Abrir facsímil</v>
      </c>
      <c r="K1959" s="3" t="s">
        <v>23</v>
      </c>
    </row>
    <row r="1960" spans="1:11" ht="42" customHeight="1">
      <c r="A1960" s="2" t="s">
        <v>4208</v>
      </c>
      <c r="B1960" s="2" t="s">
        <v>4209</v>
      </c>
      <c r="C1960" s="2" t="s">
        <v>56</v>
      </c>
      <c r="D1960" s="2" t="s">
        <v>57</v>
      </c>
      <c r="E1960" s="5">
        <v>-27972</v>
      </c>
      <c r="F1960" s="3" t="s">
        <v>1515</v>
      </c>
      <c r="G1960" s="3" t="s">
        <v>39</v>
      </c>
      <c r="H1960" s="2" t="s">
        <v>21</v>
      </c>
      <c r="I1960" s="2" t="s">
        <v>4210</v>
      </c>
      <c r="J1960" s="3" t="str">
        <f>HYPERLINK("https://www.boe.es/gazeta/dias/1823/05/31/pdfs/GMD-1823-33.pdf#page=1","Abrir facsímil")</f>
        <v>Abrir facsímil</v>
      </c>
      <c r="K1960" s="3" t="s">
        <v>23</v>
      </c>
    </row>
    <row r="1961" spans="1:11" ht="42" customHeight="1">
      <c r="A1961" s="2" t="s">
        <v>4208</v>
      </c>
      <c r="B1961" s="2" t="s">
        <v>4209</v>
      </c>
      <c r="C1961" s="2" t="s">
        <v>109</v>
      </c>
      <c r="D1961" s="2" t="s">
        <v>74</v>
      </c>
      <c r="E1961" s="5">
        <v>-27971</v>
      </c>
      <c r="F1961" s="3" t="s">
        <v>4211</v>
      </c>
      <c r="G1961" s="3" t="s">
        <v>20</v>
      </c>
      <c r="H1961" s="2" t="s">
        <v>21</v>
      </c>
      <c r="I1961" s="2" t="s">
        <v>4212</v>
      </c>
      <c r="J1961" s="3" t="str">
        <f>HYPERLINK("https://www.boe.es/gazeta/dias/1823/06/01/pdfs/GES-1823-55.pdf#page=4","Abrir facsímil")</f>
        <v>Abrir facsímil</v>
      </c>
      <c r="K1961" s="3" t="s">
        <v>23</v>
      </c>
    </row>
    <row r="1962" spans="1:11" ht="42" customHeight="1">
      <c r="A1962" s="2" t="s">
        <v>4213</v>
      </c>
      <c r="B1962" s="2" t="s">
        <v>4214</v>
      </c>
      <c r="C1962" s="2" t="s">
        <v>56</v>
      </c>
      <c r="D1962" s="2" t="s">
        <v>57</v>
      </c>
      <c r="E1962" s="5">
        <v>-27972</v>
      </c>
      <c r="F1962" s="3" t="s">
        <v>1515</v>
      </c>
      <c r="G1962" s="3" t="s">
        <v>39</v>
      </c>
      <c r="H1962" s="2" t="s">
        <v>21</v>
      </c>
      <c r="I1962" s="2" t="s">
        <v>4215</v>
      </c>
      <c r="J1962" s="3" t="str">
        <f>HYPERLINK("https://www.boe.es/gazeta/dias/1823/05/31/pdfs/GMD-1823-33.pdf#page=1","Abrir facsímil")</f>
        <v>Abrir facsímil</v>
      </c>
      <c r="K1962" s="3" t="s">
        <v>23</v>
      </c>
    </row>
    <row r="1963" spans="1:11" ht="42" customHeight="1">
      <c r="A1963" s="2" t="s">
        <v>4216</v>
      </c>
      <c r="B1963" s="2" t="s">
        <v>4217</v>
      </c>
      <c r="C1963" s="2" t="s">
        <v>56</v>
      </c>
      <c r="D1963" s="2" t="s">
        <v>117</v>
      </c>
      <c r="E1963" s="5">
        <v>-27976</v>
      </c>
      <c r="F1963" s="3" t="s">
        <v>1541</v>
      </c>
      <c r="G1963" s="3" t="s">
        <v>39</v>
      </c>
      <c r="H1963" s="2" t="s">
        <v>21</v>
      </c>
      <c r="I1963" s="2" t="s">
        <v>4218</v>
      </c>
      <c r="J1963" s="3" t="str">
        <f>HYPERLINK("https://www.boe.es/gazeta/dias/1823/05/27/pdfs/GMD-1823-13E.pdf#page=1","Abrir facsímil")</f>
        <v>Abrir facsímil</v>
      </c>
      <c r="K1963" s="3" t="s">
        <v>23</v>
      </c>
    </row>
    <row r="1964" spans="1:11" ht="42" customHeight="1">
      <c r="A1964" s="2" t="s">
        <v>4219</v>
      </c>
      <c r="B1964" s="2" t="s">
        <v>4220</v>
      </c>
      <c r="C1964" s="2" t="s">
        <v>79</v>
      </c>
      <c r="D1964" s="2" t="s">
        <v>74</v>
      </c>
      <c r="E1964" s="5">
        <v>-27969</v>
      </c>
      <c r="F1964" s="3" t="s">
        <v>204</v>
      </c>
      <c r="G1964" s="3" t="s">
        <v>39</v>
      </c>
      <c r="H1964" s="2" t="s">
        <v>21</v>
      </c>
      <c r="I1964" s="2" t="s">
        <v>4221</v>
      </c>
      <c r="J1964" s="3" t="str">
        <f>HYPERLINK("https://www.boe.es/gazeta/dias/1823/06/03/pdfs/GMD-1823-53.pdf#page=1","Abrir facsímil")</f>
        <v>Abrir facsímil</v>
      </c>
      <c r="K1964" s="3" t="s">
        <v>23</v>
      </c>
    </row>
    <row r="1965" spans="1:11" ht="42" customHeight="1">
      <c r="A1965" s="2" t="s">
        <v>4222</v>
      </c>
      <c r="B1965" s="2" t="s">
        <v>4223</v>
      </c>
      <c r="C1965" s="2" t="s">
        <v>17</v>
      </c>
      <c r="D1965" s="2" t="s">
        <v>18</v>
      </c>
      <c r="E1965" s="5">
        <v>-28035</v>
      </c>
      <c r="F1965" s="3" t="s">
        <v>138</v>
      </c>
      <c r="G1965" s="3" t="s">
        <v>20</v>
      </c>
      <c r="H1965" s="2" t="s">
        <v>21</v>
      </c>
      <c r="I1965" s="2" t="s">
        <v>4224</v>
      </c>
      <c r="J1965" s="3" t="str">
        <f>HYPERLINK("https://www.boe.es/gazeta/dias/1823/03/29/pdfs/GMD-1823-92.pdf#page=4","Abrir facsímil")</f>
        <v>Abrir facsímil</v>
      </c>
      <c r="K1965" s="3" t="s">
        <v>23</v>
      </c>
    </row>
    <row r="1966" spans="1:11" ht="42" customHeight="1">
      <c r="A1966" s="2" t="s">
        <v>4222</v>
      </c>
      <c r="B1966" s="2" t="s">
        <v>4223</v>
      </c>
      <c r="C1966" s="2" t="s">
        <v>17</v>
      </c>
      <c r="D1966" s="2" t="s">
        <v>18</v>
      </c>
      <c r="E1966" s="5">
        <v>-28033</v>
      </c>
      <c r="F1966" s="3" t="s">
        <v>1372</v>
      </c>
      <c r="G1966" s="3" t="s">
        <v>20</v>
      </c>
      <c r="H1966" s="2" t="s">
        <v>21</v>
      </c>
      <c r="I1966" s="2" t="s">
        <v>4225</v>
      </c>
      <c r="J1966" s="3" t="str">
        <f>HYPERLINK("https://www.boe.es/gazeta/dias/1823/03/31/pdfs/GMD-1823-94.pdf#page=4","Abrir facsímil")</f>
        <v>Abrir facsímil</v>
      </c>
      <c r="K1966" s="3" t="s">
        <v>23</v>
      </c>
    </row>
    <row r="1967" spans="1:11" ht="42" customHeight="1">
      <c r="A1967" s="2" t="s">
        <v>4226</v>
      </c>
      <c r="B1967" s="2" t="s">
        <v>4227</v>
      </c>
      <c r="C1967" s="2" t="s">
        <v>79</v>
      </c>
      <c r="D1967" s="2" t="s">
        <v>74</v>
      </c>
      <c r="E1967" s="5">
        <v>-28032</v>
      </c>
      <c r="F1967" s="3" t="s">
        <v>668</v>
      </c>
      <c r="G1967" s="3" t="s">
        <v>20</v>
      </c>
      <c r="H1967" s="2" t="s">
        <v>21</v>
      </c>
      <c r="I1967" s="2" t="s">
        <v>4228</v>
      </c>
      <c r="J1967" s="3" t="str">
        <f>HYPERLINK("https://www.boe.es/gazeta/dias/1823/04/01/pdfs/GMD-1823-95.pdf#page=4","Abrir facsímil")</f>
        <v>Abrir facsímil</v>
      </c>
      <c r="K1967" s="3" t="s">
        <v>23</v>
      </c>
    </row>
    <row r="1968" spans="1:11" ht="42" customHeight="1">
      <c r="A1968" s="2" t="s">
        <v>4229</v>
      </c>
      <c r="B1968" s="2" t="s">
        <v>4230</v>
      </c>
      <c r="C1968" s="2" t="s">
        <v>17</v>
      </c>
      <c r="D1968" s="2" t="s">
        <v>18</v>
      </c>
      <c r="E1968" s="5">
        <v>-27993</v>
      </c>
      <c r="F1968" s="3" t="s">
        <v>977</v>
      </c>
      <c r="G1968" s="3" t="s">
        <v>978</v>
      </c>
      <c r="H1968" s="2" t="s">
        <v>21</v>
      </c>
      <c r="I1968" s="2" t="s">
        <v>4231</v>
      </c>
      <c r="J1968" s="3" t="str">
        <f>HYPERLINK("https://www.boe.es/gazeta/dias/1823/05/10/pdfs/GES-1823-30.pdf#page=4","Abrir facsímil")</f>
        <v>Abrir facsímil</v>
      </c>
      <c r="K1968" s="3" t="s">
        <v>23</v>
      </c>
    </row>
    <row r="1969" spans="1:11" ht="42" customHeight="1">
      <c r="A1969" s="2" t="s">
        <v>4232</v>
      </c>
      <c r="B1969" s="2" t="s">
        <v>4233</v>
      </c>
      <c r="C1969" s="2" t="s">
        <v>17</v>
      </c>
      <c r="D1969" s="2" t="s">
        <v>18</v>
      </c>
      <c r="E1969" s="5">
        <v>-28027</v>
      </c>
      <c r="F1969" s="3" t="s">
        <v>4234</v>
      </c>
      <c r="G1969" s="3" t="s">
        <v>27</v>
      </c>
      <c r="H1969" s="2" t="s">
        <v>21</v>
      </c>
      <c r="I1969" s="2" t="s">
        <v>4235</v>
      </c>
      <c r="J1969" s="3" t="str">
        <f>HYPERLINK("https://www.boe.es/gazeta/dias/1823/04/06/pdfs/GMD-1823-101.pdf#page=2","Abrir facsímil")</f>
        <v>Abrir facsímil</v>
      </c>
      <c r="K1969" s="3" t="s">
        <v>23</v>
      </c>
    </row>
    <row r="1970" spans="1:11" ht="42" customHeight="1">
      <c r="A1970" s="2" t="s">
        <v>4236</v>
      </c>
      <c r="B1970" s="2" t="s">
        <v>4237</v>
      </c>
      <c r="C1970" s="2" t="s">
        <v>79</v>
      </c>
      <c r="D1970" s="2" t="s">
        <v>74</v>
      </c>
      <c r="E1970" s="5">
        <v>-28058</v>
      </c>
      <c r="F1970" s="3" t="s">
        <v>1282</v>
      </c>
      <c r="G1970" s="3" t="s">
        <v>39</v>
      </c>
      <c r="H1970" s="2" t="s">
        <v>21</v>
      </c>
      <c r="I1970" s="2" t="s">
        <v>4238</v>
      </c>
      <c r="J1970" s="3" t="str">
        <f>HYPERLINK("https://www.boe.es/gazeta/dias/1823/03/06/pdfs/GMD-1823-69.pdf#page=1","Abrir facsímil")</f>
        <v>Abrir facsímil</v>
      </c>
      <c r="K1970" s="3" t="s">
        <v>23</v>
      </c>
    </row>
    <row r="1971" spans="1:11" ht="42" customHeight="1">
      <c r="A1971" s="2" t="s">
        <v>4239</v>
      </c>
      <c r="B1971" s="2" t="s">
        <v>4239</v>
      </c>
      <c r="C1971" s="2" t="s">
        <v>17</v>
      </c>
      <c r="D1971" s="2" t="s">
        <v>18</v>
      </c>
      <c r="E1971" s="5">
        <v>-28106</v>
      </c>
      <c r="F1971" s="3" t="s">
        <v>280</v>
      </c>
      <c r="G1971" s="3" t="s">
        <v>281</v>
      </c>
      <c r="H1971" s="2" t="s">
        <v>21</v>
      </c>
      <c r="I1971" s="2" t="s">
        <v>4240</v>
      </c>
      <c r="J1971" s="3" t="str">
        <f>HYPERLINK("https://www.boe.es/gazeta/dias/1823/01/17/pdfs/GMD-1823-17.pdf#page=2","Abrir facsímil")</f>
        <v>Abrir facsímil</v>
      </c>
      <c r="K1971" s="3" t="s">
        <v>23</v>
      </c>
    </row>
    <row r="1972" spans="1:11" ht="42" customHeight="1">
      <c r="A1972" s="2" t="s">
        <v>4241</v>
      </c>
      <c r="B1972" s="2" t="s">
        <v>4242</v>
      </c>
      <c r="C1972" s="2" t="s">
        <v>17</v>
      </c>
      <c r="D1972" s="2" t="s">
        <v>18</v>
      </c>
      <c r="E1972" s="5">
        <v>-27766</v>
      </c>
      <c r="F1972" s="3" t="s">
        <v>3450</v>
      </c>
      <c r="G1972" s="3" t="s">
        <v>48</v>
      </c>
      <c r="H1972" s="2" t="s">
        <v>21</v>
      </c>
      <c r="I1972" s="2" t="s">
        <v>4243</v>
      </c>
      <c r="J1972" s="3" t="str">
        <f>HYPERLINK("https://www.boe.es/gazeta/dias/1823/12/23/pdfs/GMD-1823-1283.pdf#page=3","Abrir facsímil")</f>
        <v>Abrir facsímil</v>
      </c>
      <c r="K1972" s="3" t="s">
        <v>23</v>
      </c>
    </row>
    <row r="1973" spans="1:11" ht="42" customHeight="1">
      <c r="A1973" s="2" t="s">
        <v>4244</v>
      </c>
      <c r="B1973" s="2" t="s">
        <v>4245</v>
      </c>
      <c r="C1973" s="2" t="s">
        <v>79</v>
      </c>
      <c r="D1973" s="2" t="s">
        <v>74</v>
      </c>
      <c r="E1973" s="5">
        <v>-28041</v>
      </c>
      <c r="F1973" s="3" t="s">
        <v>873</v>
      </c>
      <c r="G1973" s="3" t="s">
        <v>48</v>
      </c>
      <c r="H1973" s="2" t="s">
        <v>21</v>
      </c>
      <c r="I1973" s="2" t="s">
        <v>4246</v>
      </c>
      <c r="J1973" s="3" t="str">
        <f>HYPERLINK("https://www.boe.es/gazeta/dias/1823/03/23/pdfs/GMD-1823-86.pdf#page=3","Abrir facsímil")</f>
        <v>Abrir facsímil</v>
      </c>
      <c r="K1973" s="3" t="s">
        <v>23</v>
      </c>
    </row>
    <row r="1974" spans="1:11" ht="42" customHeight="1">
      <c r="A1974" s="2" t="s">
        <v>4247</v>
      </c>
      <c r="B1974" s="2" t="s">
        <v>4247</v>
      </c>
      <c r="C1974" s="2" t="s">
        <v>17</v>
      </c>
      <c r="D1974" s="2" t="s">
        <v>18</v>
      </c>
      <c r="E1974" s="5">
        <v>-27928</v>
      </c>
      <c r="F1974" s="3" t="s">
        <v>1316</v>
      </c>
      <c r="G1974" s="3" t="s">
        <v>3173</v>
      </c>
      <c r="H1974" s="2" t="s">
        <v>21</v>
      </c>
      <c r="I1974" s="2" t="s">
        <v>4248</v>
      </c>
      <c r="J1974" s="3" t="str">
        <f>HYPERLINK("https://www.boe.es/gazeta/dias/1823/07/14/pdfs/GES-1823-94.pdf#page=1","Abrir facsímil")</f>
        <v>Abrir facsímil</v>
      </c>
      <c r="K1974" s="3" t="s">
        <v>23</v>
      </c>
    </row>
    <row r="1975" spans="1:11" ht="42" customHeight="1">
      <c r="A1975" s="2" t="s">
        <v>4249</v>
      </c>
      <c r="B1975" s="2" t="s">
        <v>4250</v>
      </c>
      <c r="C1975" s="2" t="s">
        <v>17</v>
      </c>
      <c r="D1975" s="2" t="s">
        <v>18</v>
      </c>
      <c r="E1975" s="5">
        <v>-27968</v>
      </c>
      <c r="F1975" s="3" t="s">
        <v>1160</v>
      </c>
      <c r="G1975" s="3" t="s">
        <v>39</v>
      </c>
      <c r="H1975" s="2" t="s">
        <v>21</v>
      </c>
      <c r="I1975" s="2" t="s">
        <v>4251</v>
      </c>
      <c r="J1975" s="3" t="str">
        <f>HYPERLINK("https://www.boe.es/gazeta/dias/1823/06/04/pdfs/GES-1823-58.pdf#page=1","Abrir facsímil")</f>
        <v>Abrir facsímil</v>
      </c>
      <c r="K1975" s="3" t="s">
        <v>23</v>
      </c>
    </row>
    <row r="1976" spans="1:11" ht="42" customHeight="1">
      <c r="A1976" s="2" t="s">
        <v>4252</v>
      </c>
      <c r="B1976" s="2" t="s">
        <v>4253</v>
      </c>
      <c r="C1976" s="2" t="s">
        <v>73</v>
      </c>
      <c r="D1976" s="2" t="s">
        <v>74</v>
      </c>
      <c r="E1976" s="5">
        <v>-28106</v>
      </c>
      <c r="F1976" s="3" t="s">
        <v>280</v>
      </c>
      <c r="G1976" s="3" t="s">
        <v>20</v>
      </c>
      <c r="H1976" s="2" t="s">
        <v>21</v>
      </c>
      <c r="I1976" s="2" t="s">
        <v>4254</v>
      </c>
      <c r="J1976" s="3" t="str">
        <f>HYPERLINK("https://www.boe.es/gazeta/dias/1823/01/17/pdfs/GMD-1823-17.pdf#page=4","Abrir facsímil")</f>
        <v>Abrir facsímil</v>
      </c>
      <c r="K1976" s="3" t="s">
        <v>23</v>
      </c>
    </row>
    <row r="1977" spans="1:11" ht="42" customHeight="1">
      <c r="A1977" s="2" t="s">
        <v>4255</v>
      </c>
      <c r="B1977" s="2" t="s">
        <v>4256</v>
      </c>
      <c r="C1977" s="2" t="s">
        <v>17</v>
      </c>
      <c r="D1977" s="2" t="s">
        <v>18</v>
      </c>
      <c r="E1977" s="5">
        <v>-28030</v>
      </c>
      <c r="F1977" s="3" t="s">
        <v>145</v>
      </c>
      <c r="G1977" s="3" t="s">
        <v>39</v>
      </c>
      <c r="H1977" s="2" t="s">
        <v>21</v>
      </c>
      <c r="I1977" s="2" t="s">
        <v>4257</v>
      </c>
      <c r="J1977" s="3" t="str">
        <f>HYPERLINK("https://www.boe.es/gazeta/dias/1823/04/03/pdfs/GMD-1823-97.pdf#page=1","Abrir facsímil")</f>
        <v>Abrir facsímil</v>
      </c>
      <c r="K1977" s="3" t="s">
        <v>23</v>
      </c>
    </row>
    <row r="1978" spans="1:11" ht="42" customHeight="1">
      <c r="A1978" s="2" t="s">
        <v>4258</v>
      </c>
      <c r="B1978" s="2" t="s">
        <v>4259</v>
      </c>
      <c r="C1978" s="2" t="s">
        <v>17</v>
      </c>
      <c r="D1978" s="2" t="s">
        <v>18</v>
      </c>
      <c r="E1978" s="5">
        <v>-28003</v>
      </c>
      <c r="F1978" s="3" t="s">
        <v>26</v>
      </c>
      <c r="G1978" s="3" t="s">
        <v>27</v>
      </c>
      <c r="H1978" s="2" t="s">
        <v>21</v>
      </c>
      <c r="I1978" s="2" t="s">
        <v>4260</v>
      </c>
      <c r="J1978" s="3" t="str">
        <f>HYPERLINK("https://www.boe.es/gazeta/dias/1823/04/30/pdfs/GES-1823-20.pdf#page=2","Abrir facsímil")</f>
        <v>Abrir facsímil</v>
      </c>
      <c r="K1978" s="3" t="s">
        <v>23</v>
      </c>
    </row>
    <row r="1979" spans="1:11" ht="42" customHeight="1">
      <c r="A1979" s="2" t="s">
        <v>4261</v>
      </c>
      <c r="B1979" s="2" t="s">
        <v>4261</v>
      </c>
      <c r="C1979" s="2" t="s">
        <v>17</v>
      </c>
      <c r="D1979" s="2" t="s">
        <v>18</v>
      </c>
      <c r="E1979" s="5">
        <v>-27871</v>
      </c>
      <c r="F1979" s="3" t="s">
        <v>1330</v>
      </c>
      <c r="G1979" s="3" t="s">
        <v>27</v>
      </c>
      <c r="H1979" s="2" t="s">
        <v>21</v>
      </c>
      <c r="I1979" s="2" t="s">
        <v>4262</v>
      </c>
      <c r="J1979" s="3" t="str">
        <f>HYPERLINK("https://www.boe.es/gazeta/dias/1823/09/09/pdfs/GMD-1823-733.pdf#page=2","Abrir facsímil")</f>
        <v>Abrir facsímil</v>
      </c>
      <c r="K1979" s="3" t="s">
        <v>23</v>
      </c>
    </row>
    <row r="1980" spans="1:11" ht="42" customHeight="1">
      <c r="A1980" s="2" t="s">
        <v>4261</v>
      </c>
      <c r="B1980" s="2" t="s">
        <v>4261</v>
      </c>
      <c r="C1980" s="2" t="s">
        <v>17</v>
      </c>
      <c r="D1980" s="2" t="s">
        <v>18</v>
      </c>
      <c r="E1980" s="5">
        <v>-27858</v>
      </c>
      <c r="F1980" s="3" t="s">
        <v>4263</v>
      </c>
      <c r="G1980" s="3" t="s">
        <v>48</v>
      </c>
      <c r="H1980" s="2" t="s">
        <v>21</v>
      </c>
      <c r="I1980" s="2" t="s">
        <v>4264</v>
      </c>
      <c r="J1980" s="3" t="str">
        <f>HYPERLINK("https://www.boe.es/gazeta/dias/1823/09/22/pdfs/GES-1823-166.pdf#page=3","Abrir facsímil")</f>
        <v>Abrir facsímil</v>
      </c>
      <c r="K1980" s="3" t="s">
        <v>23</v>
      </c>
    </row>
    <row r="1981" spans="1:11" ht="42" customHeight="1">
      <c r="A1981" s="2" t="s">
        <v>4265</v>
      </c>
      <c r="B1981" s="2" t="s">
        <v>4266</v>
      </c>
      <c r="C1981" s="2" t="s">
        <v>17</v>
      </c>
      <c r="D1981" s="2" t="s">
        <v>18</v>
      </c>
      <c r="E1981" s="5">
        <v>-27944</v>
      </c>
      <c r="F1981" s="3" t="s">
        <v>658</v>
      </c>
      <c r="G1981" s="3" t="s">
        <v>27</v>
      </c>
      <c r="H1981" s="2" t="s">
        <v>21</v>
      </c>
      <c r="I1981" s="2" t="s">
        <v>4267</v>
      </c>
      <c r="J1981" s="3" t="str">
        <f>HYPERLINK("https://www.boe.es/gazeta/dias/1823/06/28/pdfs/GMD-1823-303.pdf#page=2","Abrir facsímil")</f>
        <v>Abrir facsímil</v>
      </c>
      <c r="K1981" s="3" t="s">
        <v>23</v>
      </c>
    </row>
    <row r="1982" spans="1:11" ht="42" customHeight="1">
      <c r="A1982" s="2" t="s">
        <v>4268</v>
      </c>
      <c r="B1982" s="2" t="s">
        <v>4269</v>
      </c>
      <c r="C1982" s="2" t="s">
        <v>17</v>
      </c>
      <c r="D1982" s="2" t="s">
        <v>18</v>
      </c>
      <c r="E1982" s="5">
        <v>-27884</v>
      </c>
      <c r="F1982" s="3" t="s">
        <v>61</v>
      </c>
      <c r="G1982" s="3" t="s">
        <v>27</v>
      </c>
      <c r="H1982" s="2" t="s">
        <v>21</v>
      </c>
      <c r="I1982" s="2" t="s">
        <v>4270</v>
      </c>
      <c r="J1982" s="3" t="str">
        <f>HYPERLINK("https://www.boe.es/gazeta/dias/1823/08/27/pdfs/GES-1823-140.pdf#page=2","Abrir facsímil")</f>
        <v>Abrir facsímil</v>
      </c>
      <c r="K1982" s="3" t="s">
        <v>23</v>
      </c>
    </row>
    <row r="1983" spans="1:11" ht="42" customHeight="1">
      <c r="A1983" s="2" t="s">
        <v>4268</v>
      </c>
      <c r="B1983" s="2" t="s">
        <v>4269</v>
      </c>
      <c r="C1983" s="2" t="s">
        <v>17</v>
      </c>
      <c r="D1983" s="2" t="s">
        <v>18</v>
      </c>
      <c r="E1983" s="5">
        <v>-27861</v>
      </c>
      <c r="F1983" s="3" t="s">
        <v>425</v>
      </c>
      <c r="G1983" s="3" t="s">
        <v>39</v>
      </c>
      <c r="H1983" s="2" t="s">
        <v>21</v>
      </c>
      <c r="I1983" s="2" t="s">
        <v>4271</v>
      </c>
      <c r="J1983" s="3" t="str">
        <f>HYPERLINK("https://www.boe.es/gazeta/dias/1823/09/19/pdfs/GES-1823-163.pdf#page=1","Abrir facsímil")</f>
        <v>Abrir facsímil</v>
      </c>
      <c r="K1983" s="3" t="s">
        <v>23</v>
      </c>
    </row>
    <row r="1984" spans="1:11" ht="42" customHeight="1">
      <c r="A1984" s="2" t="s">
        <v>4272</v>
      </c>
      <c r="B1984" s="2" t="s">
        <v>4273</v>
      </c>
      <c r="C1984" s="2" t="s">
        <v>17</v>
      </c>
      <c r="D1984" s="2" t="s">
        <v>18</v>
      </c>
      <c r="E1984" s="5">
        <v>-27884</v>
      </c>
      <c r="F1984" s="3" t="s">
        <v>61</v>
      </c>
      <c r="G1984" s="3" t="s">
        <v>48</v>
      </c>
      <c r="H1984" s="2" t="s">
        <v>21</v>
      </c>
      <c r="I1984" s="2" t="s">
        <v>4274</v>
      </c>
      <c r="J1984" s="3" t="str">
        <f>HYPERLINK("https://www.boe.es/gazeta/dias/1823/08/27/pdfs/GES-1823-140.pdf#page=3","Abrir facsímil")</f>
        <v>Abrir facsímil</v>
      </c>
      <c r="K1984" s="3" t="s">
        <v>23</v>
      </c>
    </row>
    <row r="1985" spans="1:11" ht="42" customHeight="1">
      <c r="A1985" s="2" t="s">
        <v>4275</v>
      </c>
      <c r="B1985" s="2" t="s">
        <v>4276</v>
      </c>
      <c r="C1985" s="2" t="s">
        <v>17</v>
      </c>
      <c r="D1985" s="2" t="s">
        <v>18</v>
      </c>
      <c r="E1985" s="5">
        <v>-27864</v>
      </c>
      <c r="F1985" s="3" t="s">
        <v>1301</v>
      </c>
      <c r="G1985" s="3" t="s">
        <v>1302</v>
      </c>
      <c r="H1985" s="2" t="s">
        <v>21</v>
      </c>
      <c r="I1985" s="2" t="s">
        <v>4277</v>
      </c>
      <c r="J1985" s="3" t="str">
        <f>HYPERLINK("https://www.boe.es/gazeta/dias/1823/09/16/pdfs/GES-1823-160.pdf#page=1","Abrir facsímil")</f>
        <v>Abrir facsímil</v>
      </c>
      <c r="K1985" s="3" t="s">
        <v>23</v>
      </c>
    </row>
    <row r="1986" spans="1:11" ht="42" customHeight="1">
      <c r="A1986" s="2" t="s">
        <v>4278</v>
      </c>
      <c r="B1986" s="2" t="s">
        <v>4279</v>
      </c>
      <c r="C1986" s="2" t="s">
        <v>17</v>
      </c>
      <c r="D1986" s="2" t="s">
        <v>18</v>
      </c>
      <c r="E1986" s="5">
        <v>-28041</v>
      </c>
      <c r="F1986" s="3" t="s">
        <v>873</v>
      </c>
      <c r="G1986" s="3" t="s">
        <v>48</v>
      </c>
      <c r="H1986" s="2" t="s">
        <v>21</v>
      </c>
      <c r="I1986" s="2" t="s">
        <v>4280</v>
      </c>
      <c r="J1986" s="3" t="str">
        <f>HYPERLINK("https://www.boe.es/gazeta/dias/1823/03/23/pdfs/GMD-1823-86.pdf#page=3","Abrir facsímil")</f>
        <v>Abrir facsímil</v>
      </c>
      <c r="K1986" s="3" t="s">
        <v>23</v>
      </c>
    </row>
    <row r="1987" spans="1:11" ht="42" customHeight="1">
      <c r="A1987" s="2" t="s">
        <v>4281</v>
      </c>
      <c r="B1987" s="2" t="s">
        <v>4282</v>
      </c>
      <c r="C1987" s="2" t="s">
        <v>56</v>
      </c>
      <c r="D1987" s="2" t="s">
        <v>57</v>
      </c>
      <c r="E1987" s="5">
        <v>-28060</v>
      </c>
      <c r="F1987" s="3" t="s">
        <v>180</v>
      </c>
      <c r="G1987" s="3" t="s">
        <v>27</v>
      </c>
      <c r="H1987" s="2" t="s">
        <v>21</v>
      </c>
      <c r="I1987" s="2" t="s">
        <v>4283</v>
      </c>
      <c r="J1987" s="3" t="str">
        <f>HYPERLINK("https://www.boe.es/gazeta/dias/1823/03/04/pdfs/GMD-1823-67.pdf#page=2","Abrir facsímil")</f>
        <v>Abrir facsímil</v>
      </c>
      <c r="K1987" s="3" t="s">
        <v>23</v>
      </c>
    </row>
    <row r="1988" spans="1:11" ht="42" customHeight="1">
      <c r="A1988" s="2" t="s">
        <v>4284</v>
      </c>
      <c r="B1988" s="2" t="s">
        <v>4285</v>
      </c>
      <c r="C1988" s="2" t="s">
        <v>17</v>
      </c>
      <c r="D1988" s="2" t="s">
        <v>18</v>
      </c>
      <c r="E1988" s="5">
        <v>-27995</v>
      </c>
      <c r="F1988" s="3" t="s">
        <v>326</v>
      </c>
      <c r="G1988" s="3" t="s">
        <v>39</v>
      </c>
      <c r="H1988" s="2" t="s">
        <v>21</v>
      </c>
      <c r="I1988" s="2" t="s">
        <v>4286</v>
      </c>
      <c r="J1988" s="3" t="str">
        <f>HYPERLINK("https://www.boe.es/gazeta/dias/1823/05/08/pdfs/GMD-1823-112.pdf#page=1","Abrir facsímil")</f>
        <v>Abrir facsímil</v>
      </c>
      <c r="K1988" s="3" t="s">
        <v>23</v>
      </c>
    </row>
    <row r="1989" spans="1:11" ht="42" customHeight="1">
      <c r="A1989" s="2" t="s">
        <v>4287</v>
      </c>
      <c r="B1989" s="2" t="s">
        <v>4288</v>
      </c>
      <c r="C1989" s="2" t="s">
        <v>17</v>
      </c>
      <c r="D1989" s="2" t="s">
        <v>18</v>
      </c>
      <c r="E1989" s="5">
        <v>-27815</v>
      </c>
      <c r="F1989" s="3" t="s">
        <v>1266</v>
      </c>
      <c r="G1989" s="3" t="s">
        <v>48</v>
      </c>
      <c r="H1989" s="2" t="s">
        <v>21</v>
      </c>
      <c r="I1989" s="2" t="s">
        <v>4289</v>
      </c>
      <c r="J1989" s="3" t="str">
        <f>HYPERLINK("https://www.boe.es/gazeta/dias/1823/11/04/pdfs/GMD-1823-1063.pdf#page=3","Abrir facsímil")</f>
        <v>Abrir facsímil</v>
      </c>
      <c r="K1989" s="3" t="s">
        <v>23</v>
      </c>
    </row>
    <row r="1990" spans="1:11" ht="42" customHeight="1">
      <c r="A1990" s="2" t="s">
        <v>4290</v>
      </c>
      <c r="B1990" s="2" t="s">
        <v>4290</v>
      </c>
      <c r="C1990" s="2" t="s">
        <v>84</v>
      </c>
      <c r="D1990" s="2" t="s">
        <v>74</v>
      </c>
      <c r="E1990" s="5">
        <v>-28081</v>
      </c>
      <c r="F1990" s="3" t="s">
        <v>170</v>
      </c>
      <c r="G1990" s="3" t="s">
        <v>20</v>
      </c>
      <c r="H1990" s="2" t="s">
        <v>21</v>
      </c>
      <c r="I1990" s="2" t="s">
        <v>4291</v>
      </c>
      <c r="J1990" s="3" t="str">
        <f>HYPERLINK("https://www.boe.es/gazeta/dias/1823/02/11/pdfs/GMD-1823-45.pdf#page=4","Abrir facsímil")</f>
        <v>Abrir facsímil</v>
      </c>
      <c r="K1990" s="3" t="s">
        <v>23</v>
      </c>
    </row>
    <row r="1991" spans="1:11" ht="42" customHeight="1">
      <c r="A1991" s="2" t="s">
        <v>4292</v>
      </c>
      <c r="B1991" s="2" t="s">
        <v>4292</v>
      </c>
      <c r="C1991" s="2" t="s">
        <v>17</v>
      </c>
      <c r="D1991" s="2" t="s">
        <v>18</v>
      </c>
      <c r="E1991" s="5">
        <v>-27955</v>
      </c>
      <c r="F1991" s="3" t="s">
        <v>3015</v>
      </c>
      <c r="G1991" s="3" t="s">
        <v>59</v>
      </c>
      <c r="H1991" s="2" t="s">
        <v>21</v>
      </c>
      <c r="I1991" s="2" t="s">
        <v>4293</v>
      </c>
      <c r="J1991" s="3" t="str">
        <f>HYPERLINK("https://www.boe.es/gazeta/dias/1823/06/17/pdfs/GMD-1823-183.pdf#page=6","Abrir facsímil")</f>
        <v>Abrir facsímil</v>
      </c>
      <c r="K1991" s="3" t="s">
        <v>23</v>
      </c>
    </row>
    <row r="1992" spans="1:11" ht="42" customHeight="1">
      <c r="A1992" s="2" t="s">
        <v>4292</v>
      </c>
      <c r="B1992" s="2" t="s">
        <v>4292</v>
      </c>
      <c r="C1992" s="2" t="s">
        <v>17</v>
      </c>
      <c r="D1992" s="2" t="s">
        <v>18</v>
      </c>
      <c r="E1992" s="5">
        <v>-27945</v>
      </c>
      <c r="F1992" s="3" t="s">
        <v>628</v>
      </c>
      <c r="G1992" s="3" t="s">
        <v>48</v>
      </c>
      <c r="H1992" s="2" t="s">
        <v>21</v>
      </c>
      <c r="I1992" s="2" t="s">
        <v>4294</v>
      </c>
      <c r="J1992" s="3" t="str">
        <f>HYPERLINK("https://www.boe.es/gazeta/dias/1823/06/27/pdfs/GES-1823-77.pdf#page=3","Abrir facsímil")</f>
        <v>Abrir facsímil</v>
      </c>
      <c r="K1992" s="3" t="s">
        <v>23</v>
      </c>
    </row>
    <row r="1993" spans="1:11" ht="42" customHeight="1">
      <c r="A1993" s="2" t="s">
        <v>4295</v>
      </c>
      <c r="B1993" s="2" t="s">
        <v>4296</v>
      </c>
      <c r="C1993" s="2" t="s">
        <v>17</v>
      </c>
      <c r="D1993" s="2" t="s">
        <v>18</v>
      </c>
      <c r="E1993" s="5">
        <v>-27946</v>
      </c>
      <c r="F1993" s="3" t="s">
        <v>2146</v>
      </c>
      <c r="G1993" s="3" t="s">
        <v>20</v>
      </c>
      <c r="H1993" s="2" t="s">
        <v>21</v>
      </c>
      <c r="I1993" s="2" t="s">
        <v>4297</v>
      </c>
      <c r="J1993" s="3" t="str">
        <f>HYPERLINK("https://www.boe.es/gazeta/dias/1823/06/26/pdfs/GES-1823-76.pdf#page=4","Abrir facsímil")</f>
        <v>Abrir facsímil</v>
      </c>
      <c r="K1993" s="3" t="s">
        <v>23</v>
      </c>
    </row>
    <row r="1994" spans="1:11" ht="42" customHeight="1">
      <c r="A1994" s="2" t="s">
        <v>4298</v>
      </c>
      <c r="B1994" s="2" t="s">
        <v>4299</v>
      </c>
      <c r="C1994" s="2" t="s">
        <v>17</v>
      </c>
      <c r="D1994" s="2" t="s">
        <v>18</v>
      </c>
      <c r="E1994" s="5">
        <v>-27982</v>
      </c>
      <c r="F1994" s="3" t="s">
        <v>340</v>
      </c>
      <c r="G1994" s="3" t="s">
        <v>59</v>
      </c>
      <c r="H1994" s="2" t="s">
        <v>21</v>
      </c>
      <c r="I1994" s="2" t="s">
        <v>4300</v>
      </c>
      <c r="J1994" s="3" t="str">
        <f>HYPERLINK("https://www.boe.es/gazeta/dias/1823/05/21/pdfs/GES-1823-42.pdf#page=6","Abrir facsímil")</f>
        <v>Abrir facsímil</v>
      </c>
      <c r="K1994" s="3" t="s">
        <v>23</v>
      </c>
    </row>
    <row r="1995" spans="1:11" ht="42" customHeight="1">
      <c r="A1995" s="2" t="s">
        <v>4301</v>
      </c>
      <c r="B1995" s="2" t="s">
        <v>4302</v>
      </c>
      <c r="C1995" s="2" t="s">
        <v>325</v>
      </c>
      <c r="D1995" s="2" t="s">
        <v>74</v>
      </c>
      <c r="E1995" s="5">
        <v>-28011</v>
      </c>
      <c r="F1995" s="3" t="s">
        <v>3326</v>
      </c>
      <c r="G1995" s="3" t="s">
        <v>20</v>
      </c>
      <c r="H1995" s="2" t="s">
        <v>21</v>
      </c>
      <c r="I1995" s="2" t="s">
        <v>4303</v>
      </c>
      <c r="J1995" s="3" t="str">
        <f>HYPERLINK("https://www.boe.es/gazeta/dias/1823/04/22/pdfs/GES-1823-12.pdf#page=4","Abrir facsímil")</f>
        <v>Abrir facsímil</v>
      </c>
      <c r="K1995" s="3" t="s">
        <v>23</v>
      </c>
    </row>
    <row r="1996" spans="1:11" ht="42" customHeight="1">
      <c r="A1996" s="2" t="s">
        <v>4304</v>
      </c>
      <c r="B1996" s="2" t="s">
        <v>4305</v>
      </c>
      <c r="C1996" s="2" t="s">
        <v>17</v>
      </c>
      <c r="D1996" s="2" t="s">
        <v>18</v>
      </c>
      <c r="E1996" s="5">
        <v>-28055</v>
      </c>
      <c r="F1996" s="3" t="s">
        <v>313</v>
      </c>
      <c r="G1996" s="3" t="s">
        <v>48</v>
      </c>
      <c r="H1996" s="2" t="s">
        <v>21</v>
      </c>
      <c r="I1996" s="2" t="s">
        <v>4306</v>
      </c>
      <c r="J1996" s="3" t="str">
        <f>HYPERLINK("https://www.boe.es/gazeta/dias/1823/03/09/pdfs/GMD-1823-72.pdf#page=3","Abrir facsímil")</f>
        <v>Abrir facsímil</v>
      </c>
      <c r="K1996" s="3" t="s">
        <v>23</v>
      </c>
    </row>
    <row r="1997" spans="1:11" ht="42" customHeight="1">
      <c r="A1997" s="2" t="s">
        <v>4307</v>
      </c>
      <c r="B1997" s="2" t="s">
        <v>4308</v>
      </c>
      <c r="C1997" s="2" t="s">
        <v>17</v>
      </c>
      <c r="D1997" s="2" t="s">
        <v>18</v>
      </c>
      <c r="E1997" s="5">
        <v>-28004</v>
      </c>
      <c r="F1997" s="3" t="s">
        <v>33</v>
      </c>
      <c r="G1997" s="3" t="s">
        <v>34</v>
      </c>
      <c r="H1997" s="2" t="s">
        <v>21</v>
      </c>
      <c r="I1997" s="2" t="s">
        <v>4309</v>
      </c>
      <c r="J1997" s="3" t="str">
        <f>HYPERLINK("https://www.boe.es/gazeta/dias/1823/04/29/pdfs/GES-1823-19.pdf#page=5","Abrir facsímil")</f>
        <v>Abrir facsímil</v>
      </c>
      <c r="K1997" s="3" t="s">
        <v>23</v>
      </c>
    </row>
    <row r="1998" spans="1:11" ht="42" customHeight="1">
      <c r="A1998" s="2" t="s">
        <v>4310</v>
      </c>
      <c r="B1998" s="2" t="s">
        <v>4311</v>
      </c>
      <c r="C1998" s="2" t="s">
        <v>56</v>
      </c>
      <c r="D1998" s="2" t="s">
        <v>57</v>
      </c>
      <c r="E1998" s="5">
        <v>-27924</v>
      </c>
      <c r="F1998" s="3" t="s">
        <v>2385</v>
      </c>
      <c r="G1998" s="3" t="s">
        <v>39</v>
      </c>
      <c r="H1998" s="2" t="s">
        <v>21</v>
      </c>
      <c r="I1998" s="2" t="s">
        <v>4312</v>
      </c>
      <c r="J1998" s="3" t="str">
        <f>HYPERLINK("https://www.boe.es/gazeta/dias/1823/07/18/pdfs/GES-1823-99.pdf#page=1","Abrir facsímil")</f>
        <v>Abrir facsímil</v>
      </c>
      <c r="K1998" s="3" t="s">
        <v>23</v>
      </c>
    </row>
    <row r="1999" spans="1:11" ht="42" customHeight="1">
      <c r="A1999" s="2" t="s">
        <v>4313</v>
      </c>
      <c r="B1999" s="2" t="s">
        <v>4314</v>
      </c>
      <c r="C1999" s="2" t="s">
        <v>17</v>
      </c>
      <c r="D1999" s="2" t="s">
        <v>18</v>
      </c>
      <c r="E1999" s="5">
        <v>-28044</v>
      </c>
      <c r="F1999" s="3" t="s">
        <v>1930</v>
      </c>
      <c r="G1999" s="3" t="s">
        <v>20</v>
      </c>
      <c r="H1999" s="2" t="s">
        <v>21</v>
      </c>
      <c r="I1999" s="2" t="s">
        <v>4315</v>
      </c>
      <c r="J1999" s="3" t="str">
        <f>HYPERLINK("https://www.boe.es/gazeta/dias/1823/03/20/pdfs/GMD-1823-83.pdf#page=4","Abrir facsímil")</f>
        <v>Abrir facsímil</v>
      </c>
      <c r="K1999" s="3" t="s">
        <v>23</v>
      </c>
    </row>
    <row r="2000" spans="1:11" ht="42" customHeight="1">
      <c r="A2000" s="2" t="s">
        <v>4316</v>
      </c>
      <c r="B2000" s="2" t="s">
        <v>4317</v>
      </c>
      <c r="C2000" s="2" t="s">
        <v>79</v>
      </c>
      <c r="D2000" s="2" t="s">
        <v>74</v>
      </c>
      <c r="E2000" s="5">
        <v>-27965</v>
      </c>
      <c r="F2000" s="3" t="s">
        <v>208</v>
      </c>
      <c r="G2000" s="3" t="s">
        <v>48</v>
      </c>
      <c r="H2000" s="2" t="s">
        <v>21</v>
      </c>
      <c r="I2000" s="2" t="s">
        <v>4318</v>
      </c>
      <c r="J2000" s="3" t="str">
        <f>HYPERLINK("https://www.boe.es/gazeta/dias/1823/06/07/pdfs/GES-1823-61.pdf#page=3","Abrir facsímil")</f>
        <v>Abrir facsímil</v>
      </c>
      <c r="K2000" s="3" t="s">
        <v>23</v>
      </c>
    </row>
    <row r="2001" spans="1:11" ht="42" customHeight="1">
      <c r="A2001" s="2" t="s">
        <v>4319</v>
      </c>
      <c r="B2001" s="2" t="s">
        <v>4320</v>
      </c>
      <c r="C2001" s="2" t="s">
        <v>17</v>
      </c>
      <c r="D2001" s="2" t="s">
        <v>18</v>
      </c>
      <c r="E2001" s="5">
        <v>-27967</v>
      </c>
      <c r="F2001" s="3" t="s">
        <v>412</v>
      </c>
      <c r="G2001" s="3" t="s">
        <v>592</v>
      </c>
      <c r="H2001" s="2" t="s">
        <v>21</v>
      </c>
      <c r="I2001" s="2" t="s">
        <v>4321</v>
      </c>
      <c r="J2001" s="3" t="str">
        <f>HYPERLINK("https://www.boe.es/gazeta/dias/1823/06/05/pdfs/GES-1823-59.pdf#page=3","Abrir facsímil")</f>
        <v>Abrir facsímil</v>
      </c>
      <c r="K2001" s="3" t="s">
        <v>23</v>
      </c>
    </row>
    <row r="2002" spans="1:11" ht="42" customHeight="1">
      <c r="A2002" s="2" t="s">
        <v>4322</v>
      </c>
      <c r="B2002" s="2" t="s">
        <v>4323</v>
      </c>
      <c r="C2002" s="2" t="s">
        <v>73</v>
      </c>
      <c r="D2002" s="2" t="s">
        <v>74</v>
      </c>
      <c r="E2002" s="5">
        <v>-28078</v>
      </c>
      <c r="F2002" s="3" t="s">
        <v>508</v>
      </c>
      <c r="G2002" s="3" t="s">
        <v>59</v>
      </c>
      <c r="H2002" s="2" t="s">
        <v>21</v>
      </c>
      <c r="I2002" s="2" t="s">
        <v>4324</v>
      </c>
      <c r="J2002" s="3" t="str">
        <f>HYPERLINK("https://www.boe.es/gazeta/dias/1823/02/14/pdfs/GMD-1823-48.pdf#page=6","Abrir facsímil")</f>
        <v>Abrir facsímil</v>
      </c>
      <c r="K2002" s="3" t="s">
        <v>23</v>
      </c>
    </row>
    <row r="2003" spans="1:11" ht="42" customHeight="1">
      <c r="A2003" s="2" t="s">
        <v>4322</v>
      </c>
      <c r="B2003" s="2" t="s">
        <v>4323</v>
      </c>
      <c r="C2003" s="2" t="s">
        <v>79</v>
      </c>
      <c r="D2003" s="2" t="s">
        <v>74</v>
      </c>
      <c r="E2003" s="5">
        <v>-28065</v>
      </c>
      <c r="F2003" s="3" t="s">
        <v>686</v>
      </c>
      <c r="G2003" s="3" t="s">
        <v>20</v>
      </c>
      <c r="H2003" s="2" t="s">
        <v>21</v>
      </c>
      <c r="I2003" s="2" t="s">
        <v>4325</v>
      </c>
      <c r="J2003" s="3" t="str">
        <f>HYPERLINK("https://www.boe.es/gazeta/dias/1823/02/27/pdfs/GMD-1823-61.pdf#page=4","Abrir facsímil")</f>
        <v>Abrir facsímil</v>
      </c>
      <c r="K2003" s="3" t="s">
        <v>23</v>
      </c>
    </row>
    <row r="2004" spans="1:11" ht="42" customHeight="1">
      <c r="A2004" s="2" t="s">
        <v>4322</v>
      </c>
      <c r="B2004" s="2" t="s">
        <v>4323</v>
      </c>
      <c r="C2004" s="2" t="s">
        <v>17</v>
      </c>
      <c r="D2004" s="2" t="s">
        <v>18</v>
      </c>
      <c r="E2004" s="5">
        <v>-28061</v>
      </c>
      <c r="F2004" s="3" t="s">
        <v>704</v>
      </c>
      <c r="G2004" s="3" t="s">
        <v>59</v>
      </c>
      <c r="H2004" s="2" t="s">
        <v>21</v>
      </c>
      <c r="I2004" s="2" t="s">
        <v>4326</v>
      </c>
      <c r="J2004" s="3" t="str">
        <f>HYPERLINK("https://www.boe.es/gazeta/dias/1823/03/03/pdfs/GMD-1823-66.pdf#page=6","Abrir facsímil")</f>
        <v>Abrir facsímil</v>
      </c>
      <c r="K2004" s="3" t="s">
        <v>23</v>
      </c>
    </row>
    <row r="2005" spans="1:11" ht="42" customHeight="1">
      <c r="A2005" s="2" t="s">
        <v>4322</v>
      </c>
      <c r="B2005" s="2" t="s">
        <v>4323</v>
      </c>
      <c r="C2005" s="2" t="s">
        <v>1477</v>
      </c>
      <c r="D2005" s="2" t="s">
        <v>57</v>
      </c>
      <c r="E2005" s="5">
        <v>-28037</v>
      </c>
      <c r="F2005" s="3" t="s">
        <v>192</v>
      </c>
      <c r="G2005" s="3" t="s">
        <v>48</v>
      </c>
      <c r="H2005" s="2" t="s">
        <v>21</v>
      </c>
      <c r="I2005" s="2" t="s">
        <v>4327</v>
      </c>
      <c r="J2005" s="3" t="str">
        <f>HYPERLINK("https://www.boe.es/gazeta/dias/1823/03/27/pdfs/GMD-1823-90.pdf#page=3","Abrir facsímil")</f>
        <v>Abrir facsímil</v>
      </c>
      <c r="K2005" s="3" t="s">
        <v>23</v>
      </c>
    </row>
    <row r="2006" spans="1:11" ht="42" customHeight="1">
      <c r="A2006" s="2" t="s">
        <v>4328</v>
      </c>
      <c r="B2006" s="2" t="s">
        <v>4329</v>
      </c>
      <c r="C2006" s="2" t="s">
        <v>109</v>
      </c>
      <c r="D2006" s="2" t="s">
        <v>74</v>
      </c>
      <c r="E2006" s="5">
        <v>-28056</v>
      </c>
      <c r="F2006" s="3" t="s">
        <v>572</v>
      </c>
      <c r="G2006" s="3" t="s">
        <v>59</v>
      </c>
      <c r="H2006" s="2" t="s">
        <v>21</v>
      </c>
      <c r="I2006" s="2" t="s">
        <v>4330</v>
      </c>
      <c r="J2006" s="3" t="str">
        <f>HYPERLINK("https://www.boe.es/gazeta/dias/1823/03/08/pdfs/GMD-1823-71.pdf#page=6","Abrir facsímil")</f>
        <v>Abrir facsímil</v>
      </c>
      <c r="K2006" s="3" t="s">
        <v>23</v>
      </c>
    </row>
    <row r="2007" spans="1:11" ht="42" customHeight="1">
      <c r="A2007" s="2" t="s">
        <v>4331</v>
      </c>
      <c r="B2007" s="2" t="s">
        <v>4332</v>
      </c>
      <c r="C2007" s="2" t="s">
        <v>56</v>
      </c>
      <c r="D2007" s="2" t="s">
        <v>57</v>
      </c>
      <c r="E2007" s="5">
        <v>-28119</v>
      </c>
      <c r="F2007" s="3" t="s">
        <v>545</v>
      </c>
      <c r="G2007" s="3" t="s">
        <v>27</v>
      </c>
      <c r="H2007" s="2" t="s">
        <v>21</v>
      </c>
      <c r="I2007" s="2" t="s">
        <v>4333</v>
      </c>
      <c r="J2007" s="3" t="str">
        <f>HYPERLINK("https://www.boe.es/gazeta/dias/1823/01/04/pdfs/GMD-1823-4.pdf#page=2","Abrir facsímil")</f>
        <v>Abrir facsímil</v>
      </c>
      <c r="K2007" s="3" t="s">
        <v>23</v>
      </c>
    </row>
    <row r="2008" spans="1:11" ht="42" customHeight="1">
      <c r="A2008" s="2" t="s">
        <v>4334</v>
      </c>
      <c r="B2008" s="2" t="s">
        <v>4335</v>
      </c>
      <c r="C2008" s="2" t="s">
        <v>56</v>
      </c>
      <c r="D2008" s="2" t="s">
        <v>57</v>
      </c>
      <c r="E2008" s="5">
        <v>-28119</v>
      </c>
      <c r="F2008" s="3" t="s">
        <v>545</v>
      </c>
      <c r="G2008" s="3" t="s">
        <v>27</v>
      </c>
      <c r="H2008" s="2" t="s">
        <v>21</v>
      </c>
      <c r="I2008" s="2" t="s">
        <v>4336</v>
      </c>
      <c r="J2008" s="3" t="str">
        <f>HYPERLINK("https://www.boe.es/gazeta/dias/1823/01/04/pdfs/GMD-1823-4.pdf#page=2","Abrir facsímil")</f>
        <v>Abrir facsímil</v>
      </c>
      <c r="K2008" s="3" t="s">
        <v>23</v>
      </c>
    </row>
    <row r="2009" spans="1:11" ht="42" customHeight="1">
      <c r="A2009" s="2" t="s">
        <v>4337</v>
      </c>
      <c r="B2009" s="2" t="s">
        <v>4338</v>
      </c>
      <c r="C2009" s="2" t="s">
        <v>17</v>
      </c>
      <c r="D2009" s="2" t="s">
        <v>18</v>
      </c>
      <c r="E2009" s="5">
        <v>-27897</v>
      </c>
      <c r="F2009" s="3" t="s">
        <v>1569</v>
      </c>
      <c r="G2009" s="3" t="s">
        <v>20</v>
      </c>
      <c r="H2009" s="2" t="s">
        <v>21</v>
      </c>
      <c r="I2009" s="2" t="s">
        <v>4339</v>
      </c>
      <c r="J2009" s="3" t="str">
        <f>HYPERLINK("https://www.boe.es/gazeta/dias/1823/08/14/pdfs/GMD-1823-593.pdf#page=4","Abrir facsímil")</f>
        <v>Abrir facsímil</v>
      </c>
      <c r="K2009" s="3" t="s">
        <v>23</v>
      </c>
    </row>
    <row r="2010" spans="1:11" ht="42" customHeight="1">
      <c r="A2010" s="2" t="s">
        <v>4340</v>
      </c>
      <c r="B2010" s="2" t="s">
        <v>4341</v>
      </c>
      <c r="C2010" s="2" t="s">
        <v>79</v>
      </c>
      <c r="D2010" s="2" t="s">
        <v>74</v>
      </c>
      <c r="E2010" s="5">
        <v>-28109</v>
      </c>
      <c r="F2010" s="3" t="s">
        <v>889</v>
      </c>
      <c r="G2010" s="3" t="s">
        <v>20</v>
      </c>
      <c r="H2010" s="2" t="s">
        <v>28</v>
      </c>
      <c r="I2010" s="2" t="s">
        <v>4342</v>
      </c>
      <c r="J2010" s="3" t="str">
        <f>HYPERLINK("https://www.boe.es/gazeta/dias/1823/01/14/pdfs/GMD-1823-14.pdf#page=4","Abrir facsímil")</f>
        <v>Abrir facsímil</v>
      </c>
      <c r="K2010" s="3" t="s">
        <v>30</v>
      </c>
    </row>
    <row r="2011" spans="1:11" ht="42" customHeight="1">
      <c r="A2011" s="2" t="s">
        <v>4343</v>
      </c>
      <c r="B2011" s="2" t="s">
        <v>4344</v>
      </c>
      <c r="C2011" s="2" t="s">
        <v>17</v>
      </c>
      <c r="D2011" s="2" t="s">
        <v>18</v>
      </c>
      <c r="E2011" s="5">
        <v>-28069</v>
      </c>
      <c r="F2011" s="3" t="s">
        <v>2006</v>
      </c>
      <c r="G2011" s="3" t="s">
        <v>20</v>
      </c>
      <c r="H2011" s="2" t="s">
        <v>21</v>
      </c>
      <c r="I2011" s="2" t="s">
        <v>4345</v>
      </c>
      <c r="J2011" s="3" t="str">
        <f>HYPERLINK("https://www.boe.es/gazeta/dias/1823/02/23/pdfs/GMD-1823-57.pdf#page=4","Abrir facsímil")</f>
        <v>Abrir facsímil</v>
      </c>
      <c r="K2011" s="3" t="s">
        <v>23</v>
      </c>
    </row>
    <row r="2012" spans="1:11" ht="42" customHeight="1">
      <c r="A2012" s="2" t="s">
        <v>4343</v>
      </c>
      <c r="B2012" s="2" t="s">
        <v>4344</v>
      </c>
      <c r="C2012" s="2" t="s">
        <v>17</v>
      </c>
      <c r="D2012" s="2" t="s">
        <v>18</v>
      </c>
      <c r="E2012" s="5">
        <v>-28064</v>
      </c>
      <c r="F2012" s="3" t="s">
        <v>1190</v>
      </c>
      <c r="G2012" s="3" t="s">
        <v>20</v>
      </c>
      <c r="H2012" s="2" t="s">
        <v>21</v>
      </c>
      <c r="I2012" s="2" t="s">
        <v>4346</v>
      </c>
      <c r="J2012" s="3" t="str">
        <f>HYPERLINK("https://www.boe.es/gazeta/dias/1823/02/28/pdfs/GMD-1823-62.pdf#page=4","Abrir facsímil")</f>
        <v>Abrir facsímil</v>
      </c>
      <c r="K2012" s="3" t="s">
        <v>23</v>
      </c>
    </row>
    <row r="2013" spans="1:11" ht="42" customHeight="1">
      <c r="A2013" s="2" t="s">
        <v>4343</v>
      </c>
      <c r="B2013" s="2" t="s">
        <v>4344</v>
      </c>
      <c r="C2013" s="2" t="s">
        <v>56</v>
      </c>
      <c r="D2013" s="2" t="s">
        <v>57</v>
      </c>
      <c r="E2013" s="5">
        <v>-28061</v>
      </c>
      <c r="F2013" s="3" t="s">
        <v>704</v>
      </c>
      <c r="G2013" s="3" t="s">
        <v>59</v>
      </c>
      <c r="H2013" s="2" t="s">
        <v>21</v>
      </c>
      <c r="I2013" s="2" t="s">
        <v>4347</v>
      </c>
      <c r="J2013" s="3" t="str">
        <f>HYPERLINK("https://www.boe.es/gazeta/dias/1823/03/03/pdfs/GMD-1823-66.pdf#page=6","Abrir facsímil")</f>
        <v>Abrir facsímil</v>
      </c>
      <c r="K2013" s="3" t="s">
        <v>23</v>
      </c>
    </row>
    <row r="2014" spans="1:11" ht="42" customHeight="1">
      <c r="A2014" s="2" t="s">
        <v>4343</v>
      </c>
      <c r="B2014" s="2" t="s">
        <v>4344</v>
      </c>
      <c r="C2014" s="2" t="s">
        <v>17</v>
      </c>
      <c r="D2014" s="2" t="s">
        <v>18</v>
      </c>
      <c r="E2014" s="5">
        <v>-28044</v>
      </c>
      <c r="F2014" s="3" t="s">
        <v>1930</v>
      </c>
      <c r="G2014" s="3" t="s">
        <v>20</v>
      </c>
      <c r="H2014" s="2" t="s">
        <v>21</v>
      </c>
      <c r="I2014" s="2" t="s">
        <v>4348</v>
      </c>
      <c r="J2014" s="3" t="str">
        <f>HYPERLINK("https://www.boe.es/gazeta/dias/1823/03/20/pdfs/GMD-1823-83.pdf#page=4","Abrir facsímil")</f>
        <v>Abrir facsímil</v>
      </c>
      <c r="K2014" s="3" t="s">
        <v>23</v>
      </c>
    </row>
    <row r="2015" spans="1:11" ht="42" customHeight="1">
      <c r="A2015" s="2" t="s">
        <v>4343</v>
      </c>
      <c r="B2015" s="2" t="s">
        <v>4344</v>
      </c>
      <c r="C2015" s="2" t="s">
        <v>56</v>
      </c>
      <c r="D2015" s="2" t="s">
        <v>57</v>
      </c>
      <c r="E2015" s="5">
        <v>-28011</v>
      </c>
      <c r="F2015" s="3" t="s">
        <v>2416</v>
      </c>
      <c r="G2015" s="3" t="s">
        <v>1966</v>
      </c>
      <c r="H2015" s="2" t="s">
        <v>21</v>
      </c>
      <c r="I2015" s="2" t="s">
        <v>4349</v>
      </c>
      <c r="J2015" s="3" t="str">
        <f>HYPERLINK("https://www.boe.es/gazeta/dias/1823/04/22/pdfs/GMD-1823-42.pdf#page=4","Abrir facsímil")</f>
        <v>Abrir facsímil</v>
      </c>
      <c r="K2015" s="3" t="s">
        <v>23</v>
      </c>
    </row>
    <row r="2016" spans="1:11" ht="42" customHeight="1">
      <c r="A2016" s="2" t="s">
        <v>4350</v>
      </c>
      <c r="B2016" s="2" t="s">
        <v>4351</v>
      </c>
      <c r="C2016" s="2" t="s">
        <v>17</v>
      </c>
      <c r="D2016" s="2" t="s">
        <v>18</v>
      </c>
      <c r="E2016" s="5">
        <v>-28078</v>
      </c>
      <c r="F2016" s="3" t="s">
        <v>508</v>
      </c>
      <c r="G2016" s="3" t="s">
        <v>59</v>
      </c>
      <c r="H2016" s="2" t="s">
        <v>21</v>
      </c>
      <c r="I2016" s="2" t="s">
        <v>4352</v>
      </c>
      <c r="J2016" s="3" t="str">
        <f>HYPERLINK("https://www.boe.es/gazeta/dias/1823/02/14/pdfs/GMD-1823-48.pdf#page=6","Abrir facsímil")</f>
        <v>Abrir facsímil</v>
      </c>
      <c r="K2016" s="3" t="s">
        <v>23</v>
      </c>
    </row>
    <row r="2017" spans="1:11" ht="42" customHeight="1">
      <c r="A2017" s="2" t="s">
        <v>4353</v>
      </c>
      <c r="B2017" s="2" t="s">
        <v>4354</v>
      </c>
      <c r="C2017" s="2" t="s">
        <v>109</v>
      </c>
      <c r="D2017" s="2" t="s">
        <v>74</v>
      </c>
      <c r="E2017" s="5">
        <v>-28106</v>
      </c>
      <c r="F2017" s="3" t="s">
        <v>280</v>
      </c>
      <c r="G2017" s="3" t="s">
        <v>48</v>
      </c>
      <c r="H2017" s="2" t="s">
        <v>21</v>
      </c>
      <c r="I2017" s="2" t="s">
        <v>4355</v>
      </c>
      <c r="J2017" s="3" t="str">
        <f>HYPERLINK("https://www.boe.es/gazeta/dias/1823/01/17/pdfs/GMD-1823-17.pdf#page=3","Abrir facsímil")</f>
        <v>Abrir facsímil</v>
      </c>
      <c r="K2017" s="3" t="s">
        <v>23</v>
      </c>
    </row>
    <row r="2018" spans="1:11" ht="42" customHeight="1">
      <c r="A2018" s="2" t="s">
        <v>4356</v>
      </c>
      <c r="B2018" s="2" t="s">
        <v>4357</v>
      </c>
      <c r="C2018" s="2" t="s">
        <v>17</v>
      </c>
      <c r="D2018" s="2" t="s">
        <v>18</v>
      </c>
      <c r="E2018" s="5">
        <v>-27971</v>
      </c>
      <c r="F2018" s="3" t="s">
        <v>4211</v>
      </c>
      <c r="G2018" s="3" t="s">
        <v>4358</v>
      </c>
      <c r="H2018" s="2" t="s">
        <v>21</v>
      </c>
      <c r="I2018" s="2" t="s">
        <v>4359</v>
      </c>
      <c r="J2018" s="3" t="str">
        <f>HYPERLINK("https://www.boe.es/gazeta/dias/1823/06/01/pdfs/GES-1823-55.pdf#page=6","Abrir facsímil")</f>
        <v>Abrir facsímil</v>
      </c>
      <c r="K2018" s="3" t="s">
        <v>23</v>
      </c>
    </row>
    <row r="2019" spans="1:11" ht="42" customHeight="1">
      <c r="A2019" s="2" t="s">
        <v>4360</v>
      </c>
      <c r="B2019" s="2" t="s">
        <v>4361</v>
      </c>
      <c r="C2019" s="2" t="s">
        <v>56</v>
      </c>
      <c r="D2019" s="2" t="s">
        <v>57</v>
      </c>
      <c r="E2019" s="5">
        <v>-27986</v>
      </c>
      <c r="F2019" s="3" t="s">
        <v>75</v>
      </c>
      <c r="G2019" s="3" t="s">
        <v>39</v>
      </c>
      <c r="H2019" s="2" t="s">
        <v>21</v>
      </c>
      <c r="I2019" s="2" t="s">
        <v>4362</v>
      </c>
      <c r="J2019" s="3" t="str">
        <f>HYPERLINK("https://www.boe.es/gazeta/dias/1823/05/17/pdfs/GES-1823-37.pdf#page=1","Abrir facsímil")</f>
        <v>Abrir facsímil</v>
      </c>
      <c r="K2019" s="3" t="s">
        <v>23</v>
      </c>
    </row>
    <row r="2020" spans="1:11" ht="42" customHeight="1">
      <c r="A2020" s="2" t="s">
        <v>4363</v>
      </c>
      <c r="B2020" s="2" t="s">
        <v>4364</v>
      </c>
      <c r="C2020" s="2" t="s">
        <v>56</v>
      </c>
      <c r="D2020" s="2" t="s">
        <v>57</v>
      </c>
      <c r="E2020" s="5">
        <v>-27759</v>
      </c>
      <c r="F2020" s="3" t="s">
        <v>415</v>
      </c>
      <c r="G2020" s="3" t="s">
        <v>48</v>
      </c>
      <c r="H2020" s="2" t="s">
        <v>21</v>
      </c>
      <c r="I2020" s="2" t="s">
        <v>4365</v>
      </c>
      <c r="J2020" s="3" t="str">
        <f>HYPERLINK("https://www.boe.es/gazeta/dias/1823/12/30/pdfs/GMD-1823-1313.pdf#page=3","Abrir facsímil")</f>
        <v>Abrir facsímil</v>
      </c>
      <c r="K2020" s="3" t="s">
        <v>23</v>
      </c>
    </row>
    <row r="2021" spans="1:11" ht="42" customHeight="1">
      <c r="A2021" s="2" t="s">
        <v>4366</v>
      </c>
      <c r="B2021" s="2" t="s">
        <v>4367</v>
      </c>
      <c r="C2021" s="2" t="s">
        <v>79</v>
      </c>
      <c r="D2021" s="2" t="s">
        <v>74</v>
      </c>
      <c r="E2021" s="5">
        <v>-27986</v>
      </c>
      <c r="F2021" s="3" t="s">
        <v>75</v>
      </c>
      <c r="G2021" s="3" t="s">
        <v>59</v>
      </c>
      <c r="H2021" s="2" t="s">
        <v>21</v>
      </c>
      <c r="I2021" s="2" t="s">
        <v>4368</v>
      </c>
      <c r="J2021" s="3" t="str">
        <f>HYPERLINK("https://www.boe.es/gazeta/dias/1823/05/17/pdfs/GES-1823-37.pdf#page=6","Abrir facsímil")</f>
        <v>Abrir facsímil</v>
      </c>
      <c r="K2021" s="3" t="s">
        <v>23</v>
      </c>
    </row>
    <row r="2022" spans="1:11" ht="42" customHeight="1">
      <c r="A2022" s="2" t="s">
        <v>4369</v>
      </c>
      <c r="B2022" s="2" t="s">
        <v>4369</v>
      </c>
      <c r="C2022" s="2" t="s">
        <v>109</v>
      </c>
      <c r="D2022" s="2" t="s">
        <v>74</v>
      </c>
      <c r="E2022" s="5">
        <v>-28102</v>
      </c>
      <c r="F2022" s="3" t="s">
        <v>287</v>
      </c>
      <c r="G2022" s="3" t="s">
        <v>48</v>
      </c>
      <c r="H2022" s="2" t="s">
        <v>21</v>
      </c>
      <c r="I2022" s="2" t="s">
        <v>4370</v>
      </c>
      <c r="J2022" s="3" t="str">
        <f>HYPERLINK("https://www.boe.es/gazeta/dias/1823/01/21/pdfs/GMD-1823-22.pdf#page=3","Abrir facsímil")</f>
        <v>Abrir facsímil</v>
      </c>
      <c r="K2022" s="3" t="s">
        <v>23</v>
      </c>
    </row>
    <row r="2023" spans="1:11" ht="42" customHeight="1">
      <c r="A2023" s="2" t="s">
        <v>4369</v>
      </c>
      <c r="B2023" s="2" t="s">
        <v>4369</v>
      </c>
      <c r="C2023" s="2" t="s">
        <v>79</v>
      </c>
      <c r="D2023" s="2" t="s">
        <v>74</v>
      </c>
      <c r="E2023" s="5">
        <v>-28088</v>
      </c>
      <c r="F2023" s="3" t="s">
        <v>542</v>
      </c>
      <c r="G2023" s="3" t="s">
        <v>20</v>
      </c>
      <c r="H2023" s="2" t="s">
        <v>21</v>
      </c>
      <c r="I2023" s="2" t="s">
        <v>4371</v>
      </c>
      <c r="J2023" s="3" t="str">
        <f>HYPERLINK("https://www.boe.es/gazeta/dias/1823/02/04/pdfs/GMD-1823-37.pdf#page=4","Abrir facsímil")</f>
        <v>Abrir facsímil</v>
      </c>
      <c r="K2023" s="3" t="s">
        <v>23</v>
      </c>
    </row>
    <row r="2024" spans="1:11" ht="42" customHeight="1">
      <c r="A2024" s="2" t="s">
        <v>4369</v>
      </c>
      <c r="B2024" s="2" t="s">
        <v>4369</v>
      </c>
      <c r="C2024" s="2" t="s">
        <v>17</v>
      </c>
      <c r="D2024" s="2" t="s">
        <v>18</v>
      </c>
      <c r="E2024" s="5">
        <v>-27995</v>
      </c>
      <c r="F2024" s="3" t="s">
        <v>320</v>
      </c>
      <c r="G2024" s="3" t="s">
        <v>321</v>
      </c>
      <c r="H2024" s="2" t="s">
        <v>21</v>
      </c>
      <c r="I2024" s="2" t="s">
        <v>4372</v>
      </c>
      <c r="J2024" s="3" t="str">
        <f>HYPERLINK("https://www.boe.es/gazeta/dias/1823/05/08/pdfs/GES-1823-28.pdf#page=3","Abrir facsímil")</f>
        <v>Abrir facsímil</v>
      </c>
      <c r="K2024" s="3" t="s">
        <v>23</v>
      </c>
    </row>
    <row r="2025" spans="1:11" ht="42" customHeight="1">
      <c r="A2025" s="2" t="s">
        <v>4369</v>
      </c>
      <c r="B2025" s="2" t="s">
        <v>4369</v>
      </c>
      <c r="C2025" s="2" t="s">
        <v>17</v>
      </c>
      <c r="D2025" s="2" t="s">
        <v>18</v>
      </c>
      <c r="E2025" s="5">
        <v>-27990</v>
      </c>
      <c r="F2025" s="3" t="s">
        <v>330</v>
      </c>
      <c r="G2025" s="3" t="s">
        <v>27</v>
      </c>
      <c r="H2025" s="2" t="s">
        <v>21</v>
      </c>
      <c r="I2025" s="2" t="s">
        <v>4373</v>
      </c>
      <c r="J2025" s="3" t="str">
        <f>HYPERLINK("https://www.boe.es/gazeta/dias/1823/05/13/pdfs/GMD-1823-132.pdf#page=2","Abrir facsímil")</f>
        <v>Abrir facsímil</v>
      </c>
      <c r="K2025" s="3" t="s">
        <v>23</v>
      </c>
    </row>
    <row r="2026" spans="1:11" ht="42" customHeight="1">
      <c r="A2026" s="2" t="s">
        <v>4369</v>
      </c>
      <c r="B2026" s="2" t="s">
        <v>4369</v>
      </c>
      <c r="C2026" s="2" t="s">
        <v>79</v>
      </c>
      <c r="D2026" s="2" t="s">
        <v>74</v>
      </c>
      <c r="E2026" s="5">
        <v>-27964</v>
      </c>
      <c r="F2026" s="3" t="s">
        <v>58</v>
      </c>
      <c r="G2026" s="3" t="s">
        <v>39</v>
      </c>
      <c r="H2026" s="2" t="s">
        <v>21</v>
      </c>
      <c r="I2026" s="2" t="s">
        <v>4374</v>
      </c>
      <c r="J2026" s="3" t="str">
        <f>HYPERLINK("https://www.boe.es/gazeta/dias/1823/06/08/pdfs/GES-1823-62.pdf#page=1","Abrir facsímil")</f>
        <v>Abrir facsímil</v>
      </c>
      <c r="K2026" s="3" t="s">
        <v>23</v>
      </c>
    </row>
    <row r="2027" spans="1:11" ht="42" customHeight="1">
      <c r="A2027" s="2" t="s">
        <v>4369</v>
      </c>
      <c r="B2027" s="2" t="s">
        <v>4369</v>
      </c>
      <c r="C2027" s="2" t="s">
        <v>17</v>
      </c>
      <c r="D2027" s="2" t="s">
        <v>18</v>
      </c>
      <c r="E2027" s="5">
        <v>-27870</v>
      </c>
      <c r="F2027" s="3" t="s">
        <v>376</v>
      </c>
      <c r="G2027" s="3" t="s">
        <v>27</v>
      </c>
      <c r="H2027" s="2" t="s">
        <v>21</v>
      </c>
      <c r="I2027" s="2" t="s">
        <v>4375</v>
      </c>
      <c r="J2027" s="3" t="str">
        <f>HYPERLINK("https://www.boe.es/gazeta/dias/1823/09/10/pdfs/GES-1823-154.pdf#page=2","Abrir facsímil")</f>
        <v>Abrir facsímil</v>
      </c>
      <c r="K2027" s="3" t="s">
        <v>23</v>
      </c>
    </row>
    <row r="2028" spans="1:11" ht="42" customHeight="1">
      <c r="A2028" s="2" t="s">
        <v>4376</v>
      </c>
      <c r="B2028" s="2" t="s">
        <v>4377</v>
      </c>
      <c r="C2028" s="2" t="s">
        <v>17</v>
      </c>
      <c r="D2028" s="2" t="s">
        <v>18</v>
      </c>
      <c r="E2028" s="5">
        <v>-28025</v>
      </c>
      <c r="F2028" s="3" t="s">
        <v>477</v>
      </c>
      <c r="G2028" s="3" t="s">
        <v>20</v>
      </c>
      <c r="H2028" s="2" t="s">
        <v>21</v>
      </c>
      <c r="I2028" s="2" t="s">
        <v>4378</v>
      </c>
      <c r="J2028" s="3" t="str">
        <f>HYPERLINK("https://www.boe.es/gazeta/dias/1823/04/08/pdfs/GMD-1823-103.pdf#page=4","Abrir facsímil")</f>
        <v>Abrir facsímil</v>
      </c>
      <c r="K2028" s="3" t="s">
        <v>23</v>
      </c>
    </row>
    <row r="2029" spans="1:11" ht="42" customHeight="1">
      <c r="A2029" s="2" t="s">
        <v>4379</v>
      </c>
      <c r="B2029" s="2" t="s">
        <v>4380</v>
      </c>
      <c r="C2029" s="2" t="s">
        <v>17</v>
      </c>
      <c r="D2029" s="2" t="s">
        <v>18</v>
      </c>
      <c r="E2029" s="5">
        <v>-28041</v>
      </c>
      <c r="F2029" s="3" t="s">
        <v>873</v>
      </c>
      <c r="G2029" s="3" t="s">
        <v>366</v>
      </c>
      <c r="H2029" s="2" t="s">
        <v>21</v>
      </c>
      <c r="I2029" s="2" t="s">
        <v>4381</v>
      </c>
      <c r="J2029" s="3" t="str">
        <f>HYPERLINK("https://www.boe.es/gazeta/dias/1823/03/23/pdfs/GMD-1823-86.pdf#page=4","Abrir facsímil")</f>
        <v>Abrir facsímil</v>
      </c>
      <c r="K2029" s="3" t="s">
        <v>23</v>
      </c>
    </row>
    <row r="2030" spans="1:11" ht="42" customHeight="1">
      <c r="A2030" s="2" t="s">
        <v>4382</v>
      </c>
      <c r="B2030" s="2" t="s">
        <v>4383</v>
      </c>
      <c r="C2030" s="2" t="s">
        <v>17</v>
      </c>
      <c r="D2030" s="2" t="s">
        <v>117</v>
      </c>
      <c r="E2030" s="5">
        <v>-27912</v>
      </c>
      <c r="F2030" s="3" t="s">
        <v>2353</v>
      </c>
      <c r="G2030" s="3" t="s">
        <v>39</v>
      </c>
      <c r="H2030" s="2" t="s">
        <v>21</v>
      </c>
      <c r="I2030" s="2" t="s">
        <v>4384</v>
      </c>
      <c r="J2030" s="3" t="str">
        <f>HYPERLINK("https://www.boe.es/gazeta/dias/1823/07/30/pdfs/GMD-1823-493E.pdf#page=1","Abrir facsímil")</f>
        <v>Abrir facsímil</v>
      </c>
      <c r="K2030" s="3" t="s">
        <v>23</v>
      </c>
    </row>
    <row r="2031" spans="1:11" ht="42" customHeight="1">
      <c r="A2031" s="2" t="s">
        <v>4385</v>
      </c>
      <c r="B2031" s="2" t="s">
        <v>4386</v>
      </c>
      <c r="C2031" s="2" t="s">
        <v>79</v>
      </c>
      <c r="D2031" s="2" t="s">
        <v>74</v>
      </c>
      <c r="E2031" s="5">
        <v>-27939</v>
      </c>
      <c r="F2031" s="3" t="s">
        <v>1403</v>
      </c>
      <c r="G2031" s="3" t="s">
        <v>715</v>
      </c>
      <c r="H2031" s="2" t="s">
        <v>21</v>
      </c>
      <c r="I2031" s="2" t="s">
        <v>4387</v>
      </c>
      <c r="J2031" s="3" t="str">
        <f>HYPERLINK("https://www.boe.es/gazeta/dias/1823/07/03/pdfs/GMD-1823-333.pdf#page=8","Abrir facsímil")</f>
        <v>Abrir facsímil</v>
      </c>
      <c r="K2031" s="3" t="s">
        <v>23</v>
      </c>
    </row>
    <row r="2032" spans="1:11" ht="42" customHeight="1">
      <c r="A2032" s="2" t="s">
        <v>4388</v>
      </c>
      <c r="B2032" s="2" t="s">
        <v>4389</v>
      </c>
      <c r="C2032" s="2" t="s">
        <v>73</v>
      </c>
      <c r="D2032" s="2" t="s">
        <v>74</v>
      </c>
      <c r="E2032" s="5">
        <v>-28061</v>
      </c>
      <c r="F2032" s="3" t="s">
        <v>704</v>
      </c>
      <c r="G2032" s="3" t="s">
        <v>59</v>
      </c>
      <c r="H2032" s="2" t="s">
        <v>21</v>
      </c>
      <c r="I2032" s="2" t="s">
        <v>4390</v>
      </c>
      <c r="J2032" s="3" t="str">
        <f>HYPERLINK("https://www.boe.es/gazeta/dias/1823/03/03/pdfs/GMD-1823-66.pdf#page=6","Abrir facsímil")</f>
        <v>Abrir facsímil</v>
      </c>
      <c r="K2032" s="3" t="s">
        <v>23</v>
      </c>
    </row>
    <row r="2033" spans="1:11" ht="42" customHeight="1">
      <c r="A2033" s="2" t="s">
        <v>4391</v>
      </c>
      <c r="B2033" s="2" t="s">
        <v>4391</v>
      </c>
      <c r="C2033" s="2" t="s">
        <v>109</v>
      </c>
      <c r="D2033" s="2" t="s">
        <v>74</v>
      </c>
      <c r="E2033" s="5">
        <v>-27911</v>
      </c>
      <c r="F2033" s="3" t="s">
        <v>1393</v>
      </c>
      <c r="G2033" s="3" t="s">
        <v>48</v>
      </c>
      <c r="H2033" s="2" t="s">
        <v>21</v>
      </c>
      <c r="I2033" s="2" t="s">
        <v>4392</v>
      </c>
      <c r="J2033" s="3" t="str">
        <f>HYPERLINK("https://www.boe.es/gazeta/dias/1823/07/31/pdfs/GMD-1823-503.pdf#page=3","Abrir facsímil")</f>
        <v>Abrir facsímil</v>
      </c>
      <c r="K2033" s="3" t="s">
        <v>23</v>
      </c>
    </row>
    <row r="2034" spans="1:11" ht="42" customHeight="1">
      <c r="A2034" s="2" t="s">
        <v>4393</v>
      </c>
      <c r="B2034" s="2" t="s">
        <v>4394</v>
      </c>
      <c r="C2034" s="2" t="s">
        <v>84</v>
      </c>
      <c r="D2034" s="2" t="s">
        <v>74</v>
      </c>
      <c r="E2034" s="5">
        <v>-27771</v>
      </c>
      <c r="F2034" s="3" t="s">
        <v>1611</v>
      </c>
      <c r="G2034" s="3" t="s">
        <v>27</v>
      </c>
      <c r="H2034" s="2" t="s">
        <v>21</v>
      </c>
      <c r="I2034" s="2" t="s">
        <v>4395</v>
      </c>
      <c r="J2034" s="3" t="str">
        <f>HYPERLINK("https://www.boe.es/gazeta/dias/1823/12/18/pdfs/GMD-1823-1263.pdf#page=2","Abrir facsímil")</f>
        <v>Abrir facsímil</v>
      </c>
      <c r="K2034" s="3" t="s">
        <v>23</v>
      </c>
    </row>
    <row r="2035" spans="1:11" ht="42" customHeight="1">
      <c r="A2035" s="2" t="s">
        <v>4396</v>
      </c>
      <c r="B2035" s="2" t="s">
        <v>4396</v>
      </c>
      <c r="C2035" s="2" t="s">
        <v>17</v>
      </c>
      <c r="D2035" s="2" t="s">
        <v>18</v>
      </c>
      <c r="E2035" s="5">
        <v>-28009</v>
      </c>
      <c r="F2035" s="3" t="s">
        <v>307</v>
      </c>
      <c r="G2035" s="3" t="s">
        <v>34</v>
      </c>
      <c r="H2035" s="2" t="s">
        <v>21</v>
      </c>
      <c r="I2035" s="2" t="s">
        <v>4397</v>
      </c>
      <c r="J2035" s="3" t="str">
        <f>HYPERLINK("https://www.boe.es/gazeta/dias/1823/04/24/pdfs/GES-1823-14.pdf#page=5","Abrir facsímil")</f>
        <v>Abrir facsímil</v>
      </c>
      <c r="K2035" s="3" t="s">
        <v>23</v>
      </c>
    </row>
    <row r="2036" spans="1:11" ht="42" customHeight="1">
      <c r="A2036" s="2" t="s">
        <v>4396</v>
      </c>
      <c r="B2036" s="2" t="s">
        <v>4396</v>
      </c>
      <c r="C2036" s="2" t="s">
        <v>17</v>
      </c>
      <c r="D2036" s="2" t="s">
        <v>18</v>
      </c>
      <c r="E2036" s="5">
        <v>-28003</v>
      </c>
      <c r="F2036" s="3" t="s">
        <v>26</v>
      </c>
      <c r="G2036" s="3" t="s">
        <v>20</v>
      </c>
      <c r="H2036" s="2" t="s">
        <v>21</v>
      </c>
      <c r="I2036" s="2" t="s">
        <v>4398</v>
      </c>
      <c r="J2036" s="3" t="str">
        <f>HYPERLINK("https://www.boe.es/gazeta/dias/1823/04/30/pdfs/GES-1823-20.pdf#page=4","Abrir facsímil")</f>
        <v>Abrir facsímil</v>
      </c>
      <c r="K2036" s="3" t="s">
        <v>23</v>
      </c>
    </row>
    <row r="2037" spans="1:11" ht="42" customHeight="1">
      <c r="A2037" s="2" t="s">
        <v>4396</v>
      </c>
      <c r="B2037" s="2" t="s">
        <v>4396</v>
      </c>
      <c r="C2037" s="2" t="s">
        <v>79</v>
      </c>
      <c r="D2037" s="2" t="s">
        <v>74</v>
      </c>
      <c r="E2037" s="5">
        <v>-27982</v>
      </c>
      <c r="F2037" s="3" t="s">
        <v>340</v>
      </c>
      <c r="G2037" s="3" t="s">
        <v>27</v>
      </c>
      <c r="H2037" s="2" t="s">
        <v>21</v>
      </c>
      <c r="I2037" s="2" t="s">
        <v>4399</v>
      </c>
      <c r="J2037" s="3" t="str">
        <f>HYPERLINK("https://www.boe.es/gazeta/dias/1823/05/21/pdfs/GES-1823-42.pdf#page=2","Abrir facsímil")</f>
        <v>Abrir facsímil</v>
      </c>
      <c r="K2037" s="3" t="s">
        <v>23</v>
      </c>
    </row>
    <row r="2038" spans="1:11" ht="42" customHeight="1">
      <c r="A2038" s="2" t="s">
        <v>4396</v>
      </c>
      <c r="B2038" s="2" t="s">
        <v>4396</v>
      </c>
      <c r="C2038" s="2" t="s">
        <v>73</v>
      </c>
      <c r="D2038" s="2" t="s">
        <v>74</v>
      </c>
      <c r="E2038" s="5">
        <v>-27970</v>
      </c>
      <c r="F2038" s="3" t="s">
        <v>1030</v>
      </c>
      <c r="G2038" s="3" t="s">
        <v>27</v>
      </c>
      <c r="H2038" s="2" t="s">
        <v>21</v>
      </c>
      <c r="I2038" s="2" t="s">
        <v>4400</v>
      </c>
      <c r="J2038" s="3" t="str">
        <f>HYPERLINK("https://www.boe.es/gazeta/dias/1823/06/02/pdfs/GES-1823-56.pdf#page=2","Abrir facsímil")</f>
        <v>Abrir facsímil</v>
      </c>
      <c r="K2038" s="3" t="s">
        <v>23</v>
      </c>
    </row>
    <row r="2039" spans="1:11" ht="42" customHeight="1">
      <c r="A2039" s="2" t="s">
        <v>4396</v>
      </c>
      <c r="B2039" s="2" t="s">
        <v>4396</v>
      </c>
      <c r="C2039" s="2" t="s">
        <v>17</v>
      </c>
      <c r="D2039" s="2" t="s">
        <v>18</v>
      </c>
      <c r="E2039" s="5">
        <v>-27969</v>
      </c>
      <c r="F2039" s="3" t="s">
        <v>855</v>
      </c>
      <c r="G2039" s="3" t="s">
        <v>1158</v>
      </c>
      <c r="H2039" s="2" t="s">
        <v>21</v>
      </c>
      <c r="I2039" s="2" t="s">
        <v>4401</v>
      </c>
      <c r="J2039" s="3" t="str">
        <f>HYPERLINK("https://www.boe.es/gazeta/dias/1823/06/03/pdfs/GES-1823-57.pdf#page=2","Abrir facsímil")</f>
        <v>Abrir facsímil</v>
      </c>
      <c r="K2039" s="3" t="s">
        <v>23</v>
      </c>
    </row>
    <row r="2040" spans="1:11" ht="42" customHeight="1">
      <c r="A2040" s="2" t="s">
        <v>4396</v>
      </c>
      <c r="B2040" s="2" t="s">
        <v>4396</v>
      </c>
      <c r="C2040" s="2" t="s">
        <v>17</v>
      </c>
      <c r="D2040" s="2" t="s">
        <v>18</v>
      </c>
      <c r="E2040" s="5">
        <v>-27937</v>
      </c>
      <c r="F2040" s="3" t="s">
        <v>730</v>
      </c>
      <c r="G2040" s="3" t="s">
        <v>39</v>
      </c>
      <c r="H2040" s="2" t="s">
        <v>21</v>
      </c>
      <c r="I2040" s="2" t="s">
        <v>4402</v>
      </c>
      <c r="J2040" s="3" t="str">
        <f>HYPERLINK("https://www.boe.es/gazeta/dias/1823/07/05/pdfs/GES-1823-85.pdf#page=1","Abrir facsímil")</f>
        <v>Abrir facsímil</v>
      </c>
      <c r="K2040" s="3" t="s">
        <v>23</v>
      </c>
    </row>
    <row r="2041" spans="1:11" ht="42" customHeight="1">
      <c r="A2041" s="2" t="s">
        <v>4396</v>
      </c>
      <c r="B2041" s="2" t="s">
        <v>4396</v>
      </c>
      <c r="C2041" s="2" t="s">
        <v>79</v>
      </c>
      <c r="D2041" s="2" t="s">
        <v>74</v>
      </c>
      <c r="E2041" s="5">
        <v>-27899</v>
      </c>
      <c r="F2041" s="3" t="s">
        <v>2172</v>
      </c>
      <c r="G2041" s="3" t="s">
        <v>39</v>
      </c>
      <c r="H2041" s="2" t="s">
        <v>21</v>
      </c>
      <c r="I2041" s="2" t="s">
        <v>4403</v>
      </c>
      <c r="J2041" s="3" t="str">
        <f>HYPERLINK("https://www.boe.es/gazeta/dias/1823/08/12/pdfs/GES-1823-125.pdf#page=1","Abrir facsímil")</f>
        <v>Abrir facsímil</v>
      </c>
      <c r="K2041" s="3" t="s">
        <v>23</v>
      </c>
    </row>
    <row r="2042" spans="1:11" ht="42" customHeight="1">
      <c r="A2042" s="2" t="s">
        <v>4396</v>
      </c>
      <c r="B2042" s="2" t="s">
        <v>4396</v>
      </c>
      <c r="C2042" s="2" t="s">
        <v>79</v>
      </c>
      <c r="D2042" s="2" t="s">
        <v>74</v>
      </c>
      <c r="E2042" s="5">
        <v>-27868</v>
      </c>
      <c r="F2042" s="3" t="s">
        <v>2166</v>
      </c>
      <c r="G2042" s="3" t="s">
        <v>27</v>
      </c>
      <c r="H2042" s="2" t="s">
        <v>21</v>
      </c>
      <c r="I2042" s="2" t="s">
        <v>4404</v>
      </c>
      <c r="J2042" s="3" t="str">
        <f>HYPERLINK("https://www.boe.es/gazeta/dias/1823/09/12/pdfs/GES-1823-156.pdf#page=2","Abrir facsímil")</f>
        <v>Abrir facsímil</v>
      </c>
      <c r="K2042" s="3" t="s">
        <v>23</v>
      </c>
    </row>
    <row r="2043" spans="1:11" ht="42" customHeight="1">
      <c r="A2043" s="2" t="s">
        <v>4405</v>
      </c>
      <c r="B2043" s="2" t="s">
        <v>4406</v>
      </c>
      <c r="C2043" s="2" t="s">
        <v>17</v>
      </c>
      <c r="D2043" s="2" t="s">
        <v>18</v>
      </c>
      <c r="E2043" s="5">
        <v>-28104</v>
      </c>
      <c r="F2043" s="3" t="s">
        <v>114</v>
      </c>
      <c r="G2043" s="3" t="s">
        <v>59</v>
      </c>
      <c r="H2043" s="2" t="s">
        <v>21</v>
      </c>
      <c r="I2043" s="2" t="s">
        <v>4407</v>
      </c>
      <c r="J2043" s="3" t="str">
        <f>HYPERLINK("https://www.boe.es/gazeta/dias/1823/01/19/pdfs/GMD-1823-19.pdf#page=6","Abrir facsímil")</f>
        <v>Abrir facsímil</v>
      </c>
      <c r="K2043" s="3" t="s">
        <v>23</v>
      </c>
    </row>
    <row r="2044" spans="1:11" ht="42" customHeight="1">
      <c r="A2044" s="2" t="s">
        <v>4408</v>
      </c>
      <c r="B2044" s="2" t="s">
        <v>4409</v>
      </c>
      <c r="C2044" s="2" t="s">
        <v>17</v>
      </c>
      <c r="D2044" s="2" t="s">
        <v>18</v>
      </c>
      <c r="E2044" s="5">
        <v>-28000</v>
      </c>
      <c r="F2044" s="3" t="s">
        <v>1118</v>
      </c>
      <c r="G2044" s="3" t="s">
        <v>34</v>
      </c>
      <c r="H2044" s="2" t="s">
        <v>28</v>
      </c>
      <c r="I2044" s="2" t="s">
        <v>4410</v>
      </c>
      <c r="J2044" s="3" t="str">
        <f>HYPERLINK("https://www.boe.es/gazeta/dias/1823/05/03/pdfs/GES-1823-23.pdf#page=5","Abrir facsímil")</f>
        <v>Abrir facsímil</v>
      </c>
      <c r="K2044" s="3" t="s">
        <v>30</v>
      </c>
    </row>
    <row r="2045" spans="1:11" ht="42" customHeight="1">
      <c r="A2045" s="2" t="s">
        <v>4411</v>
      </c>
      <c r="B2045" s="2" t="s">
        <v>4411</v>
      </c>
      <c r="C2045" s="2" t="s">
        <v>56</v>
      </c>
      <c r="D2045" s="2" t="s">
        <v>57</v>
      </c>
      <c r="E2045" s="5">
        <v>-27933</v>
      </c>
      <c r="F2045" s="3" t="s">
        <v>1079</v>
      </c>
      <c r="G2045" s="3" t="s">
        <v>48</v>
      </c>
      <c r="H2045" s="2" t="s">
        <v>21</v>
      </c>
      <c r="I2045" s="2" t="s">
        <v>4412</v>
      </c>
      <c r="J2045" s="3" t="str">
        <f>HYPERLINK("https://www.boe.es/gazeta/dias/1823/07/09/pdfs/GES-1823-89.pdf#page=3","Abrir facsímil")</f>
        <v>Abrir facsímil</v>
      </c>
      <c r="K2045" s="3" t="s">
        <v>23</v>
      </c>
    </row>
    <row r="2046" spans="1:11" ht="42" customHeight="1">
      <c r="A2046" s="2" t="s">
        <v>4413</v>
      </c>
      <c r="B2046" s="2" t="s">
        <v>4413</v>
      </c>
      <c r="C2046" s="2" t="s">
        <v>79</v>
      </c>
      <c r="D2046" s="2" t="s">
        <v>74</v>
      </c>
      <c r="E2046" s="5">
        <v>-28117</v>
      </c>
      <c r="F2046" s="3" t="s">
        <v>271</v>
      </c>
      <c r="G2046" s="3" t="s">
        <v>20</v>
      </c>
      <c r="H2046" s="2" t="s">
        <v>21</v>
      </c>
      <c r="I2046" s="2" t="s">
        <v>4414</v>
      </c>
      <c r="J2046" s="3" t="str">
        <f>HYPERLINK("https://www.boe.es/gazeta/dias/1823/01/06/pdfs/GMD-1823-6.pdf#page=4","Abrir facsímil")</f>
        <v>Abrir facsímil</v>
      </c>
      <c r="K2046" s="3" t="s">
        <v>23</v>
      </c>
    </row>
    <row r="2047" spans="1:11" ht="42" customHeight="1">
      <c r="A2047" s="2" t="s">
        <v>4413</v>
      </c>
      <c r="B2047" s="2" t="s">
        <v>4413</v>
      </c>
      <c r="C2047" s="2" t="s">
        <v>109</v>
      </c>
      <c r="D2047" s="2" t="s">
        <v>74</v>
      </c>
      <c r="E2047" s="5">
        <v>-28114</v>
      </c>
      <c r="F2047" s="3" t="s">
        <v>153</v>
      </c>
      <c r="G2047" s="3" t="s">
        <v>27</v>
      </c>
      <c r="H2047" s="2" t="s">
        <v>21</v>
      </c>
      <c r="I2047" s="2" t="s">
        <v>4415</v>
      </c>
      <c r="J2047" s="3" t="str">
        <f>HYPERLINK("https://www.boe.es/gazeta/dias/1823/01/09/pdfs/GMD-1823-9.pdf#page=2","Abrir facsímil")</f>
        <v>Abrir facsímil</v>
      </c>
      <c r="K2047" s="3" t="s">
        <v>23</v>
      </c>
    </row>
    <row r="2048" spans="1:11" ht="42" customHeight="1">
      <c r="A2048" s="2" t="s">
        <v>4413</v>
      </c>
      <c r="B2048" s="2" t="s">
        <v>4413</v>
      </c>
      <c r="C2048" s="2" t="s">
        <v>109</v>
      </c>
      <c r="D2048" s="2" t="s">
        <v>74</v>
      </c>
      <c r="E2048" s="5">
        <v>-28113</v>
      </c>
      <c r="F2048" s="3" t="s">
        <v>2088</v>
      </c>
      <c r="G2048" s="3" t="s">
        <v>27</v>
      </c>
      <c r="H2048" s="2" t="s">
        <v>21</v>
      </c>
      <c r="I2048" s="2" t="s">
        <v>4416</v>
      </c>
      <c r="J2048" s="3" t="str">
        <f>HYPERLINK("https://www.boe.es/gazeta/dias/1823/01/10/pdfs/GMD-1823-10.pdf#page=2","Abrir facsímil")</f>
        <v>Abrir facsímil</v>
      </c>
      <c r="K2048" s="3" t="s">
        <v>23</v>
      </c>
    </row>
    <row r="2049" spans="1:11" ht="42" customHeight="1">
      <c r="A2049" s="2" t="s">
        <v>4413</v>
      </c>
      <c r="B2049" s="2" t="s">
        <v>4413</v>
      </c>
      <c r="C2049" s="2" t="s">
        <v>109</v>
      </c>
      <c r="D2049" s="2" t="s">
        <v>74</v>
      </c>
      <c r="E2049" s="5">
        <v>-28113</v>
      </c>
      <c r="F2049" s="3" t="s">
        <v>2088</v>
      </c>
      <c r="G2049" s="3" t="s">
        <v>48</v>
      </c>
      <c r="H2049" s="2" t="s">
        <v>21</v>
      </c>
      <c r="I2049" s="2" t="s">
        <v>4417</v>
      </c>
      <c r="J2049" s="3" t="str">
        <f>HYPERLINK("https://www.boe.es/gazeta/dias/1823/01/10/pdfs/GMD-1823-10.pdf#page=3","Abrir facsímil")</f>
        <v>Abrir facsímil</v>
      </c>
      <c r="K2049" s="3" t="s">
        <v>23</v>
      </c>
    </row>
    <row r="2050" spans="1:11" ht="42" customHeight="1">
      <c r="A2050" s="2" t="s">
        <v>4413</v>
      </c>
      <c r="B2050" s="2" t="s">
        <v>4413</v>
      </c>
      <c r="C2050" s="2" t="s">
        <v>17</v>
      </c>
      <c r="D2050" s="2" t="s">
        <v>18</v>
      </c>
      <c r="E2050" s="5">
        <v>-28112</v>
      </c>
      <c r="F2050" s="3" t="s">
        <v>43</v>
      </c>
      <c r="G2050" s="3" t="s">
        <v>39</v>
      </c>
      <c r="H2050" s="2" t="s">
        <v>21</v>
      </c>
      <c r="I2050" s="2" t="s">
        <v>4418</v>
      </c>
      <c r="J2050" s="3" t="str">
        <f>HYPERLINK("https://www.boe.es/gazeta/dias/1823/01/11/pdfs/GMD-1823-11.pdf#page=1","Abrir facsímil")</f>
        <v>Abrir facsímil</v>
      </c>
      <c r="K2050" s="3" t="s">
        <v>23</v>
      </c>
    </row>
    <row r="2051" spans="1:11" ht="42" customHeight="1">
      <c r="A2051" s="2" t="s">
        <v>4413</v>
      </c>
      <c r="B2051" s="2" t="s">
        <v>4413</v>
      </c>
      <c r="C2051" s="2" t="s">
        <v>56</v>
      </c>
      <c r="D2051" s="2" t="s">
        <v>57</v>
      </c>
      <c r="E2051" s="5">
        <v>-28112</v>
      </c>
      <c r="F2051" s="3" t="s">
        <v>43</v>
      </c>
      <c r="G2051" s="3" t="s">
        <v>27</v>
      </c>
      <c r="H2051" s="2" t="s">
        <v>21</v>
      </c>
      <c r="I2051" s="2" t="s">
        <v>4419</v>
      </c>
      <c r="J2051" s="3" t="str">
        <f>HYPERLINK("https://www.boe.es/gazeta/dias/1823/01/11/pdfs/GMD-1823-11.pdf#page=2","Abrir facsímil")</f>
        <v>Abrir facsímil</v>
      </c>
      <c r="K2051" s="3" t="s">
        <v>23</v>
      </c>
    </row>
    <row r="2052" spans="1:11" ht="42" customHeight="1">
      <c r="A2052" s="2" t="s">
        <v>4413</v>
      </c>
      <c r="B2052" s="2" t="s">
        <v>4413</v>
      </c>
      <c r="C2052" s="2" t="s">
        <v>109</v>
      </c>
      <c r="D2052" s="2" t="s">
        <v>74</v>
      </c>
      <c r="E2052" s="5">
        <v>-28111</v>
      </c>
      <c r="F2052" s="3" t="s">
        <v>275</v>
      </c>
      <c r="G2052" s="3" t="s">
        <v>39</v>
      </c>
      <c r="H2052" s="2" t="s">
        <v>21</v>
      </c>
      <c r="I2052" s="2" t="s">
        <v>4420</v>
      </c>
      <c r="J2052" s="3" t="str">
        <f>HYPERLINK("https://www.boe.es/gazeta/dias/1823/01/12/pdfs/GMD-1823-12.pdf#page=1","Abrir facsímil")</f>
        <v>Abrir facsímil</v>
      </c>
      <c r="K2052" s="3" t="s">
        <v>23</v>
      </c>
    </row>
    <row r="2053" spans="1:11" ht="42" customHeight="1">
      <c r="A2053" s="2" t="s">
        <v>4413</v>
      </c>
      <c r="B2053" s="2" t="s">
        <v>4413</v>
      </c>
      <c r="C2053" s="2" t="s">
        <v>79</v>
      </c>
      <c r="D2053" s="2" t="s">
        <v>74</v>
      </c>
      <c r="E2053" s="5">
        <v>-28111</v>
      </c>
      <c r="F2053" s="3" t="s">
        <v>275</v>
      </c>
      <c r="G2053" s="3" t="s">
        <v>48</v>
      </c>
      <c r="H2053" s="2" t="s">
        <v>21</v>
      </c>
      <c r="I2053" s="2" t="s">
        <v>4421</v>
      </c>
      <c r="J2053" s="3" t="str">
        <f>HYPERLINK("https://www.boe.es/gazeta/dias/1823/01/12/pdfs/GMD-1823-12.pdf#page=3","Abrir facsímil")</f>
        <v>Abrir facsímil</v>
      </c>
      <c r="K2053" s="3" t="s">
        <v>23</v>
      </c>
    </row>
    <row r="2054" spans="1:11" ht="42" customHeight="1">
      <c r="A2054" s="2" t="s">
        <v>4413</v>
      </c>
      <c r="B2054" s="2" t="s">
        <v>4413</v>
      </c>
      <c r="C2054" s="2" t="s">
        <v>325</v>
      </c>
      <c r="D2054" s="2" t="s">
        <v>74</v>
      </c>
      <c r="E2054" s="5">
        <v>-28108</v>
      </c>
      <c r="F2054" s="3" t="s">
        <v>406</v>
      </c>
      <c r="G2054" s="3" t="s">
        <v>27</v>
      </c>
      <c r="H2054" s="2" t="s">
        <v>21</v>
      </c>
      <c r="I2054" s="2" t="s">
        <v>4422</v>
      </c>
      <c r="J2054" s="3" t="str">
        <f>HYPERLINK("https://www.boe.es/gazeta/dias/1823/01/15/pdfs/GMD-1823-15.pdf#page=2","Abrir facsímil")</f>
        <v>Abrir facsímil</v>
      </c>
      <c r="K2054" s="3" t="s">
        <v>23</v>
      </c>
    </row>
    <row r="2055" spans="1:11" ht="42" customHeight="1">
      <c r="A2055" s="2" t="s">
        <v>4413</v>
      </c>
      <c r="B2055" s="2" t="s">
        <v>4413</v>
      </c>
      <c r="C2055" s="2" t="s">
        <v>79</v>
      </c>
      <c r="D2055" s="2" t="s">
        <v>74</v>
      </c>
      <c r="E2055" s="5">
        <v>-28106</v>
      </c>
      <c r="F2055" s="3" t="s">
        <v>280</v>
      </c>
      <c r="G2055" s="3" t="s">
        <v>48</v>
      </c>
      <c r="H2055" s="2" t="s">
        <v>21</v>
      </c>
      <c r="I2055" s="2" t="s">
        <v>4423</v>
      </c>
      <c r="J2055" s="3" t="str">
        <f>HYPERLINK("https://www.boe.es/gazeta/dias/1823/01/17/pdfs/GMD-1823-17.pdf#page=3","Abrir facsímil")</f>
        <v>Abrir facsímil</v>
      </c>
      <c r="K2055" s="3" t="s">
        <v>23</v>
      </c>
    </row>
    <row r="2056" spans="1:11" ht="42" customHeight="1">
      <c r="A2056" s="2" t="s">
        <v>4413</v>
      </c>
      <c r="B2056" s="2" t="s">
        <v>4413</v>
      </c>
      <c r="C2056" s="2" t="s">
        <v>17</v>
      </c>
      <c r="D2056" s="2" t="s">
        <v>18</v>
      </c>
      <c r="E2056" s="5">
        <v>-28105</v>
      </c>
      <c r="F2056" s="3" t="s">
        <v>502</v>
      </c>
      <c r="G2056" s="3" t="s">
        <v>48</v>
      </c>
      <c r="H2056" s="2" t="s">
        <v>21</v>
      </c>
      <c r="I2056" s="2" t="s">
        <v>4424</v>
      </c>
      <c r="J2056" s="3" t="str">
        <f>HYPERLINK("https://www.boe.es/gazeta/dias/1823/01/18/pdfs/GMD-1823-18.pdf#page=3","Abrir facsímil")</f>
        <v>Abrir facsímil</v>
      </c>
      <c r="K2056" s="3" t="s">
        <v>23</v>
      </c>
    </row>
    <row r="2057" spans="1:11" ht="42" customHeight="1">
      <c r="A2057" s="2" t="s">
        <v>4413</v>
      </c>
      <c r="B2057" s="2" t="s">
        <v>4413</v>
      </c>
      <c r="C2057" s="2" t="s">
        <v>17</v>
      </c>
      <c r="D2057" s="2" t="s">
        <v>18</v>
      </c>
      <c r="E2057" s="5">
        <v>-28104</v>
      </c>
      <c r="F2057" s="3" t="s">
        <v>114</v>
      </c>
      <c r="G2057" s="3" t="s">
        <v>39</v>
      </c>
      <c r="H2057" s="2" t="s">
        <v>21</v>
      </c>
      <c r="I2057" s="2" t="s">
        <v>4425</v>
      </c>
      <c r="J2057" s="3" t="str">
        <f>HYPERLINK("https://www.boe.es/gazeta/dias/1823/01/19/pdfs/GMD-1823-19.pdf#page=1","Abrir facsímil")</f>
        <v>Abrir facsímil</v>
      </c>
      <c r="K2057" s="3" t="s">
        <v>23</v>
      </c>
    </row>
    <row r="2058" spans="1:11" ht="42" customHeight="1">
      <c r="A2058" s="2" t="s">
        <v>4413</v>
      </c>
      <c r="B2058" s="2" t="s">
        <v>4413</v>
      </c>
      <c r="C2058" s="2" t="s">
        <v>79</v>
      </c>
      <c r="D2058" s="2" t="s">
        <v>74</v>
      </c>
      <c r="E2058" s="5">
        <v>-28104</v>
      </c>
      <c r="F2058" s="3" t="s">
        <v>114</v>
      </c>
      <c r="G2058" s="3" t="s">
        <v>27</v>
      </c>
      <c r="H2058" s="2" t="s">
        <v>21</v>
      </c>
      <c r="I2058" s="2" t="s">
        <v>4426</v>
      </c>
      <c r="J2058" s="3" t="str">
        <f>HYPERLINK("https://www.boe.es/gazeta/dias/1823/01/19/pdfs/GMD-1823-19.pdf#page=2","Abrir facsímil")</f>
        <v>Abrir facsímil</v>
      </c>
      <c r="K2058" s="3" t="s">
        <v>23</v>
      </c>
    </row>
    <row r="2059" spans="1:11" ht="42" customHeight="1">
      <c r="A2059" s="2" t="s">
        <v>4413</v>
      </c>
      <c r="B2059" s="2" t="s">
        <v>4413</v>
      </c>
      <c r="C2059" s="2" t="s">
        <v>79</v>
      </c>
      <c r="D2059" s="2" t="s">
        <v>74</v>
      </c>
      <c r="E2059" s="5">
        <v>-28102</v>
      </c>
      <c r="F2059" s="3" t="s">
        <v>287</v>
      </c>
      <c r="G2059" s="3" t="s">
        <v>48</v>
      </c>
      <c r="H2059" s="2" t="s">
        <v>21</v>
      </c>
      <c r="I2059" s="2" t="s">
        <v>4427</v>
      </c>
      <c r="J2059" s="3" t="str">
        <f>HYPERLINK("https://www.boe.es/gazeta/dias/1823/01/21/pdfs/GMD-1823-22.pdf#page=3","Abrir facsímil")</f>
        <v>Abrir facsímil</v>
      </c>
      <c r="K2059" s="3" t="s">
        <v>23</v>
      </c>
    </row>
    <row r="2060" spans="1:11" ht="42" customHeight="1">
      <c r="A2060" s="2" t="s">
        <v>4413</v>
      </c>
      <c r="B2060" s="2" t="s">
        <v>4413</v>
      </c>
      <c r="C2060" s="2" t="s">
        <v>17</v>
      </c>
      <c r="D2060" s="2" t="s">
        <v>18</v>
      </c>
      <c r="E2060" s="5">
        <v>-28100</v>
      </c>
      <c r="F2060" s="3" t="s">
        <v>737</v>
      </c>
      <c r="G2060" s="3" t="s">
        <v>27</v>
      </c>
      <c r="H2060" s="2" t="s">
        <v>21</v>
      </c>
      <c r="I2060" s="2" t="s">
        <v>4428</v>
      </c>
      <c r="J2060" s="3" t="str">
        <f>HYPERLINK("https://www.boe.es/gazeta/dias/1823/01/23/pdfs/GMD-1823-24.pdf#page=2","Abrir facsímil")</f>
        <v>Abrir facsímil</v>
      </c>
      <c r="K2060" s="3" t="s">
        <v>23</v>
      </c>
    </row>
    <row r="2061" spans="1:11" ht="42" customHeight="1">
      <c r="A2061" s="2" t="s">
        <v>4413</v>
      </c>
      <c r="B2061" s="2" t="s">
        <v>4413</v>
      </c>
      <c r="C2061" s="2" t="s">
        <v>79</v>
      </c>
      <c r="D2061" s="2" t="s">
        <v>74</v>
      </c>
      <c r="E2061" s="5">
        <v>-28091</v>
      </c>
      <c r="F2061" s="3" t="s">
        <v>1047</v>
      </c>
      <c r="G2061" s="3" t="s">
        <v>48</v>
      </c>
      <c r="H2061" s="2" t="s">
        <v>21</v>
      </c>
      <c r="I2061" s="2" t="s">
        <v>4429</v>
      </c>
      <c r="J2061" s="3" t="str">
        <f>HYPERLINK("https://www.boe.es/gazeta/dias/1823/02/01/pdfs/GMD-1823-34.pdf#page=3","Abrir facsímil")</f>
        <v>Abrir facsímil</v>
      </c>
      <c r="K2061" s="3" t="s">
        <v>23</v>
      </c>
    </row>
    <row r="2062" spans="1:11" ht="42" customHeight="1">
      <c r="A2062" s="2" t="s">
        <v>4413</v>
      </c>
      <c r="B2062" s="2" t="s">
        <v>4413</v>
      </c>
      <c r="C2062" s="2" t="s">
        <v>109</v>
      </c>
      <c r="D2062" s="2" t="s">
        <v>74</v>
      </c>
      <c r="E2062" s="5">
        <v>-28091</v>
      </c>
      <c r="F2062" s="3" t="s">
        <v>1047</v>
      </c>
      <c r="G2062" s="3" t="s">
        <v>20</v>
      </c>
      <c r="H2062" s="2" t="s">
        <v>21</v>
      </c>
      <c r="I2062" s="2" t="s">
        <v>4430</v>
      </c>
      <c r="J2062" s="3" t="str">
        <f>HYPERLINK("https://www.boe.es/gazeta/dias/1823/02/01/pdfs/GMD-1823-34.pdf#page=4","Abrir facsímil")</f>
        <v>Abrir facsímil</v>
      </c>
      <c r="K2062" s="3" t="s">
        <v>23</v>
      </c>
    </row>
    <row r="2063" spans="1:11" ht="42" customHeight="1">
      <c r="A2063" s="2" t="s">
        <v>4413</v>
      </c>
      <c r="B2063" s="2" t="s">
        <v>4413</v>
      </c>
      <c r="C2063" s="2" t="s">
        <v>73</v>
      </c>
      <c r="D2063" s="2" t="s">
        <v>74</v>
      </c>
      <c r="E2063" s="5">
        <v>-28089</v>
      </c>
      <c r="F2063" s="3" t="s">
        <v>1979</v>
      </c>
      <c r="G2063" s="3" t="s">
        <v>48</v>
      </c>
      <c r="H2063" s="2" t="s">
        <v>21</v>
      </c>
      <c r="I2063" s="2" t="s">
        <v>4431</v>
      </c>
      <c r="J2063" s="3" t="str">
        <f>HYPERLINK("https://www.boe.es/gazeta/dias/1823/02/03/pdfs/GMD-1823-36.pdf#page=3","Abrir facsímil")</f>
        <v>Abrir facsímil</v>
      </c>
      <c r="K2063" s="3" t="s">
        <v>23</v>
      </c>
    </row>
    <row r="2064" spans="1:11" ht="42" customHeight="1">
      <c r="A2064" s="2" t="s">
        <v>4413</v>
      </c>
      <c r="B2064" s="2" t="s">
        <v>4413</v>
      </c>
      <c r="C2064" s="2" t="s">
        <v>17</v>
      </c>
      <c r="D2064" s="2" t="s">
        <v>18</v>
      </c>
      <c r="E2064" s="5">
        <v>-28087</v>
      </c>
      <c r="F2064" s="3" t="s">
        <v>3125</v>
      </c>
      <c r="G2064" s="3" t="s">
        <v>20</v>
      </c>
      <c r="H2064" s="2" t="s">
        <v>21</v>
      </c>
      <c r="I2064" s="2" t="s">
        <v>4432</v>
      </c>
      <c r="J2064" s="3" t="str">
        <f>HYPERLINK("https://www.boe.es/gazeta/dias/1823/02/05/pdfs/GMD-1823-38.pdf#page=4","Abrir facsímil")</f>
        <v>Abrir facsímil</v>
      </c>
      <c r="K2064" s="3" t="s">
        <v>23</v>
      </c>
    </row>
    <row r="2065" spans="1:11" ht="42" customHeight="1">
      <c r="A2065" s="2" t="s">
        <v>4413</v>
      </c>
      <c r="B2065" s="2" t="s">
        <v>4413</v>
      </c>
      <c r="C2065" s="2" t="s">
        <v>17</v>
      </c>
      <c r="D2065" s="2" t="s">
        <v>18</v>
      </c>
      <c r="E2065" s="5">
        <v>-28085</v>
      </c>
      <c r="F2065" s="3" t="s">
        <v>458</v>
      </c>
      <c r="G2065" s="3" t="s">
        <v>27</v>
      </c>
      <c r="H2065" s="2" t="s">
        <v>21</v>
      </c>
      <c r="I2065" s="2" t="s">
        <v>4433</v>
      </c>
      <c r="J2065" s="3" t="str">
        <f>HYPERLINK("https://www.boe.es/gazeta/dias/1823/02/07/pdfs/GMD-1823-40.pdf#page=2","Abrir facsímil")</f>
        <v>Abrir facsímil</v>
      </c>
      <c r="K2065" s="3" t="s">
        <v>23</v>
      </c>
    </row>
    <row r="2066" spans="1:11" ht="42" customHeight="1">
      <c r="A2066" s="2" t="s">
        <v>4413</v>
      </c>
      <c r="B2066" s="2" t="s">
        <v>4413</v>
      </c>
      <c r="C2066" s="2" t="s">
        <v>79</v>
      </c>
      <c r="D2066" s="2" t="s">
        <v>74</v>
      </c>
      <c r="E2066" s="5">
        <v>-28085</v>
      </c>
      <c r="F2066" s="3" t="s">
        <v>458</v>
      </c>
      <c r="G2066" s="3" t="s">
        <v>20</v>
      </c>
      <c r="H2066" s="2" t="s">
        <v>21</v>
      </c>
      <c r="I2066" s="2" t="s">
        <v>4434</v>
      </c>
      <c r="J2066" s="3" t="str">
        <f>HYPERLINK("https://www.boe.es/gazeta/dias/1823/02/07/pdfs/GMD-1823-40.pdf#page=4","Abrir facsímil")</f>
        <v>Abrir facsímil</v>
      </c>
      <c r="K2066" s="3" t="s">
        <v>23</v>
      </c>
    </row>
    <row r="2067" spans="1:11" ht="42" customHeight="1">
      <c r="A2067" s="2" t="s">
        <v>4413</v>
      </c>
      <c r="B2067" s="2" t="s">
        <v>4413</v>
      </c>
      <c r="C2067" s="2" t="s">
        <v>56</v>
      </c>
      <c r="D2067" s="2" t="s">
        <v>57</v>
      </c>
      <c r="E2067" s="5">
        <v>-28082</v>
      </c>
      <c r="F2067" s="3" t="s">
        <v>468</v>
      </c>
      <c r="G2067" s="3" t="s">
        <v>48</v>
      </c>
      <c r="H2067" s="2" t="s">
        <v>21</v>
      </c>
      <c r="I2067" s="2" t="s">
        <v>4435</v>
      </c>
      <c r="J2067" s="3" t="str">
        <f>HYPERLINK("https://www.boe.es/gazeta/dias/1823/02/10/pdfs/GMD-1823-44.pdf#page=3","Abrir facsímil")</f>
        <v>Abrir facsímil</v>
      </c>
      <c r="K2067" s="3" t="s">
        <v>23</v>
      </c>
    </row>
    <row r="2068" spans="1:11" ht="42" customHeight="1">
      <c r="A2068" s="2" t="s">
        <v>4413</v>
      </c>
      <c r="B2068" s="2" t="s">
        <v>4413</v>
      </c>
      <c r="C2068" s="2" t="s">
        <v>56</v>
      </c>
      <c r="D2068" s="2" t="s">
        <v>57</v>
      </c>
      <c r="E2068" s="5">
        <v>-28079</v>
      </c>
      <c r="F2068" s="3" t="s">
        <v>178</v>
      </c>
      <c r="G2068" s="3" t="s">
        <v>39</v>
      </c>
      <c r="H2068" s="2" t="s">
        <v>21</v>
      </c>
      <c r="I2068" s="2" t="s">
        <v>4436</v>
      </c>
      <c r="J2068" s="3" t="str">
        <f>HYPERLINK("https://www.boe.es/gazeta/dias/1823/02/13/pdfs/GMD-1823-47.pdf#page=1","Abrir facsímil")</f>
        <v>Abrir facsímil</v>
      </c>
      <c r="K2068" s="3" t="s">
        <v>23</v>
      </c>
    </row>
    <row r="2069" spans="1:11" ht="42" customHeight="1">
      <c r="A2069" s="2" t="s">
        <v>4413</v>
      </c>
      <c r="B2069" s="2" t="s">
        <v>4413</v>
      </c>
      <c r="C2069" s="2" t="s">
        <v>79</v>
      </c>
      <c r="D2069" s="2" t="s">
        <v>74</v>
      </c>
      <c r="E2069" s="5">
        <v>-28079</v>
      </c>
      <c r="F2069" s="3" t="s">
        <v>178</v>
      </c>
      <c r="G2069" s="3" t="s">
        <v>27</v>
      </c>
      <c r="H2069" s="2" t="s">
        <v>21</v>
      </c>
      <c r="I2069" s="2" t="s">
        <v>4437</v>
      </c>
      <c r="J2069" s="3" t="str">
        <f>HYPERLINK("https://www.boe.es/gazeta/dias/1823/02/13/pdfs/GMD-1823-47.pdf#page=2","Abrir facsímil")</f>
        <v>Abrir facsímil</v>
      </c>
      <c r="K2069" s="3" t="s">
        <v>23</v>
      </c>
    </row>
    <row r="2070" spans="1:11" ht="42" customHeight="1">
      <c r="A2070" s="2" t="s">
        <v>4413</v>
      </c>
      <c r="B2070" s="2" t="s">
        <v>4413</v>
      </c>
      <c r="C2070" s="2" t="s">
        <v>17</v>
      </c>
      <c r="D2070" s="2" t="s">
        <v>18</v>
      </c>
      <c r="E2070" s="5">
        <v>-28073</v>
      </c>
      <c r="F2070" s="3" t="s">
        <v>204</v>
      </c>
      <c r="G2070" s="3" t="s">
        <v>39</v>
      </c>
      <c r="H2070" s="2" t="s">
        <v>21</v>
      </c>
      <c r="I2070" s="2" t="s">
        <v>4438</v>
      </c>
      <c r="J2070" s="3" t="str">
        <f>HYPERLINK("https://www.boe.es/gazeta/dias/1823/02/19/pdfs/GMD-1823-53.pdf#page=1","Abrir facsímil")</f>
        <v>Abrir facsímil</v>
      </c>
      <c r="K2070" s="3" t="s">
        <v>23</v>
      </c>
    </row>
    <row r="2071" spans="1:11" ht="42" customHeight="1">
      <c r="A2071" s="2" t="s">
        <v>4413</v>
      </c>
      <c r="B2071" s="2" t="s">
        <v>4413</v>
      </c>
      <c r="C2071" s="2" t="s">
        <v>56</v>
      </c>
      <c r="D2071" s="2" t="s">
        <v>57</v>
      </c>
      <c r="E2071" s="5">
        <v>-28072</v>
      </c>
      <c r="F2071" s="3" t="s">
        <v>4439</v>
      </c>
      <c r="G2071" s="3" t="s">
        <v>39</v>
      </c>
      <c r="H2071" s="2" t="s">
        <v>21</v>
      </c>
      <c r="I2071" s="2" t="s">
        <v>4440</v>
      </c>
      <c r="J2071" s="3" t="str">
        <f>HYPERLINK("https://www.boe.es/gazeta/dias/1823/02/20/pdfs/GMD-1823-54.pdf#page=1","Abrir facsímil")</f>
        <v>Abrir facsímil</v>
      </c>
      <c r="K2071" s="3" t="s">
        <v>23</v>
      </c>
    </row>
    <row r="2072" spans="1:11" ht="42" customHeight="1">
      <c r="A2072" s="2" t="s">
        <v>4413</v>
      </c>
      <c r="B2072" s="2" t="s">
        <v>4413</v>
      </c>
      <c r="C2072" s="2" t="s">
        <v>56</v>
      </c>
      <c r="D2072" s="2" t="s">
        <v>57</v>
      </c>
      <c r="E2072" s="5">
        <v>-28061</v>
      </c>
      <c r="F2072" s="3" t="s">
        <v>704</v>
      </c>
      <c r="G2072" s="3" t="s">
        <v>27</v>
      </c>
      <c r="H2072" s="2" t="s">
        <v>21</v>
      </c>
      <c r="I2072" s="2" t="s">
        <v>4441</v>
      </c>
      <c r="J2072" s="3" t="str">
        <f>HYPERLINK("https://www.boe.es/gazeta/dias/1823/03/03/pdfs/GMD-1823-66.pdf#page=2","Abrir facsímil")</f>
        <v>Abrir facsímil</v>
      </c>
      <c r="K2072" s="3" t="s">
        <v>23</v>
      </c>
    </row>
    <row r="2073" spans="1:11" ht="42" customHeight="1">
      <c r="A2073" s="2" t="s">
        <v>4413</v>
      </c>
      <c r="B2073" s="2" t="s">
        <v>4413</v>
      </c>
      <c r="C2073" s="2" t="s">
        <v>56</v>
      </c>
      <c r="D2073" s="2" t="s">
        <v>57</v>
      </c>
      <c r="E2073" s="5">
        <v>-28061</v>
      </c>
      <c r="F2073" s="3" t="s">
        <v>704</v>
      </c>
      <c r="G2073" s="3" t="s">
        <v>48</v>
      </c>
      <c r="H2073" s="2" t="s">
        <v>21</v>
      </c>
      <c r="I2073" s="2" t="s">
        <v>4442</v>
      </c>
      <c r="J2073" s="3" t="str">
        <f>HYPERLINK("https://www.boe.es/gazeta/dias/1823/03/03/pdfs/GMD-1823-66.pdf#page=3","Abrir facsímil")</f>
        <v>Abrir facsímil</v>
      </c>
      <c r="K2073" s="3" t="s">
        <v>23</v>
      </c>
    </row>
    <row r="2074" spans="1:11" ht="42" customHeight="1">
      <c r="A2074" s="2" t="s">
        <v>4413</v>
      </c>
      <c r="B2074" s="2" t="s">
        <v>4413</v>
      </c>
      <c r="C2074" s="2" t="s">
        <v>56</v>
      </c>
      <c r="D2074" s="2" t="s">
        <v>57</v>
      </c>
      <c r="E2074" s="5">
        <v>-28061</v>
      </c>
      <c r="F2074" s="3" t="s">
        <v>704</v>
      </c>
      <c r="G2074" s="3" t="s">
        <v>20</v>
      </c>
      <c r="H2074" s="2" t="s">
        <v>21</v>
      </c>
      <c r="I2074" s="2" t="s">
        <v>4443</v>
      </c>
      <c r="J2074" s="3" t="str">
        <f>HYPERLINK("https://www.boe.es/gazeta/dias/1823/03/03/pdfs/GMD-1823-66.pdf#page=4","Abrir facsímil")</f>
        <v>Abrir facsímil</v>
      </c>
      <c r="K2074" s="3" t="s">
        <v>23</v>
      </c>
    </row>
    <row r="2075" spans="1:11" ht="42" customHeight="1">
      <c r="A2075" s="2" t="s">
        <v>4413</v>
      </c>
      <c r="B2075" s="2" t="s">
        <v>4413</v>
      </c>
      <c r="C2075" s="2" t="s">
        <v>17</v>
      </c>
      <c r="D2075" s="2" t="s">
        <v>18</v>
      </c>
      <c r="E2075" s="5">
        <v>-28060</v>
      </c>
      <c r="F2075" s="3" t="s">
        <v>180</v>
      </c>
      <c r="G2075" s="3" t="s">
        <v>27</v>
      </c>
      <c r="H2075" s="2" t="s">
        <v>21</v>
      </c>
      <c r="I2075" s="2" t="s">
        <v>4444</v>
      </c>
      <c r="J2075" s="3" t="str">
        <f>HYPERLINK("https://www.boe.es/gazeta/dias/1823/03/04/pdfs/GMD-1823-67.pdf#page=2","Abrir facsímil")</f>
        <v>Abrir facsímil</v>
      </c>
      <c r="K2075" s="3" t="s">
        <v>23</v>
      </c>
    </row>
    <row r="2076" spans="1:11" ht="42" customHeight="1">
      <c r="A2076" s="2" t="s">
        <v>4413</v>
      </c>
      <c r="B2076" s="2" t="s">
        <v>4413</v>
      </c>
      <c r="C2076" s="2" t="s">
        <v>17</v>
      </c>
      <c r="D2076" s="2" t="s">
        <v>18</v>
      </c>
      <c r="E2076" s="5">
        <v>-28060</v>
      </c>
      <c r="F2076" s="3" t="s">
        <v>180</v>
      </c>
      <c r="G2076" s="3" t="s">
        <v>20</v>
      </c>
      <c r="H2076" s="2" t="s">
        <v>21</v>
      </c>
      <c r="I2076" s="2" t="s">
        <v>4445</v>
      </c>
      <c r="J2076" s="3" t="str">
        <f>HYPERLINK("https://www.boe.es/gazeta/dias/1823/03/04/pdfs/GMD-1823-67.pdf#page=4","Abrir facsímil")</f>
        <v>Abrir facsímil</v>
      </c>
      <c r="K2076" s="3" t="s">
        <v>23</v>
      </c>
    </row>
    <row r="2077" spans="1:11" ht="42" customHeight="1">
      <c r="A2077" s="2" t="s">
        <v>4413</v>
      </c>
      <c r="B2077" s="2" t="s">
        <v>4413</v>
      </c>
      <c r="C2077" s="2" t="s">
        <v>79</v>
      </c>
      <c r="D2077" s="2" t="s">
        <v>74</v>
      </c>
      <c r="E2077" s="5">
        <v>-28057</v>
      </c>
      <c r="F2077" s="3" t="s">
        <v>301</v>
      </c>
      <c r="G2077" s="3" t="s">
        <v>20</v>
      </c>
      <c r="H2077" s="2" t="s">
        <v>21</v>
      </c>
      <c r="I2077" s="2" t="s">
        <v>4446</v>
      </c>
      <c r="J2077" s="3" t="str">
        <f>HYPERLINK("https://www.boe.es/gazeta/dias/1823/03/07/pdfs/GMD-1823-70.pdf#page=4","Abrir facsímil")</f>
        <v>Abrir facsímil</v>
      </c>
      <c r="K2077" s="3" t="s">
        <v>23</v>
      </c>
    </row>
    <row r="2078" spans="1:11" ht="42" customHeight="1">
      <c r="A2078" s="2" t="s">
        <v>4413</v>
      </c>
      <c r="B2078" s="2" t="s">
        <v>4413</v>
      </c>
      <c r="C2078" s="2" t="s">
        <v>109</v>
      </c>
      <c r="D2078" s="2" t="s">
        <v>74</v>
      </c>
      <c r="E2078" s="5">
        <v>-28053</v>
      </c>
      <c r="F2078" s="3" t="s">
        <v>303</v>
      </c>
      <c r="G2078" s="3" t="s">
        <v>27</v>
      </c>
      <c r="H2078" s="2" t="s">
        <v>21</v>
      </c>
      <c r="I2078" s="2" t="s">
        <v>4447</v>
      </c>
      <c r="J2078" s="3" t="str">
        <f>HYPERLINK("https://www.boe.es/gazeta/dias/1823/03/11/pdfs/GMD-1823-74.pdf#page=2","Abrir facsímil")</f>
        <v>Abrir facsímil</v>
      </c>
      <c r="K2078" s="3" t="s">
        <v>23</v>
      </c>
    </row>
    <row r="2079" spans="1:11" ht="42" customHeight="1">
      <c r="A2079" s="2" t="s">
        <v>4413</v>
      </c>
      <c r="B2079" s="2" t="s">
        <v>4413</v>
      </c>
      <c r="C2079" s="2" t="s">
        <v>17</v>
      </c>
      <c r="D2079" s="2" t="s">
        <v>18</v>
      </c>
      <c r="E2079" s="5">
        <v>-28049</v>
      </c>
      <c r="F2079" s="3" t="s">
        <v>198</v>
      </c>
      <c r="G2079" s="3" t="s">
        <v>27</v>
      </c>
      <c r="H2079" s="2" t="s">
        <v>21</v>
      </c>
      <c r="I2079" s="2" t="s">
        <v>4448</v>
      </c>
      <c r="J2079" s="3" t="str">
        <f>HYPERLINK("https://www.boe.es/gazeta/dias/1823/03/15/pdfs/GMD-1823-78.pdf#page=2","Abrir facsímil")</f>
        <v>Abrir facsímil</v>
      </c>
      <c r="K2079" s="3" t="s">
        <v>23</v>
      </c>
    </row>
    <row r="2080" spans="1:11" ht="42" customHeight="1">
      <c r="A2080" s="2" t="s">
        <v>4413</v>
      </c>
      <c r="B2080" s="2" t="s">
        <v>4413</v>
      </c>
      <c r="C2080" s="2" t="s">
        <v>17</v>
      </c>
      <c r="D2080" s="2" t="s">
        <v>18</v>
      </c>
      <c r="E2080" s="5">
        <v>-28046</v>
      </c>
      <c r="F2080" s="3" t="s">
        <v>85</v>
      </c>
      <c r="G2080" s="3" t="s">
        <v>27</v>
      </c>
      <c r="H2080" s="2" t="s">
        <v>21</v>
      </c>
      <c r="I2080" s="2" t="s">
        <v>4449</v>
      </c>
      <c r="J2080" s="3" t="str">
        <f>HYPERLINK("https://www.boe.es/gazeta/dias/1823/03/18/pdfs/GMD-1823-81.pdf#page=2","Abrir facsímil")</f>
        <v>Abrir facsímil</v>
      </c>
      <c r="K2080" s="3" t="s">
        <v>23</v>
      </c>
    </row>
    <row r="2081" spans="1:11" ht="42" customHeight="1">
      <c r="A2081" s="2" t="s">
        <v>4413</v>
      </c>
      <c r="B2081" s="2" t="s">
        <v>4413</v>
      </c>
      <c r="C2081" s="2" t="s">
        <v>79</v>
      </c>
      <c r="D2081" s="2" t="s">
        <v>74</v>
      </c>
      <c r="E2081" s="5">
        <v>-28042</v>
      </c>
      <c r="F2081" s="3" t="s">
        <v>1218</v>
      </c>
      <c r="G2081" s="3" t="s">
        <v>48</v>
      </c>
      <c r="H2081" s="2" t="s">
        <v>21</v>
      </c>
      <c r="I2081" s="2" t="s">
        <v>4450</v>
      </c>
      <c r="J2081" s="3" t="str">
        <f>HYPERLINK("https://www.boe.es/gazeta/dias/1823/03/22/pdfs/GMD-1823-85.pdf#page=3","Abrir facsímil")</f>
        <v>Abrir facsímil</v>
      </c>
      <c r="K2081" s="3" t="s">
        <v>23</v>
      </c>
    </row>
    <row r="2082" spans="1:11" ht="42" customHeight="1">
      <c r="A2082" s="2" t="s">
        <v>4413</v>
      </c>
      <c r="B2082" s="2" t="s">
        <v>4413</v>
      </c>
      <c r="C2082" s="2" t="s">
        <v>17</v>
      </c>
      <c r="D2082" s="2" t="s">
        <v>18</v>
      </c>
      <c r="E2082" s="5">
        <v>-28009</v>
      </c>
      <c r="F2082" s="3" t="s">
        <v>307</v>
      </c>
      <c r="G2082" s="3" t="s">
        <v>2107</v>
      </c>
      <c r="H2082" s="2" t="s">
        <v>21</v>
      </c>
      <c r="I2082" s="2" t="s">
        <v>4451</v>
      </c>
      <c r="J2082" s="3" t="str">
        <f>HYPERLINK("https://www.boe.es/gazeta/dias/1823/04/24/pdfs/GES-1823-14.pdf#page=4","Abrir facsímil")</f>
        <v>Abrir facsímil</v>
      </c>
      <c r="K2082" s="3" t="s">
        <v>23</v>
      </c>
    </row>
    <row r="2083" spans="1:11" ht="42" customHeight="1">
      <c r="A2083" s="2" t="s">
        <v>4413</v>
      </c>
      <c r="B2083" s="2" t="s">
        <v>4413</v>
      </c>
      <c r="C2083" s="2" t="s">
        <v>56</v>
      </c>
      <c r="D2083" s="2" t="s">
        <v>57</v>
      </c>
      <c r="E2083" s="5">
        <v>-28009</v>
      </c>
      <c r="F2083" s="3" t="s">
        <v>307</v>
      </c>
      <c r="G2083" s="3" t="s">
        <v>27</v>
      </c>
      <c r="H2083" s="2" t="s">
        <v>21</v>
      </c>
      <c r="I2083" s="2" t="s">
        <v>4452</v>
      </c>
      <c r="J2083" s="3" t="str">
        <f>HYPERLINK("https://www.boe.es/gazeta/dias/1823/04/24/pdfs/GES-1823-14.pdf#page=2","Abrir facsímil")</f>
        <v>Abrir facsímil</v>
      </c>
      <c r="K2083" s="3" t="s">
        <v>23</v>
      </c>
    </row>
    <row r="2084" spans="1:11" ht="42" customHeight="1">
      <c r="A2084" s="2" t="s">
        <v>4413</v>
      </c>
      <c r="B2084" s="2" t="s">
        <v>4413</v>
      </c>
      <c r="C2084" s="2" t="s">
        <v>17</v>
      </c>
      <c r="D2084" s="2" t="s">
        <v>18</v>
      </c>
      <c r="E2084" s="5">
        <v>-28009</v>
      </c>
      <c r="F2084" s="3" t="s">
        <v>307</v>
      </c>
      <c r="G2084" s="3" t="s">
        <v>48</v>
      </c>
      <c r="H2084" s="2" t="s">
        <v>21</v>
      </c>
      <c r="I2084" s="2" t="s">
        <v>4453</v>
      </c>
      <c r="J2084" s="3" t="str">
        <f>HYPERLINK("https://www.boe.es/gazeta/dias/1823/04/24/pdfs/GES-1823-14.pdf#page=3","Abrir facsímil")</f>
        <v>Abrir facsímil</v>
      </c>
      <c r="K2084" s="3" t="s">
        <v>23</v>
      </c>
    </row>
    <row r="2085" spans="1:11" ht="42" customHeight="1">
      <c r="A2085" s="2" t="s">
        <v>4413</v>
      </c>
      <c r="B2085" s="2" t="s">
        <v>4413</v>
      </c>
      <c r="C2085" s="2" t="s">
        <v>109</v>
      </c>
      <c r="D2085" s="2" t="s">
        <v>74</v>
      </c>
      <c r="E2085" s="5">
        <v>-28009</v>
      </c>
      <c r="F2085" s="3" t="s">
        <v>307</v>
      </c>
      <c r="G2085" s="3" t="s">
        <v>34</v>
      </c>
      <c r="H2085" s="2" t="s">
        <v>21</v>
      </c>
      <c r="I2085" s="2" t="s">
        <v>4454</v>
      </c>
      <c r="J2085" s="3" t="str">
        <f>HYPERLINK("https://www.boe.es/gazeta/dias/1823/04/24/pdfs/GES-1823-14.pdf#page=5","Abrir facsímil")</f>
        <v>Abrir facsímil</v>
      </c>
      <c r="K2085" s="3" t="s">
        <v>23</v>
      </c>
    </row>
    <row r="2086" spans="1:11" ht="42" customHeight="1">
      <c r="A2086" s="2" t="s">
        <v>4413</v>
      </c>
      <c r="B2086" s="2" t="s">
        <v>4413</v>
      </c>
      <c r="C2086" s="2" t="s">
        <v>56</v>
      </c>
      <c r="D2086" s="2" t="s">
        <v>57</v>
      </c>
      <c r="E2086" s="5">
        <v>-28008</v>
      </c>
      <c r="F2086" s="3" t="s">
        <v>309</v>
      </c>
      <c r="G2086" s="3" t="s">
        <v>48</v>
      </c>
      <c r="H2086" s="2" t="s">
        <v>21</v>
      </c>
      <c r="I2086" s="2" t="s">
        <v>4455</v>
      </c>
      <c r="J2086" s="3" t="str">
        <f>HYPERLINK("https://www.boe.es/gazeta/dias/1823/04/25/pdfs/GES-1823-15.pdf#page=3","Abrir facsímil")</f>
        <v>Abrir facsímil</v>
      </c>
      <c r="K2086" s="3" t="s">
        <v>23</v>
      </c>
    </row>
    <row r="2087" spans="1:11" ht="42" customHeight="1">
      <c r="A2087" s="2" t="s">
        <v>4413</v>
      </c>
      <c r="B2087" s="2" t="s">
        <v>4413</v>
      </c>
      <c r="C2087" s="2" t="s">
        <v>79</v>
      </c>
      <c r="D2087" s="2" t="s">
        <v>74</v>
      </c>
      <c r="E2087" s="5">
        <v>-28007</v>
      </c>
      <c r="F2087" s="3" t="s">
        <v>311</v>
      </c>
      <c r="G2087" s="3" t="s">
        <v>27</v>
      </c>
      <c r="H2087" s="2" t="s">
        <v>21</v>
      </c>
      <c r="I2087" s="2" t="s">
        <v>4456</v>
      </c>
      <c r="J2087" s="3" t="str">
        <f>HYPERLINK("https://www.boe.es/gazeta/dias/1823/04/26/pdfs/GES-1823-16.pdf#page=2","Abrir facsímil")</f>
        <v>Abrir facsímil</v>
      </c>
      <c r="K2087" s="3" t="s">
        <v>23</v>
      </c>
    </row>
    <row r="2088" spans="1:11" ht="42" customHeight="1">
      <c r="A2088" s="2" t="s">
        <v>4413</v>
      </c>
      <c r="B2088" s="2" t="s">
        <v>4413</v>
      </c>
      <c r="C2088" s="2" t="s">
        <v>325</v>
      </c>
      <c r="D2088" s="2" t="s">
        <v>74</v>
      </c>
      <c r="E2088" s="5">
        <v>-28007</v>
      </c>
      <c r="F2088" s="3" t="s">
        <v>311</v>
      </c>
      <c r="G2088" s="3" t="s">
        <v>48</v>
      </c>
      <c r="H2088" s="2" t="s">
        <v>21</v>
      </c>
      <c r="I2088" s="2" t="s">
        <v>4457</v>
      </c>
      <c r="J2088" s="3" t="str">
        <f>HYPERLINK("https://www.boe.es/gazeta/dias/1823/04/26/pdfs/GES-1823-16.pdf#page=3","Abrir facsímil")</f>
        <v>Abrir facsímil</v>
      </c>
      <c r="K2088" s="3" t="s">
        <v>23</v>
      </c>
    </row>
    <row r="2089" spans="1:11" ht="42" customHeight="1">
      <c r="A2089" s="2" t="s">
        <v>4413</v>
      </c>
      <c r="B2089" s="2" t="s">
        <v>4413</v>
      </c>
      <c r="C2089" s="2" t="s">
        <v>79</v>
      </c>
      <c r="D2089" s="2" t="s">
        <v>74</v>
      </c>
      <c r="E2089" s="5">
        <v>-28006</v>
      </c>
      <c r="F2089" s="3" t="s">
        <v>183</v>
      </c>
      <c r="G2089" s="3" t="s">
        <v>34</v>
      </c>
      <c r="H2089" s="2" t="s">
        <v>21</v>
      </c>
      <c r="I2089" s="2" t="s">
        <v>4458</v>
      </c>
      <c r="J2089" s="3" t="str">
        <f>HYPERLINK("https://www.boe.es/gazeta/dias/1823/04/27/pdfs/GES-1823-17.pdf#page=5","Abrir facsímil")</f>
        <v>Abrir facsímil</v>
      </c>
      <c r="K2089" s="3" t="s">
        <v>23</v>
      </c>
    </row>
    <row r="2090" spans="1:11" ht="42" customHeight="1">
      <c r="A2090" s="2" t="s">
        <v>4413</v>
      </c>
      <c r="B2090" s="2" t="s">
        <v>4413</v>
      </c>
      <c r="C2090" s="2" t="s">
        <v>79</v>
      </c>
      <c r="D2090" s="2" t="s">
        <v>74</v>
      </c>
      <c r="E2090" s="5">
        <v>-28005</v>
      </c>
      <c r="F2090" s="3" t="s">
        <v>1648</v>
      </c>
      <c r="G2090" s="3" t="s">
        <v>48</v>
      </c>
      <c r="H2090" s="2" t="s">
        <v>21</v>
      </c>
      <c r="I2090" s="2" t="s">
        <v>4459</v>
      </c>
      <c r="J2090" s="3" t="str">
        <f>HYPERLINK("https://www.boe.es/gazeta/dias/1823/04/28/pdfs/GES-1823-18.pdf#page=3","Abrir facsímil")</f>
        <v>Abrir facsímil</v>
      </c>
      <c r="K2090" s="3" t="s">
        <v>23</v>
      </c>
    </row>
    <row r="2091" spans="1:11" ht="42" customHeight="1">
      <c r="A2091" s="2" t="s">
        <v>4413</v>
      </c>
      <c r="B2091" s="2" t="s">
        <v>4413</v>
      </c>
      <c r="C2091" s="2" t="s">
        <v>73</v>
      </c>
      <c r="D2091" s="2" t="s">
        <v>74</v>
      </c>
      <c r="E2091" s="5">
        <v>-28004</v>
      </c>
      <c r="F2091" s="3" t="s">
        <v>33</v>
      </c>
      <c r="G2091" s="3" t="s">
        <v>27</v>
      </c>
      <c r="H2091" s="2" t="s">
        <v>21</v>
      </c>
      <c r="I2091" s="2" t="s">
        <v>4460</v>
      </c>
      <c r="J2091" s="3" t="str">
        <f>HYPERLINK("https://www.boe.es/gazeta/dias/1823/04/29/pdfs/GES-1823-19.pdf#page=2","Abrir facsímil")</f>
        <v>Abrir facsímil</v>
      </c>
      <c r="K2091" s="3" t="s">
        <v>23</v>
      </c>
    </row>
    <row r="2092" spans="1:11" ht="42" customHeight="1">
      <c r="A2092" s="2" t="s">
        <v>4413</v>
      </c>
      <c r="B2092" s="2" t="s">
        <v>4413</v>
      </c>
      <c r="C2092" s="2" t="s">
        <v>17</v>
      </c>
      <c r="D2092" s="2" t="s">
        <v>18</v>
      </c>
      <c r="E2092" s="5">
        <v>-28004</v>
      </c>
      <c r="F2092" s="3" t="s">
        <v>313</v>
      </c>
      <c r="G2092" s="3" t="s">
        <v>27</v>
      </c>
      <c r="H2092" s="2" t="s">
        <v>21</v>
      </c>
      <c r="I2092" s="2" t="s">
        <v>4461</v>
      </c>
      <c r="J2092" s="3" t="str">
        <f>HYPERLINK("https://www.boe.es/gazeta/dias/1823/04/29/pdfs/GMD-1823-72.pdf#page=2","Abrir facsímil")</f>
        <v>Abrir facsímil</v>
      </c>
      <c r="K2092" s="3" t="s">
        <v>23</v>
      </c>
    </row>
    <row r="2093" spans="1:11" ht="42" customHeight="1">
      <c r="A2093" s="2" t="s">
        <v>4413</v>
      </c>
      <c r="B2093" s="2" t="s">
        <v>4413</v>
      </c>
      <c r="C2093" s="2" t="s">
        <v>109</v>
      </c>
      <c r="D2093" s="2" t="s">
        <v>74</v>
      </c>
      <c r="E2093" s="5">
        <v>-28004</v>
      </c>
      <c r="F2093" s="3" t="s">
        <v>313</v>
      </c>
      <c r="G2093" s="3" t="s">
        <v>48</v>
      </c>
      <c r="H2093" s="2" t="s">
        <v>21</v>
      </c>
      <c r="I2093" s="2" t="s">
        <v>4462</v>
      </c>
      <c r="J2093" s="3" t="str">
        <f>HYPERLINK("https://www.boe.es/gazeta/dias/1823/04/29/pdfs/GMD-1823-72.pdf#page=3","Abrir facsímil")</f>
        <v>Abrir facsímil</v>
      </c>
      <c r="K2093" s="3" t="s">
        <v>23</v>
      </c>
    </row>
    <row r="2094" spans="1:11" ht="42" customHeight="1">
      <c r="A2094" s="2" t="s">
        <v>4413</v>
      </c>
      <c r="B2094" s="2" t="s">
        <v>4413</v>
      </c>
      <c r="C2094" s="2" t="s">
        <v>79</v>
      </c>
      <c r="D2094" s="2" t="s">
        <v>74</v>
      </c>
      <c r="E2094" s="5">
        <v>-28003</v>
      </c>
      <c r="F2094" s="3" t="s">
        <v>26</v>
      </c>
      <c r="G2094" s="3" t="s">
        <v>20</v>
      </c>
      <c r="H2094" s="2" t="s">
        <v>21</v>
      </c>
      <c r="I2094" s="2" t="s">
        <v>4463</v>
      </c>
      <c r="J2094" s="3" t="str">
        <f>HYPERLINK("https://www.boe.es/gazeta/dias/1823/04/30/pdfs/GES-1823-20.pdf#page=4","Abrir facsímil")</f>
        <v>Abrir facsímil</v>
      </c>
      <c r="K2094" s="3" t="s">
        <v>23</v>
      </c>
    </row>
    <row r="2095" spans="1:11" ht="42" customHeight="1">
      <c r="A2095" s="2" t="s">
        <v>4413</v>
      </c>
      <c r="B2095" s="2" t="s">
        <v>4413</v>
      </c>
      <c r="C2095" s="2" t="s">
        <v>73</v>
      </c>
      <c r="D2095" s="2" t="s">
        <v>74</v>
      </c>
      <c r="E2095" s="5">
        <v>-28002</v>
      </c>
      <c r="F2095" s="3" t="s">
        <v>245</v>
      </c>
      <c r="G2095" s="3" t="s">
        <v>48</v>
      </c>
      <c r="H2095" s="2" t="s">
        <v>21</v>
      </c>
      <c r="I2095" s="2" t="s">
        <v>4464</v>
      </c>
      <c r="J2095" s="3" t="str">
        <f>HYPERLINK("https://www.boe.es/gazeta/dias/1823/05/01/pdfs/GMD-1823-82.pdf#page=3","Abrir facsímil")</f>
        <v>Abrir facsímil</v>
      </c>
      <c r="K2095" s="3" t="s">
        <v>23</v>
      </c>
    </row>
    <row r="2096" spans="1:11" ht="42" customHeight="1">
      <c r="A2096" s="2" t="s">
        <v>4413</v>
      </c>
      <c r="B2096" s="2" t="s">
        <v>4413</v>
      </c>
      <c r="C2096" s="2" t="s">
        <v>79</v>
      </c>
      <c r="D2096" s="2" t="s">
        <v>74</v>
      </c>
      <c r="E2096" s="5">
        <v>-28001</v>
      </c>
      <c r="F2096" s="3" t="s">
        <v>768</v>
      </c>
      <c r="G2096" s="3" t="s">
        <v>4465</v>
      </c>
      <c r="H2096" s="2" t="s">
        <v>21</v>
      </c>
      <c r="I2096" s="2" t="s">
        <v>4466</v>
      </c>
      <c r="J2096" s="3" t="str">
        <f>HYPERLINK("https://www.boe.es/gazeta/dias/1823/05/02/pdfs/GES-1823-22.pdf#page=4","Abrir facsímil")</f>
        <v>Abrir facsímil</v>
      </c>
      <c r="K2096" s="3" t="s">
        <v>23</v>
      </c>
    </row>
    <row r="2097" spans="1:11" ht="42" customHeight="1">
      <c r="A2097" s="2" t="s">
        <v>4413</v>
      </c>
      <c r="B2097" s="2" t="s">
        <v>4413</v>
      </c>
      <c r="C2097" s="2" t="s">
        <v>109</v>
      </c>
      <c r="D2097" s="2" t="s">
        <v>74</v>
      </c>
      <c r="E2097" s="5">
        <v>-28001</v>
      </c>
      <c r="F2097" s="3" t="s">
        <v>768</v>
      </c>
      <c r="G2097" s="3" t="s">
        <v>48</v>
      </c>
      <c r="H2097" s="2" t="s">
        <v>21</v>
      </c>
      <c r="I2097" s="2" t="s">
        <v>4467</v>
      </c>
      <c r="J2097" s="3" t="str">
        <f>HYPERLINK("https://www.boe.es/gazeta/dias/1823/05/02/pdfs/GES-1823-22.pdf#page=3","Abrir facsímil")</f>
        <v>Abrir facsímil</v>
      </c>
      <c r="K2097" s="3" t="s">
        <v>23</v>
      </c>
    </row>
    <row r="2098" spans="1:11" ht="42" customHeight="1">
      <c r="A2098" s="2" t="s">
        <v>4413</v>
      </c>
      <c r="B2098" s="2" t="s">
        <v>4413</v>
      </c>
      <c r="C2098" s="2" t="s">
        <v>56</v>
      </c>
      <c r="D2098" s="2" t="s">
        <v>57</v>
      </c>
      <c r="E2098" s="5">
        <v>-28000</v>
      </c>
      <c r="F2098" s="3" t="s">
        <v>1118</v>
      </c>
      <c r="G2098" s="3" t="s">
        <v>20</v>
      </c>
      <c r="H2098" s="2" t="s">
        <v>21</v>
      </c>
      <c r="I2098" s="2" t="s">
        <v>4468</v>
      </c>
      <c r="J2098" s="3" t="str">
        <f>HYPERLINK("https://www.boe.es/gazeta/dias/1823/05/03/pdfs/GES-1823-23.pdf#page=4","Abrir facsímil")</f>
        <v>Abrir facsímil</v>
      </c>
      <c r="K2098" s="3" t="s">
        <v>23</v>
      </c>
    </row>
    <row r="2099" spans="1:11" ht="42" customHeight="1">
      <c r="A2099" s="2" t="s">
        <v>4413</v>
      </c>
      <c r="B2099" s="2" t="s">
        <v>4413</v>
      </c>
      <c r="C2099" s="2" t="s">
        <v>325</v>
      </c>
      <c r="D2099" s="2" t="s">
        <v>74</v>
      </c>
      <c r="E2099" s="5">
        <v>-28000</v>
      </c>
      <c r="F2099" s="3" t="s">
        <v>138</v>
      </c>
      <c r="G2099" s="3" t="s">
        <v>27</v>
      </c>
      <c r="H2099" s="2" t="s">
        <v>21</v>
      </c>
      <c r="I2099" s="2" t="s">
        <v>4469</v>
      </c>
      <c r="J2099" s="3" t="str">
        <f>HYPERLINK("https://www.boe.es/gazeta/dias/1823/05/03/pdfs/GMD-1823-92.pdf#page=2","Abrir facsímil")</f>
        <v>Abrir facsímil</v>
      </c>
      <c r="K2099" s="3" t="s">
        <v>23</v>
      </c>
    </row>
    <row r="2100" spans="1:11" ht="42" customHeight="1">
      <c r="A2100" s="2" t="s">
        <v>4413</v>
      </c>
      <c r="B2100" s="2" t="s">
        <v>4413</v>
      </c>
      <c r="C2100" s="2" t="s">
        <v>109</v>
      </c>
      <c r="D2100" s="2" t="s">
        <v>74</v>
      </c>
      <c r="E2100" s="5">
        <v>-27998</v>
      </c>
      <c r="F2100" s="3" t="s">
        <v>1058</v>
      </c>
      <c r="G2100" s="3" t="s">
        <v>34</v>
      </c>
      <c r="H2100" s="2" t="s">
        <v>21</v>
      </c>
      <c r="I2100" s="2" t="s">
        <v>4470</v>
      </c>
      <c r="J2100" s="3" t="str">
        <f>HYPERLINK("https://www.boe.es/gazeta/dias/1823/05/05/pdfs/GES-1823-25.pdf#page=5","Abrir facsímil")</f>
        <v>Abrir facsímil</v>
      </c>
      <c r="K2100" s="3" t="s">
        <v>23</v>
      </c>
    </row>
    <row r="2101" spans="1:11" ht="42" customHeight="1">
      <c r="A2101" s="2" t="s">
        <v>4413</v>
      </c>
      <c r="B2101" s="2" t="s">
        <v>4413</v>
      </c>
      <c r="C2101" s="2" t="s">
        <v>17</v>
      </c>
      <c r="D2101" s="2" t="s">
        <v>18</v>
      </c>
      <c r="E2101" s="5">
        <v>-27997</v>
      </c>
      <c r="F2101" s="3" t="s">
        <v>937</v>
      </c>
      <c r="G2101" s="3" t="s">
        <v>48</v>
      </c>
      <c r="H2101" s="2" t="s">
        <v>21</v>
      </c>
      <c r="I2101" s="2" t="s">
        <v>4471</v>
      </c>
      <c r="J2101" s="3" t="str">
        <f>HYPERLINK("https://www.boe.es/gazeta/dias/1823/05/06/pdfs/GMD-1823-102.pdf#page=3","Abrir facsímil")</f>
        <v>Abrir facsímil</v>
      </c>
      <c r="K2101" s="3" t="s">
        <v>23</v>
      </c>
    </row>
    <row r="2102" spans="1:11" ht="42" customHeight="1">
      <c r="A2102" s="2" t="s">
        <v>4413</v>
      </c>
      <c r="B2102" s="2" t="s">
        <v>4413</v>
      </c>
      <c r="C2102" s="2" t="s">
        <v>79</v>
      </c>
      <c r="D2102" s="2" t="s">
        <v>74</v>
      </c>
      <c r="E2102" s="5">
        <v>-27995</v>
      </c>
      <c r="F2102" s="3" t="s">
        <v>320</v>
      </c>
      <c r="G2102" s="3" t="s">
        <v>34</v>
      </c>
      <c r="H2102" s="2" t="s">
        <v>21</v>
      </c>
      <c r="I2102" s="2" t="s">
        <v>4472</v>
      </c>
      <c r="J2102" s="3" t="str">
        <f>HYPERLINK("https://www.boe.es/gazeta/dias/1823/05/08/pdfs/GES-1823-28.pdf#page=5","Abrir facsímil")</f>
        <v>Abrir facsímil</v>
      </c>
      <c r="K2102" s="3" t="s">
        <v>23</v>
      </c>
    </row>
    <row r="2103" spans="1:11" ht="42" customHeight="1">
      <c r="A2103" s="2" t="s">
        <v>4413</v>
      </c>
      <c r="B2103" s="2" t="s">
        <v>4413</v>
      </c>
      <c r="C2103" s="2" t="s">
        <v>56</v>
      </c>
      <c r="D2103" s="2" t="s">
        <v>57</v>
      </c>
      <c r="E2103" s="5">
        <v>-27995</v>
      </c>
      <c r="F2103" s="3" t="s">
        <v>320</v>
      </c>
      <c r="G2103" s="3" t="s">
        <v>59</v>
      </c>
      <c r="H2103" s="2" t="s">
        <v>21</v>
      </c>
      <c r="I2103" s="2" t="s">
        <v>4473</v>
      </c>
      <c r="J2103" s="3" t="str">
        <f>HYPERLINK("https://www.boe.es/gazeta/dias/1823/05/08/pdfs/GES-1823-28.pdf#page=6","Abrir facsímil")</f>
        <v>Abrir facsímil</v>
      </c>
      <c r="K2103" s="3" t="s">
        <v>23</v>
      </c>
    </row>
    <row r="2104" spans="1:11" ht="42" customHeight="1">
      <c r="A2104" s="2" t="s">
        <v>4413</v>
      </c>
      <c r="B2104" s="2" t="s">
        <v>4413</v>
      </c>
      <c r="C2104" s="2" t="s">
        <v>109</v>
      </c>
      <c r="D2104" s="2" t="s">
        <v>74</v>
      </c>
      <c r="E2104" s="5">
        <v>-27995</v>
      </c>
      <c r="F2104" s="3" t="s">
        <v>326</v>
      </c>
      <c r="G2104" s="3" t="s">
        <v>27</v>
      </c>
      <c r="H2104" s="2" t="s">
        <v>21</v>
      </c>
      <c r="I2104" s="2" t="s">
        <v>4474</v>
      </c>
      <c r="J2104" s="3" t="str">
        <f>HYPERLINK("https://www.boe.es/gazeta/dias/1823/05/08/pdfs/GMD-1823-112.pdf#page=2","Abrir facsímil")</f>
        <v>Abrir facsímil</v>
      </c>
      <c r="K2104" s="3" t="s">
        <v>23</v>
      </c>
    </row>
    <row r="2105" spans="1:11" ht="42" customHeight="1">
      <c r="A2105" s="2" t="s">
        <v>4413</v>
      </c>
      <c r="B2105" s="2" t="s">
        <v>4413</v>
      </c>
      <c r="C2105" s="2" t="s">
        <v>73</v>
      </c>
      <c r="D2105" s="2" t="s">
        <v>74</v>
      </c>
      <c r="E2105" s="5">
        <v>-27994</v>
      </c>
      <c r="F2105" s="3" t="s">
        <v>714</v>
      </c>
      <c r="G2105" s="3" t="s">
        <v>4475</v>
      </c>
      <c r="H2105" s="2" t="s">
        <v>21</v>
      </c>
      <c r="I2105" s="2" t="s">
        <v>4476</v>
      </c>
      <c r="J2105" s="3" t="str">
        <f>HYPERLINK("https://www.boe.es/gazeta/dias/1823/05/09/pdfs/GES-1823-29.pdf#page=3","Abrir facsímil")</f>
        <v>Abrir facsímil</v>
      </c>
      <c r="K2105" s="3" t="s">
        <v>23</v>
      </c>
    </row>
    <row r="2106" spans="1:11" ht="42" customHeight="1">
      <c r="A2106" s="2" t="s">
        <v>4413</v>
      </c>
      <c r="B2106" s="2" t="s">
        <v>4413</v>
      </c>
      <c r="C2106" s="2" t="s">
        <v>56</v>
      </c>
      <c r="D2106" s="2" t="s">
        <v>57</v>
      </c>
      <c r="E2106" s="5">
        <v>-27994</v>
      </c>
      <c r="F2106" s="3" t="s">
        <v>714</v>
      </c>
      <c r="G2106" s="3" t="s">
        <v>20</v>
      </c>
      <c r="H2106" s="2" t="s">
        <v>21</v>
      </c>
      <c r="I2106" s="2" t="s">
        <v>4477</v>
      </c>
      <c r="J2106" s="3" t="str">
        <f>HYPERLINK("https://www.boe.es/gazeta/dias/1823/05/09/pdfs/GES-1823-29.pdf#page=4","Abrir facsímil")</f>
        <v>Abrir facsímil</v>
      </c>
      <c r="K2106" s="3" t="s">
        <v>23</v>
      </c>
    </row>
    <row r="2107" spans="1:11" ht="42" customHeight="1">
      <c r="A2107" s="2" t="s">
        <v>4413</v>
      </c>
      <c r="B2107" s="2" t="s">
        <v>4413</v>
      </c>
      <c r="C2107" s="2" t="s">
        <v>56</v>
      </c>
      <c r="D2107" s="2" t="s">
        <v>57</v>
      </c>
      <c r="E2107" s="5">
        <v>-27994</v>
      </c>
      <c r="F2107" s="3" t="s">
        <v>714</v>
      </c>
      <c r="G2107" s="3" t="s">
        <v>34</v>
      </c>
      <c r="H2107" s="2" t="s">
        <v>21</v>
      </c>
      <c r="I2107" s="2" t="s">
        <v>4478</v>
      </c>
      <c r="J2107" s="3" t="str">
        <f>HYPERLINK("https://www.boe.es/gazeta/dias/1823/05/09/pdfs/GES-1823-29.pdf#page=5","Abrir facsímil")</f>
        <v>Abrir facsímil</v>
      </c>
      <c r="K2107" s="3" t="s">
        <v>23</v>
      </c>
    </row>
    <row r="2108" spans="1:11" ht="42" customHeight="1">
      <c r="A2108" s="2" t="s">
        <v>4413</v>
      </c>
      <c r="B2108" s="2" t="s">
        <v>4413</v>
      </c>
      <c r="C2108" s="2" t="s">
        <v>17</v>
      </c>
      <c r="D2108" s="2" t="s">
        <v>18</v>
      </c>
      <c r="E2108" s="5">
        <v>-27994</v>
      </c>
      <c r="F2108" s="3" t="s">
        <v>714</v>
      </c>
      <c r="G2108" s="3" t="s">
        <v>59</v>
      </c>
      <c r="H2108" s="2" t="s">
        <v>21</v>
      </c>
      <c r="I2108" s="2" t="s">
        <v>4479</v>
      </c>
      <c r="J2108" s="3" t="str">
        <f>HYPERLINK("https://www.boe.es/gazeta/dias/1823/05/09/pdfs/GES-1823-29.pdf#page=6","Abrir facsímil")</f>
        <v>Abrir facsímil</v>
      </c>
      <c r="K2108" s="3" t="s">
        <v>23</v>
      </c>
    </row>
    <row r="2109" spans="1:11" ht="42" customHeight="1">
      <c r="A2109" s="2" t="s">
        <v>4413</v>
      </c>
      <c r="B2109" s="2" t="s">
        <v>4413</v>
      </c>
      <c r="C2109" s="2" t="s">
        <v>109</v>
      </c>
      <c r="D2109" s="2" t="s">
        <v>74</v>
      </c>
      <c r="E2109" s="5">
        <v>-27993</v>
      </c>
      <c r="F2109" s="3" t="s">
        <v>1062</v>
      </c>
      <c r="G2109" s="3" t="s">
        <v>20</v>
      </c>
      <c r="H2109" s="2" t="s">
        <v>21</v>
      </c>
      <c r="I2109" s="2" t="s">
        <v>4480</v>
      </c>
      <c r="J2109" s="3" t="str">
        <f>HYPERLINK("https://www.boe.es/gazeta/dias/1823/05/10/pdfs/GMD-1823-122.pdf#page=4","Abrir facsímil")</f>
        <v>Abrir facsímil</v>
      </c>
      <c r="K2109" s="3" t="s">
        <v>23</v>
      </c>
    </row>
    <row r="2110" spans="1:11" ht="42" customHeight="1">
      <c r="A2110" s="2" t="s">
        <v>4413</v>
      </c>
      <c r="B2110" s="2" t="s">
        <v>4413</v>
      </c>
      <c r="C2110" s="2" t="s">
        <v>109</v>
      </c>
      <c r="D2110" s="2" t="s">
        <v>74</v>
      </c>
      <c r="E2110" s="5">
        <v>-27992</v>
      </c>
      <c r="F2110" s="3" t="s">
        <v>565</v>
      </c>
      <c r="G2110" s="3" t="s">
        <v>1279</v>
      </c>
      <c r="H2110" s="2" t="s">
        <v>21</v>
      </c>
      <c r="I2110" s="2" t="s">
        <v>4481</v>
      </c>
      <c r="J2110" s="3" t="str">
        <f>HYPERLINK("https://www.boe.es/gazeta/dias/1823/05/11/pdfs/GES-1823-31.pdf#page=2","Abrir facsímil")</f>
        <v>Abrir facsímil</v>
      </c>
      <c r="K2110" s="3" t="s">
        <v>23</v>
      </c>
    </row>
    <row r="2111" spans="1:11" ht="42" customHeight="1">
      <c r="A2111" s="2" t="s">
        <v>4413</v>
      </c>
      <c r="B2111" s="2" t="s">
        <v>4413</v>
      </c>
      <c r="C2111" s="2" t="s">
        <v>17</v>
      </c>
      <c r="D2111" s="2" t="s">
        <v>18</v>
      </c>
      <c r="E2111" s="5">
        <v>-27991</v>
      </c>
      <c r="F2111" s="3" t="s">
        <v>328</v>
      </c>
      <c r="G2111" s="3" t="s">
        <v>48</v>
      </c>
      <c r="H2111" s="2" t="s">
        <v>21</v>
      </c>
      <c r="I2111" s="2" t="s">
        <v>4482</v>
      </c>
      <c r="J2111" s="3" t="str">
        <f>HYPERLINK("https://www.boe.es/gazeta/dias/1823/05/12/pdfs/GES-1823-32.pdf#page=3","Abrir facsímil")</f>
        <v>Abrir facsímil</v>
      </c>
      <c r="K2111" s="3" t="s">
        <v>23</v>
      </c>
    </row>
    <row r="2112" spans="1:11" ht="42" customHeight="1">
      <c r="A2112" s="2" t="s">
        <v>4413</v>
      </c>
      <c r="B2112" s="2" t="s">
        <v>4413</v>
      </c>
      <c r="C2112" s="2" t="s">
        <v>109</v>
      </c>
      <c r="D2112" s="2" t="s">
        <v>74</v>
      </c>
      <c r="E2112" s="5">
        <v>-27990</v>
      </c>
      <c r="F2112" s="3" t="s">
        <v>1132</v>
      </c>
      <c r="G2112" s="3" t="s">
        <v>39</v>
      </c>
      <c r="H2112" s="2" t="s">
        <v>21</v>
      </c>
      <c r="I2112" s="2" t="s">
        <v>4483</v>
      </c>
      <c r="J2112" s="3" t="str">
        <f>HYPERLINK("https://www.boe.es/gazeta/dias/1823/05/13/pdfs/GES-1823-33.pdf#page=1","Abrir facsímil")</f>
        <v>Abrir facsímil</v>
      </c>
      <c r="K2112" s="3" t="s">
        <v>23</v>
      </c>
    </row>
    <row r="2113" spans="1:11" ht="42" customHeight="1">
      <c r="A2113" s="2" t="s">
        <v>4413</v>
      </c>
      <c r="B2113" s="2" t="s">
        <v>4413</v>
      </c>
      <c r="C2113" s="2" t="s">
        <v>56</v>
      </c>
      <c r="D2113" s="2" t="s">
        <v>57</v>
      </c>
      <c r="E2113" s="5">
        <v>-27990</v>
      </c>
      <c r="F2113" s="3" t="s">
        <v>330</v>
      </c>
      <c r="G2113" s="3" t="s">
        <v>48</v>
      </c>
      <c r="H2113" s="2" t="s">
        <v>21</v>
      </c>
      <c r="I2113" s="2" t="s">
        <v>4484</v>
      </c>
      <c r="J2113" s="3" t="str">
        <f>HYPERLINK("https://www.boe.es/gazeta/dias/1823/05/13/pdfs/GMD-1823-132.pdf#page=3","Abrir facsímil")</f>
        <v>Abrir facsímil</v>
      </c>
      <c r="K2113" s="3" t="s">
        <v>23</v>
      </c>
    </row>
    <row r="2114" spans="1:11" ht="42" customHeight="1">
      <c r="A2114" s="2" t="s">
        <v>4413</v>
      </c>
      <c r="B2114" s="2" t="s">
        <v>4413</v>
      </c>
      <c r="C2114" s="2" t="s">
        <v>17</v>
      </c>
      <c r="D2114" s="2" t="s">
        <v>18</v>
      </c>
      <c r="E2114" s="5">
        <v>-27989</v>
      </c>
      <c r="F2114" s="3" t="s">
        <v>1134</v>
      </c>
      <c r="G2114" s="3" t="s">
        <v>20</v>
      </c>
      <c r="H2114" s="2" t="s">
        <v>21</v>
      </c>
      <c r="I2114" s="2" t="s">
        <v>4485</v>
      </c>
      <c r="J2114" s="3" t="str">
        <f>HYPERLINK("https://www.boe.es/gazeta/dias/1823/05/14/pdfs/GES-1823-34.pdf#page=4","Abrir facsímil")</f>
        <v>Abrir facsímil</v>
      </c>
      <c r="K2114" s="3" t="s">
        <v>23</v>
      </c>
    </row>
    <row r="2115" spans="1:11" ht="42" customHeight="1">
      <c r="A2115" s="2" t="s">
        <v>4413</v>
      </c>
      <c r="B2115" s="2" t="s">
        <v>4413</v>
      </c>
      <c r="C2115" s="2" t="s">
        <v>84</v>
      </c>
      <c r="D2115" s="2" t="s">
        <v>74</v>
      </c>
      <c r="E2115" s="5">
        <v>-27988</v>
      </c>
      <c r="F2115" s="3" t="s">
        <v>2022</v>
      </c>
      <c r="G2115" s="3" t="s">
        <v>39</v>
      </c>
      <c r="H2115" s="2" t="s">
        <v>21</v>
      </c>
      <c r="I2115" s="2" t="s">
        <v>4486</v>
      </c>
      <c r="J2115" s="3" t="str">
        <f>HYPERLINK("https://www.boe.es/gazeta/dias/1823/05/15/pdfs/GMD-1823-142.pdf#page=1","Abrir facsímil")</f>
        <v>Abrir facsímil</v>
      </c>
      <c r="K2115" s="3" t="s">
        <v>23</v>
      </c>
    </row>
    <row r="2116" spans="1:11" ht="42" customHeight="1">
      <c r="A2116" s="2" t="s">
        <v>4413</v>
      </c>
      <c r="B2116" s="2" t="s">
        <v>4413</v>
      </c>
      <c r="C2116" s="2" t="s">
        <v>17</v>
      </c>
      <c r="D2116" s="2" t="s">
        <v>18</v>
      </c>
      <c r="E2116" s="5">
        <v>-27988</v>
      </c>
      <c r="F2116" s="3" t="s">
        <v>2022</v>
      </c>
      <c r="G2116" s="3" t="s">
        <v>27</v>
      </c>
      <c r="H2116" s="2" t="s">
        <v>21</v>
      </c>
      <c r="I2116" s="2" t="s">
        <v>4487</v>
      </c>
      <c r="J2116" s="3" t="str">
        <f>HYPERLINK("https://www.boe.es/gazeta/dias/1823/05/15/pdfs/GMD-1823-142.pdf#page=2","Abrir facsímil")</f>
        <v>Abrir facsímil</v>
      </c>
      <c r="K2116" s="3" t="s">
        <v>23</v>
      </c>
    </row>
    <row r="2117" spans="1:11" ht="42" customHeight="1">
      <c r="A2117" s="2" t="s">
        <v>4413</v>
      </c>
      <c r="B2117" s="2" t="s">
        <v>4413</v>
      </c>
      <c r="C2117" s="2" t="s">
        <v>109</v>
      </c>
      <c r="D2117" s="2" t="s">
        <v>74</v>
      </c>
      <c r="E2117" s="5">
        <v>-27987</v>
      </c>
      <c r="F2117" s="3" t="s">
        <v>332</v>
      </c>
      <c r="G2117" s="3" t="s">
        <v>333</v>
      </c>
      <c r="H2117" s="2" t="s">
        <v>21</v>
      </c>
      <c r="I2117" s="2" t="s">
        <v>4488</v>
      </c>
      <c r="J2117" s="3" t="str">
        <f>HYPERLINK("https://www.boe.es/gazeta/dias/1823/05/16/pdfs/GES-1823-36.pdf#page=2","Abrir facsímil")</f>
        <v>Abrir facsímil</v>
      </c>
      <c r="K2117" s="3" t="s">
        <v>23</v>
      </c>
    </row>
    <row r="2118" spans="1:11" ht="42" customHeight="1">
      <c r="A2118" s="2" t="s">
        <v>4413</v>
      </c>
      <c r="B2118" s="2" t="s">
        <v>4413</v>
      </c>
      <c r="C2118" s="2" t="s">
        <v>17</v>
      </c>
      <c r="D2118" s="2" t="s">
        <v>18</v>
      </c>
      <c r="E2118" s="5">
        <v>-27987</v>
      </c>
      <c r="F2118" s="3" t="s">
        <v>332</v>
      </c>
      <c r="G2118" s="3" t="s">
        <v>39</v>
      </c>
      <c r="H2118" s="2" t="s">
        <v>21</v>
      </c>
      <c r="I2118" s="2" t="s">
        <v>4489</v>
      </c>
      <c r="J2118" s="3" t="str">
        <f>HYPERLINK("https://www.boe.es/gazeta/dias/1823/05/16/pdfs/GES-1823-36.pdf#page=1","Abrir facsímil")</f>
        <v>Abrir facsímil</v>
      </c>
      <c r="K2118" s="3" t="s">
        <v>23</v>
      </c>
    </row>
    <row r="2119" spans="1:11" ht="42" customHeight="1">
      <c r="A2119" s="2" t="s">
        <v>4413</v>
      </c>
      <c r="B2119" s="2" t="s">
        <v>4413</v>
      </c>
      <c r="C2119" s="2" t="s">
        <v>79</v>
      </c>
      <c r="D2119" s="2" t="s">
        <v>74</v>
      </c>
      <c r="E2119" s="5">
        <v>-27987</v>
      </c>
      <c r="F2119" s="3" t="s">
        <v>332</v>
      </c>
      <c r="G2119" s="3" t="s">
        <v>48</v>
      </c>
      <c r="H2119" s="2" t="s">
        <v>21</v>
      </c>
      <c r="I2119" s="2" t="s">
        <v>4490</v>
      </c>
      <c r="J2119" s="3" t="str">
        <f>HYPERLINK("https://www.boe.es/gazeta/dias/1823/05/16/pdfs/GES-1823-36.pdf#page=3","Abrir facsímil")</f>
        <v>Abrir facsímil</v>
      </c>
      <c r="K2119" s="3" t="s">
        <v>23</v>
      </c>
    </row>
    <row r="2120" spans="1:11" ht="42" customHeight="1">
      <c r="A2120" s="2" t="s">
        <v>4413</v>
      </c>
      <c r="B2120" s="2" t="s">
        <v>4413</v>
      </c>
      <c r="C2120" s="2" t="s">
        <v>109</v>
      </c>
      <c r="D2120" s="2" t="s">
        <v>74</v>
      </c>
      <c r="E2120" s="5">
        <v>-27986</v>
      </c>
      <c r="F2120" s="3" t="s">
        <v>75</v>
      </c>
      <c r="G2120" s="3" t="s">
        <v>27</v>
      </c>
      <c r="H2120" s="2" t="s">
        <v>21</v>
      </c>
      <c r="I2120" s="2" t="s">
        <v>4491</v>
      </c>
      <c r="J2120" s="3" t="str">
        <f>HYPERLINK("https://www.boe.es/gazeta/dias/1823/05/17/pdfs/GES-1823-37.pdf#page=2","Abrir facsímil")</f>
        <v>Abrir facsímil</v>
      </c>
      <c r="K2120" s="3" t="s">
        <v>23</v>
      </c>
    </row>
    <row r="2121" spans="1:11" ht="42" customHeight="1">
      <c r="A2121" s="2" t="s">
        <v>4413</v>
      </c>
      <c r="B2121" s="2" t="s">
        <v>4413</v>
      </c>
      <c r="C2121" s="2" t="s">
        <v>56</v>
      </c>
      <c r="D2121" s="2" t="s">
        <v>57</v>
      </c>
      <c r="E2121" s="5">
        <v>-27986</v>
      </c>
      <c r="F2121" s="3" t="s">
        <v>75</v>
      </c>
      <c r="G2121" s="3" t="s">
        <v>20</v>
      </c>
      <c r="H2121" s="2" t="s">
        <v>21</v>
      </c>
      <c r="I2121" s="2" t="s">
        <v>4492</v>
      </c>
      <c r="J2121" s="3" t="str">
        <f>HYPERLINK("https://www.boe.es/gazeta/dias/1823/05/17/pdfs/GES-1823-37.pdf#page=4","Abrir facsímil")</f>
        <v>Abrir facsímil</v>
      </c>
      <c r="K2121" s="3" t="s">
        <v>23</v>
      </c>
    </row>
    <row r="2122" spans="1:11" ht="42" customHeight="1">
      <c r="A2122" s="2" t="s">
        <v>4413</v>
      </c>
      <c r="B2122" s="2" t="s">
        <v>4413</v>
      </c>
      <c r="C2122" s="2" t="s">
        <v>73</v>
      </c>
      <c r="D2122" s="2" t="s">
        <v>74</v>
      </c>
      <c r="E2122" s="5">
        <v>-27986</v>
      </c>
      <c r="F2122" s="3" t="s">
        <v>607</v>
      </c>
      <c r="G2122" s="3" t="s">
        <v>48</v>
      </c>
      <c r="H2122" s="2" t="s">
        <v>21</v>
      </c>
      <c r="I2122" s="2" t="s">
        <v>4493</v>
      </c>
      <c r="J2122" s="3" t="str">
        <f>HYPERLINK("https://www.boe.es/gazeta/dias/1823/05/17/pdfs/GMD-1823-152.pdf#page=3","Abrir facsímil")</f>
        <v>Abrir facsímil</v>
      </c>
      <c r="K2122" s="3" t="s">
        <v>23</v>
      </c>
    </row>
    <row r="2123" spans="1:11" ht="42" customHeight="1">
      <c r="A2123" s="2" t="s">
        <v>4413</v>
      </c>
      <c r="B2123" s="2" t="s">
        <v>4413</v>
      </c>
      <c r="C2123" s="2" t="s">
        <v>73</v>
      </c>
      <c r="D2123" s="2" t="s">
        <v>74</v>
      </c>
      <c r="E2123" s="5">
        <v>-27985</v>
      </c>
      <c r="F2123" s="3" t="s">
        <v>951</v>
      </c>
      <c r="G2123" s="3" t="s">
        <v>39</v>
      </c>
      <c r="H2123" s="2" t="s">
        <v>21</v>
      </c>
      <c r="I2123" s="2" t="s">
        <v>4494</v>
      </c>
      <c r="J2123" s="3" t="str">
        <f>HYPERLINK("https://www.boe.es/gazeta/dias/1823/05/18/pdfs/GES-1823-38.pdf#page=1","Abrir facsímil")</f>
        <v>Abrir facsímil</v>
      </c>
      <c r="K2123" s="3" t="s">
        <v>23</v>
      </c>
    </row>
    <row r="2124" spans="1:11" ht="42" customHeight="1">
      <c r="A2124" s="2" t="s">
        <v>4413</v>
      </c>
      <c r="B2124" s="2" t="s">
        <v>4413</v>
      </c>
      <c r="C2124" s="2" t="s">
        <v>109</v>
      </c>
      <c r="D2124" s="2" t="s">
        <v>74</v>
      </c>
      <c r="E2124" s="5">
        <v>-27985</v>
      </c>
      <c r="F2124" s="3" t="s">
        <v>951</v>
      </c>
      <c r="G2124" s="3" t="s">
        <v>48</v>
      </c>
      <c r="H2124" s="2" t="s">
        <v>21</v>
      </c>
      <c r="I2124" s="2" t="s">
        <v>4495</v>
      </c>
      <c r="J2124" s="3" t="str">
        <f>HYPERLINK("https://www.boe.es/gazeta/dias/1823/05/18/pdfs/GES-1823-38.pdf#page=3","Abrir facsímil")</f>
        <v>Abrir facsímil</v>
      </c>
      <c r="K2124" s="3" t="s">
        <v>23</v>
      </c>
    </row>
    <row r="2125" spans="1:11" ht="42" customHeight="1">
      <c r="A2125" s="2" t="s">
        <v>4413</v>
      </c>
      <c r="B2125" s="2" t="s">
        <v>4413</v>
      </c>
      <c r="C2125" s="2" t="s">
        <v>17</v>
      </c>
      <c r="D2125" s="2" t="s">
        <v>18</v>
      </c>
      <c r="E2125" s="5">
        <v>-27984</v>
      </c>
      <c r="F2125" s="3" t="s">
        <v>335</v>
      </c>
      <c r="G2125" s="3" t="s">
        <v>34</v>
      </c>
      <c r="H2125" s="2" t="s">
        <v>21</v>
      </c>
      <c r="I2125" s="2" t="s">
        <v>4496</v>
      </c>
      <c r="J2125" s="3" t="str">
        <f>HYPERLINK("https://www.boe.es/gazeta/dias/1823/05/19/pdfs/GES-1823-39.pdf#page=5","Abrir facsímil")</f>
        <v>Abrir facsímil</v>
      </c>
      <c r="K2125" s="3" t="s">
        <v>23</v>
      </c>
    </row>
    <row r="2126" spans="1:11" ht="42" customHeight="1">
      <c r="A2126" s="2" t="s">
        <v>4413</v>
      </c>
      <c r="B2126" s="2" t="s">
        <v>4413</v>
      </c>
      <c r="C2126" s="2" t="s">
        <v>56</v>
      </c>
      <c r="D2126" s="2" t="s">
        <v>57</v>
      </c>
      <c r="E2126" s="5">
        <v>-27983</v>
      </c>
      <c r="F2126" s="3" t="s">
        <v>337</v>
      </c>
      <c r="G2126" s="3" t="s">
        <v>48</v>
      </c>
      <c r="H2126" s="2" t="s">
        <v>21</v>
      </c>
      <c r="I2126" s="2" t="s">
        <v>4497</v>
      </c>
      <c r="J2126" s="3" t="str">
        <f>HYPERLINK("https://www.boe.es/gazeta/dias/1823/05/20/pdfs/GES-1823-40.pdf#page=3","Abrir facsímil")</f>
        <v>Abrir facsímil</v>
      </c>
      <c r="K2126" s="3" t="s">
        <v>23</v>
      </c>
    </row>
    <row r="2127" spans="1:11" ht="42" customHeight="1">
      <c r="A2127" s="2" t="s">
        <v>4413</v>
      </c>
      <c r="B2127" s="2" t="s">
        <v>4413</v>
      </c>
      <c r="C2127" s="2" t="s">
        <v>56</v>
      </c>
      <c r="D2127" s="2" t="s">
        <v>57</v>
      </c>
      <c r="E2127" s="5">
        <v>-27982</v>
      </c>
      <c r="F2127" s="3" t="s">
        <v>340</v>
      </c>
      <c r="G2127" s="3" t="s">
        <v>20</v>
      </c>
      <c r="H2127" s="2" t="s">
        <v>21</v>
      </c>
      <c r="I2127" s="2" t="s">
        <v>4498</v>
      </c>
      <c r="J2127" s="3" t="str">
        <f>HYPERLINK("https://www.boe.es/gazeta/dias/1823/05/21/pdfs/GES-1823-42.pdf#page=4","Abrir facsímil")</f>
        <v>Abrir facsímil</v>
      </c>
      <c r="K2127" s="3" t="s">
        <v>23</v>
      </c>
    </row>
    <row r="2128" spans="1:11" ht="42" customHeight="1">
      <c r="A2128" s="2" t="s">
        <v>4413</v>
      </c>
      <c r="B2128" s="2" t="s">
        <v>4413</v>
      </c>
      <c r="C2128" s="2" t="s">
        <v>56</v>
      </c>
      <c r="D2128" s="2" t="s">
        <v>57</v>
      </c>
      <c r="E2128" s="5">
        <v>-27979</v>
      </c>
      <c r="F2128" s="3" t="s">
        <v>1071</v>
      </c>
      <c r="G2128" s="3" t="s">
        <v>27</v>
      </c>
      <c r="H2128" s="2" t="s">
        <v>21</v>
      </c>
      <c r="I2128" s="2" t="s">
        <v>4499</v>
      </c>
      <c r="J2128" s="3" t="str">
        <f>HYPERLINK("https://www.boe.es/gazeta/dias/1823/05/24/pdfs/GES-1823-45.pdf#page=2","Abrir facsímil")</f>
        <v>Abrir facsímil</v>
      </c>
      <c r="K2128" s="3" t="s">
        <v>23</v>
      </c>
    </row>
    <row r="2129" spans="1:11" ht="42" customHeight="1">
      <c r="A2129" s="2" t="s">
        <v>4413</v>
      </c>
      <c r="B2129" s="2" t="s">
        <v>4413</v>
      </c>
      <c r="C2129" s="2" t="s">
        <v>109</v>
      </c>
      <c r="D2129" s="2" t="s">
        <v>74</v>
      </c>
      <c r="E2129" s="5">
        <v>-27979</v>
      </c>
      <c r="F2129" s="3" t="s">
        <v>1071</v>
      </c>
      <c r="G2129" s="3" t="s">
        <v>34</v>
      </c>
      <c r="H2129" s="2" t="s">
        <v>21</v>
      </c>
      <c r="I2129" s="2" t="s">
        <v>4500</v>
      </c>
      <c r="J2129" s="3" t="str">
        <f>HYPERLINK("https://www.boe.es/gazeta/dias/1823/05/24/pdfs/GES-1823-45.pdf#page=5","Abrir facsímil")</f>
        <v>Abrir facsímil</v>
      </c>
      <c r="K2129" s="3" t="s">
        <v>23</v>
      </c>
    </row>
    <row r="2130" spans="1:11" ht="42" customHeight="1">
      <c r="A2130" s="2" t="s">
        <v>4413</v>
      </c>
      <c r="B2130" s="2" t="s">
        <v>4413</v>
      </c>
      <c r="C2130" s="2" t="s">
        <v>17</v>
      </c>
      <c r="D2130" s="2" t="s">
        <v>18</v>
      </c>
      <c r="E2130" s="5">
        <v>-27972</v>
      </c>
      <c r="F2130" s="3" t="s">
        <v>429</v>
      </c>
      <c r="G2130" s="3" t="s">
        <v>39</v>
      </c>
      <c r="H2130" s="2" t="s">
        <v>21</v>
      </c>
      <c r="I2130" s="2" t="s">
        <v>4501</v>
      </c>
      <c r="J2130" s="3" t="str">
        <f>HYPERLINK("https://www.boe.es/gazeta/dias/1823/05/31/pdfs/GES-1823-54.pdf#page=1","Abrir facsímil")</f>
        <v>Abrir facsímil</v>
      </c>
      <c r="K2130" s="3" t="s">
        <v>23</v>
      </c>
    </row>
    <row r="2131" spans="1:11" ht="42" customHeight="1">
      <c r="A2131" s="2" t="s">
        <v>4413</v>
      </c>
      <c r="B2131" s="2" t="s">
        <v>4413</v>
      </c>
      <c r="C2131" s="2" t="s">
        <v>109</v>
      </c>
      <c r="D2131" s="2" t="s">
        <v>74</v>
      </c>
      <c r="E2131" s="5">
        <v>-27972</v>
      </c>
      <c r="F2131" s="3" t="s">
        <v>429</v>
      </c>
      <c r="G2131" s="3" t="s">
        <v>27</v>
      </c>
      <c r="H2131" s="2" t="s">
        <v>21</v>
      </c>
      <c r="I2131" s="2" t="s">
        <v>4502</v>
      </c>
      <c r="J2131" s="3" t="str">
        <f>HYPERLINK("https://www.boe.es/gazeta/dias/1823/05/31/pdfs/GES-1823-54.pdf#page=2","Abrir facsímil")</f>
        <v>Abrir facsímil</v>
      </c>
      <c r="K2131" s="3" t="s">
        <v>23</v>
      </c>
    </row>
    <row r="2132" spans="1:11" ht="42" customHeight="1">
      <c r="A2132" s="2" t="s">
        <v>4413</v>
      </c>
      <c r="B2132" s="2" t="s">
        <v>4413</v>
      </c>
      <c r="C2132" s="2" t="s">
        <v>109</v>
      </c>
      <c r="D2132" s="2" t="s">
        <v>74</v>
      </c>
      <c r="E2132" s="5">
        <v>-27971</v>
      </c>
      <c r="F2132" s="3" t="s">
        <v>4211</v>
      </c>
      <c r="G2132" s="3" t="s">
        <v>39</v>
      </c>
      <c r="H2132" s="2" t="s">
        <v>21</v>
      </c>
      <c r="I2132" s="2" t="s">
        <v>4503</v>
      </c>
      <c r="J2132" s="3" t="str">
        <f>HYPERLINK("https://www.boe.es/gazeta/dias/1823/06/01/pdfs/GES-1823-55.pdf#page=1","Abrir facsímil")</f>
        <v>Abrir facsímil</v>
      </c>
      <c r="K2132" s="3" t="s">
        <v>23</v>
      </c>
    </row>
    <row r="2133" spans="1:11" ht="42" customHeight="1">
      <c r="A2133" s="2" t="s">
        <v>4413</v>
      </c>
      <c r="B2133" s="2" t="s">
        <v>4413</v>
      </c>
      <c r="C2133" s="2" t="s">
        <v>109</v>
      </c>
      <c r="D2133" s="2" t="s">
        <v>74</v>
      </c>
      <c r="E2133" s="5">
        <v>-27970</v>
      </c>
      <c r="F2133" s="3" t="s">
        <v>1030</v>
      </c>
      <c r="G2133" s="3" t="s">
        <v>39</v>
      </c>
      <c r="H2133" s="2" t="s">
        <v>21</v>
      </c>
      <c r="I2133" s="2" t="s">
        <v>4504</v>
      </c>
      <c r="J2133" s="3" t="str">
        <f>HYPERLINK("https://www.boe.es/gazeta/dias/1823/06/02/pdfs/GES-1823-56.pdf#page=1","Abrir facsímil")</f>
        <v>Abrir facsímil</v>
      </c>
      <c r="K2133" s="3" t="s">
        <v>23</v>
      </c>
    </row>
    <row r="2134" spans="1:11" ht="42" customHeight="1">
      <c r="A2134" s="2" t="s">
        <v>4413</v>
      </c>
      <c r="B2134" s="2" t="s">
        <v>4413</v>
      </c>
      <c r="C2134" s="2" t="s">
        <v>79</v>
      </c>
      <c r="D2134" s="2" t="s">
        <v>74</v>
      </c>
      <c r="E2134" s="5">
        <v>-27970</v>
      </c>
      <c r="F2134" s="3" t="s">
        <v>1030</v>
      </c>
      <c r="G2134" s="3" t="s">
        <v>27</v>
      </c>
      <c r="H2134" s="2" t="s">
        <v>21</v>
      </c>
      <c r="I2134" s="2" t="s">
        <v>4505</v>
      </c>
      <c r="J2134" s="3" t="str">
        <f>HYPERLINK("https://www.boe.es/gazeta/dias/1823/06/02/pdfs/GES-1823-56.pdf#page=2","Abrir facsímil")</f>
        <v>Abrir facsímil</v>
      </c>
      <c r="K2134" s="3" t="s">
        <v>23</v>
      </c>
    </row>
    <row r="2135" spans="1:11" ht="42" customHeight="1">
      <c r="A2135" s="2" t="s">
        <v>4413</v>
      </c>
      <c r="B2135" s="2" t="s">
        <v>4413</v>
      </c>
      <c r="C2135" s="2" t="s">
        <v>17</v>
      </c>
      <c r="D2135" s="2" t="s">
        <v>18</v>
      </c>
      <c r="E2135" s="5">
        <v>-27970</v>
      </c>
      <c r="F2135" s="3" t="s">
        <v>1030</v>
      </c>
      <c r="G2135" s="3" t="s">
        <v>48</v>
      </c>
      <c r="H2135" s="2" t="s">
        <v>21</v>
      </c>
      <c r="I2135" s="2" t="s">
        <v>4506</v>
      </c>
      <c r="J2135" s="3" t="str">
        <f>HYPERLINK("https://www.boe.es/gazeta/dias/1823/06/02/pdfs/GES-1823-56.pdf#page=3","Abrir facsímil")</f>
        <v>Abrir facsímil</v>
      </c>
      <c r="K2135" s="3" t="s">
        <v>23</v>
      </c>
    </row>
    <row r="2136" spans="1:11" ht="42" customHeight="1">
      <c r="A2136" s="2" t="s">
        <v>4413</v>
      </c>
      <c r="B2136" s="2" t="s">
        <v>4413</v>
      </c>
      <c r="C2136" s="2" t="s">
        <v>73</v>
      </c>
      <c r="D2136" s="2" t="s">
        <v>74</v>
      </c>
      <c r="E2136" s="5">
        <v>-27969</v>
      </c>
      <c r="F2136" s="3" t="s">
        <v>855</v>
      </c>
      <c r="G2136" s="3" t="s">
        <v>1158</v>
      </c>
      <c r="H2136" s="2" t="s">
        <v>21</v>
      </c>
      <c r="I2136" s="2" t="s">
        <v>4507</v>
      </c>
      <c r="J2136" s="3" t="str">
        <f>HYPERLINK("https://www.boe.es/gazeta/dias/1823/06/03/pdfs/GES-1823-57.pdf#page=2","Abrir facsímil")</f>
        <v>Abrir facsímil</v>
      </c>
      <c r="K2136" s="3" t="s">
        <v>23</v>
      </c>
    </row>
    <row r="2137" spans="1:11" ht="42" customHeight="1">
      <c r="A2137" s="2" t="s">
        <v>4413</v>
      </c>
      <c r="B2137" s="2" t="s">
        <v>4413</v>
      </c>
      <c r="C2137" s="2" t="s">
        <v>109</v>
      </c>
      <c r="D2137" s="2" t="s">
        <v>74</v>
      </c>
      <c r="E2137" s="5">
        <v>-27968</v>
      </c>
      <c r="F2137" s="3" t="s">
        <v>1160</v>
      </c>
      <c r="G2137" s="3" t="s">
        <v>27</v>
      </c>
      <c r="H2137" s="2" t="s">
        <v>21</v>
      </c>
      <c r="I2137" s="2" t="s">
        <v>4508</v>
      </c>
      <c r="J2137" s="3" t="str">
        <f>HYPERLINK("https://www.boe.es/gazeta/dias/1823/06/04/pdfs/GES-1823-58.pdf#page=2","Abrir facsímil")</f>
        <v>Abrir facsímil</v>
      </c>
      <c r="K2137" s="3" t="s">
        <v>23</v>
      </c>
    </row>
    <row r="2138" spans="1:11" ht="42" customHeight="1">
      <c r="A2138" s="2" t="s">
        <v>4413</v>
      </c>
      <c r="B2138" s="2" t="s">
        <v>4413</v>
      </c>
      <c r="C2138" s="2" t="s">
        <v>17</v>
      </c>
      <c r="D2138" s="2" t="s">
        <v>18</v>
      </c>
      <c r="E2138" s="5">
        <v>-27968</v>
      </c>
      <c r="F2138" s="3" t="s">
        <v>1160</v>
      </c>
      <c r="G2138" s="3" t="s">
        <v>20</v>
      </c>
      <c r="H2138" s="2" t="s">
        <v>21</v>
      </c>
      <c r="I2138" s="2" t="s">
        <v>4509</v>
      </c>
      <c r="J2138" s="3" t="str">
        <f>HYPERLINK("https://www.boe.es/gazeta/dias/1823/06/04/pdfs/GES-1823-58.pdf#page=4","Abrir facsímil")</f>
        <v>Abrir facsímil</v>
      </c>
      <c r="K2138" s="3" t="s">
        <v>23</v>
      </c>
    </row>
    <row r="2139" spans="1:11" ht="42" customHeight="1">
      <c r="A2139" s="2" t="s">
        <v>4413</v>
      </c>
      <c r="B2139" s="2" t="s">
        <v>4413</v>
      </c>
      <c r="C2139" s="2" t="s">
        <v>73</v>
      </c>
      <c r="D2139" s="2" t="s">
        <v>74</v>
      </c>
      <c r="E2139" s="5">
        <v>-27966</v>
      </c>
      <c r="F2139" s="3" t="s">
        <v>675</v>
      </c>
      <c r="G2139" s="3" t="s">
        <v>20</v>
      </c>
      <c r="H2139" s="2" t="s">
        <v>21</v>
      </c>
      <c r="I2139" s="2" t="s">
        <v>4510</v>
      </c>
      <c r="J2139" s="3" t="str">
        <f>HYPERLINK("https://www.boe.es/gazeta/dias/1823/06/06/pdfs/GES-1823-60.pdf#page=4","Abrir facsímil")</f>
        <v>Abrir facsímil</v>
      </c>
      <c r="K2139" s="3" t="s">
        <v>23</v>
      </c>
    </row>
    <row r="2140" spans="1:11" ht="42" customHeight="1">
      <c r="A2140" s="2" t="s">
        <v>4413</v>
      </c>
      <c r="B2140" s="2" t="s">
        <v>4413</v>
      </c>
      <c r="C2140" s="2" t="s">
        <v>56</v>
      </c>
      <c r="D2140" s="2" t="s">
        <v>57</v>
      </c>
      <c r="E2140" s="5">
        <v>-27960</v>
      </c>
      <c r="F2140" s="3" t="s">
        <v>741</v>
      </c>
      <c r="G2140" s="3" t="s">
        <v>34</v>
      </c>
      <c r="H2140" s="2" t="s">
        <v>21</v>
      </c>
      <c r="I2140" s="2" t="s">
        <v>4511</v>
      </c>
      <c r="J2140" s="3" t="str">
        <f>HYPERLINK("https://www.boe.es/gazeta/dias/1823/06/12/pdfs/GES-1823-66.pdf#page=5","Abrir facsímil")</f>
        <v>Abrir facsímil</v>
      </c>
      <c r="K2140" s="3" t="s">
        <v>23</v>
      </c>
    </row>
    <row r="2141" spans="1:11" ht="42" customHeight="1">
      <c r="A2141" s="2" t="s">
        <v>4413</v>
      </c>
      <c r="B2141" s="2" t="s">
        <v>4413</v>
      </c>
      <c r="C2141" s="2" t="s">
        <v>79</v>
      </c>
      <c r="D2141" s="2" t="s">
        <v>74</v>
      </c>
      <c r="E2141" s="5">
        <v>-27951</v>
      </c>
      <c r="F2141" s="3" t="s">
        <v>548</v>
      </c>
      <c r="G2141" s="3" t="s">
        <v>27</v>
      </c>
      <c r="H2141" s="2" t="s">
        <v>21</v>
      </c>
      <c r="I2141" s="2" t="s">
        <v>4512</v>
      </c>
      <c r="J2141" s="3" t="str">
        <f>HYPERLINK("https://www.boe.es/gazeta/dias/1823/06/21/pdfs/GES-1823-69.pdf#page=2","Abrir facsímil")</f>
        <v>Abrir facsímil</v>
      </c>
      <c r="K2141" s="3" t="s">
        <v>23</v>
      </c>
    </row>
    <row r="2142" spans="1:11" ht="42" customHeight="1">
      <c r="A2142" s="2" t="s">
        <v>4413</v>
      </c>
      <c r="B2142" s="2" t="s">
        <v>4413</v>
      </c>
      <c r="C2142" s="2" t="s">
        <v>56</v>
      </c>
      <c r="D2142" s="2" t="s">
        <v>57</v>
      </c>
      <c r="E2142" s="5">
        <v>-27950</v>
      </c>
      <c r="F2142" s="3" t="s">
        <v>4513</v>
      </c>
      <c r="G2142" s="3" t="s">
        <v>39</v>
      </c>
      <c r="H2142" s="2" t="s">
        <v>21</v>
      </c>
      <c r="I2142" s="2" t="s">
        <v>4514</v>
      </c>
      <c r="J2142" s="3" t="str">
        <f>HYPERLINK("https://www.boe.es/gazeta/dias/1823/06/22/pdfs/GES-1823-70.pdf#page=1","Abrir facsímil")</f>
        <v>Abrir facsímil</v>
      </c>
      <c r="K2142" s="3" t="s">
        <v>23</v>
      </c>
    </row>
    <row r="2143" spans="1:11" ht="42" customHeight="1">
      <c r="A2143" s="2" t="s">
        <v>4413</v>
      </c>
      <c r="B2143" s="2" t="s">
        <v>4413</v>
      </c>
      <c r="C2143" s="2" t="s">
        <v>56</v>
      </c>
      <c r="D2143" s="2" t="s">
        <v>57</v>
      </c>
      <c r="E2143" s="5">
        <v>-27949</v>
      </c>
      <c r="F2143" s="3" t="s">
        <v>1162</v>
      </c>
      <c r="G2143" s="3" t="s">
        <v>48</v>
      </c>
      <c r="H2143" s="2" t="s">
        <v>21</v>
      </c>
      <c r="I2143" s="2" t="s">
        <v>4515</v>
      </c>
      <c r="J2143" s="3" t="str">
        <f>HYPERLINK("https://www.boe.es/gazeta/dias/1823/06/23/pdfs/GES-1823-71.pdf#page=3","Abrir facsímil")</f>
        <v>Abrir facsímil</v>
      </c>
      <c r="K2143" s="3" t="s">
        <v>23</v>
      </c>
    </row>
    <row r="2144" spans="1:11" ht="42" customHeight="1">
      <c r="A2144" s="2" t="s">
        <v>4413</v>
      </c>
      <c r="B2144" s="2" t="s">
        <v>4413</v>
      </c>
      <c r="C2144" s="2" t="s">
        <v>17</v>
      </c>
      <c r="D2144" s="2" t="s">
        <v>18</v>
      </c>
      <c r="E2144" s="5">
        <v>-27945</v>
      </c>
      <c r="F2144" s="3" t="s">
        <v>628</v>
      </c>
      <c r="G2144" s="3" t="s">
        <v>39</v>
      </c>
      <c r="H2144" s="2" t="s">
        <v>21</v>
      </c>
      <c r="I2144" s="2" t="s">
        <v>4516</v>
      </c>
      <c r="J2144" s="3" t="str">
        <f>HYPERLINK("https://www.boe.es/gazeta/dias/1823/06/27/pdfs/GES-1823-77.pdf#page=1","Abrir facsímil")</f>
        <v>Abrir facsímil</v>
      </c>
      <c r="K2144" s="3" t="s">
        <v>23</v>
      </c>
    </row>
    <row r="2145" spans="1:11" ht="42" customHeight="1">
      <c r="A2145" s="2" t="s">
        <v>4413</v>
      </c>
      <c r="B2145" s="2" t="s">
        <v>4413</v>
      </c>
      <c r="C2145" s="2" t="s">
        <v>56</v>
      </c>
      <c r="D2145" s="2" t="s">
        <v>57</v>
      </c>
      <c r="E2145" s="5">
        <v>-27944</v>
      </c>
      <c r="F2145" s="3" t="s">
        <v>2823</v>
      </c>
      <c r="G2145" s="3" t="s">
        <v>39</v>
      </c>
      <c r="H2145" s="2" t="s">
        <v>21</v>
      </c>
      <c r="I2145" s="2" t="s">
        <v>4517</v>
      </c>
      <c r="J2145" s="3" t="str">
        <f>HYPERLINK("https://www.boe.es/gazeta/dias/1823/06/28/pdfs/GES-1823-78.pdf#page=1","Abrir facsímil")</f>
        <v>Abrir facsímil</v>
      </c>
      <c r="K2145" s="3" t="s">
        <v>23</v>
      </c>
    </row>
    <row r="2146" spans="1:11" ht="42" customHeight="1">
      <c r="A2146" s="2" t="s">
        <v>4413</v>
      </c>
      <c r="B2146" s="2" t="s">
        <v>4413</v>
      </c>
      <c r="C2146" s="2" t="s">
        <v>17</v>
      </c>
      <c r="D2146" s="2" t="s">
        <v>18</v>
      </c>
      <c r="E2146" s="5">
        <v>-27943</v>
      </c>
      <c r="F2146" s="3" t="s">
        <v>346</v>
      </c>
      <c r="G2146" s="3" t="s">
        <v>27</v>
      </c>
      <c r="H2146" s="2" t="s">
        <v>21</v>
      </c>
      <c r="I2146" s="2" t="s">
        <v>4518</v>
      </c>
      <c r="J2146" s="3" t="str">
        <f>HYPERLINK("https://www.boe.es/gazeta/dias/1823/06/29/pdfs/GES-1823-79.pdf#page=2","Abrir facsímil")</f>
        <v>Abrir facsímil</v>
      </c>
      <c r="K2146" s="3" t="s">
        <v>23</v>
      </c>
    </row>
    <row r="2147" spans="1:11" ht="42" customHeight="1">
      <c r="A2147" s="2" t="s">
        <v>4413</v>
      </c>
      <c r="B2147" s="2" t="s">
        <v>4413</v>
      </c>
      <c r="C2147" s="2" t="s">
        <v>17</v>
      </c>
      <c r="D2147" s="2" t="s">
        <v>18</v>
      </c>
      <c r="E2147" s="5">
        <v>-27940</v>
      </c>
      <c r="F2147" s="3" t="s">
        <v>348</v>
      </c>
      <c r="G2147" s="3" t="s">
        <v>48</v>
      </c>
      <c r="H2147" s="2" t="s">
        <v>21</v>
      </c>
      <c r="I2147" s="2" t="s">
        <v>4519</v>
      </c>
      <c r="J2147" s="3" t="str">
        <f>HYPERLINK("https://www.boe.es/gazeta/dias/1823/07/02/pdfs/GES-1823-82.pdf#page=3","Abrir facsímil")</f>
        <v>Abrir facsímil</v>
      </c>
      <c r="K2147" s="3" t="s">
        <v>23</v>
      </c>
    </row>
    <row r="2148" spans="1:11" ht="42" customHeight="1">
      <c r="A2148" s="2" t="s">
        <v>4413</v>
      </c>
      <c r="B2148" s="2" t="s">
        <v>4413</v>
      </c>
      <c r="C2148" s="2" t="s">
        <v>17</v>
      </c>
      <c r="D2148" s="2" t="s">
        <v>18</v>
      </c>
      <c r="E2148" s="5">
        <v>-27939</v>
      </c>
      <c r="F2148" s="3" t="s">
        <v>1076</v>
      </c>
      <c r="G2148" s="3" t="s">
        <v>27</v>
      </c>
      <c r="H2148" s="2" t="s">
        <v>21</v>
      </c>
      <c r="I2148" s="2" t="s">
        <v>4520</v>
      </c>
      <c r="J2148" s="3" t="str">
        <f>HYPERLINK("https://www.boe.es/gazeta/dias/1823/07/03/pdfs/GES-1823-83.pdf#page=2","Abrir facsímil")</f>
        <v>Abrir facsímil</v>
      </c>
      <c r="K2148" s="3" t="s">
        <v>23</v>
      </c>
    </row>
    <row r="2149" spans="1:11" ht="42" customHeight="1">
      <c r="A2149" s="2" t="s">
        <v>4413</v>
      </c>
      <c r="B2149" s="2" t="s">
        <v>4413</v>
      </c>
      <c r="C2149" s="2" t="s">
        <v>84</v>
      </c>
      <c r="D2149" s="2" t="s">
        <v>74</v>
      </c>
      <c r="E2149" s="5">
        <v>-27938</v>
      </c>
      <c r="F2149" s="3" t="s">
        <v>101</v>
      </c>
      <c r="G2149" s="3" t="s">
        <v>27</v>
      </c>
      <c r="H2149" s="2" t="s">
        <v>21</v>
      </c>
      <c r="I2149" s="2" t="s">
        <v>4521</v>
      </c>
      <c r="J2149" s="3" t="str">
        <f>HYPERLINK("https://www.boe.es/gazeta/dias/1823/07/04/pdfs/GES-1823-84.pdf#page=2","Abrir facsímil")</f>
        <v>Abrir facsímil</v>
      </c>
      <c r="K2149" s="3" t="s">
        <v>23</v>
      </c>
    </row>
    <row r="2150" spans="1:11" ht="42" customHeight="1">
      <c r="A2150" s="2" t="s">
        <v>4413</v>
      </c>
      <c r="B2150" s="2" t="s">
        <v>4413</v>
      </c>
      <c r="C2150" s="2" t="s">
        <v>79</v>
      </c>
      <c r="D2150" s="2" t="s">
        <v>74</v>
      </c>
      <c r="E2150" s="5">
        <v>-27935</v>
      </c>
      <c r="F2150" s="3" t="s">
        <v>350</v>
      </c>
      <c r="G2150" s="3" t="s">
        <v>27</v>
      </c>
      <c r="H2150" s="2" t="s">
        <v>21</v>
      </c>
      <c r="I2150" s="2" t="s">
        <v>4522</v>
      </c>
      <c r="J2150" s="3" t="str">
        <f>HYPERLINK("https://www.boe.es/gazeta/dias/1823/07/07/pdfs/GES-1823-87.pdf#page=2","Abrir facsímil")</f>
        <v>Abrir facsímil</v>
      </c>
      <c r="K2150" s="3" t="s">
        <v>23</v>
      </c>
    </row>
    <row r="2151" spans="1:11" ht="42" customHeight="1">
      <c r="A2151" s="2" t="s">
        <v>4413</v>
      </c>
      <c r="B2151" s="2" t="s">
        <v>4413</v>
      </c>
      <c r="C2151" s="2" t="s">
        <v>17</v>
      </c>
      <c r="D2151" s="2" t="s">
        <v>18</v>
      </c>
      <c r="E2151" s="5">
        <v>-27933</v>
      </c>
      <c r="F2151" s="3" t="s">
        <v>1079</v>
      </c>
      <c r="G2151" s="3" t="s">
        <v>27</v>
      </c>
      <c r="H2151" s="2" t="s">
        <v>21</v>
      </c>
      <c r="I2151" s="2" t="s">
        <v>4523</v>
      </c>
      <c r="J2151" s="3" t="str">
        <f>HYPERLINK("https://www.boe.es/gazeta/dias/1823/07/09/pdfs/GES-1823-89.pdf#page=2","Abrir facsímil")</f>
        <v>Abrir facsímil</v>
      </c>
      <c r="K2151" s="3" t="s">
        <v>23</v>
      </c>
    </row>
    <row r="2152" spans="1:11" ht="42" customHeight="1">
      <c r="A2152" s="2" t="s">
        <v>4413</v>
      </c>
      <c r="B2152" s="2" t="s">
        <v>4413</v>
      </c>
      <c r="C2152" s="2" t="s">
        <v>17</v>
      </c>
      <c r="D2152" s="2" t="s">
        <v>18</v>
      </c>
      <c r="E2152" s="5">
        <v>-27933</v>
      </c>
      <c r="F2152" s="3" t="s">
        <v>1079</v>
      </c>
      <c r="G2152" s="3" t="s">
        <v>48</v>
      </c>
      <c r="H2152" s="2" t="s">
        <v>21</v>
      </c>
      <c r="I2152" s="2" t="s">
        <v>4524</v>
      </c>
      <c r="J2152" s="3" t="str">
        <f>HYPERLINK("https://www.boe.es/gazeta/dias/1823/07/09/pdfs/GES-1823-89.pdf#page=3","Abrir facsímil")</f>
        <v>Abrir facsímil</v>
      </c>
      <c r="K2152" s="3" t="s">
        <v>23</v>
      </c>
    </row>
    <row r="2153" spans="1:11" ht="42" customHeight="1">
      <c r="A2153" s="2" t="s">
        <v>4413</v>
      </c>
      <c r="B2153" s="2" t="s">
        <v>4413</v>
      </c>
      <c r="C2153" s="2" t="s">
        <v>17</v>
      </c>
      <c r="D2153" s="2" t="s">
        <v>18</v>
      </c>
      <c r="E2153" s="5">
        <v>-27932</v>
      </c>
      <c r="F2153" s="3" t="s">
        <v>707</v>
      </c>
      <c r="G2153" s="3" t="s">
        <v>27</v>
      </c>
      <c r="H2153" s="2" t="s">
        <v>21</v>
      </c>
      <c r="I2153" s="2" t="s">
        <v>4525</v>
      </c>
      <c r="J2153" s="3" t="str">
        <f>HYPERLINK("https://www.boe.es/gazeta/dias/1823/07/10/pdfs/GES-1823-90.pdf#page=2","Abrir facsímil")</f>
        <v>Abrir facsímil</v>
      </c>
      <c r="K2153" s="3" t="s">
        <v>23</v>
      </c>
    </row>
    <row r="2154" spans="1:11" ht="42" customHeight="1">
      <c r="A2154" s="2" t="s">
        <v>4413</v>
      </c>
      <c r="B2154" s="2" t="s">
        <v>4413</v>
      </c>
      <c r="C2154" s="2" t="s">
        <v>109</v>
      </c>
      <c r="D2154" s="2" t="s">
        <v>74</v>
      </c>
      <c r="E2154" s="5">
        <v>-27927</v>
      </c>
      <c r="F2154" s="3" t="s">
        <v>1426</v>
      </c>
      <c r="G2154" s="3" t="s">
        <v>39</v>
      </c>
      <c r="H2154" s="2" t="s">
        <v>21</v>
      </c>
      <c r="I2154" s="2" t="s">
        <v>4526</v>
      </c>
      <c r="J2154" s="3" t="str">
        <f>HYPERLINK("https://www.boe.es/gazeta/dias/1823/07/15/pdfs/GES-1823-95.pdf#page=1","Abrir facsímil")</f>
        <v>Abrir facsímil</v>
      </c>
      <c r="K2154" s="3" t="s">
        <v>23</v>
      </c>
    </row>
    <row r="2155" spans="1:11" ht="42" customHeight="1">
      <c r="A2155" s="2" t="s">
        <v>4413</v>
      </c>
      <c r="B2155" s="2" t="s">
        <v>4413</v>
      </c>
      <c r="C2155" s="2" t="s">
        <v>17</v>
      </c>
      <c r="D2155" s="2" t="s">
        <v>18</v>
      </c>
      <c r="E2155" s="5">
        <v>-27927</v>
      </c>
      <c r="F2155" s="3" t="s">
        <v>1426</v>
      </c>
      <c r="G2155" s="3" t="s">
        <v>27</v>
      </c>
      <c r="H2155" s="2" t="s">
        <v>21</v>
      </c>
      <c r="I2155" s="2" t="s">
        <v>4527</v>
      </c>
      <c r="J2155" s="3" t="str">
        <f>HYPERLINK("https://www.boe.es/gazeta/dias/1823/07/15/pdfs/GES-1823-95.pdf#page=2","Abrir facsímil")</f>
        <v>Abrir facsímil</v>
      </c>
      <c r="K2155" s="3" t="s">
        <v>23</v>
      </c>
    </row>
    <row r="2156" spans="1:11" ht="42" customHeight="1">
      <c r="A2156" s="2" t="s">
        <v>4413</v>
      </c>
      <c r="B2156" s="2" t="s">
        <v>4413</v>
      </c>
      <c r="C2156" s="2" t="s">
        <v>17</v>
      </c>
      <c r="D2156" s="2" t="s">
        <v>18</v>
      </c>
      <c r="E2156" s="5">
        <v>-27924</v>
      </c>
      <c r="F2156" s="3" t="s">
        <v>2385</v>
      </c>
      <c r="G2156" s="3" t="s">
        <v>39</v>
      </c>
      <c r="H2156" s="2" t="s">
        <v>21</v>
      </c>
      <c r="I2156" s="2" t="s">
        <v>4528</v>
      </c>
      <c r="J2156" s="3" t="str">
        <f>HYPERLINK("https://www.boe.es/gazeta/dias/1823/07/18/pdfs/GES-1823-99.pdf#page=1","Abrir facsímil")</f>
        <v>Abrir facsímil</v>
      </c>
      <c r="K2156" s="3" t="s">
        <v>23</v>
      </c>
    </row>
    <row r="2157" spans="1:11" ht="42" customHeight="1">
      <c r="A2157" s="2" t="s">
        <v>4413</v>
      </c>
      <c r="B2157" s="2" t="s">
        <v>4413</v>
      </c>
      <c r="C2157" s="2" t="s">
        <v>17</v>
      </c>
      <c r="D2157" s="2" t="s">
        <v>18</v>
      </c>
      <c r="E2157" s="5">
        <v>-27923</v>
      </c>
      <c r="F2157" s="3" t="s">
        <v>354</v>
      </c>
      <c r="G2157" s="3" t="s">
        <v>39</v>
      </c>
      <c r="H2157" s="2" t="s">
        <v>21</v>
      </c>
      <c r="I2157" s="2" t="s">
        <v>4529</v>
      </c>
      <c r="J2157" s="3" t="str">
        <f>HYPERLINK("https://www.boe.es/gazeta/dias/1823/07/19/pdfs/GES-1823-100.pdf#page=1","Abrir facsímil")</f>
        <v>Abrir facsímil</v>
      </c>
      <c r="K2157" s="3" t="s">
        <v>23</v>
      </c>
    </row>
    <row r="2158" spans="1:11" ht="42" customHeight="1">
      <c r="A2158" s="2" t="s">
        <v>4413</v>
      </c>
      <c r="B2158" s="2" t="s">
        <v>4413</v>
      </c>
      <c r="C2158" s="2" t="s">
        <v>56</v>
      </c>
      <c r="D2158" s="2" t="s">
        <v>57</v>
      </c>
      <c r="E2158" s="5">
        <v>-27923</v>
      </c>
      <c r="F2158" s="3" t="s">
        <v>354</v>
      </c>
      <c r="G2158" s="3" t="s">
        <v>27</v>
      </c>
      <c r="H2158" s="2" t="s">
        <v>21</v>
      </c>
      <c r="I2158" s="2" t="s">
        <v>4530</v>
      </c>
      <c r="J2158" s="3" t="str">
        <f>HYPERLINK("https://www.boe.es/gazeta/dias/1823/07/19/pdfs/GES-1823-100.pdf#page=2","Abrir facsímil")</f>
        <v>Abrir facsímil</v>
      </c>
      <c r="K2158" s="3" t="s">
        <v>23</v>
      </c>
    </row>
    <row r="2159" spans="1:11" ht="42" customHeight="1">
      <c r="A2159" s="2" t="s">
        <v>4413</v>
      </c>
      <c r="B2159" s="2" t="s">
        <v>4413</v>
      </c>
      <c r="C2159" s="2" t="s">
        <v>17</v>
      </c>
      <c r="D2159" s="2" t="s">
        <v>18</v>
      </c>
      <c r="E2159" s="5">
        <v>-27922</v>
      </c>
      <c r="F2159" s="3" t="s">
        <v>1959</v>
      </c>
      <c r="G2159" s="3" t="s">
        <v>48</v>
      </c>
      <c r="H2159" s="2" t="s">
        <v>21</v>
      </c>
      <c r="I2159" s="2" t="s">
        <v>4531</v>
      </c>
      <c r="J2159" s="3" t="str">
        <f>HYPERLINK("https://www.boe.es/gazeta/dias/1823/07/20/pdfs/GES-1823-101.pdf#page=3","Abrir facsímil")</f>
        <v>Abrir facsímil</v>
      </c>
      <c r="K2159" s="3" t="s">
        <v>23</v>
      </c>
    </row>
    <row r="2160" spans="1:11" ht="42" customHeight="1">
      <c r="A2160" s="2" t="s">
        <v>4413</v>
      </c>
      <c r="B2160" s="2" t="s">
        <v>4413</v>
      </c>
      <c r="C2160" s="2" t="s">
        <v>17</v>
      </c>
      <c r="D2160" s="2" t="s">
        <v>18</v>
      </c>
      <c r="E2160" s="5">
        <v>-27921</v>
      </c>
      <c r="F2160" s="3" t="s">
        <v>356</v>
      </c>
      <c r="G2160" s="3" t="s">
        <v>27</v>
      </c>
      <c r="H2160" s="2" t="s">
        <v>21</v>
      </c>
      <c r="I2160" s="2" t="s">
        <v>4532</v>
      </c>
      <c r="J2160" s="3" t="str">
        <f>HYPERLINK("https://www.boe.es/gazeta/dias/1823/07/21/pdfs/GES-1823-102.pdf#page=2","Abrir facsímil")</f>
        <v>Abrir facsímil</v>
      </c>
      <c r="K2160" s="3" t="s">
        <v>23</v>
      </c>
    </row>
    <row r="2161" spans="1:11" ht="42" customHeight="1">
      <c r="A2161" s="2" t="s">
        <v>4413</v>
      </c>
      <c r="B2161" s="2" t="s">
        <v>4413</v>
      </c>
      <c r="C2161" s="2" t="s">
        <v>17</v>
      </c>
      <c r="D2161" s="2" t="s">
        <v>18</v>
      </c>
      <c r="E2161" s="5">
        <v>-27920</v>
      </c>
      <c r="F2161" s="3" t="s">
        <v>358</v>
      </c>
      <c r="G2161" s="3" t="s">
        <v>39</v>
      </c>
      <c r="H2161" s="2" t="s">
        <v>21</v>
      </c>
      <c r="I2161" s="2" t="s">
        <v>4533</v>
      </c>
      <c r="J2161" s="3" t="str">
        <f>HYPERLINK("https://www.boe.es/gazeta/dias/1823/07/22/pdfs/GES-1823-103.pdf#page=1","Abrir facsímil")</f>
        <v>Abrir facsímil</v>
      </c>
      <c r="K2161" s="3" t="s">
        <v>23</v>
      </c>
    </row>
    <row r="2162" spans="1:11" ht="42" customHeight="1">
      <c r="A2162" s="2" t="s">
        <v>4413</v>
      </c>
      <c r="B2162" s="2" t="s">
        <v>4413</v>
      </c>
      <c r="C2162" s="2" t="s">
        <v>79</v>
      </c>
      <c r="D2162" s="2" t="s">
        <v>74</v>
      </c>
      <c r="E2162" s="5">
        <v>-27920</v>
      </c>
      <c r="F2162" s="3" t="s">
        <v>358</v>
      </c>
      <c r="G2162" s="3" t="s">
        <v>27</v>
      </c>
      <c r="H2162" s="2" t="s">
        <v>21</v>
      </c>
      <c r="I2162" s="2" t="s">
        <v>4534</v>
      </c>
      <c r="J2162" s="3" t="str">
        <f>HYPERLINK("https://www.boe.es/gazeta/dias/1823/07/22/pdfs/GES-1823-103.pdf#page=2","Abrir facsímil")</f>
        <v>Abrir facsímil</v>
      </c>
      <c r="K2162" s="3" t="s">
        <v>23</v>
      </c>
    </row>
    <row r="2163" spans="1:11" ht="42" customHeight="1">
      <c r="A2163" s="2" t="s">
        <v>4413</v>
      </c>
      <c r="B2163" s="2" t="s">
        <v>4413</v>
      </c>
      <c r="C2163" s="2" t="s">
        <v>17</v>
      </c>
      <c r="D2163" s="2" t="s">
        <v>18</v>
      </c>
      <c r="E2163" s="5">
        <v>-27917</v>
      </c>
      <c r="F2163" s="3" t="s">
        <v>363</v>
      </c>
      <c r="G2163" s="3" t="s">
        <v>27</v>
      </c>
      <c r="H2163" s="2" t="s">
        <v>21</v>
      </c>
      <c r="I2163" s="2" t="s">
        <v>4535</v>
      </c>
      <c r="J2163" s="3" t="str">
        <f>HYPERLINK("https://www.boe.es/gazeta/dias/1823/07/25/pdfs/GES-1823-106.pdf#page=2","Abrir facsímil")</f>
        <v>Abrir facsímil</v>
      </c>
      <c r="K2163" s="3" t="s">
        <v>23</v>
      </c>
    </row>
    <row r="2164" spans="1:11" ht="42" customHeight="1">
      <c r="A2164" s="2" t="s">
        <v>4413</v>
      </c>
      <c r="B2164" s="2" t="s">
        <v>4413</v>
      </c>
      <c r="C2164" s="2" t="s">
        <v>17</v>
      </c>
      <c r="D2164" s="2" t="s">
        <v>18</v>
      </c>
      <c r="E2164" s="5">
        <v>-27915</v>
      </c>
      <c r="F2164" s="3" t="s">
        <v>524</v>
      </c>
      <c r="G2164" s="3" t="s">
        <v>39</v>
      </c>
      <c r="H2164" s="2" t="s">
        <v>21</v>
      </c>
      <c r="I2164" s="2" t="s">
        <v>4536</v>
      </c>
      <c r="J2164" s="3" t="str">
        <f>HYPERLINK("https://www.boe.es/gazeta/dias/1823/07/27/pdfs/GES-1823-108.pdf#page=1","Abrir facsímil")</f>
        <v>Abrir facsímil</v>
      </c>
      <c r="K2164" s="3" t="s">
        <v>23</v>
      </c>
    </row>
    <row r="2165" spans="1:11" ht="42" customHeight="1">
      <c r="A2165" s="2" t="s">
        <v>4413</v>
      </c>
      <c r="B2165" s="2" t="s">
        <v>4413</v>
      </c>
      <c r="C2165" s="2" t="s">
        <v>293</v>
      </c>
      <c r="D2165" s="2" t="s">
        <v>74</v>
      </c>
      <c r="E2165" s="5">
        <v>-27914</v>
      </c>
      <c r="F2165" s="3" t="s">
        <v>776</v>
      </c>
      <c r="G2165" s="3" t="s">
        <v>39</v>
      </c>
      <c r="H2165" s="2" t="s">
        <v>21</v>
      </c>
      <c r="I2165" s="2" t="s">
        <v>4537</v>
      </c>
      <c r="J2165" s="3" t="str">
        <f>HYPERLINK("https://www.boe.es/gazeta/dias/1823/07/28/pdfs/GES-1823-109.pdf#page=1","Abrir facsímil")</f>
        <v>Abrir facsímil</v>
      </c>
      <c r="K2165" s="3" t="s">
        <v>23</v>
      </c>
    </row>
    <row r="2166" spans="1:11" ht="42" customHeight="1">
      <c r="A2166" s="2" t="s">
        <v>4413</v>
      </c>
      <c r="B2166" s="2" t="s">
        <v>4413</v>
      </c>
      <c r="C2166" s="2" t="s">
        <v>56</v>
      </c>
      <c r="D2166" s="2" t="s">
        <v>57</v>
      </c>
      <c r="E2166" s="5">
        <v>-27914</v>
      </c>
      <c r="F2166" s="3" t="s">
        <v>776</v>
      </c>
      <c r="G2166" s="3" t="s">
        <v>27</v>
      </c>
      <c r="H2166" s="2" t="s">
        <v>21</v>
      </c>
      <c r="I2166" s="2" t="s">
        <v>4538</v>
      </c>
      <c r="J2166" s="3" t="str">
        <f>HYPERLINK("https://www.boe.es/gazeta/dias/1823/07/28/pdfs/GES-1823-109.pdf#page=2","Abrir facsímil")</f>
        <v>Abrir facsímil</v>
      </c>
      <c r="K2166" s="3" t="s">
        <v>23</v>
      </c>
    </row>
    <row r="2167" spans="1:11" ht="42" customHeight="1">
      <c r="A2167" s="2" t="s">
        <v>4413</v>
      </c>
      <c r="B2167" s="2" t="s">
        <v>4413</v>
      </c>
      <c r="C2167" s="2" t="s">
        <v>17</v>
      </c>
      <c r="D2167" s="2" t="s">
        <v>18</v>
      </c>
      <c r="E2167" s="5">
        <v>-27913</v>
      </c>
      <c r="F2167" s="3" t="s">
        <v>821</v>
      </c>
      <c r="G2167" s="3" t="s">
        <v>1204</v>
      </c>
      <c r="H2167" s="2" t="s">
        <v>21</v>
      </c>
      <c r="I2167" s="2" t="s">
        <v>4539</v>
      </c>
      <c r="J2167" s="3" t="str">
        <f>HYPERLINK("https://www.boe.es/gazeta/dias/1823/07/29/pdfs/GES-1823-110.pdf#page=2","Abrir facsímil")</f>
        <v>Abrir facsímil</v>
      </c>
      <c r="K2167" s="3" t="s">
        <v>23</v>
      </c>
    </row>
    <row r="2168" spans="1:11" ht="42" customHeight="1">
      <c r="A2168" s="2" t="s">
        <v>4413</v>
      </c>
      <c r="B2168" s="2" t="s">
        <v>4413</v>
      </c>
      <c r="C2168" s="2" t="s">
        <v>56</v>
      </c>
      <c r="D2168" s="2" t="s">
        <v>57</v>
      </c>
      <c r="E2168" s="5">
        <v>-27912</v>
      </c>
      <c r="F2168" s="3" t="s">
        <v>365</v>
      </c>
      <c r="G2168" s="3" t="s">
        <v>366</v>
      </c>
      <c r="H2168" s="2" t="s">
        <v>21</v>
      </c>
      <c r="I2168" s="2" t="s">
        <v>4540</v>
      </c>
      <c r="J2168" s="3" t="str">
        <f>HYPERLINK("https://www.boe.es/gazeta/dias/1823/07/30/pdfs/GES-1823-111.pdf#page=4","Abrir facsímil")</f>
        <v>Abrir facsímil</v>
      </c>
      <c r="K2168" s="3" t="s">
        <v>23</v>
      </c>
    </row>
    <row r="2169" spans="1:11" ht="42" customHeight="1">
      <c r="A2169" s="2" t="s">
        <v>4413</v>
      </c>
      <c r="B2169" s="2" t="s">
        <v>4413</v>
      </c>
      <c r="C2169" s="2" t="s">
        <v>56</v>
      </c>
      <c r="D2169" s="2" t="s">
        <v>57</v>
      </c>
      <c r="E2169" s="5">
        <v>-27911</v>
      </c>
      <c r="F2169" s="3" t="s">
        <v>368</v>
      </c>
      <c r="G2169" s="3" t="s">
        <v>27</v>
      </c>
      <c r="H2169" s="2" t="s">
        <v>21</v>
      </c>
      <c r="I2169" s="2" t="s">
        <v>4541</v>
      </c>
      <c r="J2169" s="3" t="str">
        <f>HYPERLINK("https://www.boe.es/gazeta/dias/1823/07/31/pdfs/GES-1823-112.pdf#page=2","Abrir facsímil")</f>
        <v>Abrir facsímil</v>
      </c>
      <c r="K2169" s="3" t="s">
        <v>23</v>
      </c>
    </row>
    <row r="2170" spans="1:11" ht="42" customHeight="1">
      <c r="A2170" s="2" t="s">
        <v>4413</v>
      </c>
      <c r="B2170" s="2" t="s">
        <v>4413</v>
      </c>
      <c r="C2170" s="2" t="s">
        <v>17</v>
      </c>
      <c r="D2170" s="2" t="s">
        <v>18</v>
      </c>
      <c r="E2170" s="5">
        <v>-27909</v>
      </c>
      <c r="F2170" s="3" t="s">
        <v>948</v>
      </c>
      <c r="G2170" s="3" t="s">
        <v>39</v>
      </c>
      <c r="H2170" s="2" t="s">
        <v>21</v>
      </c>
      <c r="I2170" s="2" t="s">
        <v>4542</v>
      </c>
      <c r="J2170" s="3" t="str">
        <f>HYPERLINK("https://www.boe.es/gazeta/dias/1823/08/02/pdfs/GES-1823-114.pdf#page=1","Abrir facsímil")</f>
        <v>Abrir facsímil</v>
      </c>
      <c r="K2170" s="3" t="s">
        <v>23</v>
      </c>
    </row>
    <row r="2171" spans="1:11" ht="42" customHeight="1">
      <c r="A2171" s="2" t="s">
        <v>4413</v>
      </c>
      <c r="B2171" s="2" t="s">
        <v>4413</v>
      </c>
      <c r="C2171" s="2" t="s">
        <v>79</v>
      </c>
      <c r="D2171" s="2" t="s">
        <v>74</v>
      </c>
      <c r="E2171" s="5">
        <v>-27909</v>
      </c>
      <c r="F2171" s="3" t="s">
        <v>948</v>
      </c>
      <c r="G2171" s="3" t="s">
        <v>27</v>
      </c>
      <c r="H2171" s="2" t="s">
        <v>21</v>
      </c>
      <c r="I2171" s="2" t="s">
        <v>4543</v>
      </c>
      <c r="J2171" s="3" t="str">
        <f>HYPERLINK("https://www.boe.es/gazeta/dias/1823/08/02/pdfs/GES-1823-114.pdf#page=2","Abrir facsímil")</f>
        <v>Abrir facsímil</v>
      </c>
      <c r="K2171" s="3" t="s">
        <v>23</v>
      </c>
    </row>
    <row r="2172" spans="1:11" ht="42" customHeight="1">
      <c r="A2172" s="2" t="s">
        <v>4413</v>
      </c>
      <c r="B2172" s="2" t="s">
        <v>4413</v>
      </c>
      <c r="C2172" s="2" t="s">
        <v>109</v>
      </c>
      <c r="D2172" s="2" t="s">
        <v>74</v>
      </c>
      <c r="E2172" s="5">
        <v>-27909</v>
      </c>
      <c r="F2172" s="3" t="s">
        <v>948</v>
      </c>
      <c r="G2172" s="3" t="s">
        <v>20</v>
      </c>
      <c r="H2172" s="2" t="s">
        <v>21</v>
      </c>
      <c r="I2172" s="2" t="s">
        <v>4544</v>
      </c>
      <c r="J2172" s="3" t="str">
        <f>HYPERLINK("https://www.boe.es/gazeta/dias/1823/08/02/pdfs/GES-1823-114.pdf#page=4","Abrir facsímil")</f>
        <v>Abrir facsímil</v>
      </c>
      <c r="K2172" s="3" t="s">
        <v>23</v>
      </c>
    </row>
    <row r="2173" spans="1:11" ht="42" customHeight="1">
      <c r="A2173" s="2" t="s">
        <v>4413</v>
      </c>
      <c r="B2173" s="2" t="s">
        <v>4413</v>
      </c>
      <c r="C2173" s="2" t="s">
        <v>17</v>
      </c>
      <c r="D2173" s="2" t="s">
        <v>18</v>
      </c>
      <c r="E2173" s="5">
        <v>-27908</v>
      </c>
      <c r="F2173" s="3" t="s">
        <v>80</v>
      </c>
      <c r="G2173" s="3" t="s">
        <v>27</v>
      </c>
      <c r="H2173" s="2" t="s">
        <v>21</v>
      </c>
      <c r="I2173" s="2" t="s">
        <v>4545</v>
      </c>
      <c r="J2173" s="3" t="str">
        <f>HYPERLINK("https://www.boe.es/gazeta/dias/1823/08/03/pdfs/GES-1823-115.pdf#page=2","Abrir facsímil")</f>
        <v>Abrir facsímil</v>
      </c>
      <c r="K2173" s="3" t="s">
        <v>23</v>
      </c>
    </row>
    <row r="2174" spans="1:11" ht="42" customHeight="1">
      <c r="A2174" s="2" t="s">
        <v>4413</v>
      </c>
      <c r="B2174" s="2" t="s">
        <v>4413</v>
      </c>
      <c r="C2174" s="2" t="s">
        <v>17</v>
      </c>
      <c r="D2174" s="2" t="s">
        <v>18</v>
      </c>
      <c r="E2174" s="5">
        <v>-27907</v>
      </c>
      <c r="F2174" s="3" t="s">
        <v>370</v>
      </c>
      <c r="G2174" s="3" t="s">
        <v>39</v>
      </c>
      <c r="H2174" s="2" t="s">
        <v>21</v>
      </c>
      <c r="I2174" s="2" t="s">
        <v>4546</v>
      </c>
      <c r="J2174" s="3" t="str">
        <f>HYPERLINK("https://www.boe.es/gazeta/dias/1823/08/04/pdfs/GES-1823-116.pdf#page=1","Abrir facsímil")</f>
        <v>Abrir facsímil</v>
      </c>
      <c r="K2174" s="3" t="s">
        <v>23</v>
      </c>
    </row>
    <row r="2175" spans="1:11" ht="42" customHeight="1">
      <c r="A2175" s="2" t="s">
        <v>4413</v>
      </c>
      <c r="B2175" s="2" t="s">
        <v>4413</v>
      </c>
      <c r="C2175" s="2" t="s">
        <v>56</v>
      </c>
      <c r="D2175" s="2" t="s">
        <v>57</v>
      </c>
      <c r="E2175" s="5">
        <v>-27873</v>
      </c>
      <c r="F2175" s="3" t="s">
        <v>160</v>
      </c>
      <c r="G2175" s="3" t="s">
        <v>27</v>
      </c>
      <c r="H2175" s="2" t="s">
        <v>21</v>
      </c>
      <c r="I2175" s="2" t="s">
        <v>4547</v>
      </c>
      <c r="J2175" s="3" t="str">
        <f>HYPERLINK("https://www.boe.es/gazeta/dias/1823/09/07/pdfs/GES-1823-151.pdf#page=2","Abrir facsímil")</f>
        <v>Abrir facsímil</v>
      </c>
      <c r="K2175" s="3" t="s">
        <v>23</v>
      </c>
    </row>
    <row r="2176" spans="1:11" ht="42" customHeight="1">
      <c r="A2176" s="2" t="s">
        <v>4413</v>
      </c>
      <c r="B2176" s="2" t="s">
        <v>4413</v>
      </c>
      <c r="C2176" s="2" t="s">
        <v>17</v>
      </c>
      <c r="D2176" s="2" t="s">
        <v>18</v>
      </c>
      <c r="E2176" s="5">
        <v>-27873</v>
      </c>
      <c r="F2176" s="3" t="s">
        <v>160</v>
      </c>
      <c r="G2176" s="3" t="s">
        <v>48</v>
      </c>
      <c r="H2176" s="2" t="s">
        <v>21</v>
      </c>
      <c r="I2176" s="2" t="s">
        <v>4548</v>
      </c>
      <c r="J2176" s="3" t="str">
        <f>HYPERLINK("https://www.boe.es/gazeta/dias/1823/09/07/pdfs/GES-1823-151.pdf#page=3","Abrir facsímil")</f>
        <v>Abrir facsímil</v>
      </c>
      <c r="K2176" s="3" t="s">
        <v>23</v>
      </c>
    </row>
    <row r="2177" spans="1:11" ht="42" customHeight="1">
      <c r="A2177" s="2" t="s">
        <v>4413</v>
      </c>
      <c r="B2177" s="2" t="s">
        <v>4413</v>
      </c>
      <c r="C2177" s="2" t="s">
        <v>109</v>
      </c>
      <c r="D2177" s="2" t="s">
        <v>74</v>
      </c>
      <c r="E2177" s="5">
        <v>-27872</v>
      </c>
      <c r="F2177" s="3" t="s">
        <v>374</v>
      </c>
      <c r="G2177" s="3" t="s">
        <v>27</v>
      </c>
      <c r="H2177" s="2" t="s">
        <v>21</v>
      </c>
      <c r="I2177" s="2" t="s">
        <v>4549</v>
      </c>
      <c r="J2177" s="3" t="str">
        <f>HYPERLINK("https://www.boe.es/gazeta/dias/1823/09/08/pdfs/GES-1823-152.pdf#page=2","Abrir facsímil")</f>
        <v>Abrir facsímil</v>
      </c>
      <c r="K2177" s="3" t="s">
        <v>23</v>
      </c>
    </row>
    <row r="2178" spans="1:11" ht="42" customHeight="1">
      <c r="A2178" s="2" t="s">
        <v>4413</v>
      </c>
      <c r="B2178" s="2" t="s">
        <v>4413</v>
      </c>
      <c r="C2178" s="2" t="s">
        <v>17</v>
      </c>
      <c r="D2178" s="2" t="s">
        <v>18</v>
      </c>
      <c r="E2178" s="5">
        <v>-27871</v>
      </c>
      <c r="F2178" s="3" t="s">
        <v>782</v>
      </c>
      <c r="G2178" s="3" t="s">
        <v>48</v>
      </c>
      <c r="H2178" s="2" t="s">
        <v>21</v>
      </c>
      <c r="I2178" s="2" t="s">
        <v>4550</v>
      </c>
      <c r="J2178" s="3" t="str">
        <f>HYPERLINK("https://www.boe.es/gazeta/dias/1823/09/09/pdfs/GES-1823-153.pdf#page=3","Abrir facsímil")</f>
        <v>Abrir facsímil</v>
      </c>
      <c r="K2178" s="3" t="s">
        <v>23</v>
      </c>
    </row>
    <row r="2179" spans="1:11" ht="42" customHeight="1">
      <c r="A2179" s="2" t="s">
        <v>4413</v>
      </c>
      <c r="B2179" s="2" t="s">
        <v>4413</v>
      </c>
      <c r="C2179" s="2" t="s">
        <v>79</v>
      </c>
      <c r="D2179" s="2" t="s">
        <v>74</v>
      </c>
      <c r="E2179" s="5">
        <v>-27871</v>
      </c>
      <c r="F2179" s="3" t="s">
        <v>782</v>
      </c>
      <c r="G2179" s="3" t="s">
        <v>20</v>
      </c>
      <c r="H2179" s="2" t="s">
        <v>21</v>
      </c>
      <c r="I2179" s="2" t="s">
        <v>4551</v>
      </c>
      <c r="J2179" s="3" t="str">
        <f>HYPERLINK("https://www.boe.es/gazeta/dias/1823/09/09/pdfs/GES-1823-153.pdf#page=4","Abrir facsímil")</f>
        <v>Abrir facsímil</v>
      </c>
      <c r="K2179" s="3" t="s">
        <v>23</v>
      </c>
    </row>
    <row r="2180" spans="1:11" ht="42" customHeight="1">
      <c r="A2180" s="2" t="s">
        <v>4413</v>
      </c>
      <c r="B2180" s="2" t="s">
        <v>4413</v>
      </c>
      <c r="C2180" s="2" t="s">
        <v>17</v>
      </c>
      <c r="D2180" s="2" t="s">
        <v>18</v>
      </c>
      <c r="E2180" s="5">
        <v>-27870</v>
      </c>
      <c r="F2180" s="3" t="s">
        <v>376</v>
      </c>
      <c r="G2180" s="3" t="s">
        <v>27</v>
      </c>
      <c r="H2180" s="2" t="s">
        <v>21</v>
      </c>
      <c r="I2180" s="2" t="s">
        <v>4552</v>
      </c>
      <c r="J2180" s="3" t="str">
        <f>HYPERLINK("https://www.boe.es/gazeta/dias/1823/09/10/pdfs/GES-1823-154.pdf#page=2","Abrir facsímil")</f>
        <v>Abrir facsímil</v>
      </c>
      <c r="K2180" s="3" t="s">
        <v>23</v>
      </c>
    </row>
    <row r="2181" spans="1:11" ht="42" customHeight="1">
      <c r="A2181" s="2" t="s">
        <v>4413</v>
      </c>
      <c r="B2181" s="2" t="s">
        <v>4413</v>
      </c>
      <c r="C2181" s="2" t="s">
        <v>109</v>
      </c>
      <c r="D2181" s="2" t="s">
        <v>74</v>
      </c>
      <c r="E2181" s="5">
        <v>-27857</v>
      </c>
      <c r="F2181" s="3" t="s">
        <v>378</v>
      </c>
      <c r="G2181" s="3" t="s">
        <v>34</v>
      </c>
      <c r="H2181" s="2" t="s">
        <v>21</v>
      </c>
      <c r="I2181" s="2" t="s">
        <v>4553</v>
      </c>
      <c r="J2181" s="3" t="str">
        <f>HYPERLINK("https://www.boe.es/gazeta/dias/1823/09/23/pdfs/GMD-1823-833.pdf#page=5","Abrir facsímil")</f>
        <v>Abrir facsímil</v>
      </c>
      <c r="K2181" s="3" t="s">
        <v>23</v>
      </c>
    </row>
    <row r="2182" spans="1:11" ht="42" customHeight="1">
      <c r="A2182" s="2" t="s">
        <v>4413</v>
      </c>
      <c r="B2182" s="2" t="s">
        <v>4413</v>
      </c>
      <c r="C2182" s="2" t="s">
        <v>17</v>
      </c>
      <c r="D2182" s="2" t="s">
        <v>18</v>
      </c>
      <c r="E2182" s="5">
        <v>-27857</v>
      </c>
      <c r="F2182" s="3" t="s">
        <v>378</v>
      </c>
      <c r="G2182" s="3" t="s">
        <v>59</v>
      </c>
      <c r="H2182" s="2" t="s">
        <v>21</v>
      </c>
      <c r="I2182" s="2" t="s">
        <v>4554</v>
      </c>
      <c r="J2182" s="3" t="str">
        <f>HYPERLINK("https://www.boe.es/gazeta/dias/1823/09/23/pdfs/GMD-1823-833.pdf#page=6","Abrir facsímil")</f>
        <v>Abrir facsímil</v>
      </c>
      <c r="K2182" s="3" t="s">
        <v>23</v>
      </c>
    </row>
    <row r="2183" spans="1:11" ht="42" customHeight="1">
      <c r="A2183" s="2" t="s">
        <v>4555</v>
      </c>
      <c r="B2183" s="2" t="s">
        <v>4555</v>
      </c>
      <c r="C2183" s="2" t="s">
        <v>17</v>
      </c>
      <c r="D2183" s="2" t="s">
        <v>18</v>
      </c>
      <c r="E2183" s="5">
        <v>-27855</v>
      </c>
      <c r="F2183" s="3" t="s">
        <v>380</v>
      </c>
      <c r="G2183" s="3" t="s">
        <v>48</v>
      </c>
      <c r="H2183" s="2" t="s">
        <v>21</v>
      </c>
      <c r="I2183" s="2" t="s">
        <v>4556</v>
      </c>
      <c r="J2183" s="3" t="str">
        <f>HYPERLINK("https://www.boe.es/gazeta/dias/1823/09/25/pdfs/GMD-1823-853.pdf#page=3","Abrir facsímil")</f>
        <v>Abrir facsímil</v>
      </c>
      <c r="K2183" s="3" t="s">
        <v>23</v>
      </c>
    </row>
    <row r="2184" spans="1:11" ht="42" customHeight="1">
      <c r="A2184" s="2" t="s">
        <v>4557</v>
      </c>
      <c r="B2184" s="2" t="s">
        <v>4558</v>
      </c>
      <c r="C2184" s="2" t="s">
        <v>56</v>
      </c>
      <c r="D2184" s="2" t="s">
        <v>57</v>
      </c>
      <c r="E2184" s="5">
        <v>-28004</v>
      </c>
      <c r="F2184" s="3" t="s">
        <v>313</v>
      </c>
      <c r="G2184" s="3" t="s">
        <v>48</v>
      </c>
      <c r="H2184" s="2" t="s">
        <v>21</v>
      </c>
      <c r="I2184" s="2" t="s">
        <v>4559</v>
      </c>
      <c r="J2184" s="3" t="str">
        <f>HYPERLINK("https://www.boe.es/gazeta/dias/1823/04/29/pdfs/GMD-1823-72.pdf#page=3","Abrir facsímil")</f>
        <v>Abrir facsímil</v>
      </c>
      <c r="K2184" s="3" t="s">
        <v>23</v>
      </c>
    </row>
    <row r="2185" spans="1:11" ht="42" customHeight="1">
      <c r="A2185" s="2" t="s">
        <v>4560</v>
      </c>
      <c r="B2185" s="2" t="s">
        <v>4561</v>
      </c>
      <c r="C2185" s="2" t="s">
        <v>79</v>
      </c>
      <c r="D2185" s="2" t="s">
        <v>74</v>
      </c>
      <c r="E2185" s="5">
        <v>-27890</v>
      </c>
      <c r="F2185" s="3" t="s">
        <v>1573</v>
      </c>
      <c r="G2185" s="3" t="s">
        <v>48</v>
      </c>
      <c r="H2185" s="2" t="s">
        <v>21</v>
      </c>
      <c r="I2185" s="2" t="s">
        <v>4562</v>
      </c>
      <c r="J2185" s="3" t="str">
        <f>HYPERLINK("https://www.boe.es/gazeta/dias/1823/08/21/pdfs/GMD-1823-623.pdf#page=3","Abrir facsímil")</f>
        <v>Abrir facsímil</v>
      </c>
      <c r="K2185" s="3" t="s">
        <v>23</v>
      </c>
    </row>
    <row r="2186" spans="1:11" ht="42" customHeight="1">
      <c r="A2186" s="2" t="s">
        <v>4563</v>
      </c>
      <c r="B2186" s="2" t="s">
        <v>4564</v>
      </c>
      <c r="C2186" s="2" t="s">
        <v>56</v>
      </c>
      <c r="D2186" s="2" t="s">
        <v>57</v>
      </c>
      <c r="E2186" s="5">
        <v>-28038</v>
      </c>
      <c r="F2186" s="3" t="s">
        <v>2379</v>
      </c>
      <c r="G2186" s="3" t="s">
        <v>20</v>
      </c>
      <c r="H2186" s="2" t="s">
        <v>21</v>
      </c>
      <c r="I2186" s="2" t="s">
        <v>4565</v>
      </c>
      <c r="J2186" s="3" t="str">
        <f>HYPERLINK("https://www.boe.es/gazeta/dias/1823/03/26/pdfs/GMD-1823-89.pdf#page=4","Abrir facsímil")</f>
        <v>Abrir facsímil</v>
      </c>
      <c r="K2186" s="3" t="s">
        <v>23</v>
      </c>
    </row>
    <row r="2187" spans="1:11" ht="42" customHeight="1">
      <c r="A2187" s="2" t="s">
        <v>4563</v>
      </c>
      <c r="B2187" s="2" t="s">
        <v>4564</v>
      </c>
      <c r="C2187" s="2" t="s">
        <v>79</v>
      </c>
      <c r="D2187" s="2" t="s">
        <v>74</v>
      </c>
      <c r="E2187" s="5">
        <v>-28036</v>
      </c>
      <c r="F2187" s="3" t="s">
        <v>2216</v>
      </c>
      <c r="G2187" s="3" t="s">
        <v>20</v>
      </c>
      <c r="H2187" s="2" t="s">
        <v>21</v>
      </c>
      <c r="I2187" s="2" t="s">
        <v>4566</v>
      </c>
      <c r="J2187" s="3" t="str">
        <f>HYPERLINK("https://www.boe.es/gazeta/dias/1823/03/28/pdfs/GMD-1823-91.pdf#page=4","Abrir facsímil")</f>
        <v>Abrir facsímil</v>
      </c>
      <c r="K2187" s="3" t="s">
        <v>23</v>
      </c>
    </row>
    <row r="2188" spans="1:11" ht="42" customHeight="1">
      <c r="A2188" s="2" t="s">
        <v>4567</v>
      </c>
      <c r="B2188" s="2" t="s">
        <v>4567</v>
      </c>
      <c r="C2188" s="2" t="s">
        <v>17</v>
      </c>
      <c r="D2188" s="2" t="s">
        <v>18</v>
      </c>
      <c r="E2188" s="5">
        <v>-27987</v>
      </c>
      <c r="F2188" s="3" t="s">
        <v>332</v>
      </c>
      <c r="G2188" s="3" t="s">
        <v>34</v>
      </c>
      <c r="H2188" s="2" t="s">
        <v>21</v>
      </c>
      <c r="I2188" s="2" t="s">
        <v>4568</v>
      </c>
      <c r="J2188" s="3" t="str">
        <f>HYPERLINK("https://www.boe.es/gazeta/dias/1823/05/16/pdfs/GES-1823-36.pdf#page=5","Abrir facsímil")</f>
        <v>Abrir facsímil</v>
      </c>
      <c r="K2188" s="3" t="s">
        <v>23</v>
      </c>
    </row>
    <row r="2189" spans="1:11" ht="42" customHeight="1">
      <c r="A2189" s="2" t="s">
        <v>4567</v>
      </c>
      <c r="B2189" s="2" t="s">
        <v>4567</v>
      </c>
      <c r="C2189" s="2" t="s">
        <v>56</v>
      </c>
      <c r="D2189" s="2" t="s">
        <v>57</v>
      </c>
      <c r="E2189" s="5">
        <v>-27986</v>
      </c>
      <c r="F2189" s="3" t="s">
        <v>75</v>
      </c>
      <c r="G2189" s="3" t="s">
        <v>59</v>
      </c>
      <c r="H2189" s="2" t="s">
        <v>21</v>
      </c>
      <c r="I2189" s="2" t="s">
        <v>4569</v>
      </c>
      <c r="J2189" s="3" t="str">
        <f>HYPERLINK("https://www.boe.es/gazeta/dias/1823/05/17/pdfs/GES-1823-37.pdf#page=6","Abrir facsímil")</f>
        <v>Abrir facsímil</v>
      </c>
      <c r="K2189" s="3" t="s">
        <v>23</v>
      </c>
    </row>
    <row r="2190" spans="1:11" ht="42" customHeight="1">
      <c r="A2190" s="2" t="s">
        <v>4567</v>
      </c>
      <c r="B2190" s="2" t="s">
        <v>4567</v>
      </c>
      <c r="C2190" s="2" t="s">
        <v>17</v>
      </c>
      <c r="D2190" s="2" t="s">
        <v>18</v>
      </c>
      <c r="E2190" s="5">
        <v>-27985</v>
      </c>
      <c r="F2190" s="3" t="s">
        <v>951</v>
      </c>
      <c r="G2190" s="3" t="s">
        <v>59</v>
      </c>
      <c r="H2190" s="2" t="s">
        <v>21</v>
      </c>
      <c r="I2190" s="2" t="s">
        <v>4570</v>
      </c>
      <c r="J2190" s="3" t="str">
        <f>HYPERLINK("https://www.boe.es/gazeta/dias/1823/05/18/pdfs/GES-1823-38.pdf#page=6","Abrir facsímil")</f>
        <v>Abrir facsímil</v>
      </c>
      <c r="K2190" s="3" t="s">
        <v>23</v>
      </c>
    </row>
    <row r="2191" spans="1:11" ht="42" customHeight="1">
      <c r="A2191" s="2" t="s">
        <v>4567</v>
      </c>
      <c r="B2191" s="2" t="s">
        <v>4567</v>
      </c>
      <c r="C2191" s="2" t="s">
        <v>56</v>
      </c>
      <c r="D2191" s="2" t="s">
        <v>57</v>
      </c>
      <c r="E2191" s="5">
        <v>-27978</v>
      </c>
      <c r="F2191" s="3" t="s">
        <v>342</v>
      </c>
      <c r="G2191" s="3" t="s">
        <v>20</v>
      </c>
      <c r="H2191" s="2" t="s">
        <v>21</v>
      </c>
      <c r="I2191" s="2" t="s">
        <v>4571</v>
      </c>
      <c r="J2191" s="3" t="str">
        <f>HYPERLINK("https://www.boe.es/gazeta/dias/1823/05/25/pdfs/GES-1823-46.pdf#page=4","Abrir facsímil")</f>
        <v>Abrir facsímil</v>
      </c>
      <c r="K2191" s="3" t="s">
        <v>23</v>
      </c>
    </row>
    <row r="2192" spans="1:11" ht="42" customHeight="1">
      <c r="A2192" s="2" t="s">
        <v>4567</v>
      </c>
      <c r="B2192" s="2" t="s">
        <v>4567</v>
      </c>
      <c r="C2192" s="2" t="s">
        <v>56</v>
      </c>
      <c r="D2192" s="2" t="s">
        <v>57</v>
      </c>
      <c r="E2192" s="5">
        <v>-27891</v>
      </c>
      <c r="F2192" s="3" t="s">
        <v>825</v>
      </c>
      <c r="G2192" s="3" t="s">
        <v>48</v>
      </c>
      <c r="H2192" s="2" t="s">
        <v>21</v>
      </c>
      <c r="I2192" s="2" t="s">
        <v>4572</v>
      </c>
      <c r="J2192" s="3" t="str">
        <f>HYPERLINK("https://www.boe.es/gazeta/dias/1823/08/20/pdfs/GES-1823-133.pdf#page=3","Abrir facsímil")</f>
        <v>Abrir facsímil</v>
      </c>
      <c r="K2192" s="3" t="s">
        <v>23</v>
      </c>
    </row>
    <row r="2193" spans="1:11" ht="42" customHeight="1">
      <c r="A2193" s="2" t="s">
        <v>4573</v>
      </c>
      <c r="B2193" s="2" t="s">
        <v>4573</v>
      </c>
      <c r="C2193" s="2" t="s">
        <v>56</v>
      </c>
      <c r="D2193" s="2" t="s">
        <v>57</v>
      </c>
      <c r="E2193" s="5">
        <v>-27986</v>
      </c>
      <c r="F2193" s="3" t="s">
        <v>75</v>
      </c>
      <c r="G2193" s="3" t="s">
        <v>59</v>
      </c>
      <c r="H2193" s="2" t="s">
        <v>21</v>
      </c>
      <c r="I2193" s="2" t="s">
        <v>4574</v>
      </c>
      <c r="J2193" s="3" t="str">
        <f>HYPERLINK("https://www.boe.es/gazeta/dias/1823/05/17/pdfs/GES-1823-37.pdf#page=6","Abrir facsímil")</f>
        <v>Abrir facsímil</v>
      </c>
      <c r="K2193" s="3" t="s">
        <v>23</v>
      </c>
    </row>
    <row r="2194" spans="1:11" ht="42" customHeight="1">
      <c r="A2194" s="2" t="s">
        <v>4575</v>
      </c>
      <c r="B2194" s="2" t="s">
        <v>4575</v>
      </c>
      <c r="C2194" s="2" t="s">
        <v>56</v>
      </c>
      <c r="D2194" s="2" t="s">
        <v>57</v>
      </c>
      <c r="E2194" s="5">
        <v>-27986</v>
      </c>
      <c r="F2194" s="3" t="s">
        <v>75</v>
      </c>
      <c r="G2194" s="3" t="s">
        <v>59</v>
      </c>
      <c r="H2194" s="2" t="s">
        <v>21</v>
      </c>
      <c r="I2194" s="2" t="s">
        <v>4576</v>
      </c>
      <c r="J2194" s="3" t="str">
        <f>HYPERLINK("https://www.boe.es/gazeta/dias/1823/05/17/pdfs/GES-1823-37.pdf#page=6","Abrir facsímil")</f>
        <v>Abrir facsímil</v>
      </c>
      <c r="K2194" s="3" t="s">
        <v>23</v>
      </c>
    </row>
    <row r="2195" spans="1:11" ht="42" customHeight="1">
      <c r="A2195" s="2" t="s">
        <v>4577</v>
      </c>
      <c r="B2195" s="2" t="s">
        <v>4577</v>
      </c>
      <c r="C2195" s="2" t="s">
        <v>79</v>
      </c>
      <c r="D2195" s="2" t="s">
        <v>74</v>
      </c>
      <c r="E2195" s="5">
        <v>-27981</v>
      </c>
      <c r="F2195" s="3" t="s">
        <v>1521</v>
      </c>
      <c r="G2195" s="3" t="s">
        <v>39</v>
      </c>
      <c r="H2195" s="2" t="s">
        <v>21</v>
      </c>
      <c r="I2195" s="2" t="s">
        <v>4578</v>
      </c>
      <c r="J2195" s="3" t="str">
        <f>HYPERLINK("https://www.boe.es/gazeta/dias/1823/05/22/pdfs/GES-1823-43.pdf#page=1","Abrir facsímil")</f>
        <v>Abrir facsímil</v>
      </c>
      <c r="K2195" s="3" t="s">
        <v>23</v>
      </c>
    </row>
    <row r="2196" spans="1:11" ht="42" customHeight="1">
      <c r="A2196" s="2" t="s">
        <v>4579</v>
      </c>
      <c r="B2196" s="2" t="s">
        <v>4579</v>
      </c>
      <c r="C2196" s="2" t="s">
        <v>17</v>
      </c>
      <c r="D2196" s="2" t="s">
        <v>18</v>
      </c>
      <c r="E2196" s="5">
        <v>-28122</v>
      </c>
      <c r="F2196" s="3" t="s">
        <v>269</v>
      </c>
      <c r="G2196" s="3" t="s">
        <v>27</v>
      </c>
      <c r="H2196" s="2" t="s">
        <v>21</v>
      </c>
      <c r="I2196" s="2" t="s">
        <v>4580</v>
      </c>
      <c r="J2196" s="3" t="str">
        <f>HYPERLINK("https://www.boe.es/gazeta/dias/1823/01/01/pdfs/GMD-1823-1.pdf#page=2","Abrir facsímil")</f>
        <v>Abrir facsímil</v>
      </c>
      <c r="K2196" s="3" t="s">
        <v>23</v>
      </c>
    </row>
    <row r="2197" spans="1:11" ht="42" customHeight="1">
      <c r="A2197" s="2" t="s">
        <v>4579</v>
      </c>
      <c r="B2197" s="2" t="s">
        <v>4579</v>
      </c>
      <c r="C2197" s="2" t="s">
        <v>17</v>
      </c>
      <c r="D2197" s="2" t="s">
        <v>18</v>
      </c>
      <c r="E2197" s="5">
        <v>-28082</v>
      </c>
      <c r="F2197" s="3" t="s">
        <v>468</v>
      </c>
      <c r="G2197" s="3" t="s">
        <v>27</v>
      </c>
      <c r="H2197" s="2" t="s">
        <v>21</v>
      </c>
      <c r="I2197" s="2" t="s">
        <v>4581</v>
      </c>
      <c r="J2197" s="3" t="str">
        <f>HYPERLINK("https://www.boe.es/gazeta/dias/1823/02/10/pdfs/GMD-1823-44.pdf#page=2","Abrir facsímil")</f>
        <v>Abrir facsímil</v>
      </c>
      <c r="K2197" s="3" t="s">
        <v>23</v>
      </c>
    </row>
    <row r="2198" spans="1:11" ht="42" customHeight="1">
      <c r="A2198" s="2" t="s">
        <v>4579</v>
      </c>
      <c r="B2198" s="2" t="s">
        <v>4579</v>
      </c>
      <c r="C2198" s="2" t="s">
        <v>17</v>
      </c>
      <c r="D2198" s="2" t="s">
        <v>18</v>
      </c>
      <c r="E2198" s="5">
        <v>-28057</v>
      </c>
      <c r="F2198" s="3" t="s">
        <v>301</v>
      </c>
      <c r="G2198" s="3" t="s">
        <v>20</v>
      </c>
      <c r="H2198" s="2" t="s">
        <v>21</v>
      </c>
      <c r="I2198" s="2" t="s">
        <v>4582</v>
      </c>
      <c r="J2198" s="3" t="str">
        <f>HYPERLINK("https://www.boe.es/gazeta/dias/1823/03/07/pdfs/GMD-1823-70.pdf#page=4","Abrir facsímil")</f>
        <v>Abrir facsímil</v>
      </c>
      <c r="K2198" s="3" t="s">
        <v>23</v>
      </c>
    </row>
    <row r="2199" spans="1:11" ht="42" customHeight="1">
      <c r="A2199" s="2" t="s">
        <v>4579</v>
      </c>
      <c r="B2199" s="2" t="s">
        <v>4579</v>
      </c>
      <c r="C2199" s="2" t="s">
        <v>17</v>
      </c>
      <c r="D2199" s="2" t="s">
        <v>18</v>
      </c>
      <c r="E2199" s="5">
        <v>-28054</v>
      </c>
      <c r="F2199" s="3" t="s">
        <v>1292</v>
      </c>
      <c r="G2199" s="3" t="s">
        <v>27</v>
      </c>
      <c r="H2199" s="2" t="s">
        <v>21</v>
      </c>
      <c r="I2199" s="2" t="s">
        <v>4583</v>
      </c>
      <c r="J2199" s="3" t="str">
        <f>HYPERLINK("https://www.boe.es/gazeta/dias/1823/03/10/pdfs/GMD-1823-73.pdf#page=2","Abrir facsímil")</f>
        <v>Abrir facsímil</v>
      </c>
      <c r="K2199" s="3" t="s">
        <v>23</v>
      </c>
    </row>
    <row r="2200" spans="1:11" ht="42" customHeight="1">
      <c r="A2200" s="2" t="s">
        <v>4579</v>
      </c>
      <c r="B2200" s="2" t="s">
        <v>4579</v>
      </c>
      <c r="C2200" s="2" t="s">
        <v>79</v>
      </c>
      <c r="D2200" s="2" t="s">
        <v>74</v>
      </c>
      <c r="E2200" s="5">
        <v>-28054</v>
      </c>
      <c r="F2200" s="3" t="s">
        <v>1292</v>
      </c>
      <c r="G2200" s="3" t="s">
        <v>48</v>
      </c>
      <c r="H2200" s="2" t="s">
        <v>21</v>
      </c>
      <c r="I2200" s="2" t="s">
        <v>4584</v>
      </c>
      <c r="J2200" s="3" t="str">
        <f>HYPERLINK("https://www.boe.es/gazeta/dias/1823/03/10/pdfs/GMD-1823-73.pdf#page=3","Abrir facsímil")</f>
        <v>Abrir facsímil</v>
      </c>
      <c r="K2200" s="3" t="s">
        <v>23</v>
      </c>
    </row>
    <row r="2201" spans="1:11" ht="42" customHeight="1">
      <c r="A2201" s="2" t="s">
        <v>4579</v>
      </c>
      <c r="B2201" s="2" t="s">
        <v>4579</v>
      </c>
      <c r="C2201" s="2" t="s">
        <v>325</v>
      </c>
      <c r="D2201" s="2" t="s">
        <v>74</v>
      </c>
      <c r="E2201" s="5">
        <v>-28003</v>
      </c>
      <c r="F2201" s="3" t="s">
        <v>26</v>
      </c>
      <c r="G2201" s="3" t="s">
        <v>48</v>
      </c>
      <c r="H2201" s="2" t="s">
        <v>21</v>
      </c>
      <c r="I2201" s="2" t="s">
        <v>4585</v>
      </c>
      <c r="J2201" s="3" t="str">
        <f>HYPERLINK("https://www.boe.es/gazeta/dias/1823/04/30/pdfs/GES-1823-20.pdf#page=3","Abrir facsímil")</f>
        <v>Abrir facsímil</v>
      </c>
      <c r="K2201" s="3" t="s">
        <v>23</v>
      </c>
    </row>
    <row r="2202" spans="1:11" ht="42" customHeight="1">
      <c r="A2202" s="2" t="s">
        <v>4579</v>
      </c>
      <c r="B2202" s="2" t="s">
        <v>4579</v>
      </c>
      <c r="C2202" s="2" t="s">
        <v>17</v>
      </c>
      <c r="D2202" s="2" t="s">
        <v>18</v>
      </c>
      <c r="E2202" s="5">
        <v>-27988</v>
      </c>
      <c r="F2202" s="3" t="s">
        <v>2022</v>
      </c>
      <c r="G2202" s="3" t="s">
        <v>39</v>
      </c>
      <c r="H2202" s="2" t="s">
        <v>21</v>
      </c>
      <c r="I2202" s="2" t="s">
        <v>4586</v>
      </c>
      <c r="J2202" s="3" t="str">
        <f>HYPERLINK("https://www.boe.es/gazeta/dias/1823/05/15/pdfs/GMD-1823-142.pdf#page=1","Abrir facsímil")</f>
        <v>Abrir facsímil</v>
      </c>
      <c r="K2202" s="3" t="s">
        <v>23</v>
      </c>
    </row>
    <row r="2203" spans="1:11" ht="42" customHeight="1">
      <c r="A2203" s="2" t="s">
        <v>4579</v>
      </c>
      <c r="B2203" s="2" t="s">
        <v>4579</v>
      </c>
      <c r="C2203" s="2" t="s">
        <v>79</v>
      </c>
      <c r="D2203" s="2" t="s">
        <v>74</v>
      </c>
      <c r="E2203" s="5">
        <v>-27987</v>
      </c>
      <c r="F2203" s="3" t="s">
        <v>332</v>
      </c>
      <c r="G2203" s="3" t="s">
        <v>48</v>
      </c>
      <c r="H2203" s="2" t="s">
        <v>21</v>
      </c>
      <c r="I2203" s="2" t="s">
        <v>4587</v>
      </c>
      <c r="J2203" s="3" t="str">
        <f>HYPERLINK("https://www.boe.es/gazeta/dias/1823/05/16/pdfs/GES-1823-36.pdf#page=3","Abrir facsímil")</f>
        <v>Abrir facsímil</v>
      </c>
      <c r="K2203" s="3" t="s">
        <v>23</v>
      </c>
    </row>
    <row r="2204" spans="1:11" ht="42" customHeight="1">
      <c r="A2204" s="2" t="s">
        <v>4579</v>
      </c>
      <c r="B2204" s="2" t="s">
        <v>4579</v>
      </c>
      <c r="C2204" s="2" t="s">
        <v>79</v>
      </c>
      <c r="D2204" s="2" t="s">
        <v>74</v>
      </c>
      <c r="E2204" s="5">
        <v>-27985</v>
      </c>
      <c r="F2204" s="3" t="s">
        <v>951</v>
      </c>
      <c r="G2204" s="3" t="s">
        <v>20</v>
      </c>
      <c r="H2204" s="2" t="s">
        <v>21</v>
      </c>
      <c r="I2204" s="2" t="s">
        <v>4588</v>
      </c>
      <c r="J2204" s="3" t="str">
        <f>HYPERLINK("https://www.boe.es/gazeta/dias/1823/05/18/pdfs/GES-1823-38.pdf#page=4","Abrir facsímil")</f>
        <v>Abrir facsímil</v>
      </c>
      <c r="K2204" s="3" t="s">
        <v>23</v>
      </c>
    </row>
    <row r="2205" spans="1:11" ht="42" customHeight="1">
      <c r="A2205" s="2" t="s">
        <v>4579</v>
      </c>
      <c r="B2205" s="2" t="s">
        <v>4579</v>
      </c>
      <c r="C2205" s="2" t="s">
        <v>56</v>
      </c>
      <c r="D2205" s="2" t="s">
        <v>57</v>
      </c>
      <c r="E2205" s="5">
        <v>-27970</v>
      </c>
      <c r="F2205" s="3" t="s">
        <v>1030</v>
      </c>
      <c r="G2205" s="3" t="s">
        <v>27</v>
      </c>
      <c r="H2205" s="2" t="s">
        <v>21</v>
      </c>
      <c r="I2205" s="2" t="s">
        <v>4589</v>
      </c>
      <c r="J2205" s="3" t="str">
        <f>HYPERLINK("https://www.boe.es/gazeta/dias/1823/06/02/pdfs/GES-1823-56.pdf#page=2","Abrir facsímil")</f>
        <v>Abrir facsímil</v>
      </c>
      <c r="K2205" s="3" t="s">
        <v>23</v>
      </c>
    </row>
    <row r="2206" spans="1:11" ht="42" customHeight="1">
      <c r="A2206" s="2" t="s">
        <v>4579</v>
      </c>
      <c r="B2206" s="2" t="s">
        <v>4579</v>
      </c>
      <c r="C2206" s="2" t="s">
        <v>17</v>
      </c>
      <c r="D2206" s="2" t="s">
        <v>18</v>
      </c>
      <c r="E2206" s="5">
        <v>-27964</v>
      </c>
      <c r="F2206" s="3" t="s">
        <v>58</v>
      </c>
      <c r="G2206" s="3" t="s">
        <v>27</v>
      </c>
      <c r="H2206" s="2" t="s">
        <v>21</v>
      </c>
      <c r="I2206" s="2" t="s">
        <v>4590</v>
      </c>
      <c r="J2206" s="3" t="str">
        <f>HYPERLINK("https://www.boe.es/gazeta/dias/1823/06/08/pdfs/GES-1823-62.pdf#page=2","Abrir facsímil")</f>
        <v>Abrir facsímil</v>
      </c>
      <c r="K2206" s="3" t="s">
        <v>23</v>
      </c>
    </row>
    <row r="2207" spans="1:11" ht="42" customHeight="1">
      <c r="A2207" s="2" t="s">
        <v>4579</v>
      </c>
      <c r="B2207" s="2" t="s">
        <v>4579</v>
      </c>
      <c r="C2207" s="2" t="s">
        <v>56</v>
      </c>
      <c r="D2207" s="2" t="s">
        <v>57</v>
      </c>
      <c r="E2207" s="5">
        <v>-27935</v>
      </c>
      <c r="F2207" s="3" t="s">
        <v>350</v>
      </c>
      <c r="G2207" s="3" t="s">
        <v>39</v>
      </c>
      <c r="H2207" s="2" t="s">
        <v>21</v>
      </c>
      <c r="I2207" s="2" t="s">
        <v>4591</v>
      </c>
      <c r="J2207" s="3" t="str">
        <f>HYPERLINK("https://www.boe.es/gazeta/dias/1823/07/07/pdfs/GES-1823-87.pdf#page=1","Abrir facsímil")</f>
        <v>Abrir facsímil</v>
      </c>
      <c r="K2207" s="3" t="s">
        <v>23</v>
      </c>
    </row>
    <row r="2208" spans="1:11" ht="42" customHeight="1">
      <c r="A2208" s="2" t="s">
        <v>4592</v>
      </c>
      <c r="B2208" s="2" t="s">
        <v>4593</v>
      </c>
      <c r="C2208" s="2" t="s">
        <v>109</v>
      </c>
      <c r="D2208" s="2" t="s">
        <v>74</v>
      </c>
      <c r="E2208" s="5">
        <v>-27901</v>
      </c>
      <c r="F2208" s="3" t="s">
        <v>840</v>
      </c>
      <c r="G2208" s="3" t="s">
        <v>20</v>
      </c>
      <c r="H2208" s="2" t="s">
        <v>21</v>
      </c>
      <c r="I2208" s="2" t="s">
        <v>4594</v>
      </c>
      <c r="J2208" s="3" t="str">
        <f>HYPERLINK("https://www.boe.es/gazeta/dias/1823/08/10/pdfs/GES-1823-123.pdf#page=4","Abrir facsímil")</f>
        <v>Abrir facsímil</v>
      </c>
      <c r="K2208" s="3" t="s">
        <v>23</v>
      </c>
    </row>
    <row r="2209" spans="1:11" ht="42" customHeight="1">
      <c r="A2209" s="2" t="s">
        <v>4595</v>
      </c>
      <c r="B2209" s="2" t="s">
        <v>4595</v>
      </c>
      <c r="C2209" s="2" t="s">
        <v>17</v>
      </c>
      <c r="D2209" s="2" t="s">
        <v>18</v>
      </c>
      <c r="E2209" s="5">
        <v>-28100</v>
      </c>
      <c r="F2209" s="3" t="s">
        <v>737</v>
      </c>
      <c r="G2209" s="3" t="s">
        <v>39</v>
      </c>
      <c r="H2209" s="2" t="s">
        <v>21</v>
      </c>
      <c r="I2209" s="2" t="s">
        <v>4596</v>
      </c>
      <c r="J2209" s="3" t="str">
        <f>HYPERLINK("https://www.boe.es/gazeta/dias/1823/01/23/pdfs/GMD-1823-24.pdf#page=1","Abrir facsímil")</f>
        <v>Abrir facsímil</v>
      </c>
      <c r="K2209" s="3" t="s">
        <v>23</v>
      </c>
    </row>
    <row r="2210" spans="1:11" ht="42" customHeight="1">
      <c r="A2210" s="2" t="s">
        <v>4597</v>
      </c>
      <c r="B2210" s="2" t="s">
        <v>4597</v>
      </c>
      <c r="C2210" s="2" t="s">
        <v>56</v>
      </c>
      <c r="D2210" s="2" t="s">
        <v>57</v>
      </c>
      <c r="E2210" s="5">
        <v>-27964</v>
      </c>
      <c r="F2210" s="3" t="s">
        <v>58</v>
      </c>
      <c r="G2210" s="3" t="s">
        <v>59</v>
      </c>
      <c r="H2210" s="2" t="s">
        <v>21</v>
      </c>
      <c r="I2210" s="2" t="s">
        <v>4598</v>
      </c>
      <c r="J2210" s="3" t="str">
        <f>HYPERLINK("https://www.boe.es/gazeta/dias/1823/06/08/pdfs/GES-1823-62.pdf#page=6","Abrir facsímil")</f>
        <v>Abrir facsímil</v>
      </c>
      <c r="K2210" s="3" t="s">
        <v>23</v>
      </c>
    </row>
    <row r="2211" spans="1:11" ht="42" customHeight="1">
      <c r="A2211" s="2" t="s">
        <v>4599</v>
      </c>
      <c r="B2211" s="2" t="s">
        <v>4599</v>
      </c>
      <c r="C2211" s="2" t="s">
        <v>293</v>
      </c>
      <c r="D2211" s="2" t="s">
        <v>74</v>
      </c>
      <c r="E2211" s="5">
        <v>-27969</v>
      </c>
      <c r="F2211" s="3" t="s">
        <v>855</v>
      </c>
      <c r="G2211" s="3" t="s">
        <v>48</v>
      </c>
      <c r="H2211" s="2" t="s">
        <v>21</v>
      </c>
      <c r="I2211" s="2" t="s">
        <v>4600</v>
      </c>
      <c r="J2211" s="3" t="str">
        <f>HYPERLINK("https://www.boe.es/gazeta/dias/1823/06/03/pdfs/GES-1823-57.pdf#page=3","Abrir facsímil")</f>
        <v>Abrir facsímil</v>
      </c>
      <c r="K2211" s="3" t="s">
        <v>23</v>
      </c>
    </row>
    <row r="2212" spans="1:11" ht="42" customHeight="1">
      <c r="A2212" s="2" t="s">
        <v>4601</v>
      </c>
      <c r="B2212" s="2" t="s">
        <v>4602</v>
      </c>
      <c r="C2212" s="2" t="s">
        <v>17</v>
      </c>
      <c r="D2212" s="2" t="s">
        <v>18</v>
      </c>
      <c r="E2212" s="5">
        <v>-28086</v>
      </c>
      <c r="F2212" s="3" t="s">
        <v>289</v>
      </c>
      <c r="G2212" s="3" t="s">
        <v>20</v>
      </c>
      <c r="H2212" s="2" t="s">
        <v>21</v>
      </c>
      <c r="I2212" s="2" t="s">
        <v>4603</v>
      </c>
      <c r="J2212" s="3" t="str">
        <f>HYPERLINK("https://www.boe.es/gazeta/dias/1823/02/06/pdfs/GMD-1823-39.pdf#page=4","Abrir facsímil")</f>
        <v>Abrir facsímil</v>
      </c>
      <c r="K2212" s="3" t="s">
        <v>23</v>
      </c>
    </row>
    <row r="2213" spans="1:11" ht="42" customHeight="1">
      <c r="A2213" s="2" t="s">
        <v>4604</v>
      </c>
      <c r="B2213" s="2" t="s">
        <v>4605</v>
      </c>
      <c r="C2213" s="2" t="s">
        <v>56</v>
      </c>
      <c r="D2213" s="2" t="s">
        <v>57</v>
      </c>
      <c r="E2213" s="5">
        <v>-27966</v>
      </c>
      <c r="F2213" s="3" t="s">
        <v>675</v>
      </c>
      <c r="G2213" s="3" t="s">
        <v>34</v>
      </c>
      <c r="H2213" s="2" t="s">
        <v>21</v>
      </c>
      <c r="I2213" s="2" t="s">
        <v>4606</v>
      </c>
      <c r="J2213" s="3" t="str">
        <f>HYPERLINK("https://www.boe.es/gazeta/dias/1823/06/06/pdfs/GES-1823-60.pdf#page=5","Abrir facsímil")</f>
        <v>Abrir facsímil</v>
      </c>
      <c r="K2213" s="3" t="s">
        <v>23</v>
      </c>
    </row>
    <row r="2214" spans="1:11" ht="42" customHeight="1">
      <c r="A2214" s="2" t="s">
        <v>4607</v>
      </c>
      <c r="B2214" s="2" t="s">
        <v>4607</v>
      </c>
      <c r="C2214" s="2" t="s">
        <v>109</v>
      </c>
      <c r="D2214" s="2" t="s">
        <v>74</v>
      </c>
      <c r="E2214" s="5">
        <v>-27907</v>
      </c>
      <c r="F2214" s="3" t="s">
        <v>370</v>
      </c>
      <c r="G2214" s="3" t="s">
        <v>39</v>
      </c>
      <c r="H2214" s="2" t="s">
        <v>21</v>
      </c>
      <c r="I2214" s="2" t="s">
        <v>4608</v>
      </c>
      <c r="J2214" s="3" t="str">
        <f>HYPERLINK("https://www.boe.es/gazeta/dias/1823/08/04/pdfs/GES-1823-116.pdf#page=1","Abrir facsímil")</f>
        <v>Abrir facsímil</v>
      </c>
      <c r="K2214" s="3" t="s">
        <v>23</v>
      </c>
    </row>
    <row r="2215" spans="1:11" ht="42" customHeight="1">
      <c r="A2215" s="2" t="s">
        <v>4609</v>
      </c>
      <c r="B2215" s="2" t="s">
        <v>4610</v>
      </c>
      <c r="C2215" s="2" t="s">
        <v>17</v>
      </c>
      <c r="D2215" s="2" t="s">
        <v>18</v>
      </c>
      <c r="E2215" s="5">
        <v>-27916</v>
      </c>
      <c r="F2215" s="3" t="s">
        <v>772</v>
      </c>
      <c r="G2215" s="3" t="s">
        <v>4611</v>
      </c>
      <c r="H2215" s="2" t="s">
        <v>21</v>
      </c>
      <c r="I2215" s="2" t="s">
        <v>4612</v>
      </c>
      <c r="J2215" s="3" t="str">
        <f>HYPERLINK("https://www.boe.es/gazeta/dias/1823/07/26/pdfs/GES-1823-107.pdf#page=3","Abrir facsímil")</f>
        <v>Abrir facsímil</v>
      </c>
      <c r="K2215" s="3" t="s">
        <v>23</v>
      </c>
    </row>
    <row r="2216" spans="1:11" ht="42" customHeight="1">
      <c r="A2216" s="2" t="s">
        <v>4613</v>
      </c>
      <c r="B2216" s="2" t="s">
        <v>4613</v>
      </c>
      <c r="C2216" s="2" t="s">
        <v>17</v>
      </c>
      <c r="D2216" s="2" t="s">
        <v>18</v>
      </c>
      <c r="E2216" s="5">
        <v>-27869</v>
      </c>
      <c r="F2216" s="3" t="s">
        <v>1886</v>
      </c>
      <c r="G2216" s="3" t="s">
        <v>27</v>
      </c>
      <c r="H2216" s="2" t="s">
        <v>21</v>
      </c>
      <c r="I2216" s="2" t="s">
        <v>4614</v>
      </c>
      <c r="J2216" s="3" t="str">
        <f>HYPERLINK("https://www.boe.es/gazeta/dias/1823/09/11/pdfs/GES-1823-155.pdf#page=2","Abrir facsímil")</f>
        <v>Abrir facsímil</v>
      </c>
      <c r="K2216" s="3" t="s">
        <v>23</v>
      </c>
    </row>
    <row r="2217" spans="1:11" ht="42" customHeight="1">
      <c r="A2217" s="2" t="s">
        <v>4615</v>
      </c>
      <c r="B2217" s="2" t="s">
        <v>4616</v>
      </c>
      <c r="C2217" s="2" t="s">
        <v>56</v>
      </c>
      <c r="D2217" s="2" t="s">
        <v>57</v>
      </c>
      <c r="E2217" s="5">
        <v>-28050</v>
      </c>
      <c r="F2217" s="3" t="s">
        <v>473</v>
      </c>
      <c r="G2217" s="3" t="s">
        <v>34</v>
      </c>
      <c r="H2217" s="2" t="s">
        <v>21</v>
      </c>
      <c r="I2217" s="2" t="s">
        <v>4617</v>
      </c>
      <c r="J2217" s="3" t="str">
        <f>HYPERLINK("https://www.boe.es/gazeta/dias/1823/03/14/pdfs/GMD-1823-77.pdf#page=5","Abrir facsímil")</f>
        <v>Abrir facsímil</v>
      </c>
      <c r="K2217" s="3" t="s">
        <v>23</v>
      </c>
    </row>
    <row r="2218" spans="1:11" ht="42" customHeight="1">
      <c r="A2218" s="2" t="s">
        <v>4618</v>
      </c>
      <c r="B2218" s="2" t="s">
        <v>4618</v>
      </c>
      <c r="C2218" s="2" t="s">
        <v>17</v>
      </c>
      <c r="D2218" s="2" t="s">
        <v>18</v>
      </c>
      <c r="E2218" s="5">
        <v>-27938</v>
      </c>
      <c r="F2218" s="3" t="s">
        <v>101</v>
      </c>
      <c r="G2218" s="3" t="s">
        <v>20</v>
      </c>
      <c r="H2218" s="2" t="s">
        <v>21</v>
      </c>
      <c r="I2218" s="2" t="s">
        <v>4619</v>
      </c>
      <c r="J2218" s="3" t="str">
        <f>HYPERLINK("https://www.boe.es/gazeta/dias/1823/07/04/pdfs/GES-1823-84.pdf#page=4","Abrir facsímil")</f>
        <v>Abrir facsímil</v>
      </c>
      <c r="K2218" s="3" t="s">
        <v>23</v>
      </c>
    </row>
    <row r="2219" spans="1:11" ht="42" customHeight="1">
      <c r="A2219" s="2" t="s">
        <v>4618</v>
      </c>
      <c r="B2219" s="2" t="s">
        <v>4618</v>
      </c>
      <c r="C2219" s="2" t="s">
        <v>17</v>
      </c>
      <c r="D2219" s="2" t="s">
        <v>18</v>
      </c>
      <c r="E2219" s="5">
        <v>-27936</v>
      </c>
      <c r="F2219" s="3" t="s">
        <v>4620</v>
      </c>
      <c r="G2219" s="3" t="s">
        <v>4621</v>
      </c>
      <c r="H2219" s="2" t="s">
        <v>21</v>
      </c>
      <c r="I2219" s="2" t="s">
        <v>4622</v>
      </c>
      <c r="J2219" s="3" t="str">
        <f>HYPERLINK("https://www.boe.es/gazeta/dias/1823/07/06/pdfs/GES-1823-86.pdf#page=3","Abrir facsímil")</f>
        <v>Abrir facsímil</v>
      </c>
      <c r="K2219" s="3" t="s">
        <v>23</v>
      </c>
    </row>
    <row r="2220" spans="1:11" ht="42" customHeight="1">
      <c r="A2220" s="2" t="s">
        <v>4618</v>
      </c>
      <c r="B2220" s="2" t="s">
        <v>4618</v>
      </c>
      <c r="C2220" s="2" t="s">
        <v>17</v>
      </c>
      <c r="D2220" s="2" t="s">
        <v>18</v>
      </c>
      <c r="E2220" s="5">
        <v>-27926</v>
      </c>
      <c r="F2220" s="3" t="s">
        <v>2158</v>
      </c>
      <c r="G2220" s="3" t="s">
        <v>48</v>
      </c>
      <c r="H2220" s="2" t="s">
        <v>21</v>
      </c>
      <c r="I2220" s="2" t="s">
        <v>4623</v>
      </c>
      <c r="J2220" s="3" t="str">
        <f>HYPERLINK("https://www.boe.es/gazeta/dias/1823/07/16/pdfs/GES-1823-96.pdf#page=3","Abrir facsímil")</f>
        <v>Abrir facsímil</v>
      </c>
      <c r="K2220" s="3" t="s">
        <v>23</v>
      </c>
    </row>
    <row r="2221" spans="1:11" ht="42" customHeight="1">
      <c r="A2221" s="2" t="s">
        <v>4618</v>
      </c>
      <c r="B2221" s="2" t="s">
        <v>4618</v>
      </c>
      <c r="C2221" s="2" t="s">
        <v>17</v>
      </c>
      <c r="D2221" s="2" t="s">
        <v>18</v>
      </c>
      <c r="E2221" s="5">
        <v>-27913</v>
      </c>
      <c r="F2221" s="3" t="s">
        <v>821</v>
      </c>
      <c r="G2221" s="3" t="s">
        <v>1204</v>
      </c>
      <c r="H2221" s="2" t="s">
        <v>21</v>
      </c>
      <c r="I2221" s="2" t="s">
        <v>4624</v>
      </c>
      <c r="J2221" s="3" t="str">
        <f>HYPERLINK("https://www.boe.es/gazeta/dias/1823/07/29/pdfs/GES-1823-110.pdf#page=2","Abrir facsímil")</f>
        <v>Abrir facsímil</v>
      </c>
      <c r="K2221" s="3" t="s">
        <v>23</v>
      </c>
    </row>
    <row r="2222" spans="1:11" ht="42" customHeight="1">
      <c r="A2222" s="2" t="s">
        <v>4618</v>
      </c>
      <c r="B2222" s="2" t="s">
        <v>4618</v>
      </c>
      <c r="C2222" s="2" t="s">
        <v>17</v>
      </c>
      <c r="D2222" s="2" t="s">
        <v>18</v>
      </c>
      <c r="E2222" s="5">
        <v>-27783</v>
      </c>
      <c r="F2222" s="3" t="s">
        <v>941</v>
      </c>
      <c r="G2222" s="3" t="s">
        <v>48</v>
      </c>
      <c r="H2222" s="2" t="s">
        <v>21</v>
      </c>
      <c r="I2222" s="2" t="s">
        <v>4625</v>
      </c>
      <c r="J2222" s="3" t="str">
        <f>HYPERLINK("https://www.boe.es/gazeta/dias/1823/12/06/pdfs/GMD-1823-1213.pdf#page=3","Abrir facsímil")</f>
        <v>Abrir facsímil</v>
      </c>
      <c r="K2222" s="3" t="s">
        <v>23</v>
      </c>
    </row>
    <row r="2223" spans="1:11" ht="42" customHeight="1">
      <c r="A2223" s="2" t="s">
        <v>4626</v>
      </c>
      <c r="B2223" s="2" t="s">
        <v>4627</v>
      </c>
      <c r="C2223" s="2" t="s">
        <v>17</v>
      </c>
      <c r="D2223" s="2" t="s">
        <v>18</v>
      </c>
      <c r="E2223" s="5">
        <v>-27883</v>
      </c>
      <c r="F2223" s="3" t="s">
        <v>2838</v>
      </c>
      <c r="G2223" s="3" t="s">
        <v>27</v>
      </c>
      <c r="H2223" s="2" t="s">
        <v>21</v>
      </c>
      <c r="I2223" s="2" t="s">
        <v>4628</v>
      </c>
      <c r="J2223" s="3" t="str">
        <f>HYPERLINK("https://www.boe.es/gazeta/dias/1823/08/28/pdfs/GES-1823-141.pdf#page=2","Abrir facsímil")</f>
        <v>Abrir facsímil</v>
      </c>
      <c r="K2223" s="3" t="s">
        <v>23</v>
      </c>
    </row>
    <row r="2224" spans="1:11" ht="42" customHeight="1">
      <c r="A2224" s="2" t="s">
        <v>4629</v>
      </c>
      <c r="B2224" s="2" t="s">
        <v>4630</v>
      </c>
      <c r="C2224" s="2" t="s">
        <v>17</v>
      </c>
      <c r="D2224" s="2" t="s">
        <v>18</v>
      </c>
      <c r="E2224" s="5">
        <v>-28080</v>
      </c>
      <c r="F2224" s="3" t="s">
        <v>1010</v>
      </c>
      <c r="G2224" s="3" t="s">
        <v>48</v>
      </c>
      <c r="H2224" s="2" t="s">
        <v>21</v>
      </c>
      <c r="I2224" s="2" t="s">
        <v>4631</v>
      </c>
      <c r="J2224" s="3" t="str">
        <f>HYPERLINK("https://www.boe.es/gazeta/dias/1823/02/12/pdfs/GMD-1823-46.pdf#page=3","Abrir facsímil")</f>
        <v>Abrir facsímil</v>
      </c>
      <c r="K2224" s="3" t="s">
        <v>23</v>
      </c>
    </row>
    <row r="2225" spans="1:11" ht="42" customHeight="1">
      <c r="A2225" s="2" t="s">
        <v>4632</v>
      </c>
      <c r="B2225" s="2" t="s">
        <v>4633</v>
      </c>
      <c r="C2225" s="2" t="s">
        <v>17</v>
      </c>
      <c r="D2225" s="2" t="s">
        <v>18</v>
      </c>
      <c r="E2225" s="5">
        <v>-27875</v>
      </c>
      <c r="F2225" s="3" t="s">
        <v>1858</v>
      </c>
      <c r="G2225" s="3" t="s">
        <v>39</v>
      </c>
      <c r="H2225" s="2" t="s">
        <v>21</v>
      </c>
      <c r="I2225" s="2" t="s">
        <v>4634</v>
      </c>
      <c r="J2225" s="3" t="str">
        <f>HYPERLINK("https://www.boe.es/gazeta/dias/1823/09/05/pdfs/GES-1823-149.pdf#page=1","Abrir facsímil")</f>
        <v>Abrir facsímil</v>
      </c>
      <c r="K2225" s="3" t="s">
        <v>23</v>
      </c>
    </row>
    <row r="2226" spans="1:11" ht="42" customHeight="1">
      <c r="A2226" s="2" t="s">
        <v>4635</v>
      </c>
      <c r="B2226" s="2" t="s">
        <v>4636</v>
      </c>
      <c r="C2226" s="2" t="s">
        <v>17</v>
      </c>
      <c r="D2226" s="2" t="s">
        <v>18</v>
      </c>
      <c r="E2226" s="5">
        <v>-27878</v>
      </c>
      <c r="F2226" s="3" t="s">
        <v>130</v>
      </c>
      <c r="G2226" s="3" t="s">
        <v>48</v>
      </c>
      <c r="H2226" s="2" t="s">
        <v>21</v>
      </c>
      <c r="I2226" s="2" t="s">
        <v>4637</v>
      </c>
      <c r="J2226" s="3" t="str">
        <f>HYPERLINK("https://www.boe.es/gazeta/dias/1823/09/02/pdfs/GES-1823-146.pdf#page=3","Abrir facsímil")</f>
        <v>Abrir facsímil</v>
      </c>
      <c r="K2226" s="3" t="s">
        <v>23</v>
      </c>
    </row>
    <row r="2227" spans="1:11" ht="42" customHeight="1">
      <c r="A2227" s="2" t="s">
        <v>4635</v>
      </c>
      <c r="B2227" s="2" t="s">
        <v>4636</v>
      </c>
      <c r="C2227" s="2" t="s">
        <v>17</v>
      </c>
      <c r="D2227" s="2" t="s">
        <v>18</v>
      </c>
      <c r="E2227" s="5">
        <v>-27871</v>
      </c>
      <c r="F2227" s="3" t="s">
        <v>782</v>
      </c>
      <c r="G2227" s="3" t="s">
        <v>27</v>
      </c>
      <c r="H2227" s="2" t="s">
        <v>21</v>
      </c>
      <c r="I2227" s="2" t="s">
        <v>4638</v>
      </c>
      <c r="J2227" s="3" t="str">
        <f>HYPERLINK("https://www.boe.es/gazeta/dias/1823/09/09/pdfs/GES-1823-153.pdf#page=2","Abrir facsímil")</f>
        <v>Abrir facsímil</v>
      </c>
      <c r="K2227" s="3" t="s">
        <v>23</v>
      </c>
    </row>
    <row r="2228" spans="1:11" ht="42" customHeight="1">
      <c r="A2228" s="2" t="s">
        <v>4639</v>
      </c>
      <c r="B2228" s="2" t="s">
        <v>4640</v>
      </c>
      <c r="C2228" s="2" t="s">
        <v>17</v>
      </c>
      <c r="D2228" s="2" t="s">
        <v>18</v>
      </c>
      <c r="E2228" s="5">
        <v>-27864</v>
      </c>
      <c r="F2228" s="3" t="s">
        <v>1301</v>
      </c>
      <c r="G2228" s="3" t="s">
        <v>1302</v>
      </c>
      <c r="H2228" s="2" t="s">
        <v>21</v>
      </c>
      <c r="I2228" s="2" t="s">
        <v>4641</v>
      </c>
      <c r="J2228" s="3" t="str">
        <f>HYPERLINK("https://www.boe.es/gazeta/dias/1823/09/16/pdfs/GES-1823-160.pdf#page=1","Abrir facsímil")</f>
        <v>Abrir facsímil</v>
      </c>
      <c r="K2228" s="3" t="s">
        <v>23</v>
      </c>
    </row>
    <row r="2229" spans="1:11" ht="42" customHeight="1">
      <c r="A2229" s="2" t="s">
        <v>4642</v>
      </c>
      <c r="B2229" s="2" t="s">
        <v>4643</v>
      </c>
      <c r="C2229" s="2" t="s">
        <v>17</v>
      </c>
      <c r="D2229" s="2" t="s">
        <v>18</v>
      </c>
      <c r="E2229" s="5">
        <v>-27884</v>
      </c>
      <c r="F2229" s="3" t="s">
        <v>61</v>
      </c>
      <c r="G2229" s="3" t="s">
        <v>27</v>
      </c>
      <c r="H2229" s="2" t="s">
        <v>21</v>
      </c>
      <c r="I2229" s="2" t="s">
        <v>4644</v>
      </c>
      <c r="J2229" s="3" t="str">
        <f>HYPERLINK("https://www.boe.es/gazeta/dias/1823/08/27/pdfs/GES-1823-140.pdf#page=2","Abrir facsímil")</f>
        <v>Abrir facsímil</v>
      </c>
      <c r="K2229" s="3" t="s">
        <v>23</v>
      </c>
    </row>
    <row r="2230" spans="1:11" ht="42" customHeight="1">
      <c r="A2230" s="2" t="s">
        <v>4645</v>
      </c>
      <c r="B2230" s="2" t="s">
        <v>4646</v>
      </c>
      <c r="C2230" s="2" t="s">
        <v>17</v>
      </c>
      <c r="D2230" s="2" t="s">
        <v>18</v>
      </c>
      <c r="E2230" s="5">
        <v>-28049</v>
      </c>
      <c r="F2230" s="3" t="s">
        <v>198</v>
      </c>
      <c r="G2230" s="3" t="s">
        <v>27</v>
      </c>
      <c r="H2230" s="2" t="s">
        <v>21</v>
      </c>
      <c r="I2230" s="2" t="s">
        <v>4647</v>
      </c>
      <c r="J2230" s="3" t="str">
        <f>HYPERLINK("https://www.boe.es/gazeta/dias/1823/03/15/pdfs/GMD-1823-78.pdf#page=2","Abrir facsímil")</f>
        <v>Abrir facsímil</v>
      </c>
      <c r="K2230" s="3" t="s">
        <v>23</v>
      </c>
    </row>
    <row r="2231" spans="1:11" ht="42" customHeight="1">
      <c r="A2231" s="2" t="s">
        <v>4645</v>
      </c>
      <c r="B2231" s="2" t="s">
        <v>4646</v>
      </c>
      <c r="C2231" s="2" t="s">
        <v>79</v>
      </c>
      <c r="D2231" s="2" t="s">
        <v>74</v>
      </c>
      <c r="E2231" s="5">
        <v>-27962</v>
      </c>
      <c r="F2231" s="3" t="s">
        <v>594</v>
      </c>
      <c r="G2231" s="3" t="s">
        <v>39</v>
      </c>
      <c r="H2231" s="2" t="s">
        <v>21</v>
      </c>
      <c r="I2231" s="2" t="s">
        <v>4648</v>
      </c>
      <c r="J2231" s="3" t="str">
        <f>HYPERLINK("https://www.boe.es/gazeta/dias/1823/06/10/pdfs/GES-1823-64.pdf#page=1","Abrir facsímil")</f>
        <v>Abrir facsímil</v>
      </c>
      <c r="K2231" s="3" t="s">
        <v>23</v>
      </c>
    </row>
    <row r="2232" spans="1:11" ht="42" customHeight="1">
      <c r="A2232" s="2" t="s">
        <v>4649</v>
      </c>
      <c r="B2232" s="2" t="s">
        <v>4649</v>
      </c>
      <c r="C2232" s="2" t="s">
        <v>17</v>
      </c>
      <c r="D2232" s="2" t="s">
        <v>18</v>
      </c>
      <c r="E2232" s="5">
        <v>-27994</v>
      </c>
      <c r="F2232" s="3" t="s">
        <v>714</v>
      </c>
      <c r="G2232" s="3" t="s">
        <v>276</v>
      </c>
      <c r="H2232" s="2" t="s">
        <v>21</v>
      </c>
      <c r="I2232" s="2" t="s">
        <v>4650</v>
      </c>
      <c r="J2232" s="3" t="str">
        <f>HYPERLINK("https://www.boe.es/gazeta/dias/1823/05/09/pdfs/GES-1823-29.pdf#page=7","Abrir facsímil")</f>
        <v>Abrir facsímil</v>
      </c>
      <c r="K2232" s="3" t="s">
        <v>23</v>
      </c>
    </row>
    <row r="2233" spans="1:11" ht="42" customHeight="1">
      <c r="A2233" s="2" t="s">
        <v>4651</v>
      </c>
      <c r="B2233" s="2" t="s">
        <v>4651</v>
      </c>
      <c r="C2233" s="2" t="s">
        <v>17</v>
      </c>
      <c r="D2233" s="2" t="s">
        <v>18</v>
      </c>
      <c r="E2233" s="5">
        <v>-28077</v>
      </c>
      <c r="F2233" s="3" t="s">
        <v>536</v>
      </c>
      <c r="G2233" s="3" t="s">
        <v>59</v>
      </c>
      <c r="H2233" s="2" t="s">
        <v>21</v>
      </c>
      <c r="I2233" s="2" t="s">
        <v>4652</v>
      </c>
      <c r="J2233" s="3" t="str">
        <f>HYPERLINK("https://www.boe.es/gazeta/dias/1823/02/15/pdfs/GMD-1823-49.pdf#page=6","Abrir facsímil")</f>
        <v>Abrir facsímil</v>
      </c>
      <c r="K2233" s="3" t="s">
        <v>23</v>
      </c>
    </row>
    <row r="2234" spans="1:11" ht="42" customHeight="1">
      <c r="A2234" s="2" t="s">
        <v>4653</v>
      </c>
      <c r="B2234" s="2" t="s">
        <v>4654</v>
      </c>
      <c r="C2234" s="2" t="s">
        <v>17</v>
      </c>
      <c r="D2234" s="2" t="s">
        <v>18</v>
      </c>
      <c r="E2234" s="5">
        <v>-27906</v>
      </c>
      <c r="F2234" s="3" t="s">
        <v>241</v>
      </c>
      <c r="G2234" s="3" t="s">
        <v>48</v>
      </c>
      <c r="H2234" s="2" t="s">
        <v>21</v>
      </c>
      <c r="I2234" s="2" t="s">
        <v>4655</v>
      </c>
      <c r="J2234" s="3" t="str">
        <f>HYPERLINK("https://www.boe.es/gazeta/dias/1823/08/05/pdfs/GES-1823-117.pdf#page=3","Abrir facsímil")</f>
        <v>Abrir facsímil</v>
      </c>
      <c r="K2234" s="3" t="s">
        <v>23</v>
      </c>
    </row>
    <row r="2235" spans="1:11" ht="42" customHeight="1">
      <c r="A2235" s="2" t="s">
        <v>4656</v>
      </c>
      <c r="B2235" s="2" t="s">
        <v>4657</v>
      </c>
      <c r="C2235" s="2" t="s">
        <v>56</v>
      </c>
      <c r="D2235" s="2" t="s">
        <v>57</v>
      </c>
      <c r="E2235" s="5">
        <v>-28007</v>
      </c>
      <c r="F2235" s="3" t="s">
        <v>311</v>
      </c>
      <c r="G2235" s="3" t="s">
        <v>1968</v>
      </c>
      <c r="H2235" s="2" t="s">
        <v>21</v>
      </c>
      <c r="I2235" s="2" t="s">
        <v>4658</v>
      </c>
      <c r="J2235" s="3" t="str">
        <f>HYPERLINK("https://www.boe.es/gazeta/dias/1823/04/26/pdfs/GES-1823-16.pdf#page=4","Abrir facsímil")</f>
        <v>Abrir facsímil</v>
      </c>
      <c r="K2235" s="3" t="s">
        <v>23</v>
      </c>
    </row>
    <row r="2236" spans="1:11" ht="42" customHeight="1">
      <c r="A2236" s="2" t="s">
        <v>4659</v>
      </c>
      <c r="B2236" s="2" t="s">
        <v>4660</v>
      </c>
      <c r="C2236" s="2" t="s">
        <v>17</v>
      </c>
      <c r="D2236" s="2" t="s">
        <v>18</v>
      </c>
      <c r="E2236" s="5">
        <v>-27941</v>
      </c>
      <c r="F2236" s="3" t="s">
        <v>1551</v>
      </c>
      <c r="G2236" s="3" t="s">
        <v>48</v>
      </c>
      <c r="H2236" s="2" t="s">
        <v>21</v>
      </c>
      <c r="I2236" s="2" t="s">
        <v>4661</v>
      </c>
      <c r="J2236" s="3" t="str">
        <f>HYPERLINK("https://www.boe.es/gazeta/dias/1823/07/01/pdfs/GMD-1823-323.pdf#page=3","Abrir facsímil")</f>
        <v>Abrir facsímil</v>
      </c>
      <c r="K2236" s="3" t="s">
        <v>23</v>
      </c>
    </row>
    <row r="2237" spans="1:11" ht="42" customHeight="1">
      <c r="A2237" s="2" t="s">
        <v>4662</v>
      </c>
      <c r="B2237" s="2" t="s">
        <v>4663</v>
      </c>
      <c r="C2237" s="2" t="s">
        <v>17</v>
      </c>
      <c r="D2237" s="2" t="s">
        <v>18</v>
      </c>
      <c r="E2237" s="5">
        <v>-27834</v>
      </c>
      <c r="F2237" s="3" t="s">
        <v>188</v>
      </c>
      <c r="G2237" s="3" t="s">
        <v>48</v>
      </c>
      <c r="H2237" s="2" t="s">
        <v>21</v>
      </c>
      <c r="I2237" s="2" t="s">
        <v>4664</v>
      </c>
      <c r="J2237" s="3" t="str">
        <f>HYPERLINK("https://www.boe.es/gazeta/dias/1823/10/16/pdfs/GMD-1823-983.pdf#page=3","Abrir facsímil")</f>
        <v>Abrir facsímil</v>
      </c>
      <c r="K2237" s="3" t="s">
        <v>23</v>
      </c>
    </row>
    <row r="2238" spans="1:11" ht="42" customHeight="1">
      <c r="A2238" s="2" t="s">
        <v>4665</v>
      </c>
      <c r="B2238" s="2" t="s">
        <v>4666</v>
      </c>
      <c r="C2238" s="2" t="s">
        <v>17</v>
      </c>
      <c r="D2238" s="2" t="s">
        <v>18</v>
      </c>
      <c r="E2238" s="5">
        <v>-27853</v>
      </c>
      <c r="F2238" s="3" t="s">
        <v>539</v>
      </c>
      <c r="G2238" s="3" t="s">
        <v>39</v>
      </c>
      <c r="H2238" s="2" t="s">
        <v>21</v>
      </c>
      <c r="I2238" s="2" t="s">
        <v>4667</v>
      </c>
      <c r="J2238" s="3" t="str">
        <f>HYPERLINK("https://www.boe.es/gazeta/dias/1823/09/27/pdfs/GMD-1823-863.pdf#page=1","Abrir facsímil")</f>
        <v>Abrir facsímil</v>
      </c>
      <c r="K2238" s="3" t="s">
        <v>23</v>
      </c>
    </row>
    <row r="2239" spans="1:11" ht="42" customHeight="1">
      <c r="A2239" s="2" t="s">
        <v>4668</v>
      </c>
      <c r="B2239" s="2" t="s">
        <v>4669</v>
      </c>
      <c r="C2239" s="2" t="s">
        <v>56</v>
      </c>
      <c r="D2239" s="2" t="s">
        <v>57</v>
      </c>
      <c r="E2239" s="5">
        <v>-27951</v>
      </c>
      <c r="F2239" s="3" t="s">
        <v>4670</v>
      </c>
      <c r="G2239" s="3" t="s">
        <v>39</v>
      </c>
      <c r="H2239" s="2" t="s">
        <v>21</v>
      </c>
      <c r="I2239" s="2" t="s">
        <v>4671</v>
      </c>
      <c r="J2239" s="3" t="str">
        <f>HYPERLINK("https://www.boe.es/gazeta/dias/1823/06/21/pdfs/GMD-1823-223.pdf#page=1","Abrir facsímil")</f>
        <v>Abrir facsímil</v>
      </c>
      <c r="K2239" s="3" t="s">
        <v>23</v>
      </c>
    </row>
    <row r="2240" spans="1:11" ht="42" customHeight="1">
      <c r="A2240" s="2" t="s">
        <v>4672</v>
      </c>
      <c r="B2240" s="2" t="s">
        <v>4672</v>
      </c>
      <c r="C2240" s="2" t="s">
        <v>56</v>
      </c>
      <c r="D2240" s="2" t="s">
        <v>57</v>
      </c>
      <c r="E2240" s="5">
        <v>-27939</v>
      </c>
      <c r="F2240" s="3" t="s">
        <v>1403</v>
      </c>
      <c r="G2240" s="3" t="s">
        <v>2756</v>
      </c>
      <c r="H2240" s="2" t="s">
        <v>21</v>
      </c>
      <c r="I2240" s="2" t="s">
        <v>4673</v>
      </c>
      <c r="J2240" s="3" t="str">
        <f>HYPERLINK("https://www.boe.es/gazeta/dias/1823/07/03/pdfs/GMD-1823-333.pdf#page=6","Abrir facsímil")</f>
        <v>Abrir facsímil</v>
      </c>
      <c r="K2240" s="3" t="s">
        <v>23</v>
      </c>
    </row>
    <row r="2241" spans="1:11" ht="42" customHeight="1">
      <c r="A2241" s="2" t="s">
        <v>4672</v>
      </c>
      <c r="B2241" s="2" t="s">
        <v>4672</v>
      </c>
      <c r="C2241" s="2" t="s">
        <v>17</v>
      </c>
      <c r="D2241" s="2" t="s">
        <v>18</v>
      </c>
      <c r="E2241" s="5">
        <v>-27906</v>
      </c>
      <c r="F2241" s="3" t="s">
        <v>241</v>
      </c>
      <c r="G2241" s="3" t="s">
        <v>20</v>
      </c>
      <c r="H2241" s="2" t="s">
        <v>21</v>
      </c>
      <c r="I2241" s="2" t="s">
        <v>4674</v>
      </c>
      <c r="J2241" s="3" t="str">
        <f>HYPERLINK("https://www.boe.es/gazeta/dias/1823/08/05/pdfs/GES-1823-117.pdf#page=4","Abrir facsímil")</f>
        <v>Abrir facsímil</v>
      </c>
      <c r="K2241" s="3" t="s">
        <v>23</v>
      </c>
    </row>
    <row r="2242" spans="1:11" ht="42" customHeight="1">
      <c r="A2242" s="2" t="s">
        <v>4675</v>
      </c>
      <c r="B2242" s="2" t="s">
        <v>4676</v>
      </c>
      <c r="C2242" s="2" t="s">
        <v>79</v>
      </c>
      <c r="D2242" s="2" t="s">
        <v>74</v>
      </c>
      <c r="E2242" s="5">
        <v>-28078</v>
      </c>
      <c r="F2242" s="3" t="s">
        <v>508</v>
      </c>
      <c r="G2242" s="3" t="s">
        <v>34</v>
      </c>
      <c r="H2242" s="2" t="s">
        <v>21</v>
      </c>
      <c r="I2242" s="2" t="s">
        <v>4677</v>
      </c>
      <c r="J2242" s="3" t="str">
        <f>HYPERLINK("https://www.boe.es/gazeta/dias/1823/02/14/pdfs/GMD-1823-48.pdf#page=5","Abrir facsímil")</f>
        <v>Abrir facsímil</v>
      </c>
      <c r="K2242" s="3" t="s">
        <v>23</v>
      </c>
    </row>
    <row r="2243" spans="1:11" ht="42" customHeight="1">
      <c r="A2243" s="2" t="s">
        <v>4675</v>
      </c>
      <c r="B2243" s="2" t="s">
        <v>4676</v>
      </c>
      <c r="C2243" s="2" t="s">
        <v>17</v>
      </c>
      <c r="D2243" s="2" t="s">
        <v>18</v>
      </c>
      <c r="E2243" s="5">
        <v>-28074</v>
      </c>
      <c r="F2243" s="3" t="s">
        <v>212</v>
      </c>
      <c r="G2243" s="3" t="s">
        <v>59</v>
      </c>
      <c r="H2243" s="2" t="s">
        <v>21</v>
      </c>
      <c r="I2243" s="2" t="s">
        <v>4678</v>
      </c>
      <c r="J2243" s="3" t="str">
        <f>HYPERLINK("https://www.boe.es/gazeta/dias/1823/02/18/pdfs/GMD-1823-52.pdf#page=6","Abrir facsímil")</f>
        <v>Abrir facsímil</v>
      </c>
      <c r="K2243" s="3" t="s">
        <v>23</v>
      </c>
    </row>
    <row r="2244" spans="1:11" ht="42" customHeight="1">
      <c r="A2244" s="2" t="s">
        <v>4675</v>
      </c>
      <c r="B2244" s="2" t="s">
        <v>4676</v>
      </c>
      <c r="C2244" s="2" t="s">
        <v>17</v>
      </c>
      <c r="D2244" s="2" t="s">
        <v>18</v>
      </c>
      <c r="E2244" s="5">
        <v>-28068</v>
      </c>
      <c r="F2244" s="3" t="s">
        <v>1325</v>
      </c>
      <c r="G2244" s="3" t="s">
        <v>20</v>
      </c>
      <c r="H2244" s="2" t="s">
        <v>21</v>
      </c>
      <c r="I2244" s="2" t="s">
        <v>4679</v>
      </c>
      <c r="J2244" s="3" t="str">
        <f>HYPERLINK("https://www.boe.es/gazeta/dias/1823/02/24/pdfs/GMD-1823-58.pdf#page=4","Abrir facsímil")</f>
        <v>Abrir facsímil</v>
      </c>
      <c r="K2244" s="3" t="s">
        <v>23</v>
      </c>
    </row>
    <row r="2245" spans="1:11" ht="42" customHeight="1">
      <c r="A2245" s="2" t="s">
        <v>4675</v>
      </c>
      <c r="B2245" s="2" t="s">
        <v>4676</v>
      </c>
      <c r="C2245" s="2" t="s">
        <v>56</v>
      </c>
      <c r="D2245" s="2" t="s">
        <v>57</v>
      </c>
      <c r="E2245" s="5">
        <v>-28002</v>
      </c>
      <c r="F2245" s="3" t="s">
        <v>315</v>
      </c>
      <c r="G2245" s="3" t="s">
        <v>1116</v>
      </c>
      <c r="H2245" s="2" t="s">
        <v>21</v>
      </c>
      <c r="I2245" s="2" t="s">
        <v>4680</v>
      </c>
      <c r="J2245" s="3" t="str">
        <f>HYPERLINK("https://www.boe.es/gazeta/dias/1823/05/01/pdfs/GES-1823-21.pdf#page=4","Abrir facsímil")</f>
        <v>Abrir facsímil</v>
      </c>
      <c r="K2245" s="3" t="s">
        <v>23</v>
      </c>
    </row>
    <row r="2246" spans="1:11" ht="42" customHeight="1">
      <c r="A2246" s="2" t="s">
        <v>4675</v>
      </c>
      <c r="B2246" s="2" t="s">
        <v>4676</v>
      </c>
      <c r="C2246" s="2" t="s">
        <v>56</v>
      </c>
      <c r="D2246" s="2" t="s">
        <v>57</v>
      </c>
      <c r="E2246" s="5">
        <v>-27989</v>
      </c>
      <c r="F2246" s="3" t="s">
        <v>1134</v>
      </c>
      <c r="G2246" s="3" t="s">
        <v>59</v>
      </c>
      <c r="H2246" s="2" t="s">
        <v>21</v>
      </c>
      <c r="I2246" s="2" t="s">
        <v>4681</v>
      </c>
      <c r="J2246" s="3" t="str">
        <f>HYPERLINK("https://www.boe.es/gazeta/dias/1823/05/14/pdfs/GES-1823-34.pdf#page=6","Abrir facsímil")</f>
        <v>Abrir facsímil</v>
      </c>
      <c r="K2246" s="3" t="s">
        <v>23</v>
      </c>
    </row>
    <row r="2247" spans="1:11" ht="42" customHeight="1">
      <c r="A2247" s="2" t="s">
        <v>4675</v>
      </c>
      <c r="B2247" s="2" t="s">
        <v>4676</v>
      </c>
      <c r="C2247" s="2" t="s">
        <v>17</v>
      </c>
      <c r="D2247" s="2" t="s">
        <v>18</v>
      </c>
      <c r="E2247" s="5">
        <v>-27972</v>
      </c>
      <c r="F2247" s="3" t="s">
        <v>429</v>
      </c>
      <c r="G2247" s="3" t="s">
        <v>39</v>
      </c>
      <c r="H2247" s="2" t="s">
        <v>21</v>
      </c>
      <c r="I2247" s="2" t="s">
        <v>4682</v>
      </c>
      <c r="J2247" s="3" t="str">
        <f>HYPERLINK("https://www.boe.es/gazeta/dias/1823/05/31/pdfs/GES-1823-54.pdf#page=1","Abrir facsímil")</f>
        <v>Abrir facsímil</v>
      </c>
      <c r="K2247" s="3" t="s">
        <v>23</v>
      </c>
    </row>
    <row r="2248" spans="1:11" ht="42" customHeight="1">
      <c r="A2248" s="2" t="s">
        <v>4683</v>
      </c>
      <c r="B2248" s="2" t="s">
        <v>4684</v>
      </c>
      <c r="C2248" s="2" t="s">
        <v>56</v>
      </c>
      <c r="D2248" s="2" t="s">
        <v>57</v>
      </c>
      <c r="E2248" s="5">
        <v>-28013</v>
      </c>
      <c r="F2248" s="3" t="s">
        <v>105</v>
      </c>
      <c r="G2248" s="3" t="s">
        <v>48</v>
      </c>
      <c r="H2248" s="2" t="s">
        <v>21</v>
      </c>
      <c r="I2248" s="2" t="s">
        <v>4685</v>
      </c>
      <c r="J2248" s="3" t="str">
        <f>HYPERLINK("https://www.boe.es/gazeta/dias/1823/04/20/pdfs/GMD-1823-32.pdf#page=3","Abrir facsímil")</f>
        <v>Abrir facsímil</v>
      </c>
      <c r="K2248" s="3" t="s">
        <v>23</v>
      </c>
    </row>
    <row r="2249" spans="1:11" ht="42" customHeight="1">
      <c r="A2249" s="2" t="s">
        <v>4686</v>
      </c>
      <c r="B2249" s="2" t="s">
        <v>4686</v>
      </c>
      <c r="C2249" s="2" t="s">
        <v>17</v>
      </c>
      <c r="D2249" s="2" t="s">
        <v>18</v>
      </c>
      <c r="E2249" s="5">
        <v>-27908</v>
      </c>
      <c r="F2249" s="3" t="s">
        <v>80</v>
      </c>
      <c r="G2249" s="3" t="s">
        <v>39</v>
      </c>
      <c r="H2249" s="2" t="s">
        <v>21</v>
      </c>
      <c r="I2249" s="2" t="s">
        <v>4687</v>
      </c>
      <c r="J2249" s="3" t="str">
        <f>HYPERLINK("https://www.boe.es/gazeta/dias/1823/08/03/pdfs/GES-1823-115.pdf#page=1","Abrir facsímil")</f>
        <v>Abrir facsímil</v>
      </c>
      <c r="K2249" s="3" t="s">
        <v>23</v>
      </c>
    </row>
    <row r="2250" spans="1:11" ht="42" customHeight="1">
      <c r="A2250" s="2" t="s">
        <v>4688</v>
      </c>
      <c r="B2250" s="2" t="s">
        <v>4689</v>
      </c>
      <c r="C2250" s="2" t="s">
        <v>109</v>
      </c>
      <c r="D2250" s="2" t="s">
        <v>74</v>
      </c>
      <c r="E2250" s="5">
        <v>-27908</v>
      </c>
      <c r="F2250" s="3" t="s">
        <v>80</v>
      </c>
      <c r="G2250" s="3" t="s">
        <v>39</v>
      </c>
      <c r="H2250" s="2" t="s">
        <v>21</v>
      </c>
      <c r="I2250" s="2" t="s">
        <v>4690</v>
      </c>
      <c r="J2250" s="3" t="str">
        <f>HYPERLINK("https://www.boe.es/gazeta/dias/1823/08/03/pdfs/GES-1823-115.pdf#page=1","Abrir facsímil")</f>
        <v>Abrir facsímil</v>
      </c>
      <c r="K2250" s="3" t="s">
        <v>23</v>
      </c>
    </row>
    <row r="2251" spans="1:11" ht="42" customHeight="1">
      <c r="A2251" s="2" t="s">
        <v>4691</v>
      </c>
      <c r="B2251" s="2" t="s">
        <v>4691</v>
      </c>
      <c r="C2251" s="2" t="s">
        <v>17</v>
      </c>
      <c r="D2251" s="2" t="s">
        <v>18</v>
      </c>
      <c r="E2251" s="5">
        <v>-27853</v>
      </c>
      <c r="F2251" s="3" t="s">
        <v>539</v>
      </c>
      <c r="G2251" s="3" t="s">
        <v>27</v>
      </c>
      <c r="H2251" s="2" t="s">
        <v>21</v>
      </c>
      <c r="I2251" s="2" t="s">
        <v>4692</v>
      </c>
      <c r="J2251" s="3" t="str">
        <f>HYPERLINK("https://www.boe.es/gazeta/dias/1823/09/27/pdfs/GMD-1823-863.pdf#page=2","Abrir facsímil")</f>
        <v>Abrir facsímil</v>
      </c>
      <c r="K2251" s="3" t="s">
        <v>23</v>
      </c>
    </row>
    <row r="2252" spans="1:11" ht="42" customHeight="1">
      <c r="A2252" s="2" t="s">
        <v>4691</v>
      </c>
      <c r="B2252" s="2" t="s">
        <v>4691</v>
      </c>
      <c r="C2252" s="2" t="s">
        <v>17</v>
      </c>
      <c r="D2252" s="2" t="s">
        <v>18</v>
      </c>
      <c r="E2252" s="5">
        <v>-27818</v>
      </c>
      <c r="F2252" s="3" t="s">
        <v>1597</v>
      </c>
      <c r="G2252" s="3" t="s">
        <v>20</v>
      </c>
      <c r="H2252" s="2" t="s">
        <v>21</v>
      </c>
      <c r="I2252" s="2" t="s">
        <v>4693</v>
      </c>
      <c r="J2252" s="3" t="str">
        <f>HYPERLINK("https://www.boe.es/gazeta/dias/1823/11/01/pdfs/GMD-1823-1053.pdf#page=4","Abrir facsímil")</f>
        <v>Abrir facsímil</v>
      </c>
      <c r="K2252" s="3" t="s">
        <v>23</v>
      </c>
    </row>
    <row r="2253" spans="1:11" ht="42" customHeight="1">
      <c r="A2253" s="2" t="s">
        <v>4691</v>
      </c>
      <c r="B2253" s="2" t="s">
        <v>4691</v>
      </c>
      <c r="C2253" s="2" t="s">
        <v>17</v>
      </c>
      <c r="D2253" s="2" t="s">
        <v>18</v>
      </c>
      <c r="E2253" s="5">
        <v>-27804</v>
      </c>
      <c r="F2253" s="3" t="s">
        <v>836</v>
      </c>
      <c r="G2253" s="3" t="s">
        <v>39</v>
      </c>
      <c r="H2253" s="2" t="s">
        <v>21</v>
      </c>
      <c r="I2253" s="2" t="s">
        <v>4694</v>
      </c>
      <c r="J2253" s="3" t="str">
        <f>HYPERLINK("https://www.boe.es/gazeta/dias/1823/11/15/pdfs/GMD-1823-1123.pdf#page=1","Abrir facsímil")</f>
        <v>Abrir facsímil</v>
      </c>
      <c r="K2253" s="3" t="s">
        <v>23</v>
      </c>
    </row>
    <row r="2254" spans="1:11" ht="42" customHeight="1">
      <c r="A2254" s="2" t="s">
        <v>4691</v>
      </c>
      <c r="B2254" s="2" t="s">
        <v>4691</v>
      </c>
      <c r="C2254" s="2" t="s">
        <v>17</v>
      </c>
      <c r="D2254" s="2" t="s">
        <v>18</v>
      </c>
      <c r="E2254" s="5">
        <v>-27787</v>
      </c>
      <c r="F2254" s="3" t="s">
        <v>865</v>
      </c>
      <c r="G2254" s="3" t="s">
        <v>27</v>
      </c>
      <c r="H2254" s="2" t="s">
        <v>21</v>
      </c>
      <c r="I2254" s="2" t="s">
        <v>4695</v>
      </c>
      <c r="J2254" s="3" t="str">
        <f>HYPERLINK("https://www.boe.es/gazeta/dias/1823/12/02/pdfs/GMD-1823-1193.pdf#page=2","Abrir facsímil")</f>
        <v>Abrir facsímil</v>
      </c>
      <c r="K2254" s="3" t="s">
        <v>23</v>
      </c>
    </row>
    <row r="2255" spans="1:11" ht="42" customHeight="1">
      <c r="A2255" s="2" t="s">
        <v>4696</v>
      </c>
      <c r="B2255" s="2" t="s">
        <v>4697</v>
      </c>
      <c r="C2255" s="2" t="s">
        <v>17</v>
      </c>
      <c r="D2255" s="2" t="s">
        <v>18</v>
      </c>
      <c r="E2255" s="5">
        <v>-27829</v>
      </c>
      <c r="F2255" s="3" t="s">
        <v>228</v>
      </c>
      <c r="G2255" s="3" t="s">
        <v>20</v>
      </c>
      <c r="H2255" s="2" t="s">
        <v>21</v>
      </c>
      <c r="I2255" s="2" t="s">
        <v>4698</v>
      </c>
      <c r="J2255" s="3" t="str">
        <f>HYPERLINK("https://www.boe.es/gazeta/dias/1823/10/21/pdfs/GMD-1823-1003.pdf#page=4","Abrir facsímil")</f>
        <v>Abrir facsímil</v>
      </c>
      <c r="K2255" s="3" t="s">
        <v>23</v>
      </c>
    </row>
    <row r="2256" spans="1:11" ht="42" customHeight="1">
      <c r="A2256" s="2" t="s">
        <v>4699</v>
      </c>
      <c r="B2256" s="2" t="s">
        <v>4700</v>
      </c>
      <c r="C2256" s="2" t="s">
        <v>17</v>
      </c>
      <c r="D2256" s="2" t="s">
        <v>18</v>
      </c>
      <c r="E2256" s="5">
        <v>-27776</v>
      </c>
      <c r="F2256" s="3" t="s">
        <v>1399</v>
      </c>
      <c r="G2256" s="3" t="s">
        <v>27</v>
      </c>
      <c r="H2256" s="2" t="s">
        <v>21</v>
      </c>
      <c r="I2256" s="2" t="s">
        <v>4701</v>
      </c>
      <c r="J2256" s="3" t="str">
        <f>HYPERLINK("https://www.boe.es/gazeta/dias/1823/12/13/pdfs/GMD-1823-1243.pdf#page=2","Abrir facsímil")</f>
        <v>Abrir facsímil</v>
      </c>
      <c r="K2256" s="3" t="s">
        <v>23</v>
      </c>
    </row>
    <row r="2257" spans="1:11" ht="42" customHeight="1">
      <c r="A2257" s="2" t="s">
        <v>4702</v>
      </c>
      <c r="B2257" s="2" t="s">
        <v>4702</v>
      </c>
      <c r="C2257" s="2" t="s">
        <v>73</v>
      </c>
      <c r="D2257" s="2" t="s">
        <v>74</v>
      </c>
      <c r="E2257" s="5">
        <v>-28054</v>
      </c>
      <c r="F2257" s="3" t="s">
        <v>1292</v>
      </c>
      <c r="G2257" s="3" t="s">
        <v>20</v>
      </c>
      <c r="H2257" s="2" t="s">
        <v>21</v>
      </c>
      <c r="I2257" s="2" t="s">
        <v>4703</v>
      </c>
      <c r="J2257" s="3" t="str">
        <f>HYPERLINK("https://www.boe.es/gazeta/dias/1823/03/10/pdfs/GMD-1823-73.pdf#page=4","Abrir facsímil")</f>
        <v>Abrir facsímil</v>
      </c>
      <c r="K2257" s="3" t="s">
        <v>23</v>
      </c>
    </row>
    <row r="2258" spans="1:11" ht="42" customHeight="1">
      <c r="A2258" s="2" t="s">
        <v>4704</v>
      </c>
      <c r="B2258" s="2" t="s">
        <v>4704</v>
      </c>
      <c r="C2258" s="2" t="s">
        <v>17</v>
      </c>
      <c r="D2258" s="2" t="s">
        <v>18</v>
      </c>
      <c r="E2258" s="5">
        <v>-28070</v>
      </c>
      <c r="F2258" s="3" t="s">
        <v>972</v>
      </c>
      <c r="G2258" s="3" t="s">
        <v>39</v>
      </c>
      <c r="H2258" s="2" t="s">
        <v>21</v>
      </c>
      <c r="I2258" s="2" t="s">
        <v>4705</v>
      </c>
      <c r="J2258" s="3" t="str">
        <f>HYPERLINK("https://www.boe.es/gazeta/dias/1823/02/22/pdfs/GMD-1823-56.pdf#page=1","Abrir facsímil")</f>
        <v>Abrir facsímil</v>
      </c>
      <c r="K2258" s="3" t="s">
        <v>23</v>
      </c>
    </row>
    <row r="2259" spans="1:11" ht="42" customHeight="1">
      <c r="A2259" s="2" t="s">
        <v>4704</v>
      </c>
      <c r="B2259" s="2" t="s">
        <v>4704</v>
      </c>
      <c r="C2259" s="2" t="s">
        <v>17</v>
      </c>
      <c r="D2259" s="2" t="s">
        <v>18</v>
      </c>
      <c r="E2259" s="5">
        <v>-28018</v>
      </c>
      <c r="F2259" s="3" t="s">
        <v>2613</v>
      </c>
      <c r="G2259" s="3" t="s">
        <v>48</v>
      </c>
      <c r="H2259" s="2" t="s">
        <v>21</v>
      </c>
      <c r="I2259" s="2" t="s">
        <v>4706</v>
      </c>
      <c r="J2259" s="3" t="str">
        <f>HYPERLINK("https://www.boe.es/gazeta/dias/1823/04/15/pdfs/GES-1823-5.pdf#page=3","Abrir facsímil")</f>
        <v>Abrir facsímil</v>
      </c>
      <c r="K2259" s="3" t="s">
        <v>23</v>
      </c>
    </row>
    <row r="2260" spans="1:11" ht="42" customHeight="1">
      <c r="A2260" s="2" t="s">
        <v>4704</v>
      </c>
      <c r="B2260" s="2" t="s">
        <v>4704</v>
      </c>
      <c r="C2260" s="2" t="s">
        <v>79</v>
      </c>
      <c r="D2260" s="2" t="s">
        <v>74</v>
      </c>
      <c r="E2260" s="5">
        <v>-28012</v>
      </c>
      <c r="F2260" s="3" t="s">
        <v>4707</v>
      </c>
      <c r="G2260" s="3" t="s">
        <v>20</v>
      </c>
      <c r="H2260" s="2" t="s">
        <v>21</v>
      </c>
      <c r="I2260" s="2" t="s">
        <v>4708</v>
      </c>
      <c r="J2260" s="3" t="str">
        <f>HYPERLINK("https://www.boe.es/gazeta/dias/1823/04/21/pdfs/GES-1823-11.pdf#page=4","Abrir facsímil")</f>
        <v>Abrir facsímil</v>
      </c>
      <c r="K2260" s="3" t="s">
        <v>23</v>
      </c>
    </row>
    <row r="2261" spans="1:11" ht="42" customHeight="1">
      <c r="A2261" s="2" t="s">
        <v>4704</v>
      </c>
      <c r="B2261" s="2" t="s">
        <v>4704</v>
      </c>
      <c r="C2261" s="2" t="s">
        <v>17</v>
      </c>
      <c r="D2261" s="2" t="s">
        <v>18</v>
      </c>
      <c r="E2261" s="5">
        <v>-28009</v>
      </c>
      <c r="F2261" s="3" t="s">
        <v>307</v>
      </c>
      <c r="G2261" s="3" t="s">
        <v>59</v>
      </c>
      <c r="H2261" s="2" t="s">
        <v>21</v>
      </c>
      <c r="I2261" s="2" t="s">
        <v>4709</v>
      </c>
      <c r="J2261" s="3" t="str">
        <f>HYPERLINK("https://www.boe.es/gazeta/dias/1823/04/24/pdfs/GES-1823-14.pdf#page=6","Abrir facsímil")</f>
        <v>Abrir facsímil</v>
      </c>
      <c r="K2261" s="3" t="s">
        <v>23</v>
      </c>
    </row>
    <row r="2262" spans="1:11" ht="42" customHeight="1">
      <c r="A2262" s="2" t="s">
        <v>4704</v>
      </c>
      <c r="B2262" s="2" t="s">
        <v>4704</v>
      </c>
      <c r="C2262" s="2" t="s">
        <v>56</v>
      </c>
      <c r="D2262" s="2" t="s">
        <v>57</v>
      </c>
      <c r="E2262" s="5">
        <v>-27986</v>
      </c>
      <c r="F2262" s="3" t="s">
        <v>75</v>
      </c>
      <c r="G2262" s="3" t="s">
        <v>59</v>
      </c>
      <c r="H2262" s="2" t="s">
        <v>21</v>
      </c>
      <c r="I2262" s="2" t="s">
        <v>4710</v>
      </c>
      <c r="J2262" s="3" t="str">
        <f>HYPERLINK("https://www.boe.es/gazeta/dias/1823/05/17/pdfs/GES-1823-37.pdf#page=6","Abrir facsímil")</f>
        <v>Abrir facsímil</v>
      </c>
      <c r="K2262" s="3" t="s">
        <v>23</v>
      </c>
    </row>
    <row r="2263" spans="1:11" ht="42" customHeight="1">
      <c r="A2263" s="2" t="s">
        <v>4704</v>
      </c>
      <c r="B2263" s="2" t="s">
        <v>4704</v>
      </c>
      <c r="C2263" s="2" t="s">
        <v>17</v>
      </c>
      <c r="D2263" s="2" t="s">
        <v>18</v>
      </c>
      <c r="E2263" s="5">
        <v>-27867</v>
      </c>
      <c r="F2263" s="3" t="s">
        <v>569</v>
      </c>
      <c r="G2263" s="3" t="s">
        <v>27</v>
      </c>
      <c r="H2263" s="2" t="s">
        <v>21</v>
      </c>
      <c r="I2263" s="2" t="s">
        <v>4711</v>
      </c>
      <c r="J2263" s="3" t="str">
        <f>HYPERLINK("https://www.boe.es/gazeta/dias/1823/09/13/pdfs/GES-1823-157.pdf#page=2","Abrir facsímil")</f>
        <v>Abrir facsímil</v>
      </c>
      <c r="K2263" s="3" t="s">
        <v>23</v>
      </c>
    </row>
    <row r="2264" spans="1:11" ht="42" customHeight="1">
      <c r="A2264" s="2" t="s">
        <v>4712</v>
      </c>
      <c r="B2264" s="2" t="s">
        <v>4713</v>
      </c>
      <c r="C2264" s="2" t="s">
        <v>79</v>
      </c>
      <c r="D2264" s="2" t="s">
        <v>74</v>
      </c>
      <c r="E2264" s="5">
        <v>-27878</v>
      </c>
      <c r="F2264" s="3" t="s">
        <v>130</v>
      </c>
      <c r="G2264" s="3" t="s">
        <v>48</v>
      </c>
      <c r="H2264" s="2" t="s">
        <v>21</v>
      </c>
      <c r="I2264" s="2" t="s">
        <v>4714</v>
      </c>
      <c r="J2264" s="3" t="str">
        <f>HYPERLINK("https://www.boe.es/gazeta/dias/1823/09/02/pdfs/GES-1823-146.pdf#page=3","Abrir facsímil")</f>
        <v>Abrir facsímil</v>
      </c>
      <c r="K2264" s="3" t="s">
        <v>23</v>
      </c>
    </row>
    <row r="2265" spans="1:11" ht="42" customHeight="1">
      <c r="A2265" s="2" t="s">
        <v>4715</v>
      </c>
      <c r="B2265" s="2" t="s">
        <v>4716</v>
      </c>
      <c r="C2265" s="2" t="s">
        <v>79</v>
      </c>
      <c r="D2265" s="2" t="s">
        <v>74</v>
      </c>
      <c r="E2265" s="5">
        <v>-28098</v>
      </c>
      <c r="F2265" s="3" t="s">
        <v>1101</v>
      </c>
      <c r="G2265" s="3" t="s">
        <v>20</v>
      </c>
      <c r="H2265" s="2" t="s">
        <v>21</v>
      </c>
      <c r="I2265" s="2" t="s">
        <v>4717</v>
      </c>
      <c r="J2265" s="3" t="str">
        <f>HYPERLINK("https://www.boe.es/gazeta/dias/1823/01/25/pdfs/GMD-1823-26.pdf#page=4","Abrir facsímil")</f>
        <v>Abrir facsímil</v>
      </c>
      <c r="K2265" s="3" t="s">
        <v>23</v>
      </c>
    </row>
    <row r="2266" spans="1:11" ht="42" customHeight="1">
      <c r="A2266" s="2" t="s">
        <v>4718</v>
      </c>
      <c r="B2266" s="2" t="s">
        <v>4719</v>
      </c>
      <c r="C2266" s="2" t="s">
        <v>17</v>
      </c>
      <c r="D2266" s="2" t="s">
        <v>18</v>
      </c>
      <c r="E2266" s="5">
        <v>-27864</v>
      </c>
      <c r="F2266" s="3" t="s">
        <v>1301</v>
      </c>
      <c r="G2266" s="3" t="s">
        <v>1302</v>
      </c>
      <c r="H2266" s="2" t="s">
        <v>21</v>
      </c>
      <c r="I2266" s="2" t="s">
        <v>4720</v>
      </c>
      <c r="J2266" s="3" t="str">
        <f>HYPERLINK("https://www.boe.es/gazeta/dias/1823/09/16/pdfs/GES-1823-160.pdf#page=1","Abrir facsímil")</f>
        <v>Abrir facsímil</v>
      </c>
      <c r="K2266" s="3" t="s">
        <v>23</v>
      </c>
    </row>
    <row r="2267" spans="1:11" ht="42" customHeight="1">
      <c r="A2267" s="2" t="s">
        <v>4721</v>
      </c>
      <c r="B2267" s="2" t="s">
        <v>4722</v>
      </c>
      <c r="C2267" s="2" t="s">
        <v>79</v>
      </c>
      <c r="D2267" s="2" t="s">
        <v>74</v>
      </c>
      <c r="E2267" s="5">
        <v>-27867</v>
      </c>
      <c r="F2267" s="3" t="s">
        <v>1585</v>
      </c>
      <c r="G2267" s="3" t="s">
        <v>48</v>
      </c>
      <c r="H2267" s="2" t="s">
        <v>21</v>
      </c>
      <c r="I2267" s="2" t="s">
        <v>4723</v>
      </c>
      <c r="J2267" s="3" t="str">
        <f>HYPERLINK("https://www.boe.es/gazeta/dias/1823/09/13/pdfs/GMD-1823-773.pdf#page=3","Abrir facsímil")</f>
        <v>Abrir facsímil</v>
      </c>
      <c r="K2267" s="3" t="s">
        <v>23</v>
      </c>
    </row>
    <row r="2268" spans="1:11" ht="42" customHeight="1">
      <c r="A2268" s="2" t="s">
        <v>4724</v>
      </c>
      <c r="B2268" s="2" t="s">
        <v>4725</v>
      </c>
      <c r="C2268" s="2" t="s">
        <v>56</v>
      </c>
      <c r="D2268" s="2" t="s">
        <v>57</v>
      </c>
      <c r="E2268" s="5">
        <v>-27929</v>
      </c>
      <c r="F2268" s="3" t="s">
        <v>598</v>
      </c>
      <c r="G2268" s="3" t="s">
        <v>39</v>
      </c>
      <c r="H2268" s="2" t="s">
        <v>21</v>
      </c>
      <c r="I2268" s="2" t="s">
        <v>4726</v>
      </c>
      <c r="J2268" s="3" t="str">
        <f>HYPERLINK("https://www.boe.es/gazeta/dias/1823/07/13/pdfs/GES-1823-93.pdf#page=1","Abrir facsímil")</f>
        <v>Abrir facsímil</v>
      </c>
      <c r="K2268" s="3" t="s">
        <v>23</v>
      </c>
    </row>
    <row r="2269" spans="1:11" ht="42" customHeight="1">
      <c r="A2269" s="2" t="s">
        <v>4727</v>
      </c>
      <c r="B2269" s="2" t="s">
        <v>4728</v>
      </c>
      <c r="C2269" s="2" t="s">
        <v>17</v>
      </c>
      <c r="D2269" s="2" t="s">
        <v>18</v>
      </c>
      <c r="E2269" s="5">
        <v>-27999</v>
      </c>
      <c r="F2269" s="3" t="s">
        <v>97</v>
      </c>
      <c r="G2269" s="3" t="s">
        <v>1257</v>
      </c>
      <c r="H2269" s="2" t="s">
        <v>21</v>
      </c>
      <c r="I2269" s="2" t="s">
        <v>4729</v>
      </c>
      <c r="J2269" s="3" t="str">
        <f>HYPERLINK("https://www.boe.es/gazeta/dias/1823/05/04/pdfs/GES-1823-24.pdf#page=2","Abrir facsímil")</f>
        <v>Abrir facsímil</v>
      </c>
      <c r="K2269" s="3" t="s">
        <v>23</v>
      </c>
    </row>
    <row r="2270" spans="1:11" ht="42" customHeight="1">
      <c r="A2270" s="2" t="s">
        <v>4730</v>
      </c>
      <c r="B2270" s="2" t="s">
        <v>4731</v>
      </c>
      <c r="C2270" s="2" t="s">
        <v>293</v>
      </c>
      <c r="D2270" s="2" t="s">
        <v>74</v>
      </c>
      <c r="E2270" s="5">
        <v>-28048</v>
      </c>
      <c r="F2270" s="3" t="s">
        <v>399</v>
      </c>
      <c r="G2270" s="3" t="s">
        <v>59</v>
      </c>
      <c r="H2270" s="2" t="s">
        <v>21</v>
      </c>
      <c r="I2270" s="2" t="s">
        <v>4732</v>
      </c>
      <c r="J2270" s="3" t="str">
        <f>HYPERLINK("https://www.boe.es/gazeta/dias/1823/03/16/pdfs/GMD-1823-79.pdf#page=6","Abrir facsímil")</f>
        <v>Abrir facsímil</v>
      </c>
      <c r="K2270" s="3" t="s">
        <v>23</v>
      </c>
    </row>
    <row r="2271" spans="1:11" ht="42" customHeight="1">
      <c r="A2271" s="2" t="s">
        <v>4733</v>
      </c>
      <c r="B2271" s="2" t="s">
        <v>4734</v>
      </c>
      <c r="C2271" s="2" t="s">
        <v>325</v>
      </c>
      <c r="D2271" s="2" t="s">
        <v>74</v>
      </c>
      <c r="E2271" s="5">
        <v>-28017</v>
      </c>
      <c r="F2271" s="3" t="s">
        <v>2912</v>
      </c>
      <c r="G2271" s="3" t="s">
        <v>27</v>
      </c>
      <c r="H2271" s="2" t="s">
        <v>21</v>
      </c>
      <c r="I2271" s="2" t="s">
        <v>4735</v>
      </c>
      <c r="J2271" s="3" t="str">
        <f>HYPERLINK("https://www.boe.es/gazeta/dias/1823/04/16/pdfs/GES-1823-6.pdf#page=2","Abrir facsímil")</f>
        <v>Abrir facsímil</v>
      </c>
      <c r="K2271" s="3" t="s">
        <v>23</v>
      </c>
    </row>
    <row r="2272" spans="1:11" ht="42" customHeight="1">
      <c r="A2272" s="2" t="s">
        <v>4736</v>
      </c>
      <c r="B2272" s="2" t="s">
        <v>4737</v>
      </c>
      <c r="C2272" s="2" t="s">
        <v>17</v>
      </c>
      <c r="D2272" s="2" t="s">
        <v>18</v>
      </c>
      <c r="E2272" s="5">
        <v>-28106</v>
      </c>
      <c r="F2272" s="3" t="s">
        <v>280</v>
      </c>
      <c r="G2272" s="3" t="s">
        <v>281</v>
      </c>
      <c r="H2272" s="2" t="s">
        <v>21</v>
      </c>
      <c r="I2272" s="2" t="s">
        <v>4738</v>
      </c>
      <c r="J2272" s="3" t="str">
        <f>HYPERLINK("https://www.boe.es/gazeta/dias/1823/01/17/pdfs/GMD-1823-17.pdf#page=2","Abrir facsímil")</f>
        <v>Abrir facsímil</v>
      </c>
      <c r="K2272" s="3" t="s">
        <v>23</v>
      </c>
    </row>
    <row r="2273" spans="1:11" ht="42" customHeight="1">
      <c r="A2273" s="2" t="s">
        <v>4739</v>
      </c>
      <c r="B2273" s="2" t="s">
        <v>4740</v>
      </c>
      <c r="C2273" s="2" t="s">
        <v>17</v>
      </c>
      <c r="D2273" s="2" t="s">
        <v>18</v>
      </c>
      <c r="E2273" s="5">
        <v>-27905</v>
      </c>
      <c r="F2273" s="3" t="s">
        <v>236</v>
      </c>
      <c r="G2273" s="3" t="s">
        <v>237</v>
      </c>
      <c r="H2273" s="2" t="s">
        <v>21</v>
      </c>
      <c r="I2273" s="2" t="s">
        <v>4741</v>
      </c>
      <c r="J2273" s="3" t="str">
        <f>HYPERLINK("https://www.boe.es/gazeta/dias/1823/08/06/pdfs/GES-1823-119.pdf#page=4","Abrir facsímil")</f>
        <v>Abrir facsímil</v>
      </c>
      <c r="K2273" s="3" t="s">
        <v>23</v>
      </c>
    </row>
    <row r="2274" spans="1:11" ht="42" customHeight="1">
      <c r="A2274" s="2" t="s">
        <v>4742</v>
      </c>
      <c r="B2274" s="2" t="s">
        <v>4742</v>
      </c>
      <c r="C2274" s="2" t="s">
        <v>17</v>
      </c>
      <c r="D2274" s="2" t="s">
        <v>18</v>
      </c>
      <c r="E2274" s="5">
        <v>-27862</v>
      </c>
      <c r="F2274" s="3" t="s">
        <v>1530</v>
      </c>
      <c r="G2274" s="3" t="s">
        <v>48</v>
      </c>
      <c r="H2274" s="2" t="s">
        <v>21</v>
      </c>
      <c r="I2274" s="2" t="s">
        <v>4743</v>
      </c>
      <c r="J2274" s="3" t="str">
        <f>HYPERLINK("https://www.boe.es/gazeta/dias/1823/09/18/pdfs/GMD-1823-803.pdf#page=3","Abrir facsímil")</f>
        <v>Abrir facsímil</v>
      </c>
      <c r="K2274" s="3" t="s">
        <v>23</v>
      </c>
    </row>
    <row r="2275" spans="1:11" ht="42" customHeight="1">
      <c r="A2275" s="2" t="s">
        <v>4742</v>
      </c>
      <c r="B2275" s="2" t="s">
        <v>4742</v>
      </c>
      <c r="C2275" s="2" t="s">
        <v>17</v>
      </c>
      <c r="D2275" s="2" t="s">
        <v>18</v>
      </c>
      <c r="E2275" s="5">
        <v>-27853</v>
      </c>
      <c r="F2275" s="3" t="s">
        <v>539</v>
      </c>
      <c r="G2275" s="3" t="s">
        <v>48</v>
      </c>
      <c r="H2275" s="2" t="s">
        <v>21</v>
      </c>
      <c r="I2275" s="2" t="s">
        <v>4744</v>
      </c>
      <c r="J2275" s="3" t="str">
        <f>HYPERLINK("https://www.boe.es/gazeta/dias/1823/09/27/pdfs/GMD-1823-863.pdf#page=3","Abrir facsímil")</f>
        <v>Abrir facsímil</v>
      </c>
      <c r="K2275" s="3" t="s">
        <v>23</v>
      </c>
    </row>
    <row r="2276" spans="1:11" ht="42" customHeight="1">
      <c r="A2276" s="2" t="s">
        <v>4745</v>
      </c>
      <c r="B2276" s="2" t="s">
        <v>4746</v>
      </c>
      <c r="C2276" s="2" t="s">
        <v>17</v>
      </c>
      <c r="D2276" s="2" t="s">
        <v>18</v>
      </c>
      <c r="E2276" s="5">
        <v>-28085</v>
      </c>
      <c r="F2276" s="3" t="s">
        <v>458</v>
      </c>
      <c r="G2276" s="3" t="s">
        <v>59</v>
      </c>
      <c r="H2276" s="2" t="s">
        <v>21</v>
      </c>
      <c r="I2276" s="2" t="s">
        <v>4747</v>
      </c>
      <c r="J2276" s="3" t="str">
        <f>HYPERLINK("https://www.boe.es/gazeta/dias/1823/02/07/pdfs/GMD-1823-40.pdf#page=6","Abrir facsímil")</f>
        <v>Abrir facsímil</v>
      </c>
      <c r="K2276" s="3" t="s">
        <v>23</v>
      </c>
    </row>
    <row r="2277" spans="1:11" ht="42" customHeight="1">
      <c r="A2277" s="2" t="s">
        <v>4748</v>
      </c>
      <c r="B2277" s="2" t="s">
        <v>4749</v>
      </c>
      <c r="C2277" s="2" t="s">
        <v>293</v>
      </c>
      <c r="D2277" s="2" t="s">
        <v>74</v>
      </c>
      <c r="E2277" s="5">
        <v>-28085</v>
      </c>
      <c r="F2277" s="3" t="s">
        <v>458</v>
      </c>
      <c r="G2277" s="3" t="s">
        <v>59</v>
      </c>
      <c r="H2277" s="2" t="s">
        <v>21</v>
      </c>
      <c r="I2277" s="2" t="s">
        <v>4750</v>
      </c>
      <c r="J2277" s="3" t="str">
        <f>HYPERLINK("https://www.boe.es/gazeta/dias/1823/02/07/pdfs/GMD-1823-40.pdf#page=6","Abrir facsímil")</f>
        <v>Abrir facsímil</v>
      </c>
      <c r="K2277" s="3" t="s">
        <v>23</v>
      </c>
    </row>
    <row r="2278" spans="1:11" ht="42" customHeight="1">
      <c r="A2278" s="2" t="s">
        <v>4751</v>
      </c>
      <c r="B2278" s="2" t="s">
        <v>4752</v>
      </c>
      <c r="C2278" s="2" t="s">
        <v>79</v>
      </c>
      <c r="D2278" s="2" t="s">
        <v>74</v>
      </c>
      <c r="E2278" s="5">
        <v>-28066</v>
      </c>
      <c r="F2278" s="3" t="s">
        <v>19</v>
      </c>
      <c r="G2278" s="3" t="s">
        <v>20</v>
      </c>
      <c r="H2278" s="2" t="s">
        <v>21</v>
      </c>
      <c r="I2278" s="2" t="s">
        <v>4753</v>
      </c>
      <c r="J2278" s="3" t="str">
        <f>HYPERLINK("https://www.boe.es/gazeta/dias/1823/02/26/pdfs/GMD-1823-60.pdf#page=4","Abrir facsímil")</f>
        <v>Abrir facsímil</v>
      </c>
      <c r="K2278" s="3" t="s">
        <v>23</v>
      </c>
    </row>
    <row r="2279" spans="1:11" ht="42" customHeight="1">
      <c r="A2279" s="2" t="s">
        <v>4754</v>
      </c>
      <c r="B2279" s="2" t="s">
        <v>4755</v>
      </c>
      <c r="C2279" s="2" t="s">
        <v>73</v>
      </c>
      <c r="D2279" s="2" t="s">
        <v>74</v>
      </c>
      <c r="E2279" s="5">
        <v>-28106</v>
      </c>
      <c r="F2279" s="3" t="s">
        <v>280</v>
      </c>
      <c r="G2279" s="3" t="s">
        <v>20</v>
      </c>
      <c r="H2279" s="2" t="s">
        <v>21</v>
      </c>
      <c r="I2279" s="2" t="s">
        <v>4756</v>
      </c>
      <c r="J2279" s="3" t="str">
        <f>HYPERLINK("https://www.boe.es/gazeta/dias/1823/01/17/pdfs/GMD-1823-17.pdf#page=4","Abrir facsímil")</f>
        <v>Abrir facsímil</v>
      </c>
      <c r="K2279" s="3" t="s">
        <v>23</v>
      </c>
    </row>
    <row r="2280" spans="1:11" ht="42" customHeight="1">
      <c r="A2280" s="2" t="s">
        <v>4754</v>
      </c>
      <c r="B2280" s="2" t="s">
        <v>4755</v>
      </c>
      <c r="C2280" s="2" t="s">
        <v>17</v>
      </c>
      <c r="D2280" s="2" t="s">
        <v>18</v>
      </c>
      <c r="E2280" s="5">
        <v>-28078</v>
      </c>
      <c r="F2280" s="3" t="s">
        <v>508</v>
      </c>
      <c r="G2280" s="3" t="s">
        <v>59</v>
      </c>
      <c r="H2280" s="2" t="s">
        <v>21</v>
      </c>
      <c r="I2280" s="2" t="s">
        <v>4757</v>
      </c>
      <c r="J2280" s="3" t="str">
        <f>HYPERLINK("https://www.boe.es/gazeta/dias/1823/02/14/pdfs/GMD-1823-48.pdf#page=6","Abrir facsímil")</f>
        <v>Abrir facsímil</v>
      </c>
      <c r="K2280" s="3" t="s">
        <v>23</v>
      </c>
    </row>
    <row r="2281" spans="1:11" ht="42" customHeight="1">
      <c r="A2281" s="2" t="s">
        <v>4754</v>
      </c>
      <c r="B2281" s="2" t="s">
        <v>4755</v>
      </c>
      <c r="C2281" s="2" t="s">
        <v>79</v>
      </c>
      <c r="D2281" s="2" t="s">
        <v>74</v>
      </c>
      <c r="E2281" s="5">
        <v>-28076</v>
      </c>
      <c r="F2281" s="3" t="s">
        <v>1638</v>
      </c>
      <c r="G2281" s="3" t="s">
        <v>20</v>
      </c>
      <c r="H2281" s="2" t="s">
        <v>21</v>
      </c>
      <c r="I2281" s="2" t="s">
        <v>4758</v>
      </c>
      <c r="J2281" s="3" t="str">
        <f>HYPERLINK("https://www.boe.es/gazeta/dias/1823/02/16/pdfs/GMD-1823-50.pdf#page=4","Abrir facsímil")</f>
        <v>Abrir facsímil</v>
      </c>
      <c r="K2281" s="3" t="s">
        <v>23</v>
      </c>
    </row>
    <row r="2282" spans="1:11" ht="42" customHeight="1">
      <c r="A2282" s="2" t="s">
        <v>4754</v>
      </c>
      <c r="B2282" s="2" t="s">
        <v>4755</v>
      </c>
      <c r="C2282" s="2" t="s">
        <v>17</v>
      </c>
      <c r="D2282" s="2" t="s">
        <v>18</v>
      </c>
      <c r="E2282" s="5">
        <v>-28037</v>
      </c>
      <c r="F2282" s="3" t="s">
        <v>192</v>
      </c>
      <c r="G2282" s="3" t="s">
        <v>48</v>
      </c>
      <c r="H2282" s="2" t="s">
        <v>21</v>
      </c>
      <c r="I2282" s="2" t="s">
        <v>4759</v>
      </c>
      <c r="J2282" s="3" t="str">
        <f>HYPERLINK("https://www.boe.es/gazeta/dias/1823/03/27/pdfs/GMD-1823-90.pdf#page=3","Abrir facsímil")</f>
        <v>Abrir facsímil</v>
      </c>
      <c r="K2282" s="3" t="s">
        <v>23</v>
      </c>
    </row>
    <row r="2283" spans="1:11" ht="42" customHeight="1">
      <c r="A2283" s="2" t="s">
        <v>4760</v>
      </c>
      <c r="B2283" s="2" t="s">
        <v>4761</v>
      </c>
      <c r="C2283" s="2" t="s">
        <v>73</v>
      </c>
      <c r="D2283" s="2" t="s">
        <v>74</v>
      </c>
      <c r="E2283" s="5">
        <v>-28082</v>
      </c>
      <c r="F2283" s="3" t="s">
        <v>468</v>
      </c>
      <c r="G2283" s="3" t="s">
        <v>59</v>
      </c>
      <c r="H2283" s="2" t="s">
        <v>21</v>
      </c>
      <c r="I2283" s="2" t="s">
        <v>4762</v>
      </c>
      <c r="J2283" s="3" t="str">
        <f>HYPERLINK("https://www.boe.es/gazeta/dias/1823/02/10/pdfs/GMD-1823-44.pdf#page=6","Abrir facsímil")</f>
        <v>Abrir facsímil</v>
      </c>
      <c r="K2283" s="3" t="s">
        <v>23</v>
      </c>
    </row>
    <row r="2284" spans="1:11" ht="42" customHeight="1">
      <c r="A2284" s="2" t="s">
        <v>4760</v>
      </c>
      <c r="B2284" s="2" t="s">
        <v>4761</v>
      </c>
      <c r="C2284" s="2" t="s">
        <v>73</v>
      </c>
      <c r="D2284" s="2" t="s">
        <v>74</v>
      </c>
      <c r="E2284" s="5">
        <v>-28069</v>
      </c>
      <c r="F2284" s="3" t="s">
        <v>2006</v>
      </c>
      <c r="G2284" s="3" t="s">
        <v>20</v>
      </c>
      <c r="H2284" s="2" t="s">
        <v>21</v>
      </c>
      <c r="I2284" s="2" t="s">
        <v>4763</v>
      </c>
      <c r="J2284" s="3" t="str">
        <f>HYPERLINK("https://www.boe.es/gazeta/dias/1823/02/23/pdfs/GMD-1823-57.pdf#page=4","Abrir facsímil")</f>
        <v>Abrir facsímil</v>
      </c>
      <c r="K2284" s="3" t="s">
        <v>23</v>
      </c>
    </row>
    <row r="2285" spans="1:11" ht="42" customHeight="1">
      <c r="A2285" s="2" t="s">
        <v>4760</v>
      </c>
      <c r="B2285" s="2" t="s">
        <v>4761</v>
      </c>
      <c r="C2285" s="2" t="s">
        <v>17</v>
      </c>
      <c r="D2285" s="2" t="s">
        <v>18</v>
      </c>
      <c r="E2285" s="5">
        <v>-28043</v>
      </c>
      <c r="F2285" s="3" t="s">
        <v>69</v>
      </c>
      <c r="G2285" s="3" t="s">
        <v>59</v>
      </c>
      <c r="H2285" s="2" t="s">
        <v>21</v>
      </c>
      <c r="I2285" s="2" t="s">
        <v>4764</v>
      </c>
      <c r="J2285" s="3" t="str">
        <f>HYPERLINK("https://www.boe.es/gazeta/dias/1823/03/21/pdfs/GMD-1823-84.pdf#page=6","Abrir facsímil")</f>
        <v>Abrir facsímil</v>
      </c>
      <c r="K2285" s="3" t="s">
        <v>23</v>
      </c>
    </row>
    <row r="2286" spans="1:11" ht="42" customHeight="1">
      <c r="A2286" s="2" t="s">
        <v>4765</v>
      </c>
      <c r="B2286" s="2" t="s">
        <v>4766</v>
      </c>
      <c r="C2286" s="2" t="s">
        <v>109</v>
      </c>
      <c r="D2286" s="2" t="s">
        <v>74</v>
      </c>
      <c r="E2286" s="5">
        <v>-28048</v>
      </c>
      <c r="F2286" s="3" t="s">
        <v>399</v>
      </c>
      <c r="G2286" s="3" t="s">
        <v>59</v>
      </c>
      <c r="H2286" s="2" t="s">
        <v>21</v>
      </c>
      <c r="I2286" s="2" t="s">
        <v>4767</v>
      </c>
      <c r="J2286" s="3" t="str">
        <f>HYPERLINK("https://www.boe.es/gazeta/dias/1823/03/16/pdfs/GMD-1823-79.pdf#page=6","Abrir facsímil")</f>
        <v>Abrir facsímil</v>
      </c>
      <c r="K2286" s="3" t="s">
        <v>23</v>
      </c>
    </row>
    <row r="2287" spans="1:11" ht="42" customHeight="1">
      <c r="A2287" s="2" t="s">
        <v>4768</v>
      </c>
      <c r="B2287" s="2" t="s">
        <v>4769</v>
      </c>
      <c r="C2287" s="2" t="s">
        <v>17</v>
      </c>
      <c r="D2287" s="2" t="s">
        <v>18</v>
      </c>
      <c r="E2287" s="5">
        <v>-28007</v>
      </c>
      <c r="F2287" s="3" t="s">
        <v>311</v>
      </c>
      <c r="G2287" s="3" t="s">
        <v>1968</v>
      </c>
      <c r="H2287" s="2" t="s">
        <v>21</v>
      </c>
      <c r="I2287" s="2" t="s">
        <v>4770</v>
      </c>
      <c r="J2287" s="3" t="str">
        <f>HYPERLINK("https://www.boe.es/gazeta/dias/1823/04/26/pdfs/GES-1823-16.pdf#page=4","Abrir facsímil")</f>
        <v>Abrir facsímil</v>
      </c>
      <c r="K2287" s="3" t="s">
        <v>23</v>
      </c>
    </row>
    <row r="2288" spans="1:11" ht="42" customHeight="1">
      <c r="A2288" s="2" t="s">
        <v>4771</v>
      </c>
      <c r="B2288" s="2" t="s">
        <v>4772</v>
      </c>
      <c r="C2288" s="2" t="s">
        <v>17</v>
      </c>
      <c r="D2288" s="2" t="s">
        <v>18</v>
      </c>
      <c r="E2288" s="5">
        <v>-28006</v>
      </c>
      <c r="F2288" s="3" t="s">
        <v>183</v>
      </c>
      <c r="G2288" s="3" t="s">
        <v>27</v>
      </c>
      <c r="H2288" s="2" t="s">
        <v>21</v>
      </c>
      <c r="I2288" s="2" t="s">
        <v>4773</v>
      </c>
      <c r="J2288" s="3" t="str">
        <f>HYPERLINK("https://www.boe.es/gazeta/dias/1823/04/27/pdfs/GES-1823-17.pdf#page=2","Abrir facsímil")</f>
        <v>Abrir facsímil</v>
      </c>
      <c r="K2288" s="3" t="s">
        <v>23</v>
      </c>
    </row>
    <row r="2289" spans="1:11" ht="42" customHeight="1">
      <c r="A2289" s="2" t="s">
        <v>4774</v>
      </c>
      <c r="B2289" s="2" t="s">
        <v>4775</v>
      </c>
      <c r="C2289" s="2" t="s">
        <v>293</v>
      </c>
      <c r="D2289" s="2" t="s">
        <v>74</v>
      </c>
      <c r="E2289" s="5">
        <v>-28028</v>
      </c>
      <c r="F2289" s="3" t="s">
        <v>893</v>
      </c>
      <c r="G2289" s="3" t="s">
        <v>27</v>
      </c>
      <c r="H2289" s="2" t="s">
        <v>21</v>
      </c>
      <c r="I2289" s="2" t="s">
        <v>4776</v>
      </c>
      <c r="J2289" s="3" t="str">
        <f>HYPERLINK("https://www.boe.es/gazeta/dias/1823/04/05/pdfs/GMD-1823-99.pdf#page=2","Abrir facsímil")</f>
        <v>Abrir facsímil</v>
      </c>
      <c r="K2289" s="3" t="s">
        <v>23</v>
      </c>
    </row>
    <row r="2290" spans="1:11" ht="42" customHeight="1">
      <c r="A2290" s="2" t="s">
        <v>4777</v>
      </c>
      <c r="B2290" s="2" t="s">
        <v>4777</v>
      </c>
      <c r="C2290" s="2" t="s">
        <v>293</v>
      </c>
      <c r="D2290" s="2" t="s">
        <v>74</v>
      </c>
      <c r="E2290" s="5">
        <v>-28083</v>
      </c>
      <c r="F2290" s="3" t="s">
        <v>291</v>
      </c>
      <c r="G2290" s="3" t="s">
        <v>20</v>
      </c>
      <c r="H2290" s="2" t="s">
        <v>21</v>
      </c>
      <c r="I2290" s="2" t="s">
        <v>4778</v>
      </c>
      <c r="J2290" s="3" t="str">
        <f>HYPERLINK("https://www.boe.es/gazeta/dias/1823/02/09/pdfs/GMD-1823-43.pdf#page=4","Abrir facsímil")</f>
        <v>Abrir facsímil</v>
      </c>
      <c r="K2290" s="3" t="s">
        <v>23</v>
      </c>
    </row>
    <row r="2291" spans="1:11" ht="42" customHeight="1">
      <c r="A2291" s="2" t="s">
        <v>4779</v>
      </c>
      <c r="B2291" s="2" t="s">
        <v>4779</v>
      </c>
      <c r="C2291" s="2" t="s">
        <v>17</v>
      </c>
      <c r="D2291" s="2" t="s">
        <v>117</v>
      </c>
      <c r="E2291" s="5">
        <v>-28092</v>
      </c>
      <c r="F2291" s="3" t="s">
        <v>156</v>
      </c>
      <c r="G2291" s="3" t="s">
        <v>39</v>
      </c>
      <c r="H2291" s="2" t="s">
        <v>21</v>
      </c>
      <c r="I2291" s="2" t="s">
        <v>4780</v>
      </c>
      <c r="J2291" s="3" t="str">
        <f>HYPERLINK("https://www.boe.es/gazeta/dias/1823/01/31/pdfs/GMD-1823-33E.pdf#page=1","Abrir facsímil")</f>
        <v>Abrir facsímil</v>
      </c>
      <c r="K2291" s="3" t="s">
        <v>23</v>
      </c>
    </row>
    <row r="2292" spans="1:11" ht="42" customHeight="1">
      <c r="A2292" s="2" t="s">
        <v>4781</v>
      </c>
      <c r="B2292" s="2" t="s">
        <v>4782</v>
      </c>
      <c r="C2292" s="2" t="s">
        <v>17</v>
      </c>
      <c r="D2292" s="2" t="s">
        <v>18</v>
      </c>
      <c r="E2292" s="5">
        <v>-27834</v>
      </c>
      <c r="F2292" s="3" t="s">
        <v>188</v>
      </c>
      <c r="G2292" s="3" t="s">
        <v>39</v>
      </c>
      <c r="H2292" s="2" t="s">
        <v>21</v>
      </c>
      <c r="I2292" s="2" t="s">
        <v>4783</v>
      </c>
      <c r="J2292" s="3" t="str">
        <f>HYPERLINK("https://www.boe.es/gazeta/dias/1823/10/16/pdfs/GMD-1823-983.pdf#page=1","Abrir facsímil")</f>
        <v>Abrir facsímil</v>
      </c>
      <c r="K2292" s="3" t="s">
        <v>23</v>
      </c>
    </row>
    <row r="2293" spans="1:11" ht="42" customHeight="1">
      <c r="A2293" s="2" t="s">
        <v>4781</v>
      </c>
      <c r="B2293" s="2" t="s">
        <v>4782</v>
      </c>
      <c r="C2293" s="2" t="s">
        <v>17</v>
      </c>
      <c r="D2293" s="2" t="s">
        <v>18</v>
      </c>
      <c r="E2293" s="5">
        <v>-27834</v>
      </c>
      <c r="F2293" s="3" t="s">
        <v>188</v>
      </c>
      <c r="G2293" s="3" t="s">
        <v>27</v>
      </c>
      <c r="H2293" s="2" t="s">
        <v>21</v>
      </c>
      <c r="I2293" s="2" t="s">
        <v>4784</v>
      </c>
      <c r="J2293" s="3" t="str">
        <f>HYPERLINK("https://www.boe.es/gazeta/dias/1823/10/16/pdfs/GMD-1823-983.pdf#page=2","Abrir facsímil")</f>
        <v>Abrir facsímil</v>
      </c>
      <c r="K2293" s="3" t="s">
        <v>23</v>
      </c>
    </row>
    <row r="2294" spans="1:11" ht="42" customHeight="1">
      <c r="A2294" s="2" t="s">
        <v>4785</v>
      </c>
      <c r="B2294" s="2" t="s">
        <v>4786</v>
      </c>
      <c r="C2294" s="2" t="s">
        <v>17</v>
      </c>
      <c r="D2294" s="2" t="s">
        <v>18</v>
      </c>
      <c r="E2294" s="5">
        <v>-27963</v>
      </c>
      <c r="F2294" s="3" t="s">
        <v>344</v>
      </c>
      <c r="G2294" s="3" t="s">
        <v>20</v>
      </c>
      <c r="H2294" s="2" t="s">
        <v>21</v>
      </c>
      <c r="I2294" s="2" t="s">
        <v>4787</v>
      </c>
      <c r="J2294" s="3" t="str">
        <f>HYPERLINK("https://www.boe.es/gazeta/dias/1823/06/09/pdfs/GES-1823-63.pdf#page=4","Abrir facsímil")</f>
        <v>Abrir facsímil</v>
      </c>
      <c r="K2294" s="3" t="s">
        <v>23</v>
      </c>
    </row>
    <row r="2295" spans="1:11" ht="42" customHeight="1">
      <c r="A2295" s="2" t="s">
        <v>4788</v>
      </c>
      <c r="B2295" s="2" t="s">
        <v>4788</v>
      </c>
      <c r="C2295" s="2" t="s">
        <v>79</v>
      </c>
      <c r="D2295" s="2" t="s">
        <v>74</v>
      </c>
      <c r="E2295" s="5">
        <v>-28031</v>
      </c>
      <c r="F2295" s="3" t="s">
        <v>1211</v>
      </c>
      <c r="G2295" s="3" t="s">
        <v>20</v>
      </c>
      <c r="H2295" s="2" t="s">
        <v>21</v>
      </c>
      <c r="I2295" s="2" t="s">
        <v>4789</v>
      </c>
      <c r="J2295" s="3" t="str">
        <f>HYPERLINK("https://www.boe.es/gazeta/dias/1823/04/02/pdfs/GMD-1823-96.pdf#page=4","Abrir facsímil")</f>
        <v>Abrir facsímil</v>
      </c>
      <c r="K2295" s="3" t="s">
        <v>23</v>
      </c>
    </row>
    <row r="2296" spans="1:11" ht="42" customHeight="1">
      <c r="A2296" s="2" t="s">
        <v>4788</v>
      </c>
      <c r="B2296" s="2" t="s">
        <v>4788</v>
      </c>
      <c r="C2296" s="2" t="s">
        <v>293</v>
      </c>
      <c r="D2296" s="2" t="s">
        <v>74</v>
      </c>
      <c r="E2296" s="5">
        <v>-28002</v>
      </c>
      <c r="F2296" s="3" t="s">
        <v>315</v>
      </c>
      <c r="G2296" s="3" t="s">
        <v>39</v>
      </c>
      <c r="H2296" s="2" t="s">
        <v>21</v>
      </c>
      <c r="I2296" s="2" t="s">
        <v>4790</v>
      </c>
      <c r="J2296" s="3" t="str">
        <f>HYPERLINK("https://www.boe.es/gazeta/dias/1823/05/01/pdfs/GES-1823-21.pdf#page=1","Abrir facsímil")</f>
        <v>Abrir facsímil</v>
      </c>
      <c r="K2296" s="3" t="s">
        <v>23</v>
      </c>
    </row>
    <row r="2297" spans="1:11" ht="42" customHeight="1">
      <c r="A2297" s="2" t="s">
        <v>4788</v>
      </c>
      <c r="B2297" s="2" t="s">
        <v>4788</v>
      </c>
      <c r="C2297" s="2" t="s">
        <v>73</v>
      </c>
      <c r="D2297" s="2" t="s">
        <v>74</v>
      </c>
      <c r="E2297" s="5">
        <v>-27992</v>
      </c>
      <c r="F2297" s="3" t="s">
        <v>565</v>
      </c>
      <c r="G2297" s="3" t="s">
        <v>48</v>
      </c>
      <c r="H2297" s="2" t="s">
        <v>21</v>
      </c>
      <c r="I2297" s="2" t="s">
        <v>4791</v>
      </c>
      <c r="J2297" s="3" t="str">
        <f>HYPERLINK("https://www.boe.es/gazeta/dias/1823/05/11/pdfs/GES-1823-31.pdf#page=3","Abrir facsímil")</f>
        <v>Abrir facsímil</v>
      </c>
      <c r="K2297" s="3" t="s">
        <v>23</v>
      </c>
    </row>
    <row r="2298" spans="1:11" ht="42" customHeight="1">
      <c r="A2298" s="2" t="s">
        <v>4792</v>
      </c>
      <c r="B2298" s="2" t="s">
        <v>4793</v>
      </c>
      <c r="C2298" s="2" t="s">
        <v>84</v>
      </c>
      <c r="D2298" s="2" t="s">
        <v>74</v>
      </c>
      <c r="E2298" s="5">
        <v>-27920</v>
      </c>
      <c r="F2298" s="3" t="s">
        <v>1334</v>
      </c>
      <c r="G2298" s="3" t="s">
        <v>715</v>
      </c>
      <c r="H2298" s="2" t="s">
        <v>21</v>
      </c>
      <c r="I2298" s="2" t="s">
        <v>4794</v>
      </c>
      <c r="J2298" s="3" t="str">
        <f>HYPERLINK("https://www.boe.es/gazeta/dias/1823/07/22/pdfs/GMD-1823-443.pdf#page=8","Abrir facsímil")</f>
        <v>Abrir facsímil</v>
      </c>
      <c r="K2298" s="3" t="s">
        <v>23</v>
      </c>
    </row>
    <row r="2299" spans="1:11" ht="42" customHeight="1">
      <c r="A2299" s="2" t="s">
        <v>4795</v>
      </c>
      <c r="B2299" s="2" t="s">
        <v>4795</v>
      </c>
      <c r="C2299" s="2" t="s">
        <v>84</v>
      </c>
      <c r="D2299" s="2" t="s">
        <v>74</v>
      </c>
      <c r="E2299" s="5">
        <v>-27980</v>
      </c>
      <c r="F2299" s="3" t="s">
        <v>1068</v>
      </c>
      <c r="G2299" s="3" t="s">
        <v>34</v>
      </c>
      <c r="H2299" s="2" t="s">
        <v>21</v>
      </c>
      <c r="I2299" s="2" t="s">
        <v>4796</v>
      </c>
      <c r="J2299" s="3" t="str">
        <f>HYPERLINK("https://www.boe.es/gazeta/dias/1823/05/23/pdfs/GES-1823-44.pdf#page=5","Abrir facsímil")</f>
        <v>Abrir facsímil</v>
      </c>
      <c r="K2299" s="3" t="s">
        <v>23</v>
      </c>
    </row>
    <row r="2300" spans="1:11" ht="42" customHeight="1">
      <c r="A2300" s="2" t="s">
        <v>4797</v>
      </c>
      <c r="B2300" s="2" t="s">
        <v>4797</v>
      </c>
      <c r="C2300" s="2" t="s">
        <v>17</v>
      </c>
      <c r="D2300" s="2" t="s">
        <v>18</v>
      </c>
      <c r="E2300" s="5">
        <v>-28017</v>
      </c>
      <c r="F2300" s="3" t="s">
        <v>2912</v>
      </c>
      <c r="G2300" s="3" t="s">
        <v>20</v>
      </c>
      <c r="H2300" s="2" t="s">
        <v>21</v>
      </c>
      <c r="I2300" s="2" t="s">
        <v>4798</v>
      </c>
      <c r="J2300" s="3" t="str">
        <f>HYPERLINK("https://www.boe.es/gazeta/dias/1823/04/16/pdfs/GES-1823-6.pdf#page=4","Abrir facsímil")</f>
        <v>Abrir facsímil</v>
      </c>
      <c r="K2300" s="3" t="s">
        <v>23</v>
      </c>
    </row>
    <row r="2301" spans="1:11" ht="42" customHeight="1">
      <c r="A2301" s="2" t="s">
        <v>4799</v>
      </c>
      <c r="B2301" s="2" t="s">
        <v>4800</v>
      </c>
      <c r="C2301" s="2" t="s">
        <v>17</v>
      </c>
      <c r="D2301" s="2" t="s">
        <v>18</v>
      </c>
      <c r="E2301" s="5">
        <v>-28076</v>
      </c>
      <c r="F2301" s="3" t="s">
        <v>1638</v>
      </c>
      <c r="G2301" s="3" t="s">
        <v>59</v>
      </c>
      <c r="H2301" s="2" t="s">
        <v>28</v>
      </c>
      <c r="I2301" s="2" t="s">
        <v>4801</v>
      </c>
      <c r="J2301" s="3" t="str">
        <f>HYPERLINK("https://www.boe.es/gazeta/dias/1823/02/16/pdfs/GMD-1823-50.pdf#page=6","Abrir facsímil")</f>
        <v>Abrir facsímil</v>
      </c>
      <c r="K2301" s="3" t="s">
        <v>30</v>
      </c>
    </row>
    <row r="2302" spans="1:11" ht="42" customHeight="1">
      <c r="A2302" s="2" t="s">
        <v>4802</v>
      </c>
      <c r="B2302" s="2" t="s">
        <v>4802</v>
      </c>
      <c r="C2302" s="2" t="s">
        <v>79</v>
      </c>
      <c r="D2302" s="2" t="s">
        <v>74</v>
      </c>
      <c r="E2302" s="5">
        <v>-28121</v>
      </c>
      <c r="F2302" s="3" t="s">
        <v>575</v>
      </c>
      <c r="G2302" s="3" t="s">
        <v>39</v>
      </c>
      <c r="H2302" s="2" t="s">
        <v>21</v>
      </c>
      <c r="I2302" s="2" t="s">
        <v>4803</v>
      </c>
      <c r="J2302" s="3" t="str">
        <f>HYPERLINK("https://www.boe.es/gazeta/dias/1823/01/02/pdfs/GMD-1823-2.pdf#page=1","Abrir facsímil")</f>
        <v>Abrir facsímil</v>
      </c>
      <c r="K2302" s="3" t="s">
        <v>23</v>
      </c>
    </row>
    <row r="2303" spans="1:11" ht="42" customHeight="1">
      <c r="A2303" s="2" t="s">
        <v>4802</v>
      </c>
      <c r="B2303" s="2" t="s">
        <v>4802</v>
      </c>
      <c r="C2303" s="2" t="s">
        <v>109</v>
      </c>
      <c r="D2303" s="2" t="s">
        <v>74</v>
      </c>
      <c r="E2303" s="5">
        <v>-28118</v>
      </c>
      <c r="F2303" s="3" t="s">
        <v>252</v>
      </c>
      <c r="G2303" s="3" t="s">
        <v>48</v>
      </c>
      <c r="H2303" s="2" t="s">
        <v>21</v>
      </c>
      <c r="I2303" s="2" t="s">
        <v>4804</v>
      </c>
      <c r="J2303" s="3" t="str">
        <f>HYPERLINK("https://www.boe.es/gazeta/dias/1823/01/05/pdfs/GMD-1823-5.pdf#page=3","Abrir facsímil")</f>
        <v>Abrir facsímil</v>
      </c>
      <c r="K2303" s="3" t="s">
        <v>23</v>
      </c>
    </row>
    <row r="2304" spans="1:11" ht="42" customHeight="1">
      <c r="A2304" s="2" t="s">
        <v>4802</v>
      </c>
      <c r="B2304" s="2" t="s">
        <v>4802</v>
      </c>
      <c r="C2304" s="2" t="s">
        <v>17</v>
      </c>
      <c r="D2304" s="2" t="s">
        <v>117</v>
      </c>
      <c r="E2304" s="5">
        <v>-28092</v>
      </c>
      <c r="F2304" s="3" t="s">
        <v>156</v>
      </c>
      <c r="G2304" s="3" t="s">
        <v>39</v>
      </c>
      <c r="H2304" s="2" t="s">
        <v>21</v>
      </c>
      <c r="I2304" s="2" t="s">
        <v>4805</v>
      </c>
      <c r="J2304" s="3" t="str">
        <f>HYPERLINK("https://www.boe.es/gazeta/dias/1823/01/31/pdfs/GMD-1823-33E.pdf#page=1","Abrir facsímil")</f>
        <v>Abrir facsímil</v>
      </c>
      <c r="K2304" s="3" t="s">
        <v>23</v>
      </c>
    </row>
    <row r="2305" spans="1:11" ht="42" customHeight="1">
      <c r="A2305" s="2" t="s">
        <v>4802</v>
      </c>
      <c r="B2305" s="2" t="s">
        <v>4802</v>
      </c>
      <c r="C2305" s="2" t="s">
        <v>79</v>
      </c>
      <c r="D2305" s="2" t="s">
        <v>74</v>
      </c>
      <c r="E2305" s="5">
        <v>-28091</v>
      </c>
      <c r="F2305" s="3" t="s">
        <v>1047</v>
      </c>
      <c r="G2305" s="3" t="s">
        <v>48</v>
      </c>
      <c r="H2305" s="2" t="s">
        <v>21</v>
      </c>
      <c r="I2305" s="2" t="s">
        <v>4806</v>
      </c>
      <c r="J2305" s="3" t="str">
        <f>HYPERLINK("https://www.boe.es/gazeta/dias/1823/02/01/pdfs/GMD-1823-34.pdf#page=3","Abrir facsímil")</f>
        <v>Abrir facsímil</v>
      </c>
      <c r="K2305" s="3" t="s">
        <v>23</v>
      </c>
    </row>
    <row r="2306" spans="1:11" ht="42" customHeight="1">
      <c r="A2306" s="2" t="s">
        <v>4802</v>
      </c>
      <c r="B2306" s="2" t="s">
        <v>4802</v>
      </c>
      <c r="C2306" s="2" t="s">
        <v>17</v>
      </c>
      <c r="D2306" s="2" t="s">
        <v>18</v>
      </c>
      <c r="E2306" s="5">
        <v>-28089</v>
      </c>
      <c r="F2306" s="3" t="s">
        <v>1979</v>
      </c>
      <c r="G2306" s="3" t="s">
        <v>59</v>
      </c>
      <c r="H2306" s="2" t="s">
        <v>21</v>
      </c>
      <c r="I2306" s="2" t="s">
        <v>4807</v>
      </c>
      <c r="J2306" s="3" t="str">
        <f>HYPERLINK("https://www.boe.es/gazeta/dias/1823/02/03/pdfs/GMD-1823-36.pdf#page=6","Abrir facsímil")</f>
        <v>Abrir facsímil</v>
      </c>
      <c r="K2306" s="3" t="s">
        <v>23</v>
      </c>
    </row>
    <row r="2307" spans="1:11" ht="42" customHeight="1">
      <c r="A2307" s="2" t="s">
        <v>4802</v>
      </c>
      <c r="B2307" s="2" t="s">
        <v>4802</v>
      </c>
      <c r="C2307" s="2" t="s">
        <v>17</v>
      </c>
      <c r="D2307" s="2" t="s">
        <v>18</v>
      </c>
      <c r="E2307" s="5">
        <v>-28071</v>
      </c>
      <c r="F2307" s="3" t="s">
        <v>587</v>
      </c>
      <c r="G2307" s="3" t="s">
        <v>20</v>
      </c>
      <c r="H2307" s="2" t="s">
        <v>21</v>
      </c>
      <c r="I2307" s="2" t="s">
        <v>4808</v>
      </c>
      <c r="J2307" s="3" t="str">
        <f>HYPERLINK("https://www.boe.es/gazeta/dias/1823/02/21/pdfs/GMD-1823-55.pdf#page=4","Abrir facsímil")</f>
        <v>Abrir facsímil</v>
      </c>
      <c r="K2307" s="3" t="s">
        <v>23</v>
      </c>
    </row>
    <row r="2308" spans="1:11" ht="42" customHeight="1">
      <c r="A2308" s="2" t="s">
        <v>4802</v>
      </c>
      <c r="B2308" s="2" t="s">
        <v>4802</v>
      </c>
      <c r="C2308" s="2" t="s">
        <v>17</v>
      </c>
      <c r="D2308" s="2" t="s">
        <v>18</v>
      </c>
      <c r="E2308" s="5">
        <v>-28058</v>
      </c>
      <c r="F2308" s="3" t="s">
        <v>1282</v>
      </c>
      <c r="G2308" s="3" t="s">
        <v>59</v>
      </c>
      <c r="H2308" s="2" t="s">
        <v>21</v>
      </c>
      <c r="I2308" s="2" t="s">
        <v>4809</v>
      </c>
      <c r="J2308" s="3" t="str">
        <f>HYPERLINK("https://www.boe.es/gazeta/dias/1823/03/06/pdfs/GMD-1823-69.pdf#page=6","Abrir facsímil")</f>
        <v>Abrir facsímil</v>
      </c>
      <c r="K2308" s="3" t="s">
        <v>23</v>
      </c>
    </row>
    <row r="2309" spans="1:11" ht="42" customHeight="1">
      <c r="A2309" s="2" t="s">
        <v>4802</v>
      </c>
      <c r="B2309" s="2" t="s">
        <v>4802</v>
      </c>
      <c r="C2309" s="2" t="s">
        <v>17</v>
      </c>
      <c r="D2309" s="2" t="s">
        <v>18</v>
      </c>
      <c r="E2309" s="5">
        <v>-28053</v>
      </c>
      <c r="F2309" s="3" t="s">
        <v>303</v>
      </c>
      <c r="G2309" s="3" t="s">
        <v>39</v>
      </c>
      <c r="H2309" s="2" t="s">
        <v>21</v>
      </c>
      <c r="I2309" s="2" t="s">
        <v>4810</v>
      </c>
      <c r="J2309" s="3" t="str">
        <f>HYPERLINK("https://www.boe.es/gazeta/dias/1823/03/11/pdfs/GMD-1823-74.pdf#page=1","Abrir facsímil")</f>
        <v>Abrir facsímil</v>
      </c>
      <c r="K2309" s="3" t="s">
        <v>23</v>
      </c>
    </row>
    <row r="2310" spans="1:11" ht="42" customHeight="1">
      <c r="A2310" s="2" t="s">
        <v>4811</v>
      </c>
      <c r="B2310" s="2" t="s">
        <v>4811</v>
      </c>
      <c r="C2310" s="2" t="s">
        <v>56</v>
      </c>
      <c r="D2310" s="2" t="s">
        <v>57</v>
      </c>
      <c r="E2310" s="5">
        <v>-28051</v>
      </c>
      <c r="F2310" s="3" t="s">
        <v>305</v>
      </c>
      <c r="G2310" s="3" t="s">
        <v>39</v>
      </c>
      <c r="H2310" s="2" t="s">
        <v>21</v>
      </c>
      <c r="I2310" s="2" t="s">
        <v>4812</v>
      </c>
      <c r="J2310" s="3" t="str">
        <f>HYPERLINK("https://www.boe.es/gazeta/dias/1823/03/13/pdfs/GMD-1823-76.pdf#page=1","Abrir facsímil")</f>
        <v>Abrir facsímil</v>
      </c>
      <c r="K2310" s="3" t="s">
        <v>23</v>
      </c>
    </row>
    <row r="2311" spans="1:11" ht="42" customHeight="1">
      <c r="A2311" s="2" t="s">
        <v>4802</v>
      </c>
      <c r="B2311" s="2" t="s">
        <v>4802</v>
      </c>
      <c r="C2311" s="2" t="s">
        <v>79</v>
      </c>
      <c r="D2311" s="2" t="s">
        <v>74</v>
      </c>
      <c r="E2311" s="5">
        <v>-28021</v>
      </c>
      <c r="F2311" s="3" t="s">
        <v>1054</v>
      </c>
      <c r="G2311" s="3" t="s">
        <v>1055</v>
      </c>
      <c r="H2311" s="2" t="s">
        <v>21</v>
      </c>
      <c r="I2311" s="2" t="s">
        <v>4813</v>
      </c>
      <c r="J2311" s="3" t="str">
        <f>HYPERLINK("https://www.boe.es/gazeta/dias/1823/04/12/pdfs/GMD-1823-107.pdf#page=4","Abrir facsímil")</f>
        <v>Abrir facsímil</v>
      </c>
      <c r="K2311" s="3" t="s">
        <v>23</v>
      </c>
    </row>
    <row r="2312" spans="1:11" ht="42" customHeight="1">
      <c r="A2312" s="2" t="s">
        <v>4802</v>
      </c>
      <c r="B2312" s="2" t="s">
        <v>4802</v>
      </c>
      <c r="C2312" s="2" t="s">
        <v>17</v>
      </c>
      <c r="D2312" s="2" t="s">
        <v>18</v>
      </c>
      <c r="E2312" s="5">
        <v>-28018</v>
      </c>
      <c r="F2312" s="3" t="s">
        <v>2613</v>
      </c>
      <c r="G2312" s="3" t="s">
        <v>20</v>
      </c>
      <c r="H2312" s="2" t="s">
        <v>21</v>
      </c>
      <c r="I2312" s="2" t="s">
        <v>4814</v>
      </c>
      <c r="J2312" s="3" t="str">
        <f>HYPERLINK("https://www.boe.es/gazeta/dias/1823/04/15/pdfs/GES-1823-5.pdf#page=4","Abrir facsímil")</f>
        <v>Abrir facsímil</v>
      </c>
      <c r="K2312" s="3" t="s">
        <v>23</v>
      </c>
    </row>
    <row r="2313" spans="1:11" ht="42" customHeight="1">
      <c r="A2313" s="2" t="s">
        <v>4802</v>
      </c>
      <c r="B2313" s="2" t="s">
        <v>4802</v>
      </c>
      <c r="C2313" s="2" t="s">
        <v>17</v>
      </c>
      <c r="D2313" s="2" t="s">
        <v>18</v>
      </c>
      <c r="E2313" s="5">
        <v>-28017</v>
      </c>
      <c r="F2313" s="3" t="s">
        <v>2912</v>
      </c>
      <c r="G2313" s="3" t="s">
        <v>20</v>
      </c>
      <c r="H2313" s="2" t="s">
        <v>21</v>
      </c>
      <c r="I2313" s="2" t="s">
        <v>4815</v>
      </c>
      <c r="J2313" s="3" t="str">
        <f>HYPERLINK("https://www.boe.es/gazeta/dias/1823/04/16/pdfs/GES-1823-6.pdf#page=4","Abrir facsímil")</f>
        <v>Abrir facsímil</v>
      </c>
      <c r="K2313" s="3" t="s">
        <v>23</v>
      </c>
    </row>
    <row r="2314" spans="1:11" ht="42" customHeight="1">
      <c r="A2314" s="2" t="s">
        <v>4802</v>
      </c>
      <c r="B2314" s="2" t="s">
        <v>4802</v>
      </c>
      <c r="C2314" s="2" t="s">
        <v>17</v>
      </c>
      <c r="D2314" s="2" t="s">
        <v>18</v>
      </c>
      <c r="E2314" s="5">
        <v>-28016</v>
      </c>
      <c r="F2314" s="3" t="s">
        <v>2259</v>
      </c>
      <c r="G2314" s="3" t="s">
        <v>20</v>
      </c>
      <c r="H2314" s="2" t="s">
        <v>21</v>
      </c>
      <c r="I2314" s="2" t="s">
        <v>4816</v>
      </c>
      <c r="J2314" s="3" t="str">
        <f>HYPERLINK("https://www.boe.es/gazeta/dias/1823/04/17/pdfs/GES-1823-7.pdf#page=4","Abrir facsímil")</f>
        <v>Abrir facsímil</v>
      </c>
      <c r="K2314" s="3" t="s">
        <v>23</v>
      </c>
    </row>
    <row r="2315" spans="1:11" ht="42" customHeight="1">
      <c r="A2315" s="2" t="s">
        <v>4802</v>
      </c>
      <c r="B2315" s="2" t="s">
        <v>4802</v>
      </c>
      <c r="C2315" s="2" t="s">
        <v>17</v>
      </c>
      <c r="D2315" s="2" t="s">
        <v>18</v>
      </c>
      <c r="E2315" s="5">
        <v>-28015</v>
      </c>
      <c r="F2315" s="3" t="s">
        <v>985</v>
      </c>
      <c r="G2315" s="3" t="s">
        <v>20</v>
      </c>
      <c r="H2315" s="2" t="s">
        <v>21</v>
      </c>
      <c r="I2315" s="2" t="s">
        <v>4817</v>
      </c>
      <c r="J2315" s="3" t="str">
        <f>HYPERLINK("https://www.boe.es/gazeta/dias/1823/04/18/pdfs/GES-1823-8.pdf#page=4","Abrir facsímil")</f>
        <v>Abrir facsímil</v>
      </c>
      <c r="K2315" s="3" t="s">
        <v>23</v>
      </c>
    </row>
    <row r="2316" spans="1:11" ht="42" customHeight="1">
      <c r="A2316" s="2" t="s">
        <v>4802</v>
      </c>
      <c r="B2316" s="2" t="s">
        <v>4802</v>
      </c>
      <c r="C2316" s="2" t="s">
        <v>17</v>
      </c>
      <c r="D2316" s="2" t="s">
        <v>18</v>
      </c>
      <c r="E2316" s="5">
        <v>-28013</v>
      </c>
      <c r="F2316" s="3" t="s">
        <v>2466</v>
      </c>
      <c r="G2316" s="3" t="s">
        <v>4093</v>
      </c>
      <c r="H2316" s="2" t="s">
        <v>21</v>
      </c>
      <c r="I2316" s="2" t="s">
        <v>4818</v>
      </c>
      <c r="J2316" s="3" t="str">
        <f>HYPERLINK("https://www.boe.es/gazeta/dias/1823/04/20/pdfs/GES-1823-10.pdf#page=4","Abrir facsímil")</f>
        <v>Abrir facsímil</v>
      </c>
      <c r="K2316" s="3" t="s">
        <v>23</v>
      </c>
    </row>
    <row r="2317" spans="1:11" ht="42" customHeight="1">
      <c r="A2317" s="2" t="s">
        <v>4802</v>
      </c>
      <c r="B2317" s="2" t="s">
        <v>4802</v>
      </c>
      <c r="C2317" s="2" t="s">
        <v>17</v>
      </c>
      <c r="D2317" s="2" t="s">
        <v>18</v>
      </c>
      <c r="E2317" s="5">
        <v>-28009</v>
      </c>
      <c r="F2317" s="3" t="s">
        <v>307</v>
      </c>
      <c r="G2317" s="3" t="s">
        <v>59</v>
      </c>
      <c r="H2317" s="2" t="s">
        <v>21</v>
      </c>
      <c r="I2317" s="2" t="s">
        <v>4819</v>
      </c>
      <c r="J2317" s="3" t="str">
        <f>HYPERLINK("https://www.boe.es/gazeta/dias/1823/04/24/pdfs/GES-1823-14.pdf#page=6","Abrir facsímil")</f>
        <v>Abrir facsímil</v>
      </c>
      <c r="K2317" s="3" t="s">
        <v>23</v>
      </c>
    </row>
    <row r="2318" spans="1:11" ht="42" customHeight="1">
      <c r="A2318" s="2" t="s">
        <v>4802</v>
      </c>
      <c r="B2318" s="2" t="s">
        <v>4802</v>
      </c>
      <c r="C2318" s="2" t="s">
        <v>17</v>
      </c>
      <c r="D2318" s="2" t="s">
        <v>18</v>
      </c>
      <c r="E2318" s="5">
        <v>-28008</v>
      </c>
      <c r="F2318" s="3" t="s">
        <v>309</v>
      </c>
      <c r="G2318" s="3" t="s">
        <v>20</v>
      </c>
      <c r="H2318" s="2" t="s">
        <v>21</v>
      </c>
      <c r="I2318" s="2" t="s">
        <v>4820</v>
      </c>
      <c r="J2318" s="3" t="str">
        <f>HYPERLINK("https://www.boe.es/gazeta/dias/1823/04/25/pdfs/GES-1823-15.pdf#page=4","Abrir facsímil")</f>
        <v>Abrir facsímil</v>
      </c>
      <c r="K2318" s="3" t="s">
        <v>23</v>
      </c>
    </row>
    <row r="2319" spans="1:11" ht="42" customHeight="1">
      <c r="A2319" s="2" t="s">
        <v>4802</v>
      </c>
      <c r="B2319" s="2" t="s">
        <v>4802</v>
      </c>
      <c r="C2319" s="2" t="s">
        <v>17</v>
      </c>
      <c r="D2319" s="2" t="s">
        <v>18</v>
      </c>
      <c r="E2319" s="5">
        <v>-28007</v>
      </c>
      <c r="F2319" s="3" t="s">
        <v>311</v>
      </c>
      <c r="G2319" s="3" t="s">
        <v>48</v>
      </c>
      <c r="H2319" s="2" t="s">
        <v>21</v>
      </c>
      <c r="I2319" s="2" t="s">
        <v>4821</v>
      </c>
      <c r="J2319" s="3" t="str">
        <f>HYPERLINK("https://www.boe.es/gazeta/dias/1823/04/26/pdfs/GES-1823-16.pdf#page=3","Abrir facsímil")</f>
        <v>Abrir facsímil</v>
      </c>
      <c r="K2319" s="3" t="s">
        <v>23</v>
      </c>
    </row>
    <row r="2320" spans="1:11" ht="42" customHeight="1">
      <c r="A2320" s="2" t="s">
        <v>4802</v>
      </c>
      <c r="B2320" s="2" t="s">
        <v>4802</v>
      </c>
      <c r="C2320" s="2" t="s">
        <v>79</v>
      </c>
      <c r="D2320" s="2" t="s">
        <v>74</v>
      </c>
      <c r="E2320" s="5">
        <v>-28005</v>
      </c>
      <c r="F2320" s="3" t="s">
        <v>1648</v>
      </c>
      <c r="G2320" s="3" t="s">
        <v>20</v>
      </c>
      <c r="H2320" s="2" t="s">
        <v>21</v>
      </c>
      <c r="I2320" s="2" t="s">
        <v>4822</v>
      </c>
      <c r="J2320" s="3" t="str">
        <f>HYPERLINK("https://www.boe.es/gazeta/dias/1823/04/28/pdfs/GES-1823-18.pdf#page=4","Abrir facsímil")</f>
        <v>Abrir facsímil</v>
      </c>
      <c r="K2320" s="3" t="s">
        <v>23</v>
      </c>
    </row>
    <row r="2321" spans="1:11" ht="42" customHeight="1">
      <c r="A2321" s="2" t="s">
        <v>4802</v>
      </c>
      <c r="B2321" s="2" t="s">
        <v>4802</v>
      </c>
      <c r="C2321" s="2" t="s">
        <v>17</v>
      </c>
      <c r="D2321" s="2" t="s">
        <v>18</v>
      </c>
      <c r="E2321" s="5">
        <v>-28004</v>
      </c>
      <c r="F2321" s="3" t="s">
        <v>33</v>
      </c>
      <c r="G2321" s="3" t="s">
        <v>34</v>
      </c>
      <c r="H2321" s="2" t="s">
        <v>21</v>
      </c>
      <c r="I2321" s="2" t="s">
        <v>4823</v>
      </c>
      <c r="J2321" s="3" t="str">
        <f>HYPERLINK("https://www.boe.es/gazeta/dias/1823/04/29/pdfs/GES-1823-19.pdf#page=5","Abrir facsímil")</f>
        <v>Abrir facsímil</v>
      </c>
      <c r="K2321" s="3" t="s">
        <v>23</v>
      </c>
    </row>
    <row r="2322" spans="1:11" ht="42" customHeight="1">
      <c r="A2322" s="2" t="s">
        <v>4802</v>
      </c>
      <c r="B2322" s="2" t="s">
        <v>4802</v>
      </c>
      <c r="C2322" s="2" t="s">
        <v>17</v>
      </c>
      <c r="D2322" s="2" t="s">
        <v>18</v>
      </c>
      <c r="E2322" s="5">
        <v>-28001</v>
      </c>
      <c r="F2322" s="3" t="s">
        <v>768</v>
      </c>
      <c r="G2322" s="3" t="s">
        <v>34</v>
      </c>
      <c r="H2322" s="2" t="s">
        <v>21</v>
      </c>
      <c r="I2322" s="2" t="s">
        <v>4824</v>
      </c>
      <c r="J2322" s="3" t="str">
        <f>HYPERLINK("https://www.boe.es/gazeta/dias/1823/05/02/pdfs/GES-1823-22.pdf#page=5","Abrir facsímil")</f>
        <v>Abrir facsímil</v>
      </c>
      <c r="K2322" s="3" t="s">
        <v>23</v>
      </c>
    </row>
    <row r="2323" spans="1:11" ht="42" customHeight="1">
      <c r="A2323" s="2" t="s">
        <v>4802</v>
      </c>
      <c r="B2323" s="2" t="s">
        <v>4802</v>
      </c>
      <c r="C2323" s="2" t="s">
        <v>17</v>
      </c>
      <c r="D2323" s="2" t="s">
        <v>18</v>
      </c>
      <c r="E2323" s="5">
        <v>-28000</v>
      </c>
      <c r="F2323" s="3" t="s">
        <v>1118</v>
      </c>
      <c r="G2323" s="3" t="s">
        <v>34</v>
      </c>
      <c r="H2323" s="2" t="s">
        <v>21</v>
      </c>
      <c r="I2323" s="2" t="s">
        <v>4825</v>
      </c>
      <c r="J2323" s="3" t="str">
        <f>HYPERLINK("https://www.boe.es/gazeta/dias/1823/05/03/pdfs/GES-1823-23.pdf#page=5","Abrir facsímil")</f>
        <v>Abrir facsímil</v>
      </c>
      <c r="K2323" s="3" t="s">
        <v>23</v>
      </c>
    </row>
    <row r="2324" spans="1:11" ht="42" customHeight="1">
      <c r="A2324" s="2" t="s">
        <v>4802</v>
      </c>
      <c r="B2324" s="2" t="s">
        <v>4802</v>
      </c>
      <c r="C2324" s="2" t="s">
        <v>17</v>
      </c>
      <c r="D2324" s="2" t="s">
        <v>18</v>
      </c>
      <c r="E2324" s="5">
        <v>-27998</v>
      </c>
      <c r="F2324" s="3" t="s">
        <v>1058</v>
      </c>
      <c r="G2324" s="3" t="s">
        <v>59</v>
      </c>
      <c r="H2324" s="2" t="s">
        <v>21</v>
      </c>
      <c r="I2324" s="2" t="s">
        <v>4826</v>
      </c>
      <c r="J2324" s="3" t="str">
        <f>HYPERLINK("https://www.boe.es/gazeta/dias/1823/05/05/pdfs/GES-1823-25.pdf#page=6","Abrir facsímil")</f>
        <v>Abrir facsímil</v>
      </c>
      <c r="K2324" s="3" t="s">
        <v>23</v>
      </c>
    </row>
    <row r="2325" spans="1:11" ht="42" customHeight="1">
      <c r="A2325" s="2" t="s">
        <v>4802</v>
      </c>
      <c r="B2325" s="2" t="s">
        <v>4802</v>
      </c>
      <c r="C2325" s="2" t="s">
        <v>79</v>
      </c>
      <c r="D2325" s="2" t="s">
        <v>74</v>
      </c>
      <c r="E2325" s="5">
        <v>-27994</v>
      </c>
      <c r="F2325" s="3" t="s">
        <v>714</v>
      </c>
      <c r="G2325" s="3" t="s">
        <v>715</v>
      </c>
      <c r="H2325" s="2" t="s">
        <v>21</v>
      </c>
      <c r="I2325" s="2" t="s">
        <v>4827</v>
      </c>
      <c r="J2325" s="3" t="str">
        <f>HYPERLINK("https://www.boe.es/gazeta/dias/1823/05/09/pdfs/GES-1823-29.pdf#page=8","Abrir facsímil")</f>
        <v>Abrir facsímil</v>
      </c>
      <c r="K2325" s="3" t="s">
        <v>23</v>
      </c>
    </row>
    <row r="2326" spans="1:11" ht="42" customHeight="1">
      <c r="A2326" s="2" t="s">
        <v>4802</v>
      </c>
      <c r="B2326" s="2" t="s">
        <v>4802</v>
      </c>
      <c r="C2326" s="2" t="s">
        <v>17</v>
      </c>
      <c r="D2326" s="2" t="s">
        <v>18</v>
      </c>
      <c r="E2326" s="5">
        <v>-27993</v>
      </c>
      <c r="F2326" s="3" t="s">
        <v>977</v>
      </c>
      <c r="G2326" s="3" t="s">
        <v>978</v>
      </c>
      <c r="H2326" s="2" t="s">
        <v>21</v>
      </c>
      <c r="I2326" s="2" t="s">
        <v>4828</v>
      </c>
      <c r="J2326" s="3" t="str">
        <f>HYPERLINK("https://www.boe.es/gazeta/dias/1823/05/10/pdfs/GES-1823-30.pdf#page=4","Abrir facsímil")</f>
        <v>Abrir facsímil</v>
      </c>
      <c r="K2326" s="3" t="s">
        <v>23</v>
      </c>
    </row>
    <row r="2327" spans="1:11" ht="42" customHeight="1">
      <c r="A2327" s="2" t="s">
        <v>4802</v>
      </c>
      <c r="B2327" s="2" t="s">
        <v>4802</v>
      </c>
      <c r="C2327" s="2" t="s">
        <v>17</v>
      </c>
      <c r="D2327" s="2" t="s">
        <v>18</v>
      </c>
      <c r="E2327" s="5">
        <v>-27991</v>
      </c>
      <c r="F2327" s="3" t="s">
        <v>328</v>
      </c>
      <c r="G2327" s="3" t="s">
        <v>34</v>
      </c>
      <c r="H2327" s="2" t="s">
        <v>21</v>
      </c>
      <c r="I2327" s="2" t="s">
        <v>4829</v>
      </c>
      <c r="J2327" s="3" t="str">
        <f>HYPERLINK("https://www.boe.es/gazeta/dias/1823/05/12/pdfs/GES-1823-32.pdf#page=5","Abrir facsímil")</f>
        <v>Abrir facsímil</v>
      </c>
      <c r="K2327" s="3" t="s">
        <v>23</v>
      </c>
    </row>
    <row r="2328" spans="1:11" ht="42" customHeight="1">
      <c r="A2328" s="2" t="s">
        <v>4802</v>
      </c>
      <c r="B2328" s="2" t="s">
        <v>4802</v>
      </c>
      <c r="C2328" s="2" t="s">
        <v>109</v>
      </c>
      <c r="D2328" s="2" t="s">
        <v>74</v>
      </c>
      <c r="E2328" s="5">
        <v>-27987</v>
      </c>
      <c r="F2328" s="3" t="s">
        <v>332</v>
      </c>
      <c r="G2328" s="3" t="s">
        <v>20</v>
      </c>
      <c r="H2328" s="2" t="s">
        <v>21</v>
      </c>
      <c r="I2328" s="2" t="s">
        <v>4830</v>
      </c>
      <c r="J2328" s="3" t="str">
        <f>HYPERLINK("https://www.boe.es/gazeta/dias/1823/05/16/pdfs/GES-1823-36.pdf#page=4","Abrir facsímil")</f>
        <v>Abrir facsímil</v>
      </c>
      <c r="K2328" s="3" t="s">
        <v>23</v>
      </c>
    </row>
    <row r="2329" spans="1:11" ht="42" customHeight="1">
      <c r="A2329" s="2" t="s">
        <v>4802</v>
      </c>
      <c r="B2329" s="2" t="s">
        <v>4802</v>
      </c>
      <c r="C2329" s="2" t="s">
        <v>17</v>
      </c>
      <c r="D2329" s="2" t="s">
        <v>18</v>
      </c>
      <c r="E2329" s="5">
        <v>-27986</v>
      </c>
      <c r="F2329" s="3" t="s">
        <v>75</v>
      </c>
      <c r="G2329" s="3" t="s">
        <v>34</v>
      </c>
      <c r="H2329" s="2" t="s">
        <v>21</v>
      </c>
      <c r="I2329" s="2" t="s">
        <v>4831</v>
      </c>
      <c r="J2329" s="3" t="str">
        <f>HYPERLINK("https://www.boe.es/gazeta/dias/1823/05/17/pdfs/GES-1823-37.pdf#page=5","Abrir facsímil")</f>
        <v>Abrir facsímil</v>
      </c>
      <c r="K2329" s="3" t="s">
        <v>23</v>
      </c>
    </row>
    <row r="2330" spans="1:11" ht="42" customHeight="1">
      <c r="A2330" s="2" t="s">
        <v>4802</v>
      </c>
      <c r="B2330" s="2" t="s">
        <v>4802</v>
      </c>
      <c r="C2330" s="2" t="s">
        <v>79</v>
      </c>
      <c r="D2330" s="2" t="s">
        <v>74</v>
      </c>
      <c r="E2330" s="5">
        <v>-27985</v>
      </c>
      <c r="F2330" s="3" t="s">
        <v>951</v>
      </c>
      <c r="G2330" s="3" t="s">
        <v>1140</v>
      </c>
      <c r="H2330" s="2" t="s">
        <v>21</v>
      </c>
      <c r="I2330" s="2" t="s">
        <v>4832</v>
      </c>
      <c r="J2330" s="3" t="str">
        <f>HYPERLINK("https://www.boe.es/gazeta/dias/1823/05/18/pdfs/GES-1823-38.pdf#page=5","Abrir facsímil")</f>
        <v>Abrir facsímil</v>
      </c>
      <c r="K2330" s="3" t="s">
        <v>23</v>
      </c>
    </row>
    <row r="2331" spans="1:11" ht="42" customHeight="1">
      <c r="A2331" s="2" t="s">
        <v>4802</v>
      </c>
      <c r="B2331" s="2" t="s">
        <v>4802</v>
      </c>
      <c r="C2331" s="2" t="s">
        <v>17</v>
      </c>
      <c r="D2331" s="2" t="s">
        <v>18</v>
      </c>
      <c r="E2331" s="5">
        <v>-27984</v>
      </c>
      <c r="F2331" s="3" t="s">
        <v>335</v>
      </c>
      <c r="G2331" s="3" t="s">
        <v>27</v>
      </c>
      <c r="H2331" s="2" t="s">
        <v>21</v>
      </c>
      <c r="I2331" s="2" t="s">
        <v>4833</v>
      </c>
      <c r="J2331" s="3" t="str">
        <f>HYPERLINK("https://www.boe.es/gazeta/dias/1823/05/19/pdfs/GES-1823-39.pdf#page=2","Abrir facsímil")</f>
        <v>Abrir facsímil</v>
      </c>
      <c r="K2331" s="3" t="s">
        <v>23</v>
      </c>
    </row>
    <row r="2332" spans="1:11" ht="42" customHeight="1">
      <c r="A2332" s="2" t="s">
        <v>4802</v>
      </c>
      <c r="B2332" s="2" t="s">
        <v>4802</v>
      </c>
      <c r="C2332" s="2" t="s">
        <v>79</v>
      </c>
      <c r="D2332" s="2" t="s">
        <v>74</v>
      </c>
      <c r="E2332" s="5">
        <v>-27984</v>
      </c>
      <c r="F2332" s="3" t="s">
        <v>335</v>
      </c>
      <c r="G2332" s="3" t="s">
        <v>59</v>
      </c>
      <c r="H2332" s="2" t="s">
        <v>21</v>
      </c>
      <c r="I2332" s="2" t="s">
        <v>4834</v>
      </c>
      <c r="J2332" s="3" t="str">
        <f>HYPERLINK("https://www.boe.es/gazeta/dias/1823/05/19/pdfs/GES-1823-39.pdf#page=6","Abrir facsímil")</f>
        <v>Abrir facsímil</v>
      </c>
      <c r="K2332" s="3" t="s">
        <v>23</v>
      </c>
    </row>
    <row r="2333" spans="1:11" ht="42" customHeight="1">
      <c r="A2333" s="2" t="s">
        <v>4802</v>
      </c>
      <c r="B2333" s="2" t="s">
        <v>4802</v>
      </c>
      <c r="C2333" s="2" t="s">
        <v>17</v>
      </c>
      <c r="D2333" s="2" t="s">
        <v>18</v>
      </c>
      <c r="E2333" s="5">
        <v>-27983</v>
      </c>
      <c r="F2333" s="3" t="s">
        <v>337</v>
      </c>
      <c r="G2333" s="3" t="s">
        <v>34</v>
      </c>
      <c r="H2333" s="2" t="s">
        <v>21</v>
      </c>
      <c r="I2333" s="2" t="s">
        <v>4835</v>
      </c>
      <c r="J2333" s="3" t="str">
        <f>HYPERLINK("https://www.boe.es/gazeta/dias/1823/05/20/pdfs/GES-1823-40.pdf#page=5","Abrir facsímil")</f>
        <v>Abrir facsímil</v>
      </c>
      <c r="K2333" s="3" t="s">
        <v>23</v>
      </c>
    </row>
    <row r="2334" spans="1:11" ht="42" customHeight="1">
      <c r="A2334" s="2" t="s">
        <v>4802</v>
      </c>
      <c r="B2334" s="2" t="s">
        <v>4802</v>
      </c>
      <c r="C2334" s="2" t="s">
        <v>79</v>
      </c>
      <c r="D2334" s="2" t="s">
        <v>74</v>
      </c>
      <c r="E2334" s="5">
        <v>-27982</v>
      </c>
      <c r="F2334" s="3" t="s">
        <v>340</v>
      </c>
      <c r="G2334" s="3" t="s">
        <v>590</v>
      </c>
      <c r="H2334" s="2" t="s">
        <v>21</v>
      </c>
      <c r="I2334" s="2" t="s">
        <v>4836</v>
      </c>
      <c r="J2334" s="3" t="str">
        <f>HYPERLINK("https://www.boe.es/gazeta/dias/1823/05/21/pdfs/GES-1823-42.pdf#page=5","Abrir facsímil")</f>
        <v>Abrir facsímil</v>
      </c>
      <c r="K2334" s="3" t="s">
        <v>23</v>
      </c>
    </row>
    <row r="2335" spans="1:11" ht="42" customHeight="1">
      <c r="A2335" s="2" t="s">
        <v>4802</v>
      </c>
      <c r="B2335" s="2" t="s">
        <v>4802</v>
      </c>
      <c r="C2335" s="2" t="s">
        <v>17</v>
      </c>
      <c r="D2335" s="2" t="s">
        <v>18</v>
      </c>
      <c r="E2335" s="5">
        <v>-27981</v>
      </c>
      <c r="F2335" s="3" t="s">
        <v>1521</v>
      </c>
      <c r="G2335" s="3" t="s">
        <v>48</v>
      </c>
      <c r="H2335" s="2" t="s">
        <v>21</v>
      </c>
      <c r="I2335" s="2" t="s">
        <v>4837</v>
      </c>
      <c r="J2335" s="3" t="str">
        <f>HYPERLINK("https://www.boe.es/gazeta/dias/1823/05/22/pdfs/GES-1823-43.pdf#page=3","Abrir facsímil")</f>
        <v>Abrir facsímil</v>
      </c>
      <c r="K2335" s="3" t="s">
        <v>23</v>
      </c>
    </row>
    <row r="2336" spans="1:11" ht="42" customHeight="1">
      <c r="A2336" s="2" t="s">
        <v>4802</v>
      </c>
      <c r="B2336" s="2" t="s">
        <v>4802</v>
      </c>
      <c r="C2336" s="2" t="s">
        <v>17</v>
      </c>
      <c r="D2336" s="2" t="s">
        <v>18</v>
      </c>
      <c r="E2336" s="5">
        <v>-27977</v>
      </c>
      <c r="F2336" s="3" t="s">
        <v>1489</v>
      </c>
      <c r="G2336" s="3" t="s">
        <v>1490</v>
      </c>
      <c r="H2336" s="2" t="s">
        <v>21</v>
      </c>
      <c r="I2336" s="2" t="s">
        <v>4838</v>
      </c>
      <c r="J2336" s="3" t="str">
        <f>HYPERLINK("https://www.boe.es/gazeta/dias/1823/05/26/pdfs/GES-1823-47.pdf#page=6","Abrir facsímil")</f>
        <v>Abrir facsímil</v>
      </c>
      <c r="K2336" s="3" t="s">
        <v>23</v>
      </c>
    </row>
    <row r="2337" spans="1:11" ht="42" customHeight="1">
      <c r="A2337" s="2" t="s">
        <v>4802</v>
      </c>
      <c r="B2337" s="2" t="s">
        <v>4802</v>
      </c>
      <c r="C2337" s="2" t="s">
        <v>293</v>
      </c>
      <c r="D2337" s="2" t="s">
        <v>74</v>
      </c>
      <c r="E2337" s="5">
        <v>-27975</v>
      </c>
      <c r="F2337" s="3" t="s">
        <v>47</v>
      </c>
      <c r="G2337" s="3" t="s">
        <v>39</v>
      </c>
      <c r="H2337" s="2" t="s">
        <v>21</v>
      </c>
      <c r="I2337" s="2" t="s">
        <v>4839</v>
      </c>
      <c r="J2337" s="3" t="str">
        <f>HYPERLINK("https://www.boe.es/gazeta/dias/1823/05/28/pdfs/GES-1823-50.pdf#page=1","Abrir facsímil")</f>
        <v>Abrir facsímil</v>
      </c>
      <c r="K2337" s="3" t="s">
        <v>23</v>
      </c>
    </row>
    <row r="2338" spans="1:11" ht="42" customHeight="1">
      <c r="A2338" s="2" t="s">
        <v>4802</v>
      </c>
      <c r="B2338" s="2" t="s">
        <v>4802</v>
      </c>
      <c r="C2338" s="2" t="s">
        <v>109</v>
      </c>
      <c r="D2338" s="2" t="s">
        <v>74</v>
      </c>
      <c r="E2338" s="5">
        <v>-27974</v>
      </c>
      <c r="F2338" s="3" t="s">
        <v>618</v>
      </c>
      <c r="G2338" s="3" t="s">
        <v>34</v>
      </c>
      <c r="H2338" s="2" t="s">
        <v>21</v>
      </c>
      <c r="I2338" s="2" t="s">
        <v>4840</v>
      </c>
      <c r="J2338" s="3" t="str">
        <f>HYPERLINK("https://www.boe.es/gazeta/dias/1823/05/29/pdfs/GES-1823-52.pdf#page=5","Abrir facsímil")</f>
        <v>Abrir facsímil</v>
      </c>
      <c r="K2338" s="3" t="s">
        <v>23</v>
      </c>
    </row>
    <row r="2339" spans="1:11" ht="42" customHeight="1">
      <c r="A2339" s="2" t="s">
        <v>4802</v>
      </c>
      <c r="B2339" s="2" t="s">
        <v>4802</v>
      </c>
      <c r="C2339" s="2" t="s">
        <v>17</v>
      </c>
      <c r="D2339" s="2" t="s">
        <v>18</v>
      </c>
      <c r="E2339" s="5">
        <v>-27963</v>
      </c>
      <c r="F2339" s="3" t="s">
        <v>344</v>
      </c>
      <c r="G2339" s="3" t="s">
        <v>48</v>
      </c>
      <c r="H2339" s="2" t="s">
        <v>21</v>
      </c>
      <c r="I2339" s="2" t="s">
        <v>4841</v>
      </c>
      <c r="J2339" s="3" t="str">
        <f>HYPERLINK("https://www.boe.es/gazeta/dias/1823/06/09/pdfs/GES-1823-63.pdf#page=3","Abrir facsímil")</f>
        <v>Abrir facsímil</v>
      </c>
      <c r="K2339" s="3" t="s">
        <v>23</v>
      </c>
    </row>
    <row r="2340" spans="1:11" ht="42" customHeight="1">
      <c r="A2340" s="2" t="s">
        <v>4802</v>
      </c>
      <c r="B2340" s="2" t="s">
        <v>4802</v>
      </c>
      <c r="C2340" s="2" t="s">
        <v>17</v>
      </c>
      <c r="D2340" s="2" t="s">
        <v>18</v>
      </c>
      <c r="E2340" s="5">
        <v>-27947</v>
      </c>
      <c r="F2340" s="3" t="s">
        <v>2144</v>
      </c>
      <c r="G2340" s="3" t="s">
        <v>48</v>
      </c>
      <c r="H2340" s="2" t="s">
        <v>21</v>
      </c>
      <c r="I2340" s="2" t="s">
        <v>4842</v>
      </c>
      <c r="J2340" s="3" t="str">
        <f>HYPERLINK("https://www.boe.es/gazeta/dias/1823/06/25/pdfs/GES-1823-75.pdf#page=3","Abrir facsímil")</f>
        <v>Abrir facsímil</v>
      </c>
      <c r="K2340" s="3" t="s">
        <v>23</v>
      </c>
    </row>
    <row r="2341" spans="1:11" ht="42" customHeight="1">
      <c r="A2341" s="2" t="s">
        <v>4802</v>
      </c>
      <c r="B2341" s="2" t="s">
        <v>4802</v>
      </c>
      <c r="C2341" s="2" t="s">
        <v>109</v>
      </c>
      <c r="D2341" s="2" t="s">
        <v>74</v>
      </c>
      <c r="E2341" s="5">
        <v>-27920</v>
      </c>
      <c r="F2341" s="3" t="s">
        <v>1334</v>
      </c>
      <c r="G2341" s="3" t="s">
        <v>27</v>
      </c>
      <c r="H2341" s="2" t="s">
        <v>21</v>
      </c>
      <c r="I2341" s="2" t="s">
        <v>4843</v>
      </c>
      <c r="J2341" s="3" t="str">
        <f>HYPERLINK("https://www.boe.es/gazeta/dias/1823/07/22/pdfs/GMD-1823-443.pdf#page=2","Abrir facsímil")</f>
        <v>Abrir facsímil</v>
      </c>
      <c r="K2341" s="3" t="s">
        <v>23</v>
      </c>
    </row>
    <row r="2342" spans="1:11" ht="42" customHeight="1">
      <c r="A2342" s="2" t="s">
        <v>4811</v>
      </c>
      <c r="B2342" s="2" t="s">
        <v>4811</v>
      </c>
      <c r="C2342" s="2" t="s">
        <v>17</v>
      </c>
      <c r="D2342" s="2" t="s">
        <v>18</v>
      </c>
      <c r="E2342" s="5">
        <v>-27920</v>
      </c>
      <c r="F2342" s="3" t="s">
        <v>1334</v>
      </c>
      <c r="G2342" s="3" t="s">
        <v>276</v>
      </c>
      <c r="H2342" s="2" t="s">
        <v>21</v>
      </c>
      <c r="I2342" s="2" t="s">
        <v>4844</v>
      </c>
      <c r="J2342" s="3" t="str">
        <f>HYPERLINK("https://www.boe.es/gazeta/dias/1823/07/22/pdfs/GMD-1823-443.pdf#page=7","Abrir facsímil")</f>
        <v>Abrir facsímil</v>
      </c>
      <c r="K2342" s="3" t="s">
        <v>23</v>
      </c>
    </row>
    <row r="2343" spans="1:11" ht="42" customHeight="1">
      <c r="A2343" s="2" t="s">
        <v>4811</v>
      </c>
      <c r="B2343" s="2" t="s">
        <v>4811</v>
      </c>
      <c r="C2343" s="2" t="s">
        <v>79</v>
      </c>
      <c r="D2343" s="2" t="s">
        <v>74</v>
      </c>
      <c r="E2343" s="5">
        <v>-27920</v>
      </c>
      <c r="F2343" s="3" t="s">
        <v>1334</v>
      </c>
      <c r="G2343" s="3" t="s">
        <v>715</v>
      </c>
      <c r="H2343" s="2" t="s">
        <v>21</v>
      </c>
      <c r="I2343" s="2" t="s">
        <v>4845</v>
      </c>
      <c r="J2343" s="3" t="str">
        <f>HYPERLINK("https://www.boe.es/gazeta/dias/1823/07/22/pdfs/GMD-1823-443.pdf#page=8","Abrir facsímil")</f>
        <v>Abrir facsímil</v>
      </c>
      <c r="K2343" s="3" t="s">
        <v>23</v>
      </c>
    </row>
    <row r="2344" spans="1:11" ht="42" customHeight="1">
      <c r="A2344" s="2" t="s">
        <v>4802</v>
      </c>
      <c r="B2344" s="2" t="s">
        <v>4802</v>
      </c>
      <c r="C2344" s="2" t="s">
        <v>17</v>
      </c>
      <c r="D2344" s="2" t="s">
        <v>18</v>
      </c>
      <c r="E2344" s="5">
        <v>-27918</v>
      </c>
      <c r="F2344" s="3" t="s">
        <v>218</v>
      </c>
      <c r="G2344" s="3" t="s">
        <v>39</v>
      </c>
      <c r="H2344" s="2" t="s">
        <v>21</v>
      </c>
      <c r="I2344" s="2" t="s">
        <v>4846</v>
      </c>
      <c r="J2344" s="3" t="str">
        <f>HYPERLINK("https://www.boe.es/gazeta/dias/1823/07/24/pdfs/GMD-1823-463.pdf#page=1","Abrir facsímil")</f>
        <v>Abrir facsímil</v>
      </c>
      <c r="K2344" s="3" t="s">
        <v>23</v>
      </c>
    </row>
    <row r="2345" spans="1:11" ht="42" customHeight="1">
      <c r="A2345" s="2" t="s">
        <v>4802</v>
      </c>
      <c r="B2345" s="2" t="s">
        <v>4802</v>
      </c>
      <c r="C2345" s="2" t="s">
        <v>17</v>
      </c>
      <c r="D2345" s="2" t="s">
        <v>18</v>
      </c>
      <c r="E2345" s="5">
        <v>-27913</v>
      </c>
      <c r="F2345" s="3" t="s">
        <v>829</v>
      </c>
      <c r="G2345" s="3" t="s">
        <v>34</v>
      </c>
      <c r="H2345" s="2" t="s">
        <v>21</v>
      </c>
      <c r="I2345" s="2" t="s">
        <v>4847</v>
      </c>
      <c r="J2345" s="3" t="str">
        <f>HYPERLINK("https://www.boe.es/gazeta/dias/1823/07/29/pdfs/GMD-1823-483.pdf#page=5","Abrir facsímil")</f>
        <v>Abrir facsímil</v>
      </c>
      <c r="K2345" s="3" t="s">
        <v>23</v>
      </c>
    </row>
    <row r="2346" spans="1:11" ht="42" customHeight="1">
      <c r="A2346" s="2" t="s">
        <v>4802</v>
      </c>
      <c r="B2346" s="2" t="s">
        <v>4802</v>
      </c>
      <c r="C2346" s="2" t="s">
        <v>17</v>
      </c>
      <c r="D2346" s="2" t="s">
        <v>18</v>
      </c>
      <c r="E2346" s="5">
        <v>-27876</v>
      </c>
      <c r="F2346" s="3" t="s">
        <v>4848</v>
      </c>
      <c r="G2346" s="3" t="s">
        <v>39</v>
      </c>
      <c r="H2346" s="2" t="s">
        <v>21</v>
      </c>
      <c r="I2346" s="2" t="s">
        <v>4849</v>
      </c>
      <c r="J2346" s="3" t="str">
        <f>HYPERLINK("https://www.boe.es/gazeta/dias/1823/09/04/pdfs/GES-1823-148.pdf#page=1","Abrir facsímil")</f>
        <v>Abrir facsímil</v>
      </c>
      <c r="K2346" s="3" t="s">
        <v>23</v>
      </c>
    </row>
    <row r="2347" spans="1:11" ht="42" customHeight="1">
      <c r="A2347" s="2" t="s">
        <v>4802</v>
      </c>
      <c r="B2347" s="2" t="s">
        <v>4802</v>
      </c>
      <c r="C2347" s="2" t="s">
        <v>17</v>
      </c>
      <c r="D2347" s="2" t="s">
        <v>18</v>
      </c>
      <c r="E2347" s="5">
        <v>-27869</v>
      </c>
      <c r="F2347" s="3" t="s">
        <v>520</v>
      </c>
      <c r="G2347" s="3" t="s">
        <v>39</v>
      </c>
      <c r="H2347" s="2" t="s">
        <v>21</v>
      </c>
      <c r="I2347" s="2" t="s">
        <v>4850</v>
      </c>
      <c r="J2347" s="3" t="str">
        <f>HYPERLINK("https://www.boe.es/gazeta/dias/1823/09/11/pdfs/GMD-1823-753.pdf#page=1","Abrir facsímil")</f>
        <v>Abrir facsímil</v>
      </c>
      <c r="K2347" s="3" t="s">
        <v>23</v>
      </c>
    </row>
    <row r="2348" spans="1:11" ht="42" customHeight="1">
      <c r="A2348" s="2" t="s">
        <v>4802</v>
      </c>
      <c r="B2348" s="2" t="s">
        <v>4802</v>
      </c>
      <c r="C2348" s="2" t="s">
        <v>17</v>
      </c>
      <c r="D2348" s="2" t="s">
        <v>18</v>
      </c>
      <c r="E2348" s="5">
        <v>-27867</v>
      </c>
      <c r="F2348" s="3" t="s">
        <v>569</v>
      </c>
      <c r="G2348" s="3" t="s">
        <v>27</v>
      </c>
      <c r="H2348" s="2" t="s">
        <v>21</v>
      </c>
      <c r="I2348" s="2" t="s">
        <v>4851</v>
      </c>
      <c r="J2348" s="3" t="str">
        <f>HYPERLINK("https://www.boe.es/gazeta/dias/1823/09/13/pdfs/GES-1823-157.pdf#page=2","Abrir facsímil")</f>
        <v>Abrir facsímil</v>
      </c>
      <c r="K2348" s="3" t="s">
        <v>23</v>
      </c>
    </row>
    <row r="2349" spans="1:11" ht="42" customHeight="1">
      <c r="A2349" s="2" t="s">
        <v>4802</v>
      </c>
      <c r="B2349" s="2" t="s">
        <v>4802</v>
      </c>
      <c r="C2349" s="2" t="s">
        <v>17</v>
      </c>
      <c r="D2349" s="2" t="s">
        <v>18</v>
      </c>
      <c r="E2349" s="5">
        <v>-27867</v>
      </c>
      <c r="F2349" s="3" t="s">
        <v>1585</v>
      </c>
      <c r="G2349" s="3" t="s">
        <v>48</v>
      </c>
      <c r="H2349" s="2" t="s">
        <v>21</v>
      </c>
      <c r="I2349" s="2" t="s">
        <v>4852</v>
      </c>
      <c r="J2349" s="3" t="str">
        <f>HYPERLINK("https://www.boe.es/gazeta/dias/1823/09/13/pdfs/GMD-1823-773.pdf#page=3","Abrir facsímil")</f>
        <v>Abrir facsímil</v>
      </c>
      <c r="K2349" s="3" t="s">
        <v>23</v>
      </c>
    </row>
    <row r="2350" spans="1:11" ht="42" customHeight="1">
      <c r="A2350" s="2" t="s">
        <v>4802</v>
      </c>
      <c r="B2350" s="2" t="s">
        <v>4802</v>
      </c>
      <c r="C2350" s="2" t="s">
        <v>109</v>
      </c>
      <c r="D2350" s="2" t="s">
        <v>74</v>
      </c>
      <c r="E2350" s="5">
        <v>-27866</v>
      </c>
      <c r="F2350" s="3" t="s">
        <v>1262</v>
      </c>
      <c r="G2350" s="3" t="s">
        <v>20</v>
      </c>
      <c r="H2350" s="2" t="s">
        <v>21</v>
      </c>
      <c r="I2350" s="2" t="s">
        <v>4853</v>
      </c>
      <c r="J2350" s="3" t="str">
        <f>HYPERLINK("https://www.boe.es/gazeta/dias/1823/09/14/pdfs/GES-1823-158.pdf#page=4","Abrir facsímil")</f>
        <v>Abrir facsímil</v>
      </c>
      <c r="K2350" s="3" t="s">
        <v>23</v>
      </c>
    </row>
    <row r="2351" spans="1:11" ht="42" customHeight="1">
      <c r="A2351" s="2" t="s">
        <v>4802</v>
      </c>
      <c r="B2351" s="2" t="s">
        <v>4802</v>
      </c>
      <c r="C2351" s="2" t="s">
        <v>17</v>
      </c>
      <c r="D2351" s="2" t="s">
        <v>18</v>
      </c>
      <c r="E2351" s="5">
        <v>-27860</v>
      </c>
      <c r="F2351" s="3" t="s">
        <v>998</v>
      </c>
      <c r="G2351" s="3" t="s">
        <v>59</v>
      </c>
      <c r="H2351" s="2" t="s">
        <v>21</v>
      </c>
      <c r="I2351" s="2" t="s">
        <v>4854</v>
      </c>
      <c r="J2351" s="3" t="str">
        <f>HYPERLINK("https://www.boe.es/gazeta/dias/1823/09/20/pdfs/GMD-1823-813.pdf#page=6","Abrir facsímil")</f>
        <v>Abrir facsímil</v>
      </c>
      <c r="K2351" s="3" t="s">
        <v>23</v>
      </c>
    </row>
    <row r="2352" spans="1:11" ht="42" customHeight="1">
      <c r="A2352" s="2" t="s">
        <v>4811</v>
      </c>
      <c r="B2352" s="2" t="s">
        <v>4811</v>
      </c>
      <c r="C2352" s="2" t="s">
        <v>17</v>
      </c>
      <c r="D2352" s="2" t="s">
        <v>117</v>
      </c>
      <c r="E2352" s="5">
        <v>-27860</v>
      </c>
      <c r="F2352" s="3" t="s">
        <v>4855</v>
      </c>
      <c r="G2352" s="3" t="s">
        <v>39</v>
      </c>
      <c r="H2352" s="2" t="s">
        <v>21</v>
      </c>
      <c r="I2352" s="2" t="s">
        <v>4856</v>
      </c>
      <c r="J2352" s="3" t="str">
        <f>HYPERLINK("https://www.boe.es/gazeta/dias/1823/09/20/pdfs/GMD-1823-823E.pdf#page=1","Abrir facsímil")</f>
        <v>Abrir facsímil</v>
      </c>
      <c r="K2352" s="3" t="s">
        <v>23</v>
      </c>
    </row>
    <row r="2353" spans="1:11" ht="42" customHeight="1">
      <c r="A2353" s="2" t="s">
        <v>4802</v>
      </c>
      <c r="B2353" s="2" t="s">
        <v>4802</v>
      </c>
      <c r="C2353" s="2" t="s">
        <v>84</v>
      </c>
      <c r="D2353" s="2" t="s">
        <v>74</v>
      </c>
      <c r="E2353" s="5">
        <v>-27857</v>
      </c>
      <c r="F2353" s="3" t="s">
        <v>4857</v>
      </c>
      <c r="G2353" s="3" t="s">
        <v>48</v>
      </c>
      <c r="H2353" s="2" t="s">
        <v>21</v>
      </c>
      <c r="I2353" s="2" t="s">
        <v>4858</v>
      </c>
      <c r="J2353" s="3" t="str">
        <f>HYPERLINK("https://www.boe.es/gazeta/dias/1823/09/23/pdfs/GES-1823-167.pdf#page=3","Abrir facsímil")</f>
        <v>Abrir facsímil</v>
      </c>
      <c r="K2353" s="3" t="s">
        <v>23</v>
      </c>
    </row>
    <row r="2354" spans="1:11" ht="42" customHeight="1">
      <c r="A2354" s="2" t="s">
        <v>4802</v>
      </c>
      <c r="B2354" s="2" t="s">
        <v>4802</v>
      </c>
      <c r="C2354" s="2" t="s">
        <v>79</v>
      </c>
      <c r="D2354" s="2" t="s">
        <v>74</v>
      </c>
      <c r="E2354" s="5">
        <v>-27856</v>
      </c>
      <c r="F2354" s="3" t="s">
        <v>4859</v>
      </c>
      <c r="G2354" s="3" t="s">
        <v>39</v>
      </c>
      <c r="H2354" s="2" t="s">
        <v>21</v>
      </c>
      <c r="I2354" s="2" t="s">
        <v>4860</v>
      </c>
      <c r="J2354" s="3" t="str">
        <f>HYPERLINK("https://www.boe.es/gazeta/dias/1823/09/24/pdfs/GES-1823-168.pdf#page=1","Abrir facsímil")</f>
        <v>Abrir facsímil</v>
      </c>
      <c r="K2354" s="3" t="s">
        <v>23</v>
      </c>
    </row>
    <row r="2355" spans="1:11" ht="42" customHeight="1">
      <c r="A2355" s="2" t="s">
        <v>4802</v>
      </c>
      <c r="B2355" s="2" t="s">
        <v>4802</v>
      </c>
      <c r="C2355" s="2" t="s">
        <v>17</v>
      </c>
      <c r="D2355" s="2" t="s">
        <v>18</v>
      </c>
      <c r="E2355" s="5">
        <v>-27848</v>
      </c>
      <c r="F2355" s="3" t="s">
        <v>2665</v>
      </c>
      <c r="G2355" s="3" t="s">
        <v>27</v>
      </c>
      <c r="H2355" s="2" t="s">
        <v>21</v>
      </c>
      <c r="I2355" s="2" t="s">
        <v>4861</v>
      </c>
      <c r="J2355" s="3" t="str">
        <f>HYPERLINK("https://www.boe.es/gazeta/dias/1823/10/02/pdfs/GMD-1823-893.pdf#page=2","Abrir facsímil")</f>
        <v>Abrir facsímil</v>
      </c>
      <c r="K2355" s="3" t="s">
        <v>23</v>
      </c>
    </row>
    <row r="2356" spans="1:11" ht="42" customHeight="1">
      <c r="A2356" s="2" t="s">
        <v>4802</v>
      </c>
      <c r="B2356" s="2" t="s">
        <v>4802</v>
      </c>
      <c r="C2356" s="2" t="s">
        <v>17</v>
      </c>
      <c r="D2356" s="2" t="s">
        <v>18</v>
      </c>
      <c r="E2356" s="5">
        <v>-27834</v>
      </c>
      <c r="F2356" s="3" t="s">
        <v>188</v>
      </c>
      <c r="G2356" s="3" t="s">
        <v>39</v>
      </c>
      <c r="H2356" s="2" t="s">
        <v>21</v>
      </c>
      <c r="I2356" s="2" t="s">
        <v>4862</v>
      </c>
      <c r="J2356" s="3" t="str">
        <f>HYPERLINK("https://www.boe.es/gazeta/dias/1823/10/16/pdfs/GMD-1823-983.pdf#page=1","Abrir facsímil")</f>
        <v>Abrir facsímil</v>
      </c>
      <c r="K2356" s="3" t="s">
        <v>23</v>
      </c>
    </row>
    <row r="2357" spans="1:11" ht="42" customHeight="1">
      <c r="A2357" s="2" t="s">
        <v>4802</v>
      </c>
      <c r="B2357" s="2" t="s">
        <v>4802</v>
      </c>
      <c r="C2357" s="2" t="s">
        <v>17</v>
      </c>
      <c r="D2357" s="2" t="s">
        <v>18</v>
      </c>
      <c r="E2357" s="5">
        <v>-27799</v>
      </c>
      <c r="F2357" s="3" t="s">
        <v>3388</v>
      </c>
      <c r="G2357" s="3" t="s">
        <v>39</v>
      </c>
      <c r="H2357" s="2" t="s">
        <v>21</v>
      </c>
      <c r="I2357" s="2" t="s">
        <v>4863</v>
      </c>
      <c r="J2357" s="3" t="str">
        <f>HYPERLINK("https://www.boe.es/gazeta/dias/1823/11/20/pdfs/GMD-1823-1143.pdf#page=1","Abrir facsímil")</f>
        <v>Abrir facsímil</v>
      </c>
      <c r="K2357" s="3" t="s">
        <v>23</v>
      </c>
    </row>
    <row r="2358" spans="1:11" ht="42" customHeight="1">
      <c r="A2358" s="2" t="s">
        <v>4802</v>
      </c>
      <c r="B2358" s="2" t="s">
        <v>4802</v>
      </c>
      <c r="C2358" s="2" t="s">
        <v>56</v>
      </c>
      <c r="D2358" s="2" t="s">
        <v>57</v>
      </c>
      <c r="E2358" s="5">
        <v>-27787</v>
      </c>
      <c r="F2358" s="3" t="s">
        <v>865</v>
      </c>
      <c r="G2358" s="3" t="s">
        <v>39</v>
      </c>
      <c r="H2358" s="2" t="s">
        <v>21</v>
      </c>
      <c r="I2358" s="2" t="s">
        <v>4864</v>
      </c>
      <c r="J2358" s="3" t="str">
        <f>HYPERLINK("https://www.boe.es/gazeta/dias/1823/12/02/pdfs/GMD-1823-1193.pdf#page=1","Abrir facsímil")</f>
        <v>Abrir facsímil</v>
      </c>
      <c r="K2358" s="3" t="s">
        <v>23</v>
      </c>
    </row>
    <row r="2359" spans="1:11" ht="42" customHeight="1">
      <c r="A2359" s="2" t="s">
        <v>4802</v>
      </c>
      <c r="B2359" s="2" t="s">
        <v>4802</v>
      </c>
      <c r="C2359" s="2" t="s">
        <v>79</v>
      </c>
      <c r="D2359" s="2" t="s">
        <v>74</v>
      </c>
      <c r="E2359" s="5">
        <v>-27780</v>
      </c>
      <c r="F2359" s="3" t="s">
        <v>1609</v>
      </c>
      <c r="G2359" s="3" t="s">
        <v>27</v>
      </c>
      <c r="H2359" s="2" t="s">
        <v>21</v>
      </c>
      <c r="I2359" s="2" t="s">
        <v>4865</v>
      </c>
      <c r="J2359" s="3" t="str">
        <f>HYPERLINK("https://www.boe.es/gazeta/dias/1823/12/09/pdfs/GMD-1823-1223.pdf#page=2","Abrir facsímil")</f>
        <v>Abrir facsímil</v>
      </c>
      <c r="K2359" s="3" t="s">
        <v>23</v>
      </c>
    </row>
    <row r="2360" spans="1:11" ht="42" customHeight="1">
      <c r="A2360" s="2" t="s">
        <v>4866</v>
      </c>
      <c r="B2360" s="2" t="s">
        <v>4867</v>
      </c>
      <c r="C2360" s="2" t="s">
        <v>109</v>
      </c>
      <c r="D2360" s="2" t="s">
        <v>74</v>
      </c>
      <c r="E2360" s="5">
        <v>-27785</v>
      </c>
      <c r="F2360" s="3" t="s">
        <v>1397</v>
      </c>
      <c r="G2360" s="3" t="s">
        <v>48</v>
      </c>
      <c r="H2360" s="2" t="s">
        <v>28</v>
      </c>
      <c r="I2360" s="2" t="s">
        <v>4868</v>
      </c>
      <c r="J2360" s="3" t="str">
        <f>HYPERLINK("https://www.boe.es/gazeta/dias/1823/12/04/pdfs/GMD-1823-1203.pdf#page=3","Abrir facsímil")</f>
        <v>Abrir facsímil</v>
      </c>
      <c r="K2360" s="3" t="s">
        <v>30</v>
      </c>
    </row>
    <row r="2361" spans="1:11" ht="42" customHeight="1">
      <c r="A2361" s="2" t="s">
        <v>4869</v>
      </c>
      <c r="B2361" s="2" t="s">
        <v>4869</v>
      </c>
      <c r="C2361" s="2" t="s">
        <v>17</v>
      </c>
      <c r="D2361" s="2" t="s">
        <v>18</v>
      </c>
      <c r="E2361" s="5">
        <v>-28009</v>
      </c>
      <c r="F2361" s="3" t="s">
        <v>212</v>
      </c>
      <c r="G2361" s="3" t="s">
        <v>20</v>
      </c>
      <c r="H2361" s="2" t="s">
        <v>21</v>
      </c>
      <c r="I2361" s="2" t="s">
        <v>4870</v>
      </c>
      <c r="J2361" s="3" t="str">
        <f>HYPERLINK("https://www.boe.es/gazeta/dias/1823/04/24/pdfs/GMD-1823-52.pdf#page=4","Abrir facsímil")</f>
        <v>Abrir facsímil</v>
      </c>
      <c r="K2361" s="3" t="s">
        <v>23</v>
      </c>
    </row>
    <row r="2362" spans="1:11" ht="42" customHeight="1">
      <c r="A2362" s="2" t="s">
        <v>4871</v>
      </c>
      <c r="B2362" s="2" t="s">
        <v>4871</v>
      </c>
      <c r="C2362" s="2" t="s">
        <v>84</v>
      </c>
      <c r="D2362" s="2" t="s">
        <v>74</v>
      </c>
      <c r="E2362" s="5">
        <v>-28061</v>
      </c>
      <c r="F2362" s="3" t="s">
        <v>704</v>
      </c>
      <c r="G2362" s="3" t="s">
        <v>59</v>
      </c>
      <c r="H2362" s="2" t="s">
        <v>21</v>
      </c>
      <c r="I2362" s="2" t="s">
        <v>4872</v>
      </c>
      <c r="J2362" s="3" t="str">
        <f>HYPERLINK("https://www.boe.es/gazeta/dias/1823/03/03/pdfs/GMD-1823-66.pdf#page=6","Abrir facsímil")</f>
        <v>Abrir facsímil</v>
      </c>
      <c r="K2362" s="3" t="s">
        <v>23</v>
      </c>
    </row>
    <row r="2363" spans="1:11" ht="42" customHeight="1">
      <c r="A2363" s="2" t="s">
        <v>4873</v>
      </c>
      <c r="B2363" s="2" t="s">
        <v>4874</v>
      </c>
      <c r="C2363" s="2" t="s">
        <v>56</v>
      </c>
      <c r="D2363" s="2" t="s">
        <v>57</v>
      </c>
      <c r="E2363" s="5">
        <v>-28012</v>
      </c>
      <c r="F2363" s="3" t="s">
        <v>4707</v>
      </c>
      <c r="G2363" s="3" t="s">
        <v>20</v>
      </c>
      <c r="H2363" s="2" t="s">
        <v>21</v>
      </c>
      <c r="I2363" s="2" t="s">
        <v>4875</v>
      </c>
      <c r="J2363" s="3" t="str">
        <f>HYPERLINK("https://www.boe.es/gazeta/dias/1823/04/21/pdfs/GES-1823-11.pdf#page=4","Abrir facsímil")</f>
        <v>Abrir facsímil</v>
      </c>
      <c r="K2363" s="3" t="s">
        <v>23</v>
      </c>
    </row>
    <row r="2364" spans="1:11" ht="42" customHeight="1">
      <c r="A2364" s="2" t="s">
        <v>4873</v>
      </c>
      <c r="B2364" s="2" t="s">
        <v>4874</v>
      </c>
      <c r="C2364" s="2" t="s">
        <v>56</v>
      </c>
      <c r="D2364" s="2" t="s">
        <v>57</v>
      </c>
      <c r="E2364" s="5">
        <v>-28009</v>
      </c>
      <c r="F2364" s="3" t="s">
        <v>307</v>
      </c>
      <c r="G2364" s="3" t="s">
        <v>27</v>
      </c>
      <c r="H2364" s="2" t="s">
        <v>21</v>
      </c>
      <c r="I2364" s="2" t="s">
        <v>4876</v>
      </c>
      <c r="J2364" s="3" t="str">
        <f>HYPERLINK("https://www.boe.es/gazeta/dias/1823/04/24/pdfs/GES-1823-14.pdf#page=2","Abrir facsímil")</f>
        <v>Abrir facsímil</v>
      </c>
      <c r="K2364" s="3" t="s">
        <v>23</v>
      </c>
    </row>
    <row r="2365" spans="1:11" ht="42" customHeight="1">
      <c r="A2365" s="2" t="s">
        <v>4873</v>
      </c>
      <c r="B2365" s="2" t="s">
        <v>4874</v>
      </c>
      <c r="C2365" s="2" t="s">
        <v>17</v>
      </c>
      <c r="D2365" s="2" t="s">
        <v>18</v>
      </c>
      <c r="E2365" s="5">
        <v>-28009</v>
      </c>
      <c r="F2365" s="3" t="s">
        <v>212</v>
      </c>
      <c r="G2365" s="3" t="s">
        <v>48</v>
      </c>
      <c r="H2365" s="2" t="s">
        <v>21</v>
      </c>
      <c r="I2365" s="2" t="s">
        <v>4877</v>
      </c>
      <c r="J2365" s="3" t="str">
        <f>HYPERLINK("https://www.boe.es/gazeta/dias/1823/04/24/pdfs/GMD-1823-52.pdf#page=3","Abrir facsímil")</f>
        <v>Abrir facsímil</v>
      </c>
      <c r="K2365" s="3" t="s">
        <v>23</v>
      </c>
    </row>
    <row r="2366" spans="1:11" ht="42" customHeight="1">
      <c r="A2366" s="2" t="s">
        <v>4878</v>
      </c>
      <c r="B2366" s="2" t="s">
        <v>4879</v>
      </c>
      <c r="C2366" s="2" t="s">
        <v>17</v>
      </c>
      <c r="D2366" s="2" t="s">
        <v>18</v>
      </c>
      <c r="E2366" s="5">
        <v>-27939</v>
      </c>
      <c r="F2366" s="3" t="s">
        <v>1403</v>
      </c>
      <c r="G2366" s="3" t="s">
        <v>27</v>
      </c>
      <c r="H2366" s="2" t="s">
        <v>21</v>
      </c>
      <c r="I2366" s="2" t="s">
        <v>4880</v>
      </c>
      <c r="J2366" s="3" t="str">
        <f>HYPERLINK("https://www.boe.es/gazeta/dias/1823/07/03/pdfs/GMD-1823-333.pdf#page=2","Abrir facsímil")</f>
        <v>Abrir facsímil</v>
      </c>
      <c r="K2366" s="3" t="s">
        <v>23</v>
      </c>
    </row>
    <row r="2367" spans="1:11" ht="42" customHeight="1">
      <c r="A2367" s="2" t="s">
        <v>4881</v>
      </c>
      <c r="B2367" s="2" t="s">
        <v>4882</v>
      </c>
      <c r="C2367" s="2" t="s">
        <v>17</v>
      </c>
      <c r="D2367" s="2" t="s">
        <v>18</v>
      </c>
      <c r="E2367" s="5">
        <v>-28025</v>
      </c>
      <c r="F2367" s="3" t="s">
        <v>477</v>
      </c>
      <c r="G2367" s="3" t="s">
        <v>48</v>
      </c>
      <c r="H2367" s="2" t="s">
        <v>21</v>
      </c>
      <c r="I2367" s="2" t="s">
        <v>4883</v>
      </c>
      <c r="J2367" s="3" t="str">
        <f>HYPERLINK("https://www.boe.es/gazeta/dias/1823/04/08/pdfs/GMD-1823-103.pdf#page=3","Abrir facsímil")</f>
        <v>Abrir facsímil</v>
      </c>
      <c r="K2367" s="3" t="s">
        <v>23</v>
      </c>
    </row>
    <row r="2368" spans="1:11" ht="42" customHeight="1">
      <c r="A2368" s="2" t="s">
        <v>4884</v>
      </c>
      <c r="B2368" s="2" t="s">
        <v>4885</v>
      </c>
      <c r="C2368" s="2" t="s">
        <v>73</v>
      </c>
      <c r="D2368" s="2" t="s">
        <v>74</v>
      </c>
      <c r="E2368" s="5">
        <v>-27965</v>
      </c>
      <c r="F2368" s="3" t="s">
        <v>208</v>
      </c>
      <c r="G2368" s="3" t="s">
        <v>39</v>
      </c>
      <c r="H2368" s="2" t="s">
        <v>21</v>
      </c>
      <c r="I2368" s="2" t="s">
        <v>4886</v>
      </c>
      <c r="J2368" s="3" t="str">
        <f>HYPERLINK("https://www.boe.es/gazeta/dias/1823/06/07/pdfs/GES-1823-61.pdf#page=1","Abrir facsímil")</f>
        <v>Abrir facsímil</v>
      </c>
      <c r="K2368" s="3" t="s">
        <v>23</v>
      </c>
    </row>
    <row r="2369" spans="1:11" ht="42" customHeight="1">
      <c r="A2369" s="2" t="s">
        <v>4887</v>
      </c>
      <c r="B2369" s="2" t="s">
        <v>4888</v>
      </c>
      <c r="C2369" s="2" t="s">
        <v>79</v>
      </c>
      <c r="D2369" s="2" t="s">
        <v>74</v>
      </c>
      <c r="E2369" s="5">
        <v>-27967</v>
      </c>
      <c r="F2369" s="3" t="s">
        <v>412</v>
      </c>
      <c r="G2369" s="3" t="s">
        <v>39</v>
      </c>
      <c r="H2369" s="2" t="s">
        <v>21</v>
      </c>
      <c r="I2369" s="2" t="s">
        <v>4889</v>
      </c>
      <c r="J2369" s="3" t="str">
        <f>HYPERLINK("https://www.boe.es/gazeta/dias/1823/06/05/pdfs/GES-1823-59.pdf#page=1","Abrir facsímil")</f>
        <v>Abrir facsímil</v>
      </c>
      <c r="K2369" s="3" t="s">
        <v>23</v>
      </c>
    </row>
    <row r="2370" spans="1:11" ht="42" customHeight="1">
      <c r="A2370" s="2" t="s">
        <v>4887</v>
      </c>
      <c r="B2370" s="2" t="s">
        <v>4888</v>
      </c>
      <c r="C2370" s="2" t="s">
        <v>79</v>
      </c>
      <c r="D2370" s="2" t="s">
        <v>74</v>
      </c>
      <c r="E2370" s="5">
        <v>-27963</v>
      </c>
      <c r="F2370" s="3" t="s">
        <v>344</v>
      </c>
      <c r="G2370" s="3" t="s">
        <v>20</v>
      </c>
      <c r="H2370" s="2" t="s">
        <v>21</v>
      </c>
      <c r="I2370" s="2" t="s">
        <v>4890</v>
      </c>
      <c r="J2370" s="3" t="str">
        <f>HYPERLINK("https://www.boe.es/gazeta/dias/1823/06/09/pdfs/GES-1823-63.pdf#page=4","Abrir facsímil")</f>
        <v>Abrir facsímil</v>
      </c>
      <c r="K2370" s="3" t="s">
        <v>23</v>
      </c>
    </row>
    <row r="2371" spans="1:11" ht="42" customHeight="1">
      <c r="A2371" s="2" t="s">
        <v>4891</v>
      </c>
      <c r="B2371" s="2" t="s">
        <v>4892</v>
      </c>
      <c r="C2371" s="2" t="s">
        <v>17</v>
      </c>
      <c r="D2371" s="2" t="s">
        <v>18</v>
      </c>
      <c r="E2371" s="5">
        <v>-28074</v>
      </c>
      <c r="F2371" s="3" t="s">
        <v>212</v>
      </c>
      <c r="G2371" s="3" t="s">
        <v>39</v>
      </c>
      <c r="H2371" s="2" t="s">
        <v>21</v>
      </c>
      <c r="I2371" s="2" t="s">
        <v>4893</v>
      </c>
      <c r="J2371" s="3" t="str">
        <f>HYPERLINK("https://www.boe.es/gazeta/dias/1823/02/18/pdfs/GMD-1823-52.pdf#page=1","Abrir facsímil")</f>
        <v>Abrir facsímil</v>
      </c>
      <c r="K2371" s="3" t="s">
        <v>23</v>
      </c>
    </row>
    <row r="2372" spans="1:11" ht="42" customHeight="1">
      <c r="A2372" s="2" t="s">
        <v>4891</v>
      </c>
      <c r="B2372" s="2" t="s">
        <v>4892</v>
      </c>
      <c r="C2372" s="2" t="s">
        <v>17</v>
      </c>
      <c r="D2372" s="2" t="s">
        <v>18</v>
      </c>
      <c r="E2372" s="5">
        <v>-27963</v>
      </c>
      <c r="F2372" s="3" t="s">
        <v>344</v>
      </c>
      <c r="G2372" s="3" t="s">
        <v>48</v>
      </c>
      <c r="H2372" s="2" t="s">
        <v>21</v>
      </c>
      <c r="I2372" s="2" t="s">
        <v>4894</v>
      </c>
      <c r="J2372" s="3" t="str">
        <f>HYPERLINK("https://www.boe.es/gazeta/dias/1823/06/09/pdfs/GES-1823-63.pdf#page=3","Abrir facsímil")</f>
        <v>Abrir facsímil</v>
      </c>
      <c r="K2372" s="3" t="s">
        <v>23</v>
      </c>
    </row>
    <row r="2373" spans="1:11" ht="42" customHeight="1">
      <c r="A2373" s="2" t="s">
        <v>4895</v>
      </c>
      <c r="B2373" s="2" t="s">
        <v>4895</v>
      </c>
      <c r="C2373" s="2" t="s">
        <v>79</v>
      </c>
      <c r="D2373" s="2" t="s">
        <v>74</v>
      </c>
      <c r="E2373" s="5">
        <v>-28032</v>
      </c>
      <c r="F2373" s="3" t="s">
        <v>668</v>
      </c>
      <c r="G2373" s="3" t="s">
        <v>48</v>
      </c>
      <c r="H2373" s="2" t="s">
        <v>21</v>
      </c>
      <c r="I2373" s="2" t="s">
        <v>4896</v>
      </c>
      <c r="J2373" s="3" t="str">
        <f>HYPERLINK("https://www.boe.es/gazeta/dias/1823/04/01/pdfs/GMD-1823-95.pdf#page=3","Abrir facsímil")</f>
        <v>Abrir facsímil</v>
      </c>
      <c r="K2373" s="3" t="s">
        <v>23</v>
      </c>
    </row>
    <row r="2374" spans="1:11" ht="42" customHeight="1">
      <c r="A2374" s="2" t="s">
        <v>4897</v>
      </c>
      <c r="B2374" s="2" t="s">
        <v>4898</v>
      </c>
      <c r="C2374" s="2" t="s">
        <v>56</v>
      </c>
      <c r="D2374" s="2" t="s">
        <v>57</v>
      </c>
      <c r="E2374" s="5">
        <v>-28031</v>
      </c>
      <c r="F2374" s="3" t="s">
        <v>1211</v>
      </c>
      <c r="G2374" s="3" t="s">
        <v>20</v>
      </c>
      <c r="H2374" s="2" t="s">
        <v>21</v>
      </c>
      <c r="I2374" s="2" t="s">
        <v>4899</v>
      </c>
      <c r="J2374" s="3" t="str">
        <f>HYPERLINK("https://www.boe.es/gazeta/dias/1823/04/02/pdfs/GMD-1823-96.pdf#page=4","Abrir facsímil")</f>
        <v>Abrir facsímil</v>
      </c>
      <c r="K2374" s="3" t="s">
        <v>23</v>
      </c>
    </row>
    <row r="2375" spans="1:11" ht="42" customHeight="1">
      <c r="A2375" s="2" t="s">
        <v>4900</v>
      </c>
      <c r="B2375" s="2" t="s">
        <v>4901</v>
      </c>
      <c r="C2375" s="2" t="s">
        <v>109</v>
      </c>
      <c r="D2375" s="2" t="s">
        <v>74</v>
      </c>
      <c r="E2375" s="5">
        <v>-28056</v>
      </c>
      <c r="F2375" s="3" t="s">
        <v>572</v>
      </c>
      <c r="G2375" s="3" t="s">
        <v>59</v>
      </c>
      <c r="H2375" s="2" t="s">
        <v>21</v>
      </c>
      <c r="I2375" s="2" t="s">
        <v>4902</v>
      </c>
      <c r="J2375" s="3" t="str">
        <f>HYPERLINK("https://www.boe.es/gazeta/dias/1823/03/08/pdfs/GMD-1823-71.pdf#page=6","Abrir facsímil")</f>
        <v>Abrir facsímil</v>
      </c>
      <c r="K2375" s="3" t="s">
        <v>23</v>
      </c>
    </row>
    <row r="2376" spans="1:11" ht="42" customHeight="1">
      <c r="A2376" s="2" t="s">
        <v>4903</v>
      </c>
      <c r="B2376" s="2" t="s">
        <v>4904</v>
      </c>
      <c r="C2376" s="2" t="s">
        <v>73</v>
      </c>
      <c r="D2376" s="2" t="s">
        <v>74</v>
      </c>
      <c r="E2376" s="5">
        <v>-28115</v>
      </c>
      <c r="F2376" s="3" t="s">
        <v>579</v>
      </c>
      <c r="G2376" s="3" t="s">
        <v>1458</v>
      </c>
      <c r="H2376" s="2" t="s">
        <v>21</v>
      </c>
      <c r="I2376" s="2" t="s">
        <v>4905</v>
      </c>
      <c r="J2376" s="3" t="str">
        <f>HYPERLINK("https://www.boe.es/gazeta/dias/1823/01/08/pdfs/GMD-1823-8.pdf#page=4","Abrir facsímil")</f>
        <v>Abrir facsímil</v>
      </c>
      <c r="K2376" s="3" t="s">
        <v>23</v>
      </c>
    </row>
    <row r="2377" spans="1:11" ht="42" customHeight="1">
      <c r="A2377" s="2" t="s">
        <v>4906</v>
      </c>
      <c r="B2377" s="2" t="s">
        <v>4907</v>
      </c>
      <c r="C2377" s="2" t="s">
        <v>17</v>
      </c>
      <c r="D2377" s="2" t="s">
        <v>18</v>
      </c>
      <c r="E2377" s="5">
        <v>-28037</v>
      </c>
      <c r="F2377" s="3" t="s">
        <v>192</v>
      </c>
      <c r="G2377" s="3" t="s">
        <v>48</v>
      </c>
      <c r="H2377" s="2" t="s">
        <v>21</v>
      </c>
      <c r="I2377" s="2" t="s">
        <v>4908</v>
      </c>
      <c r="J2377" s="3" t="str">
        <f>HYPERLINK("https://www.boe.es/gazeta/dias/1823/03/27/pdfs/GMD-1823-90.pdf#page=3","Abrir facsímil")</f>
        <v>Abrir facsímil</v>
      </c>
      <c r="K2377" s="3" t="s">
        <v>23</v>
      </c>
    </row>
    <row r="2378" spans="1:11" ht="42" customHeight="1">
      <c r="A2378" s="2" t="s">
        <v>4906</v>
      </c>
      <c r="B2378" s="2" t="s">
        <v>4907</v>
      </c>
      <c r="C2378" s="2" t="s">
        <v>325</v>
      </c>
      <c r="D2378" s="2" t="s">
        <v>74</v>
      </c>
      <c r="E2378" s="5">
        <v>-28037</v>
      </c>
      <c r="F2378" s="3" t="s">
        <v>192</v>
      </c>
      <c r="G2378" s="3" t="s">
        <v>20</v>
      </c>
      <c r="H2378" s="2" t="s">
        <v>21</v>
      </c>
      <c r="I2378" s="2" t="s">
        <v>4909</v>
      </c>
      <c r="J2378" s="3" t="str">
        <f>HYPERLINK("https://www.boe.es/gazeta/dias/1823/03/27/pdfs/GMD-1823-90.pdf#page=4","Abrir facsímil")</f>
        <v>Abrir facsímil</v>
      </c>
      <c r="K2378" s="3" t="s">
        <v>23</v>
      </c>
    </row>
    <row r="2379" spans="1:11" ht="42" customHeight="1">
      <c r="A2379" s="2" t="s">
        <v>4910</v>
      </c>
      <c r="B2379" s="2" t="s">
        <v>4910</v>
      </c>
      <c r="C2379" s="2" t="s">
        <v>17</v>
      </c>
      <c r="D2379" s="2" t="s">
        <v>18</v>
      </c>
      <c r="E2379" s="5">
        <v>-27890</v>
      </c>
      <c r="F2379" s="3" t="s">
        <v>1573</v>
      </c>
      <c r="G2379" s="3" t="s">
        <v>20</v>
      </c>
      <c r="H2379" s="2" t="s">
        <v>21</v>
      </c>
      <c r="I2379" s="2" t="s">
        <v>4911</v>
      </c>
      <c r="J2379" s="3" t="str">
        <f>HYPERLINK("https://www.boe.es/gazeta/dias/1823/08/21/pdfs/GMD-1823-623.pdf#page=4","Abrir facsímil")</f>
        <v>Abrir facsímil</v>
      </c>
      <c r="K2379" s="3" t="s">
        <v>23</v>
      </c>
    </row>
    <row r="2380" spans="1:11" ht="42" customHeight="1">
      <c r="A2380" s="2" t="s">
        <v>4910</v>
      </c>
      <c r="B2380" s="2" t="s">
        <v>4910</v>
      </c>
      <c r="C2380" s="2" t="s">
        <v>17</v>
      </c>
      <c r="D2380" s="2" t="s">
        <v>18</v>
      </c>
      <c r="E2380" s="5">
        <v>-27863</v>
      </c>
      <c r="F2380" s="3" t="s">
        <v>651</v>
      </c>
      <c r="G2380" s="3" t="s">
        <v>48</v>
      </c>
      <c r="H2380" s="2" t="s">
        <v>21</v>
      </c>
      <c r="I2380" s="2" t="s">
        <v>4912</v>
      </c>
      <c r="J2380" s="3" t="str">
        <f>HYPERLINK("https://www.boe.es/gazeta/dias/1823/09/17/pdfs/GES-1823-161.pdf#page=3","Abrir facsímil")</f>
        <v>Abrir facsímil</v>
      </c>
      <c r="K2380" s="3" t="s">
        <v>23</v>
      </c>
    </row>
    <row r="2381" spans="1:11" ht="42" customHeight="1">
      <c r="A2381" s="2" t="s">
        <v>4913</v>
      </c>
      <c r="B2381" s="2" t="s">
        <v>4913</v>
      </c>
      <c r="C2381" s="2" t="s">
        <v>17</v>
      </c>
      <c r="D2381" s="2" t="s">
        <v>18</v>
      </c>
      <c r="E2381" s="5">
        <v>-27871</v>
      </c>
      <c r="F2381" s="3" t="s">
        <v>1330</v>
      </c>
      <c r="G2381" s="3" t="s">
        <v>20</v>
      </c>
      <c r="H2381" s="2" t="s">
        <v>21</v>
      </c>
      <c r="I2381" s="2" t="s">
        <v>4914</v>
      </c>
      <c r="J2381" s="3" t="str">
        <f>HYPERLINK("https://www.boe.es/gazeta/dias/1823/09/09/pdfs/GMD-1823-733.pdf#page=4","Abrir facsímil")</f>
        <v>Abrir facsímil</v>
      </c>
      <c r="K2381" s="3" t="s">
        <v>23</v>
      </c>
    </row>
    <row r="2382" spans="1:11" ht="42" customHeight="1">
      <c r="A2382" s="2" t="s">
        <v>4913</v>
      </c>
      <c r="B2382" s="2" t="s">
        <v>4913</v>
      </c>
      <c r="C2382" s="2" t="s">
        <v>17</v>
      </c>
      <c r="D2382" s="2" t="s">
        <v>117</v>
      </c>
      <c r="E2382" s="5">
        <v>-27869</v>
      </c>
      <c r="F2382" s="3" t="s">
        <v>2363</v>
      </c>
      <c r="G2382" s="3" t="s">
        <v>39</v>
      </c>
      <c r="H2382" s="2" t="s">
        <v>21</v>
      </c>
      <c r="I2382" s="2" t="s">
        <v>4915</v>
      </c>
      <c r="J2382" s="3" t="str">
        <f>HYPERLINK("https://www.boe.es/gazeta/dias/1823/09/11/pdfs/GMD-1823-763E.pdf#page=1","Abrir facsímil")</f>
        <v>Abrir facsímil</v>
      </c>
      <c r="K2382" s="3" t="s">
        <v>23</v>
      </c>
    </row>
    <row r="2383" spans="1:11" ht="42" customHeight="1">
      <c r="A2383" s="2" t="s">
        <v>4916</v>
      </c>
      <c r="B2383" s="2" t="s">
        <v>4917</v>
      </c>
      <c r="C2383" s="2" t="s">
        <v>17</v>
      </c>
      <c r="D2383" s="2" t="s">
        <v>18</v>
      </c>
      <c r="E2383" s="5">
        <v>-27927</v>
      </c>
      <c r="F2383" s="3" t="s">
        <v>2409</v>
      </c>
      <c r="G2383" s="3" t="s">
        <v>39</v>
      </c>
      <c r="H2383" s="2" t="s">
        <v>21</v>
      </c>
      <c r="I2383" s="2" t="s">
        <v>4918</v>
      </c>
      <c r="J2383" s="3" t="str">
        <f>HYPERLINK("https://www.boe.es/gazeta/dias/1823/07/15/pdfs/GMD-1823-403.pdf#page=1","Abrir facsímil")</f>
        <v>Abrir facsímil</v>
      </c>
      <c r="K2383" s="3" t="s">
        <v>23</v>
      </c>
    </row>
    <row r="2384" spans="1:11" ht="42" customHeight="1">
      <c r="A2384" s="2" t="s">
        <v>4916</v>
      </c>
      <c r="B2384" s="2" t="s">
        <v>4917</v>
      </c>
      <c r="C2384" s="2" t="s">
        <v>17</v>
      </c>
      <c r="D2384" s="2" t="s">
        <v>117</v>
      </c>
      <c r="E2384" s="5">
        <v>-27869</v>
      </c>
      <c r="F2384" s="3" t="s">
        <v>2363</v>
      </c>
      <c r="G2384" s="3" t="s">
        <v>39</v>
      </c>
      <c r="H2384" s="2" t="s">
        <v>21</v>
      </c>
      <c r="I2384" s="2" t="s">
        <v>4919</v>
      </c>
      <c r="J2384" s="3" t="str">
        <f>HYPERLINK("https://www.boe.es/gazeta/dias/1823/09/11/pdfs/GMD-1823-763E.pdf#page=1","Abrir facsímil")</f>
        <v>Abrir facsímil</v>
      </c>
      <c r="K2384" s="3" t="s">
        <v>23</v>
      </c>
    </row>
    <row r="2385" spans="1:11" ht="42" customHeight="1">
      <c r="A2385" s="2" t="s">
        <v>4916</v>
      </c>
      <c r="B2385" s="2" t="s">
        <v>4917</v>
      </c>
      <c r="C2385" s="2" t="s">
        <v>17</v>
      </c>
      <c r="D2385" s="2" t="s">
        <v>18</v>
      </c>
      <c r="E2385" s="5">
        <v>-27867</v>
      </c>
      <c r="F2385" s="3" t="s">
        <v>1585</v>
      </c>
      <c r="G2385" s="3" t="s">
        <v>39</v>
      </c>
      <c r="H2385" s="2" t="s">
        <v>21</v>
      </c>
      <c r="I2385" s="2" t="s">
        <v>4920</v>
      </c>
      <c r="J2385" s="3" t="str">
        <f>HYPERLINK("https://www.boe.es/gazeta/dias/1823/09/13/pdfs/GMD-1823-773.pdf#page=1","Abrir facsímil")</f>
        <v>Abrir facsímil</v>
      </c>
      <c r="K2385" s="3" t="s">
        <v>23</v>
      </c>
    </row>
    <row r="2386" spans="1:11" ht="42" customHeight="1">
      <c r="A2386" s="2" t="s">
        <v>4916</v>
      </c>
      <c r="B2386" s="2" t="s">
        <v>4917</v>
      </c>
      <c r="C2386" s="2" t="s">
        <v>17</v>
      </c>
      <c r="D2386" s="2" t="s">
        <v>18</v>
      </c>
      <c r="E2386" s="5">
        <v>-27843</v>
      </c>
      <c r="F2386" s="3" t="s">
        <v>790</v>
      </c>
      <c r="G2386" s="3" t="s">
        <v>27</v>
      </c>
      <c r="H2386" s="2" t="s">
        <v>21</v>
      </c>
      <c r="I2386" s="2" t="s">
        <v>4921</v>
      </c>
      <c r="J2386" s="3" t="str">
        <f>HYPERLINK("https://www.boe.es/gazeta/dias/1823/10/07/pdfs/GMD-1823-933.pdf#page=2","Abrir facsímil")</f>
        <v>Abrir facsímil</v>
      </c>
      <c r="K2386" s="3" t="s">
        <v>23</v>
      </c>
    </row>
    <row r="2387" spans="1:11" ht="42" customHeight="1">
      <c r="A2387" s="2" t="s">
        <v>4916</v>
      </c>
      <c r="B2387" s="2" t="s">
        <v>4917</v>
      </c>
      <c r="C2387" s="2" t="s">
        <v>17</v>
      </c>
      <c r="D2387" s="2" t="s">
        <v>18</v>
      </c>
      <c r="E2387" s="5">
        <v>-27832</v>
      </c>
      <c r="F2387" s="3" t="s">
        <v>1815</v>
      </c>
      <c r="G2387" s="3" t="s">
        <v>27</v>
      </c>
      <c r="H2387" s="2" t="s">
        <v>21</v>
      </c>
      <c r="I2387" s="2" t="s">
        <v>4922</v>
      </c>
      <c r="J2387" s="3" t="str">
        <f>HYPERLINK("https://www.boe.es/gazeta/dias/1823/10/18/pdfs/GMD-1823-993.pdf#page=2","Abrir facsímil")</f>
        <v>Abrir facsímil</v>
      </c>
      <c r="K2387" s="3" t="s">
        <v>23</v>
      </c>
    </row>
    <row r="2388" spans="1:11" ht="42" customHeight="1">
      <c r="A2388" s="2" t="s">
        <v>4923</v>
      </c>
      <c r="B2388" s="2" t="s">
        <v>4923</v>
      </c>
      <c r="C2388" s="2" t="s">
        <v>73</v>
      </c>
      <c r="D2388" s="2" t="s">
        <v>74</v>
      </c>
      <c r="E2388" s="5">
        <v>-28122</v>
      </c>
      <c r="F2388" s="3" t="s">
        <v>269</v>
      </c>
      <c r="G2388" s="3" t="s">
        <v>20</v>
      </c>
      <c r="H2388" s="2" t="s">
        <v>21</v>
      </c>
      <c r="I2388" s="2" t="s">
        <v>4924</v>
      </c>
      <c r="J2388" s="3" t="str">
        <f>HYPERLINK("https://www.boe.es/gazeta/dias/1823/01/01/pdfs/GMD-1823-1.pdf#page=4","Abrir facsímil")</f>
        <v>Abrir facsímil</v>
      </c>
      <c r="K2388" s="3" t="s">
        <v>23</v>
      </c>
    </row>
    <row r="2389" spans="1:11" ht="42" customHeight="1">
      <c r="A2389" s="2" t="s">
        <v>4925</v>
      </c>
      <c r="B2389" s="2" t="s">
        <v>4926</v>
      </c>
      <c r="C2389" s="2" t="s">
        <v>17</v>
      </c>
      <c r="D2389" s="2" t="s">
        <v>18</v>
      </c>
      <c r="E2389" s="5">
        <v>-27875</v>
      </c>
      <c r="F2389" s="3" t="s">
        <v>1858</v>
      </c>
      <c r="G2389" s="3" t="s">
        <v>39</v>
      </c>
      <c r="H2389" s="2" t="s">
        <v>21</v>
      </c>
      <c r="I2389" s="2" t="s">
        <v>4927</v>
      </c>
      <c r="J2389" s="3" t="str">
        <f>HYPERLINK("https://www.boe.es/gazeta/dias/1823/09/05/pdfs/GES-1823-149.pdf#page=1","Abrir facsímil")</f>
        <v>Abrir facsímil</v>
      </c>
      <c r="K2389" s="3" t="s">
        <v>23</v>
      </c>
    </row>
    <row r="2390" spans="1:11" ht="42" customHeight="1">
      <c r="A2390" s="2" t="s">
        <v>4928</v>
      </c>
      <c r="B2390" s="2" t="s">
        <v>4929</v>
      </c>
      <c r="C2390" s="2" t="s">
        <v>17</v>
      </c>
      <c r="D2390" s="2" t="s">
        <v>18</v>
      </c>
      <c r="E2390" s="5">
        <v>-28018</v>
      </c>
      <c r="F2390" s="3" t="s">
        <v>2613</v>
      </c>
      <c r="G2390" s="3" t="s">
        <v>20</v>
      </c>
      <c r="H2390" s="2" t="s">
        <v>21</v>
      </c>
      <c r="I2390" s="2" t="s">
        <v>4930</v>
      </c>
      <c r="J2390" s="3" t="str">
        <f>HYPERLINK("https://www.boe.es/gazeta/dias/1823/04/15/pdfs/GES-1823-5.pdf#page=4","Abrir facsímil")</f>
        <v>Abrir facsímil</v>
      </c>
      <c r="K2390" s="3" t="s">
        <v>23</v>
      </c>
    </row>
    <row r="2391" spans="1:11" ht="42" customHeight="1">
      <c r="A2391" s="2" t="s">
        <v>4931</v>
      </c>
      <c r="B2391" s="2" t="s">
        <v>4932</v>
      </c>
      <c r="C2391" s="2" t="s">
        <v>17</v>
      </c>
      <c r="D2391" s="2" t="s">
        <v>18</v>
      </c>
      <c r="E2391" s="5">
        <v>-27875</v>
      </c>
      <c r="F2391" s="3" t="s">
        <v>1858</v>
      </c>
      <c r="G2391" s="3" t="s">
        <v>4933</v>
      </c>
      <c r="H2391" s="2" t="s">
        <v>21</v>
      </c>
      <c r="I2391" s="2" t="s">
        <v>4934</v>
      </c>
      <c r="J2391" s="3" t="str">
        <f>HYPERLINK("https://www.boe.es/gazeta/dias/1823/09/05/pdfs/GES-1823-149.pdf#page=3","Abrir facsímil")</f>
        <v>Abrir facsímil</v>
      </c>
      <c r="K2391" s="3" t="s">
        <v>23</v>
      </c>
    </row>
    <row r="2392" spans="1:11" ht="42" customHeight="1">
      <c r="A2392" s="2" t="s">
        <v>4935</v>
      </c>
      <c r="B2392" s="2" t="s">
        <v>4935</v>
      </c>
      <c r="C2392" s="2" t="s">
        <v>56</v>
      </c>
      <c r="D2392" s="2" t="s">
        <v>57</v>
      </c>
      <c r="E2392" s="5">
        <v>-27848</v>
      </c>
      <c r="F2392" s="3" t="s">
        <v>1083</v>
      </c>
      <c r="G2392" s="3" t="s">
        <v>3622</v>
      </c>
      <c r="H2392" s="2" t="s">
        <v>21</v>
      </c>
      <c r="I2392" s="2" t="s">
        <v>4936</v>
      </c>
      <c r="J2392" s="3" t="str">
        <f>HYPERLINK("https://www.boe.es/gazeta/dias/1823/10/02/pdfs/GES-1823-176.pdf#page=4","Abrir facsímil")</f>
        <v>Abrir facsímil</v>
      </c>
      <c r="K2392" s="3" t="s">
        <v>23</v>
      </c>
    </row>
    <row r="2393" spans="1:11" ht="42" customHeight="1">
      <c r="A2393" s="2" t="s">
        <v>4937</v>
      </c>
      <c r="B2393" s="2" t="s">
        <v>4938</v>
      </c>
      <c r="C2393" s="2" t="s">
        <v>17</v>
      </c>
      <c r="D2393" s="2" t="s">
        <v>18</v>
      </c>
      <c r="E2393" s="5">
        <v>-28085</v>
      </c>
      <c r="F2393" s="3" t="s">
        <v>458</v>
      </c>
      <c r="G2393" s="3" t="s">
        <v>59</v>
      </c>
      <c r="H2393" s="2" t="s">
        <v>21</v>
      </c>
      <c r="I2393" s="2" t="s">
        <v>4939</v>
      </c>
      <c r="J2393" s="3" t="str">
        <f>HYPERLINK("https://www.boe.es/gazeta/dias/1823/02/07/pdfs/GMD-1823-40.pdf#page=6","Abrir facsímil")</f>
        <v>Abrir facsímil</v>
      </c>
      <c r="K2393" s="3" t="s">
        <v>23</v>
      </c>
    </row>
    <row r="2394" spans="1:11" ht="42" customHeight="1">
      <c r="A2394" s="2" t="s">
        <v>4940</v>
      </c>
      <c r="B2394" s="2" t="s">
        <v>4941</v>
      </c>
      <c r="C2394" s="2" t="s">
        <v>84</v>
      </c>
      <c r="D2394" s="2" t="s">
        <v>74</v>
      </c>
      <c r="E2394" s="5">
        <v>-27888</v>
      </c>
      <c r="F2394" s="3" t="s">
        <v>232</v>
      </c>
      <c r="G2394" s="3" t="s">
        <v>59</v>
      </c>
      <c r="H2394" s="2" t="s">
        <v>21</v>
      </c>
      <c r="I2394" s="2" t="s">
        <v>4942</v>
      </c>
      <c r="J2394" s="3" t="str">
        <f>HYPERLINK("https://www.boe.es/gazeta/dias/1823/08/23/pdfs/GMD-1823-633.pdf#page=6","Abrir facsímil")</f>
        <v>Abrir facsímil</v>
      </c>
      <c r="K2394" s="3" t="s">
        <v>23</v>
      </c>
    </row>
    <row r="2395" spans="1:11" ht="42" customHeight="1">
      <c r="A2395" s="2" t="s">
        <v>4943</v>
      </c>
      <c r="B2395" s="2" t="s">
        <v>4944</v>
      </c>
      <c r="C2395" s="2" t="s">
        <v>17</v>
      </c>
      <c r="D2395" s="2" t="s">
        <v>18</v>
      </c>
      <c r="E2395" s="5">
        <v>-27983</v>
      </c>
      <c r="F2395" s="3" t="s">
        <v>337</v>
      </c>
      <c r="G2395" s="3" t="s">
        <v>27</v>
      </c>
      <c r="H2395" s="2" t="s">
        <v>21</v>
      </c>
      <c r="I2395" s="2" t="s">
        <v>4945</v>
      </c>
      <c r="J2395" s="3" t="str">
        <f>HYPERLINK("https://www.boe.es/gazeta/dias/1823/05/20/pdfs/GES-1823-40.pdf#page=2","Abrir facsímil")</f>
        <v>Abrir facsímil</v>
      </c>
      <c r="K2395" s="3" t="s">
        <v>23</v>
      </c>
    </row>
    <row r="2396" spans="1:11" ht="42" customHeight="1">
      <c r="A2396" s="2" t="s">
        <v>4946</v>
      </c>
      <c r="B2396" s="2" t="s">
        <v>4947</v>
      </c>
      <c r="C2396" s="2" t="s">
        <v>17</v>
      </c>
      <c r="D2396" s="2" t="s">
        <v>18</v>
      </c>
      <c r="E2396" s="5">
        <v>-27892</v>
      </c>
      <c r="F2396" s="3" t="s">
        <v>1571</v>
      </c>
      <c r="G2396" s="3" t="s">
        <v>48</v>
      </c>
      <c r="H2396" s="2" t="s">
        <v>21</v>
      </c>
      <c r="I2396" s="2" t="s">
        <v>4948</v>
      </c>
      <c r="J2396" s="3" t="str">
        <f>HYPERLINK("https://www.boe.es/gazeta/dias/1823/08/19/pdfs/GMD-1823-613.pdf#page=3","Abrir facsímil")</f>
        <v>Abrir facsímil</v>
      </c>
      <c r="K2396" s="3" t="s">
        <v>23</v>
      </c>
    </row>
    <row r="2397" spans="1:11" ht="42" customHeight="1">
      <c r="A2397" s="2" t="s">
        <v>4949</v>
      </c>
      <c r="B2397" s="2" t="s">
        <v>4949</v>
      </c>
      <c r="C2397" s="2" t="s">
        <v>17</v>
      </c>
      <c r="D2397" s="2" t="s">
        <v>18</v>
      </c>
      <c r="E2397" s="5">
        <v>-27874</v>
      </c>
      <c r="F2397" s="3" t="s">
        <v>1410</v>
      </c>
      <c r="G2397" s="3" t="s">
        <v>39</v>
      </c>
      <c r="H2397" s="2" t="s">
        <v>21</v>
      </c>
      <c r="I2397" s="2" t="s">
        <v>4950</v>
      </c>
      <c r="J2397" s="3" t="str">
        <f>HYPERLINK("https://www.boe.es/gazeta/dias/1823/09/06/pdfs/GES-1823-150.pdf#page=1","Abrir facsímil")</f>
        <v>Abrir facsímil</v>
      </c>
      <c r="K2397" s="3" t="s">
        <v>23</v>
      </c>
    </row>
    <row r="2398" spans="1:11" ht="42" customHeight="1">
      <c r="A2398" s="2" t="s">
        <v>4951</v>
      </c>
      <c r="B2398" s="2" t="s">
        <v>4952</v>
      </c>
      <c r="C2398" s="2" t="s">
        <v>17</v>
      </c>
      <c r="D2398" s="2" t="s">
        <v>18</v>
      </c>
      <c r="E2398" s="5">
        <v>-27875</v>
      </c>
      <c r="F2398" s="3" t="s">
        <v>1858</v>
      </c>
      <c r="G2398" s="3" t="s">
        <v>2437</v>
      </c>
      <c r="H2398" s="2" t="s">
        <v>21</v>
      </c>
      <c r="I2398" s="2" t="s">
        <v>4953</v>
      </c>
      <c r="J2398" s="3" t="str">
        <f>HYPERLINK("https://www.boe.es/gazeta/dias/1823/09/05/pdfs/GES-1823-149.pdf#page=2","Abrir facsímil")</f>
        <v>Abrir facsímil</v>
      </c>
      <c r="K2398" s="3" t="s">
        <v>23</v>
      </c>
    </row>
    <row r="2399" spans="1:11" ht="42" customHeight="1">
      <c r="A2399" s="2" t="s">
        <v>4954</v>
      </c>
      <c r="B2399" s="2" t="s">
        <v>4954</v>
      </c>
      <c r="C2399" s="2" t="s">
        <v>17</v>
      </c>
      <c r="D2399" s="2" t="s">
        <v>18</v>
      </c>
      <c r="E2399" s="5">
        <v>-28079</v>
      </c>
      <c r="F2399" s="3" t="s">
        <v>178</v>
      </c>
      <c r="G2399" s="3" t="s">
        <v>48</v>
      </c>
      <c r="H2399" s="2" t="s">
        <v>21</v>
      </c>
      <c r="I2399" s="2" t="s">
        <v>4955</v>
      </c>
      <c r="J2399" s="3" t="str">
        <f>HYPERLINK("https://www.boe.es/gazeta/dias/1823/02/13/pdfs/GMD-1823-47.pdf#page=3","Abrir facsímil")</f>
        <v>Abrir facsímil</v>
      </c>
      <c r="K2399" s="3" t="s">
        <v>23</v>
      </c>
    </row>
    <row r="2400" spans="1:11" ht="42" customHeight="1">
      <c r="A2400" s="2" t="s">
        <v>4954</v>
      </c>
      <c r="B2400" s="2" t="s">
        <v>4954</v>
      </c>
      <c r="C2400" s="2" t="s">
        <v>17</v>
      </c>
      <c r="D2400" s="2" t="s">
        <v>18</v>
      </c>
      <c r="E2400" s="5">
        <v>-27881</v>
      </c>
      <c r="F2400" s="3" t="s">
        <v>485</v>
      </c>
      <c r="G2400" s="3" t="s">
        <v>4956</v>
      </c>
      <c r="H2400" s="2" t="s">
        <v>21</v>
      </c>
      <c r="I2400" s="2" t="s">
        <v>4957</v>
      </c>
      <c r="J2400" s="3" t="str">
        <f>HYPERLINK("https://www.boe.es/gazeta/dias/1823/08/30/pdfs/GES-1823-143.pdf#page=1","Abrir facsímil")</f>
        <v>Abrir facsímil</v>
      </c>
      <c r="K2400" s="3" t="s">
        <v>23</v>
      </c>
    </row>
    <row r="2401" spans="1:11" ht="42" customHeight="1">
      <c r="A2401" s="2" t="s">
        <v>4954</v>
      </c>
      <c r="B2401" s="2" t="s">
        <v>4954</v>
      </c>
      <c r="C2401" s="2" t="s">
        <v>17</v>
      </c>
      <c r="D2401" s="2" t="s">
        <v>18</v>
      </c>
      <c r="E2401" s="5">
        <v>-27878</v>
      </c>
      <c r="F2401" s="3" t="s">
        <v>130</v>
      </c>
      <c r="G2401" s="3" t="s">
        <v>48</v>
      </c>
      <c r="H2401" s="2" t="s">
        <v>21</v>
      </c>
      <c r="I2401" s="2" t="s">
        <v>4958</v>
      </c>
      <c r="J2401" s="3" t="str">
        <f>HYPERLINK("https://www.boe.es/gazeta/dias/1823/09/02/pdfs/GES-1823-146.pdf#page=3","Abrir facsímil")</f>
        <v>Abrir facsímil</v>
      </c>
      <c r="K2401" s="3" t="s">
        <v>23</v>
      </c>
    </row>
    <row r="2402" spans="1:11" ht="42" customHeight="1">
      <c r="A2402" s="2" t="s">
        <v>4959</v>
      </c>
      <c r="B2402" s="2" t="s">
        <v>4960</v>
      </c>
      <c r="C2402" s="2" t="s">
        <v>17</v>
      </c>
      <c r="D2402" s="2" t="s">
        <v>18</v>
      </c>
      <c r="E2402" s="5">
        <v>-27874</v>
      </c>
      <c r="F2402" s="3" t="s">
        <v>1410</v>
      </c>
      <c r="G2402" s="3" t="s">
        <v>27</v>
      </c>
      <c r="H2402" s="2" t="s">
        <v>21</v>
      </c>
      <c r="I2402" s="2" t="s">
        <v>4961</v>
      </c>
      <c r="J2402" s="3" t="str">
        <f>HYPERLINK("https://www.boe.es/gazeta/dias/1823/09/06/pdfs/GES-1823-150.pdf#page=2","Abrir facsímil")</f>
        <v>Abrir facsímil</v>
      </c>
      <c r="K2402" s="3" t="s">
        <v>23</v>
      </c>
    </row>
    <row r="2403" spans="1:11" ht="42" customHeight="1">
      <c r="A2403" s="2" t="s">
        <v>4962</v>
      </c>
      <c r="B2403" s="2" t="s">
        <v>4963</v>
      </c>
      <c r="C2403" s="2" t="s">
        <v>17</v>
      </c>
      <c r="D2403" s="2" t="s">
        <v>18</v>
      </c>
      <c r="E2403" s="5">
        <v>-27884</v>
      </c>
      <c r="F2403" s="3" t="s">
        <v>61</v>
      </c>
      <c r="G2403" s="3" t="s">
        <v>27</v>
      </c>
      <c r="H2403" s="2" t="s">
        <v>21</v>
      </c>
      <c r="I2403" s="2" t="s">
        <v>4964</v>
      </c>
      <c r="J2403" s="3" t="str">
        <f>HYPERLINK("https://www.boe.es/gazeta/dias/1823/08/27/pdfs/GES-1823-140.pdf#page=2","Abrir facsímil")</f>
        <v>Abrir facsímil</v>
      </c>
      <c r="K2403" s="3" t="s">
        <v>23</v>
      </c>
    </row>
    <row r="2404" spans="1:11" ht="42" customHeight="1">
      <c r="A2404" s="2" t="s">
        <v>4965</v>
      </c>
      <c r="B2404" s="2" t="s">
        <v>4966</v>
      </c>
      <c r="C2404" s="2" t="s">
        <v>56</v>
      </c>
      <c r="D2404" s="2" t="s">
        <v>57</v>
      </c>
      <c r="E2404" s="5">
        <v>-28028</v>
      </c>
      <c r="F2404" s="3" t="s">
        <v>893</v>
      </c>
      <c r="G2404" s="3" t="s">
        <v>27</v>
      </c>
      <c r="H2404" s="2" t="s">
        <v>21</v>
      </c>
      <c r="I2404" s="2" t="s">
        <v>4967</v>
      </c>
      <c r="J2404" s="3" t="str">
        <f>HYPERLINK("https://www.boe.es/gazeta/dias/1823/04/05/pdfs/GMD-1823-99.pdf#page=2","Abrir facsímil")</f>
        <v>Abrir facsímil</v>
      </c>
      <c r="K2404" s="3" t="s">
        <v>23</v>
      </c>
    </row>
    <row r="2405" spans="1:11" ht="42" customHeight="1">
      <c r="A2405" s="2" t="s">
        <v>4968</v>
      </c>
      <c r="B2405" s="2" t="s">
        <v>4969</v>
      </c>
      <c r="C2405" s="2" t="s">
        <v>17</v>
      </c>
      <c r="D2405" s="2" t="s">
        <v>18</v>
      </c>
      <c r="E2405" s="5">
        <v>-28076</v>
      </c>
      <c r="F2405" s="3" t="s">
        <v>1638</v>
      </c>
      <c r="G2405" s="3" t="s">
        <v>34</v>
      </c>
      <c r="H2405" s="2" t="s">
        <v>21</v>
      </c>
      <c r="I2405" s="2" t="s">
        <v>4970</v>
      </c>
      <c r="J2405" s="3" t="str">
        <f>HYPERLINK("https://www.boe.es/gazeta/dias/1823/02/16/pdfs/GMD-1823-50.pdf#page=5","Abrir facsímil")</f>
        <v>Abrir facsímil</v>
      </c>
      <c r="K2405" s="3" t="s">
        <v>23</v>
      </c>
    </row>
    <row r="2406" spans="1:11" ht="42" customHeight="1">
      <c r="A2406" s="2" t="s">
        <v>4971</v>
      </c>
      <c r="B2406" s="2" t="s">
        <v>4971</v>
      </c>
      <c r="C2406" s="2" t="s">
        <v>73</v>
      </c>
      <c r="D2406" s="2" t="s">
        <v>74</v>
      </c>
      <c r="E2406" s="5">
        <v>-27808</v>
      </c>
      <c r="F2406" s="3" t="s">
        <v>1602</v>
      </c>
      <c r="G2406" s="3" t="s">
        <v>27</v>
      </c>
      <c r="H2406" s="2" t="s">
        <v>21</v>
      </c>
      <c r="I2406" s="2" t="s">
        <v>4972</v>
      </c>
      <c r="J2406" s="3" t="str">
        <f>HYPERLINK("https://www.boe.es/gazeta/dias/1823/11/11/pdfs/GMD-1823-1103.pdf#page=2","Abrir facsímil")</f>
        <v>Abrir facsímil</v>
      </c>
      <c r="K2406" s="3" t="s">
        <v>23</v>
      </c>
    </row>
    <row r="2407" spans="1:11" ht="42" customHeight="1">
      <c r="A2407" s="2" t="s">
        <v>4973</v>
      </c>
      <c r="B2407" s="2" t="s">
        <v>4974</v>
      </c>
      <c r="C2407" s="2" t="s">
        <v>17</v>
      </c>
      <c r="D2407" s="2" t="s">
        <v>18</v>
      </c>
      <c r="E2407" s="5">
        <v>-28085</v>
      </c>
      <c r="F2407" s="3" t="s">
        <v>458</v>
      </c>
      <c r="G2407" s="3" t="s">
        <v>59</v>
      </c>
      <c r="H2407" s="2" t="s">
        <v>21</v>
      </c>
      <c r="I2407" s="2" t="s">
        <v>4975</v>
      </c>
      <c r="J2407" s="3" t="str">
        <f>HYPERLINK("https://www.boe.es/gazeta/dias/1823/02/07/pdfs/GMD-1823-40.pdf#page=6","Abrir facsímil")</f>
        <v>Abrir facsímil</v>
      </c>
      <c r="K2407" s="3" t="s">
        <v>23</v>
      </c>
    </row>
    <row r="2408" spans="1:11" ht="42" customHeight="1">
      <c r="A2408" s="2" t="s">
        <v>4973</v>
      </c>
      <c r="B2408" s="2" t="s">
        <v>4974</v>
      </c>
      <c r="C2408" s="2" t="s">
        <v>17</v>
      </c>
      <c r="D2408" s="2" t="s">
        <v>18</v>
      </c>
      <c r="E2408" s="5">
        <v>-28046</v>
      </c>
      <c r="F2408" s="3" t="s">
        <v>85</v>
      </c>
      <c r="G2408" s="3" t="s">
        <v>20</v>
      </c>
      <c r="H2408" s="2" t="s">
        <v>21</v>
      </c>
      <c r="I2408" s="2" t="s">
        <v>4976</v>
      </c>
      <c r="J2408" s="3" t="str">
        <f>HYPERLINK("https://www.boe.es/gazeta/dias/1823/03/18/pdfs/GMD-1823-81.pdf#page=4","Abrir facsímil")</f>
        <v>Abrir facsímil</v>
      </c>
      <c r="K2408" s="3" t="s">
        <v>23</v>
      </c>
    </row>
    <row r="2409" spans="1:11" ht="42" customHeight="1">
      <c r="A2409" s="2" t="s">
        <v>4977</v>
      </c>
      <c r="B2409" s="2" t="s">
        <v>4978</v>
      </c>
      <c r="C2409" s="2" t="s">
        <v>17</v>
      </c>
      <c r="D2409" s="2" t="s">
        <v>18</v>
      </c>
      <c r="E2409" s="5">
        <v>-27970</v>
      </c>
      <c r="F2409" s="3" t="s">
        <v>1030</v>
      </c>
      <c r="G2409" s="3" t="s">
        <v>20</v>
      </c>
      <c r="H2409" s="2" t="s">
        <v>21</v>
      </c>
      <c r="I2409" s="2" t="s">
        <v>4979</v>
      </c>
      <c r="J2409" s="3" t="str">
        <f>HYPERLINK("https://www.boe.es/gazeta/dias/1823/06/02/pdfs/GES-1823-56.pdf#page=4","Abrir facsímil")</f>
        <v>Abrir facsímil</v>
      </c>
      <c r="K2409" s="3" t="s">
        <v>23</v>
      </c>
    </row>
    <row r="2410" spans="1:11" ht="42" customHeight="1">
      <c r="A2410" s="2" t="s">
        <v>4980</v>
      </c>
      <c r="B2410" s="2" t="s">
        <v>4980</v>
      </c>
      <c r="C2410" s="2" t="s">
        <v>17</v>
      </c>
      <c r="D2410" s="2" t="s">
        <v>18</v>
      </c>
      <c r="E2410" s="5">
        <v>-28022</v>
      </c>
      <c r="F2410" s="3" t="s">
        <v>439</v>
      </c>
      <c r="G2410" s="3" t="s">
        <v>27</v>
      </c>
      <c r="H2410" s="2" t="s">
        <v>21</v>
      </c>
      <c r="I2410" s="2" t="s">
        <v>4981</v>
      </c>
      <c r="J2410" s="3" t="str">
        <f>HYPERLINK("https://www.boe.es/gazeta/dias/1823/04/11/pdfs/GMD-1823-106.pdf#page=2","Abrir facsímil")</f>
        <v>Abrir facsímil</v>
      </c>
      <c r="K2410" s="3" t="s">
        <v>23</v>
      </c>
    </row>
    <row r="2411" spans="1:11" ht="42" customHeight="1">
      <c r="A2411" s="2" t="s">
        <v>4980</v>
      </c>
      <c r="B2411" s="2" t="s">
        <v>4980</v>
      </c>
      <c r="C2411" s="2" t="s">
        <v>17</v>
      </c>
      <c r="D2411" s="2" t="s">
        <v>18</v>
      </c>
      <c r="E2411" s="5">
        <v>-28018</v>
      </c>
      <c r="F2411" s="3" t="s">
        <v>2613</v>
      </c>
      <c r="G2411" s="3" t="s">
        <v>48</v>
      </c>
      <c r="H2411" s="2" t="s">
        <v>21</v>
      </c>
      <c r="I2411" s="2" t="s">
        <v>4982</v>
      </c>
      <c r="J2411" s="3" t="str">
        <f>HYPERLINK("https://www.boe.es/gazeta/dias/1823/04/15/pdfs/GES-1823-5.pdf#page=3","Abrir facsímil")</f>
        <v>Abrir facsímil</v>
      </c>
      <c r="K2411" s="3" t="s">
        <v>23</v>
      </c>
    </row>
    <row r="2412" spans="1:11" ht="42" customHeight="1">
      <c r="A2412" s="2" t="s">
        <v>4980</v>
      </c>
      <c r="B2412" s="2" t="s">
        <v>4980</v>
      </c>
      <c r="C2412" s="2" t="s">
        <v>17</v>
      </c>
      <c r="D2412" s="2" t="s">
        <v>18</v>
      </c>
      <c r="E2412" s="5">
        <v>-28015</v>
      </c>
      <c r="F2412" s="3" t="s">
        <v>985</v>
      </c>
      <c r="G2412" s="3" t="s">
        <v>20</v>
      </c>
      <c r="H2412" s="2" t="s">
        <v>21</v>
      </c>
      <c r="I2412" s="2" t="s">
        <v>4983</v>
      </c>
      <c r="J2412" s="3" t="str">
        <f>HYPERLINK("https://www.boe.es/gazeta/dias/1823/04/18/pdfs/GES-1823-8.pdf#page=4","Abrir facsímil")</f>
        <v>Abrir facsímil</v>
      </c>
      <c r="K2412" s="3" t="s">
        <v>23</v>
      </c>
    </row>
    <row r="2413" spans="1:11" ht="42" customHeight="1">
      <c r="A2413" s="2" t="s">
        <v>4980</v>
      </c>
      <c r="B2413" s="2" t="s">
        <v>4980</v>
      </c>
      <c r="C2413" s="2" t="s">
        <v>17</v>
      </c>
      <c r="D2413" s="2" t="s">
        <v>117</v>
      </c>
      <c r="E2413" s="5">
        <v>-27975</v>
      </c>
      <c r="F2413" s="3" t="s">
        <v>1922</v>
      </c>
      <c r="G2413" s="3" t="s">
        <v>39</v>
      </c>
      <c r="H2413" s="2" t="s">
        <v>21</v>
      </c>
      <c r="I2413" s="2" t="s">
        <v>4984</v>
      </c>
      <c r="J2413" s="3" t="str">
        <f>HYPERLINK("https://www.boe.es/gazeta/dias/1823/05/28/pdfs/GES-1823-51E.pdf#page=1","Abrir facsímil")</f>
        <v>Abrir facsímil</v>
      </c>
      <c r="K2413" s="3" t="s">
        <v>23</v>
      </c>
    </row>
    <row r="2414" spans="1:11" ht="42" customHeight="1">
      <c r="A2414" s="2" t="s">
        <v>4985</v>
      </c>
      <c r="B2414" s="2" t="s">
        <v>4986</v>
      </c>
      <c r="C2414" s="2" t="s">
        <v>17</v>
      </c>
      <c r="D2414" s="2" t="s">
        <v>18</v>
      </c>
      <c r="E2414" s="5">
        <v>-28015</v>
      </c>
      <c r="F2414" s="3" t="s">
        <v>985</v>
      </c>
      <c r="G2414" s="3" t="s">
        <v>20</v>
      </c>
      <c r="H2414" s="2" t="s">
        <v>21</v>
      </c>
      <c r="I2414" s="2" t="s">
        <v>4987</v>
      </c>
      <c r="J2414" s="3" t="str">
        <f>HYPERLINK("https://www.boe.es/gazeta/dias/1823/04/18/pdfs/GES-1823-8.pdf#page=4","Abrir facsímil")</f>
        <v>Abrir facsímil</v>
      </c>
      <c r="K2414" s="3" t="s">
        <v>23</v>
      </c>
    </row>
    <row r="2415" spans="1:11" ht="42" customHeight="1">
      <c r="A2415" s="2" t="s">
        <v>4985</v>
      </c>
      <c r="B2415" s="2" t="s">
        <v>4986</v>
      </c>
      <c r="C2415" s="2" t="s">
        <v>17</v>
      </c>
      <c r="D2415" s="2" t="s">
        <v>117</v>
      </c>
      <c r="E2415" s="5">
        <v>-27975</v>
      </c>
      <c r="F2415" s="3" t="s">
        <v>1922</v>
      </c>
      <c r="G2415" s="3" t="s">
        <v>39</v>
      </c>
      <c r="H2415" s="2" t="s">
        <v>21</v>
      </c>
      <c r="I2415" s="2" t="s">
        <v>4988</v>
      </c>
      <c r="J2415" s="3" t="str">
        <f>HYPERLINK("https://www.boe.es/gazeta/dias/1823/05/28/pdfs/GES-1823-51E.pdf#page=1","Abrir facsímil")</f>
        <v>Abrir facsímil</v>
      </c>
      <c r="K2415" s="3" t="s">
        <v>23</v>
      </c>
    </row>
    <row r="2416" spans="1:11" ht="42" customHeight="1">
      <c r="A2416" s="2" t="s">
        <v>4989</v>
      </c>
      <c r="B2416" s="2" t="s">
        <v>4990</v>
      </c>
      <c r="C2416" s="2" t="s">
        <v>79</v>
      </c>
      <c r="D2416" s="2" t="s">
        <v>74</v>
      </c>
      <c r="E2416" s="5">
        <v>-28041</v>
      </c>
      <c r="F2416" s="3" t="s">
        <v>873</v>
      </c>
      <c r="G2416" s="3" t="s">
        <v>366</v>
      </c>
      <c r="H2416" s="2" t="s">
        <v>21</v>
      </c>
      <c r="I2416" s="2" t="s">
        <v>4991</v>
      </c>
      <c r="J2416" s="3" t="str">
        <f>HYPERLINK("https://www.boe.es/gazeta/dias/1823/03/23/pdfs/GMD-1823-86.pdf#page=4","Abrir facsímil")</f>
        <v>Abrir facsímil</v>
      </c>
      <c r="K2416" s="3" t="s">
        <v>23</v>
      </c>
    </row>
    <row r="2417" spans="1:11" ht="42" customHeight="1">
      <c r="A2417" s="2" t="s">
        <v>4992</v>
      </c>
      <c r="B2417" s="2" t="s">
        <v>4993</v>
      </c>
      <c r="C2417" s="2" t="s">
        <v>325</v>
      </c>
      <c r="D2417" s="2" t="s">
        <v>74</v>
      </c>
      <c r="E2417" s="5">
        <v>-27986</v>
      </c>
      <c r="F2417" s="3" t="s">
        <v>75</v>
      </c>
      <c r="G2417" s="3" t="s">
        <v>27</v>
      </c>
      <c r="H2417" s="2" t="s">
        <v>21</v>
      </c>
      <c r="I2417" s="2" t="s">
        <v>4994</v>
      </c>
      <c r="J2417" s="3" t="str">
        <f>HYPERLINK("https://www.boe.es/gazeta/dias/1823/05/17/pdfs/GES-1823-37.pdf#page=2","Abrir facsímil")</f>
        <v>Abrir facsímil</v>
      </c>
      <c r="K2417" s="3" t="s">
        <v>23</v>
      </c>
    </row>
    <row r="2418" spans="1:11" ht="42" customHeight="1">
      <c r="A2418" s="2" t="s">
        <v>4995</v>
      </c>
      <c r="B2418" s="2" t="s">
        <v>4996</v>
      </c>
      <c r="C2418" s="2" t="s">
        <v>17</v>
      </c>
      <c r="D2418" s="2" t="s">
        <v>18</v>
      </c>
      <c r="E2418" s="5">
        <v>-28025</v>
      </c>
      <c r="F2418" s="3" t="s">
        <v>477</v>
      </c>
      <c r="G2418" s="3" t="s">
        <v>20</v>
      </c>
      <c r="H2418" s="2" t="s">
        <v>21</v>
      </c>
      <c r="I2418" s="2" t="s">
        <v>4997</v>
      </c>
      <c r="J2418" s="3" t="str">
        <f>HYPERLINK("https://www.boe.es/gazeta/dias/1823/04/08/pdfs/GMD-1823-103.pdf#page=4","Abrir facsímil")</f>
        <v>Abrir facsímil</v>
      </c>
      <c r="K2418" s="3" t="s">
        <v>23</v>
      </c>
    </row>
    <row r="2419" spans="1:11" ht="42" customHeight="1">
      <c r="A2419" s="2" t="s">
        <v>4995</v>
      </c>
      <c r="B2419" s="2" t="s">
        <v>4996</v>
      </c>
      <c r="C2419" s="2" t="s">
        <v>84</v>
      </c>
      <c r="D2419" s="2" t="s">
        <v>74</v>
      </c>
      <c r="E2419" s="5">
        <v>-27870</v>
      </c>
      <c r="F2419" s="3" t="s">
        <v>376</v>
      </c>
      <c r="G2419" s="3" t="s">
        <v>20</v>
      </c>
      <c r="H2419" s="2" t="s">
        <v>21</v>
      </c>
      <c r="I2419" s="2" t="s">
        <v>4998</v>
      </c>
      <c r="J2419" s="3" t="str">
        <f>HYPERLINK("https://www.boe.es/gazeta/dias/1823/09/10/pdfs/GES-1823-154.pdf#page=4","Abrir facsímil")</f>
        <v>Abrir facsímil</v>
      </c>
      <c r="K2419" s="3" t="s">
        <v>23</v>
      </c>
    </row>
    <row r="2420" spans="1:11" ht="42" customHeight="1">
      <c r="A2420" s="2" t="s">
        <v>4999</v>
      </c>
      <c r="B2420" s="2" t="s">
        <v>5000</v>
      </c>
      <c r="C2420" s="2" t="s">
        <v>79</v>
      </c>
      <c r="D2420" s="2" t="s">
        <v>74</v>
      </c>
      <c r="E2420" s="5">
        <v>-28021</v>
      </c>
      <c r="F2420" s="3" t="s">
        <v>2669</v>
      </c>
      <c r="G2420" s="3" t="s">
        <v>576</v>
      </c>
      <c r="H2420" s="2" t="s">
        <v>21</v>
      </c>
      <c r="I2420" s="2" t="s">
        <v>5001</v>
      </c>
      <c r="J2420" s="3" t="str">
        <f>HYPERLINK("https://www.boe.es/gazeta/dias/1823/04/12/pdfs/GES-1823-2.pdf#page=4","Abrir facsímil")</f>
        <v>Abrir facsímil</v>
      </c>
      <c r="K2420" s="3" t="s">
        <v>23</v>
      </c>
    </row>
    <row r="2421" spans="1:11" ht="42" customHeight="1">
      <c r="A2421" s="2" t="s">
        <v>5002</v>
      </c>
      <c r="B2421" s="2" t="s">
        <v>5003</v>
      </c>
      <c r="C2421" s="2" t="s">
        <v>79</v>
      </c>
      <c r="D2421" s="2" t="s">
        <v>74</v>
      </c>
      <c r="E2421" s="5">
        <v>-28042</v>
      </c>
      <c r="F2421" s="3" t="s">
        <v>1218</v>
      </c>
      <c r="G2421" s="3" t="s">
        <v>48</v>
      </c>
      <c r="H2421" s="2" t="s">
        <v>21</v>
      </c>
      <c r="I2421" s="2" t="s">
        <v>5004</v>
      </c>
      <c r="J2421" s="3" t="str">
        <f>HYPERLINK("https://www.boe.es/gazeta/dias/1823/03/22/pdfs/GMD-1823-85.pdf#page=3","Abrir facsímil")</f>
        <v>Abrir facsímil</v>
      </c>
      <c r="K2421" s="3" t="s">
        <v>23</v>
      </c>
    </row>
    <row r="2422" spans="1:11" ht="42" customHeight="1">
      <c r="A2422" s="2" t="s">
        <v>5005</v>
      </c>
      <c r="B2422" s="2" t="s">
        <v>5006</v>
      </c>
      <c r="C2422" s="2" t="s">
        <v>17</v>
      </c>
      <c r="D2422" s="2" t="s">
        <v>18</v>
      </c>
      <c r="E2422" s="5">
        <v>-28015</v>
      </c>
      <c r="F2422" s="3" t="s">
        <v>985</v>
      </c>
      <c r="G2422" s="3" t="s">
        <v>20</v>
      </c>
      <c r="H2422" s="2" t="s">
        <v>21</v>
      </c>
      <c r="I2422" s="2" t="s">
        <v>5007</v>
      </c>
      <c r="J2422" s="3" t="str">
        <f>HYPERLINK("https://www.boe.es/gazeta/dias/1823/04/18/pdfs/GES-1823-8.pdf#page=4","Abrir facsímil")</f>
        <v>Abrir facsímil</v>
      </c>
      <c r="K2422" s="3" t="s">
        <v>23</v>
      </c>
    </row>
    <row r="2423" spans="1:11" ht="42" customHeight="1">
      <c r="A2423" s="2" t="s">
        <v>5008</v>
      </c>
      <c r="B2423" s="2" t="s">
        <v>5009</v>
      </c>
      <c r="C2423" s="2" t="s">
        <v>109</v>
      </c>
      <c r="D2423" s="2" t="s">
        <v>74</v>
      </c>
      <c r="E2423" s="5">
        <v>-28015</v>
      </c>
      <c r="F2423" s="3" t="s">
        <v>985</v>
      </c>
      <c r="G2423" s="3" t="s">
        <v>39</v>
      </c>
      <c r="H2423" s="2" t="s">
        <v>21</v>
      </c>
      <c r="I2423" s="2" t="s">
        <v>5010</v>
      </c>
      <c r="J2423" s="3" t="str">
        <f>HYPERLINK("https://www.boe.es/gazeta/dias/1823/04/18/pdfs/GES-1823-8.pdf#page=1","Abrir facsímil")</f>
        <v>Abrir facsímil</v>
      </c>
      <c r="K2423" s="3" t="s">
        <v>23</v>
      </c>
    </row>
    <row r="2424" spans="1:11" ht="42" customHeight="1">
      <c r="A2424" s="2" t="s">
        <v>5011</v>
      </c>
      <c r="B2424" s="2" t="s">
        <v>5012</v>
      </c>
      <c r="C2424" s="2" t="s">
        <v>109</v>
      </c>
      <c r="D2424" s="2" t="s">
        <v>74</v>
      </c>
      <c r="E2424" s="5">
        <v>-28042</v>
      </c>
      <c r="F2424" s="3" t="s">
        <v>1218</v>
      </c>
      <c r="G2424" s="3" t="s">
        <v>20</v>
      </c>
      <c r="H2424" s="2" t="s">
        <v>21</v>
      </c>
      <c r="I2424" s="2" t="s">
        <v>5013</v>
      </c>
      <c r="J2424" s="3" t="str">
        <f>HYPERLINK("https://www.boe.es/gazeta/dias/1823/03/22/pdfs/GMD-1823-85.pdf#page=4","Abrir facsímil")</f>
        <v>Abrir facsímil</v>
      </c>
      <c r="K2424" s="3" t="s">
        <v>23</v>
      </c>
    </row>
    <row r="2425" spans="1:11" ht="42" customHeight="1">
      <c r="A2425" s="2" t="s">
        <v>5014</v>
      </c>
      <c r="B2425" s="2" t="s">
        <v>5015</v>
      </c>
      <c r="C2425" s="2" t="s">
        <v>56</v>
      </c>
      <c r="D2425" s="2" t="s">
        <v>57</v>
      </c>
      <c r="E2425" s="5">
        <v>-28099</v>
      </c>
      <c r="F2425" s="3" t="s">
        <v>1689</v>
      </c>
      <c r="G2425" s="3" t="s">
        <v>20</v>
      </c>
      <c r="H2425" s="2" t="s">
        <v>21</v>
      </c>
      <c r="I2425" s="2" t="s">
        <v>5016</v>
      </c>
      <c r="J2425" s="3" t="str">
        <f>HYPERLINK("https://www.boe.es/gazeta/dias/1823/01/24/pdfs/GMD-1823-25.pdf#page=4","Abrir facsímil")</f>
        <v>Abrir facsímil</v>
      </c>
      <c r="K2425" s="3" t="s">
        <v>23</v>
      </c>
    </row>
    <row r="2426" spans="1:11" ht="42" customHeight="1">
      <c r="A2426" s="2" t="s">
        <v>5017</v>
      </c>
      <c r="B2426" s="2" t="s">
        <v>5018</v>
      </c>
      <c r="C2426" s="2" t="s">
        <v>17</v>
      </c>
      <c r="D2426" s="2" t="s">
        <v>18</v>
      </c>
      <c r="E2426" s="5">
        <v>-27764</v>
      </c>
      <c r="F2426" s="3" t="s">
        <v>3370</v>
      </c>
      <c r="G2426" s="3" t="s">
        <v>48</v>
      </c>
      <c r="H2426" s="2" t="s">
        <v>21</v>
      </c>
      <c r="I2426" s="2" t="s">
        <v>5019</v>
      </c>
      <c r="J2426" s="3" t="str">
        <f>HYPERLINK("https://www.boe.es/gazeta/dias/1823/12/25/pdfs/GMD-1823-1293.pdf#page=3","Abrir facsímil")</f>
        <v>Abrir facsímil</v>
      </c>
      <c r="K2426" s="3" t="s">
        <v>23</v>
      </c>
    </row>
    <row r="2427" spans="1:11" ht="42" customHeight="1">
      <c r="A2427" s="2" t="s">
        <v>5020</v>
      </c>
      <c r="B2427" s="2" t="s">
        <v>5021</v>
      </c>
      <c r="C2427" s="2" t="s">
        <v>17</v>
      </c>
      <c r="D2427" s="2" t="s">
        <v>18</v>
      </c>
      <c r="E2427" s="5">
        <v>-27863</v>
      </c>
      <c r="F2427" s="3" t="s">
        <v>651</v>
      </c>
      <c r="G2427" s="3" t="s">
        <v>27</v>
      </c>
      <c r="H2427" s="2" t="s">
        <v>21</v>
      </c>
      <c r="I2427" s="2" t="s">
        <v>5022</v>
      </c>
      <c r="J2427" s="3" t="str">
        <f>HYPERLINK("https://www.boe.es/gazeta/dias/1823/09/17/pdfs/GES-1823-161.pdf#page=2","Abrir facsímil")</f>
        <v>Abrir facsímil</v>
      </c>
      <c r="K2427" s="3" t="s">
        <v>23</v>
      </c>
    </row>
    <row r="2428" spans="1:11" ht="42" customHeight="1">
      <c r="A2428" s="2" t="s">
        <v>5020</v>
      </c>
      <c r="B2428" s="2" t="s">
        <v>5021</v>
      </c>
      <c r="C2428" s="2" t="s">
        <v>17</v>
      </c>
      <c r="D2428" s="2" t="s">
        <v>18</v>
      </c>
      <c r="E2428" s="5">
        <v>-27861</v>
      </c>
      <c r="F2428" s="3" t="s">
        <v>425</v>
      </c>
      <c r="G2428" s="3" t="s">
        <v>39</v>
      </c>
      <c r="H2428" s="2" t="s">
        <v>21</v>
      </c>
      <c r="I2428" s="2" t="s">
        <v>5023</v>
      </c>
      <c r="J2428" s="3" t="str">
        <f>HYPERLINK("https://www.boe.es/gazeta/dias/1823/09/19/pdfs/GES-1823-163.pdf#page=1","Abrir facsímil")</f>
        <v>Abrir facsímil</v>
      </c>
      <c r="K2428" s="3" t="s">
        <v>23</v>
      </c>
    </row>
    <row r="2429" spans="1:11" ht="42" customHeight="1">
      <c r="A2429" s="2" t="s">
        <v>5024</v>
      </c>
      <c r="B2429" s="2" t="s">
        <v>5025</v>
      </c>
      <c r="C2429" s="2" t="s">
        <v>109</v>
      </c>
      <c r="D2429" s="2" t="s">
        <v>74</v>
      </c>
      <c r="E2429" s="5">
        <v>-27905</v>
      </c>
      <c r="F2429" s="3" t="s">
        <v>236</v>
      </c>
      <c r="G2429" s="3" t="s">
        <v>237</v>
      </c>
      <c r="H2429" s="2" t="s">
        <v>21</v>
      </c>
      <c r="I2429" s="2" t="s">
        <v>5026</v>
      </c>
      <c r="J2429" s="3" t="str">
        <f>HYPERLINK("https://www.boe.es/gazeta/dias/1823/08/06/pdfs/GES-1823-119.pdf#page=4","Abrir facsímil")</f>
        <v>Abrir facsímil</v>
      </c>
      <c r="K2429" s="3" t="s">
        <v>23</v>
      </c>
    </row>
    <row r="2430" spans="1:11" ht="42" customHeight="1">
      <c r="A2430" s="2" t="s">
        <v>5027</v>
      </c>
      <c r="B2430" s="2" t="s">
        <v>5028</v>
      </c>
      <c r="C2430" s="2" t="s">
        <v>56</v>
      </c>
      <c r="D2430" s="2" t="s">
        <v>57</v>
      </c>
      <c r="E2430" s="5">
        <v>-28032</v>
      </c>
      <c r="F2430" s="3" t="s">
        <v>668</v>
      </c>
      <c r="G2430" s="3" t="s">
        <v>20</v>
      </c>
      <c r="H2430" s="2" t="s">
        <v>21</v>
      </c>
      <c r="I2430" s="2" t="s">
        <v>5029</v>
      </c>
      <c r="J2430" s="3" t="str">
        <f>HYPERLINK("https://www.boe.es/gazeta/dias/1823/04/01/pdfs/GMD-1823-95.pdf#page=4","Abrir facsímil")</f>
        <v>Abrir facsímil</v>
      </c>
      <c r="K2430" s="3" t="s">
        <v>23</v>
      </c>
    </row>
    <row r="2431" spans="1:11" ht="42" customHeight="1">
      <c r="A2431" s="2" t="s">
        <v>5030</v>
      </c>
      <c r="B2431" s="2" t="s">
        <v>5030</v>
      </c>
      <c r="C2431" s="2" t="s">
        <v>79</v>
      </c>
      <c r="D2431" s="2" t="s">
        <v>74</v>
      </c>
      <c r="E2431" s="5">
        <v>-27853</v>
      </c>
      <c r="F2431" s="3" t="s">
        <v>2626</v>
      </c>
      <c r="G2431" s="3" t="s">
        <v>48</v>
      </c>
      <c r="H2431" s="2" t="s">
        <v>21</v>
      </c>
      <c r="I2431" s="2" t="s">
        <v>5031</v>
      </c>
      <c r="J2431" s="3" t="str">
        <f>HYPERLINK("https://www.boe.es/gazeta/dias/1823/09/27/pdfs/GES-1823-171.pdf#page=3","Abrir facsímil")</f>
        <v>Abrir facsímil</v>
      </c>
      <c r="K2431" s="3" t="s">
        <v>23</v>
      </c>
    </row>
    <row r="2432" spans="1:11" ht="42" customHeight="1">
      <c r="A2432" s="2" t="s">
        <v>5032</v>
      </c>
      <c r="B2432" s="2" t="s">
        <v>5033</v>
      </c>
      <c r="C2432" s="2" t="s">
        <v>109</v>
      </c>
      <c r="D2432" s="2" t="s">
        <v>74</v>
      </c>
      <c r="E2432" s="5">
        <v>-28073</v>
      </c>
      <c r="F2432" s="3" t="s">
        <v>204</v>
      </c>
      <c r="G2432" s="3" t="s">
        <v>20</v>
      </c>
      <c r="H2432" s="2" t="s">
        <v>21</v>
      </c>
      <c r="I2432" s="2" t="s">
        <v>5034</v>
      </c>
      <c r="J2432" s="3" t="str">
        <f>HYPERLINK("https://www.boe.es/gazeta/dias/1823/02/19/pdfs/GMD-1823-53.pdf#page=4","Abrir facsímil")</f>
        <v>Abrir facsímil</v>
      </c>
      <c r="K2432" s="3" t="s">
        <v>23</v>
      </c>
    </row>
    <row r="2433" spans="1:11" ht="42" customHeight="1">
      <c r="A2433" s="2" t="s">
        <v>5035</v>
      </c>
      <c r="B2433" s="2" t="s">
        <v>5036</v>
      </c>
      <c r="C2433" s="2" t="s">
        <v>325</v>
      </c>
      <c r="D2433" s="2" t="s">
        <v>74</v>
      </c>
      <c r="E2433" s="5">
        <v>-28037</v>
      </c>
      <c r="F2433" s="3" t="s">
        <v>192</v>
      </c>
      <c r="G2433" s="3" t="s">
        <v>20</v>
      </c>
      <c r="H2433" s="2" t="s">
        <v>21</v>
      </c>
      <c r="I2433" s="2" t="s">
        <v>5037</v>
      </c>
      <c r="J2433" s="3" t="str">
        <f>HYPERLINK("https://www.boe.es/gazeta/dias/1823/03/27/pdfs/GMD-1823-90.pdf#page=4","Abrir facsímil")</f>
        <v>Abrir facsímil</v>
      </c>
      <c r="K2433" s="3" t="s">
        <v>23</v>
      </c>
    </row>
    <row r="2434" spans="1:11" ht="42" customHeight="1">
      <c r="A2434" s="2" t="s">
        <v>5038</v>
      </c>
      <c r="B2434" s="2" t="s">
        <v>5039</v>
      </c>
      <c r="C2434" s="2" t="s">
        <v>79</v>
      </c>
      <c r="D2434" s="2" t="s">
        <v>74</v>
      </c>
      <c r="E2434" s="5">
        <v>-28042</v>
      </c>
      <c r="F2434" s="3" t="s">
        <v>1218</v>
      </c>
      <c r="G2434" s="3" t="s">
        <v>48</v>
      </c>
      <c r="H2434" s="2" t="s">
        <v>21</v>
      </c>
      <c r="I2434" s="2" t="s">
        <v>5040</v>
      </c>
      <c r="J2434" s="3" t="str">
        <f>HYPERLINK("https://www.boe.es/gazeta/dias/1823/03/22/pdfs/GMD-1823-85.pdf#page=3","Abrir facsímil")</f>
        <v>Abrir facsímil</v>
      </c>
      <c r="K2434" s="3" t="s">
        <v>23</v>
      </c>
    </row>
    <row r="2435" spans="1:11" ht="42" customHeight="1">
      <c r="A2435" s="2" t="s">
        <v>5041</v>
      </c>
      <c r="B2435" s="2" t="s">
        <v>5041</v>
      </c>
      <c r="C2435" s="2" t="s">
        <v>17</v>
      </c>
      <c r="D2435" s="2" t="s">
        <v>18</v>
      </c>
      <c r="E2435" s="5">
        <v>-27964</v>
      </c>
      <c r="F2435" s="3" t="s">
        <v>58</v>
      </c>
      <c r="G2435" s="3" t="s">
        <v>20</v>
      </c>
      <c r="H2435" s="2" t="s">
        <v>21</v>
      </c>
      <c r="I2435" s="2" t="s">
        <v>5042</v>
      </c>
      <c r="J2435" s="3" t="str">
        <f>HYPERLINK("https://www.boe.es/gazeta/dias/1823/06/08/pdfs/GES-1823-62.pdf#page=4","Abrir facsímil")</f>
        <v>Abrir facsímil</v>
      </c>
      <c r="K2435" s="3" t="s">
        <v>23</v>
      </c>
    </row>
    <row r="2436" spans="1:11" ht="42" customHeight="1">
      <c r="A2436" s="2" t="s">
        <v>5043</v>
      </c>
      <c r="B2436" s="2" t="s">
        <v>5044</v>
      </c>
      <c r="C2436" s="2" t="s">
        <v>84</v>
      </c>
      <c r="D2436" s="2" t="s">
        <v>74</v>
      </c>
      <c r="E2436" s="5">
        <v>-28118</v>
      </c>
      <c r="F2436" s="3" t="s">
        <v>252</v>
      </c>
      <c r="G2436" s="3" t="s">
        <v>59</v>
      </c>
      <c r="H2436" s="2" t="s">
        <v>21</v>
      </c>
      <c r="I2436" s="2" t="s">
        <v>5045</v>
      </c>
      <c r="J2436" s="3" t="str">
        <f>HYPERLINK("https://www.boe.es/gazeta/dias/1823/01/05/pdfs/GMD-1823-5.pdf#page=6","Abrir facsímil")</f>
        <v>Abrir facsímil</v>
      </c>
      <c r="K2436" s="3" t="s">
        <v>23</v>
      </c>
    </row>
    <row r="2437" spans="1:11" ht="42" customHeight="1">
      <c r="A2437" s="2" t="s">
        <v>5046</v>
      </c>
      <c r="B2437" s="2" t="s">
        <v>5047</v>
      </c>
      <c r="C2437" s="2" t="s">
        <v>17</v>
      </c>
      <c r="D2437" s="2" t="s">
        <v>18</v>
      </c>
      <c r="E2437" s="5">
        <v>-28000</v>
      </c>
      <c r="F2437" s="3" t="s">
        <v>1118</v>
      </c>
      <c r="G2437" s="3" t="s">
        <v>59</v>
      </c>
      <c r="H2437" s="2" t="s">
        <v>21</v>
      </c>
      <c r="I2437" s="2" t="s">
        <v>5048</v>
      </c>
      <c r="J2437" s="3" t="str">
        <f>HYPERLINK("https://www.boe.es/gazeta/dias/1823/05/03/pdfs/GES-1823-23.pdf#page=6","Abrir facsímil")</f>
        <v>Abrir facsímil</v>
      </c>
      <c r="K2437" s="3" t="s">
        <v>23</v>
      </c>
    </row>
    <row r="2438" spans="1:11" ht="42" customHeight="1">
      <c r="A2438" s="2" t="s">
        <v>5049</v>
      </c>
      <c r="B2438" s="2" t="s">
        <v>5050</v>
      </c>
      <c r="C2438" s="2" t="s">
        <v>17</v>
      </c>
      <c r="D2438" s="2" t="s">
        <v>18</v>
      </c>
      <c r="E2438" s="5">
        <v>-27843</v>
      </c>
      <c r="F2438" s="3" t="s">
        <v>790</v>
      </c>
      <c r="G2438" s="3" t="s">
        <v>48</v>
      </c>
      <c r="H2438" s="2" t="s">
        <v>21</v>
      </c>
      <c r="I2438" s="2" t="s">
        <v>5051</v>
      </c>
      <c r="J2438" s="3" t="str">
        <f>HYPERLINK("https://www.boe.es/gazeta/dias/1823/10/07/pdfs/GMD-1823-933.pdf#page=3","Abrir facsímil")</f>
        <v>Abrir facsímil</v>
      </c>
      <c r="K2438" s="3" t="s">
        <v>23</v>
      </c>
    </row>
    <row r="2439" spans="1:11" ht="42" customHeight="1">
      <c r="A2439" s="2" t="s">
        <v>5052</v>
      </c>
      <c r="B2439" s="2" t="s">
        <v>5053</v>
      </c>
      <c r="C2439" s="2" t="s">
        <v>17</v>
      </c>
      <c r="D2439" s="2" t="s">
        <v>18</v>
      </c>
      <c r="E2439" s="5">
        <v>-27931</v>
      </c>
      <c r="F2439" s="3" t="s">
        <v>1833</v>
      </c>
      <c r="G2439" s="3" t="s">
        <v>39</v>
      </c>
      <c r="H2439" s="2" t="s">
        <v>21</v>
      </c>
      <c r="I2439" s="2" t="s">
        <v>5054</v>
      </c>
      <c r="J2439" s="3" t="str">
        <f>HYPERLINK("https://www.boe.es/gazeta/dias/1823/07/11/pdfs/GES-1823-91.pdf#page=1","Abrir facsímil")</f>
        <v>Abrir facsímil</v>
      </c>
      <c r="K2439" s="3" t="s">
        <v>23</v>
      </c>
    </row>
    <row r="2440" spans="1:11" ht="42" customHeight="1">
      <c r="A2440" s="2" t="s">
        <v>5055</v>
      </c>
      <c r="B2440" s="2" t="s">
        <v>5056</v>
      </c>
      <c r="C2440" s="2" t="s">
        <v>17</v>
      </c>
      <c r="D2440" s="2" t="s">
        <v>117</v>
      </c>
      <c r="E2440" s="5">
        <v>-27845</v>
      </c>
      <c r="F2440" s="3" t="s">
        <v>1590</v>
      </c>
      <c r="G2440" s="3" t="s">
        <v>39</v>
      </c>
      <c r="H2440" s="2" t="s">
        <v>21</v>
      </c>
      <c r="I2440" s="2" t="s">
        <v>5057</v>
      </c>
      <c r="J2440" s="3" t="str">
        <f>HYPERLINK("https://www.boe.es/gazeta/dias/1823/10/05/pdfs/GMD-1823-923E.pdf#page=1","Abrir facsímil")</f>
        <v>Abrir facsímil</v>
      </c>
      <c r="K2440" s="3" t="s">
        <v>23</v>
      </c>
    </row>
    <row r="2441" spans="1:11" ht="42" customHeight="1">
      <c r="A2441" s="2" t="s">
        <v>5055</v>
      </c>
      <c r="B2441" s="2" t="s">
        <v>5056</v>
      </c>
      <c r="C2441" s="2" t="s">
        <v>56</v>
      </c>
      <c r="D2441" s="2" t="s">
        <v>57</v>
      </c>
      <c r="E2441" s="5">
        <v>-27836</v>
      </c>
      <c r="F2441" s="3" t="s">
        <v>4069</v>
      </c>
      <c r="G2441" s="3" t="s">
        <v>48</v>
      </c>
      <c r="H2441" s="2" t="s">
        <v>21</v>
      </c>
      <c r="I2441" s="2" t="s">
        <v>5058</v>
      </c>
      <c r="J2441" s="3" t="str">
        <f>HYPERLINK("https://www.boe.es/gazeta/dias/1823/10/14/pdfs/GMD-1823-973.pdf#page=3","Abrir facsímil")</f>
        <v>Abrir facsímil</v>
      </c>
      <c r="K2441" s="3" t="s">
        <v>23</v>
      </c>
    </row>
    <row r="2442" spans="1:11" ht="42" customHeight="1">
      <c r="A2442" s="2" t="s">
        <v>5055</v>
      </c>
      <c r="B2442" s="2" t="s">
        <v>5056</v>
      </c>
      <c r="C2442" s="2" t="s">
        <v>17</v>
      </c>
      <c r="D2442" s="2" t="s">
        <v>18</v>
      </c>
      <c r="E2442" s="5">
        <v>-27822</v>
      </c>
      <c r="F2442" s="3" t="s">
        <v>992</v>
      </c>
      <c r="G2442" s="3" t="s">
        <v>48</v>
      </c>
      <c r="H2442" s="2" t="s">
        <v>21</v>
      </c>
      <c r="I2442" s="2" t="s">
        <v>5059</v>
      </c>
      <c r="J2442" s="3" t="str">
        <f>HYPERLINK("https://www.boe.es/gazeta/dias/1823/10/28/pdfs/GMD-1823-1033.pdf#page=3","Abrir facsímil")</f>
        <v>Abrir facsímil</v>
      </c>
      <c r="K2442" s="3" t="s">
        <v>23</v>
      </c>
    </row>
    <row r="2443" spans="1:11" ht="42" customHeight="1">
      <c r="A2443" s="2" t="s">
        <v>5055</v>
      </c>
      <c r="B2443" s="2" t="s">
        <v>5056</v>
      </c>
      <c r="C2443" s="2" t="s">
        <v>17</v>
      </c>
      <c r="D2443" s="2" t="s">
        <v>18</v>
      </c>
      <c r="E2443" s="5">
        <v>-27815</v>
      </c>
      <c r="F2443" s="3" t="s">
        <v>1266</v>
      </c>
      <c r="G2443" s="3" t="s">
        <v>48</v>
      </c>
      <c r="H2443" s="2" t="s">
        <v>21</v>
      </c>
      <c r="I2443" s="2" t="s">
        <v>5060</v>
      </c>
      <c r="J2443" s="3" t="str">
        <f>HYPERLINK("https://www.boe.es/gazeta/dias/1823/11/04/pdfs/GMD-1823-1063.pdf#page=3","Abrir facsímil")</f>
        <v>Abrir facsímil</v>
      </c>
      <c r="K2443" s="3" t="s">
        <v>23</v>
      </c>
    </row>
    <row r="2444" spans="1:11" ht="42" customHeight="1">
      <c r="A2444" s="2" t="s">
        <v>5061</v>
      </c>
      <c r="B2444" s="2" t="s">
        <v>5062</v>
      </c>
      <c r="C2444" s="2" t="s">
        <v>84</v>
      </c>
      <c r="D2444" s="2" t="s">
        <v>74</v>
      </c>
      <c r="E2444" s="5">
        <v>-27964</v>
      </c>
      <c r="F2444" s="3" t="s">
        <v>58</v>
      </c>
      <c r="G2444" s="3" t="s">
        <v>20</v>
      </c>
      <c r="H2444" s="2" t="s">
        <v>21</v>
      </c>
      <c r="I2444" s="2" t="s">
        <v>5063</v>
      </c>
      <c r="J2444" s="3" t="str">
        <f>HYPERLINK("https://www.boe.es/gazeta/dias/1823/06/08/pdfs/GES-1823-62.pdf#page=4","Abrir facsímil")</f>
        <v>Abrir facsímil</v>
      </c>
      <c r="K2444" s="3" t="s">
        <v>23</v>
      </c>
    </row>
    <row r="2445" spans="1:11" ht="42" customHeight="1">
      <c r="A2445" s="2" t="s">
        <v>5064</v>
      </c>
      <c r="B2445" s="2" t="s">
        <v>5065</v>
      </c>
      <c r="C2445" s="2" t="s">
        <v>17</v>
      </c>
      <c r="D2445" s="2" t="s">
        <v>18</v>
      </c>
      <c r="E2445" s="5">
        <v>-28013</v>
      </c>
      <c r="F2445" s="3" t="s">
        <v>2466</v>
      </c>
      <c r="G2445" s="3" t="s">
        <v>2467</v>
      </c>
      <c r="H2445" s="2" t="s">
        <v>21</v>
      </c>
      <c r="I2445" s="2" t="s">
        <v>5066</v>
      </c>
      <c r="J2445" s="3" t="str">
        <f>HYPERLINK("https://www.boe.es/gazeta/dias/1823/04/20/pdfs/GES-1823-10.pdf#page=3","Abrir facsímil")</f>
        <v>Abrir facsímil</v>
      </c>
      <c r="K2445" s="3" t="s">
        <v>23</v>
      </c>
    </row>
    <row r="2446" spans="1:11" ht="42" customHeight="1">
      <c r="A2446" s="2" t="s">
        <v>5067</v>
      </c>
      <c r="B2446" s="2" t="s">
        <v>5067</v>
      </c>
      <c r="C2446" s="2" t="s">
        <v>79</v>
      </c>
      <c r="D2446" s="2" t="s">
        <v>74</v>
      </c>
      <c r="E2446" s="5">
        <v>-27984</v>
      </c>
      <c r="F2446" s="3" t="s">
        <v>335</v>
      </c>
      <c r="G2446" s="3" t="s">
        <v>20</v>
      </c>
      <c r="H2446" s="2" t="s">
        <v>21</v>
      </c>
      <c r="I2446" s="2" t="s">
        <v>5068</v>
      </c>
      <c r="J2446" s="3" t="str">
        <f>HYPERLINK("https://www.boe.es/gazeta/dias/1823/05/19/pdfs/GES-1823-39.pdf#page=4","Abrir facsímil")</f>
        <v>Abrir facsímil</v>
      </c>
      <c r="K2446" s="3" t="s">
        <v>23</v>
      </c>
    </row>
    <row r="2447" spans="1:11" ht="42" customHeight="1">
      <c r="A2447" s="2" t="s">
        <v>5069</v>
      </c>
      <c r="B2447" s="2" t="s">
        <v>5069</v>
      </c>
      <c r="C2447" s="2" t="s">
        <v>56</v>
      </c>
      <c r="D2447" s="2" t="s">
        <v>57</v>
      </c>
      <c r="E2447" s="5">
        <v>-27850</v>
      </c>
      <c r="F2447" s="3" t="s">
        <v>910</v>
      </c>
      <c r="G2447" s="3" t="s">
        <v>20</v>
      </c>
      <c r="H2447" s="2" t="s">
        <v>21</v>
      </c>
      <c r="I2447" s="2" t="s">
        <v>5070</v>
      </c>
      <c r="J2447" s="3" t="str">
        <f>HYPERLINK("https://www.boe.es/gazeta/dias/1823/09/30/pdfs/GMD-1823-873.pdf#page=4","Abrir facsímil")</f>
        <v>Abrir facsímil</v>
      </c>
      <c r="K2447" s="3" t="s">
        <v>23</v>
      </c>
    </row>
    <row r="2448" spans="1:11" ht="42" customHeight="1">
      <c r="A2448" s="2" t="s">
        <v>5071</v>
      </c>
      <c r="B2448" s="2" t="s">
        <v>5072</v>
      </c>
      <c r="C2448" s="2" t="s">
        <v>17</v>
      </c>
      <c r="D2448" s="2" t="s">
        <v>18</v>
      </c>
      <c r="E2448" s="5">
        <v>-28028</v>
      </c>
      <c r="F2448" s="3" t="s">
        <v>893</v>
      </c>
      <c r="G2448" s="3" t="s">
        <v>27</v>
      </c>
      <c r="H2448" s="2" t="s">
        <v>28</v>
      </c>
      <c r="I2448" s="2" t="s">
        <v>5073</v>
      </c>
      <c r="J2448" s="3" t="str">
        <f>HYPERLINK("https://www.boe.es/gazeta/dias/1823/04/05/pdfs/GMD-1823-99.pdf#page=2","Abrir facsímil")</f>
        <v>Abrir facsímil</v>
      </c>
      <c r="K2448" s="3" t="s">
        <v>30</v>
      </c>
    </row>
    <row r="2449" spans="1:11" ht="42" customHeight="1">
      <c r="A2449" s="2" t="s">
        <v>5074</v>
      </c>
      <c r="B2449" s="2" t="s">
        <v>5075</v>
      </c>
      <c r="C2449" s="2" t="s">
        <v>56</v>
      </c>
      <c r="D2449" s="2" t="s">
        <v>57</v>
      </c>
      <c r="E2449" s="5">
        <v>-27829</v>
      </c>
      <c r="F2449" s="3" t="s">
        <v>228</v>
      </c>
      <c r="G2449" s="3" t="s">
        <v>20</v>
      </c>
      <c r="H2449" s="2" t="s">
        <v>21</v>
      </c>
      <c r="I2449" s="2" t="s">
        <v>5076</v>
      </c>
      <c r="J2449" s="3" t="str">
        <f>HYPERLINK("https://www.boe.es/gazeta/dias/1823/10/21/pdfs/GMD-1823-1003.pdf#page=4","Abrir facsímil")</f>
        <v>Abrir facsímil</v>
      </c>
      <c r="K2449" s="3" t="s">
        <v>23</v>
      </c>
    </row>
    <row r="2450" spans="1:11" ht="42" customHeight="1">
      <c r="A2450" s="2" t="s">
        <v>5077</v>
      </c>
      <c r="B2450" s="2" t="s">
        <v>5078</v>
      </c>
      <c r="C2450" s="2" t="s">
        <v>17</v>
      </c>
      <c r="D2450" s="2" t="s">
        <v>18</v>
      </c>
      <c r="E2450" s="5">
        <v>-27832</v>
      </c>
      <c r="F2450" s="3" t="s">
        <v>1815</v>
      </c>
      <c r="G2450" s="3" t="s">
        <v>27</v>
      </c>
      <c r="H2450" s="2" t="s">
        <v>21</v>
      </c>
      <c r="I2450" s="2" t="s">
        <v>5079</v>
      </c>
      <c r="J2450" s="3" t="str">
        <f>HYPERLINK("https://www.boe.es/gazeta/dias/1823/10/18/pdfs/GMD-1823-993.pdf#page=2","Abrir facsímil")</f>
        <v>Abrir facsímil</v>
      </c>
      <c r="K2450" s="3" t="s">
        <v>23</v>
      </c>
    </row>
    <row r="2451" spans="1:11" ht="42" customHeight="1">
      <c r="A2451" s="2" t="s">
        <v>5080</v>
      </c>
      <c r="B2451" s="2" t="s">
        <v>5081</v>
      </c>
      <c r="C2451" s="2" t="s">
        <v>56</v>
      </c>
      <c r="D2451" s="2" t="s">
        <v>57</v>
      </c>
      <c r="E2451" s="5">
        <v>-27850</v>
      </c>
      <c r="F2451" s="3" t="s">
        <v>910</v>
      </c>
      <c r="G2451" s="3" t="s">
        <v>20</v>
      </c>
      <c r="H2451" s="2" t="s">
        <v>21</v>
      </c>
      <c r="I2451" s="2" t="s">
        <v>5082</v>
      </c>
      <c r="J2451" s="3" t="str">
        <f>HYPERLINK("https://www.boe.es/gazeta/dias/1823/09/30/pdfs/GMD-1823-873.pdf#page=4","Abrir facsímil")</f>
        <v>Abrir facsímil</v>
      </c>
      <c r="K2451" s="3" t="s">
        <v>23</v>
      </c>
    </row>
    <row r="2452" spans="1:11" ht="42" customHeight="1">
      <c r="A2452" s="2" t="s">
        <v>5083</v>
      </c>
      <c r="B2452" s="2" t="s">
        <v>5084</v>
      </c>
      <c r="C2452" s="2" t="s">
        <v>325</v>
      </c>
      <c r="D2452" s="2" t="s">
        <v>74</v>
      </c>
      <c r="E2452" s="5">
        <v>-27995</v>
      </c>
      <c r="F2452" s="3" t="s">
        <v>326</v>
      </c>
      <c r="G2452" s="3" t="s">
        <v>20</v>
      </c>
      <c r="H2452" s="2" t="s">
        <v>21</v>
      </c>
      <c r="I2452" s="2" t="s">
        <v>5085</v>
      </c>
      <c r="J2452" s="3" t="str">
        <f>HYPERLINK("https://www.boe.es/gazeta/dias/1823/05/08/pdfs/GMD-1823-112.pdf#page=4","Abrir facsímil")</f>
        <v>Abrir facsímil</v>
      </c>
      <c r="K2452" s="3" t="s">
        <v>23</v>
      </c>
    </row>
    <row r="2453" spans="1:11" ht="42" customHeight="1">
      <c r="A2453" s="2" t="s">
        <v>5086</v>
      </c>
      <c r="B2453" s="2" t="s">
        <v>5087</v>
      </c>
      <c r="C2453" s="2" t="s">
        <v>17</v>
      </c>
      <c r="D2453" s="2" t="s">
        <v>18</v>
      </c>
      <c r="E2453" s="5">
        <v>-28100</v>
      </c>
      <c r="F2453" s="3" t="s">
        <v>737</v>
      </c>
      <c r="G2453" s="3" t="s">
        <v>48</v>
      </c>
      <c r="H2453" s="2" t="s">
        <v>21</v>
      </c>
      <c r="I2453" s="2" t="s">
        <v>5088</v>
      </c>
      <c r="J2453" s="3" t="str">
        <f>HYPERLINK("https://www.boe.es/gazeta/dias/1823/01/23/pdfs/GMD-1823-24.pdf#page=3","Abrir facsímil")</f>
        <v>Abrir facsímil</v>
      </c>
      <c r="K2453" s="3" t="s">
        <v>23</v>
      </c>
    </row>
    <row r="2454" spans="1:11" ht="42" customHeight="1">
      <c r="A2454" s="2" t="s">
        <v>5089</v>
      </c>
      <c r="B2454" s="2" t="s">
        <v>5090</v>
      </c>
      <c r="C2454" s="2" t="s">
        <v>17</v>
      </c>
      <c r="D2454" s="2" t="s">
        <v>18</v>
      </c>
      <c r="E2454" s="5">
        <v>-27910</v>
      </c>
      <c r="F2454" s="3" t="s">
        <v>38</v>
      </c>
      <c r="G2454" s="3" t="s">
        <v>39</v>
      </c>
      <c r="H2454" s="2" t="s">
        <v>21</v>
      </c>
      <c r="I2454" s="2" t="s">
        <v>5091</v>
      </c>
      <c r="J2454" s="3" t="str">
        <f>HYPERLINK("https://www.boe.es/gazeta/dias/1823/08/01/pdfs/GES-1823-113.pdf#page=1","Abrir facsímil")</f>
        <v>Abrir facsímil</v>
      </c>
      <c r="K2454" s="3" t="s">
        <v>23</v>
      </c>
    </row>
    <row r="2455" spans="1:11" ht="42" customHeight="1">
      <c r="A2455" s="2" t="s">
        <v>5092</v>
      </c>
      <c r="B2455" s="2" t="s">
        <v>5092</v>
      </c>
      <c r="C2455" s="2" t="s">
        <v>17</v>
      </c>
      <c r="D2455" s="2" t="s">
        <v>18</v>
      </c>
      <c r="E2455" s="5">
        <v>-28080</v>
      </c>
      <c r="F2455" s="3" t="s">
        <v>1010</v>
      </c>
      <c r="G2455" s="3" t="s">
        <v>1382</v>
      </c>
      <c r="H2455" s="2" t="s">
        <v>21</v>
      </c>
      <c r="I2455" s="2" t="s">
        <v>5093</v>
      </c>
      <c r="J2455" s="3" t="str">
        <f>HYPERLINK("https://www.boe.es/gazeta/dias/1823/02/12/pdfs/GMD-1823-46.pdf#page=4","Abrir facsímil")</f>
        <v>Abrir facsímil</v>
      </c>
      <c r="K2455" s="3" t="s">
        <v>23</v>
      </c>
    </row>
    <row r="2456" spans="1:11" ht="42" customHeight="1">
      <c r="A2456" s="2" t="s">
        <v>5092</v>
      </c>
      <c r="B2456" s="2" t="s">
        <v>5092</v>
      </c>
      <c r="C2456" s="2" t="s">
        <v>17</v>
      </c>
      <c r="D2456" s="2" t="s">
        <v>117</v>
      </c>
      <c r="E2456" s="5">
        <v>-27925</v>
      </c>
      <c r="F2456" s="3" t="s">
        <v>3911</v>
      </c>
      <c r="G2456" s="3" t="s">
        <v>39</v>
      </c>
      <c r="H2456" s="2" t="s">
        <v>21</v>
      </c>
      <c r="I2456" s="2" t="s">
        <v>5094</v>
      </c>
      <c r="J2456" s="3" t="str">
        <f>HYPERLINK("https://www.boe.es/gazeta/dias/1823/07/17/pdfs/GES-1823-98E.pdf#page=1","Abrir facsímil")</f>
        <v>Abrir facsímil</v>
      </c>
      <c r="K2456" s="3" t="s">
        <v>23</v>
      </c>
    </row>
    <row r="2457" spans="1:11" ht="42" customHeight="1">
      <c r="A2457" s="2" t="s">
        <v>5092</v>
      </c>
      <c r="B2457" s="2" t="s">
        <v>5092</v>
      </c>
      <c r="C2457" s="2" t="s">
        <v>17</v>
      </c>
      <c r="D2457" s="2" t="s">
        <v>18</v>
      </c>
      <c r="E2457" s="5">
        <v>-27911</v>
      </c>
      <c r="F2457" s="3" t="s">
        <v>368</v>
      </c>
      <c r="G2457" s="3" t="s">
        <v>27</v>
      </c>
      <c r="H2457" s="2" t="s">
        <v>21</v>
      </c>
      <c r="I2457" s="2" t="s">
        <v>5095</v>
      </c>
      <c r="J2457" s="3" t="str">
        <f>HYPERLINK("https://www.boe.es/gazeta/dias/1823/07/31/pdfs/GES-1823-112.pdf#page=2","Abrir facsímil")</f>
        <v>Abrir facsímil</v>
      </c>
      <c r="K2457" s="3" t="s">
        <v>23</v>
      </c>
    </row>
    <row r="2458" spans="1:11" ht="42" customHeight="1">
      <c r="A2458" s="2" t="s">
        <v>5092</v>
      </c>
      <c r="B2458" s="2" t="s">
        <v>5092</v>
      </c>
      <c r="C2458" s="2" t="s">
        <v>17</v>
      </c>
      <c r="D2458" s="2" t="s">
        <v>18</v>
      </c>
      <c r="E2458" s="5">
        <v>-27906</v>
      </c>
      <c r="F2458" s="3" t="s">
        <v>241</v>
      </c>
      <c r="G2458" s="3" t="s">
        <v>48</v>
      </c>
      <c r="H2458" s="2" t="s">
        <v>21</v>
      </c>
      <c r="I2458" s="2" t="s">
        <v>5096</v>
      </c>
      <c r="J2458" s="3" t="str">
        <f>HYPERLINK("https://www.boe.es/gazeta/dias/1823/08/05/pdfs/GES-1823-117.pdf#page=3","Abrir facsímil")</f>
        <v>Abrir facsímil</v>
      </c>
      <c r="K2458" s="3" t="s">
        <v>23</v>
      </c>
    </row>
    <row r="2459" spans="1:11" ht="42" customHeight="1">
      <c r="A2459" s="2" t="s">
        <v>5092</v>
      </c>
      <c r="B2459" s="2" t="s">
        <v>5092</v>
      </c>
      <c r="C2459" s="2" t="s">
        <v>17</v>
      </c>
      <c r="D2459" s="2" t="s">
        <v>18</v>
      </c>
      <c r="E2459" s="5">
        <v>-27906</v>
      </c>
      <c r="F2459" s="3" t="s">
        <v>241</v>
      </c>
      <c r="G2459" s="3" t="s">
        <v>20</v>
      </c>
      <c r="H2459" s="2" t="s">
        <v>21</v>
      </c>
      <c r="I2459" s="2" t="s">
        <v>5097</v>
      </c>
      <c r="J2459" s="3" t="str">
        <f>HYPERLINK("https://www.boe.es/gazeta/dias/1823/08/05/pdfs/GES-1823-117.pdf#page=4","Abrir facsímil")</f>
        <v>Abrir facsímil</v>
      </c>
      <c r="K2459" s="3" t="s">
        <v>23</v>
      </c>
    </row>
    <row r="2460" spans="1:11" ht="42" customHeight="1">
      <c r="A2460" s="2" t="s">
        <v>5092</v>
      </c>
      <c r="B2460" s="2" t="s">
        <v>5092</v>
      </c>
      <c r="C2460" s="2" t="s">
        <v>17</v>
      </c>
      <c r="D2460" s="2" t="s">
        <v>18</v>
      </c>
      <c r="E2460" s="5">
        <v>-27906</v>
      </c>
      <c r="F2460" s="3" t="s">
        <v>241</v>
      </c>
      <c r="G2460" s="3" t="s">
        <v>34</v>
      </c>
      <c r="H2460" s="2" t="s">
        <v>21</v>
      </c>
      <c r="I2460" s="2" t="s">
        <v>5098</v>
      </c>
      <c r="J2460" s="3" t="str">
        <f>HYPERLINK("https://www.boe.es/gazeta/dias/1823/08/05/pdfs/GES-1823-117.pdf#page=5","Abrir facsímil")</f>
        <v>Abrir facsímil</v>
      </c>
      <c r="K2460" s="3" t="s">
        <v>23</v>
      </c>
    </row>
    <row r="2461" spans="1:11" ht="42" customHeight="1">
      <c r="A2461" s="2" t="s">
        <v>5099</v>
      </c>
      <c r="B2461" s="2" t="s">
        <v>5100</v>
      </c>
      <c r="C2461" s="2" t="s">
        <v>17</v>
      </c>
      <c r="D2461" s="2" t="s">
        <v>117</v>
      </c>
      <c r="E2461" s="5">
        <v>-27925</v>
      </c>
      <c r="F2461" s="3" t="s">
        <v>3911</v>
      </c>
      <c r="G2461" s="3" t="s">
        <v>39</v>
      </c>
      <c r="H2461" s="2" t="s">
        <v>21</v>
      </c>
      <c r="I2461" s="2" t="s">
        <v>5101</v>
      </c>
      <c r="J2461" s="3" t="str">
        <f>HYPERLINK("https://www.boe.es/gazeta/dias/1823/07/17/pdfs/GES-1823-98E.pdf#page=1","Abrir facsímil")</f>
        <v>Abrir facsímil</v>
      </c>
      <c r="K2461" s="3" t="s">
        <v>23</v>
      </c>
    </row>
    <row r="2462" spans="1:11" ht="42" customHeight="1">
      <c r="A2462" s="2" t="s">
        <v>5099</v>
      </c>
      <c r="B2462" s="2" t="s">
        <v>5100</v>
      </c>
      <c r="C2462" s="2" t="s">
        <v>17</v>
      </c>
      <c r="D2462" s="2" t="s">
        <v>18</v>
      </c>
      <c r="E2462" s="5">
        <v>-27920</v>
      </c>
      <c r="F2462" s="3" t="s">
        <v>358</v>
      </c>
      <c r="G2462" s="3" t="s">
        <v>27</v>
      </c>
      <c r="H2462" s="2" t="s">
        <v>21</v>
      </c>
      <c r="I2462" s="2" t="s">
        <v>5102</v>
      </c>
      <c r="J2462" s="3" t="str">
        <f>HYPERLINK("https://www.boe.es/gazeta/dias/1823/07/22/pdfs/GES-1823-103.pdf#page=2","Abrir facsímil")</f>
        <v>Abrir facsímil</v>
      </c>
      <c r="K2462" s="3" t="s">
        <v>23</v>
      </c>
    </row>
    <row r="2463" spans="1:11" ht="42" customHeight="1">
      <c r="A2463" s="2" t="s">
        <v>5103</v>
      </c>
      <c r="B2463" s="2" t="s">
        <v>5104</v>
      </c>
      <c r="C2463" s="2" t="s">
        <v>293</v>
      </c>
      <c r="D2463" s="2" t="s">
        <v>74</v>
      </c>
      <c r="E2463" s="5">
        <v>-27804</v>
      </c>
      <c r="F2463" s="3" t="s">
        <v>836</v>
      </c>
      <c r="G2463" s="3" t="s">
        <v>20</v>
      </c>
      <c r="H2463" s="2" t="s">
        <v>21</v>
      </c>
      <c r="I2463" s="2" t="s">
        <v>5105</v>
      </c>
      <c r="J2463" s="3" t="str">
        <f>HYPERLINK("https://www.boe.es/gazeta/dias/1823/11/15/pdfs/GMD-1823-1123.pdf#page=4","Abrir facsímil")</f>
        <v>Abrir facsímil</v>
      </c>
      <c r="K2463" s="3" t="s">
        <v>23</v>
      </c>
    </row>
    <row r="2464" spans="1:11" ht="42" customHeight="1">
      <c r="A2464" s="2" t="s">
        <v>5106</v>
      </c>
      <c r="B2464" s="2" t="s">
        <v>5107</v>
      </c>
      <c r="C2464" s="2" t="s">
        <v>56</v>
      </c>
      <c r="D2464" s="2" t="s">
        <v>57</v>
      </c>
      <c r="E2464" s="5">
        <v>-28120</v>
      </c>
      <c r="F2464" s="3" t="s">
        <v>2772</v>
      </c>
      <c r="G2464" s="3" t="s">
        <v>27</v>
      </c>
      <c r="H2464" s="2" t="s">
        <v>21</v>
      </c>
      <c r="I2464" s="2" t="s">
        <v>5108</v>
      </c>
      <c r="J2464" s="3" t="str">
        <f>HYPERLINK("https://www.boe.es/gazeta/dias/1823/01/03/pdfs/GMD-1823-3.pdf#page=2","Abrir facsímil")</f>
        <v>Abrir facsímil</v>
      </c>
      <c r="K2464" s="3" t="s">
        <v>23</v>
      </c>
    </row>
    <row r="2465" spans="1:11" ht="42" customHeight="1">
      <c r="A2465" s="2" t="s">
        <v>5109</v>
      </c>
      <c r="B2465" s="2" t="s">
        <v>5110</v>
      </c>
      <c r="C2465" s="2" t="s">
        <v>56</v>
      </c>
      <c r="D2465" s="2" t="s">
        <v>57</v>
      </c>
      <c r="E2465" s="5">
        <v>-27906</v>
      </c>
      <c r="F2465" s="3" t="s">
        <v>241</v>
      </c>
      <c r="G2465" s="3" t="s">
        <v>59</v>
      </c>
      <c r="H2465" s="2" t="s">
        <v>21</v>
      </c>
      <c r="I2465" s="2" t="s">
        <v>5111</v>
      </c>
      <c r="J2465" s="3" t="str">
        <f>HYPERLINK("https://www.boe.es/gazeta/dias/1823/08/05/pdfs/GES-1823-117.pdf#page=6","Abrir facsímil")</f>
        <v>Abrir facsímil</v>
      </c>
      <c r="K2465" s="3" t="s">
        <v>23</v>
      </c>
    </row>
    <row r="2466" spans="1:11" ht="42" customHeight="1">
      <c r="A2466" s="2" t="s">
        <v>5112</v>
      </c>
      <c r="B2466" s="2" t="s">
        <v>5113</v>
      </c>
      <c r="C2466" s="2" t="s">
        <v>17</v>
      </c>
      <c r="D2466" s="2" t="s">
        <v>18</v>
      </c>
      <c r="E2466" s="5">
        <v>-28096</v>
      </c>
      <c r="F2466" s="3" t="s">
        <v>534</v>
      </c>
      <c r="G2466" s="3" t="s">
        <v>20</v>
      </c>
      <c r="H2466" s="2" t="s">
        <v>21</v>
      </c>
      <c r="I2466" s="2" t="s">
        <v>5114</v>
      </c>
      <c r="J2466" s="3" t="str">
        <f>HYPERLINK("https://www.boe.es/gazeta/dias/1823/01/27/pdfs/GMD-1823-28.pdf#page=4","Abrir facsímil")</f>
        <v>Abrir facsímil</v>
      </c>
      <c r="K2466" s="3" t="s">
        <v>23</v>
      </c>
    </row>
    <row r="2467" spans="1:11" ht="42" customHeight="1">
      <c r="A2467" s="2" t="s">
        <v>5112</v>
      </c>
      <c r="B2467" s="2" t="s">
        <v>5113</v>
      </c>
      <c r="C2467" s="2" t="s">
        <v>73</v>
      </c>
      <c r="D2467" s="2" t="s">
        <v>74</v>
      </c>
      <c r="E2467" s="5">
        <v>-28081</v>
      </c>
      <c r="F2467" s="3" t="s">
        <v>170</v>
      </c>
      <c r="G2467" s="3" t="s">
        <v>20</v>
      </c>
      <c r="H2467" s="2" t="s">
        <v>21</v>
      </c>
      <c r="I2467" s="2" t="s">
        <v>5115</v>
      </c>
      <c r="J2467" s="3" t="str">
        <f>HYPERLINK("https://www.boe.es/gazeta/dias/1823/02/11/pdfs/GMD-1823-45.pdf#page=4","Abrir facsímil")</f>
        <v>Abrir facsímil</v>
      </c>
      <c r="K2467" s="3" t="s">
        <v>23</v>
      </c>
    </row>
    <row r="2468" spans="1:11" ht="42" customHeight="1">
      <c r="A2468" s="2" t="s">
        <v>5112</v>
      </c>
      <c r="B2468" s="2" t="s">
        <v>5113</v>
      </c>
      <c r="C2468" s="2" t="s">
        <v>325</v>
      </c>
      <c r="D2468" s="2" t="s">
        <v>74</v>
      </c>
      <c r="E2468" s="5">
        <v>-28061</v>
      </c>
      <c r="F2468" s="3" t="s">
        <v>704</v>
      </c>
      <c r="G2468" s="3" t="s">
        <v>59</v>
      </c>
      <c r="H2468" s="2" t="s">
        <v>21</v>
      </c>
      <c r="I2468" s="2" t="s">
        <v>5116</v>
      </c>
      <c r="J2468" s="3" t="str">
        <f>HYPERLINK("https://www.boe.es/gazeta/dias/1823/03/03/pdfs/GMD-1823-66.pdf#page=6","Abrir facsímil")</f>
        <v>Abrir facsímil</v>
      </c>
      <c r="K2468" s="3" t="s">
        <v>23</v>
      </c>
    </row>
    <row r="2469" spans="1:11" ht="42" customHeight="1">
      <c r="A2469" s="2" t="s">
        <v>5112</v>
      </c>
      <c r="B2469" s="2" t="s">
        <v>5113</v>
      </c>
      <c r="C2469" s="2" t="s">
        <v>79</v>
      </c>
      <c r="D2469" s="2" t="s">
        <v>74</v>
      </c>
      <c r="E2469" s="5">
        <v>-28058</v>
      </c>
      <c r="F2469" s="3" t="s">
        <v>1282</v>
      </c>
      <c r="G2469" s="3" t="s">
        <v>59</v>
      </c>
      <c r="H2469" s="2" t="s">
        <v>21</v>
      </c>
      <c r="I2469" s="2" t="s">
        <v>5117</v>
      </c>
      <c r="J2469" s="3" t="str">
        <f>HYPERLINK("https://www.boe.es/gazeta/dias/1823/03/06/pdfs/GMD-1823-69.pdf#page=6","Abrir facsímil")</f>
        <v>Abrir facsímil</v>
      </c>
      <c r="K2469" s="3" t="s">
        <v>23</v>
      </c>
    </row>
    <row r="2470" spans="1:11" ht="42" customHeight="1">
      <c r="A2470" s="2" t="s">
        <v>5118</v>
      </c>
      <c r="B2470" s="2" t="s">
        <v>5118</v>
      </c>
      <c r="C2470" s="2" t="s">
        <v>17</v>
      </c>
      <c r="D2470" s="2" t="s">
        <v>18</v>
      </c>
      <c r="E2470" s="5">
        <v>-28112</v>
      </c>
      <c r="F2470" s="3" t="s">
        <v>43</v>
      </c>
      <c r="G2470" s="3" t="s">
        <v>39</v>
      </c>
      <c r="H2470" s="2" t="s">
        <v>21</v>
      </c>
      <c r="I2470" s="2" t="s">
        <v>5119</v>
      </c>
      <c r="J2470" s="3" t="str">
        <f>HYPERLINK("https://www.boe.es/gazeta/dias/1823/01/11/pdfs/GMD-1823-11.pdf#page=1","Abrir facsímil")</f>
        <v>Abrir facsímil</v>
      </c>
      <c r="K2470" s="3" t="s">
        <v>23</v>
      </c>
    </row>
    <row r="2471" spans="1:11" ht="42" customHeight="1">
      <c r="A2471" s="2" t="s">
        <v>5118</v>
      </c>
      <c r="B2471" s="2" t="s">
        <v>5118</v>
      </c>
      <c r="C2471" s="2" t="s">
        <v>17</v>
      </c>
      <c r="D2471" s="2" t="s">
        <v>18</v>
      </c>
      <c r="E2471" s="5">
        <v>-28100</v>
      </c>
      <c r="F2471" s="3" t="s">
        <v>737</v>
      </c>
      <c r="G2471" s="3" t="s">
        <v>27</v>
      </c>
      <c r="H2471" s="2" t="s">
        <v>21</v>
      </c>
      <c r="I2471" s="2" t="s">
        <v>5120</v>
      </c>
      <c r="J2471" s="3" t="str">
        <f>HYPERLINK("https://www.boe.es/gazeta/dias/1823/01/23/pdfs/GMD-1823-24.pdf#page=2","Abrir facsímil")</f>
        <v>Abrir facsímil</v>
      </c>
      <c r="K2471" s="3" t="s">
        <v>23</v>
      </c>
    </row>
    <row r="2472" spans="1:11" ht="42" customHeight="1">
      <c r="A2472" s="2" t="s">
        <v>5118</v>
      </c>
      <c r="B2472" s="2" t="s">
        <v>5118</v>
      </c>
      <c r="C2472" s="2" t="s">
        <v>17</v>
      </c>
      <c r="D2472" s="2" t="s">
        <v>18</v>
      </c>
      <c r="E2472" s="5">
        <v>-28082</v>
      </c>
      <c r="F2472" s="3" t="s">
        <v>468</v>
      </c>
      <c r="G2472" s="3" t="s">
        <v>34</v>
      </c>
      <c r="H2472" s="2" t="s">
        <v>21</v>
      </c>
      <c r="I2472" s="2" t="s">
        <v>5121</v>
      </c>
      <c r="J2472" s="3" t="str">
        <f>HYPERLINK("https://www.boe.es/gazeta/dias/1823/02/10/pdfs/GMD-1823-44.pdf#page=5","Abrir facsímil")</f>
        <v>Abrir facsímil</v>
      </c>
      <c r="K2472" s="3" t="s">
        <v>23</v>
      </c>
    </row>
    <row r="2473" spans="1:11" ht="42" customHeight="1">
      <c r="A2473" s="2" t="s">
        <v>5118</v>
      </c>
      <c r="B2473" s="2" t="s">
        <v>5118</v>
      </c>
      <c r="C2473" s="2" t="s">
        <v>73</v>
      </c>
      <c r="D2473" s="2" t="s">
        <v>74</v>
      </c>
      <c r="E2473" s="5">
        <v>-27994</v>
      </c>
      <c r="F2473" s="3" t="s">
        <v>714</v>
      </c>
      <c r="G2473" s="3" t="s">
        <v>4475</v>
      </c>
      <c r="H2473" s="2" t="s">
        <v>21</v>
      </c>
      <c r="I2473" s="2" t="s">
        <v>5122</v>
      </c>
      <c r="J2473" s="3" t="str">
        <f>HYPERLINK("https://www.boe.es/gazeta/dias/1823/05/09/pdfs/GES-1823-29.pdf#page=3","Abrir facsímil")</f>
        <v>Abrir facsímil</v>
      </c>
      <c r="K2473" s="3" t="s">
        <v>23</v>
      </c>
    </row>
    <row r="2474" spans="1:11" ht="42" customHeight="1">
      <c r="A2474" s="2" t="s">
        <v>5118</v>
      </c>
      <c r="B2474" s="2" t="s">
        <v>5118</v>
      </c>
      <c r="C2474" s="2" t="s">
        <v>17</v>
      </c>
      <c r="D2474" s="2" t="s">
        <v>18</v>
      </c>
      <c r="E2474" s="5">
        <v>-27992</v>
      </c>
      <c r="F2474" s="3" t="s">
        <v>565</v>
      </c>
      <c r="G2474" s="3" t="s">
        <v>1279</v>
      </c>
      <c r="H2474" s="2" t="s">
        <v>21</v>
      </c>
      <c r="I2474" s="2" t="s">
        <v>5123</v>
      </c>
      <c r="J2474" s="3" t="str">
        <f>HYPERLINK("https://www.boe.es/gazeta/dias/1823/05/11/pdfs/GES-1823-31.pdf#page=2","Abrir facsímil")</f>
        <v>Abrir facsímil</v>
      </c>
      <c r="K2474" s="3" t="s">
        <v>23</v>
      </c>
    </row>
    <row r="2475" spans="1:11" ht="42" customHeight="1">
      <c r="A2475" s="2" t="s">
        <v>5118</v>
      </c>
      <c r="B2475" s="2" t="s">
        <v>5118</v>
      </c>
      <c r="C2475" s="2" t="s">
        <v>73</v>
      </c>
      <c r="D2475" s="2" t="s">
        <v>74</v>
      </c>
      <c r="E2475" s="5">
        <v>-27990</v>
      </c>
      <c r="F2475" s="3" t="s">
        <v>330</v>
      </c>
      <c r="G2475" s="3" t="s">
        <v>48</v>
      </c>
      <c r="H2475" s="2" t="s">
        <v>21</v>
      </c>
      <c r="I2475" s="2" t="s">
        <v>5124</v>
      </c>
      <c r="J2475" s="3" t="str">
        <f>HYPERLINK("https://www.boe.es/gazeta/dias/1823/05/13/pdfs/GMD-1823-132.pdf#page=3","Abrir facsímil")</f>
        <v>Abrir facsímil</v>
      </c>
      <c r="K2475" s="3" t="s">
        <v>23</v>
      </c>
    </row>
    <row r="2476" spans="1:11" ht="42" customHeight="1">
      <c r="A2476" s="2" t="s">
        <v>5118</v>
      </c>
      <c r="B2476" s="2" t="s">
        <v>5118</v>
      </c>
      <c r="C2476" s="2" t="s">
        <v>56</v>
      </c>
      <c r="D2476" s="2" t="s">
        <v>57</v>
      </c>
      <c r="E2476" s="5">
        <v>-27986</v>
      </c>
      <c r="F2476" s="3" t="s">
        <v>607</v>
      </c>
      <c r="G2476" s="3" t="s">
        <v>48</v>
      </c>
      <c r="H2476" s="2" t="s">
        <v>21</v>
      </c>
      <c r="I2476" s="2" t="s">
        <v>5125</v>
      </c>
      <c r="J2476" s="3" t="str">
        <f>HYPERLINK("https://www.boe.es/gazeta/dias/1823/05/17/pdfs/GMD-1823-152.pdf#page=3","Abrir facsímil")</f>
        <v>Abrir facsímil</v>
      </c>
      <c r="K2476" s="3" t="s">
        <v>23</v>
      </c>
    </row>
    <row r="2477" spans="1:11" ht="42" customHeight="1">
      <c r="A2477" s="2" t="s">
        <v>5118</v>
      </c>
      <c r="B2477" s="2" t="s">
        <v>5118</v>
      </c>
      <c r="C2477" s="2" t="s">
        <v>109</v>
      </c>
      <c r="D2477" s="2" t="s">
        <v>74</v>
      </c>
      <c r="E2477" s="5">
        <v>-27985</v>
      </c>
      <c r="F2477" s="3" t="s">
        <v>951</v>
      </c>
      <c r="G2477" s="3" t="s">
        <v>39</v>
      </c>
      <c r="H2477" s="2" t="s">
        <v>21</v>
      </c>
      <c r="I2477" s="2" t="s">
        <v>5126</v>
      </c>
      <c r="J2477" s="3" t="str">
        <f>HYPERLINK("https://www.boe.es/gazeta/dias/1823/05/18/pdfs/GES-1823-38.pdf#page=1","Abrir facsímil")</f>
        <v>Abrir facsímil</v>
      </c>
      <c r="K2477" s="3" t="s">
        <v>23</v>
      </c>
    </row>
    <row r="2478" spans="1:11" ht="42" customHeight="1">
      <c r="A2478" s="2" t="s">
        <v>5118</v>
      </c>
      <c r="B2478" s="2" t="s">
        <v>5118</v>
      </c>
      <c r="C2478" s="2" t="s">
        <v>84</v>
      </c>
      <c r="D2478" s="2" t="s">
        <v>74</v>
      </c>
      <c r="E2478" s="5">
        <v>-27981</v>
      </c>
      <c r="F2478" s="3" t="s">
        <v>1521</v>
      </c>
      <c r="G2478" s="3" t="s">
        <v>2395</v>
      </c>
      <c r="H2478" s="2" t="s">
        <v>21</v>
      </c>
      <c r="I2478" s="2" t="s">
        <v>5127</v>
      </c>
      <c r="J2478" s="3" t="str">
        <f>HYPERLINK("https://www.boe.es/gazeta/dias/1823/05/22/pdfs/GES-1823-43.pdf#page=2","Abrir facsímil")</f>
        <v>Abrir facsímil</v>
      </c>
      <c r="K2478" s="3" t="s">
        <v>23</v>
      </c>
    </row>
    <row r="2479" spans="1:11" ht="42" customHeight="1">
      <c r="A2479" s="2" t="s">
        <v>5118</v>
      </c>
      <c r="B2479" s="2" t="s">
        <v>5118</v>
      </c>
      <c r="C2479" s="2" t="s">
        <v>17</v>
      </c>
      <c r="D2479" s="2" t="s">
        <v>18</v>
      </c>
      <c r="E2479" s="5">
        <v>-27892</v>
      </c>
      <c r="F2479" s="3" t="s">
        <v>1571</v>
      </c>
      <c r="G2479" s="3" t="s">
        <v>39</v>
      </c>
      <c r="H2479" s="2" t="s">
        <v>21</v>
      </c>
      <c r="I2479" s="2" t="s">
        <v>5128</v>
      </c>
      <c r="J2479" s="3" t="str">
        <f>HYPERLINK("https://www.boe.es/gazeta/dias/1823/08/19/pdfs/GMD-1823-613.pdf#page=1","Abrir facsímil")</f>
        <v>Abrir facsímil</v>
      </c>
      <c r="K2479" s="3" t="s">
        <v>23</v>
      </c>
    </row>
    <row r="2480" spans="1:11" ht="42" customHeight="1">
      <c r="A2480" s="2" t="s">
        <v>5129</v>
      </c>
      <c r="B2480" s="2" t="s">
        <v>5130</v>
      </c>
      <c r="C2480" s="2" t="s">
        <v>17</v>
      </c>
      <c r="D2480" s="2" t="s">
        <v>18</v>
      </c>
      <c r="E2480" s="5">
        <v>-27879</v>
      </c>
      <c r="F2480" s="3" t="s">
        <v>638</v>
      </c>
      <c r="G2480" s="3" t="s">
        <v>20</v>
      </c>
      <c r="H2480" s="2" t="s">
        <v>21</v>
      </c>
      <c r="I2480" s="2" t="s">
        <v>5131</v>
      </c>
      <c r="J2480" s="3" t="str">
        <f>HYPERLINK("https://www.boe.es/gazeta/dias/1823/09/01/pdfs/GES-1823-145.pdf#page=4","Abrir facsímil")</f>
        <v>Abrir facsímil</v>
      </c>
      <c r="K2480" s="3" t="s">
        <v>23</v>
      </c>
    </row>
    <row r="2481" spans="1:11" ht="42" customHeight="1">
      <c r="A2481" s="2" t="s">
        <v>5132</v>
      </c>
      <c r="B2481" s="2" t="s">
        <v>5133</v>
      </c>
      <c r="C2481" s="2" t="s">
        <v>79</v>
      </c>
      <c r="D2481" s="2" t="s">
        <v>74</v>
      </c>
      <c r="E2481" s="5">
        <v>-28112</v>
      </c>
      <c r="F2481" s="3" t="s">
        <v>43</v>
      </c>
      <c r="G2481" s="3" t="s">
        <v>20</v>
      </c>
      <c r="H2481" s="2" t="s">
        <v>21</v>
      </c>
      <c r="I2481" s="2" t="s">
        <v>5134</v>
      </c>
      <c r="J2481" s="3" t="str">
        <f>HYPERLINK("https://www.boe.es/gazeta/dias/1823/01/11/pdfs/GMD-1823-11.pdf#page=4","Abrir facsímil")</f>
        <v>Abrir facsímil</v>
      </c>
      <c r="K2481" s="3" t="s">
        <v>23</v>
      </c>
    </row>
    <row r="2482" spans="1:11" ht="42" customHeight="1">
      <c r="A2482" s="2" t="s">
        <v>5135</v>
      </c>
      <c r="B2482" s="2" t="s">
        <v>5136</v>
      </c>
      <c r="C2482" s="2" t="s">
        <v>17</v>
      </c>
      <c r="D2482" s="2" t="s">
        <v>18</v>
      </c>
      <c r="E2482" s="5">
        <v>-27901</v>
      </c>
      <c r="F2482" s="3" t="s">
        <v>840</v>
      </c>
      <c r="G2482" s="3" t="s">
        <v>20</v>
      </c>
      <c r="H2482" s="2" t="s">
        <v>21</v>
      </c>
      <c r="I2482" s="2" t="s">
        <v>5137</v>
      </c>
      <c r="J2482" s="3" t="str">
        <f>HYPERLINK("https://www.boe.es/gazeta/dias/1823/08/10/pdfs/GES-1823-123.pdf#page=4","Abrir facsímil")</f>
        <v>Abrir facsímil</v>
      </c>
      <c r="K2482" s="3" t="s">
        <v>23</v>
      </c>
    </row>
    <row r="2483" spans="1:11" ht="42" customHeight="1">
      <c r="A2483" s="2" t="s">
        <v>5135</v>
      </c>
      <c r="B2483" s="2" t="s">
        <v>5136</v>
      </c>
      <c r="C2483" s="2" t="s">
        <v>17</v>
      </c>
      <c r="D2483" s="2" t="s">
        <v>18</v>
      </c>
      <c r="E2483" s="5">
        <v>-27891</v>
      </c>
      <c r="F2483" s="3" t="s">
        <v>825</v>
      </c>
      <c r="G2483" s="3" t="s">
        <v>20</v>
      </c>
      <c r="H2483" s="2" t="s">
        <v>21</v>
      </c>
      <c r="I2483" s="2" t="s">
        <v>5138</v>
      </c>
      <c r="J2483" s="3" t="str">
        <f>HYPERLINK("https://www.boe.es/gazeta/dias/1823/08/20/pdfs/GES-1823-133.pdf#page=4","Abrir facsímil")</f>
        <v>Abrir facsímil</v>
      </c>
      <c r="K2483" s="3" t="s">
        <v>23</v>
      </c>
    </row>
    <row r="2484" spans="1:11" ht="42" customHeight="1">
      <c r="A2484" s="2" t="s">
        <v>5139</v>
      </c>
      <c r="B2484" s="2" t="s">
        <v>5140</v>
      </c>
      <c r="C2484" s="2" t="s">
        <v>17</v>
      </c>
      <c r="D2484" s="2" t="s">
        <v>18</v>
      </c>
      <c r="E2484" s="5">
        <v>-28078</v>
      </c>
      <c r="F2484" s="3" t="s">
        <v>508</v>
      </c>
      <c r="G2484" s="3" t="s">
        <v>59</v>
      </c>
      <c r="H2484" s="2" t="s">
        <v>21</v>
      </c>
      <c r="I2484" s="2" t="s">
        <v>5141</v>
      </c>
      <c r="J2484" s="3" t="str">
        <f>HYPERLINK("https://www.boe.es/gazeta/dias/1823/02/14/pdfs/GMD-1823-48.pdf#page=6","Abrir facsímil")</f>
        <v>Abrir facsímil</v>
      </c>
      <c r="K2484" s="3" t="s">
        <v>23</v>
      </c>
    </row>
    <row r="2485" spans="1:11" ht="42" customHeight="1">
      <c r="A2485" s="2" t="s">
        <v>5139</v>
      </c>
      <c r="B2485" s="2" t="s">
        <v>5140</v>
      </c>
      <c r="C2485" s="2" t="s">
        <v>17</v>
      </c>
      <c r="D2485" s="2" t="s">
        <v>18</v>
      </c>
      <c r="E2485" s="5">
        <v>-28060</v>
      </c>
      <c r="F2485" s="3" t="s">
        <v>180</v>
      </c>
      <c r="G2485" s="3" t="s">
        <v>181</v>
      </c>
      <c r="H2485" s="2" t="s">
        <v>21</v>
      </c>
      <c r="I2485" s="2" t="s">
        <v>5142</v>
      </c>
      <c r="J2485" s="3" t="str">
        <f>HYPERLINK("https://www.boe.es/gazeta/dias/1823/03/04/pdfs/GMD-1823-67.pdf#page=6","Abrir facsímil")</f>
        <v>Abrir facsímil</v>
      </c>
      <c r="K2485" s="3" t="s">
        <v>23</v>
      </c>
    </row>
    <row r="2486" spans="1:11" ht="42" customHeight="1">
      <c r="A2486" s="2" t="s">
        <v>5139</v>
      </c>
      <c r="B2486" s="2" t="s">
        <v>5140</v>
      </c>
      <c r="C2486" s="2" t="s">
        <v>17</v>
      </c>
      <c r="D2486" s="2" t="s">
        <v>18</v>
      </c>
      <c r="E2486" s="5">
        <v>-28044</v>
      </c>
      <c r="F2486" s="3" t="s">
        <v>1930</v>
      </c>
      <c r="G2486" s="3" t="s">
        <v>20</v>
      </c>
      <c r="H2486" s="2" t="s">
        <v>21</v>
      </c>
      <c r="I2486" s="2" t="s">
        <v>5143</v>
      </c>
      <c r="J2486" s="3" t="str">
        <f>HYPERLINK("https://www.boe.es/gazeta/dias/1823/03/20/pdfs/GMD-1823-83.pdf#page=4","Abrir facsímil")</f>
        <v>Abrir facsímil</v>
      </c>
      <c r="K2486" s="3" t="s">
        <v>23</v>
      </c>
    </row>
    <row r="2487" spans="1:11" ht="42" customHeight="1">
      <c r="A2487" s="2" t="s">
        <v>5144</v>
      </c>
      <c r="B2487" s="2" t="s">
        <v>5144</v>
      </c>
      <c r="C2487" s="2" t="s">
        <v>56</v>
      </c>
      <c r="D2487" s="2" t="s">
        <v>57</v>
      </c>
      <c r="E2487" s="5">
        <v>-28061</v>
      </c>
      <c r="F2487" s="3" t="s">
        <v>704</v>
      </c>
      <c r="G2487" s="3" t="s">
        <v>39</v>
      </c>
      <c r="H2487" s="2" t="s">
        <v>21</v>
      </c>
      <c r="I2487" s="2" t="s">
        <v>5145</v>
      </c>
      <c r="J2487" s="3" t="str">
        <f>HYPERLINK("https://www.boe.es/gazeta/dias/1823/03/03/pdfs/GMD-1823-66.pdf#page=1","Abrir facsímil")</f>
        <v>Abrir facsímil</v>
      </c>
      <c r="K2487" s="3" t="s">
        <v>23</v>
      </c>
    </row>
    <row r="2488" spans="1:11" ht="42" customHeight="1">
      <c r="A2488" s="2" t="s">
        <v>5146</v>
      </c>
      <c r="B2488" s="2" t="s">
        <v>5147</v>
      </c>
      <c r="C2488" s="2" t="s">
        <v>56</v>
      </c>
      <c r="D2488" s="2" t="s">
        <v>57</v>
      </c>
      <c r="E2488" s="5">
        <v>-27910</v>
      </c>
      <c r="F2488" s="3" t="s">
        <v>38</v>
      </c>
      <c r="G2488" s="3" t="s">
        <v>20</v>
      </c>
      <c r="H2488" s="2" t="s">
        <v>21</v>
      </c>
      <c r="I2488" s="2" t="s">
        <v>5148</v>
      </c>
      <c r="J2488" s="3" t="str">
        <f>HYPERLINK("https://www.boe.es/gazeta/dias/1823/08/01/pdfs/GES-1823-113.pdf#page=4","Abrir facsímil")</f>
        <v>Abrir facsímil</v>
      </c>
      <c r="K2488" s="3" t="s">
        <v>23</v>
      </c>
    </row>
    <row r="2489" spans="1:11" ht="42" customHeight="1">
      <c r="A2489" s="2" t="s">
        <v>5149</v>
      </c>
      <c r="B2489" s="2" t="s">
        <v>5149</v>
      </c>
      <c r="C2489" s="2" t="s">
        <v>56</v>
      </c>
      <c r="D2489" s="2" t="s">
        <v>57</v>
      </c>
      <c r="E2489" s="5">
        <v>-28095</v>
      </c>
      <c r="F2489" s="3" t="s">
        <v>1770</v>
      </c>
      <c r="G2489" s="3" t="s">
        <v>39</v>
      </c>
      <c r="H2489" s="2" t="s">
        <v>21</v>
      </c>
      <c r="I2489" s="2" t="s">
        <v>5150</v>
      </c>
      <c r="J2489" s="3" t="str">
        <f>HYPERLINK("https://www.boe.es/gazeta/dias/1823/01/28/pdfs/GMD-1823-29.pdf#page=1","Abrir facsímil")</f>
        <v>Abrir facsímil</v>
      </c>
      <c r="K2489" s="3" t="s">
        <v>23</v>
      </c>
    </row>
    <row r="2490" spans="1:11" ht="42" customHeight="1">
      <c r="A2490" s="2" t="s">
        <v>5151</v>
      </c>
      <c r="B2490" s="2" t="s">
        <v>5151</v>
      </c>
      <c r="C2490" s="2" t="s">
        <v>56</v>
      </c>
      <c r="D2490" s="2" t="s">
        <v>57</v>
      </c>
      <c r="E2490" s="5">
        <v>-27939</v>
      </c>
      <c r="F2490" s="3" t="s">
        <v>1076</v>
      </c>
      <c r="G2490" s="3" t="s">
        <v>48</v>
      </c>
      <c r="H2490" s="2" t="s">
        <v>21</v>
      </c>
      <c r="I2490" s="2" t="s">
        <v>5152</v>
      </c>
      <c r="J2490" s="3" t="str">
        <f>HYPERLINK("https://www.boe.es/gazeta/dias/1823/07/03/pdfs/GES-1823-83.pdf#page=3","Abrir facsímil")</f>
        <v>Abrir facsímil</v>
      </c>
      <c r="K2490" s="3" t="s">
        <v>23</v>
      </c>
    </row>
    <row r="2491" spans="1:11" ht="42" customHeight="1">
      <c r="A2491" s="2" t="s">
        <v>5153</v>
      </c>
      <c r="B2491" s="2" t="s">
        <v>5153</v>
      </c>
      <c r="C2491" s="2" t="s">
        <v>17</v>
      </c>
      <c r="D2491" s="2" t="s">
        <v>18</v>
      </c>
      <c r="E2491" s="5">
        <v>-28076</v>
      </c>
      <c r="F2491" s="3" t="s">
        <v>1638</v>
      </c>
      <c r="G2491" s="3" t="s">
        <v>20</v>
      </c>
      <c r="H2491" s="2" t="s">
        <v>21</v>
      </c>
      <c r="I2491" s="2" t="s">
        <v>5154</v>
      </c>
      <c r="J2491" s="3" t="str">
        <f>HYPERLINK("https://www.boe.es/gazeta/dias/1823/02/16/pdfs/GMD-1823-50.pdf#page=4","Abrir facsímil")</f>
        <v>Abrir facsímil</v>
      </c>
      <c r="K2491" s="3" t="s">
        <v>23</v>
      </c>
    </row>
    <row r="2492" spans="1:11" ht="42" customHeight="1">
      <c r="A2492" s="2" t="s">
        <v>5155</v>
      </c>
      <c r="B2492" s="2" t="s">
        <v>5156</v>
      </c>
      <c r="C2492" s="2" t="s">
        <v>56</v>
      </c>
      <c r="D2492" s="2" t="s">
        <v>57</v>
      </c>
      <c r="E2492" s="5">
        <v>-28036</v>
      </c>
      <c r="F2492" s="3" t="s">
        <v>2216</v>
      </c>
      <c r="G2492" s="3" t="s">
        <v>20</v>
      </c>
      <c r="H2492" s="2" t="s">
        <v>21</v>
      </c>
      <c r="I2492" s="2" t="s">
        <v>5157</v>
      </c>
      <c r="J2492" s="3" t="str">
        <f>HYPERLINK("https://www.boe.es/gazeta/dias/1823/03/28/pdfs/GMD-1823-91.pdf#page=4","Abrir facsímil")</f>
        <v>Abrir facsímil</v>
      </c>
      <c r="K2492" s="3" t="s">
        <v>23</v>
      </c>
    </row>
    <row r="2493" spans="1:11" ht="42" customHeight="1">
      <c r="A2493" s="2" t="s">
        <v>5158</v>
      </c>
      <c r="B2493" s="2" t="s">
        <v>5159</v>
      </c>
      <c r="C2493" s="2" t="s">
        <v>293</v>
      </c>
      <c r="D2493" s="2" t="s">
        <v>74</v>
      </c>
      <c r="E2493" s="5">
        <v>-28030</v>
      </c>
      <c r="F2493" s="3" t="s">
        <v>145</v>
      </c>
      <c r="G2493" s="3" t="s">
        <v>20</v>
      </c>
      <c r="H2493" s="2" t="s">
        <v>21</v>
      </c>
      <c r="I2493" s="2" t="s">
        <v>5160</v>
      </c>
      <c r="J2493" s="3" t="str">
        <f>HYPERLINK("https://www.boe.es/gazeta/dias/1823/04/03/pdfs/GMD-1823-97.pdf#page=4","Abrir facsímil")</f>
        <v>Abrir facsímil</v>
      </c>
      <c r="K2493" s="3" t="s">
        <v>23</v>
      </c>
    </row>
    <row r="2494" spans="1:11" ht="42" customHeight="1">
      <c r="A2494" s="2" t="s">
        <v>5161</v>
      </c>
      <c r="B2494" s="2" t="s">
        <v>5162</v>
      </c>
      <c r="C2494" s="2" t="s">
        <v>84</v>
      </c>
      <c r="D2494" s="2" t="s">
        <v>74</v>
      </c>
      <c r="E2494" s="5">
        <v>-28032</v>
      </c>
      <c r="F2494" s="3" t="s">
        <v>668</v>
      </c>
      <c r="G2494" s="3" t="s">
        <v>20</v>
      </c>
      <c r="H2494" s="2" t="s">
        <v>21</v>
      </c>
      <c r="I2494" s="2" t="s">
        <v>5163</v>
      </c>
      <c r="J2494" s="3" t="str">
        <f>HYPERLINK("https://www.boe.es/gazeta/dias/1823/04/01/pdfs/GMD-1823-95.pdf#page=4","Abrir facsímil")</f>
        <v>Abrir facsímil</v>
      </c>
      <c r="K2494" s="3" t="s">
        <v>23</v>
      </c>
    </row>
    <row r="2495" spans="1:11" ht="42" customHeight="1">
      <c r="A2495" s="2" t="s">
        <v>5164</v>
      </c>
      <c r="B2495" s="2" t="s">
        <v>5165</v>
      </c>
      <c r="C2495" s="2" t="s">
        <v>17</v>
      </c>
      <c r="D2495" s="2" t="s">
        <v>18</v>
      </c>
      <c r="E2495" s="5">
        <v>-27982</v>
      </c>
      <c r="F2495" s="3" t="s">
        <v>340</v>
      </c>
      <c r="G2495" s="3" t="s">
        <v>59</v>
      </c>
      <c r="H2495" s="2" t="s">
        <v>21</v>
      </c>
      <c r="I2495" s="2" t="s">
        <v>5166</v>
      </c>
      <c r="J2495" s="3" t="str">
        <f>HYPERLINK("https://www.boe.es/gazeta/dias/1823/05/21/pdfs/GES-1823-42.pdf#page=6","Abrir facsímil")</f>
        <v>Abrir facsímil</v>
      </c>
      <c r="K2495" s="3" t="s">
        <v>23</v>
      </c>
    </row>
    <row r="2496" spans="1:11" ht="42" customHeight="1">
      <c r="A2496" s="2" t="s">
        <v>5167</v>
      </c>
      <c r="B2496" s="2" t="s">
        <v>5167</v>
      </c>
      <c r="C2496" s="2" t="s">
        <v>17</v>
      </c>
      <c r="D2496" s="2" t="s">
        <v>18</v>
      </c>
      <c r="E2496" s="5">
        <v>-28032</v>
      </c>
      <c r="F2496" s="3" t="s">
        <v>668</v>
      </c>
      <c r="G2496" s="3" t="s">
        <v>27</v>
      </c>
      <c r="H2496" s="2" t="s">
        <v>21</v>
      </c>
      <c r="I2496" s="2" t="s">
        <v>5168</v>
      </c>
      <c r="J2496" s="3" t="str">
        <f>HYPERLINK("https://www.boe.es/gazeta/dias/1823/04/01/pdfs/GMD-1823-95.pdf#page=2","Abrir facsímil")</f>
        <v>Abrir facsímil</v>
      </c>
      <c r="K2496" s="3" t="s">
        <v>23</v>
      </c>
    </row>
    <row r="2497" spans="1:11" ht="42" customHeight="1">
      <c r="A2497" s="2" t="s">
        <v>5167</v>
      </c>
      <c r="B2497" s="2" t="s">
        <v>5167</v>
      </c>
      <c r="C2497" s="2" t="s">
        <v>17</v>
      </c>
      <c r="D2497" s="2" t="s">
        <v>18</v>
      </c>
      <c r="E2497" s="5">
        <v>-27898</v>
      </c>
      <c r="F2497" s="3" t="s">
        <v>5169</v>
      </c>
      <c r="G2497" s="3" t="s">
        <v>48</v>
      </c>
      <c r="H2497" s="2" t="s">
        <v>21</v>
      </c>
      <c r="I2497" s="2" t="s">
        <v>5170</v>
      </c>
      <c r="J2497" s="3" t="str">
        <f>HYPERLINK("https://www.boe.es/gazeta/dias/1823/08/13/pdfs/GES-1823-126.pdf#page=3","Abrir facsímil")</f>
        <v>Abrir facsímil</v>
      </c>
      <c r="K2497" s="3" t="s">
        <v>23</v>
      </c>
    </row>
    <row r="2498" spans="1:11" ht="42" customHeight="1">
      <c r="A2498" s="2" t="s">
        <v>5171</v>
      </c>
      <c r="B2498" s="2" t="s">
        <v>5172</v>
      </c>
      <c r="C2498" s="2" t="s">
        <v>17</v>
      </c>
      <c r="D2498" s="2" t="s">
        <v>18</v>
      </c>
      <c r="E2498" s="5">
        <v>-27888</v>
      </c>
      <c r="F2498" s="3" t="s">
        <v>232</v>
      </c>
      <c r="G2498" s="3" t="s">
        <v>48</v>
      </c>
      <c r="H2498" s="2" t="s">
        <v>21</v>
      </c>
      <c r="I2498" s="2" t="s">
        <v>5173</v>
      </c>
      <c r="J2498" s="3" t="str">
        <f>HYPERLINK("https://www.boe.es/gazeta/dias/1823/08/23/pdfs/GMD-1823-633.pdf#page=3","Abrir facsímil")</f>
        <v>Abrir facsímil</v>
      </c>
      <c r="K2498" s="3" t="s">
        <v>23</v>
      </c>
    </row>
    <row r="2499" spans="1:11" ht="42" customHeight="1">
      <c r="A2499" s="2" t="s">
        <v>5174</v>
      </c>
      <c r="B2499" s="2" t="s">
        <v>5175</v>
      </c>
      <c r="C2499" s="2" t="s">
        <v>17</v>
      </c>
      <c r="D2499" s="2" t="s">
        <v>18</v>
      </c>
      <c r="E2499" s="5">
        <v>-28050</v>
      </c>
      <c r="F2499" s="3" t="s">
        <v>473</v>
      </c>
      <c r="G2499" s="3" t="s">
        <v>27</v>
      </c>
      <c r="H2499" s="2" t="s">
        <v>21</v>
      </c>
      <c r="I2499" s="2" t="s">
        <v>5176</v>
      </c>
      <c r="J2499" s="3" t="str">
        <f>HYPERLINK("https://www.boe.es/gazeta/dias/1823/03/14/pdfs/GMD-1823-77.pdf#page=2","Abrir facsímil")</f>
        <v>Abrir facsímil</v>
      </c>
      <c r="K2499" s="3" t="s">
        <v>23</v>
      </c>
    </row>
    <row r="2500" spans="1:11" ht="42" customHeight="1">
      <c r="A2500" s="2" t="s">
        <v>5177</v>
      </c>
      <c r="B2500" s="2" t="s">
        <v>5178</v>
      </c>
      <c r="C2500" s="2" t="s">
        <v>17</v>
      </c>
      <c r="D2500" s="2" t="s">
        <v>18</v>
      </c>
      <c r="E2500" s="5">
        <v>-27882</v>
      </c>
      <c r="F2500" s="3" t="s">
        <v>5179</v>
      </c>
      <c r="G2500" s="3" t="s">
        <v>20</v>
      </c>
      <c r="H2500" s="2" t="s">
        <v>21</v>
      </c>
      <c r="I2500" s="2" t="s">
        <v>5180</v>
      </c>
      <c r="J2500" s="3" t="str">
        <f>HYPERLINK("https://www.boe.es/gazeta/dias/1823/08/29/pdfs/GES-1823-142.pdf#page=4","Abrir facsímil")</f>
        <v>Abrir facsímil</v>
      </c>
      <c r="K2500" s="3" t="s">
        <v>23</v>
      </c>
    </row>
    <row r="2501" spans="1:11" ht="42" customHeight="1">
      <c r="A2501" s="2" t="s">
        <v>5181</v>
      </c>
      <c r="B2501" s="2" t="s">
        <v>5181</v>
      </c>
      <c r="C2501" s="2" t="s">
        <v>56</v>
      </c>
      <c r="D2501" s="2" t="s">
        <v>57</v>
      </c>
      <c r="E2501" s="5">
        <v>-28000</v>
      </c>
      <c r="F2501" s="3" t="s">
        <v>1118</v>
      </c>
      <c r="G2501" s="3" t="s">
        <v>20</v>
      </c>
      <c r="H2501" s="2" t="s">
        <v>21</v>
      </c>
      <c r="I2501" s="2" t="s">
        <v>5182</v>
      </c>
      <c r="J2501" s="3" t="str">
        <f>HYPERLINK("https://www.boe.es/gazeta/dias/1823/05/03/pdfs/GES-1823-23.pdf#page=4","Abrir facsímil")</f>
        <v>Abrir facsímil</v>
      </c>
      <c r="K2501" s="3" t="s">
        <v>23</v>
      </c>
    </row>
    <row r="2502" spans="1:11" ht="42" customHeight="1">
      <c r="A2502" s="2" t="s">
        <v>5183</v>
      </c>
      <c r="B2502" s="2" t="s">
        <v>5184</v>
      </c>
      <c r="C2502" s="2" t="s">
        <v>17</v>
      </c>
      <c r="D2502" s="2" t="s">
        <v>18</v>
      </c>
      <c r="E2502" s="5">
        <v>-27993</v>
      </c>
      <c r="F2502" s="3" t="s">
        <v>977</v>
      </c>
      <c r="G2502" s="3" t="s">
        <v>978</v>
      </c>
      <c r="H2502" s="2" t="s">
        <v>21</v>
      </c>
      <c r="I2502" s="2" t="s">
        <v>5185</v>
      </c>
      <c r="J2502" s="3" t="str">
        <f>HYPERLINK("https://www.boe.es/gazeta/dias/1823/05/10/pdfs/GES-1823-30.pdf#page=4","Abrir facsímil")</f>
        <v>Abrir facsímil</v>
      </c>
      <c r="K2502" s="3" t="s">
        <v>23</v>
      </c>
    </row>
    <row r="2503" spans="1:11" ht="42" customHeight="1">
      <c r="A2503" s="2" t="s">
        <v>5186</v>
      </c>
      <c r="B2503" s="2" t="s">
        <v>5187</v>
      </c>
      <c r="C2503" s="2" t="s">
        <v>17</v>
      </c>
      <c r="D2503" s="2" t="s">
        <v>18</v>
      </c>
      <c r="E2503" s="5">
        <v>-27992</v>
      </c>
      <c r="F2503" s="3" t="s">
        <v>565</v>
      </c>
      <c r="G2503" s="3" t="s">
        <v>20</v>
      </c>
      <c r="H2503" s="2" t="s">
        <v>21</v>
      </c>
      <c r="I2503" s="2" t="s">
        <v>5188</v>
      </c>
      <c r="J2503" s="3" t="str">
        <f>HYPERLINK("https://www.boe.es/gazeta/dias/1823/05/11/pdfs/GES-1823-31.pdf#page=4","Abrir facsímil")</f>
        <v>Abrir facsímil</v>
      </c>
      <c r="K2503" s="3" t="s">
        <v>23</v>
      </c>
    </row>
    <row r="2504" spans="1:11" ht="42" customHeight="1">
      <c r="A2504" s="2" t="s">
        <v>5189</v>
      </c>
      <c r="B2504" s="2" t="s">
        <v>5189</v>
      </c>
      <c r="C2504" s="2" t="s">
        <v>17</v>
      </c>
      <c r="D2504" s="2" t="s">
        <v>18</v>
      </c>
      <c r="E2504" s="5">
        <v>-27984</v>
      </c>
      <c r="F2504" s="3" t="s">
        <v>335</v>
      </c>
      <c r="G2504" s="3" t="s">
        <v>20</v>
      </c>
      <c r="H2504" s="2" t="s">
        <v>21</v>
      </c>
      <c r="I2504" s="2" t="s">
        <v>5190</v>
      </c>
      <c r="J2504" s="3" t="str">
        <f>HYPERLINK("https://www.boe.es/gazeta/dias/1823/05/19/pdfs/GES-1823-39.pdf#page=4","Abrir facsímil")</f>
        <v>Abrir facsímil</v>
      </c>
      <c r="K2504" s="3" t="s">
        <v>23</v>
      </c>
    </row>
    <row r="2505" spans="1:11" ht="42" customHeight="1">
      <c r="A2505" s="2" t="s">
        <v>5191</v>
      </c>
      <c r="B2505" s="2" t="s">
        <v>5191</v>
      </c>
      <c r="C2505" s="2" t="s">
        <v>79</v>
      </c>
      <c r="D2505" s="2" t="s">
        <v>74</v>
      </c>
      <c r="E2505" s="5">
        <v>-28107</v>
      </c>
      <c r="F2505" s="3" t="s">
        <v>278</v>
      </c>
      <c r="G2505" s="3" t="s">
        <v>27</v>
      </c>
      <c r="H2505" s="2" t="s">
        <v>21</v>
      </c>
      <c r="I2505" s="2" t="s">
        <v>5192</v>
      </c>
      <c r="J2505" s="3" t="str">
        <f>HYPERLINK("https://www.boe.es/gazeta/dias/1823/01/16/pdfs/GMD-1823-16.pdf#page=2","Abrir facsímil")</f>
        <v>Abrir facsímil</v>
      </c>
      <c r="K2505" s="3" t="s">
        <v>23</v>
      </c>
    </row>
    <row r="2506" spans="1:11" ht="42" customHeight="1">
      <c r="A2506" s="2" t="s">
        <v>5191</v>
      </c>
      <c r="B2506" s="2" t="s">
        <v>5191</v>
      </c>
      <c r="C2506" s="2" t="s">
        <v>17</v>
      </c>
      <c r="D2506" s="2" t="s">
        <v>18</v>
      </c>
      <c r="E2506" s="5">
        <v>-28103</v>
      </c>
      <c r="F2506" s="3" t="s">
        <v>285</v>
      </c>
      <c r="G2506" s="3" t="s">
        <v>27</v>
      </c>
      <c r="H2506" s="2" t="s">
        <v>21</v>
      </c>
      <c r="I2506" s="2" t="s">
        <v>5193</v>
      </c>
      <c r="J2506" s="3" t="str">
        <f>HYPERLINK("https://www.boe.es/gazeta/dias/1823/01/20/pdfs/GMD-1823-20.pdf#page=2","Abrir facsímil")</f>
        <v>Abrir facsímil</v>
      </c>
      <c r="K2506" s="3" t="s">
        <v>23</v>
      </c>
    </row>
    <row r="2507" spans="1:11" ht="42" customHeight="1">
      <c r="A2507" s="2" t="s">
        <v>5191</v>
      </c>
      <c r="B2507" s="2" t="s">
        <v>5191</v>
      </c>
      <c r="C2507" s="2" t="s">
        <v>17</v>
      </c>
      <c r="D2507" s="2" t="s">
        <v>18</v>
      </c>
      <c r="E2507" s="5">
        <v>-28102</v>
      </c>
      <c r="F2507" s="3" t="s">
        <v>287</v>
      </c>
      <c r="G2507" s="3" t="s">
        <v>27</v>
      </c>
      <c r="H2507" s="2" t="s">
        <v>21</v>
      </c>
      <c r="I2507" s="2" t="s">
        <v>5194</v>
      </c>
      <c r="J2507" s="3" t="str">
        <f>HYPERLINK("https://www.boe.es/gazeta/dias/1823/01/21/pdfs/GMD-1823-22.pdf#page=2","Abrir facsímil")</f>
        <v>Abrir facsímil</v>
      </c>
      <c r="K2507" s="3" t="s">
        <v>23</v>
      </c>
    </row>
    <row r="2508" spans="1:11" ht="42" customHeight="1">
      <c r="A2508" s="2" t="s">
        <v>5191</v>
      </c>
      <c r="B2508" s="2" t="s">
        <v>5191</v>
      </c>
      <c r="C2508" s="2" t="s">
        <v>17</v>
      </c>
      <c r="D2508" s="2" t="s">
        <v>18</v>
      </c>
      <c r="E2508" s="5">
        <v>-28101</v>
      </c>
      <c r="F2508" s="3" t="s">
        <v>1041</v>
      </c>
      <c r="G2508" s="3" t="s">
        <v>48</v>
      </c>
      <c r="H2508" s="2" t="s">
        <v>21</v>
      </c>
      <c r="I2508" s="2" t="s">
        <v>5195</v>
      </c>
      <c r="J2508" s="3" t="str">
        <f>HYPERLINK("https://www.boe.es/gazeta/dias/1823/01/22/pdfs/GMD-1823-23.pdf#page=3","Abrir facsímil")</f>
        <v>Abrir facsímil</v>
      </c>
      <c r="K2508" s="3" t="s">
        <v>23</v>
      </c>
    </row>
    <row r="2509" spans="1:11" ht="42" customHeight="1">
      <c r="A2509" s="2" t="s">
        <v>5191</v>
      </c>
      <c r="B2509" s="2" t="s">
        <v>5191</v>
      </c>
      <c r="C2509" s="2" t="s">
        <v>79</v>
      </c>
      <c r="D2509" s="2" t="s">
        <v>74</v>
      </c>
      <c r="E2509" s="5">
        <v>-28003</v>
      </c>
      <c r="F2509" s="3" t="s">
        <v>26</v>
      </c>
      <c r="G2509" s="3" t="s">
        <v>48</v>
      </c>
      <c r="H2509" s="2" t="s">
        <v>21</v>
      </c>
      <c r="I2509" s="2" t="s">
        <v>5196</v>
      </c>
      <c r="J2509" s="3" t="str">
        <f>HYPERLINK("https://www.boe.es/gazeta/dias/1823/04/30/pdfs/GES-1823-20.pdf#page=3","Abrir facsímil")</f>
        <v>Abrir facsímil</v>
      </c>
      <c r="K2509" s="3" t="s">
        <v>23</v>
      </c>
    </row>
    <row r="2510" spans="1:11" ht="42" customHeight="1">
      <c r="A2510" s="2" t="s">
        <v>5191</v>
      </c>
      <c r="B2510" s="2" t="s">
        <v>5191</v>
      </c>
      <c r="C2510" s="2" t="s">
        <v>56</v>
      </c>
      <c r="D2510" s="2" t="s">
        <v>57</v>
      </c>
      <c r="E2510" s="5">
        <v>-27997</v>
      </c>
      <c r="F2510" s="3" t="s">
        <v>317</v>
      </c>
      <c r="G2510" s="3" t="s">
        <v>1124</v>
      </c>
      <c r="H2510" s="2" t="s">
        <v>21</v>
      </c>
      <c r="I2510" s="2" t="s">
        <v>5197</v>
      </c>
      <c r="J2510" s="3" t="str">
        <f>HYPERLINK("https://www.boe.es/gazeta/dias/1823/05/06/pdfs/GES-1823-26.pdf#page=2","Abrir facsímil")</f>
        <v>Abrir facsímil</v>
      </c>
      <c r="K2510" s="3" t="s">
        <v>23</v>
      </c>
    </row>
    <row r="2511" spans="1:11" ht="42" customHeight="1">
      <c r="A2511" s="2" t="s">
        <v>5191</v>
      </c>
      <c r="B2511" s="2" t="s">
        <v>5191</v>
      </c>
      <c r="C2511" s="2" t="s">
        <v>73</v>
      </c>
      <c r="D2511" s="2" t="s">
        <v>74</v>
      </c>
      <c r="E2511" s="5">
        <v>-27992</v>
      </c>
      <c r="F2511" s="3" t="s">
        <v>565</v>
      </c>
      <c r="G2511" s="3" t="s">
        <v>48</v>
      </c>
      <c r="H2511" s="2" t="s">
        <v>21</v>
      </c>
      <c r="I2511" s="2" t="s">
        <v>5198</v>
      </c>
      <c r="J2511" s="3" t="str">
        <f>HYPERLINK("https://www.boe.es/gazeta/dias/1823/05/11/pdfs/GES-1823-31.pdf#page=3","Abrir facsímil")</f>
        <v>Abrir facsímil</v>
      </c>
      <c r="K2511" s="3" t="s">
        <v>23</v>
      </c>
    </row>
    <row r="2512" spans="1:11" ht="42" customHeight="1">
      <c r="A2512" s="2" t="s">
        <v>5191</v>
      </c>
      <c r="B2512" s="2" t="s">
        <v>5191</v>
      </c>
      <c r="C2512" s="2" t="s">
        <v>17</v>
      </c>
      <c r="D2512" s="2" t="s">
        <v>18</v>
      </c>
      <c r="E2512" s="5">
        <v>-27986</v>
      </c>
      <c r="F2512" s="3" t="s">
        <v>607</v>
      </c>
      <c r="G2512" s="3" t="s">
        <v>20</v>
      </c>
      <c r="H2512" s="2" t="s">
        <v>21</v>
      </c>
      <c r="I2512" s="2" t="s">
        <v>5199</v>
      </c>
      <c r="J2512" s="3" t="str">
        <f>HYPERLINK("https://www.boe.es/gazeta/dias/1823/05/17/pdfs/GMD-1823-152.pdf#page=4","Abrir facsímil")</f>
        <v>Abrir facsímil</v>
      </c>
      <c r="K2512" s="3" t="s">
        <v>23</v>
      </c>
    </row>
    <row r="2513" spans="1:11" ht="42" customHeight="1">
      <c r="A2513" s="2" t="s">
        <v>5191</v>
      </c>
      <c r="B2513" s="2" t="s">
        <v>5191</v>
      </c>
      <c r="C2513" s="2" t="s">
        <v>73</v>
      </c>
      <c r="D2513" s="2" t="s">
        <v>74</v>
      </c>
      <c r="E2513" s="5">
        <v>-27984</v>
      </c>
      <c r="F2513" s="3" t="s">
        <v>335</v>
      </c>
      <c r="G2513" s="3" t="s">
        <v>20</v>
      </c>
      <c r="H2513" s="2" t="s">
        <v>21</v>
      </c>
      <c r="I2513" s="2" t="s">
        <v>5200</v>
      </c>
      <c r="J2513" s="3" t="str">
        <f>HYPERLINK("https://www.boe.es/gazeta/dias/1823/05/19/pdfs/GES-1823-39.pdf#page=4","Abrir facsímil")</f>
        <v>Abrir facsímil</v>
      </c>
      <c r="K2513" s="3" t="s">
        <v>23</v>
      </c>
    </row>
    <row r="2514" spans="1:11" ht="42" customHeight="1">
      <c r="A2514" s="2" t="s">
        <v>5191</v>
      </c>
      <c r="B2514" s="2" t="s">
        <v>5191</v>
      </c>
      <c r="C2514" s="2" t="s">
        <v>109</v>
      </c>
      <c r="D2514" s="2" t="s">
        <v>74</v>
      </c>
      <c r="E2514" s="5">
        <v>-27941</v>
      </c>
      <c r="F2514" s="3" t="s">
        <v>527</v>
      </c>
      <c r="G2514" s="3" t="s">
        <v>48</v>
      </c>
      <c r="H2514" s="2" t="s">
        <v>21</v>
      </c>
      <c r="I2514" s="2" t="s">
        <v>5201</v>
      </c>
      <c r="J2514" s="3" t="str">
        <f>HYPERLINK("https://www.boe.es/gazeta/dias/1823/07/01/pdfs/GES-1823-81.pdf#page=3","Abrir facsímil")</f>
        <v>Abrir facsímil</v>
      </c>
      <c r="K2514" s="3" t="s">
        <v>23</v>
      </c>
    </row>
    <row r="2515" spans="1:11" ht="42" customHeight="1">
      <c r="A2515" s="2" t="s">
        <v>5191</v>
      </c>
      <c r="B2515" s="2" t="s">
        <v>5191</v>
      </c>
      <c r="C2515" s="2" t="s">
        <v>56</v>
      </c>
      <c r="D2515" s="2" t="s">
        <v>57</v>
      </c>
      <c r="E2515" s="5">
        <v>-27940</v>
      </c>
      <c r="F2515" s="3" t="s">
        <v>348</v>
      </c>
      <c r="G2515" s="3" t="s">
        <v>48</v>
      </c>
      <c r="H2515" s="2" t="s">
        <v>21</v>
      </c>
      <c r="I2515" s="2" t="s">
        <v>5202</v>
      </c>
      <c r="J2515" s="3" t="str">
        <f>HYPERLINK("https://www.boe.es/gazeta/dias/1823/07/02/pdfs/GES-1823-82.pdf#page=3","Abrir facsímil")</f>
        <v>Abrir facsímil</v>
      </c>
      <c r="K2515" s="3" t="s">
        <v>23</v>
      </c>
    </row>
    <row r="2516" spans="1:11" ht="42" customHeight="1">
      <c r="A2516" s="2" t="s">
        <v>5191</v>
      </c>
      <c r="B2516" s="2" t="s">
        <v>5191</v>
      </c>
      <c r="C2516" s="2" t="s">
        <v>56</v>
      </c>
      <c r="D2516" s="2" t="s">
        <v>57</v>
      </c>
      <c r="E2516" s="5">
        <v>-27935</v>
      </c>
      <c r="F2516" s="3" t="s">
        <v>350</v>
      </c>
      <c r="G2516" s="3" t="s">
        <v>39</v>
      </c>
      <c r="H2516" s="2" t="s">
        <v>21</v>
      </c>
      <c r="I2516" s="2" t="s">
        <v>5203</v>
      </c>
      <c r="J2516" s="3" t="str">
        <f>HYPERLINK("https://www.boe.es/gazeta/dias/1823/07/07/pdfs/GES-1823-87.pdf#page=1","Abrir facsímil")</f>
        <v>Abrir facsímil</v>
      </c>
      <c r="K2516" s="3" t="s">
        <v>23</v>
      </c>
    </row>
    <row r="2517" spans="1:11" ht="42" customHeight="1">
      <c r="A2517" s="2" t="s">
        <v>5191</v>
      </c>
      <c r="B2517" s="2" t="s">
        <v>5191</v>
      </c>
      <c r="C2517" s="2" t="s">
        <v>17</v>
      </c>
      <c r="D2517" s="2" t="s">
        <v>18</v>
      </c>
      <c r="E2517" s="5">
        <v>-27935</v>
      </c>
      <c r="F2517" s="3" t="s">
        <v>350</v>
      </c>
      <c r="G2517" s="3" t="s">
        <v>27</v>
      </c>
      <c r="H2517" s="2" t="s">
        <v>21</v>
      </c>
      <c r="I2517" s="2" t="s">
        <v>5204</v>
      </c>
      <c r="J2517" s="3" t="str">
        <f>HYPERLINK("https://www.boe.es/gazeta/dias/1823/07/07/pdfs/GES-1823-87.pdf#page=2","Abrir facsímil")</f>
        <v>Abrir facsímil</v>
      </c>
      <c r="K2517" s="3" t="s">
        <v>23</v>
      </c>
    </row>
    <row r="2518" spans="1:11" ht="42" customHeight="1">
      <c r="A2518" s="2" t="s">
        <v>5191</v>
      </c>
      <c r="B2518" s="2" t="s">
        <v>5191</v>
      </c>
      <c r="C2518" s="2" t="s">
        <v>56</v>
      </c>
      <c r="D2518" s="2" t="s">
        <v>57</v>
      </c>
      <c r="E2518" s="5">
        <v>-27935</v>
      </c>
      <c r="F2518" s="3" t="s">
        <v>350</v>
      </c>
      <c r="G2518" s="3" t="s">
        <v>48</v>
      </c>
      <c r="H2518" s="2" t="s">
        <v>21</v>
      </c>
      <c r="I2518" s="2" t="s">
        <v>5205</v>
      </c>
      <c r="J2518" s="3" t="str">
        <f>HYPERLINK("https://www.boe.es/gazeta/dias/1823/07/07/pdfs/GES-1823-87.pdf#page=3","Abrir facsímil")</f>
        <v>Abrir facsímil</v>
      </c>
      <c r="K2518" s="3" t="s">
        <v>23</v>
      </c>
    </row>
    <row r="2519" spans="1:11" ht="42" customHeight="1">
      <c r="A2519" s="2" t="s">
        <v>5191</v>
      </c>
      <c r="B2519" s="2" t="s">
        <v>5191</v>
      </c>
      <c r="C2519" s="2" t="s">
        <v>56</v>
      </c>
      <c r="D2519" s="2" t="s">
        <v>57</v>
      </c>
      <c r="E2519" s="5">
        <v>-27932</v>
      </c>
      <c r="F2519" s="3" t="s">
        <v>707</v>
      </c>
      <c r="G2519" s="3" t="s">
        <v>27</v>
      </c>
      <c r="H2519" s="2" t="s">
        <v>21</v>
      </c>
      <c r="I2519" s="2" t="s">
        <v>5206</v>
      </c>
      <c r="J2519" s="3" t="str">
        <f>HYPERLINK("https://www.boe.es/gazeta/dias/1823/07/10/pdfs/GES-1823-90.pdf#page=2","Abrir facsímil")</f>
        <v>Abrir facsímil</v>
      </c>
      <c r="K2519" s="3" t="s">
        <v>23</v>
      </c>
    </row>
    <row r="2520" spans="1:11" ht="42" customHeight="1">
      <c r="A2520" s="2" t="s">
        <v>5191</v>
      </c>
      <c r="B2520" s="2" t="s">
        <v>5191</v>
      </c>
      <c r="C2520" s="2" t="s">
        <v>17</v>
      </c>
      <c r="D2520" s="2" t="s">
        <v>18</v>
      </c>
      <c r="E2520" s="5">
        <v>-27930</v>
      </c>
      <c r="F2520" s="3" t="s">
        <v>2334</v>
      </c>
      <c r="G2520" s="3" t="s">
        <v>48</v>
      </c>
      <c r="H2520" s="2" t="s">
        <v>21</v>
      </c>
      <c r="I2520" s="2" t="s">
        <v>5207</v>
      </c>
      <c r="J2520" s="3" t="str">
        <f>HYPERLINK("https://www.boe.es/gazeta/dias/1823/07/12/pdfs/GES-1823-92.pdf#page=3","Abrir facsímil")</f>
        <v>Abrir facsímil</v>
      </c>
      <c r="K2520" s="3" t="s">
        <v>23</v>
      </c>
    </row>
    <row r="2521" spans="1:11" ht="42" customHeight="1">
      <c r="A2521" s="2" t="s">
        <v>5191</v>
      </c>
      <c r="B2521" s="2" t="s">
        <v>5191</v>
      </c>
      <c r="C2521" s="2" t="s">
        <v>17</v>
      </c>
      <c r="D2521" s="2" t="s">
        <v>18</v>
      </c>
      <c r="E2521" s="5">
        <v>-27916</v>
      </c>
      <c r="F2521" s="3" t="s">
        <v>772</v>
      </c>
      <c r="G2521" s="3" t="s">
        <v>27</v>
      </c>
      <c r="H2521" s="2" t="s">
        <v>21</v>
      </c>
      <c r="I2521" s="2" t="s">
        <v>5208</v>
      </c>
      <c r="J2521" s="3" t="str">
        <f>HYPERLINK("https://www.boe.es/gazeta/dias/1823/07/26/pdfs/GES-1823-107.pdf#page=2","Abrir facsímil")</f>
        <v>Abrir facsímil</v>
      </c>
      <c r="K2521" s="3" t="s">
        <v>23</v>
      </c>
    </row>
    <row r="2522" spans="1:11" ht="42" customHeight="1">
      <c r="A2522" s="2" t="s">
        <v>5191</v>
      </c>
      <c r="B2522" s="2" t="s">
        <v>5191</v>
      </c>
      <c r="C2522" s="2" t="s">
        <v>56</v>
      </c>
      <c r="D2522" s="2" t="s">
        <v>57</v>
      </c>
      <c r="E2522" s="5">
        <v>-27911</v>
      </c>
      <c r="F2522" s="3" t="s">
        <v>368</v>
      </c>
      <c r="G2522" s="3" t="s">
        <v>27</v>
      </c>
      <c r="H2522" s="2" t="s">
        <v>21</v>
      </c>
      <c r="I2522" s="2" t="s">
        <v>5209</v>
      </c>
      <c r="J2522" s="3" t="str">
        <f>HYPERLINK("https://www.boe.es/gazeta/dias/1823/07/31/pdfs/GES-1823-112.pdf#page=2","Abrir facsímil")</f>
        <v>Abrir facsímil</v>
      </c>
      <c r="K2522" s="3" t="s">
        <v>23</v>
      </c>
    </row>
    <row r="2523" spans="1:11" ht="42" customHeight="1">
      <c r="A2523" s="2" t="s">
        <v>5210</v>
      </c>
      <c r="B2523" s="2" t="s">
        <v>5211</v>
      </c>
      <c r="C2523" s="2" t="s">
        <v>56</v>
      </c>
      <c r="D2523" s="2" t="s">
        <v>57</v>
      </c>
      <c r="E2523" s="5">
        <v>-28116</v>
      </c>
      <c r="F2523" s="3" t="s">
        <v>134</v>
      </c>
      <c r="G2523" s="3" t="s">
        <v>59</v>
      </c>
      <c r="H2523" s="2" t="s">
        <v>21</v>
      </c>
      <c r="I2523" s="2" t="s">
        <v>5212</v>
      </c>
      <c r="J2523" s="3" t="str">
        <f>HYPERLINK("https://www.boe.es/gazeta/dias/1823/01/07/pdfs/GMD-1823-7.pdf#page=6","Abrir facsímil")</f>
        <v>Abrir facsímil</v>
      </c>
      <c r="K2523" s="3" t="s">
        <v>23</v>
      </c>
    </row>
    <row r="2524" spans="1:11" ht="42" customHeight="1">
      <c r="A2524" s="2" t="s">
        <v>5213</v>
      </c>
      <c r="B2524" s="2" t="s">
        <v>5213</v>
      </c>
      <c r="C2524" s="2" t="s">
        <v>293</v>
      </c>
      <c r="D2524" s="2" t="s">
        <v>74</v>
      </c>
      <c r="E2524" s="5">
        <v>-27965</v>
      </c>
      <c r="F2524" s="3" t="s">
        <v>208</v>
      </c>
      <c r="G2524" s="3" t="s">
        <v>27</v>
      </c>
      <c r="H2524" s="2" t="s">
        <v>21</v>
      </c>
      <c r="I2524" s="2" t="s">
        <v>5214</v>
      </c>
      <c r="J2524" s="3" t="str">
        <f>HYPERLINK("https://www.boe.es/gazeta/dias/1823/06/07/pdfs/GES-1823-61.pdf#page=2","Abrir facsímil")</f>
        <v>Abrir facsímil</v>
      </c>
      <c r="K2524" s="3" t="s">
        <v>23</v>
      </c>
    </row>
    <row r="2525" spans="1:11" ht="42" customHeight="1">
      <c r="A2525" s="2" t="s">
        <v>5215</v>
      </c>
      <c r="B2525" s="2" t="s">
        <v>5216</v>
      </c>
      <c r="C2525" s="2" t="s">
        <v>73</v>
      </c>
      <c r="D2525" s="2" t="s">
        <v>74</v>
      </c>
      <c r="E2525" s="5">
        <v>-28061</v>
      </c>
      <c r="F2525" s="3" t="s">
        <v>704</v>
      </c>
      <c r="G2525" s="3" t="s">
        <v>59</v>
      </c>
      <c r="H2525" s="2" t="s">
        <v>21</v>
      </c>
      <c r="I2525" s="2" t="s">
        <v>5217</v>
      </c>
      <c r="J2525" s="3" t="str">
        <f>HYPERLINK("https://www.boe.es/gazeta/dias/1823/03/03/pdfs/GMD-1823-66.pdf#page=6","Abrir facsímil")</f>
        <v>Abrir facsímil</v>
      </c>
      <c r="K2525" s="3" t="s">
        <v>23</v>
      </c>
    </row>
    <row r="2526" spans="1:11" ht="42" customHeight="1">
      <c r="A2526" s="2" t="s">
        <v>5215</v>
      </c>
      <c r="B2526" s="2" t="s">
        <v>5216</v>
      </c>
      <c r="C2526" s="2" t="s">
        <v>79</v>
      </c>
      <c r="D2526" s="2" t="s">
        <v>74</v>
      </c>
      <c r="E2526" s="5">
        <v>-28041</v>
      </c>
      <c r="F2526" s="3" t="s">
        <v>873</v>
      </c>
      <c r="G2526" s="3" t="s">
        <v>366</v>
      </c>
      <c r="H2526" s="2" t="s">
        <v>21</v>
      </c>
      <c r="I2526" s="2" t="s">
        <v>5218</v>
      </c>
      <c r="J2526" s="3" t="str">
        <f>HYPERLINK("https://www.boe.es/gazeta/dias/1823/03/23/pdfs/GMD-1823-86.pdf#page=4","Abrir facsímil")</f>
        <v>Abrir facsímil</v>
      </c>
      <c r="K2526" s="3" t="s">
        <v>23</v>
      </c>
    </row>
    <row r="2527" spans="1:11" ht="42" customHeight="1">
      <c r="A2527" s="2" t="s">
        <v>5215</v>
      </c>
      <c r="B2527" s="2" t="s">
        <v>5216</v>
      </c>
      <c r="C2527" s="2" t="s">
        <v>293</v>
      </c>
      <c r="D2527" s="2" t="s">
        <v>74</v>
      </c>
      <c r="E2527" s="5">
        <v>-28037</v>
      </c>
      <c r="F2527" s="3" t="s">
        <v>192</v>
      </c>
      <c r="G2527" s="3" t="s">
        <v>20</v>
      </c>
      <c r="H2527" s="2" t="s">
        <v>21</v>
      </c>
      <c r="I2527" s="2" t="s">
        <v>5219</v>
      </c>
      <c r="J2527" s="3" t="str">
        <f>HYPERLINK("https://www.boe.es/gazeta/dias/1823/03/27/pdfs/GMD-1823-90.pdf#page=4","Abrir facsímil")</f>
        <v>Abrir facsímil</v>
      </c>
      <c r="K2527" s="3" t="s">
        <v>23</v>
      </c>
    </row>
    <row r="2528" spans="1:11" ht="42" customHeight="1">
      <c r="A2528" s="2" t="s">
        <v>5220</v>
      </c>
      <c r="B2528" s="2" t="s">
        <v>5221</v>
      </c>
      <c r="C2528" s="2" t="s">
        <v>17</v>
      </c>
      <c r="D2528" s="2" t="s">
        <v>18</v>
      </c>
      <c r="E2528" s="5">
        <v>-27916</v>
      </c>
      <c r="F2528" s="3" t="s">
        <v>1558</v>
      </c>
      <c r="G2528" s="3" t="s">
        <v>39</v>
      </c>
      <c r="H2528" s="2" t="s">
        <v>21</v>
      </c>
      <c r="I2528" s="2" t="s">
        <v>5222</v>
      </c>
      <c r="J2528" s="3" t="str">
        <f>HYPERLINK("https://www.boe.es/gazeta/dias/1823/07/26/pdfs/GMD-1823-473.pdf#page=1","Abrir facsímil")</f>
        <v>Abrir facsímil</v>
      </c>
      <c r="K2528" s="3" t="s">
        <v>23</v>
      </c>
    </row>
    <row r="2529" spans="1:11" ht="42" customHeight="1">
      <c r="A2529" s="2" t="s">
        <v>5223</v>
      </c>
      <c r="B2529" s="2" t="s">
        <v>5224</v>
      </c>
      <c r="C2529" s="2" t="s">
        <v>109</v>
      </c>
      <c r="D2529" s="2" t="s">
        <v>74</v>
      </c>
      <c r="E2529" s="5">
        <v>-27981</v>
      </c>
      <c r="F2529" s="3" t="s">
        <v>1521</v>
      </c>
      <c r="G2529" s="3" t="s">
        <v>2395</v>
      </c>
      <c r="H2529" s="2" t="s">
        <v>21</v>
      </c>
      <c r="I2529" s="2" t="s">
        <v>5225</v>
      </c>
      <c r="J2529" s="3" t="str">
        <f>HYPERLINK("https://www.boe.es/gazeta/dias/1823/05/22/pdfs/GES-1823-43.pdf#page=2","Abrir facsímil")</f>
        <v>Abrir facsímil</v>
      </c>
      <c r="K2529" s="3" t="s">
        <v>23</v>
      </c>
    </row>
    <row r="2530" spans="1:11" ht="42" customHeight="1">
      <c r="A2530" s="2" t="s">
        <v>5226</v>
      </c>
      <c r="B2530" s="2" t="s">
        <v>5226</v>
      </c>
      <c r="C2530" s="2" t="s">
        <v>79</v>
      </c>
      <c r="D2530" s="2" t="s">
        <v>74</v>
      </c>
      <c r="E2530" s="5">
        <v>-28119</v>
      </c>
      <c r="F2530" s="3" t="s">
        <v>545</v>
      </c>
      <c r="G2530" s="3" t="s">
        <v>27</v>
      </c>
      <c r="H2530" s="2" t="s">
        <v>21</v>
      </c>
      <c r="I2530" s="2" t="s">
        <v>5227</v>
      </c>
      <c r="J2530" s="3" t="str">
        <f>HYPERLINK("https://www.boe.es/gazeta/dias/1823/01/04/pdfs/GMD-1823-4.pdf#page=2","Abrir facsímil")</f>
        <v>Abrir facsímil</v>
      </c>
      <c r="K2530" s="3" t="s">
        <v>23</v>
      </c>
    </row>
    <row r="2531" spans="1:11" ht="42" customHeight="1">
      <c r="A2531" s="2" t="s">
        <v>5228</v>
      </c>
      <c r="B2531" s="2" t="s">
        <v>5229</v>
      </c>
      <c r="C2531" s="2" t="s">
        <v>17</v>
      </c>
      <c r="D2531" s="2" t="s">
        <v>18</v>
      </c>
      <c r="E2531" s="5">
        <v>-28028</v>
      </c>
      <c r="F2531" s="3" t="s">
        <v>893</v>
      </c>
      <c r="G2531" s="3" t="s">
        <v>27</v>
      </c>
      <c r="H2531" s="2" t="s">
        <v>21</v>
      </c>
      <c r="I2531" s="2" t="s">
        <v>5230</v>
      </c>
      <c r="J2531" s="3" t="str">
        <f>HYPERLINK("https://www.boe.es/gazeta/dias/1823/04/05/pdfs/GMD-1823-99.pdf#page=2","Abrir facsímil")</f>
        <v>Abrir facsímil</v>
      </c>
      <c r="K2531" s="3" t="s">
        <v>23</v>
      </c>
    </row>
    <row r="2532" spans="1:11" ht="42" customHeight="1">
      <c r="A2532" s="2" t="s">
        <v>5228</v>
      </c>
      <c r="B2532" s="2" t="s">
        <v>5229</v>
      </c>
      <c r="C2532" s="2" t="s">
        <v>17</v>
      </c>
      <c r="D2532" s="2" t="s">
        <v>18</v>
      </c>
      <c r="E2532" s="5">
        <v>-27982</v>
      </c>
      <c r="F2532" s="3" t="s">
        <v>340</v>
      </c>
      <c r="G2532" s="3" t="s">
        <v>20</v>
      </c>
      <c r="H2532" s="2" t="s">
        <v>21</v>
      </c>
      <c r="I2532" s="2" t="s">
        <v>5231</v>
      </c>
      <c r="J2532" s="3" t="str">
        <f>HYPERLINK("https://www.boe.es/gazeta/dias/1823/05/21/pdfs/GES-1823-42.pdf#page=4","Abrir facsímil")</f>
        <v>Abrir facsímil</v>
      </c>
      <c r="K2532" s="3" t="s">
        <v>23</v>
      </c>
    </row>
    <row r="2533" spans="1:11" ht="42" customHeight="1">
      <c r="A2533" s="2" t="s">
        <v>5232</v>
      </c>
      <c r="B2533" s="2" t="s">
        <v>5232</v>
      </c>
      <c r="C2533" s="2" t="s">
        <v>17</v>
      </c>
      <c r="D2533" s="2" t="s">
        <v>18</v>
      </c>
      <c r="E2533" s="5">
        <v>-27960</v>
      </c>
      <c r="F2533" s="3" t="s">
        <v>741</v>
      </c>
      <c r="G2533" s="3" t="s">
        <v>48</v>
      </c>
      <c r="H2533" s="2" t="s">
        <v>21</v>
      </c>
      <c r="I2533" s="2" t="s">
        <v>5233</v>
      </c>
      <c r="J2533" s="3" t="str">
        <f>HYPERLINK("https://www.boe.es/gazeta/dias/1823/06/12/pdfs/GES-1823-66.pdf#page=3","Abrir facsímil")</f>
        <v>Abrir facsímil</v>
      </c>
      <c r="K2533" s="3" t="s">
        <v>23</v>
      </c>
    </row>
    <row r="2534" spans="1:11" ht="42" customHeight="1">
      <c r="A2534" s="2" t="s">
        <v>5234</v>
      </c>
      <c r="B2534" s="2" t="s">
        <v>5235</v>
      </c>
      <c r="C2534" s="2" t="s">
        <v>56</v>
      </c>
      <c r="D2534" s="2" t="s">
        <v>57</v>
      </c>
      <c r="E2534" s="5">
        <v>-27963</v>
      </c>
      <c r="F2534" s="3" t="s">
        <v>344</v>
      </c>
      <c r="G2534" s="3" t="s">
        <v>48</v>
      </c>
      <c r="H2534" s="2" t="s">
        <v>21</v>
      </c>
      <c r="I2534" s="2" t="s">
        <v>5236</v>
      </c>
      <c r="J2534" s="3" t="str">
        <f>HYPERLINK("https://www.boe.es/gazeta/dias/1823/06/09/pdfs/GES-1823-63.pdf#page=3","Abrir facsímil")</f>
        <v>Abrir facsímil</v>
      </c>
      <c r="K2534" s="3" t="s">
        <v>23</v>
      </c>
    </row>
    <row r="2535" spans="1:11" ht="42" customHeight="1">
      <c r="A2535" s="2" t="s">
        <v>5237</v>
      </c>
      <c r="B2535" s="2" t="s">
        <v>5238</v>
      </c>
      <c r="C2535" s="2" t="s">
        <v>17</v>
      </c>
      <c r="D2535" s="2" t="s">
        <v>18</v>
      </c>
      <c r="E2535" s="5">
        <v>-27984</v>
      </c>
      <c r="F2535" s="3" t="s">
        <v>335</v>
      </c>
      <c r="G2535" s="3" t="s">
        <v>59</v>
      </c>
      <c r="H2535" s="2" t="s">
        <v>21</v>
      </c>
      <c r="I2535" s="2" t="s">
        <v>5239</v>
      </c>
      <c r="J2535" s="3" t="str">
        <f>HYPERLINK("https://www.boe.es/gazeta/dias/1823/05/19/pdfs/GES-1823-39.pdf#page=6","Abrir facsímil")</f>
        <v>Abrir facsímil</v>
      </c>
      <c r="K2535" s="3" t="s">
        <v>23</v>
      </c>
    </row>
    <row r="2536" spans="1:11" ht="42" customHeight="1">
      <c r="A2536" s="2" t="s">
        <v>5237</v>
      </c>
      <c r="B2536" s="2" t="s">
        <v>5238</v>
      </c>
      <c r="C2536" s="2" t="s">
        <v>109</v>
      </c>
      <c r="D2536" s="2" t="s">
        <v>74</v>
      </c>
      <c r="E2536" s="5">
        <v>-27977</v>
      </c>
      <c r="F2536" s="3" t="s">
        <v>1489</v>
      </c>
      <c r="G2536" s="3" t="s">
        <v>1490</v>
      </c>
      <c r="H2536" s="2" t="s">
        <v>21</v>
      </c>
      <c r="I2536" s="2" t="s">
        <v>5240</v>
      </c>
      <c r="J2536" s="3" t="str">
        <f>HYPERLINK("https://www.boe.es/gazeta/dias/1823/05/26/pdfs/GES-1823-47.pdf#page=6","Abrir facsímil")</f>
        <v>Abrir facsímil</v>
      </c>
      <c r="K2536" s="3" t="s">
        <v>23</v>
      </c>
    </row>
    <row r="2537" spans="1:11" ht="42" customHeight="1">
      <c r="A2537" s="2" t="s">
        <v>5241</v>
      </c>
      <c r="B2537" s="2" t="s">
        <v>5242</v>
      </c>
      <c r="C2537" s="2" t="s">
        <v>56</v>
      </c>
      <c r="D2537" s="2" t="s">
        <v>57</v>
      </c>
      <c r="E2537" s="5">
        <v>-27921</v>
      </c>
      <c r="F2537" s="3" t="s">
        <v>356</v>
      </c>
      <c r="G2537" s="3" t="s">
        <v>20</v>
      </c>
      <c r="H2537" s="2" t="s">
        <v>21</v>
      </c>
      <c r="I2537" s="2" t="s">
        <v>5243</v>
      </c>
      <c r="J2537" s="3" t="str">
        <f>HYPERLINK("https://www.boe.es/gazeta/dias/1823/07/21/pdfs/GES-1823-102.pdf#page=4","Abrir facsímil")</f>
        <v>Abrir facsímil</v>
      </c>
      <c r="K2537" s="3" t="s">
        <v>23</v>
      </c>
    </row>
    <row r="2538" spans="1:11" ht="42" customHeight="1">
      <c r="A2538" s="2" t="s">
        <v>5244</v>
      </c>
      <c r="B2538" s="2" t="s">
        <v>5245</v>
      </c>
      <c r="C2538" s="2" t="s">
        <v>17</v>
      </c>
      <c r="D2538" s="2" t="s">
        <v>18</v>
      </c>
      <c r="E2538" s="5">
        <v>-28017</v>
      </c>
      <c r="F2538" s="3" t="s">
        <v>2912</v>
      </c>
      <c r="G2538" s="3" t="s">
        <v>20</v>
      </c>
      <c r="H2538" s="2" t="s">
        <v>21</v>
      </c>
      <c r="I2538" s="2" t="s">
        <v>5246</v>
      </c>
      <c r="J2538" s="3" t="str">
        <f>HYPERLINK("https://www.boe.es/gazeta/dias/1823/04/16/pdfs/GES-1823-6.pdf#page=4","Abrir facsímil")</f>
        <v>Abrir facsímil</v>
      </c>
      <c r="K2538" s="3" t="s">
        <v>23</v>
      </c>
    </row>
    <row r="2539" spans="1:11" ht="42" customHeight="1">
      <c r="A2539" s="2" t="s">
        <v>5244</v>
      </c>
      <c r="B2539" s="2" t="s">
        <v>5245</v>
      </c>
      <c r="C2539" s="2" t="s">
        <v>17</v>
      </c>
      <c r="D2539" s="2" t="s">
        <v>18</v>
      </c>
      <c r="E2539" s="5">
        <v>-28008</v>
      </c>
      <c r="F2539" s="3" t="s">
        <v>309</v>
      </c>
      <c r="G2539" s="3" t="s">
        <v>20</v>
      </c>
      <c r="H2539" s="2" t="s">
        <v>21</v>
      </c>
      <c r="I2539" s="2" t="s">
        <v>5247</v>
      </c>
      <c r="J2539" s="3" t="str">
        <f>HYPERLINK("https://www.boe.es/gazeta/dias/1823/04/25/pdfs/GES-1823-15.pdf#page=4","Abrir facsímil")</f>
        <v>Abrir facsímil</v>
      </c>
      <c r="K2539" s="3" t="s">
        <v>23</v>
      </c>
    </row>
    <row r="2540" spans="1:11" ht="42" customHeight="1">
      <c r="A2540" s="2" t="s">
        <v>5244</v>
      </c>
      <c r="B2540" s="2" t="s">
        <v>5245</v>
      </c>
      <c r="C2540" s="2" t="s">
        <v>17</v>
      </c>
      <c r="D2540" s="2" t="s">
        <v>18</v>
      </c>
      <c r="E2540" s="5">
        <v>-28001</v>
      </c>
      <c r="F2540" s="3" t="s">
        <v>768</v>
      </c>
      <c r="G2540" s="3" t="s">
        <v>34</v>
      </c>
      <c r="H2540" s="2" t="s">
        <v>21</v>
      </c>
      <c r="I2540" s="2" t="s">
        <v>5248</v>
      </c>
      <c r="J2540" s="3" t="str">
        <f>HYPERLINK("https://www.boe.es/gazeta/dias/1823/05/02/pdfs/GES-1823-22.pdf#page=5","Abrir facsímil")</f>
        <v>Abrir facsímil</v>
      </c>
      <c r="K2540" s="3" t="s">
        <v>23</v>
      </c>
    </row>
    <row r="2541" spans="1:11" ht="42" customHeight="1">
      <c r="A2541" s="2" t="s">
        <v>5249</v>
      </c>
      <c r="B2541" s="2" t="s">
        <v>5249</v>
      </c>
      <c r="C2541" s="2" t="s">
        <v>17</v>
      </c>
      <c r="D2541" s="2" t="s">
        <v>18</v>
      </c>
      <c r="E2541" s="5">
        <v>-28077</v>
      </c>
      <c r="F2541" s="3" t="s">
        <v>536</v>
      </c>
      <c r="G2541" s="3" t="s">
        <v>59</v>
      </c>
      <c r="H2541" s="2" t="s">
        <v>21</v>
      </c>
      <c r="I2541" s="2" t="s">
        <v>5250</v>
      </c>
      <c r="J2541" s="3" t="str">
        <f>HYPERLINK("https://www.boe.es/gazeta/dias/1823/02/15/pdfs/GMD-1823-49.pdf#page=6","Abrir facsímil")</f>
        <v>Abrir facsímil</v>
      </c>
      <c r="K2541" s="3" t="s">
        <v>23</v>
      </c>
    </row>
    <row r="2542" spans="1:11" ht="42" customHeight="1">
      <c r="A2542" s="2" t="s">
        <v>5251</v>
      </c>
      <c r="B2542" s="2" t="s">
        <v>5251</v>
      </c>
      <c r="C2542" s="2" t="s">
        <v>73</v>
      </c>
      <c r="D2542" s="2" t="s">
        <v>74</v>
      </c>
      <c r="E2542" s="5">
        <v>-28095</v>
      </c>
      <c r="F2542" s="3" t="s">
        <v>1770</v>
      </c>
      <c r="G2542" s="3" t="s">
        <v>39</v>
      </c>
      <c r="H2542" s="2" t="s">
        <v>21</v>
      </c>
      <c r="I2542" s="2" t="s">
        <v>5252</v>
      </c>
      <c r="J2542" s="3" t="str">
        <f>HYPERLINK("https://www.boe.es/gazeta/dias/1823/01/28/pdfs/GMD-1823-29.pdf#page=1","Abrir facsímil")</f>
        <v>Abrir facsímil</v>
      </c>
      <c r="K2542" s="3" t="s">
        <v>23</v>
      </c>
    </row>
    <row r="2543" spans="1:11" ht="42" customHeight="1">
      <c r="A2543" s="2" t="s">
        <v>5253</v>
      </c>
      <c r="B2543" s="2" t="s">
        <v>5254</v>
      </c>
      <c r="C2543" s="2" t="s">
        <v>79</v>
      </c>
      <c r="D2543" s="2" t="s">
        <v>74</v>
      </c>
      <c r="E2543" s="5">
        <v>-27862</v>
      </c>
      <c r="F2543" s="3" t="s">
        <v>1530</v>
      </c>
      <c r="G2543" s="3" t="s">
        <v>48</v>
      </c>
      <c r="H2543" s="2" t="s">
        <v>21</v>
      </c>
      <c r="I2543" s="2" t="s">
        <v>5255</v>
      </c>
      <c r="J2543" s="3" t="str">
        <f>HYPERLINK("https://www.boe.es/gazeta/dias/1823/09/18/pdfs/GMD-1823-803.pdf#page=3","Abrir facsímil")</f>
        <v>Abrir facsímil</v>
      </c>
      <c r="K2543" s="3" t="s">
        <v>23</v>
      </c>
    </row>
    <row r="2544" spans="1:11" ht="42" customHeight="1">
      <c r="A2544" s="2" t="s">
        <v>5256</v>
      </c>
      <c r="B2544" s="2" t="s">
        <v>5257</v>
      </c>
      <c r="C2544" s="2" t="s">
        <v>17</v>
      </c>
      <c r="D2544" s="2" t="s">
        <v>18</v>
      </c>
      <c r="E2544" s="5">
        <v>-28002</v>
      </c>
      <c r="F2544" s="3" t="s">
        <v>315</v>
      </c>
      <c r="G2544" s="3" t="s">
        <v>27</v>
      </c>
      <c r="H2544" s="2" t="s">
        <v>28</v>
      </c>
      <c r="I2544" s="2" t="s">
        <v>5258</v>
      </c>
      <c r="J2544" s="3" t="str">
        <f>HYPERLINK("https://www.boe.es/gazeta/dias/1823/05/01/pdfs/GES-1823-21.pdf#page=2","Abrir facsímil")</f>
        <v>Abrir facsímil</v>
      </c>
      <c r="K2544" s="3" t="s">
        <v>30</v>
      </c>
    </row>
    <row r="2545" spans="1:11" ht="42" customHeight="1">
      <c r="A2545" s="2" t="s">
        <v>5259</v>
      </c>
      <c r="B2545" s="2" t="s">
        <v>5259</v>
      </c>
      <c r="C2545" s="2" t="s">
        <v>17</v>
      </c>
      <c r="D2545" s="2" t="s">
        <v>18</v>
      </c>
      <c r="E2545" s="5">
        <v>-28051</v>
      </c>
      <c r="F2545" s="3" t="s">
        <v>305</v>
      </c>
      <c r="G2545" s="3" t="s">
        <v>48</v>
      </c>
      <c r="H2545" s="2" t="s">
        <v>21</v>
      </c>
      <c r="I2545" s="2" t="s">
        <v>5260</v>
      </c>
      <c r="J2545" s="3" t="str">
        <f>HYPERLINK("https://www.boe.es/gazeta/dias/1823/03/13/pdfs/GMD-1823-76.pdf#page=3","Abrir facsímil")</f>
        <v>Abrir facsímil</v>
      </c>
      <c r="K2545" s="3" t="s">
        <v>23</v>
      </c>
    </row>
    <row r="2546" spans="1:11" ht="42" customHeight="1">
      <c r="A2546" s="2" t="s">
        <v>5261</v>
      </c>
      <c r="B2546" s="2" t="s">
        <v>5262</v>
      </c>
      <c r="C2546" s="2" t="s">
        <v>17</v>
      </c>
      <c r="D2546" s="2" t="s">
        <v>18</v>
      </c>
      <c r="E2546" s="5">
        <v>-28091</v>
      </c>
      <c r="F2546" s="3" t="s">
        <v>1047</v>
      </c>
      <c r="G2546" s="3" t="s">
        <v>59</v>
      </c>
      <c r="H2546" s="2" t="s">
        <v>21</v>
      </c>
      <c r="I2546" s="2" t="s">
        <v>5263</v>
      </c>
      <c r="J2546" s="3" t="str">
        <f>HYPERLINK("https://www.boe.es/gazeta/dias/1823/02/01/pdfs/GMD-1823-34.pdf#page=6","Abrir facsímil")</f>
        <v>Abrir facsímil</v>
      </c>
      <c r="K2546" s="3" t="s">
        <v>23</v>
      </c>
    </row>
    <row r="2547" spans="1:11" ht="42" customHeight="1">
      <c r="A2547" s="2" t="s">
        <v>5264</v>
      </c>
      <c r="B2547" s="2" t="s">
        <v>5265</v>
      </c>
      <c r="C2547" s="2" t="s">
        <v>17</v>
      </c>
      <c r="D2547" s="2" t="s">
        <v>18</v>
      </c>
      <c r="E2547" s="5">
        <v>-27906</v>
      </c>
      <c r="F2547" s="3" t="s">
        <v>241</v>
      </c>
      <c r="G2547" s="3" t="s">
        <v>2212</v>
      </c>
      <c r="H2547" s="2" t="s">
        <v>21</v>
      </c>
      <c r="I2547" s="2" t="s">
        <v>5266</v>
      </c>
      <c r="J2547" s="3" t="str">
        <f>HYPERLINK("https://www.boe.es/gazeta/dias/1823/08/05/pdfs/GES-1823-117.pdf#page=2","Abrir facsímil")</f>
        <v>Abrir facsímil</v>
      </c>
      <c r="K2547" s="3" t="s">
        <v>23</v>
      </c>
    </row>
    <row r="2548" spans="1:11" ht="42" customHeight="1">
      <c r="A2548" s="2" t="s">
        <v>5267</v>
      </c>
      <c r="B2548" s="2" t="s">
        <v>5268</v>
      </c>
      <c r="C2548" s="2" t="s">
        <v>56</v>
      </c>
      <c r="D2548" s="2" t="s">
        <v>57</v>
      </c>
      <c r="E2548" s="5">
        <v>-28026</v>
      </c>
      <c r="F2548" s="3" t="s">
        <v>937</v>
      </c>
      <c r="G2548" s="3" t="s">
        <v>5269</v>
      </c>
      <c r="H2548" s="2" t="s">
        <v>21</v>
      </c>
      <c r="I2548" s="2" t="s">
        <v>5270</v>
      </c>
      <c r="J2548" s="3" t="str">
        <f>HYPERLINK("https://www.boe.es/gazeta/dias/1823/04/07/pdfs/GMD-1823-102.pdf#page=4","Abrir facsímil")</f>
        <v>Abrir facsímil</v>
      </c>
      <c r="K2548" s="3" t="s">
        <v>23</v>
      </c>
    </row>
    <row r="2549" spans="1:11" ht="42" customHeight="1">
      <c r="A2549" s="2" t="s">
        <v>5271</v>
      </c>
      <c r="B2549" s="2" t="s">
        <v>5272</v>
      </c>
      <c r="C2549" s="2" t="s">
        <v>79</v>
      </c>
      <c r="D2549" s="2" t="s">
        <v>74</v>
      </c>
      <c r="E2549" s="5">
        <v>-28060</v>
      </c>
      <c r="F2549" s="3" t="s">
        <v>180</v>
      </c>
      <c r="G2549" s="3" t="s">
        <v>181</v>
      </c>
      <c r="H2549" s="2" t="s">
        <v>21</v>
      </c>
      <c r="I2549" s="2" t="s">
        <v>5273</v>
      </c>
      <c r="J2549" s="3" t="str">
        <f>HYPERLINK("https://www.boe.es/gazeta/dias/1823/03/04/pdfs/GMD-1823-67.pdf#page=6","Abrir facsímil")</f>
        <v>Abrir facsímil</v>
      </c>
      <c r="K2549" s="3" t="s">
        <v>23</v>
      </c>
    </row>
    <row r="2550" spans="1:11" ht="42" customHeight="1">
      <c r="A2550" s="2" t="s">
        <v>5274</v>
      </c>
      <c r="B2550" s="2" t="s">
        <v>5275</v>
      </c>
      <c r="C2550" s="2" t="s">
        <v>79</v>
      </c>
      <c r="D2550" s="2" t="s">
        <v>74</v>
      </c>
      <c r="E2550" s="5">
        <v>-27907</v>
      </c>
      <c r="F2550" s="3" t="s">
        <v>370</v>
      </c>
      <c r="G2550" s="3" t="s">
        <v>20</v>
      </c>
      <c r="H2550" s="2" t="s">
        <v>21</v>
      </c>
      <c r="I2550" s="2" t="s">
        <v>5276</v>
      </c>
      <c r="J2550" s="3" t="str">
        <f>HYPERLINK("https://www.boe.es/gazeta/dias/1823/08/04/pdfs/GES-1823-116.pdf#page=4","Abrir facsímil")</f>
        <v>Abrir facsímil</v>
      </c>
      <c r="K2550" s="3" t="s">
        <v>23</v>
      </c>
    </row>
    <row r="2551" spans="1:11" ht="42" customHeight="1">
      <c r="A2551" s="2" t="s">
        <v>5277</v>
      </c>
      <c r="B2551" s="2" t="s">
        <v>5278</v>
      </c>
      <c r="C2551" s="2" t="s">
        <v>79</v>
      </c>
      <c r="D2551" s="2" t="s">
        <v>74</v>
      </c>
      <c r="E2551" s="5">
        <v>-28043</v>
      </c>
      <c r="F2551" s="3" t="s">
        <v>69</v>
      </c>
      <c r="G2551" s="3" t="s">
        <v>59</v>
      </c>
      <c r="H2551" s="2" t="s">
        <v>21</v>
      </c>
      <c r="I2551" s="2" t="s">
        <v>5279</v>
      </c>
      <c r="J2551" s="3" t="str">
        <f>HYPERLINK("https://www.boe.es/gazeta/dias/1823/03/21/pdfs/GMD-1823-84.pdf#page=6","Abrir facsímil")</f>
        <v>Abrir facsímil</v>
      </c>
      <c r="K2551" s="3" t="s">
        <v>23</v>
      </c>
    </row>
    <row r="2552" spans="1:11" ht="42" customHeight="1">
      <c r="A2552" s="2" t="s">
        <v>5280</v>
      </c>
      <c r="B2552" s="2" t="s">
        <v>5280</v>
      </c>
      <c r="C2552" s="2" t="s">
        <v>109</v>
      </c>
      <c r="D2552" s="2" t="s">
        <v>74</v>
      </c>
      <c r="E2552" s="5">
        <v>-27998</v>
      </c>
      <c r="F2552" s="3" t="s">
        <v>1058</v>
      </c>
      <c r="G2552" s="3" t="s">
        <v>27</v>
      </c>
      <c r="H2552" s="2" t="s">
        <v>21</v>
      </c>
      <c r="I2552" s="2" t="s">
        <v>5281</v>
      </c>
      <c r="J2552" s="3" t="str">
        <f>HYPERLINK("https://www.boe.es/gazeta/dias/1823/05/05/pdfs/GES-1823-25.pdf#page=2","Abrir facsímil")</f>
        <v>Abrir facsímil</v>
      </c>
      <c r="K2552" s="3" t="s">
        <v>23</v>
      </c>
    </row>
    <row r="2553" spans="1:11" ht="42" customHeight="1">
      <c r="A2553" s="2" t="s">
        <v>5282</v>
      </c>
      <c r="B2553" s="2" t="s">
        <v>5282</v>
      </c>
      <c r="C2553" s="2" t="s">
        <v>17</v>
      </c>
      <c r="D2553" s="2" t="s">
        <v>18</v>
      </c>
      <c r="E2553" s="5">
        <v>-28094</v>
      </c>
      <c r="F2553" s="3" t="s">
        <v>93</v>
      </c>
      <c r="G2553" s="3" t="s">
        <v>39</v>
      </c>
      <c r="H2553" s="2" t="s">
        <v>21</v>
      </c>
      <c r="I2553" s="2" t="s">
        <v>5283</v>
      </c>
      <c r="J2553" s="3" t="str">
        <f>HYPERLINK("https://www.boe.es/gazeta/dias/1823/01/29/pdfs/GMD-1823-30.pdf#page=1","Abrir facsímil")</f>
        <v>Abrir facsímil</v>
      </c>
      <c r="K2553" s="3" t="s">
        <v>23</v>
      </c>
    </row>
    <row r="2554" spans="1:11" ht="42" customHeight="1">
      <c r="A2554" s="2" t="s">
        <v>5284</v>
      </c>
      <c r="B2554" s="2" t="s">
        <v>5284</v>
      </c>
      <c r="C2554" s="2" t="s">
        <v>17</v>
      </c>
      <c r="D2554" s="2" t="s">
        <v>18</v>
      </c>
      <c r="E2554" s="5">
        <v>-27996</v>
      </c>
      <c r="F2554" s="3" t="s">
        <v>695</v>
      </c>
      <c r="G2554" s="3" t="s">
        <v>39</v>
      </c>
      <c r="H2554" s="2" t="s">
        <v>21</v>
      </c>
      <c r="I2554" s="2" t="s">
        <v>5285</v>
      </c>
      <c r="J2554" s="3" t="str">
        <f>HYPERLINK("https://www.boe.es/gazeta/dias/1823/05/07/pdfs/GES-1823-27.pdf#page=1","Abrir facsímil")</f>
        <v>Abrir facsímil</v>
      </c>
      <c r="K2554" s="3" t="s">
        <v>23</v>
      </c>
    </row>
    <row r="2555" spans="1:11" ht="42" customHeight="1">
      <c r="A2555" s="2" t="s">
        <v>5286</v>
      </c>
      <c r="B2555" s="2" t="s">
        <v>5287</v>
      </c>
      <c r="C2555" s="2" t="s">
        <v>17</v>
      </c>
      <c r="D2555" s="2" t="s">
        <v>18</v>
      </c>
      <c r="E2555" s="5">
        <v>-27991</v>
      </c>
      <c r="F2555" s="3" t="s">
        <v>328</v>
      </c>
      <c r="G2555" s="3" t="s">
        <v>34</v>
      </c>
      <c r="H2555" s="2" t="s">
        <v>21</v>
      </c>
      <c r="I2555" s="2" t="s">
        <v>5288</v>
      </c>
      <c r="J2555" s="3" t="str">
        <f>HYPERLINK("https://www.boe.es/gazeta/dias/1823/05/12/pdfs/GES-1823-32.pdf#page=5","Abrir facsímil")</f>
        <v>Abrir facsímil</v>
      </c>
      <c r="K2555" s="3" t="s">
        <v>23</v>
      </c>
    </row>
    <row r="2556" spans="1:11" ht="42" customHeight="1">
      <c r="A2556" s="2" t="s">
        <v>5289</v>
      </c>
      <c r="B2556" s="2" t="s">
        <v>5289</v>
      </c>
      <c r="C2556" s="2" t="s">
        <v>79</v>
      </c>
      <c r="D2556" s="2" t="s">
        <v>74</v>
      </c>
      <c r="E2556" s="5">
        <v>-28103</v>
      </c>
      <c r="F2556" s="3" t="s">
        <v>285</v>
      </c>
      <c r="G2556" s="3" t="s">
        <v>48</v>
      </c>
      <c r="H2556" s="2" t="s">
        <v>21</v>
      </c>
      <c r="I2556" s="2" t="s">
        <v>5290</v>
      </c>
      <c r="J2556" s="3" t="str">
        <f>HYPERLINK("https://www.boe.es/gazeta/dias/1823/01/20/pdfs/GMD-1823-20.pdf#page=3","Abrir facsímil")</f>
        <v>Abrir facsímil</v>
      </c>
      <c r="K2556" s="3" t="s">
        <v>23</v>
      </c>
    </row>
    <row r="2557" spans="1:11" ht="42" customHeight="1">
      <c r="A2557" s="2" t="s">
        <v>5291</v>
      </c>
      <c r="B2557" s="2" t="s">
        <v>5291</v>
      </c>
      <c r="C2557" s="2" t="s">
        <v>109</v>
      </c>
      <c r="D2557" s="2" t="s">
        <v>74</v>
      </c>
      <c r="E2557" s="5">
        <v>-28114</v>
      </c>
      <c r="F2557" s="3" t="s">
        <v>153</v>
      </c>
      <c r="G2557" s="3" t="s">
        <v>48</v>
      </c>
      <c r="H2557" s="2" t="s">
        <v>21</v>
      </c>
      <c r="I2557" s="2" t="s">
        <v>5292</v>
      </c>
      <c r="J2557" s="3" t="str">
        <f>HYPERLINK("https://www.boe.es/gazeta/dias/1823/01/09/pdfs/GMD-1823-9.pdf#page=3","Abrir facsímil")</f>
        <v>Abrir facsímil</v>
      </c>
      <c r="K2557" s="3" t="s">
        <v>23</v>
      </c>
    </row>
    <row r="2558" spans="1:11" ht="42" customHeight="1">
      <c r="A2558" s="2" t="s">
        <v>5293</v>
      </c>
      <c r="B2558" s="2" t="s">
        <v>5293</v>
      </c>
      <c r="C2558" s="2" t="s">
        <v>17</v>
      </c>
      <c r="D2558" s="2" t="s">
        <v>18</v>
      </c>
      <c r="E2558" s="5">
        <v>-28091</v>
      </c>
      <c r="F2558" s="3" t="s">
        <v>1047</v>
      </c>
      <c r="G2558" s="3" t="s">
        <v>27</v>
      </c>
      <c r="H2558" s="2" t="s">
        <v>21</v>
      </c>
      <c r="I2558" s="2" t="s">
        <v>5294</v>
      </c>
      <c r="J2558" s="3" t="str">
        <f>HYPERLINK("https://www.boe.es/gazeta/dias/1823/02/01/pdfs/GMD-1823-34.pdf#page=2","Abrir facsímil")</f>
        <v>Abrir facsímil</v>
      </c>
      <c r="K2558" s="3" t="s">
        <v>23</v>
      </c>
    </row>
    <row r="2559" spans="1:11" ht="42" customHeight="1">
      <c r="A2559" s="2" t="s">
        <v>5293</v>
      </c>
      <c r="B2559" s="2" t="s">
        <v>5293</v>
      </c>
      <c r="C2559" s="2" t="s">
        <v>17</v>
      </c>
      <c r="D2559" s="2" t="s">
        <v>18</v>
      </c>
      <c r="E2559" s="5">
        <v>-27884</v>
      </c>
      <c r="F2559" s="3" t="s">
        <v>61</v>
      </c>
      <c r="G2559" s="3" t="s">
        <v>27</v>
      </c>
      <c r="H2559" s="2" t="s">
        <v>21</v>
      </c>
      <c r="I2559" s="2" t="s">
        <v>5295</v>
      </c>
      <c r="J2559" s="3" t="str">
        <f>HYPERLINK("https://www.boe.es/gazeta/dias/1823/08/27/pdfs/GES-1823-140.pdf#page=2","Abrir facsímil")</f>
        <v>Abrir facsímil</v>
      </c>
      <c r="K2559" s="3" t="s">
        <v>23</v>
      </c>
    </row>
    <row r="2560" spans="1:11" ht="42" customHeight="1">
      <c r="A2560" s="2" t="s">
        <v>5296</v>
      </c>
      <c r="B2560" s="2" t="s">
        <v>5297</v>
      </c>
      <c r="C2560" s="2" t="s">
        <v>17</v>
      </c>
      <c r="D2560" s="2" t="s">
        <v>18</v>
      </c>
      <c r="E2560" s="5">
        <v>-27881</v>
      </c>
      <c r="F2560" s="3" t="s">
        <v>725</v>
      </c>
      <c r="G2560" s="3" t="s">
        <v>39</v>
      </c>
      <c r="H2560" s="2" t="s">
        <v>21</v>
      </c>
      <c r="I2560" s="2" t="s">
        <v>5298</v>
      </c>
      <c r="J2560" s="3" t="str">
        <f>HYPERLINK("https://www.boe.es/gazeta/dias/1823/08/30/pdfs/GMD-1823-673.pdf#page=1","Abrir facsímil")</f>
        <v>Abrir facsímil</v>
      </c>
      <c r="K2560" s="3" t="s">
        <v>23</v>
      </c>
    </row>
    <row r="2561" spans="1:11" ht="42" customHeight="1">
      <c r="A2561" s="2" t="s">
        <v>5299</v>
      </c>
      <c r="B2561" s="2" t="s">
        <v>5300</v>
      </c>
      <c r="C2561" s="2" t="s">
        <v>17</v>
      </c>
      <c r="D2561" s="2" t="s">
        <v>18</v>
      </c>
      <c r="E2561" s="5">
        <v>-27881</v>
      </c>
      <c r="F2561" s="3" t="s">
        <v>725</v>
      </c>
      <c r="G2561" s="3" t="s">
        <v>39</v>
      </c>
      <c r="H2561" s="2" t="s">
        <v>28</v>
      </c>
      <c r="I2561" s="2" t="s">
        <v>5301</v>
      </c>
      <c r="J2561" s="3" t="str">
        <f>HYPERLINK("https://www.boe.es/gazeta/dias/1823/08/30/pdfs/GMD-1823-673.pdf#page=1","Abrir facsímil")</f>
        <v>Abrir facsímil</v>
      </c>
      <c r="K2561" s="3" t="s">
        <v>30</v>
      </c>
    </row>
    <row r="2562" spans="1:11" ht="42" customHeight="1">
      <c r="A2562" s="2" t="s">
        <v>5302</v>
      </c>
      <c r="B2562" s="2" t="s">
        <v>5303</v>
      </c>
      <c r="C2562" s="2" t="s">
        <v>73</v>
      </c>
      <c r="D2562" s="2" t="s">
        <v>74</v>
      </c>
      <c r="E2562" s="5">
        <v>-27984</v>
      </c>
      <c r="F2562" s="3" t="s">
        <v>335</v>
      </c>
      <c r="G2562" s="3" t="s">
        <v>48</v>
      </c>
      <c r="H2562" s="2" t="s">
        <v>21</v>
      </c>
      <c r="I2562" s="2" t="s">
        <v>5304</v>
      </c>
      <c r="J2562" s="3" t="str">
        <f>HYPERLINK("https://www.boe.es/gazeta/dias/1823/05/19/pdfs/GES-1823-39.pdf#page=3","Abrir facsímil")</f>
        <v>Abrir facsímil</v>
      </c>
      <c r="K2562" s="3" t="s">
        <v>23</v>
      </c>
    </row>
    <row r="2563" spans="1:11" ht="42" customHeight="1">
      <c r="A2563" s="2" t="s">
        <v>5305</v>
      </c>
      <c r="B2563" s="2" t="s">
        <v>5306</v>
      </c>
      <c r="C2563" s="2" t="s">
        <v>56</v>
      </c>
      <c r="D2563" s="2" t="s">
        <v>57</v>
      </c>
      <c r="E2563" s="5">
        <v>-27920</v>
      </c>
      <c r="F2563" s="3" t="s">
        <v>1334</v>
      </c>
      <c r="G2563" s="3" t="s">
        <v>276</v>
      </c>
      <c r="H2563" s="2" t="s">
        <v>21</v>
      </c>
      <c r="I2563" s="2" t="s">
        <v>5307</v>
      </c>
      <c r="J2563" s="3" t="str">
        <f>HYPERLINK("https://www.boe.es/gazeta/dias/1823/07/22/pdfs/GMD-1823-443.pdf#page=7","Abrir facsímil")</f>
        <v>Abrir facsímil</v>
      </c>
      <c r="K2563" s="3" t="s">
        <v>23</v>
      </c>
    </row>
    <row r="2564" spans="1:11" ht="42" customHeight="1">
      <c r="A2564" s="2" t="s">
        <v>5308</v>
      </c>
      <c r="B2564" s="2" t="s">
        <v>5309</v>
      </c>
      <c r="C2564" s="2" t="s">
        <v>56</v>
      </c>
      <c r="D2564" s="2" t="s">
        <v>57</v>
      </c>
      <c r="E2564" s="5">
        <v>-27920</v>
      </c>
      <c r="F2564" s="3" t="s">
        <v>1334</v>
      </c>
      <c r="G2564" s="3" t="s">
        <v>276</v>
      </c>
      <c r="H2564" s="2" t="s">
        <v>21</v>
      </c>
      <c r="I2564" s="2" t="s">
        <v>5310</v>
      </c>
      <c r="J2564" s="3" t="str">
        <f>HYPERLINK("https://www.boe.es/gazeta/dias/1823/07/22/pdfs/GMD-1823-443.pdf#page=7","Abrir facsímil")</f>
        <v>Abrir facsímil</v>
      </c>
      <c r="K2564" s="3" t="s">
        <v>23</v>
      </c>
    </row>
    <row r="2565" spans="1:11" ht="42" customHeight="1">
      <c r="A2565" s="2" t="s">
        <v>5311</v>
      </c>
      <c r="B2565" s="2" t="s">
        <v>5312</v>
      </c>
      <c r="C2565" s="2" t="s">
        <v>17</v>
      </c>
      <c r="D2565" s="2" t="s">
        <v>18</v>
      </c>
      <c r="E2565" s="5">
        <v>-28037</v>
      </c>
      <c r="F2565" s="3" t="s">
        <v>192</v>
      </c>
      <c r="G2565" s="3" t="s">
        <v>48</v>
      </c>
      <c r="H2565" s="2" t="s">
        <v>21</v>
      </c>
      <c r="I2565" s="2" t="s">
        <v>5313</v>
      </c>
      <c r="J2565" s="3" t="str">
        <f>HYPERLINK("https://www.boe.es/gazeta/dias/1823/03/27/pdfs/GMD-1823-90.pdf#page=3","Abrir facsímil")</f>
        <v>Abrir facsímil</v>
      </c>
      <c r="K2565" s="3" t="s">
        <v>23</v>
      </c>
    </row>
    <row r="2566" spans="1:11" ht="42" customHeight="1">
      <c r="A2566" s="2" t="s">
        <v>5314</v>
      </c>
      <c r="B2566" s="2" t="s">
        <v>5315</v>
      </c>
      <c r="C2566" s="2" t="s">
        <v>73</v>
      </c>
      <c r="D2566" s="2" t="s">
        <v>74</v>
      </c>
      <c r="E2566" s="5">
        <v>-27867</v>
      </c>
      <c r="F2566" s="3" t="s">
        <v>1585</v>
      </c>
      <c r="G2566" s="3" t="s">
        <v>20</v>
      </c>
      <c r="H2566" s="2" t="s">
        <v>21</v>
      </c>
      <c r="I2566" s="2" t="s">
        <v>5316</v>
      </c>
      <c r="J2566" s="3" t="str">
        <f>HYPERLINK("https://www.boe.es/gazeta/dias/1823/09/13/pdfs/GMD-1823-773.pdf#page=4","Abrir facsímil")</f>
        <v>Abrir facsímil</v>
      </c>
      <c r="K2566" s="3" t="s">
        <v>23</v>
      </c>
    </row>
    <row r="2567" spans="1:11" ht="42" customHeight="1">
      <c r="A2567" s="2" t="s">
        <v>5317</v>
      </c>
      <c r="B2567" s="2" t="s">
        <v>5318</v>
      </c>
      <c r="C2567" s="2" t="s">
        <v>79</v>
      </c>
      <c r="D2567" s="2" t="s">
        <v>74</v>
      </c>
      <c r="E2567" s="5">
        <v>-28094</v>
      </c>
      <c r="F2567" s="3" t="s">
        <v>93</v>
      </c>
      <c r="G2567" s="3" t="s">
        <v>48</v>
      </c>
      <c r="H2567" s="2" t="s">
        <v>21</v>
      </c>
      <c r="I2567" s="2" t="s">
        <v>5319</v>
      </c>
      <c r="J2567" s="3" t="str">
        <f>HYPERLINK("https://www.boe.es/gazeta/dias/1823/01/29/pdfs/GMD-1823-30.pdf#page=3","Abrir facsímil")</f>
        <v>Abrir facsímil</v>
      </c>
      <c r="K2567" s="3" t="s">
        <v>23</v>
      </c>
    </row>
    <row r="2568" spans="1:11" ht="42" customHeight="1">
      <c r="A2568" s="2" t="s">
        <v>5320</v>
      </c>
      <c r="B2568" s="2" t="s">
        <v>5321</v>
      </c>
      <c r="C2568" s="2" t="s">
        <v>293</v>
      </c>
      <c r="D2568" s="2" t="s">
        <v>74</v>
      </c>
      <c r="E2568" s="5">
        <v>-27921</v>
      </c>
      <c r="F2568" s="3" t="s">
        <v>356</v>
      </c>
      <c r="G2568" s="3" t="s">
        <v>27</v>
      </c>
      <c r="H2568" s="2" t="s">
        <v>21</v>
      </c>
      <c r="I2568" s="2" t="s">
        <v>5322</v>
      </c>
      <c r="J2568" s="3" t="str">
        <f>HYPERLINK("https://www.boe.es/gazeta/dias/1823/07/21/pdfs/GES-1823-102.pdf#page=2","Abrir facsímil")</f>
        <v>Abrir facsímil</v>
      </c>
      <c r="K2568" s="3" t="s">
        <v>23</v>
      </c>
    </row>
    <row r="2569" spans="1:11" ht="42" customHeight="1">
      <c r="A2569" s="2" t="s">
        <v>5323</v>
      </c>
      <c r="B2569" s="2" t="s">
        <v>5324</v>
      </c>
      <c r="C2569" s="2" t="s">
        <v>79</v>
      </c>
      <c r="D2569" s="2" t="s">
        <v>74</v>
      </c>
      <c r="E2569" s="5">
        <v>-27967</v>
      </c>
      <c r="F2569" s="3" t="s">
        <v>412</v>
      </c>
      <c r="G2569" s="3" t="s">
        <v>592</v>
      </c>
      <c r="H2569" s="2" t="s">
        <v>21</v>
      </c>
      <c r="I2569" s="2" t="s">
        <v>5325</v>
      </c>
      <c r="J2569" s="3" t="str">
        <f>HYPERLINK("https://www.boe.es/gazeta/dias/1823/06/05/pdfs/GES-1823-59.pdf#page=3","Abrir facsímil")</f>
        <v>Abrir facsímil</v>
      </c>
      <c r="K2569" s="3" t="s">
        <v>23</v>
      </c>
    </row>
    <row r="2570" spans="1:11" ht="42" customHeight="1">
      <c r="A2570" s="2" t="s">
        <v>5326</v>
      </c>
      <c r="B2570" s="2" t="s">
        <v>5327</v>
      </c>
      <c r="C2570" s="2" t="s">
        <v>56</v>
      </c>
      <c r="D2570" s="2" t="s">
        <v>57</v>
      </c>
      <c r="E2570" s="5">
        <v>-27862</v>
      </c>
      <c r="F2570" s="3" t="s">
        <v>5328</v>
      </c>
      <c r="G2570" s="3" t="s">
        <v>5329</v>
      </c>
      <c r="H2570" s="2" t="s">
        <v>21</v>
      </c>
      <c r="I2570" s="2" t="s">
        <v>5330</v>
      </c>
      <c r="J2570" s="3" t="str">
        <f>HYPERLINK("https://www.boe.es/gazeta/dias/1823/09/18/pdfs/GES-1823-162.pdf#page=1","Abrir facsímil")</f>
        <v>Abrir facsímil</v>
      </c>
      <c r="K2570" s="3" t="s">
        <v>23</v>
      </c>
    </row>
    <row r="2571" spans="1:11" ht="42" customHeight="1">
      <c r="A2571" s="2" t="s">
        <v>5331</v>
      </c>
      <c r="B2571" s="2" t="s">
        <v>5332</v>
      </c>
      <c r="C2571" s="2" t="s">
        <v>17</v>
      </c>
      <c r="D2571" s="2" t="s">
        <v>18</v>
      </c>
      <c r="E2571" s="5">
        <v>-27999</v>
      </c>
      <c r="F2571" s="3" t="s">
        <v>97</v>
      </c>
      <c r="G2571" s="3" t="s">
        <v>1257</v>
      </c>
      <c r="H2571" s="2" t="s">
        <v>21</v>
      </c>
      <c r="I2571" s="2" t="s">
        <v>5333</v>
      </c>
      <c r="J2571" s="3" t="str">
        <f>HYPERLINK("https://www.boe.es/gazeta/dias/1823/05/04/pdfs/GES-1823-24.pdf#page=2","Abrir facsímil")</f>
        <v>Abrir facsímil</v>
      </c>
      <c r="K2571" s="3" t="s">
        <v>23</v>
      </c>
    </row>
    <row r="2572" spans="1:11" ht="42" customHeight="1">
      <c r="A2572" s="2" t="s">
        <v>5334</v>
      </c>
      <c r="B2572" s="2" t="s">
        <v>5335</v>
      </c>
      <c r="C2572" s="2" t="s">
        <v>79</v>
      </c>
      <c r="D2572" s="2" t="s">
        <v>74</v>
      </c>
      <c r="E2572" s="5">
        <v>-28028</v>
      </c>
      <c r="F2572" s="3" t="s">
        <v>893</v>
      </c>
      <c r="G2572" s="3" t="s">
        <v>27</v>
      </c>
      <c r="H2572" s="2" t="s">
        <v>21</v>
      </c>
      <c r="I2572" s="2" t="s">
        <v>5336</v>
      </c>
      <c r="J2572" s="3" t="str">
        <f>HYPERLINK("https://www.boe.es/gazeta/dias/1823/04/05/pdfs/GMD-1823-99.pdf#page=2","Abrir facsímil")</f>
        <v>Abrir facsímil</v>
      </c>
      <c r="K2572" s="3" t="s">
        <v>23</v>
      </c>
    </row>
    <row r="2573" spans="1:11" ht="42" customHeight="1">
      <c r="A2573" s="2" t="s">
        <v>5337</v>
      </c>
      <c r="B2573" s="2" t="s">
        <v>5338</v>
      </c>
      <c r="C2573" s="2" t="s">
        <v>79</v>
      </c>
      <c r="D2573" s="2" t="s">
        <v>74</v>
      </c>
      <c r="E2573" s="5">
        <v>-28028</v>
      </c>
      <c r="F2573" s="3" t="s">
        <v>893</v>
      </c>
      <c r="G2573" s="3" t="s">
        <v>27</v>
      </c>
      <c r="H2573" s="2" t="s">
        <v>28</v>
      </c>
      <c r="I2573" s="2" t="s">
        <v>5339</v>
      </c>
      <c r="J2573" s="3" t="str">
        <f>HYPERLINK("https://www.boe.es/gazeta/dias/1823/04/05/pdfs/GMD-1823-99.pdf#page=2","Abrir facsímil")</f>
        <v>Abrir facsímil</v>
      </c>
      <c r="K2573" s="3" t="s">
        <v>30</v>
      </c>
    </row>
    <row r="2574" spans="1:11" ht="42" customHeight="1">
      <c r="A2574" s="2" t="s">
        <v>5340</v>
      </c>
      <c r="B2574" s="2" t="s">
        <v>5341</v>
      </c>
      <c r="C2574" s="2" t="s">
        <v>17</v>
      </c>
      <c r="D2574" s="2" t="s">
        <v>18</v>
      </c>
      <c r="E2574" s="5">
        <v>-27970</v>
      </c>
      <c r="F2574" s="3" t="s">
        <v>1030</v>
      </c>
      <c r="G2574" s="3" t="s">
        <v>48</v>
      </c>
      <c r="H2574" s="2" t="s">
        <v>21</v>
      </c>
      <c r="I2574" s="2" t="s">
        <v>5342</v>
      </c>
      <c r="J2574" s="3" t="str">
        <f>HYPERLINK("https://www.boe.es/gazeta/dias/1823/06/02/pdfs/GES-1823-56.pdf#page=3","Abrir facsímil")</f>
        <v>Abrir facsímil</v>
      </c>
      <c r="K2574" s="3" t="s">
        <v>23</v>
      </c>
    </row>
    <row r="2575" spans="1:11" ht="42" customHeight="1">
      <c r="A2575" s="2" t="s">
        <v>5343</v>
      </c>
      <c r="B2575" s="2" t="s">
        <v>5344</v>
      </c>
      <c r="C2575" s="2" t="s">
        <v>109</v>
      </c>
      <c r="D2575" s="2" t="s">
        <v>74</v>
      </c>
      <c r="E2575" s="5">
        <v>-28055</v>
      </c>
      <c r="F2575" s="3" t="s">
        <v>313</v>
      </c>
      <c r="G2575" s="3" t="s">
        <v>20</v>
      </c>
      <c r="H2575" s="2" t="s">
        <v>21</v>
      </c>
      <c r="I2575" s="2" t="s">
        <v>5345</v>
      </c>
      <c r="J2575" s="3" t="str">
        <f>HYPERLINK("https://www.boe.es/gazeta/dias/1823/03/09/pdfs/GMD-1823-72.pdf#page=4","Abrir facsímil")</f>
        <v>Abrir facsímil</v>
      </c>
      <c r="K2575" s="3" t="s">
        <v>23</v>
      </c>
    </row>
    <row r="2576" spans="1:11" ht="42" customHeight="1">
      <c r="A2576" s="2" t="s">
        <v>5346</v>
      </c>
      <c r="B2576" s="2" t="s">
        <v>5346</v>
      </c>
      <c r="C2576" s="2" t="s">
        <v>79</v>
      </c>
      <c r="D2576" s="2" t="s">
        <v>74</v>
      </c>
      <c r="E2576" s="5">
        <v>-27776</v>
      </c>
      <c r="F2576" s="3" t="s">
        <v>1399</v>
      </c>
      <c r="G2576" s="3" t="s">
        <v>20</v>
      </c>
      <c r="H2576" s="2" t="s">
        <v>21</v>
      </c>
      <c r="I2576" s="2" t="s">
        <v>5347</v>
      </c>
      <c r="J2576" s="3" t="str">
        <f>HYPERLINK("https://www.boe.es/gazeta/dias/1823/12/13/pdfs/GMD-1823-1243.pdf#page=4","Abrir facsímil")</f>
        <v>Abrir facsímil</v>
      </c>
      <c r="K2576" s="3" t="s">
        <v>23</v>
      </c>
    </row>
    <row r="2577" spans="1:11" ht="42" customHeight="1">
      <c r="A2577" s="2" t="s">
        <v>5348</v>
      </c>
      <c r="B2577" s="2" t="s">
        <v>5349</v>
      </c>
      <c r="C2577" s="2" t="s">
        <v>17</v>
      </c>
      <c r="D2577" s="2" t="s">
        <v>18</v>
      </c>
      <c r="E2577" s="5">
        <v>-27827</v>
      </c>
      <c r="F2577" s="3" t="s">
        <v>531</v>
      </c>
      <c r="G2577" s="3" t="s">
        <v>20</v>
      </c>
      <c r="H2577" s="2" t="s">
        <v>21</v>
      </c>
      <c r="I2577" s="2" t="s">
        <v>5350</v>
      </c>
      <c r="J2577" s="3" t="str">
        <f>HYPERLINK("https://www.boe.es/gazeta/dias/1823/10/23/pdfs/GMD-1823-1013.pdf#page=4","Abrir facsímil")</f>
        <v>Abrir facsímil</v>
      </c>
      <c r="K2577" s="3" t="s">
        <v>23</v>
      </c>
    </row>
    <row r="2578" spans="1:11" ht="42" customHeight="1">
      <c r="A2578" s="2" t="s">
        <v>5348</v>
      </c>
      <c r="B2578" s="2" t="s">
        <v>5349</v>
      </c>
      <c r="C2578" s="2" t="s">
        <v>79</v>
      </c>
      <c r="D2578" s="2" t="s">
        <v>74</v>
      </c>
      <c r="E2578" s="5">
        <v>-27818</v>
      </c>
      <c r="F2578" s="3" t="s">
        <v>1597</v>
      </c>
      <c r="G2578" s="3" t="s">
        <v>20</v>
      </c>
      <c r="H2578" s="2" t="s">
        <v>21</v>
      </c>
      <c r="I2578" s="2" t="s">
        <v>5351</v>
      </c>
      <c r="J2578" s="3" t="str">
        <f>HYPERLINK("https://www.boe.es/gazeta/dias/1823/11/01/pdfs/GMD-1823-1053.pdf#page=4","Abrir facsímil")</f>
        <v>Abrir facsímil</v>
      </c>
      <c r="K2578" s="3" t="s">
        <v>23</v>
      </c>
    </row>
    <row r="2579" spans="1:11" ht="42" customHeight="1">
      <c r="A2579" s="2" t="s">
        <v>5348</v>
      </c>
      <c r="B2579" s="2" t="s">
        <v>5349</v>
      </c>
      <c r="C2579" s="2" t="s">
        <v>56</v>
      </c>
      <c r="D2579" s="2" t="s">
        <v>57</v>
      </c>
      <c r="E2579" s="5">
        <v>-27776</v>
      </c>
      <c r="F2579" s="3" t="s">
        <v>1399</v>
      </c>
      <c r="G2579" s="3" t="s">
        <v>20</v>
      </c>
      <c r="H2579" s="2" t="s">
        <v>21</v>
      </c>
      <c r="I2579" s="2" t="s">
        <v>5352</v>
      </c>
      <c r="J2579" s="3" t="str">
        <f>HYPERLINK("https://www.boe.es/gazeta/dias/1823/12/13/pdfs/GMD-1823-1243.pdf#page=4","Abrir facsímil")</f>
        <v>Abrir facsímil</v>
      </c>
      <c r="K2579" s="3" t="s">
        <v>23</v>
      </c>
    </row>
    <row r="2580" spans="1:11" ht="42" customHeight="1">
      <c r="A2580" s="2" t="s">
        <v>5348</v>
      </c>
      <c r="B2580" s="2" t="s">
        <v>5349</v>
      </c>
      <c r="C2580" s="2" t="s">
        <v>79</v>
      </c>
      <c r="D2580" s="2" t="s">
        <v>74</v>
      </c>
      <c r="E2580" s="5">
        <v>-27766</v>
      </c>
      <c r="F2580" s="3" t="s">
        <v>3450</v>
      </c>
      <c r="G2580" s="3" t="s">
        <v>20</v>
      </c>
      <c r="H2580" s="2" t="s">
        <v>21</v>
      </c>
      <c r="I2580" s="2" t="s">
        <v>5353</v>
      </c>
      <c r="J2580" s="3" t="str">
        <f>HYPERLINK("https://www.boe.es/gazeta/dias/1823/12/23/pdfs/GMD-1823-1283.pdf#page=4","Abrir facsímil")</f>
        <v>Abrir facsímil</v>
      </c>
      <c r="K2580" s="3" t="s">
        <v>23</v>
      </c>
    </row>
    <row r="2581" spans="1:11" ht="42" customHeight="1">
      <c r="A2581" s="2" t="s">
        <v>5348</v>
      </c>
      <c r="B2581" s="2" t="s">
        <v>5349</v>
      </c>
      <c r="C2581" s="2" t="s">
        <v>56</v>
      </c>
      <c r="D2581" s="2" t="s">
        <v>57</v>
      </c>
      <c r="E2581" s="5">
        <v>-27759</v>
      </c>
      <c r="F2581" s="3" t="s">
        <v>415</v>
      </c>
      <c r="G2581" s="3" t="s">
        <v>20</v>
      </c>
      <c r="H2581" s="2" t="s">
        <v>21</v>
      </c>
      <c r="I2581" s="2" t="s">
        <v>5354</v>
      </c>
      <c r="J2581" s="3" t="str">
        <f>HYPERLINK("https://www.boe.es/gazeta/dias/1823/12/30/pdfs/GMD-1823-1313.pdf#page=4","Abrir facsímil")</f>
        <v>Abrir facsímil</v>
      </c>
      <c r="K2581" s="3" t="s">
        <v>23</v>
      </c>
    </row>
    <row r="2582" spans="1:11" ht="42" customHeight="1">
      <c r="A2582" s="2" t="s">
        <v>5355</v>
      </c>
      <c r="B2582" s="2" t="s">
        <v>5356</v>
      </c>
      <c r="C2582" s="2" t="s">
        <v>56</v>
      </c>
      <c r="D2582" s="2" t="s">
        <v>57</v>
      </c>
      <c r="E2582" s="5">
        <v>-27883</v>
      </c>
      <c r="F2582" s="3" t="s">
        <v>2318</v>
      </c>
      <c r="G2582" s="3" t="s">
        <v>39</v>
      </c>
      <c r="H2582" s="2" t="s">
        <v>28</v>
      </c>
      <c r="I2582" s="2" t="s">
        <v>5357</v>
      </c>
      <c r="J2582" s="3" t="str">
        <f>HYPERLINK("https://www.boe.es/gazeta/dias/1823/08/28/pdfs/GMD-1823-663.pdf#page=1","Abrir facsímil")</f>
        <v>Abrir facsímil</v>
      </c>
      <c r="K2582" s="3" t="s">
        <v>30</v>
      </c>
    </row>
    <row r="2583" spans="1:11" ht="42" customHeight="1">
      <c r="A2583" s="2" t="s">
        <v>5358</v>
      </c>
      <c r="B2583" s="2" t="s">
        <v>5359</v>
      </c>
      <c r="C2583" s="2" t="s">
        <v>73</v>
      </c>
      <c r="D2583" s="2" t="s">
        <v>74</v>
      </c>
      <c r="E2583" s="5">
        <v>-27832</v>
      </c>
      <c r="F2583" s="3" t="s">
        <v>1815</v>
      </c>
      <c r="G2583" s="3" t="s">
        <v>20</v>
      </c>
      <c r="H2583" s="2" t="s">
        <v>21</v>
      </c>
      <c r="I2583" s="2" t="s">
        <v>5360</v>
      </c>
      <c r="J2583" s="3" t="str">
        <f>HYPERLINK("https://www.boe.es/gazeta/dias/1823/10/18/pdfs/GMD-1823-993.pdf#page=4","Abrir facsímil")</f>
        <v>Abrir facsímil</v>
      </c>
      <c r="K2583" s="3" t="s">
        <v>23</v>
      </c>
    </row>
    <row r="2584" spans="1:11" ht="42" customHeight="1">
      <c r="A2584" s="2" t="s">
        <v>5361</v>
      </c>
      <c r="B2584" s="2" t="s">
        <v>5362</v>
      </c>
      <c r="C2584" s="2" t="s">
        <v>325</v>
      </c>
      <c r="D2584" s="2" t="s">
        <v>74</v>
      </c>
      <c r="E2584" s="5">
        <v>-28100</v>
      </c>
      <c r="F2584" s="3" t="s">
        <v>737</v>
      </c>
      <c r="G2584" s="3" t="s">
        <v>48</v>
      </c>
      <c r="H2584" s="2" t="s">
        <v>21</v>
      </c>
      <c r="I2584" s="2" t="s">
        <v>5363</v>
      </c>
      <c r="J2584" s="3" t="str">
        <f>HYPERLINK("https://www.boe.es/gazeta/dias/1823/01/23/pdfs/GMD-1823-24.pdf#page=3","Abrir facsímil")</f>
        <v>Abrir facsímil</v>
      </c>
      <c r="K2584" s="3" t="s">
        <v>23</v>
      </c>
    </row>
    <row r="2585" spans="1:11" ht="42" customHeight="1">
      <c r="A2585" s="2" t="s">
        <v>5364</v>
      </c>
      <c r="B2585" s="2" t="s">
        <v>5365</v>
      </c>
      <c r="C2585" s="2" t="s">
        <v>56</v>
      </c>
      <c r="D2585" s="2" t="s">
        <v>57</v>
      </c>
      <c r="E2585" s="5">
        <v>-28065</v>
      </c>
      <c r="F2585" s="3" t="s">
        <v>686</v>
      </c>
      <c r="G2585" s="3" t="s">
        <v>20</v>
      </c>
      <c r="H2585" s="2" t="s">
        <v>28</v>
      </c>
      <c r="I2585" s="2" t="s">
        <v>5366</v>
      </c>
      <c r="J2585" s="3" t="str">
        <f>HYPERLINK("https://www.boe.es/gazeta/dias/1823/02/27/pdfs/GMD-1823-61.pdf#page=4","Abrir facsímil")</f>
        <v>Abrir facsímil</v>
      </c>
      <c r="K2585" s="3" t="s">
        <v>30</v>
      </c>
    </row>
    <row r="2586" spans="1:11" ht="42" customHeight="1">
      <c r="A2586" s="2" t="s">
        <v>5367</v>
      </c>
      <c r="B2586" s="2" t="s">
        <v>5368</v>
      </c>
      <c r="C2586" s="2" t="s">
        <v>79</v>
      </c>
      <c r="D2586" s="2" t="s">
        <v>74</v>
      </c>
      <c r="E2586" s="5">
        <v>-28117</v>
      </c>
      <c r="F2586" s="3" t="s">
        <v>271</v>
      </c>
      <c r="G2586" s="3" t="s">
        <v>39</v>
      </c>
      <c r="H2586" s="2" t="s">
        <v>21</v>
      </c>
      <c r="I2586" s="2" t="s">
        <v>5369</v>
      </c>
      <c r="J2586" s="3" t="str">
        <f>HYPERLINK("https://www.boe.es/gazeta/dias/1823/01/06/pdfs/GMD-1823-6.pdf#page=1","Abrir facsímil")</f>
        <v>Abrir facsímil</v>
      </c>
      <c r="K2586" s="3" t="s">
        <v>23</v>
      </c>
    </row>
    <row r="2587" spans="1:11" ht="42" customHeight="1">
      <c r="A2587" s="2" t="s">
        <v>5370</v>
      </c>
      <c r="B2587" s="2" t="s">
        <v>5371</v>
      </c>
      <c r="C2587" s="2" t="s">
        <v>17</v>
      </c>
      <c r="D2587" s="2" t="s">
        <v>18</v>
      </c>
      <c r="E2587" s="5">
        <v>-27841</v>
      </c>
      <c r="F2587" s="3" t="s">
        <v>721</v>
      </c>
      <c r="G2587" s="3" t="s">
        <v>27</v>
      </c>
      <c r="H2587" s="2" t="s">
        <v>21</v>
      </c>
      <c r="I2587" s="2" t="s">
        <v>5372</v>
      </c>
      <c r="J2587" s="3" t="str">
        <f>HYPERLINK("https://www.boe.es/gazeta/dias/1823/10/09/pdfs/GMD-1823-953.pdf#page=2","Abrir facsímil")</f>
        <v>Abrir facsímil</v>
      </c>
      <c r="K2587" s="3" t="s">
        <v>23</v>
      </c>
    </row>
    <row r="2588" spans="1:11" ht="42" customHeight="1">
      <c r="A2588" s="2" t="s">
        <v>5373</v>
      </c>
      <c r="B2588" s="2" t="s">
        <v>5374</v>
      </c>
      <c r="C2588" s="2" t="s">
        <v>17</v>
      </c>
      <c r="D2588" s="2" t="s">
        <v>18</v>
      </c>
      <c r="E2588" s="5">
        <v>-27923</v>
      </c>
      <c r="F2588" s="3" t="s">
        <v>1225</v>
      </c>
      <c r="G2588" s="3" t="s">
        <v>39</v>
      </c>
      <c r="H2588" s="2" t="s">
        <v>21</v>
      </c>
      <c r="I2588" s="2" t="s">
        <v>5375</v>
      </c>
      <c r="J2588" s="3" t="str">
        <f>HYPERLINK("https://www.boe.es/gazeta/dias/1823/07/19/pdfs/GMD-1823-433.pdf#page=1","Abrir facsímil")</f>
        <v>Abrir facsímil</v>
      </c>
      <c r="K2588" s="3" t="s">
        <v>23</v>
      </c>
    </row>
    <row r="2589" spans="1:11" ht="42" customHeight="1">
      <c r="A2589" s="2" t="s">
        <v>5376</v>
      </c>
      <c r="B2589" s="2" t="s">
        <v>5377</v>
      </c>
      <c r="C2589" s="2" t="s">
        <v>56</v>
      </c>
      <c r="D2589" s="2" t="s">
        <v>57</v>
      </c>
      <c r="E2589" s="5">
        <v>-27972</v>
      </c>
      <c r="F2589" s="3" t="s">
        <v>1515</v>
      </c>
      <c r="G2589" s="3" t="s">
        <v>48</v>
      </c>
      <c r="H2589" s="2" t="s">
        <v>21</v>
      </c>
      <c r="I2589" s="2" t="s">
        <v>5378</v>
      </c>
      <c r="J2589" s="3" t="str">
        <f>HYPERLINK("https://www.boe.es/gazeta/dias/1823/05/31/pdfs/GMD-1823-33.pdf#page=3","Abrir facsímil")</f>
        <v>Abrir facsímil</v>
      </c>
      <c r="K2589" s="3" t="s">
        <v>23</v>
      </c>
    </row>
    <row r="2590" spans="1:11" ht="42" customHeight="1">
      <c r="A2590" s="2" t="s">
        <v>5376</v>
      </c>
      <c r="B2590" s="2" t="s">
        <v>5377</v>
      </c>
      <c r="C2590" s="2" t="s">
        <v>79</v>
      </c>
      <c r="D2590" s="2" t="s">
        <v>74</v>
      </c>
      <c r="E2590" s="5">
        <v>-27969</v>
      </c>
      <c r="F2590" s="3" t="s">
        <v>204</v>
      </c>
      <c r="G2590" s="3" t="s">
        <v>20</v>
      </c>
      <c r="H2590" s="2" t="s">
        <v>21</v>
      </c>
      <c r="I2590" s="2" t="s">
        <v>5379</v>
      </c>
      <c r="J2590" s="3" t="str">
        <f>HYPERLINK("https://www.boe.es/gazeta/dias/1823/06/03/pdfs/GMD-1823-53.pdf#page=4","Abrir facsímil")</f>
        <v>Abrir facsímil</v>
      </c>
      <c r="K2590" s="3" t="s">
        <v>23</v>
      </c>
    </row>
    <row r="2591" spans="1:11" ht="42" customHeight="1">
      <c r="A2591" s="2" t="s">
        <v>5380</v>
      </c>
      <c r="B2591" s="2" t="s">
        <v>5381</v>
      </c>
      <c r="C2591" s="2" t="s">
        <v>17</v>
      </c>
      <c r="D2591" s="2" t="s">
        <v>18</v>
      </c>
      <c r="E2591" s="5">
        <v>-27992</v>
      </c>
      <c r="F2591" s="3" t="s">
        <v>565</v>
      </c>
      <c r="G2591" s="3" t="s">
        <v>20</v>
      </c>
      <c r="H2591" s="2" t="s">
        <v>21</v>
      </c>
      <c r="I2591" s="2" t="s">
        <v>5382</v>
      </c>
      <c r="J2591" s="3" t="str">
        <f>HYPERLINK("https://www.boe.es/gazeta/dias/1823/05/11/pdfs/GES-1823-31.pdf#page=4","Abrir facsímil")</f>
        <v>Abrir facsímil</v>
      </c>
      <c r="K2591" s="3" t="s">
        <v>23</v>
      </c>
    </row>
    <row r="2592" spans="1:11" ht="42" customHeight="1">
      <c r="A2592" s="2" t="s">
        <v>5383</v>
      </c>
      <c r="B2592" s="2" t="s">
        <v>5383</v>
      </c>
      <c r="C2592" s="2" t="s">
        <v>17</v>
      </c>
      <c r="D2592" s="2" t="s">
        <v>18</v>
      </c>
      <c r="E2592" s="5">
        <v>-27904</v>
      </c>
      <c r="F2592" s="3" t="s">
        <v>1227</v>
      </c>
      <c r="G2592" s="3" t="s">
        <v>20</v>
      </c>
      <c r="H2592" s="2" t="s">
        <v>21</v>
      </c>
      <c r="I2592" s="2" t="s">
        <v>5384</v>
      </c>
      <c r="J2592" s="3" t="str">
        <f>HYPERLINK("https://www.boe.es/gazeta/dias/1823/08/07/pdfs/GMD-1823-543.pdf#page=4","Abrir facsímil")</f>
        <v>Abrir facsímil</v>
      </c>
      <c r="K2592" s="3" t="s">
        <v>23</v>
      </c>
    </row>
    <row r="2593" spans="1:11" ht="42" customHeight="1">
      <c r="A2593" s="2" t="s">
        <v>5385</v>
      </c>
      <c r="B2593" s="2" t="s">
        <v>5386</v>
      </c>
      <c r="C2593" s="2" t="s">
        <v>17</v>
      </c>
      <c r="D2593" s="2" t="s">
        <v>18</v>
      </c>
      <c r="E2593" s="5">
        <v>-27935</v>
      </c>
      <c r="F2593" s="3" t="s">
        <v>350</v>
      </c>
      <c r="G2593" s="3" t="s">
        <v>20</v>
      </c>
      <c r="H2593" s="2" t="s">
        <v>21</v>
      </c>
      <c r="I2593" s="2" t="s">
        <v>5387</v>
      </c>
      <c r="J2593" s="3" t="str">
        <f>HYPERLINK("https://www.boe.es/gazeta/dias/1823/07/07/pdfs/GES-1823-87.pdf#page=4","Abrir facsímil")</f>
        <v>Abrir facsímil</v>
      </c>
      <c r="K2593" s="3" t="s">
        <v>23</v>
      </c>
    </row>
    <row r="2594" spans="1:11" ht="42" customHeight="1">
      <c r="A2594" s="2" t="s">
        <v>5388</v>
      </c>
      <c r="B2594" s="2" t="s">
        <v>5388</v>
      </c>
      <c r="C2594" s="2" t="s">
        <v>109</v>
      </c>
      <c r="D2594" s="2" t="s">
        <v>74</v>
      </c>
      <c r="E2594" s="5">
        <v>-27997</v>
      </c>
      <c r="F2594" s="3" t="s">
        <v>937</v>
      </c>
      <c r="G2594" s="3" t="s">
        <v>20</v>
      </c>
      <c r="H2594" s="2" t="s">
        <v>21</v>
      </c>
      <c r="I2594" s="2" t="s">
        <v>5389</v>
      </c>
      <c r="J2594" s="3" t="str">
        <f>HYPERLINK("https://www.boe.es/gazeta/dias/1823/05/06/pdfs/GMD-1823-102.pdf#page=4","Abrir facsímil")</f>
        <v>Abrir facsímil</v>
      </c>
      <c r="K2594" s="3" t="s">
        <v>23</v>
      </c>
    </row>
    <row r="2595" spans="1:11" ht="42" customHeight="1">
      <c r="A2595" s="2" t="s">
        <v>5390</v>
      </c>
      <c r="B2595" s="2" t="s">
        <v>5390</v>
      </c>
      <c r="C2595" s="2" t="s">
        <v>17</v>
      </c>
      <c r="D2595" s="2" t="s">
        <v>18</v>
      </c>
      <c r="E2595" s="5">
        <v>-28003</v>
      </c>
      <c r="F2595" s="3" t="s">
        <v>26</v>
      </c>
      <c r="G2595" s="3" t="s">
        <v>34</v>
      </c>
      <c r="H2595" s="2" t="s">
        <v>21</v>
      </c>
      <c r="I2595" s="2" t="s">
        <v>5391</v>
      </c>
      <c r="J2595" s="3" t="str">
        <f>HYPERLINK("https://www.boe.es/gazeta/dias/1823/04/30/pdfs/GES-1823-20.pdf#page=5","Abrir facsímil")</f>
        <v>Abrir facsímil</v>
      </c>
      <c r="K2595" s="3" t="s">
        <v>23</v>
      </c>
    </row>
    <row r="2596" spans="1:11" ht="42" customHeight="1">
      <c r="A2596" s="2" t="s">
        <v>5390</v>
      </c>
      <c r="B2596" s="2" t="s">
        <v>5390</v>
      </c>
      <c r="C2596" s="2" t="s">
        <v>17</v>
      </c>
      <c r="D2596" s="2" t="s">
        <v>18</v>
      </c>
      <c r="E2596" s="5">
        <v>-27982</v>
      </c>
      <c r="F2596" s="3" t="s">
        <v>340</v>
      </c>
      <c r="G2596" s="3" t="s">
        <v>48</v>
      </c>
      <c r="H2596" s="2" t="s">
        <v>21</v>
      </c>
      <c r="I2596" s="2" t="s">
        <v>5392</v>
      </c>
      <c r="J2596" s="3" t="str">
        <f>HYPERLINK("https://www.boe.es/gazeta/dias/1823/05/21/pdfs/GES-1823-42.pdf#page=3","Abrir facsímil")</f>
        <v>Abrir facsímil</v>
      </c>
      <c r="K2596" s="3" t="s">
        <v>23</v>
      </c>
    </row>
    <row r="2597" spans="1:11" ht="42" customHeight="1">
      <c r="A2597" s="2" t="s">
        <v>5393</v>
      </c>
      <c r="B2597" s="2" t="s">
        <v>5394</v>
      </c>
      <c r="C2597" s="2" t="s">
        <v>56</v>
      </c>
      <c r="D2597" s="2" t="s">
        <v>57</v>
      </c>
      <c r="E2597" s="5">
        <v>-27904</v>
      </c>
      <c r="F2597" s="3" t="s">
        <v>1227</v>
      </c>
      <c r="G2597" s="3" t="s">
        <v>59</v>
      </c>
      <c r="H2597" s="2" t="s">
        <v>21</v>
      </c>
      <c r="I2597" s="2" t="s">
        <v>5395</v>
      </c>
      <c r="J2597" s="3" t="str">
        <f>HYPERLINK("https://www.boe.es/gazeta/dias/1823/08/07/pdfs/GMD-1823-543.pdf#page=6","Abrir facsímil")</f>
        <v>Abrir facsímil</v>
      </c>
      <c r="K2597" s="3" t="s">
        <v>23</v>
      </c>
    </row>
    <row r="2598" spans="1:11" ht="42" customHeight="1">
      <c r="A2598" s="2" t="s">
        <v>5393</v>
      </c>
      <c r="B2598" s="2" t="s">
        <v>5394</v>
      </c>
      <c r="C2598" s="2" t="s">
        <v>17</v>
      </c>
      <c r="D2598" s="2" t="s">
        <v>18</v>
      </c>
      <c r="E2598" s="5">
        <v>-27841</v>
      </c>
      <c r="F2598" s="3" t="s">
        <v>721</v>
      </c>
      <c r="G2598" s="3" t="s">
        <v>20</v>
      </c>
      <c r="H2598" s="2" t="s">
        <v>21</v>
      </c>
      <c r="I2598" s="2" t="s">
        <v>5396</v>
      </c>
      <c r="J2598" s="3" t="str">
        <f>HYPERLINK("https://www.boe.es/gazeta/dias/1823/10/09/pdfs/GMD-1823-953.pdf#page=4","Abrir facsímil")</f>
        <v>Abrir facsímil</v>
      </c>
      <c r="K2598" s="3" t="s">
        <v>23</v>
      </c>
    </row>
    <row r="2599" spans="1:11" ht="42" customHeight="1">
      <c r="A2599" s="2" t="s">
        <v>5397</v>
      </c>
      <c r="B2599" s="2" t="s">
        <v>5398</v>
      </c>
      <c r="C2599" s="2" t="s">
        <v>109</v>
      </c>
      <c r="D2599" s="2" t="s">
        <v>74</v>
      </c>
      <c r="E2599" s="5">
        <v>-27971</v>
      </c>
      <c r="F2599" s="3" t="s">
        <v>4211</v>
      </c>
      <c r="G2599" s="3" t="s">
        <v>20</v>
      </c>
      <c r="H2599" s="2" t="s">
        <v>21</v>
      </c>
      <c r="I2599" s="2" t="s">
        <v>5399</v>
      </c>
      <c r="J2599" s="3" t="str">
        <f>HYPERLINK("https://www.boe.es/gazeta/dias/1823/06/01/pdfs/GES-1823-55.pdf#page=4","Abrir facsímil")</f>
        <v>Abrir facsímil</v>
      </c>
      <c r="K2599" s="3" t="s">
        <v>23</v>
      </c>
    </row>
    <row r="2600" spans="1:11" ht="42" customHeight="1">
      <c r="A2600" s="2" t="s">
        <v>5397</v>
      </c>
      <c r="B2600" s="2" t="s">
        <v>5398</v>
      </c>
      <c r="C2600" s="2" t="s">
        <v>56</v>
      </c>
      <c r="D2600" s="2" t="s">
        <v>117</v>
      </c>
      <c r="E2600" s="5">
        <v>-27970</v>
      </c>
      <c r="F2600" s="3" t="s">
        <v>1699</v>
      </c>
      <c r="G2600" s="3" t="s">
        <v>39</v>
      </c>
      <c r="H2600" s="2" t="s">
        <v>21</v>
      </c>
      <c r="I2600" s="2" t="s">
        <v>5400</v>
      </c>
      <c r="J2600" s="3" t="str">
        <f>HYPERLINK("https://www.boe.es/gazeta/dias/1823/06/02/pdfs/GMD-1823-43E.pdf#page=1","Abrir facsímil")</f>
        <v>Abrir facsímil</v>
      </c>
      <c r="K2600" s="3" t="s">
        <v>23</v>
      </c>
    </row>
    <row r="2601" spans="1:11" ht="42" customHeight="1">
      <c r="A2601" s="2" t="s">
        <v>5397</v>
      </c>
      <c r="B2601" s="2" t="s">
        <v>5398</v>
      </c>
      <c r="C2601" s="2" t="s">
        <v>79</v>
      </c>
      <c r="D2601" s="2" t="s">
        <v>74</v>
      </c>
      <c r="E2601" s="5">
        <v>-27927</v>
      </c>
      <c r="F2601" s="3" t="s">
        <v>1426</v>
      </c>
      <c r="G2601" s="3" t="s">
        <v>20</v>
      </c>
      <c r="H2601" s="2" t="s">
        <v>21</v>
      </c>
      <c r="I2601" s="2" t="s">
        <v>5401</v>
      </c>
      <c r="J2601" s="3" t="str">
        <f>HYPERLINK("https://www.boe.es/gazeta/dias/1823/07/15/pdfs/GES-1823-95.pdf#page=4","Abrir facsímil")</f>
        <v>Abrir facsímil</v>
      </c>
      <c r="K2601" s="3" t="s">
        <v>23</v>
      </c>
    </row>
    <row r="2602" spans="1:11" ht="42" customHeight="1">
      <c r="A2602" s="2" t="s">
        <v>5402</v>
      </c>
      <c r="B2602" s="2" t="s">
        <v>5402</v>
      </c>
      <c r="C2602" s="2" t="s">
        <v>17</v>
      </c>
      <c r="D2602" s="2" t="s">
        <v>18</v>
      </c>
      <c r="E2602" s="5">
        <v>-28110</v>
      </c>
      <c r="F2602" s="3" t="s">
        <v>249</v>
      </c>
      <c r="G2602" s="3" t="s">
        <v>39</v>
      </c>
      <c r="H2602" s="2" t="s">
        <v>21</v>
      </c>
      <c r="I2602" s="2" t="s">
        <v>5403</v>
      </c>
      <c r="J2602" s="3" t="str">
        <f>HYPERLINK("https://www.boe.es/gazeta/dias/1823/01/13/pdfs/GMD-1823-13.pdf#page=1","Abrir facsímil")</f>
        <v>Abrir facsímil</v>
      </c>
      <c r="K2602" s="3" t="s">
        <v>23</v>
      </c>
    </row>
    <row r="2603" spans="1:11" ht="42" customHeight="1">
      <c r="A2603" s="2" t="s">
        <v>5404</v>
      </c>
      <c r="B2603" s="2" t="s">
        <v>5404</v>
      </c>
      <c r="C2603" s="2" t="s">
        <v>79</v>
      </c>
      <c r="D2603" s="2" t="s">
        <v>74</v>
      </c>
      <c r="E2603" s="5">
        <v>-28117</v>
      </c>
      <c r="F2603" s="3" t="s">
        <v>271</v>
      </c>
      <c r="G2603" s="3" t="s">
        <v>20</v>
      </c>
      <c r="H2603" s="2" t="s">
        <v>21</v>
      </c>
      <c r="I2603" s="2" t="s">
        <v>5405</v>
      </c>
      <c r="J2603" s="3" t="str">
        <f>HYPERLINK("https://www.boe.es/gazeta/dias/1823/01/06/pdfs/GMD-1823-6.pdf#page=4","Abrir facsímil")</f>
        <v>Abrir facsímil</v>
      </c>
      <c r="K2603" s="3" t="s">
        <v>23</v>
      </c>
    </row>
    <row r="2604" spans="1:11" ht="42" customHeight="1">
      <c r="A2604" s="2" t="s">
        <v>5406</v>
      </c>
      <c r="B2604" s="2" t="s">
        <v>5406</v>
      </c>
      <c r="C2604" s="2" t="s">
        <v>79</v>
      </c>
      <c r="D2604" s="2" t="s">
        <v>74</v>
      </c>
      <c r="E2604" s="5">
        <v>-28119</v>
      </c>
      <c r="F2604" s="3" t="s">
        <v>545</v>
      </c>
      <c r="G2604" s="3" t="s">
        <v>48</v>
      </c>
      <c r="H2604" s="2" t="s">
        <v>21</v>
      </c>
      <c r="I2604" s="2" t="s">
        <v>5407</v>
      </c>
      <c r="J2604" s="3" t="str">
        <f>HYPERLINK("https://www.boe.es/gazeta/dias/1823/01/04/pdfs/GMD-1823-4.pdf#page=3","Abrir facsímil")</f>
        <v>Abrir facsímil</v>
      </c>
      <c r="K2604" s="3" t="s">
        <v>23</v>
      </c>
    </row>
    <row r="2605" spans="1:11" ht="42" customHeight="1">
      <c r="A2605" s="2" t="s">
        <v>5408</v>
      </c>
      <c r="B2605" s="2" t="s">
        <v>5408</v>
      </c>
      <c r="C2605" s="2" t="s">
        <v>17</v>
      </c>
      <c r="D2605" s="2" t="s">
        <v>18</v>
      </c>
      <c r="E2605" s="5">
        <v>-28101</v>
      </c>
      <c r="F2605" s="3" t="s">
        <v>1041</v>
      </c>
      <c r="G2605" s="3" t="s">
        <v>27</v>
      </c>
      <c r="H2605" s="2" t="s">
        <v>21</v>
      </c>
      <c r="I2605" s="2" t="s">
        <v>5409</v>
      </c>
      <c r="J2605" s="3" t="str">
        <f>HYPERLINK("https://www.boe.es/gazeta/dias/1823/01/22/pdfs/GMD-1823-23.pdf#page=2","Abrir facsímil")</f>
        <v>Abrir facsímil</v>
      </c>
      <c r="K2605" s="3" t="s">
        <v>23</v>
      </c>
    </row>
    <row r="2606" spans="1:11" ht="42" customHeight="1">
      <c r="A2606" s="2" t="s">
        <v>5408</v>
      </c>
      <c r="B2606" s="2" t="s">
        <v>5408</v>
      </c>
      <c r="C2606" s="2" t="s">
        <v>17</v>
      </c>
      <c r="D2606" s="2" t="s">
        <v>18</v>
      </c>
      <c r="E2606" s="5">
        <v>-27972</v>
      </c>
      <c r="F2606" s="3" t="s">
        <v>1515</v>
      </c>
      <c r="G2606" s="3" t="s">
        <v>27</v>
      </c>
      <c r="H2606" s="2" t="s">
        <v>21</v>
      </c>
      <c r="I2606" s="2" t="s">
        <v>5410</v>
      </c>
      <c r="J2606" s="3" t="str">
        <f>HYPERLINK("https://www.boe.es/gazeta/dias/1823/05/31/pdfs/GMD-1823-33.pdf#page=2","Abrir facsímil")</f>
        <v>Abrir facsímil</v>
      </c>
      <c r="K2606" s="3" t="s">
        <v>23</v>
      </c>
    </row>
    <row r="2607" spans="1:11" ht="42" customHeight="1">
      <c r="A2607" s="2" t="s">
        <v>5411</v>
      </c>
      <c r="B2607" s="2" t="s">
        <v>5411</v>
      </c>
      <c r="C2607" s="2" t="s">
        <v>17</v>
      </c>
      <c r="D2607" s="2" t="s">
        <v>18</v>
      </c>
      <c r="E2607" s="5">
        <v>-28088</v>
      </c>
      <c r="F2607" s="3" t="s">
        <v>542</v>
      </c>
      <c r="G2607" s="3" t="s">
        <v>20</v>
      </c>
      <c r="H2607" s="2" t="s">
        <v>21</v>
      </c>
      <c r="I2607" s="2" t="s">
        <v>5412</v>
      </c>
      <c r="J2607" s="3" t="str">
        <f>HYPERLINK("https://www.boe.es/gazeta/dias/1823/02/04/pdfs/GMD-1823-37.pdf#page=4","Abrir facsímil")</f>
        <v>Abrir facsímil</v>
      </c>
      <c r="K2607" s="3" t="s">
        <v>23</v>
      </c>
    </row>
    <row r="2608" spans="1:11" ht="42" customHeight="1">
      <c r="A2608" s="2" t="s">
        <v>5413</v>
      </c>
      <c r="B2608" s="2" t="s">
        <v>5413</v>
      </c>
      <c r="C2608" s="2" t="s">
        <v>17</v>
      </c>
      <c r="D2608" s="2" t="s">
        <v>18</v>
      </c>
      <c r="E2608" s="5">
        <v>-28051</v>
      </c>
      <c r="F2608" s="3" t="s">
        <v>305</v>
      </c>
      <c r="G2608" s="3" t="s">
        <v>20</v>
      </c>
      <c r="H2608" s="2" t="s">
        <v>21</v>
      </c>
      <c r="I2608" s="2" t="s">
        <v>5414</v>
      </c>
      <c r="J2608" s="3" t="str">
        <f>HYPERLINK("https://www.boe.es/gazeta/dias/1823/03/13/pdfs/GMD-1823-76.pdf#page=4","Abrir facsímil")</f>
        <v>Abrir facsímil</v>
      </c>
      <c r="K2608" s="3" t="s">
        <v>23</v>
      </c>
    </row>
    <row r="2609" spans="1:11" ht="42" customHeight="1">
      <c r="A2609" s="2" t="s">
        <v>5413</v>
      </c>
      <c r="B2609" s="2" t="s">
        <v>5413</v>
      </c>
      <c r="C2609" s="2" t="s">
        <v>56</v>
      </c>
      <c r="D2609" s="2" t="s">
        <v>57</v>
      </c>
      <c r="E2609" s="5">
        <v>-28050</v>
      </c>
      <c r="F2609" s="3" t="s">
        <v>473</v>
      </c>
      <c r="G2609" s="3" t="s">
        <v>27</v>
      </c>
      <c r="H2609" s="2" t="s">
        <v>21</v>
      </c>
      <c r="I2609" s="2" t="s">
        <v>5415</v>
      </c>
      <c r="J2609" s="3" t="str">
        <f>HYPERLINK("https://www.boe.es/gazeta/dias/1823/03/14/pdfs/GMD-1823-77.pdf#page=2","Abrir facsímil")</f>
        <v>Abrir facsímil</v>
      </c>
      <c r="K2609" s="3" t="s">
        <v>23</v>
      </c>
    </row>
    <row r="2610" spans="1:11" ht="42" customHeight="1">
      <c r="A2610" s="2" t="s">
        <v>5413</v>
      </c>
      <c r="B2610" s="2" t="s">
        <v>5413</v>
      </c>
      <c r="C2610" s="2" t="s">
        <v>56</v>
      </c>
      <c r="D2610" s="2" t="s">
        <v>57</v>
      </c>
      <c r="E2610" s="5">
        <v>-27982</v>
      </c>
      <c r="F2610" s="3" t="s">
        <v>340</v>
      </c>
      <c r="G2610" s="3" t="s">
        <v>20</v>
      </c>
      <c r="H2610" s="2" t="s">
        <v>21</v>
      </c>
      <c r="I2610" s="2" t="s">
        <v>5416</v>
      </c>
      <c r="J2610" s="3" t="str">
        <f>HYPERLINK("https://www.boe.es/gazeta/dias/1823/05/21/pdfs/GES-1823-42.pdf#page=4","Abrir facsímil")</f>
        <v>Abrir facsímil</v>
      </c>
      <c r="K2610" s="3" t="s">
        <v>23</v>
      </c>
    </row>
    <row r="2611" spans="1:11" ht="42" customHeight="1">
      <c r="A2611" s="2" t="s">
        <v>5413</v>
      </c>
      <c r="B2611" s="2" t="s">
        <v>5413</v>
      </c>
      <c r="C2611" s="2" t="s">
        <v>56</v>
      </c>
      <c r="D2611" s="2" t="s">
        <v>57</v>
      </c>
      <c r="E2611" s="5">
        <v>-27960</v>
      </c>
      <c r="F2611" s="3" t="s">
        <v>741</v>
      </c>
      <c r="G2611" s="3" t="s">
        <v>20</v>
      </c>
      <c r="H2611" s="2" t="s">
        <v>21</v>
      </c>
      <c r="I2611" s="2" t="s">
        <v>5417</v>
      </c>
      <c r="J2611" s="3" t="str">
        <f>HYPERLINK("https://www.boe.es/gazeta/dias/1823/06/12/pdfs/GES-1823-66.pdf#page=4","Abrir facsímil")</f>
        <v>Abrir facsímil</v>
      </c>
      <c r="K2611" s="3" t="s">
        <v>23</v>
      </c>
    </row>
    <row r="2612" spans="1:11" ht="42" customHeight="1">
      <c r="A2612" s="2" t="s">
        <v>5418</v>
      </c>
      <c r="B2612" s="2" t="s">
        <v>5418</v>
      </c>
      <c r="C2612" s="2" t="s">
        <v>17</v>
      </c>
      <c r="D2612" s="2" t="s">
        <v>18</v>
      </c>
      <c r="E2612" s="5">
        <v>-27950</v>
      </c>
      <c r="F2612" s="3" t="s">
        <v>4513</v>
      </c>
      <c r="G2612" s="3" t="s">
        <v>20</v>
      </c>
      <c r="H2612" s="2" t="s">
        <v>21</v>
      </c>
      <c r="I2612" s="2" t="s">
        <v>5419</v>
      </c>
      <c r="J2612" s="3" t="str">
        <f>HYPERLINK("https://www.boe.es/gazeta/dias/1823/06/22/pdfs/GES-1823-70.pdf#page=4","Abrir facsímil")</f>
        <v>Abrir facsímil</v>
      </c>
      <c r="K2612" s="3" t="s">
        <v>23</v>
      </c>
    </row>
    <row r="2613" spans="1:11" ht="42" customHeight="1">
      <c r="A2613" s="2" t="s">
        <v>5420</v>
      </c>
      <c r="B2613" s="2" t="s">
        <v>5420</v>
      </c>
      <c r="C2613" s="2" t="s">
        <v>109</v>
      </c>
      <c r="D2613" s="2" t="s">
        <v>74</v>
      </c>
      <c r="E2613" s="5">
        <v>-28122</v>
      </c>
      <c r="F2613" s="3" t="s">
        <v>269</v>
      </c>
      <c r="G2613" s="3" t="s">
        <v>27</v>
      </c>
      <c r="H2613" s="2" t="s">
        <v>21</v>
      </c>
      <c r="I2613" s="2" t="s">
        <v>5421</v>
      </c>
      <c r="J2613" s="3" t="str">
        <f>HYPERLINK("https://www.boe.es/gazeta/dias/1823/01/01/pdfs/GMD-1823-1.pdf#page=2","Abrir facsímil")</f>
        <v>Abrir facsímil</v>
      </c>
      <c r="K2613" s="3" t="s">
        <v>23</v>
      </c>
    </row>
    <row r="2614" spans="1:11" ht="42" customHeight="1">
      <c r="A2614" s="2" t="s">
        <v>5420</v>
      </c>
      <c r="B2614" s="2" t="s">
        <v>5420</v>
      </c>
      <c r="C2614" s="2" t="s">
        <v>73</v>
      </c>
      <c r="D2614" s="2" t="s">
        <v>74</v>
      </c>
      <c r="E2614" s="5">
        <v>-28120</v>
      </c>
      <c r="F2614" s="3" t="s">
        <v>2772</v>
      </c>
      <c r="G2614" s="3" t="s">
        <v>3108</v>
      </c>
      <c r="H2614" s="2" t="s">
        <v>21</v>
      </c>
      <c r="I2614" s="2" t="s">
        <v>5422</v>
      </c>
      <c r="J2614" s="3" t="str">
        <f>HYPERLINK("https://www.boe.es/gazeta/dias/1823/01/03/pdfs/GMD-1823-3.pdf#page=3","Abrir facsímil")</f>
        <v>Abrir facsímil</v>
      </c>
      <c r="K2614" s="3" t="s">
        <v>23</v>
      </c>
    </row>
    <row r="2615" spans="1:11" ht="42" customHeight="1">
      <c r="A2615" s="2" t="s">
        <v>5420</v>
      </c>
      <c r="B2615" s="2" t="s">
        <v>5420</v>
      </c>
      <c r="C2615" s="2" t="s">
        <v>109</v>
      </c>
      <c r="D2615" s="2" t="s">
        <v>74</v>
      </c>
      <c r="E2615" s="5">
        <v>-28120</v>
      </c>
      <c r="F2615" s="3" t="s">
        <v>2772</v>
      </c>
      <c r="G2615" s="3" t="s">
        <v>20</v>
      </c>
      <c r="H2615" s="2" t="s">
        <v>21</v>
      </c>
      <c r="I2615" s="2" t="s">
        <v>5423</v>
      </c>
      <c r="J2615" s="3" t="str">
        <f>HYPERLINK("https://www.boe.es/gazeta/dias/1823/01/03/pdfs/GMD-1823-3.pdf#page=4","Abrir facsímil")</f>
        <v>Abrir facsímil</v>
      </c>
      <c r="K2615" s="3" t="s">
        <v>23</v>
      </c>
    </row>
    <row r="2616" spans="1:11" ht="42" customHeight="1">
      <c r="A2616" s="2" t="s">
        <v>5420</v>
      </c>
      <c r="B2616" s="2" t="s">
        <v>5420</v>
      </c>
      <c r="C2616" s="2" t="s">
        <v>79</v>
      </c>
      <c r="D2616" s="2" t="s">
        <v>74</v>
      </c>
      <c r="E2616" s="5">
        <v>-28119</v>
      </c>
      <c r="F2616" s="3" t="s">
        <v>545</v>
      </c>
      <c r="G2616" s="3" t="s">
        <v>48</v>
      </c>
      <c r="H2616" s="2" t="s">
        <v>21</v>
      </c>
      <c r="I2616" s="2" t="s">
        <v>5424</v>
      </c>
      <c r="J2616" s="3" t="str">
        <f>HYPERLINK("https://www.boe.es/gazeta/dias/1823/01/04/pdfs/GMD-1823-4.pdf#page=3","Abrir facsímil")</f>
        <v>Abrir facsímil</v>
      </c>
      <c r="K2616" s="3" t="s">
        <v>23</v>
      </c>
    </row>
    <row r="2617" spans="1:11" ht="42" customHeight="1">
      <c r="A2617" s="2" t="s">
        <v>5420</v>
      </c>
      <c r="B2617" s="2" t="s">
        <v>5420</v>
      </c>
      <c r="C2617" s="2" t="s">
        <v>73</v>
      </c>
      <c r="D2617" s="2" t="s">
        <v>74</v>
      </c>
      <c r="E2617" s="5">
        <v>-28119</v>
      </c>
      <c r="F2617" s="3" t="s">
        <v>545</v>
      </c>
      <c r="G2617" s="3" t="s">
        <v>20</v>
      </c>
      <c r="H2617" s="2" t="s">
        <v>21</v>
      </c>
      <c r="I2617" s="2" t="s">
        <v>5425</v>
      </c>
      <c r="J2617" s="3" t="str">
        <f>HYPERLINK("https://www.boe.es/gazeta/dias/1823/01/04/pdfs/GMD-1823-4.pdf#page=4","Abrir facsímil")</f>
        <v>Abrir facsímil</v>
      </c>
      <c r="K2617" s="3" t="s">
        <v>23</v>
      </c>
    </row>
    <row r="2618" spans="1:11" ht="42" customHeight="1">
      <c r="A2618" s="2" t="s">
        <v>5420</v>
      </c>
      <c r="B2618" s="2" t="s">
        <v>5420</v>
      </c>
      <c r="C2618" s="2" t="s">
        <v>56</v>
      </c>
      <c r="D2618" s="2" t="s">
        <v>57</v>
      </c>
      <c r="E2618" s="5">
        <v>-28114</v>
      </c>
      <c r="F2618" s="3" t="s">
        <v>153</v>
      </c>
      <c r="G2618" s="3" t="s">
        <v>27</v>
      </c>
      <c r="H2618" s="2" t="s">
        <v>21</v>
      </c>
      <c r="I2618" s="2" t="s">
        <v>5426</v>
      </c>
      <c r="J2618" s="3" t="str">
        <f>HYPERLINK("https://www.boe.es/gazeta/dias/1823/01/09/pdfs/GMD-1823-9.pdf#page=2","Abrir facsímil")</f>
        <v>Abrir facsímil</v>
      </c>
      <c r="K2618" s="3" t="s">
        <v>23</v>
      </c>
    </row>
    <row r="2619" spans="1:11" ht="42" customHeight="1">
      <c r="A2619" s="2" t="s">
        <v>5420</v>
      </c>
      <c r="B2619" s="2" t="s">
        <v>5420</v>
      </c>
      <c r="C2619" s="2" t="s">
        <v>79</v>
      </c>
      <c r="D2619" s="2" t="s">
        <v>74</v>
      </c>
      <c r="E2619" s="5">
        <v>-28114</v>
      </c>
      <c r="F2619" s="3" t="s">
        <v>153</v>
      </c>
      <c r="G2619" s="3" t="s">
        <v>48</v>
      </c>
      <c r="H2619" s="2" t="s">
        <v>21</v>
      </c>
      <c r="I2619" s="2" t="s">
        <v>5427</v>
      </c>
      <c r="J2619" s="3" t="str">
        <f>HYPERLINK("https://www.boe.es/gazeta/dias/1823/01/09/pdfs/GMD-1823-9.pdf#page=3","Abrir facsímil")</f>
        <v>Abrir facsímil</v>
      </c>
      <c r="K2619" s="3" t="s">
        <v>23</v>
      </c>
    </row>
    <row r="2620" spans="1:11" ht="42" customHeight="1">
      <c r="A2620" s="2" t="s">
        <v>5420</v>
      </c>
      <c r="B2620" s="2" t="s">
        <v>5420</v>
      </c>
      <c r="C2620" s="2" t="s">
        <v>17</v>
      </c>
      <c r="D2620" s="2" t="s">
        <v>18</v>
      </c>
      <c r="E2620" s="5">
        <v>-28111</v>
      </c>
      <c r="F2620" s="3" t="s">
        <v>275</v>
      </c>
      <c r="G2620" s="3" t="s">
        <v>276</v>
      </c>
      <c r="H2620" s="2" t="s">
        <v>21</v>
      </c>
      <c r="I2620" s="2" t="s">
        <v>5428</v>
      </c>
      <c r="J2620" s="3" t="str">
        <f>HYPERLINK("https://www.boe.es/gazeta/dias/1823/01/12/pdfs/GMD-1823-12.pdf#page=7","Abrir facsímil")</f>
        <v>Abrir facsímil</v>
      </c>
      <c r="K2620" s="3" t="s">
        <v>23</v>
      </c>
    </row>
    <row r="2621" spans="1:11" ht="42" customHeight="1">
      <c r="A2621" s="2" t="s">
        <v>5420</v>
      </c>
      <c r="B2621" s="2" t="s">
        <v>5420</v>
      </c>
      <c r="C2621" s="2" t="s">
        <v>79</v>
      </c>
      <c r="D2621" s="2" t="s">
        <v>74</v>
      </c>
      <c r="E2621" s="5">
        <v>-28109</v>
      </c>
      <c r="F2621" s="3" t="s">
        <v>889</v>
      </c>
      <c r="G2621" s="3" t="s">
        <v>27</v>
      </c>
      <c r="H2621" s="2" t="s">
        <v>21</v>
      </c>
      <c r="I2621" s="2" t="s">
        <v>5429</v>
      </c>
      <c r="J2621" s="3" t="str">
        <f>HYPERLINK("https://www.boe.es/gazeta/dias/1823/01/14/pdfs/GMD-1823-14.pdf#page=2","Abrir facsímil")</f>
        <v>Abrir facsímil</v>
      </c>
      <c r="K2621" s="3" t="s">
        <v>23</v>
      </c>
    </row>
    <row r="2622" spans="1:11" ht="42" customHeight="1">
      <c r="A2622" s="2" t="s">
        <v>5420</v>
      </c>
      <c r="B2622" s="2" t="s">
        <v>5420</v>
      </c>
      <c r="C2622" s="2" t="s">
        <v>17</v>
      </c>
      <c r="D2622" s="2" t="s">
        <v>18</v>
      </c>
      <c r="E2622" s="5">
        <v>-28108</v>
      </c>
      <c r="F2622" s="3" t="s">
        <v>406</v>
      </c>
      <c r="G2622" s="3" t="s">
        <v>27</v>
      </c>
      <c r="H2622" s="2" t="s">
        <v>21</v>
      </c>
      <c r="I2622" s="2" t="s">
        <v>5430</v>
      </c>
      <c r="J2622" s="3" t="str">
        <f>HYPERLINK("https://www.boe.es/gazeta/dias/1823/01/15/pdfs/GMD-1823-15.pdf#page=2","Abrir facsímil")</f>
        <v>Abrir facsímil</v>
      </c>
      <c r="K2622" s="3" t="s">
        <v>23</v>
      </c>
    </row>
    <row r="2623" spans="1:11" ht="42" customHeight="1">
      <c r="A2623" s="2" t="s">
        <v>5420</v>
      </c>
      <c r="B2623" s="2" t="s">
        <v>5420</v>
      </c>
      <c r="C2623" s="2" t="s">
        <v>17</v>
      </c>
      <c r="D2623" s="2" t="s">
        <v>18</v>
      </c>
      <c r="E2623" s="5">
        <v>-28107</v>
      </c>
      <c r="F2623" s="3" t="s">
        <v>278</v>
      </c>
      <c r="G2623" s="3" t="s">
        <v>20</v>
      </c>
      <c r="H2623" s="2" t="s">
        <v>21</v>
      </c>
      <c r="I2623" s="2" t="s">
        <v>5431</v>
      </c>
      <c r="J2623" s="3" t="str">
        <f>HYPERLINK("https://www.boe.es/gazeta/dias/1823/01/16/pdfs/GMD-1823-16.pdf#page=4","Abrir facsímil")</f>
        <v>Abrir facsímil</v>
      </c>
      <c r="K2623" s="3" t="s">
        <v>23</v>
      </c>
    </row>
    <row r="2624" spans="1:11" ht="42" customHeight="1">
      <c r="A2624" s="2" t="s">
        <v>5420</v>
      </c>
      <c r="B2624" s="2" t="s">
        <v>5420</v>
      </c>
      <c r="C2624" s="2" t="s">
        <v>79</v>
      </c>
      <c r="D2624" s="2" t="s">
        <v>74</v>
      </c>
      <c r="E2624" s="5">
        <v>-28105</v>
      </c>
      <c r="F2624" s="3" t="s">
        <v>502</v>
      </c>
      <c r="G2624" s="3" t="s">
        <v>48</v>
      </c>
      <c r="H2624" s="2" t="s">
        <v>21</v>
      </c>
      <c r="I2624" s="2" t="s">
        <v>5432</v>
      </c>
      <c r="J2624" s="3" t="str">
        <f>HYPERLINK("https://www.boe.es/gazeta/dias/1823/01/18/pdfs/GMD-1823-18.pdf#page=3","Abrir facsímil")</f>
        <v>Abrir facsímil</v>
      </c>
      <c r="K2624" s="3" t="s">
        <v>23</v>
      </c>
    </row>
    <row r="2625" spans="1:11" ht="42" customHeight="1">
      <c r="A2625" s="2" t="s">
        <v>5420</v>
      </c>
      <c r="B2625" s="2" t="s">
        <v>5420</v>
      </c>
      <c r="C2625" s="2" t="s">
        <v>17</v>
      </c>
      <c r="D2625" s="2" t="s">
        <v>18</v>
      </c>
      <c r="E2625" s="5">
        <v>-28104</v>
      </c>
      <c r="F2625" s="3" t="s">
        <v>114</v>
      </c>
      <c r="G2625" s="3" t="s">
        <v>39</v>
      </c>
      <c r="H2625" s="2" t="s">
        <v>21</v>
      </c>
      <c r="I2625" s="2" t="s">
        <v>5433</v>
      </c>
      <c r="J2625" s="3" t="str">
        <f>HYPERLINK("https://www.boe.es/gazeta/dias/1823/01/19/pdfs/GMD-1823-19.pdf#page=1","Abrir facsímil")</f>
        <v>Abrir facsímil</v>
      </c>
      <c r="K2625" s="3" t="s">
        <v>23</v>
      </c>
    </row>
    <row r="2626" spans="1:11" ht="42" customHeight="1">
      <c r="A2626" s="2" t="s">
        <v>5420</v>
      </c>
      <c r="B2626" s="2" t="s">
        <v>5420</v>
      </c>
      <c r="C2626" s="2" t="s">
        <v>79</v>
      </c>
      <c r="D2626" s="2" t="s">
        <v>74</v>
      </c>
      <c r="E2626" s="5">
        <v>-28096</v>
      </c>
      <c r="F2626" s="3" t="s">
        <v>534</v>
      </c>
      <c r="G2626" s="3" t="s">
        <v>48</v>
      </c>
      <c r="H2626" s="2" t="s">
        <v>21</v>
      </c>
      <c r="I2626" s="2" t="s">
        <v>5434</v>
      </c>
      <c r="J2626" s="3" t="str">
        <f>HYPERLINK("https://www.boe.es/gazeta/dias/1823/01/27/pdfs/GMD-1823-28.pdf#page=3","Abrir facsímil")</f>
        <v>Abrir facsímil</v>
      </c>
      <c r="K2626" s="3" t="s">
        <v>23</v>
      </c>
    </row>
    <row r="2627" spans="1:11" ht="42" customHeight="1">
      <c r="A2627" s="2" t="s">
        <v>5420</v>
      </c>
      <c r="B2627" s="2" t="s">
        <v>5420</v>
      </c>
      <c r="C2627" s="2" t="s">
        <v>293</v>
      </c>
      <c r="D2627" s="2" t="s">
        <v>74</v>
      </c>
      <c r="E2627" s="5">
        <v>-28093</v>
      </c>
      <c r="F2627" s="3" t="s">
        <v>1044</v>
      </c>
      <c r="G2627" s="3" t="s">
        <v>27</v>
      </c>
      <c r="H2627" s="2" t="s">
        <v>21</v>
      </c>
      <c r="I2627" s="2" t="s">
        <v>5435</v>
      </c>
      <c r="J2627" s="3" t="str">
        <f>HYPERLINK("https://www.boe.es/gazeta/dias/1823/01/30/pdfs/GMD-1823-31.pdf#page=2","Abrir facsímil")</f>
        <v>Abrir facsímil</v>
      </c>
      <c r="K2627" s="3" t="s">
        <v>23</v>
      </c>
    </row>
    <row r="2628" spans="1:11" ht="42" customHeight="1">
      <c r="A2628" s="2" t="s">
        <v>5420</v>
      </c>
      <c r="B2628" s="2" t="s">
        <v>5420</v>
      </c>
      <c r="C2628" s="2" t="s">
        <v>79</v>
      </c>
      <c r="D2628" s="2" t="s">
        <v>74</v>
      </c>
      <c r="E2628" s="5">
        <v>-28088</v>
      </c>
      <c r="F2628" s="3" t="s">
        <v>542</v>
      </c>
      <c r="G2628" s="3" t="s">
        <v>20</v>
      </c>
      <c r="H2628" s="2" t="s">
        <v>21</v>
      </c>
      <c r="I2628" s="2" t="s">
        <v>5436</v>
      </c>
      <c r="J2628" s="3" t="str">
        <f>HYPERLINK("https://www.boe.es/gazeta/dias/1823/02/04/pdfs/GMD-1823-37.pdf#page=4","Abrir facsímil")</f>
        <v>Abrir facsímil</v>
      </c>
      <c r="K2628" s="3" t="s">
        <v>23</v>
      </c>
    </row>
    <row r="2629" spans="1:11" ht="42" customHeight="1">
      <c r="A2629" s="2" t="s">
        <v>5420</v>
      </c>
      <c r="B2629" s="2" t="s">
        <v>5420</v>
      </c>
      <c r="C2629" s="2" t="s">
        <v>17</v>
      </c>
      <c r="D2629" s="2" t="s">
        <v>18</v>
      </c>
      <c r="E2629" s="5">
        <v>-28086</v>
      </c>
      <c r="F2629" s="3" t="s">
        <v>289</v>
      </c>
      <c r="G2629" s="3" t="s">
        <v>48</v>
      </c>
      <c r="H2629" s="2" t="s">
        <v>21</v>
      </c>
      <c r="I2629" s="2" t="s">
        <v>5437</v>
      </c>
      <c r="J2629" s="3" t="str">
        <f>HYPERLINK("https://www.boe.es/gazeta/dias/1823/02/06/pdfs/GMD-1823-39.pdf#page=3","Abrir facsímil")</f>
        <v>Abrir facsímil</v>
      </c>
      <c r="K2629" s="3" t="s">
        <v>23</v>
      </c>
    </row>
    <row r="2630" spans="1:11" ht="42" customHeight="1">
      <c r="A2630" s="2" t="s">
        <v>5420</v>
      </c>
      <c r="B2630" s="2" t="s">
        <v>5420</v>
      </c>
      <c r="C2630" s="2" t="s">
        <v>109</v>
      </c>
      <c r="D2630" s="2" t="s">
        <v>74</v>
      </c>
      <c r="E2630" s="5">
        <v>-28085</v>
      </c>
      <c r="F2630" s="3" t="s">
        <v>458</v>
      </c>
      <c r="G2630" s="3" t="s">
        <v>48</v>
      </c>
      <c r="H2630" s="2" t="s">
        <v>21</v>
      </c>
      <c r="I2630" s="2" t="s">
        <v>5438</v>
      </c>
      <c r="J2630" s="3" t="str">
        <f>HYPERLINK("https://www.boe.es/gazeta/dias/1823/02/07/pdfs/GMD-1823-40.pdf#page=3","Abrir facsímil")</f>
        <v>Abrir facsímil</v>
      </c>
      <c r="K2630" s="3" t="s">
        <v>23</v>
      </c>
    </row>
    <row r="2631" spans="1:11" ht="42" customHeight="1">
      <c r="A2631" s="2" t="s">
        <v>5420</v>
      </c>
      <c r="B2631" s="2" t="s">
        <v>5420</v>
      </c>
      <c r="C2631" s="2" t="s">
        <v>79</v>
      </c>
      <c r="D2631" s="2" t="s">
        <v>74</v>
      </c>
      <c r="E2631" s="5">
        <v>-28085</v>
      </c>
      <c r="F2631" s="3" t="s">
        <v>458</v>
      </c>
      <c r="G2631" s="3" t="s">
        <v>34</v>
      </c>
      <c r="H2631" s="2" t="s">
        <v>21</v>
      </c>
      <c r="I2631" s="2" t="s">
        <v>5439</v>
      </c>
      <c r="J2631" s="3" t="str">
        <f>HYPERLINK("https://www.boe.es/gazeta/dias/1823/02/07/pdfs/GMD-1823-40.pdf#page=5","Abrir facsímil")</f>
        <v>Abrir facsímil</v>
      </c>
      <c r="K2631" s="3" t="s">
        <v>23</v>
      </c>
    </row>
    <row r="2632" spans="1:11" ht="42" customHeight="1">
      <c r="A2632" s="2" t="s">
        <v>5420</v>
      </c>
      <c r="B2632" s="2" t="s">
        <v>5420</v>
      </c>
      <c r="C2632" s="2" t="s">
        <v>79</v>
      </c>
      <c r="D2632" s="2" t="s">
        <v>74</v>
      </c>
      <c r="E2632" s="5">
        <v>-28083</v>
      </c>
      <c r="F2632" s="3" t="s">
        <v>291</v>
      </c>
      <c r="G2632" s="3" t="s">
        <v>39</v>
      </c>
      <c r="H2632" s="2" t="s">
        <v>21</v>
      </c>
      <c r="I2632" s="2" t="s">
        <v>5440</v>
      </c>
      <c r="J2632" s="3" t="str">
        <f>HYPERLINK("https://www.boe.es/gazeta/dias/1823/02/09/pdfs/GMD-1823-43.pdf#page=1","Abrir facsímil")</f>
        <v>Abrir facsímil</v>
      </c>
      <c r="K2632" s="3" t="s">
        <v>23</v>
      </c>
    </row>
    <row r="2633" spans="1:11" ht="42" customHeight="1">
      <c r="A2633" s="2" t="s">
        <v>5420</v>
      </c>
      <c r="B2633" s="2" t="s">
        <v>5420</v>
      </c>
      <c r="C2633" s="2" t="s">
        <v>17</v>
      </c>
      <c r="D2633" s="2" t="s">
        <v>18</v>
      </c>
      <c r="E2633" s="5">
        <v>-28080</v>
      </c>
      <c r="F2633" s="3" t="s">
        <v>1010</v>
      </c>
      <c r="G2633" s="3" t="s">
        <v>48</v>
      </c>
      <c r="H2633" s="2" t="s">
        <v>21</v>
      </c>
      <c r="I2633" s="2" t="s">
        <v>5441</v>
      </c>
      <c r="J2633" s="3" t="str">
        <f>HYPERLINK("https://www.boe.es/gazeta/dias/1823/02/12/pdfs/GMD-1823-46.pdf#page=3","Abrir facsímil")</f>
        <v>Abrir facsímil</v>
      </c>
      <c r="K2633" s="3" t="s">
        <v>23</v>
      </c>
    </row>
    <row r="2634" spans="1:11" ht="42" customHeight="1">
      <c r="A2634" s="2" t="s">
        <v>5420</v>
      </c>
      <c r="B2634" s="2" t="s">
        <v>5420</v>
      </c>
      <c r="C2634" s="2" t="s">
        <v>109</v>
      </c>
      <c r="D2634" s="2" t="s">
        <v>74</v>
      </c>
      <c r="E2634" s="5">
        <v>-28079</v>
      </c>
      <c r="F2634" s="3" t="s">
        <v>178</v>
      </c>
      <c r="G2634" s="3" t="s">
        <v>39</v>
      </c>
      <c r="H2634" s="2" t="s">
        <v>21</v>
      </c>
      <c r="I2634" s="2" t="s">
        <v>5442</v>
      </c>
      <c r="J2634" s="3" t="str">
        <f>HYPERLINK("https://www.boe.es/gazeta/dias/1823/02/13/pdfs/GMD-1823-47.pdf#page=1","Abrir facsímil")</f>
        <v>Abrir facsímil</v>
      </c>
      <c r="K2634" s="3" t="s">
        <v>23</v>
      </c>
    </row>
    <row r="2635" spans="1:11" ht="42" customHeight="1">
      <c r="A2635" s="2" t="s">
        <v>5420</v>
      </c>
      <c r="B2635" s="2" t="s">
        <v>5420</v>
      </c>
      <c r="C2635" s="2" t="s">
        <v>79</v>
      </c>
      <c r="D2635" s="2" t="s">
        <v>74</v>
      </c>
      <c r="E2635" s="5">
        <v>-28079</v>
      </c>
      <c r="F2635" s="3" t="s">
        <v>178</v>
      </c>
      <c r="G2635" s="3" t="s">
        <v>27</v>
      </c>
      <c r="H2635" s="2" t="s">
        <v>21</v>
      </c>
      <c r="I2635" s="2" t="s">
        <v>5443</v>
      </c>
      <c r="J2635" s="3" t="str">
        <f>HYPERLINK("https://www.boe.es/gazeta/dias/1823/02/13/pdfs/GMD-1823-47.pdf#page=2","Abrir facsímil")</f>
        <v>Abrir facsímil</v>
      </c>
      <c r="K2635" s="3" t="s">
        <v>23</v>
      </c>
    </row>
    <row r="2636" spans="1:11" ht="42" customHeight="1">
      <c r="A2636" s="2" t="s">
        <v>5420</v>
      </c>
      <c r="B2636" s="2" t="s">
        <v>5420</v>
      </c>
      <c r="C2636" s="2" t="s">
        <v>109</v>
      </c>
      <c r="D2636" s="2" t="s">
        <v>74</v>
      </c>
      <c r="E2636" s="5">
        <v>-28077</v>
      </c>
      <c r="F2636" s="3" t="s">
        <v>536</v>
      </c>
      <c r="G2636" s="3" t="s">
        <v>39</v>
      </c>
      <c r="H2636" s="2" t="s">
        <v>21</v>
      </c>
      <c r="I2636" s="2" t="s">
        <v>5444</v>
      </c>
      <c r="J2636" s="3" t="str">
        <f>HYPERLINK("https://www.boe.es/gazeta/dias/1823/02/15/pdfs/GMD-1823-49.pdf#page=1","Abrir facsímil")</f>
        <v>Abrir facsímil</v>
      </c>
      <c r="K2636" s="3" t="s">
        <v>23</v>
      </c>
    </row>
    <row r="2637" spans="1:11" ht="42" customHeight="1">
      <c r="A2637" s="2" t="s">
        <v>5420</v>
      </c>
      <c r="B2637" s="2" t="s">
        <v>5420</v>
      </c>
      <c r="C2637" s="2" t="s">
        <v>56</v>
      </c>
      <c r="D2637" s="2" t="s">
        <v>57</v>
      </c>
      <c r="E2637" s="5">
        <v>-28077</v>
      </c>
      <c r="F2637" s="3" t="s">
        <v>536</v>
      </c>
      <c r="G2637" s="3" t="s">
        <v>34</v>
      </c>
      <c r="H2637" s="2" t="s">
        <v>21</v>
      </c>
      <c r="I2637" s="2" t="s">
        <v>5445</v>
      </c>
      <c r="J2637" s="3" t="str">
        <f>HYPERLINK("https://www.boe.es/gazeta/dias/1823/02/15/pdfs/GMD-1823-49.pdf#page=5","Abrir facsímil")</f>
        <v>Abrir facsímil</v>
      </c>
      <c r="K2637" s="3" t="s">
        <v>23</v>
      </c>
    </row>
    <row r="2638" spans="1:11" ht="42" customHeight="1">
      <c r="A2638" s="2" t="s">
        <v>5420</v>
      </c>
      <c r="B2638" s="2" t="s">
        <v>5420</v>
      </c>
      <c r="C2638" s="2" t="s">
        <v>17</v>
      </c>
      <c r="D2638" s="2" t="s">
        <v>18</v>
      </c>
      <c r="E2638" s="5">
        <v>-28076</v>
      </c>
      <c r="F2638" s="3" t="s">
        <v>1638</v>
      </c>
      <c r="G2638" s="3" t="s">
        <v>20</v>
      </c>
      <c r="H2638" s="2" t="s">
        <v>21</v>
      </c>
      <c r="I2638" s="2" t="s">
        <v>5446</v>
      </c>
      <c r="J2638" s="3" t="str">
        <f>HYPERLINK("https://www.boe.es/gazeta/dias/1823/02/16/pdfs/GMD-1823-50.pdf#page=4","Abrir facsímil")</f>
        <v>Abrir facsímil</v>
      </c>
      <c r="K2638" s="3" t="s">
        <v>23</v>
      </c>
    </row>
    <row r="2639" spans="1:11" ht="42" customHeight="1">
      <c r="A2639" s="2" t="s">
        <v>5420</v>
      </c>
      <c r="B2639" s="2" t="s">
        <v>5420</v>
      </c>
      <c r="C2639" s="2" t="s">
        <v>17</v>
      </c>
      <c r="D2639" s="2" t="s">
        <v>18</v>
      </c>
      <c r="E2639" s="5">
        <v>-28071</v>
      </c>
      <c r="F2639" s="3" t="s">
        <v>587</v>
      </c>
      <c r="G2639" s="3" t="s">
        <v>27</v>
      </c>
      <c r="H2639" s="2" t="s">
        <v>21</v>
      </c>
      <c r="I2639" s="2" t="s">
        <v>5447</v>
      </c>
      <c r="J2639" s="3" t="str">
        <f>HYPERLINK("https://www.boe.es/gazeta/dias/1823/02/21/pdfs/GMD-1823-55.pdf#page=2","Abrir facsímil")</f>
        <v>Abrir facsímil</v>
      </c>
      <c r="K2639" s="3" t="s">
        <v>23</v>
      </c>
    </row>
    <row r="2640" spans="1:11" ht="42" customHeight="1">
      <c r="A2640" s="2" t="s">
        <v>5420</v>
      </c>
      <c r="B2640" s="2" t="s">
        <v>5420</v>
      </c>
      <c r="C2640" s="2" t="s">
        <v>79</v>
      </c>
      <c r="D2640" s="2" t="s">
        <v>74</v>
      </c>
      <c r="E2640" s="5">
        <v>-28062</v>
      </c>
      <c r="F2640" s="3" t="s">
        <v>1357</v>
      </c>
      <c r="G2640" s="3" t="s">
        <v>48</v>
      </c>
      <c r="H2640" s="2" t="s">
        <v>21</v>
      </c>
      <c r="I2640" s="2" t="s">
        <v>5448</v>
      </c>
      <c r="J2640" s="3" t="str">
        <f>HYPERLINK("https://www.boe.es/gazeta/dias/1823/03/02/pdfs/GMD-1823-65.pdf#page=3","Abrir facsímil")</f>
        <v>Abrir facsímil</v>
      </c>
      <c r="K2640" s="3" t="s">
        <v>23</v>
      </c>
    </row>
    <row r="2641" spans="1:11" ht="42" customHeight="1">
      <c r="A2641" s="2" t="s">
        <v>5420</v>
      </c>
      <c r="B2641" s="2" t="s">
        <v>5420</v>
      </c>
      <c r="C2641" s="2" t="s">
        <v>79</v>
      </c>
      <c r="D2641" s="2" t="s">
        <v>74</v>
      </c>
      <c r="E2641" s="5">
        <v>-28061</v>
      </c>
      <c r="F2641" s="3" t="s">
        <v>704</v>
      </c>
      <c r="G2641" s="3" t="s">
        <v>39</v>
      </c>
      <c r="H2641" s="2" t="s">
        <v>21</v>
      </c>
      <c r="I2641" s="2" t="s">
        <v>5449</v>
      </c>
      <c r="J2641" s="3" t="str">
        <f>HYPERLINK("https://www.boe.es/gazeta/dias/1823/03/03/pdfs/GMD-1823-66.pdf#page=1","Abrir facsímil")</f>
        <v>Abrir facsímil</v>
      </c>
      <c r="K2641" s="3" t="s">
        <v>23</v>
      </c>
    </row>
    <row r="2642" spans="1:11" ht="42" customHeight="1">
      <c r="A2642" s="2" t="s">
        <v>5420</v>
      </c>
      <c r="B2642" s="2" t="s">
        <v>5420</v>
      </c>
      <c r="C2642" s="2" t="s">
        <v>109</v>
      </c>
      <c r="D2642" s="2" t="s">
        <v>74</v>
      </c>
      <c r="E2642" s="5">
        <v>-28060</v>
      </c>
      <c r="F2642" s="3" t="s">
        <v>180</v>
      </c>
      <c r="G2642" s="3" t="s">
        <v>181</v>
      </c>
      <c r="H2642" s="2" t="s">
        <v>21</v>
      </c>
      <c r="I2642" s="2" t="s">
        <v>5450</v>
      </c>
      <c r="J2642" s="3" t="str">
        <f>HYPERLINK("https://www.boe.es/gazeta/dias/1823/03/04/pdfs/GMD-1823-67.pdf#page=6","Abrir facsímil")</f>
        <v>Abrir facsímil</v>
      </c>
      <c r="K2642" s="3" t="s">
        <v>23</v>
      </c>
    </row>
    <row r="2643" spans="1:11" ht="42" customHeight="1">
      <c r="A2643" s="2" t="s">
        <v>5420</v>
      </c>
      <c r="B2643" s="2" t="s">
        <v>5420</v>
      </c>
      <c r="C2643" s="2" t="s">
        <v>109</v>
      </c>
      <c r="D2643" s="2" t="s">
        <v>74</v>
      </c>
      <c r="E2643" s="5">
        <v>-28056</v>
      </c>
      <c r="F2643" s="3" t="s">
        <v>572</v>
      </c>
      <c r="G2643" s="3" t="s">
        <v>20</v>
      </c>
      <c r="H2643" s="2" t="s">
        <v>21</v>
      </c>
      <c r="I2643" s="2" t="s">
        <v>5451</v>
      </c>
      <c r="J2643" s="3" t="str">
        <f>HYPERLINK("https://www.boe.es/gazeta/dias/1823/03/08/pdfs/GMD-1823-71.pdf#page=4","Abrir facsímil")</f>
        <v>Abrir facsímil</v>
      </c>
      <c r="K2643" s="3" t="s">
        <v>23</v>
      </c>
    </row>
    <row r="2644" spans="1:11" ht="42" customHeight="1">
      <c r="A2644" s="2" t="s">
        <v>5420</v>
      </c>
      <c r="B2644" s="2" t="s">
        <v>5420</v>
      </c>
      <c r="C2644" s="2" t="s">
        <v>79</v>
      </c>
      <c r="D2644" s="2" t="s">
        <v>74</v>
      </c>
      <c r="E2644" s="5">
        <v>-28056</v>
      </c>
      <c r="F2644" s="3" t="s">
        <v>572</v>
      </c>
      <c r="G2644" s="3" t="s">
        <v>34</v>
      </c>
      <c r="H2644" s="2" t="s">
        <v>21</v>
      </c>
      <c r="I2644" s="2" t="s">
        <v>5452</v>
      </c>
      <c r="J2644" s="3" t="str">
        <f>HYPERLINK("https://www.boe.es/gazeta/dias/1823/03/08/pdfs/GMD-1823-71.pdf#page=5","Abrir facsímil")</f>
        <v>Abrir facsímil</v>
      </c>
      <c r="K2644" s="3" t="s">
        <v>23</v>
      </c>
    </row>
    <row r="2645" spans="1:11" ht="42" customHeight="1">
      <c r="A2645" s="2" t="s">
        <v>5420</v>
      </c>
      <c r="B2645" s="2" t="s">
        <v>5420</v>
      </c>
      <c r="C2645" s="2" t="s">
        <v>56</v>
      </c>
      <c r="D2645" s="2" t="s">
        <v>57</v>
      </c>
      <c r="E2645" s="5">
        <v>-28054</v>
      </c>
      <c r="F2645" s="3" t="s">
        <v>1292</v>
      </c>
      <c r="G2645" s="3" t="s">
        <v>27</v>
      </c>
      <c r="H2645" s="2" t="s">
        <v>21</v>
      </c>
      <c r="I2645" s="2" t="s">
        <v>5453</v>
      </c>
      <c r="J2645" s="3" t="str">
        <f>HYPERLINK("https://www.boe.es/gazeta/dias/1823/03/10/pdfs/GMD-1823-73.pdf#page=2","Abrir facsímil")</f>
        <v>Abrir facsímil</v>
      </c>
      <c r="K2645" s="3" t="s">
        <v>23</v>
      </c>
    </row>
    <row r="2646" spans="1:11" ht="42" customHeight="1">
      <c r="A2646" s="2" t="s">
        <v>5420</v>
      </c>
      <c r="B2646" s="2" t="s">
        <v>5420</v>
      </c>
      <c r="C2646" s="2" t="s">
        <v>17</v>
      </c>
      <c r="D2646" s="2" t="s">
        <v>18</v>
      </c>
      <c r="E2646" s="5">
        <v>-28054</v>
      </c>
      <c r="F2646" s="3" t="s">
        <v>1292</v>
      </c>
      <c r="G2646" s="3" t="s">
        <v>48</v>
      </c>
      <c r="H2646" s="2" t="s">
        <v>21</v>
      </c>
      <c r="I2646" s="2" t="s">
        <v>5454</v>
      </c>
      <c r="J2646" s="3" t="str">
        <f>HYPERLINK("https://www.boe.es/gazeta/dias/1823/03/10/pdfs/GMD-1823-73.pdf#page=3","Abrir facsímil")</f>
        <v>Abrir facsímil</v>
      </c>
      <c r="K2646" s="3" t="s">
        <v>23</v>
      </c>
    </row>
    <row r="2647" spans="1:11" ht="42" customHeight="1">
      <c r="A2647" s="2" t="s">
        <v>5420</v>
      </c>
      <c r="B2647" s="2" t="s">
        <v>5420</v>
      </c>
      <c r="C2647" s="2" t="s">
        <v>84</v>
      </c>
      <c r="D2647" s="2" t="s">
        <v>74</v>
      </c>
      <c r="E2647" s="5">
        <v>-28052</v>
      </c>
      <c r="F2647" s="3" t="s">
        <v>1025</v>
      </c>
      <c r="G2647" s="3" t="s">
        <v>34</v>
      </c>
      <c r="H2647" s="2" t="s">
        <v>21</v>
      </c>
      <c r="I2647" s="2" t="s">
        <v>5455</v>
      </c>
      <c r="J2647" s="3" t="str">
        <f>HYPERLINK("https://www.boe.es/gazeta/dias/1823/03/12/pdfs/GMD-1823-75.pdf#page=5","Abrir facsímil")</f>
        <v>Abrir facsímil</v>
      </c>
      <c r="K2647" s="3" t="s">
        <v>23</v>
      </c>
    </row>
    <row r="2648" spans="1:11" ht="42" customHeight="1">
      <c r="A2648" s="2" t="s">
        <v>5420</v>
      </c>
      <c r="B2648" s="2" t="s">
        <v>5420</v>
      </c>
      <c r="C2648" s="2" t="s">
        <v>56</v>
      </c>
      <c r="D2648" s="2" t="s">
        <v>57</v>
      </c>
      <c r="E2648" s="5">
        <v>-28050</v>
      </c>
      <c r="F2648" s="3" t="s">
        <v>473</v>
      </c>
      <c r="G2648" s="3" t="s">
        <v>48</v>
      </c>
      <c r="H2648" s="2" t="s">
        <v>21</v>
      </c>
      <c r="I2648" s="2" t="s">
        <v>5456</v>
      </c>
      <c r="J2648" s="3" t="str">
        <f>HYPERLINK("https://www.boe.es/gazeta/dias/1823/03/14/pdfs/GMD-1823-77.pdf#page=3","Abrir facsímil")</f>
        <v>Abrir facsímil</v>
      </c>
      <c r="K2648" s="3" t="s">
        <v>23</v>
      </c>
    </row>
    <row r="2649" spans="1:11" ht="42" customHeight="1">
      <c r="A2649" s="2" t="s">
        <v>5420</v>
      </c>
      <c r="B2649" s="2" t="s">
        <v>5420</v>
      </c>
      <c r="C2649" s="2" t="s">
        <v>79</v>
      </c>
      <c r="D2649" s="2" t="s">
        <v>74</v>
      </c>
      <c r="E2649" s="5">
        <v>-28050</v>
      </c>
      <c r="F2649" s="3" t="s">
        <v>473</v>
      </c>
      <c r="G2649" s="3" t="s">
        <v>20</v>
      </c>
      <c r="H2649" s="2" t="s">
        <v>21</v>
      </c>
      <c r="I2649" s="2" t="s">
        <v>5457</v>
      </c>
      <c r="J2649" s="3" t="str">
        <f>HYPERLINK("https://www.boe.es/gazeta/dias/1823/03/14/pdfs/GMD-1823-77.pdf#page=4","Abrir facsímil")</f>
        <v>Abrir facsímil</v>
      </c>
      <c r="K2649" s="3" t="s">
        <v>23</v>
      </c>
    </row>
    <row r="2650" spans="1:11" ht="42" customHeight="1">
      <c r="A2650" s="2" t="s">
        <v>5420</v>
      </c>
      <c r="B2650" s="2" t="s">
        <v>5420</v>
      </c>
      <c r="C2650" s="2" t="s">
        <v>17</v>
      </c>
      <c r="D2650" s="2" t="s">
        <v>18</v>
      </c>
      <c r="E2650" s="5">
        <v>-28050</v>
      </c>
      <c r="F2650" s="3" t="s">
        <v>473</v>
      </c>
      <c r="G2650" s="3" t="s">
        <v>34</v>
      </c>
      <c r="H2650" s="2" t="s">
        <v>21</v>
      </c>
      <c r="I2650" s="2" t="s">
        <v>5458</v>
      </c>
      <c r="J2650" s="3" t="str">
        <f>HYPERLINK("https://www.boe.es/gazeta/dias/1823/03/14/pdfs/GMD-1823-77.pdf#page=5","Abrir facsímil")</f>
        <v>Abrir facsímil</v>
      </c>
      <c r="K2650" s="3" t="s">
        <v>23</v>
      </c>
    </row>
    <row r="2651" spans="1:11" ht="42" customHeight="1">
      <c r="A2651" s="2" t="s">
        <v>5420</v>
      </c>
      <c r="B2651" s="2" t="s">
        <v>5420</v>
      </c>
      <c r="C2651" s="2" t="s">
        <v>56</v>
      </c>
      <c r="D2651" s="2" t="s">
        <v>57</v>
      </c>
      <c r="E2651" s="5">
        <v>-28042</v>
      </c>
      <c r="F2651" s="3" t="s">
        <v>1218</v>
      </c>
      <c r="G2651" s="3" t="s">
        <v>48</v>
      </c>
      <c r="H2651" s="2" t="s">
        <v>21</v>
      </c>
      <c r="I2651" s="2" t="s">
        <v>5459</v>
      </c>
      <c r="J2651" s="3" t="str">
        <f>HYPERLINK("https://www.boe.es/gazeta/dias/1823/03/22/pdfs/GMD-1823-85.pdf#page=3","Abrir facsímil")</f>
        <v>Abrir facsímil</v>
      </c>
      <c r="K2651" s="3" t="s">
        <v>23</v>
      </c>
    </row>
    <row r="2652" spans="1:11" ht="42" customHeight="1">
      <c r="A2652" s="2" t="s">
        <v>5420</v>
      </c>
      <c r="B2652" s="2" t="s">
        <v>5420</v>
      </c>
      <c r="C2652" s="2" t="s">
        <v>79</v>
      </c>
      <c r="D2652" s="2" t="s">
        <v>74</v>
      </c>
      <c r="E2652" s="5">
        <v>-28007</v>
      </c>
      <c r="F2652" s="3" t="s">
        <v>311</v>
      </c>
      <c r="G2652" s="3" t="s">
        <v>27</v>
      </c>
      <c r="H2652" s="2" t="s">
        <v>21</v>
      </c>
      <c r="I2652" s="2" t="s">
        <v>5460</v>
      </c>
      <c r="J2652" s="3" t="str">
        <f>HYPERLINK("https://www.boe.es/gazeta/dias/1823/04/26/pdfs/GES-1823-16.pdf#page=2","Abrir facsímil")</f>
        <v>Abrir facsímil</v>
      </c>
      <c r="K2652" s="3" t="s">
        <v>23</v>
      </c>
    </row>
    <row r="2653" spans="1:11" ht="42" customHeight="1">
      <c r="A2653" s="2" t="s">
        <v>5420</v>
      </c>
      <c r="B2653" s="2" t="s">
        <v>5420</v>
      </c>
      <c r="C2653" s="2" t="s">
        <v>56</v>
      </c>
      <c r="D2653" s="2" t="s">
        <v>57</v>
      </c>
      <c r="E2653" s="5">
        <v>-28004</v>
      </c>
      <c r="F2653" s="3" t="s">
        <v>33</v>
      </c>
      <c r="G2653" s="3" t="s">
        <v>27</v>
      </c>
      <c r="H2653" s="2" t="s">
        <v>21</v>
      </c>
      <c r="I2653" s="2" t="s">
        <v>5461</v>
      </c>
      <c r="J2653" s="3" t="str">
        <f>HYPERLINK("https://www.boe.es/gazeta/dias/1823/04/29/pdfs/GES-1823-19.pdf#page=2","Abrir facsímil")</f>
        <v>Abrir facsímil</v>
      </c>
      <c r="K2653" s="3" t="s">
        <v>23</v>
      </c>
    </row>
    <row r="2654" spans="1:11" ht="42" customHeight="1">
      <c r="A2654" s="2" t="s">
        <v>5420</v>
      </c>
      <c r="B2654" s="2" t="s">
        <v>5420</v>
      </c>
      <c r="C2654" s="2" t="s">
        <v>17</v>
      </c>
      <c r="D2654" s="2" t="s">
        <v>18</v>
      </c>
      <c r="E2654" s="5">
        <v>-28003</v>
      </c>
      <c r="F2654" s="3" t="s">
        <v>26</v>
      </c>
      <c r="G2654" s="3" t="s">
        <v>20</v>
      </c>
      <c r="H2654" s="2" t="s">
        <v>21</v>
      </c>
      <c r="I2654" s="2" t="s">
        <v>5462</v>
      </c>
      <c r="J2654" s="3" t="str">
        <f>HYPERLINK("https://www.boe.es/gazeta/dias/1823/04/30/pdfs/GES-1823-20.pdf#page=4","Abrir facsímil")</f>
        <v>Abrir facsímil</v>
      </c>
      <c r="K2654" s="3" t="s">
        <v>23</v>
      </c>
    </row>
    <row r="2655" spans="1:11" ht="42" customHeight="1">
      <c r="A2655" s="2" t="s">
        <v>5420</v>
      </c>
      <c r="B2655" s="2" t="s">
        <v>5420</v>
      </c>
      <c r="C2655" s="2" t="s">
        <v>79</v>
      </c>
      <c r="D2655" s="2" t="s">
        <v>74</v>
      </c>
      <c r="E2655" s="5">
        <v>-28003</v>
      </c>
      <c r="F2655" s="3" t="s">
        <v>26</v>
      </c>
      <c r="G2655" s="3" t="s">
        <v>34</v>
      </c>
      <c r="H2655" s="2" t="s">
        <v>21</v>
      </c>
      <c r="I2655" s="2" t="s">
        <v>5463</v>
      </c>
      <c r="J2655" s="3" t="str">
        <f>HYPERLINK("https://www.boe.es/gazeta/dias/1823/04/30/pdfs/GES-1823-20.pdf#page=5","Abrir facsímil")</f>
        <v>Abrir facsímil</v>
      </c>
      <c r="K2655" s="3" t="s">
        <v>23</v>
      </c>
    </row>
    <row r="2656" spans="1:11" ht="42" customHeight="1">
      <c r="A2656" s="2" t="s">
        <v>5420</v>
      </c>
      <c r="B2656" s="2" t="s">
        <v>5420</v>
      </c>
      <c r="C2656" s="2" t="s">
        <v>79</v>
      </c>
      <c r="D2656" s="2" t="s">
        <v>74</v>
      </c>
      <c r="E2656" s="5">
        <v>-28000</v>
      </c>
      <c r="F2656" s="3" t="s">
        <v>138</v>
      </c>
      <c r="G2656" s="3" t="s">
        <v>27</v>
      </c>
      <c r="H2656" s="2" t="s">
        <v>21</v>
      </c>
      <c r="I2656" s="2" t="s">
        <v>5464</v>
      </c>
      <c r="J2656" s="3" t="str">
        <f>HYPERLINK("https://www.boe.es/gazeta/dias/1823/05/03/pdfs/GMD-1823-92.pdf#page=2","Abrir facsímil")</f>
        <v>Abrir facsímil</v>
      </c>
      <c r="K2656" s="3" t="s">
        <v>23</v>
      </c>
    </row>
    <row r="2657" spans="1:11" ht="42" customHeight="1">
      <c r="A2657" s="2" t="s">
        <v>5420</v>
      </c>
      <c r="B2657" s="2" t="s">
        <v>5420</v>
      </c>
      <c r="C2657" s="2" t="s">
        <v>56</v>
      </c>
      <c r="D2657" s="2" t="s">
        <v>57</v>
      </c>
      <c r="E2657" s="5">
        <v>-27997</v>
      </c>
      <c r="F2657" s="3" t="s">
        <v>937</v>
      </c>
      <c r="G2657" s="3" t="s">
        <v>48</v>
      </c>
      <c r="H2657" s="2" t="s">
        <v>21</v>
      </c>
      <c r="I2657" s="2" t="s">
        <v>5465</v>
      </c>
      <c r="J2657" s="3" t="str">
        <f>HYPERLINK("https://www.boe.es/gazeta/dias/1823/05/06/pdfs/GMD-1823-102.pdf#page=3","Abrir facsímil")</f>
        <v>Abrir facsímil</v>
      </c>
      <c r="K2657" s="3" t="s">
        <v>23</v>
      </c>
    </row>
    <row r="2658" spans="1:11" ht="42" customHeight="1">
      <c r="A2658" s="2" t="s">
        <v>5420</v>
      </c>
      <c r="B2658" s="2" t="s">
        <v>5420</v>
      </c>
      <c r="C2658" s="2" t="s">
        <v>17</v>
      </c>
      <c r="D2658" s="2" t="s">
        <v>18</v>
      </c>
      <c r="E2658" s="5">
        <v>-27990</v>
      </c>
      <c r="F2658" s="3" t="s">
        <v>1132</v>
      </c>
      <c r="G2658" s="3" t="s">
        <v>39</v>
      </c>
      <c r="H2658" s="2" t="s">
        <v>21</v>
      </c>
      <c r="I2658" s="2" t="s">
        <v>5466</v>
      </c>
      <c r="J2658" s="3" t="str">
        <f>HYPERLINK("https://www.boe.es/gazeta/dias/1823/05/13/pdfs/GES-1823-33.pdf#page=1","Abrir facsímil")</f>
        <v>Abrir facsímil</v>
      </c>
      <c r="K2658" s="3" t="s">
        <v>23</v>
      </c>
    </row>
    <row r="2659" spans="1:11" ht="42" customHeight="1">
      <c r="A2659" s="2" t="s">
        <v>5420</v>
      </c>
      <c r="B2659" s="2" t="s">
        <v>5420</v>
      </c>
      <c r="C2659" s="2" t="s">
        <v>17</v>
      </c>
      <c r="D2659" s="2" t="s">
        <v>18</v>
      </c>
      <c r="E2659" s="5">
        <v>-27987</v>
      </c>
      <c r="F2659" s="3" t="s">
        <v>332</v>
      </c>
      <c r="G2659" s="3" t="s">
        <v>20</v>
      </c>
      <c r="H2659" s="2" t="s">
        <v>21</v>
      </c>
      <c r="I2659" s="2" t="s">
        <v>5467</v>
      </c>
      <c r="J2659" s="3" t="str">
        <f>HYPERLINK("https://www.boe.es/gazeta/dias/1823/05/16/pdfs/GES-1823-36.pdf#page=4","Abrir facsímil")</f>
        <v>Abrir facsímil</v>
      </c>
      <c r="K2659" s="3" t="s">
        <v>23</v>
      </c>
    </row>
    <row r="2660" spans="1:11" ht="42" customHeight="1">
      <c r="A2660" s="2" t="s">
        <v>5420</v>
      </c>
      <c r="B2660" s="2" t="s">
        <v>5420</v>
      </c>
      <c r="C2660" s="2" t="s">
        <v>109</v>
      </c>
      <c r="D2660" s="2" t="s">
        <v>74</v>
      </c>
      <c r="E2660" s="5">
        <v>-27984</v>
      </c>
      <c r="F2660" s="3" t="s">
        <v>335</v>
      </c>
      <c r="G2660" s="3" t="s">
        <v>48</v>
      </c>
      <c r="H2660" s="2" t="s">
        <v>21</v>
      </c>
      <c r="I2660" s="2" t="s">
        <v>5468</v>
      </c>
      <c r="J2660" s="3" t="str">
        <f>HYPERLINK("https://www.boe.es/gazeta/dias/1823/05/19/pdfs/GES-1823-39.pdf#page=3","Abrir facsímil")</f>
        <v>Abrir facsímil</v>
      </c>
      <c r="K2660" s="3" t="s">
        <v>23</v>
      </c>
    </row>
    <row r="2661" spans="1:11" ht="42" customHeight="1">
      <c r="A2661" s="2" t="s">
        <v>5420</v>
      </c>
      <c r="B2661" s="2" t="s">
        <v>5420</v>
      </c>
      <c r="C2661" s="2" t="s">
        <v>79</v>
      </c>
      <c r="D2661" s="2" t="s">
        <v>74</v>
      </c>
      <c r="E2661" s="5">
        <v>-27984</v>
      </c>
      <c r="F2661" s="3" t="s">
        <v>335</v>
      </c>
      <c r="G2661" s="3" t="s">
        <v>59</v>
      </c>
      <c r="H2661" s="2" t="s">
        <v>21</v>
      </c>
      <c r="I2661" s="2" t="s">
        <v>5469</v>
      </c>
      <c r="J2661" s="3" t="str">
        <f>HYPERLINK("https://www.boe.es/gazeta/dias/1823/05/19/pdfs/GES-1823-39.pdf#page=6","Abrir facsímil")</f>
        <v>Abrir facsímil</v>
      </c>
      <c r="K2661" s="3" t="s">
        <v>23</v>
      </c>
    </row>
    <row r="2662" spans="1:11" ht="42" customHeight="1">
      <c r="A2662" s="2" t="s">
        <v>5420</v>
      </c>
      <c r="B2662" s="2" t="s">
        <v>5420</v>
      </c>
      <c r="C2662" s="2" t="s">
        <v>56</v>
      </c>
      <c r="D2662" s="2" t="s">
        <v>57</v>
      </c>
      <c r="E2662" s="5">
        <v>-27983</v>
      </c>
      <c r="F2662" s="3" t="s">
        <v>337</v>
      </c>
      <c r="G2662" s="3" t="s">
        <v>20</v>
      </c>
      <c r="H2662" s="2" t="s">
        <v>21</v>
      </c>
      <c r="I2662" s="2" t="s">
        <v>5470</v>
      </c>
      <c r="J2662" s="3" t="str">
        <f>HYPERLINK("https://www.boe.es/gazeta/dias/1823/05/20/pdfs/GES-1823-40.pdf#page=4","Abrir facsímil")</f>
        <v>Abrir facsímil</v>
      </c>
      <c r="K2662" s="3" t="s">
        <v>23</v>
      </c>
    </row>
    <row r="2663" spans="1:11" ht="42" customHeight="1">
      <c r="A2663" s="2" t="s">
        <v>5420</v>
      </c>
      <c r="B2663" s="2" t="s">
        <v>5420</v>
      </c>
      <c r="C2663" s="2" t="s">
        <v>17</v>
      </c>
      <c r="D2663" s="2" t="s">
        <v>18</v>
      </c>
      <c r="E2663" s="5">
        <v>-27982</v>
      </c>
      <c r="F2663" s="3" t="s">
        <v>340</v>
      </c>
      <c r="G2663" s="3" t="s">
        <v>27</v>
      </c>
      <c r="H2663" s="2" t="s">
        <v>21</v>
      </c>
      <c r="I2663" s="2" t="s">
        <v>5471</v>
      </c>
      <c r="J2663" s="3" t="str">
        <f>HYPERLINK("https://www.boe.es/gazeta/dias/1823/05/21/pdfs/GES-1823-42.pdf#page=2","Abrir facsímil")</f>
        <v>Abrir facsímil</v>
      </c>
      <c r="K2663" s="3" t="s">
        <v>23</v>
      </c>
    </row>
    <row r="2664" spans="1:11" ht="42" customHeight="1">
      <c r="A2664" s="2" t="s">
        <v>5420</v>
      </c>
      <c r="B2664" s="2" t="s">
        <v>5420</v>
      </c>
      <c r="C2664" s="2" t="s">
        <v>109</v>
      </c>
      <c r="D2664" s="2" t="s">
        <v>74</v>
      </c>
      <c r="E2664" s="5">
        <v>-27979</v>
      </c>
      <c r="F2664" s="3" t="s">
        <v>1071</v>
      </c>
      <c r="G2664" s="3" t="s">
        <v>27</v>
      </c>
      <c r="H2664" s="2" t="s">
        <v>21</v>
      </c>
      <c r="I2664" s="2" t="s">
        <v>5472</v>
      </c>
      <c r="J2664" s="3" t="str">
        <f>HYPERLINK("https://www.boe.es/gazeta/dias/1823/05/24/pdfs/GES-1823-45.pdf#page=2","Abrir facsímil")</f>
        <v>Abrir facsímil</v>
      </c>
      <c r="K2664" s="3" t="s">
        <v>23</v>
      </c>
    </row>
    <row r="2665" spans="1:11" ht="42" customHeight="1">
      <c r="A2665" s="2" t="s">
        <v>5420</v>
      </c>
      <c r="B2665" s="2" t="s">
        <v>5420</v>
      </c>
      <c r="C2665" s="2" t="s">
        <v>79</v>
      </c>
      <c r="D2665" s="2" t="s">
        <v>74</v>
      </c>
      <c r="E2665" s="5">
        <v>-27976</v>
      </c>
      <c r="F2665" s="3" t="s">
        <v>1156</v>
      </c>
      <c r="G2665" s="3" t="s">
        <v>39</v>
      </c>
      <c r="H2665" s="2" t="s">
        <v>21</v>
      </c>
      <c r="I2665" s="2" t="s">
        <v>5473</v>
      </c>
      <c r="J2665" s="3" t="str">
        <f>HYPERLINK("https://www.boe.es/gazeta/dias/1823/05/27/pdfs/GES-1823-49.pdf#page=1","Abrir facsímil")</f>
        <v>Abrir facsímil</v>
      </c>
      <c r="K2665" s="3" t="s">
        <v>23</v>
      </c>
    </row>
    <row r="2666" spans="1:11" ht="42" customHeight="1">
      <c r="A2666" s="2" t="s">
        <v>5420</v>
      </c>
      <c r="B2666" s="2" t="s">
        <v>5420</v>
      </c>
      <c r="C2666" s="2" t="s">
        <v>17</v>
      </c>
      <c r="D2666" s="2" t="s">
        <v>18</v>
      </c>
      <c r="E2666" s="5">
        <v>-27972</v>
      </c>
      <c r="F2666" s="3" t="s">
        <v>429</v>
      </c>
      <c r="G2666" s="3" t="s">
        <v>27</v>
      </c>
      <c r="H2666" s="2" t="s">
        <v>21</v>
      </c>
      <c r="I2666" s="2" t="s">
        <v>5474</v>
      </c>
      <c r="J2666" s="3" t="str">
        <f>HYPERLINK("https://www.boe.es/gazeta/dias/1823/05/31/pdfs/GES-1823-54.pdf#page=2","Abrir facsímil")</f>
        <v>Abrir facsímil</v>
      </c>
      <c r="K2666" s="3" t="s">
        <v>23</v>
      </c>
    </row>
    <row r="2667" spans="1:11" ht="42" customHeight="1">
      <c r="A2667" s="2" t="s">
        <v>5420</v>
      </c>
      <c r="B2667" s="2" t="s">
        <v>5420</v>
      </c>
      <c r="C2667" s="2" t="s">
        <v>17</v>
      </c>
      <c r="D2667" s="2" t="s">
        <v>18</v>
      </c>
      <c r="E2667" s="5">
        <v>-27967</v>
      </c>
      <c r="F2667" s="3" t="s">
        <v>412</v>
      </c>
      <c r="G2667" s="3" t="s">
        <v>20</v>
      </c>
      <c r="H2667" s="2" t="s">
        <v>21</v>
      </c>
      <c r="I2667" s="2" t="s">
        <v>5475</v>
      </c>
      <c r="J2667" s="3" t="str">
        <f>HYPERLINK("https://www.boe.es/gazeta/dias/1823/06/05/pdfs/GES-1823-59.pdf#page=4","Abrir facsímil")</f>
        <v>Abrir facsímil</v>
      </c>
      <c r="K2667" s="3" t="s">
        <v>23</v>
      </c>
    </row>
    <row r="2668" spans="1:11" ht="42" customHeight="1">
      <c r="A2668" s="2" t="s">
        <v>5420</v>
      </c>
      <c r="B2668" s="2" t="s">
        <v>5420</v>
      </c>
      <c r="C2668" s="2" t="s">
        <v>79</v>
      </c>
      <c r="D2668" s="2" t="s">
        <v>74</v>
      </c>
      <c r="E2668" s="5">
        <v>-27960</v>
      </c>
      <c r="F2668" s="3" t="s">
        <v>741</v>
      </c>
      <c r="G2668" s="3" t="s">
        <v>34</v>
      </c>
      <c r="H2668" s="2" t="s">
        <v>21</v>
      </c>
      <c r="I2668" s="2" t="s">
        <v>5476</v>
      </c>
      <c r="J2668" s="3" t="str">
        <f>HYPERLINK("https://www.boe.es/gazeta/dias/1823/06/12/pdfs/GES-1823-66.pdf#page=5","Abrir facsímil")</f>
        <v>Abrir facsímil</v>
      </c>
      <c r="K2668" s="3" t="s">
        <v>23</v>
      </c>
    </row>
    <row r="2669" spans="1:11" ht="42" customHeight="1">
      <c r="A2669" s="2" t="s">
        <v>5420</v>
      </c>
      <c r="B2669" s="2" t="s">
        <v>5420</v>
      </c>
      <c r="C2669" s="2" t="s">
        <v>56</v>
      </c>
      <c r="D2669" s="2" t="s">
        <v>117</v>
      </c>
      <c r="E2669" s="5">
        <v>-27952</v>
      </c>
      <c r="F2669" s="3" t="s">
        <v>1844</v>
      </c>
      <c r="G2669" s="3" t="s">
        <v>27</v>
      </c>
      <c r="H2669" s="2" t="s">
        <v>21</v>
      </c>
      <c r="I2669" s="2" t="s">
        <v>5477</v>
      </c>
      <c r="J2669" s="3" t="str">
        <f>HYPERLINK("https://www.boe.es/gazeta/dias/1823/06/20/pdfs/GMD-1823-213E.pdf#page=2","Abrir facsímil")</f>
        <v>Abrir facsímil</v>
      </c>
      <c r="K2669" s="3" t="s">
        <v>23</v>
      </c>
    </row>
    <row r="2670" spans="1:11" ht="42" customHeight="1">
      <c r="A2670" s="2" t="s">
        <v>5420</v>
      </c>
      <c r="B2670" s="2" t="s">
        <v>5420</v>
      </c>
      <c r="C2670" s="2" t="s">
        <v>56</v>
      </c>
      <c r="D2670" s="2" t="s">
        <v>57</v>
      </c>
      <c r="E2670" s="5">
        <v>-27951</v>
      </c>
      <c r="F2670" s="3" t="s">
        <v>548</v>
      </c>
      <c r="G2670" s="3" t="s">
        <v>39</v>
      </c>
      <c r="H2670" s="2" t="s">
        <v>21</v>
      </c>
      <c r="I2670" s="2" t="s">
        <v>5478</v>
      </c>
      <c r="J2670" s="3" t="str">
        <f>HYPERLINK("https://www.boe.es/gazeta/dias/1823/06/21/pdfs/GES-1823-69.pdf#page=1","Abrir facsímil")</f>
        <v>Abrir facsímil</v>
      </c>
      <c r="K2670" s="3" t="s">
        <v>23</v>
      </c>
    </row>
    <row r="2671" spans="1:11" ht="42" customHeight="1">
      <c r="A2671" s="2" t="s">
        <v>5420</v>
      </c>
      <c r="B2671" s="2" t="s">
        <v>5420</v>
      </c>
      <c r="C2671" s="2" t="s">
        <v>109</v>
      </c>
      <c r="D2671" s="2" t="s">
        <v>74</v>
      </c>
      <c r="E2671" s="5">
        <v>-27951</v>
      </c>
      <c r="F2671" s="3" t="s">
        <v>548</v>
      </c>
      <c r="G2671" s="3" t="s">
        <v>27</v>
      </c>
      <c r="H2671" s="2" t="s">
        <v>21</v>
      </c>
      <c r="I2671" s="2" t="s">
        <v>5479</v>
      </c>
      <c r="J2671" s="3" t="str">
        <f>HYPERLINK("https://www.boe.es/gazeta/dias/1823/06/21/pdfs/GES-1823-69.pdf#page=2","Abrir facsímil")</f>
        <v>Abrir facsímil</v>
      </c>
      <c r="K2671" s="3" t="s">
        <v>23</v>
      </c>
    </row>
    <row r="2672" spans="1:11" ht="42" customHeight="1">
      <c r="A2672" s="2" t="s">
        <v>5420</v>
      </c>
      <c r="B2672" s="2" t="s">
        <v>5420</v>
      </c>
      <c r="C2672" s="2" t="s">
        <v>109</v>
      </c>
      <c r="D2672" s="2" t="s">
        <v>74</v>
      </c>
      <c r="E2672" s="5">
        <v>-27944</v>
      </c>
      <c r="F2672" s="3" t="s">
        <v>2823</v>
      </c>
      <c r="G2672" s="3" t="s">
        <v>39</v>
      </c>
      <c r="H2672" s="2" t="s">
        <v>21</v>
      </c>
      <c r="I2672" s="2" t="s">
        <v>5480</v>
      </c>
      <c r="J2672" s="3" t="str">
        <f>HYPERLINK("https://www.boe.es/gazeta/dias/1823/06/28/pdfs/GES-1823-78.pdf#page=1","Abrir facsímil")</f>
        <v>Abrir facsímil</v>
      </c>
      <c r="K2672" s="3" t="s">
        <v>23</v>
      </c>
    </row>
    <row r="2673" spans="1:11" ht="42" customHeight="1">
      <c r="A2673" s="2" t="s">
        <v>5420</v>
      </c>
      <c r="B2673" s="2" t="s">
        <v>5420</v>
      </c>
      <c r="C2673" s="2" t="s">
        <v>79</v>
      </c>
      <c r="D2673" s="2" t="s">
        <v>74</v>
      </c>
      <c r="E2673" s="5">
        <v>-27934</v>
      </c>
      <c r="F2673" s="3" t="s">
        <v>634</v>
      </c>
      <c r="G2673" s="3" t="s">
        <v>59</v>
      </c>
      <c r="H2673" s="2" t="s">
        <v>21</v>
      </c>
      <c r="I2673" s="2" t="s">
        <v>5481</v>
      </c>
      <c r="J2673" s="3" t="str">
        <f>HYPERLINK("https://www.boe.es/gazeta/dias/1823/07/08/pdfs/GMD-1823-353.pdf#page=6","Abrir facsímil")</f>
        <v>Abrir facsímil</v>
      </c>
      <c r="K2673" s="3" t="s">
        <v>23</v>
      </c>
    </row>
    <row r="2674" spans="1:11" ht="42" customHeight="1">
      <c r="A2674" s="2" t="s">
        <v>5420</v>
      </c>
      <c r="B2674" s="2" t="s">
        <v>5420</v>
      </c>
      <c r="C2674" s="2" t="s">
        <v>109</v>
      </c>
      <c r="D2674" s="2" t="s">
        <v>74</v>
      </c>
      <c r="E2674" s="5">
        <v>-27923</v>
      </c>
      <c r="F2674" s="3" t="s">
        <v>354</v>
      </c>
      <c r="G2674" s="3" t="s">
        <v>27</v>
      </c>
      <c r="H2674" s="2" t="s">
        <v>21</v>
      </c>
      <c r="I2674" s="2" t="s">
        <v>5482</v>
      </c>
      <c r="J2674" s="3" t="str">
        <f>HYPERLINK("https://www.boe.es/gazeta/dias/1823/07/19/pdfs/GES-1823-100.pdf#page=2","Abrir facsímil")</f>
        <v>Abrir facsímil</v>
      </c>
      <c r="K2674" s="3" t="s">
        <v>23</v>
      </c>
    </row>
    <row r="2675" spans="1:11" ht="42" customHeight="1">
      <c r="A2675" s="2" t="s">
        <v>5420</v>
      </c>
      <c r="B2675" s="2" t="s">
        <v>5420</v>
      </c>
      <c r="C2675" s="2" t="s">
        <v>17</v>
      </c>
      <c r="D2675" s="2" t="s">
        <v>18</v>
      </c>
      <c r="E2675" s="5">
        <v>-27871</v>
      </c>
      <c r="F2675" s="3" t="s">
        <v>782</v>
      </c>
      <c r="G2675" s="3" t="s">
        <v>48</v>
      </c>
      <c r="H2675" s="2" t="s">
        <v>21</v>
      </c>
      <c r="I2675" s="2" t="s">
        <v>5483</v>
      </c>
      <c r="J2675" s="3" t="str">
        <f>HYPERLINK("https://www.boe.es/gazeta/dias/1823/09/09/pdfs/GES-1823-153.pdf#page=3","Abrir facsímil")</f>
        <v>Abrir facsímil</v>
      </c>
      <c r="K2675" s="3" t="s">
        <v>23</v>
      </c>
    </row>
    <row r="2676" spans="1:11" ht="42" customHeight="1">
      <c r="A2676" s="2" t="s">
        <v>5484</v>
      </c>
      <c r="B2676" s="2" t="s">
        <v>5484</v>
      </c>
      <c r="C2676" s="2" t="s">
        <v>17</v>
      </c>
      <c r="D2676" s="2" t="s">
        <v>18</v>
      </c>
      <c r="E2676" s="5">
        <v>-27857</v>
      </c>
      <c r="F2676" s="3" t="s">
        <v>378</v>
      </c>
      <c r="G2676" s="3" t="s">
        <v>34</v>
      </c>
      <c r="H2676" s="2" t="s">
        <v>21</v>
      </c>
      <c r="I2676" s="2" t="s">
        <v>5485</v>
      </c>
      <c r="J2676" s="3" t="str">
        <f>HYPERLINK("https://www.boe.es/gazeta/dias/1823/09/23/pdfs/GMD-1823-833.pdf#page=5","Abrir facsímil")</f>
        <v>Abrir facsímil</v>
      </c>
      <c r="K2676" s="3" t="s">
        <v>23</v>
      </c>
    </row>
    <row r="2677" spans="1:11" ht="42" customHeight="1">
      <c r="A2677" s="2" t="s">
        <v>5486</v>
      </c>
      <c r="B2677" s="2" t="s">
        <v>5487</v>
      </c>
      <c r="C2677" s="2" t="s">
        <v>17</v>
      </c>
      <c r="D2677" s="2" t="s">
        <v>18</v>
      </c>
      <c r="E2677" s="5">
        <v>-27970</v>
      </c>
      <c r="F2677" s="3" t="s">
        <v>1030</v>
      </c>
      <c r="G2677" s="3" t="s">
        <v>20</v>
      </c>
      <c r="H2677" s="2" t="s">
        <v>21</v>
      </c>
      <c r="I2677" s="2" t="s">
        <v>5488</v>
      </c>
      <c r="J2677" s="3" t="str">
        <f>HYPERLINK("https://www.boe.es/gazeta/dias/1823/06/02/pdfs/GES-1823-56.pdf#page=4","Abrir facsímil")</f>
        <v>Abrir facsímil</v>
      </c>
      <c r="K2677" s="3" t="s">
        <v>23</v>
      </c>
    </row>
    <row r="2678" spans="1:11" ht="42" customHeight="1">
      <c r="A2678" s="2" t="s">
        <v>5489</v>
      </c>
      <c r="B2678" s="2" t="s">
        <v>5490</v>
      </c>
      <c r="C2678" s="2" t="s">
        <v>17</v>
      </c>
      <c r="D2678" s="2" t="s">
        <v>117</v>
      </c>
      <c r="E2678" s="5">
        <v>-28028</v>
      </c>
      <c r="F2678" s="3" t="s">
        <v>5491</v>
      </c>
      <c r="G2678" s="3" t="s">
        <v>39</v>
      </c>
      <c r="H2678" s="2" t="s">
        <v>21</v>
      </c>
      <c r="I2678" s="2" t="s">
        <v>5492</v>
      </c>
      <c r="J2678" s="3" t="str">
        <f>HYPERLINK("https://www.boe.es/gazeta/dias/1823/04/05/pdfs/GMD-1823-100E.pdf#page=1","Abrir facsímil")</f>
        <v>Abrir facsímil</v>
      </c>
      <c r="K2678" s="3" t="s">
        <v>23</v>
      </c>
    </row>
    <row r="2679" spans="1:11" ht="42" customHeight="1">
      <c r="A2679" s="2" t="s">
        <v>5493</v>
      </c>
      <c r="B2679" s="2" t="s">
        <v>5493</v>
      </c>
      <c r="C2679" s="2" t="s">
        <v>17</v>
      </c>
      <c r="D2679" s="2" t="s">
        <v>18</v>
      </c>
      <c r="E2679" s="5">
        <v>-27860</v>
      </c>
      <c r="F2679" s="3" t="s">
        <v>998</v>
      </c>
      <c r="G2679" s="3" t="s">
        <v>39</v>
      </c>
      <c r="H2679" s="2" t="s">
        <v>21</v>
      </c>
      <c r="I2679" s="2" t="s">
        <v>5494</v>
      </c>
      <c r="J2679" s="3" t="str">
        <f>HYPERLINK("https://www.boe.es/gazeta/dias/1823/09/20/pdfs/GMD-1823-813.pdf#page=1","Abrir facsímil")</f>
        <v>Abrir facsímil</v>
      </c>
      <c r="K2679" s="3" t="s">
        <v>23</v>
      </c>
    </row>
    <row r="2680" spans="1:11" ht="42" customHeight="1">
      <c r="A2680" s="2" t="s">
        <v>5495</v>
      </c>
      <c r="B2680" s="2" t="s">
        <v>5495</v>
      </c>
      <c r="C2680" s="2" t="s">
        <v>79</v>
      </c>
      <c r="D2680" s="2" t="s">
        <v>74</v>
      </c>
      <c r="E2680" s="5">
        <v>-27853</v>
      </c>
      <c r="F2680" s="3" t="s">
        <v>539</v>
      </c>
      <c r="G2680" s="3" t="s">
        <v>48</v>
      </c>
      <c r="H2680" s="2" t="s">
        <v>21</v>
      </c>
      <c r="I2680" s="2" t="s">
        <v>5496</v>
      </c>
      <c r="J2680" s="3" t="str">
        <f>HYPERLINK("https://www.boe.es/gazeta/dias/1823/09/27/pdfs/GMD-1823-863.pdf#page=3","Abrir facsímil")</f>
        <v>Abrir facsímil</v>
      </c>
      <c r="K2680" s="3" t="s">
        <v>23</v>
      </c>
    </row>
    <row r="2681" spans="1:11" ht="42" customHeight="1">
      <c r="A2681" s="2" t="s">
        <v>5497</v>
      </c>
      <c r="B2681" s="2" t="s">
        <v>5497</v>
      </c>
      <c r="C2681" s="2" t="s">
        <v>56</v>
      </c>
      <c r="D2681" s="2" t="s">
        <v>57</v>
      </c>
      <c r="E2681" s="5">
        <v>-27904</v>
      </c>
      <c r="F2681" s="3" t="s">
        <v>1227</v>
      </c>
      <c r="G2681" s="3" t="s">
        <v>48</v>
      </c>
      <c r="H2681" s="2" t="s">
        <v>21</v>
      </c>
      <c r="I2681" s="2" t="s">
        <v>5498</v>
      </c>
      <c r="J2681" s="3" t="str">
        <f>HYPERLINK("https://www.boe.es/gazeta/dias/1823/08/07/pdfs/GMD-1823-543.pdf#page=3","Abrir facsímil")</f>
        <v>Abrir facsímil</v>
      </c>
      <c r="K2681" s="3" t="s">
        <v>23</v>
      </c>
    </row>
    <row r="2682" spans="1:11" ht="42" customHeight="1">
      <c r="A2682" s="2" t="s">
        <v>5499</v>
      </c>
      <c r="B2682" s="2" t="s">
        <v>5500</v>
      </c>
      <c r="C2682" s="2" t="s">
        <v>109</v>
      </c>
      <c r="D2682" s="2" t="s">
        <v>74</v>
      </c>
      <c r="E2682" s="5">
        <v>-28043</v>
      </c>
      <c r="F2682" s="3" t="s">
        <v>69</v>
      </c>
      <c r="G2682" s="3" t="s">
        <v>59</v>
      </c>
      <c r="H2682" s="2" t="s">
        <v>21</v>
      </c>
      <c r="I2682" s="2" t="s">
        <v>5501</v>
      </c>
      <c r="J2682" s="3" t="str">
        <f>HYPERLINK("https://www.boe.es/gazeta/dias/1823/03/21/pdfs/GMD-1823-84.pdf#page=6","Abrir facsímil")</f>
        <v>Abrir facsímil</v>
      </c>
      <c r="K2682" s="3" t="s">
        <v>23</v>
      </c>
    </row>
    <row r="2683" spans="1:11" ht="42" customHeight="1">
      <c r="A2683" s="2" t="s">
        <v>5502</v>
      </c>
      <c r="B2683" s="2" t="s">
        <v>5503</v>
      </c>
      <c r="C2683" s="2" t="s">
        <v>17</v>
      </c>
      <c r="D2683" s="2" t="s">
        <v>18</v>
      </c>
      <c r="E2683" s="5">
        <v>-27948</v>
      </c>
      <c r="F2683" s="3" t="s">
        <v>3752</v>
      </c>
      <c r="G2683" s="3" t="s">
        <v>27</v>
      </c>
      <c r="H2683" s="2" t="s">
        <v>21</v>
      </c>
      <c r="I2683" s="2" t="s">
        <v>5504</v>
      </c>
      <c r="J2683" s="3" t="str">
        <f>HYPERLINK("https://www.boe.es/gazeta/dias/1823/06/24/pdfs/GMD-1823-263.pdf#page=2","Abrir facsímil")</f>
        <v>Abrir facsímil</v>
      </c>
      <c r="K2683" s="3" t="s">
        <v>23</v>
      </c>
    </row>
    <row r="2684" spans="1:11" ht="42" customHeight="1">
      <c r="A2684" s="2" t="s">
        <v>5505</v>
      </c>
      <c r="B2684" s="2" t="s">
        <v>5506</v>
      </c>
      <c r="C2684" s="2" t="s">
        <v>293</v>
      </c>
      <c r="D2684" s="2" t="s">
        <v>74</v>
      </c>
      <c r="E2684" s="5">
        <v>-28037</v>
      </c>
      <c r="F2684" s="3" t="s">
        <v>192</v>
      </c>
      <c r="G2684" s="3" t="s">
        <v>20</v>
      </c>
      <c r="H2684" s="2" t="s">
        <v>21</v>
      </c>
      <c r="I2684" s="2" t="s">
        <v>5507</v>
      </c>
      <c r="J2684" s="3" t="str">
        <f>HYPERLINK("https://www.boe.es/gazeta/dias/1823/03/27/pdfs/GMD-1823-90.pdf#page=4","Abrir facsímil")</f>
        <v>Abrir facsímil</v>
      </c>
      <c r="K2684" s="3" t="s">
        <v>23</v>
      </c>
    </row>
    <row r="2685" spans="1:11" ht="42" customHeight="1">
      <c r="A2685" s="2" t="s">
        <v>5508</v>
      </c>
      <c r="B2685" s="2" t="s">
        <v>5509</v>
      </c>
      <c r="C2685" s="2" t="s">
        <v>79</v>
      </c>
      <c r="D2685" s="2" t="s">
        <v>74</v>
      </c>
      <c r="E2685" s="5">
        <v>-28000</v>
      </c>
      <c r="F2685" s="3" t="s">
        <v>138</v>
      </c>
      <c r="G2685" s="3" t="s">
        <v>20</v>
      </c>
      <c r="H2685" s="2" t="s">
        <v>21</v>
      </c>
      <c r="I2685" s="2" t="s">
        <v>5510</v>
      </c>
      <c r="J2685" s="3" t="str">
        <f>HYPERLINK("https://www.boe.es/gazeta/dias/1823/05/03/pdfs/GMD-1823-92.pdf#page=4","Abrir facsímil")</f>
        <v>Abrir facsímil</v>
      </c>
      <c r="K2685" s="3" t="s">
        <v>23</v>
      </c>
    </row>
    <row r="2686" spans="1:11" ht="42" customHeight="1">
      <c r="A2686" s="2" t="s">
        <v>5511</v>
      </c>
      <c r="B2686" s="2" t="s">
        <v>5512</v>
      </c>
      <c r="C2686" s="2" t="s">
        <v>79</v>
      </c>
      <c r="D2686" s="2" t="s">
        <v>74</v>
      </c>
      <c r="E2686" s="5">
        <v>-28101</v>
      </c>
      <c r="F2686" s="3" t="s">
        <v>1041</v>
      </c>
      <c r="G2686" s="3" t="s">
        <v>20</v>
      </c>
      <c r="H2686" s="2" t="s">
        <v>21</v>
      </c>
      <c r="I2686" s="2" t="s">
        <v>5513</v>
      </c>
      <c r="J2686" s="3" t="str">
        <f>HYPERLINK("https://www.boe.es/gazeta/dias/1823/01/22/pdfs/GMD-1823-23.pdf#page=4","Abrir facsímil")</f>
        <v>Abrir facsímil</v>
      </c>
      <c r="K2686" s="3" t="s">
        <v>23</v>
      </c>
    </row>
    <row r="2687" spans="1:11" ht="42" customHeight="1">
      <c r="A2687" s="2" t="s">
        <v>5514</v>
      </c>
      <c r="B2687" s="2" t="s">
        <v>5515</v>
      </c>
      <c r="C2687" s="2" t="s">
        <v>17</v>
      </c>
      <c r="D2687" s="2" t="s">
        <v>18</v>
      </c>
      <c r="E2687" s="5">
        <v>-27864</v>
      </c>
      <c r="F2687" s="3" t="s">
        <v>395</v>
      </c>
      <c r="G2687" s="3" t="s">
        <v>39</v>
      </c>
      <c r="H2687" s="2" t="s">
        <v>21</v>
      </c>
      <c r="I2687" s="2" t="s">
        <v>5516</v>
      </c>
      <c r="J2687" s="3" t="str">
        <f>HYPERLINK("https://www.boe.es/gazeta/dias/1823/09/16/pdfs/GMD-1823-783.pdf#page=1","Abrir facsímil")</f>
        <v>Abrir facsímil</v>
      </c>
      <c r="K2687" s="3" t="s">
        <v>23</v>
      </c>
    </row>
    <row r="2688" spans="1:11" ht="42" customHeight="1">
      <c r="A2688" s="2" t="s">
        <v>5517</v>
      </c>
      <c r="B2688" s="2" t="s">
        <v>5518</v>
      </c>
      <c r="C2688" s="2" t="s">
        <v>17</v>
      </c>
      <c r="D2688" s="2" t="s">
        <v>18</v>
      </c>
      <c r="E2688" s="5">
        <v>-28044</v>
      </c>
      <c r="F2688" s="3" t="s">
        <v>1930</v>
      </c>
      <c r="G2688" s="3" t="s">
        <v>20</v>
      </c>
      <c r="H2688" s="2" t="s">
        <v>21</v>
      </c>
      <c r="I2688" s="2" t="s">
        <v>5519</v>
      </c>
      <c r="J2688" s="3" t="str">
        <f>HYPERLINK("https://www.boe.es/gazeta/dias/1823/03/20/pdfs/GMD-1823-83.pdf#page=4","Abrir facsímil")</f>
        <v>Abrir facsímil</v>
      </c>
      <c r="K2688" s="3" t="s">
        <v>23</v>
      </c>
    </row>
    <row r="2689" spans="1:11" ht="42" customHeight="1">
      <c r="A2689" s="2" t="s">
        <v>5520</v>
      </c>
      <c r="B2689" s="2" t="s">
        <v>5521</v>
      </c>
      <c r="C2689" s="2" t="s">
        <v>73</v>
      </c>
      <c r="D2689" s="2" t="s">
        <v>74</v>
      </c>
      <c r="E2689" s="5">
        <v>-28082</v>
      </c>
      <c r="F2689" s="3" t="s">
        <v>468</v>
      </c>
      <c r="G2689" s="3" t="s">
        <v>59</v>
      </c>
      <c r="H2689" s="2" t="s">
        <v>21</v>
      </c>
      <c r="I2689" s="2" t="s">
        <v>5522</v>
      </c>
      <c r="J2689" s="3" t="str">
        <f>HYPERLINK("https://www.boe.es/gazeta/dias/1823/02/10/pdfs/GMD-1823-44.pdf#page=6","Abrir facsímil")</f>
        <v>Abrir facsímil</v>
      </c>
      <c r="K2689" s="3" t="s">
        <v>23</v>
      </c>
    </row>
    <row r="2690" spans="1:11" ht="42" customHeight="1">
      <c r="A2690" s="2" t="s">
        <v>5523</v>
      </c>
      <c r="B2690" s="2" t="s">
        <v>5523</v>
      </c>
      <c r="C2690" s="2" t="s">
        <v>56</v>
      </c>
      <c r="D2690" s="2" t="s">
        <v>57</v>
      </c>
      <c r="E2690" s="5">
        <v>-27832</v>
      </c>
      <c r="F2690" s="3" t="s">
        <v>1815</v>
      </c>
      <c r="G2690" s="3" t="s">
        <v>39</v>
      </c>
      <c r="H2690" s="2" t="s">
        <v>21</v>
      </c>
      <c r="I2690" s="2" t="s">
        <v>5524</v>
      </c>
      <c r="J2690" s="3" t="str">
        <f>HYPERLINK("https://www.boe.es/gazeta/dias/1823/10/18/pdfs/GMD-1823-993.pdf#page=1","Abrir facsímil")</f>
        <v>Abrir facsímil</v>
      </c>
      <c r="K2690" s="3" t="s">
        <v>23</v>
      </c>
    </row>
    <row r="2691" spans="1:11" ht="42" customHeight="1">
      <c r="A2691" s="2" t="s">
        <v>5525</v>
      </c>
      <c r="B2691" s="2" t="s">
        <v>5526</v>
      </c>
      <c r="C2691" s="2" t="s">
        <v>79</v>
      </c>
      <c r="D2691" s="2" t="s">
        <v>74</v>
      </c>
      <c r="E2691" s="5">
        <v>-28051</v>
      </c>
      <c r="F2691" s="3" t="s">
        <v>305</v>
      </c>
      <c r="G2691" s="3" t="s">
        <v>27</v>
      </c>
      <c r="H2691" s="2" t="s">
        <v>21</v>
      </c>
      <c r="I2691" s="2" t="s">
        <v>5527</v>
      </c>
      <c r="J2691" s="3" t="str">
        <f>HYPERLINK("https://www.boe.es/gazeta/dias/1823/03/13/pdfs/GMD-1823-76.pdf#page=2","Abrir facsímil")</f>
        <v>Abrir facsímil</v>
      </c>
      <c r="K2691" s="3" t="s">
        <v>23</v>
      </c>
    </row>
    <row r="2692" spans="1:11" ht="42" customHeight="1">
      <c r="A2692" s="2" t="s">
        <v>5528</v>
      </c>
      <c r="B2692" s="2" t="s">
        <v>5529</v>
      </c>
      <c r="C2692" s="2" t="s">
        <v>17</v>
      </c>
      <c r="D2692" s="2" t="s">
        <v>18</v>
      </c>
      <c r="E2692" s="5">
        <v>-27862</v>
      </c>
      <c r="F2692" s="3" t="s">
        <v>1530</v>
      </c>
      <c r="G2692" s="3" t="s">
        <v>39</v>
      </c>
      <c r="H2692" s="2" t="s">
        <v>21</v>
      </c>
      <c r="I2692" s="2" t="s">
        <v>5530</v>
      </c>
      <c r="J2692" s="3" t="str">
        <f>HYPERLINK("https://www.boe.es/gazeta/dias/1823/09/18/pdfs/GMD-1823-803.pdf#page=1","Abrir facsímil")</f>
        <v>Abrir facsímil</v>
      </c>
      <c r="K2692" s="3" t="s">
        <v>23</v>
      </c>
    </row>
    <row r="2693" spans="1:11" ht="42" customHeight="1">
      <c r="A2693" s="2" t="s">
        <v>5531</v>
      </c>
      <c r="B2693" s="2" t="s">
        <v>5532</v>
      </c>
      <c r="C2693" s="2" t="s">
        <v>17</v>
      </c>
      <c r="D2693" s="2" t="s">
        <v>18</v>
      </c>
      <c r="E2693" s="5">
        <v>-27877</v>
      </c>
      <c r="F2693" s="3" t="s">
        <v>844</v>
      </c>
      <c r="G2693" s="3" t="s">
        <v>48</v>
      </c>
      <c r="H2693" s="2" t="s">
        <v>21</v>
      </c>
      <c r="I2693" s="2" t="s">
        <v>5533</v>
      </c>
      <c r="J2693" s="3" t="str">
        <f>HYPERLINK("https://www.boe.es/gazeta/dias/1823/09/03/pdfs/GES-1823-147.pdf#page=3","Abrir facsímil")</f>
        <v>Abrir facsímil</v>
      </c>
      <c r="K2693" s="3" t="s">
        <v>23</v>
      </c>
    </row>
    <row r="2694" spans="1:11" ht="42" customHeight="1">
      <c r="A2694" s="2" t="s">
        <v>5534</v>
      </c>
      <c r="B2694" s="2" t="s">
        <v>5535</v>
      </c>
      <c r="C2694" s="2" t="s">
        <v>17</v>
      </c>
      <c r="D2694" s="2" t="s">
        <v>18</v>
      </c>
      <c r="E2694" s="5">
        <v>-28043</v>
      </c>
      <c r="F2694" s="3" t="s">
        <v>69</v>
      </c>
      <c r="G2694" s="3" t="s">
        <v>59</v>
      </c>
      <c r="H2694" s="2" t="s">
        <v>21</v>
      </c>
      <c r="I2694" s="2" t="s">
        <v>5536</v>
      </c>
      <c r="J2694" s="3" t="str">
        <f>HYPERLINK("https://www.boe.es/gazeta/dias/1823/03/21/pdfs/GMD-1823-84.pdf#page=6","Abrir facsímil")</f>
        <v>Abrir facsímil</v>
      </c>
      <c r="K2694" s="3" t="s">
        <v>23</v>
      </c>
    </row>
    <row r="2695" spans="1:11" ht="42" customHeight="1">
      <c r="A2695" s="2" t="s">
        <v>5537</v>
      </c>
      <c r="B2695" s="2" t="s">
        <v>5538</v>
      </c>
      <c r="C2695" s="2" t="s">
        <v>17</v>
      </c>
      <c r="D2695" s="2" t="s">
        <v>18</v>
      </c>
      <c r="E2695" s="5">
        <v>-27960</v>
      </c>
      <c r="F2695" s="3" t="s">
        <v>741</v>
      </c>
      <c r="G2695" s="3" t="s">
        <v>39</v>
      </c>
      <c r="H2695" s="2" t="s">
        <v>21</v>
      </c>
      <c r="I2695" s="2" t="s">
        <v>5539</v>
      </c>
      <c r="J2695" s="3" t="str">
        <f>HYPERLINK("https://www.boe.es/gazeta/dias/1823/06/12/pdfs/GES-1823-66.pdf#page=1","Abrir facsímil")</f>
        <v>Abrir facsímil</v>
      </c>
      <c r="K2695" s="3" t="s">
        <v>23</v>
      </c>
    </row>
    <row r="2696" spans="1:11" ht="42" customHeight="1">
      <c r="A2696" s="2" t="s">
        <v>5540</v>
      </c>
      <c r="B2696" s="2" t="s">
        <v>5541</v>
      </c>
      <c r="C2696" s="2" t="s">
        <v>56</v>
      </c>
      <c r="D2696" s="2" t="s">
        <v>57</v>
      </c>
      <c r="E2696" s="5">
        <v>-27938</v>
      </c>
      <c r="F2696" s="3" t="s">
        <v>101</v>
      </c>
      <c r="G2696" s="3" t="s">
        <v>27</v>
      </c>
      <c r="H2696" s="2" t="s">
        <v>21</v>
      </c>
      <c r="I2696" s="2" t="s">
        <v>5542</v>
      </c>
      <c r="J2696" s="3" t="str">
        <f>HYPERLINK("https://www.boe.es/gazeta/dias/1823/07/04/pdfs/GES-1823-84.pdf#page=2","Abrir facsímil")</f>
        <v>Abrir facsímil</v>
      </c>
      <c r="K2696" s="3" t="s">
        <v>23</v>
      </c>
    </row>
    <row r="2697" spans="1:11" ht="42" customHeight="1">
      <c r="A2697" s="2" t="s">
        <v>5543</v>
      </c>
      <c r="B2697" s="2" t="s">
        <v>5544</v>
      </c>
      <c r="C2697" s="2" t="s">
        <v>56</v>
      </c>
      <c r="D2697" s="2" t="s">
        <v>57</v>
      </c>
      <c r="E2697" s="5">
        <v>-28043</v>
      </c>
      <c r="F2697" s="3" t="s">
        <v>69</v>
      </c>
      <c r="G2697" s="3" t="s">
        <v>59</v>
      </c>
      <c r="H2697" s="2" t="s">
        <v>21</v>
      </c>
      <c r="I2697" s="2" t="s">
        <v>5545</v>
      </c>
      <c r="J2697" s="3" t="str">
        <f>HYPERLINK("https://www.boe.es/gazeta/dias/1823/03/21/pdfs/GMD-1823-84.pdf#page=6","Abrir facsímil")</f>
        <v>Abrir facsímil</v>
      </c>
      <c r="K2697" s="3" t="s">
        <v>23</v>
      </c>
    </row>
    <row r="2698" spans="1:11" ht="42" customHeight="1">
      <c r="A2698" s="2" t="s">
        <v>5546</v>
      </c>
      <c r="B2698" s="2" t="s">
        <v>5547</v>
      </c>
      <c r="C2698" s="2" t="s">
        <v>56</v>
      </c>
      <c r="D2698" s="2" t="s">
        <v>57</v>
      </c>
      <c r="E2698" s="5">
        <v>-28116</v>
      </c>
      <c r="F2698" s="3" t="s">
        <v>134</v>
      </c>
      <c r="G2698" s="3" t="s">
        <v>59</v>
      </c>
      <c r="H2698" s="2" t="s">
        <v>21</v>
      </c>
      <c r="I2698" s="2" t="s">
        <v>5548</v>
      </c>
      <c r="J2698" s="3" t="str">
        <f>HYPERLINK("https://www.boe.es/gazeta/dias/1823/01/07/pdfs/GMD-1823-7.pdf#page=6","Abrir facsímil")</f>
        <v>Abrir facsímil</v>
      </c>
      <c r="K2698" s="3" t="s">
        <v>23</v>
      </c>
    </row>
    <row r="2699" spans="1:11" ht="42" customHeight="1">
      <c r="A2699" s="2" t="s">
        <v>5549</v>
      </c>
      <c r="B2699" s="2" t="s">
        <v>5549</v>
      </c>
      <c r="C2699" s="2" t="s">
        <v>17</v>
      </c>
      <c r="D2699" s="2" t="s">
        <v>18</v>
      </c>
      <c r="E2699" s="5">
        <v>-28082</v>
      </c>
      <c r="F2699" s="3" t="s">
        <v>468</v>
      </c>
      <c r="G2699" s="3" t="s">
        <v>34</v>
      </c>
      <c r="H2699" s="2" t="s">
        <v>21</v>
      </c>
      <c r="I2699" s="2" t="s">
        <v>5550</v>
      </c>
      <c r="J2699" s="3" t="str">
        <f>HYPERLINK("https://www.boe.es/gazeta/dias/1823/02/10/pdfs/GMD-1823-44.pdf#page=5","Abrir facsímil")</f>
        <v>Abrir facsímil</v>
      </c>
      <c r="K2699" s="3" t="s">
        <v>23</v>
      </c>
    </row>
    <row r="2700" spans="1:11" ht="42" customHeight="1">
      <c r="A2700" s="2" t="s">
        <v>5551</v>
      </c>
      <c r="B2700" s="2" t="s">
        <v>5552</v>
      </c>
      <c r="C2700" s="2" t="s">
        <v>79</v>
      </c>
      <c r="D2700" s="2" t="s">
        <v>74</v>
      </c>
      <c r="E2700" s="5">
        <v>-27832</v>
      </c>
      <c r="F2700" s="3" t="s">
        <v>1815</v>
      </c>
      <c r="G2700" s="3" t="s">
        <v>20</v>
      </c>
      <c r="H2700" s="2" t="s">
        <v>21</v>
      </c>
      <c r="I2700" s="2" t="s">
        <v>5553</v>
      </c>
      <c r="J2700" s="3" t="str">
        <f>HYPERLINK("https://www.boe.es/gazeta/dias/1823/10/18/pdfs/GMD-1823-993.pdf#page=4","Abrir facsímil")</f>
        <v>Abrir facsímil</v>
      </c>
      <c r="K2700" s="3" t="s">
        <v>23</v>
      </c>
    </row>
    <row r="2701" spans="1:11" ht="42" customHeight="1">
      <c r="A2701" s="2" t="s">
        <v>5554</v>
      </c>
      <c r="B2701" s="2" t="s">
        <v>5554</v>
      </c>
      <c r="C2701" s="2" t="s">
        <v>56</v>
      </c>
      <c r="D2701" s="2" t="s">
        <v>57</v>
      </c>
      <c r="E2701" s="5">
        <v>-27873</v>
      </c>
      <c r="F2701" s="3" t="s">
        <v>160</v>
      </c>
      <c r="G2701" s="3" t="s">
        <v>20</v>
      </c>
      <c r="H2701" s="2" t="s">
        <v>21</v>
      </c>
      <c r="I2701" s="2" t="s">
        <v>5555</v>
      </c>
      <c r="J2701" s="3" t="str">
        <f>HYPERLINK("https://www.boe.es/gazeta/dias/1823/09/07/pdfs/GES-1823-151.pdf#page=4","Abrir facsímil")</f>
        <v>Abrir facsímil</v>
      </c>
      <c r="K2701" s="3" t="s">
        <v>23</v>
      </c>
    </row>
    <row r="2702" spans="1:11" ht="42" customHeight="1">
      <c r="A2702" s="2" t="s">
        <v>5556</v>
      </c>
      <c r="B2702" s="2" t="s">
        <v>5557</v>
      </c>
      <c r="C2702" s="2" t="s">
        <v>17</v>
      </c>
      <c r="D2702" s="2" t="s">
        <v>18</v>
      </c>
      <c r="E2702" s="5">
        <v>-28068</v>
      </c>
      <c r="F2702" s="3" t="s">
        <v>1325</v>
      </c>
      <c r="G2702" s="3" t="s">
        <v>20</v>
      </c>
      <c r="H2702" s="2" t="s">
        <v>21</v>
      </c>
      <c r="I2702" s="2" t="s">
        <v>5558</v>
      </c>
      <c r="J2702" s="3" t="str">
        <f>HYPERLINK("https://www.boe.es/gazeta/dias/1823/02/24/pdfs/GMD-1823-58.pdf#page=4","Abrir facsímil")</f>
        <v>Abrir facsímil</v>
      </c>
      <c r="K2702" s="3" t="s">
        <v>23</v>
      </c>
    </row>
    <row r="2703" spans="1:11" ht="42" customHeight="1">
      <c r="A2703" s="2" t="s">
        <v>5559</v>
      </c>
      <c r="B2703" s="2" t="s">
        <v>5560</v>
      </c>
      <c r="C2703" s="2" t="s">
        <v>17</v>
      </c>
      <c r="D2703" s="2" t="s">
        <v>18</v>
      </c>
      <c r="E2703" s="5">
        <v>-27906</v>
      </c>
      <c r="F2703" s="3" t="s">
        <v>241</v>
      </c>
      <c r="G2703" s="3" t="s">
        <v>2212</v>
      </c>
      <c r="H2703" s="2" t="s">
        <v>21</v>
      </c>
      <c r="I2703" s="2" t="s">
        <v>5561</v>
      </c>
      <c r="J2703" s="3" t="str">
        <f>HYPERLINK("https://www.boe.es/gazeta/dias/1823/08/05/pdfs/GES-1823-117.pdf#page=2","Abrir facsímil")</f>
        <v>Abrir facsímil</v>
      </c>
      <c r="K2703" s="3" t="s">
        <v>23</v>
      </c>
    </row>
    <row r="2704" spans="1:11" ht="42" customHeight="1">
      <c r="A2704" s="2" t="s">
        <v>5562</v>
      </c>
      <c r="B2704" s="2" t="s">
        <v>5563</v>
      </c>
      <c r="C2704" s="2" t="s">
        <v>17</v>
      </c>
      <c r="D2704" s="2" t="s">
        <v>117</v>
      </c>
      <c r="E2704" s="5">
        <v>-27975</v>
      </c>
      <c r="F2704" s="3" t="s">
        <v>1922</v>
      </c>
      <c r="G2704" s="3" t="s">
        <v>39</v>
      </c>
      <c r="H2704" s="2" t="s">
        <v>21</v>
      </c>
      <c r="I2704" s="2" t="s">
        <v>5564</v>
      </c>
      <c r="J2704" s="3" t="str">
        <f>HYPERLINK("https://www.boe.es/gazeta/dias/1823/05/28/pdfs/GES-1823-51E.pdf#page=1","Abrir facsímil")</f>
        <v>Abrir facsímil</v>
      </c>
      <c r="K2704" s="3" t="s">
        <v>23</v>
      </c>
    </row>
    <row r="2705" spans="1:11" ht="42" customHeight="1">
      <c r="A2705" s="2" t="s">
        <v>5565</v>
      </c>
      <c r="B2705" s="2" t="s">
        <v>5566</v>
      </c>
      <c r="C2705" s="2" t="s">
        <v>17</v>
      </c>
      <c r="D2705" s="2" t="s">
        <v>18</v>
      </c>
      <c r="E2705" s="5">
        <v>-27984</v>
      </c>
      <c r="F2705" s="3" t="s">
        <v>335</v>
      </c>
      <c r="G2705" s="3" t="s">
        <v>27</v>
      </c>
      <c r="H2705" s="2" t="s">
        <v>21</v>
      </c>
      <c r="I2705" s="2" t="s">
        <v>5567</v>
      </c>
      <c r="J2705" s="3" t="str">
        <f>HYPERLINK("https://www.boe.es/gazeta/dias/1823/05/19/pdfs/GES-1823-39.pdf#page=2","Abrir facsímil")</f>
        <v>Abrir facsímil</v>
      </c>
      <c r="K2705" s="3" t="s">
        <v>23</v>
      </c>
    </row>
    <row r="2706" spans="1:11" ht="42" customHeight="1">
      <c r="A2706" s="2" t="s">
        <v>5568</v>
      </c>
      <c r="B2706" s="2" t="s">
        <v>5569</v>
      </c>
      <c r="C2706" s="2" t="s">
        <v>17</v>
      </c>
      <c r="D2706" s="2" t="s">
        <v>18</v>
      </c>
      <c r="E2706" s="5">
        <v>-27932</v>
      </c>
      <c r="F2706" s="3" t="s">
        <v>786</v>
      </c>
      <c r="G2706" s="3" t="s">
        <v>59</v>
      </c>
      <c r="H2706" s="2" t="s">
        <v>21</v>
      </c>
      <c r="I2706" s="2" t="s">
        <v>5570</v>
      </c>
      <c r="J2706" s="3" t="str">
        <f>HYPERLINK("https://www.boe.es/gazeta/dias/1823/07/10/pdfs/GMD-1823-363.pdf#page=6","Abrir facsímil")</f>
        <v>Abrir facsímil</v>
      </c>
      <c r="K2706" s="3" t="s">
        <v>23</v>
      </c>
    </row>
    <row r="2707" spans="1:11" ht="42" customHeight="1">
      <c r="A2707" s="2" t="s">
        <v>5571</v>
      </c>
      <c r="B2707" s="2" t="s">
        <v>5572</v>
      </c>
      <c r="C2707" s="2" t="s">
        <v>79</v>
      </c>
      <c r="D2707" s="2" t="s">
        <v>74</v>
      </c>
      <c r="E2707" s="5">
        <v>-27920</v>
      </c>
      <c r="F2707" s="3" t="s">
        <v>1334</v>
      </c>
      <c r="G2707" s="3" t="s">
        <v>34</v>
      </c>
      <c r="H2707" s="2" t="s">
        <v>21</v>
      </c>
      <c r="I2707" s="2" t="s">
        <v>5573</v>
      </c>
      <c r="J2707" s="3" t="str">
        <f>HYPERLINK("https://www.boe.es/gazeta/dias/1823/07/22/pdfs/GMD-1823-443.pdf#page=5","Abrir facsímil")</f>
        <v>Abrir facsímil</v>
      </c>
      <c r="K2707" s="3" t="s">
        <v>23</v>
      </c>
    </row>
    <row r="2708" spans="1:11" ht="42" customHeight="1">
      <c r="A2708" s="2" t="s">
        <v>5574</v>
      </c>
      <c r="B2708" s="2" t="s">
        <v>5575</v>
      </c>
      <c r="C2708" s="2" t="s">
        <v>17</v>
      </c>
      <c r="D2708" s="2" t="s">
        <v>18</v>
      </c>
      <c r="E2708" s="5">
        <v>-28032</v>
      </c>
      <c r="F2708" s="3" t="s">
        <v>668</v>
      </c>
      <c r="G2708" s="3" t="s">
        <v>39</v>
      </c>
      <c r="H2708" s="2" t="s">
        <v>21</v>
      </c>
      <c r="I2708" s="2" t="s">
        <v>5576</v>
      </c>
      <c r="J2708" s="3" t="str">
        <f>HYPERLINK("https://www.boe.es/gazeta/dias/1823/04/01/pdfs/GMD-1823-95.pdf#page=1","Abrir facsímil")</f>
        <v>Abrir facsímil</v>
      </c>
      <c r="K2708" s="3" t="s">
        <v>23</v>
      </c>
    </row>
    <row r="2709" spans="1:11" ht="42" customHeight="1">
      <c r="A2709" s="2" t="s">
        <v>5577</v>
      </c>
      <c r="B2709" s="2" t="s">
        <v>5578</v>
      </c>
      <c r="C2709" s="2" t="s">
        <v>17</v>
      </c>
      <c r="D2709" s="2" t="s">
        <v>18</v>
      </c>
      <c r="E2709" s="5">
        <v>-28045</v>
      </c>
      <c r="F2709" s="3" t="s">
        <v>245</v>
      </c>
      <c r="G2709" s="3" t="s">
        <v>39</v>
      </c>
      <c r="H2709" s="2" t="s">
        <v>21</v>
      </c>
      <c r="I2709" s="2" t="s">
        <v>5579</v>
      </c>
      <c r="J2709" s="3" t="str">
        <f>HYPERLINK("https://www.boe.es/gazeta/dias/1823/03/19/pdfs/GMD-1823-82.pdf#page=1","Abrir facsímil")</f>
        <v>Abrir facsímil</v>
      </c>
      <c r="K2709" s="3" t="s">
        <v>23</v>
      </c>
    </row>
    <row r="2710" spans="1:11" ht="42" customHeight="1">
      <c r="A2710" s="2" t="s">
        <v>5580</v>
      </c>
      <c r="B2710" s="2" t="s">
        <v>5581</v>
      </c>
      <c r="C2710" s="2" t="s">
        <v>17</v>
      </c>
      <c r="D2710" s="2" t="s">
        <v>18</v>
      </c>
      <c r="E2710" s="5">
        <v>-27915</v>
      </c>
      <c r="F2710" s="3" t="s">
        <v>524</v>
      </c>
      <c r="G2710" s="3" t="s">
        <v>39</v>
      </c>
      <c r="H2710" s="2" t="s">
        <v>21</v>
      </c>
      <c r="I2710" s="2" t="s">
        <v>5582</v>
      </c>
      <c r="J2710" s="3" t="str">
        <f>HYPERLINK("https://www.boe.es/gazeta/dias/1823/07/27/pdfs/GES-1823-108.pdf#page=1","Abrir facsímil")</f>
        <v>Abrir facsímil</v>
      </c>
      <c r="K2710" s="3" t="s">
        <v>23</v>
      </c>
    </row>
    <row r="2711" spans="1:11" ht="42" customHeight="1">
      <c r="A2711" s="2" t="s">
        <v>5583</v>
      </c>
      <c r="B2711" s="2" t="s">
        <v>5584</v>
      </c>
      <c r="C2711" s="2" t="s">
        <v>56</v>
      </c>
      <c r="D2711" s="2" t="s">
        <v>57</v>
      </c>
      <c r="E2711" s="5">
        <v>-27925</v>
      </c>
      <c r="F2711" s="3" t="s">
        <v>1744</v>
      </c>
      <c r="G2711" s="3" t="s">
        <v>27</v>
      </c>
      <c r="H2711" s="2" t="s">
        <v>28</v>
      </c>
      <c r="I2711" s="2" t="s">
        <v>5585</v>
      </c>
      <c r="J2711" s="3" t="str">
        <f>HYPERLINK("https://www.boe.es/gazeta/dias/1823/07/17/pdfs/GMD-1823-413.pdf#page=2","Abrir facsímil")</f>
        <v>Abrir facsímil</v>
      </c>
      <c r="K2711" s="3" t="s">
        <v>30</v>
      </c>
    </row>
    <row r="2712" spans="1:11" ht="42" customHeight="1">
      <c r="A2712" s="2" t="s">
        <v>5586</v>
      </c>
      <c r="B2712" s="2" t="s">
        <v>5586</v>
      </c>
      <c r="C2712" s="2" t="s">
        <v>325</v>
      </c>
      <c r="D2712" s="2" t="s">
        <v>74</v>
      </c>
      <c r="E2712" s="5">
        <v>-27848</v>
      </c>
      <c r="F2712" s="3" t="s">
        <v>2665</v>
      </c>
      <c r="G2712" s="3" t="s">
        <v>20</v>
      </c>
      <c r="H2712" s="2" t="s">
        <v>21</v>
      </c>
      <c r="I2712" s="2" t="s">
        <v>5587</v>
      </c>
      <c r="J2712" s="3" t="str">
        <f>HYPERLINK("https://www.boe.es/gazeta/dias/1823/10/02/pdfs/GMD-1823-893.pdf#page=4","Abrir facsímil")</f>
        <v>Abrir facsímil</v>
      </c>
      <c r="K2712" s="3" t="s">
        <v>23</v>
      </c>
    </row>
    <row r="2713" spans="1:11" ht="42" customHeight="1">
      <c r="A2713" s="2" t="s">
        <v>5588</v>
      </c>
      <c r="B2713" s="2" t="s">
        <v>5589</v>
      </c>
      <c r="C2713" s="2" t="s">
        <v>325</v>
      </c>
      <c r="D2713" s="2" t="s">
        <v>74</v>
      </c>
      <c r="E2713" s="5">
        <v>-28037</v>
      </c>
      <c r="F2713" s="3" t="s">
        <v>192</v>
      </c>
      <c r="G2713" s="3" t="s">
        <v>20</v>
      </c>
      <c r="H2713" s="2" t="s">
        <v>21</v>
      </c>
      <c r="I2713" s="2" t="s">
        <v>5590</v>
      </c>
      <c r="J2713" s="3" t="str">
        <f>HYPERLINK("https://www.boe.es/gazeta/dias/1823/03/27/pdfs/GMD-1823-90.pdf#page=4","Abrir facsímil")</f>
        <v>Abrir facsímil</v>
      </c>
      <c r="K2713" s="3" t="s">
        <v>23</v>
      </c>
    </row>
    <row r="2714" spans="1:11" ht="42" customHeight="1">
      <c r="A2714" s="2" t="s">
        <v>5591</v>
      </c>
      <c r="B2714" s="2" t="s">
        <v>5592</v>
      </c>
      <c r="C2714" s="2" t="s">
        <v>17</v>
      </c>
      <c r="D2714" s="2" t="s">
        <v>18</v>
      </c>
      <c r="E2714" s="5">
        <v>-28037</v>
      </c>
      <c r="F2714" s="3" t="s">
        <v>192</v>
      </c>
      <c r="G2714" s="3" t="s">
        <v>48</v>
      </c>
      <c r="H2714" s="2" t="s">
        <v>21</v>
      </c>
      <c r="I2714" s="2" t="s">
        <v>5593</v>
      </c>
      <c r="J2714" s="3" t="str">
        <f>HYPERLINK("https://www.boe.es/gazeta/dias/1823/03/27/pdfs/GMD-1823-90.pdf#page=3","Abrir facsímil")</f>
        <v>Abrir facsímil</v>
      </c>
      <c r="K2714" s="3" t="s">
        <v>23</v>
      </c>
    </row>
    <row r="2715" spans="1:11" ht="42" customHeight="1">
      <c r="A2715" s="2" t="s">
        <v>5591</v>
      </c>
      <c r="B2715" s="2" t="s">
        <v>5592</v>
      </c>
      <c r="C2715" s="2" t="s">
        <v>56</v>
      </c>
      <c r="D2715" s="2" t="s">
        <v>57</v>
      </c>
      <c r="E2715" s="5">
        <v>-28037</v>
      </c>
      <c r="F2715" s="3" t="s">
        <v>192</v>
      </c>
      <c r="G2715" s="3" t="s">
        <v>20</v>
      </c>
      <c r="H2715" s="2" t="s">
        <v>21</v>
      </c>
      <c r="I2715" s="2" t="s">
        <v>5594</v>
      </c>
      <c r="J2715" s="3" t="str">
        <f>HYPERLINK("https://www.boe.es/gazeta/dias/1823/03/27/pdfs/GMD-1823-90.pdf#page=4","Abrir facsímil")</f>
        <v>Abrir facsímil</v>
      </c>
      <c r="K2715" s="3" t="s">
        <v>23</v>
      </c>
    </row>
    <row r="2716" spans="1:11" ht="42" customHeight="1">
      <c r="A2716" s="2" t="s">
        <v>5595</v>
      </c>
      <c r="B2716" s="2" t="s">
        <v>5596</v>
      </c>
      <c r="C2716" s="2" t="s">
        <v>56</v>
      </c>
      <c r="D2716" s="2" t="s">
        <v>57</v>
      </c>
      <c r="E2716" s="5">
        <v>-28069</v>
      </c>
      <c r="F2716" s="3" t="s">
        <v>2006</v>
      </c>
      <c r="G2716" s="3" t="s">
        <v>20</v>
      </c>
      <c r="H2716" s="2" t="s">
        <v>21</v>
      </c>
      <c r="I2716" s="2" t="s">
        <v>5597</v>
      </c>
      <c r="J2716" s="3" t="str">
        <f>HYPERLINK("https://www.boe.es/gazeta/dias/1823/02/23/pdfs/GMD-1823-57.pdf#page=4","Abrir facsímil")</f>
        <v>Abrir facsímil</v>
      </c>
      <c r="K2716" s="3" t="s">
        <v>23</v>
      </c>
    </row>
    <row r="2717" spans="1:11" ht="42" customHeight="1">
      <c r="A2717" s="2" t="s">
        <v>5595</v>
      </c>
      <c r="B2717" s="2" t="s">
        <v>5596</v>
      </c>
      <c r="C2717" s="2" t="s">
        <v>79</v>
      </c>
      <c r="D2717" s="2" t="s">
        <v>74</v>
      </c>
      <c r="E2717" s="5">
        <v>-28061</v>
      </c>
      <c r="F2717" s="3" t="s">
        <v>704</v>
      </c>
      <c r="G2717" s="3" t="s">
        <v>59</v>
      </c>
      <c r="H2717" s="2" t="s">
        <v>21</v>
      </c>
      <c r="I2717" s="2" t="s">
        <v>5598</v>
      </c>
      <c r="J2717" s="3" t="str">
        <f>HYPERLINK("https://www.boe.es/gazeta/dias/1823/03/03/pdfs/GMD-1823-66.pdf#page=6","Abrir facsímil")</f>
        <v>Abrir facsímil</v>
      </c>
      <c r="K2717" s="3" t="s">
        <v>23</v>
      </c>
    </row>
    <row r="2718" spans="1:11" ht="42" customHeight="1">
      <c r="A2718" s="2" t="s">
        <v>5595</v>
      </c>
      <c r="B2718" s="2" t="s">
        <v>5596</v>
      </c>
      <c r="C2718" s="2" t="s">
        <v>17</v>
      </c>
      <c r="D2718" s="2" t="s">
        <v>18</v>
      </c>
      <c r="E2718" s="5">
        <v>-28056</v>
      </c>
      <c r="F2718" s="3" t="s">
        <v>572</v>
      </c>
      <c r="G2718" s="3" t="s">
        <v>59</v>
      </c>
      <c r="H2718" s="2" t="s">
        <v>21</v>
      </c>
      <c r="I2718" s="2" t="s">
        <v>5599</v>
      </c>
      <c r="J2718" s="3" t="str">
        <f>HYPERLINK("https://www.boe.es/gazeta/dias/1823/03/08/pdfs/GMD-1823-71.pdf#page=6","Abrir facsímil")</f>
        <v>Abrir facsímil</v>
      </c>
      <c r="K2718" s="3" t="s">
        <v>23</v>
      </c>
    </row>
    <row r="2719" spans="1:11" ht="42" customHeight="1">
      <c r="A2719" s="2" t="s">
        <v>5600</v>
      </c>
      <c r="B2719" s="2" t="s">
        <v>5601</v>
      </c>
      <c r="C2719" s="2" t="s">
        <v>73</v>
      </c>
      <c r="D2719" s="2" t="s">
        <v>74</v>
      </c>
      <c r="E2719" s="5">
        <v>-28101</v>
      </c>
      <c r="F2719" s="3" t="s">
        <v>1041</v>
      </c>
      <c r="G2719" s="3" t="s">
        <v>20</v>
      </c>
      <c r="H2719" s="2" t="s">
        <v>21</v>
      </c>
      <c r="I2719" s="2" t="s">
        <v>5602</v>
      </c>
      <c r="J2719" s="3" t="str">
        <f>HYPERLINK("https://www.boe.es/gazeta/dias/1823/01/22/pdfs/GMD-1823-23.pdf#page=4","Abrir facsímil")</f>
        <v>Abrir facsímil</v>
      </c>
      <c r="K2719" s="3" t="s">
        <v>23</v>
      </c>
    </row>
    <row r="2720" spans="1:11" ht="42" customHeight="1">
      <c r="A2720" s="2" t="s">
        <v>5603</v>
      </c>
      <c r="B2720" s="2" t="s">
        <v>5603</v>
      </c>
      <c r="C2720" s="2" t="s">
        <v>84</v>
      </c>
      <c r="D2720" s="2" t="s">
        <v>74</v>
      </c>
      <c r="E2720" s="5">
        <v>-27947</v>
      </c>
      <c r="F2720" s="3" t="s">
        <v>2144</v>
      </c>
      <c r="G2720" s="3" t="s">
        <v>48</v>
      </c>
      <c r="H2720" s="2" t="s">
        <v>21</v>
      </c>
      <c r="I2720" s="2" t="s">
        <v>5604</v>
      </c>
      <c r="J2720" s="3" t="str">
        <f>HYPERLINK("https://www.boe.es/gazeta/dias/1823/06/25/pdfs/GES-1823-75.pdf#page=3","Abrir facsímil")</f>
        <v>Abrir facsímil</v>
      </c>
      <c r="K2720" s="3" t="s">
        <v>23</v>
      </c>
    </row>
    <row r="2721" spans="1:11" ht="42" customHeight="1">
      <c r="A2721" s="2" t="s">
        <v>5605</v>
      </c>
      <c r="B2721" s="2" t="s">
        <v>5606</v>
      </c>
      <c r="C2721" s="2" t="s">
        <v>17</v>
      </c>
      <c r="D2721" s="2" t="s">
        <v>18</v>
      </c>
      <c r="E2721" s="5">
        <v>-27923</v>
      </c>
      <c r="F2721" s="3" t="s">
        <v>1225</v>
      </c>
      <c r="G2721" s="3" t="s">
        <v>20</v>
      </c>
      <c r="H2721" s="2" t="s">
        <v>21</v>
      </c>
      <c r="I2721" s="2" t="s">
        <v>5607</v>
      </c>
      <c r="J2721" s="3" t="str">
        <f>HYPERLINK("https://www.boe.es/gazeta/dias/1823/07/19/pdfs/GMD-1823-433.pdf#page=4","Abrir facsímil")</f>
        <v>Abrir facsímil</v>
      </c>
      <c r="K2721" s="3" t="s">
        <v>23</v>
      </c>
    </row>
    <row r="2722" spans="1:11" ht="42" customHeight="1">
      <c r="A2722" s="2" t="s">
        <v>5608</v>
      </c>
      <c r="B2722" s="2" t="s">
        <v>5609</v>
      </c>
      <c r="C2722" s="2" t="s">
        <v>79</v>
      </c>
      <c r="D2722" s="2" t="s">
        <v>74</v>
      </c>
      <c r="E2722" s="5">
        <v>-27920</v>
      </c>
      <c r="F2722" s="3" t="s">
        <v>1334</v>
      </c>
      <c r="G2722" s="3" t="s">
        <v>276</v>
      </c>
      <c r="H2722" s="2" t="s">
        <v>21</v>
      </c>
      <c r="I2722" s="2" t="s">
        <v>5610</v>
      </c>
      <c r="J2722" s="3" t="str">
        <f>HYPERLINK("https://www.boe.es/gazeta/dias/1823/07/22/pdfs/GMD-1823-443.pdf#page=7","Abrir facsímil")</f>
        <v>Abrir facsímil</v>
      </c>
      <c r="K2722" s="3" t="s">
        <v>23</v>
      </c>
    </row>
    <row r="2723" spans="1:11" ht="42" customHeight="1">
      <c r="A2723" s="2" t="s">
        <v>5611</v>
      </c>
      <c r="B2723" s="2" t="s">
        <v>5612</v>
      </c>
      <c r="C2723" s="2" t="s">
        <v>17</v>
      </c>
      <c r="D2723" s="2" t="s">
        <v>18</v>
      </c>
      <c r="E2723" s="5">
        <v>-27764</v>
      </c>
      <c r="F2723" s="3" t="s">
        <v>3370</v>
      </c>
      <c r="G2723" s="3" t="s">
        <v>39</v>
      </c>
      <c r="H2723" s="2" t="s">
        <v>21</v>
      </c>
      <c r="I2723" s="2" t="s">
        <v>5613</v>
      </c>
      <c r="J2723" s="3" t="str">
        <f>HYPERLINK("https://www.boe.es/gazeta/dias/1823/12/25/pdfs/GMD-1823-1293.pdf#page=1","Abrir facsímil")</f>
        <v>Abrir facsímil</v>
      </c>
      <c r="K2723" s="3" t="s">
        <v>23</v>
      </c>
    </row>
    <row r="2724" spans="1:11" ht="42" customHeight="1">
      <c r="A2724" s="2" t="s">
        <v>5614</v>
      </c>
      <c r="B2724" s="2" t="s">
        <v>5615</v>
      </c>
      <c r="C2724" s="2" t="s">
        <v>17</v>
      </c>
      <c r="D2724" s="2" t="s">
        <v>18</v>
      </c>
      <c r="E2724" s="5">
        <v>-27971</v>
      </c>
      <c r="F2724" s="3" t="s">
        <v>4211</v>
      </c>
      <c r="G2724" s="3" t="s">
        <v>20</v>
      </c>
      <c r="H2724" s="2" t="s">
        <v>21</v>
      </c>
      <c r="I2724" s="2" t="s">
        <v>5616</v>
      </c>
      <c r="J2724" s="3" t="str">
        <f>HYPERLINK("https://www.boe.es/gazeta/dias/1823/06/01/pdfs/GES-1823-55.pdf#page=4","Abrir facsímil")</f>
        <v>Abrir facsímil</v>
      </c>
      <c r="K2724" s="3" t="s">
        <v>23</v>
      </c>
    </row>
    <row r="2725" spans="1:11" ht="42" customHeight="1">
      <c r="A2725" s="2" t="s">
        <v>5617</v>
      </c>
      <c r="B2725" s="2" t="s">
        <v>5618</v>
      </c>
      <c r="C2725" s="2" t="s">
        <v>73</v>
      </c>
      <c r="D2725" s="2" t="s">
        <v>74</v>
      </c>
      <c r="E2725" s="5">
        <v>-27985</v>
      </c>
      <c r="F2725" s="3" t="s">
        <v>951</v>
      </c>
      <c r="G2725" s="3" t="s">
        <v>1140</v>
      </c>
      <c r="H2725" s="2" t="s">
        <v>21</v>
      </c>
      <c r="I2725" s="2" t="s">
        <v>5619</v>
      </c>
      <c r="J2725" s="3" t="str">
        <f>HYPERLINK("https://www.boe.es/gazeta/dias/1823/05/18/pdfs/GES-1823-38.pdf#page=5","Abrir facsímil")</f>
        <v>Abrir facsímil</v>
      </c>
      <c r="K2725" s="3" t="s">
        <v>23</v>
      </c>
    </row>
    <row r="2726" spans="1:11" ht="42" customHeight="1">
      <c r="A2726" s="2" t="s">
        <v>5620</v>
      </c>
      <c r="B2726" s="2" t="s">
        <v>5621</v>
      </c>
      <c r="C2726" s="2" t="s">
        <v>109</v>
      </c>
      <c r="D2726" s="2" t="s">
        <v>74</v>
      </c>
      <c r="E2726" s="5">
        <v>-27964</v>
      </c>
      <c r="F2726" s="3" t="s">
        <v>58</v>
      </c>
      <c r="G2726" s="3" t="s">
        <v>48</v>
      </c>
      <c r="H2726" s="2" t="s">
        <v>21</v>
      </c>
      <c r="I2726" s="2" t="s">
        <v>5622</v>
      </c>
      <c r="J2726" s="3" t="str">
        <f>HYPERLINK("https://www.boe.es/gazeta/dias/1823/06/08/pdfs/GES-1823-62.pdf#page=3","Abrir facsímil")</f>
        <v>Abrir facsímil</v>
      </c>
      <c r="K2726" s="3" t="s">
        <v>23</v>
      </c>
    </row>
    <row r="2727" spans="1:11" ht="42" customHeight="1">
      <c r="A2727" s="2" t="s">
        <v>5623</v>
      </c>
      <c r="B2727" s="2" t="s">
        <v>5624</v>
      </c>
      <c r="C2727" s="2" t="s">
        <v>73</v>
      </c>
      <c r="D2727" s="2" t="s">
        <v>74</v>
      </c>
      <c r="E2727" s="5">
        <v>-28058</v>
      </c>
      <c r="F2727" s="3" t="s">
        <v>1282</v>
      </c>
      <c r="G2727" s="3" t="s">
        <v>20</v>
      </c>
      <c r="H2727" s="2" t="s">
        <v>21</v>
      </c>
      <c r="I2727" s="2" t="s">
        <v>5625</v>
      </c>
      <c r="J2727" s="3" t="str">
        <f>HYPERLINK("https://www.boe.es/gazeta/dias/1823/03/06/pdfs/GMD-1823-69.pdf#page=4","Abrir facsímil")</f>
        <v>Abrir facsímil</v>
      </c>
      <c r="K2727" s="3" t="s">
        <v>23</v>
      </c>
    </row>
    <row r="2728" spans="1:11" ht="42" customHeight="1">
      <c r="A2728" s="2" t="s">
        <v>5626</v>
      </c>
      <c r="B2728" s="2" t="s">
        <v>5627</v>
      </c>
      <c r="C2728" s="2" t="s">
        <v>17</v>
      </c>
      <c r="D2728" s="2" t="s">
        <v>18</v>
      </c>
      <c r="E2728" s="5">
        <v>-28020</v>
      </c>
      <c r="F2728" s="3" t="s">
        <v>448</v>
      </c>
      <c r="G2728" s="3" t="s">
        <v>5628</v>
      </c>
      <c r="H2728" s="2" t="s">
        <v>21</v>
      </c>
      <c r="I2728" s="2" t="s">
        <v>5629</v>
      </c>
      <c r="J2728" s="3" t="str">
        <f>HYPERLINK("https://www.boe.es/gazeta/dias/1823/04/13/pdfs/GES-1823-3.pdf#page=2","Abrir facsímil")</f>
        <v>Abrir facsímil</v>
      </c>
      <c r="K2728" s="3" t="s">
        <v>23</v>
      </c>
    </row>
    <row r="2729" spans="1:11" ht="42" customHeight="1">
      <c r="A2729" s="2" t="s">
        <v>5626</v>
      </c>
      <c r="B2729" s="2" t="s">
        <v>5627</v>
      </c>
      <c r="C2729" s="2" t="s">
        <v>17</v>
      </c>
      <c r="D2729" s="2" t="s">
        <v>18</v>
      </c>
      <c r="E2729" s="5">
        <v>-28006</v>
      </c>
      <c r="F2729" s="3" t="s">
        <v>183</v>
      </c>
      <c r="G2729" s="3" t="s">
        <v>59</v>
      </c>
      <c r="H2729" s="2" t="s">
        <v>21</v>
      </c>
      <c r="I2729" s="2" t="s">
        <v>5630</v>
      </c>
      <c r="J2729" s="3" t="str">
        <f>HYPERLINK("https://www.boe.es/gazeta/dias/1823/04/27/pdfs/GES-1823-17.pdf#page=6","Abrir facsímil")</f>
        <v>Abrir facsímil</v>
      </c>
      <c r="K2729" s="3" t="s">
        <v>23</v>
      </c>
    </row>
    <row r="2730" spans="1:11" ht="42" customHeight="1">
      <c r="A2730" s="2" t="s">
        <v>5631</v>
      </c>
      <c r="B2730" s="2" t="s">
        <v>5632</v>
      </c>
      <c r="C2730" s="2" t="s">
        <v>56</v>
      </c>
      <c r="D2730" s="2" t="s">
        <v>57</v>
      </c>
      <c r="E2730" s="5">
        <v>-28013</v>
      </c>
      <c r="F2730" s="3" t="s">
        <v>105</v>
      </c>
      <c r="G2730" s="3" t="s">
        <v>48</v>
      </c>
      <c r="H2730" s="2" t="s">
        <v>21</v>
      </c>
      <c r="I2730" s="2" t="s">
        <v>5633</v>
      </c>
      <c r="J2730" s="3" t="str">
        <f>HYPERLINK("https://www.boe.es/gazeta/dias/1823/04/20/pdfs/GMD-1823-32.pdf#page=3","Abrir facsímil")</f>
        <v>Abrir facsímil</v>
      </c>
      <c r="K2730" s="3" t="s">
        <v>23</v>
      </c>
    </row>
    <row r="2731" spans="1:11" ht="42" customHeight="1">
      <c r="A2731" s="2" t="s">
        <v>5634</v>
      </c>
      <c r="B2731" s="2" t="s">
        <v>5634</v>
      </c>
      <c r="C2731" s="2" t="s">
        <v>17</v>
      </c>
      <c r="D2731" s="2" t="s">
        <v>18</v>
      </c>
      <c r="E2731" s="5">
        <v>-27894</v>
      </c>
      <c r="F2731" s="3" t="s">
        <v>2013</v>
      </c>
      <c r="G2731" s="3" t="s">
        <v>48</v>
      </c>
      <c r="H2731" s="2" t="s">
        <v>21</v>
      </c>
      <c r="I2731" s="2" t="s">
        <v>5635</v>
      </c>
      <c r="J2731" s="3" t="str">
        <f>HYPERLINK("https://www.boe.es/gazeta/dias/1823/08/17/pdfs/GES-1823-130.pdf#page=3","Abrir facsímil")</f>
        <v>Abrir facsímil</v>
      </c>
      <c r="K2731" s="3" t="s">
        <v>23</v>
      </c>
    </row>
    <row r="2732" spans="1:11" ht="42" customHeight="1">
      <c r="A2732" s="2" t="s">
        <v>5634</v>
      </c>
      <c r="B2732" s="2" t="s">
        <v>5634</v>
      </c>
      <c r="C2732" s="2" t="s">
        <v>17</v>
      </c>
      <c r="D2732" s="2" t="s">
        <v>18</v>
      </c>
      <c r="E2732" s="5">
        <v>-27894</v>
      </c>
      <c r="F2732" s="3" t="s">
        <v>2013</v>
      </c>
      <c r="G2732" s="3" t="s">
        <v>20</v>
      </c>
      <c r="H2732" s="2" t="s">
        <v>21</v>
      </c>
      <c r="I2732" s="2" t="s">
        <v>5636</v>
      </c>
      <c r="J2732" s="3" t="str">
        <f>HYPERLINK("https://www.boe.es/gazeta/dias/1823/08/17/pdfs/GES-1823-130.pdf#page=4","Abrir facsímil")</f>
        <v>Abrir facsímil</v>
      </c>
      <c r="K2732" s="3" t="s">
        <v>23</v>
      </c>
    </row>
    <row r="2733" spans="1:11" ht="42" customHeight="1">
      <c r="A2733" s="2" t="s">
        <v>5637</v>
      </c>
      <c r="B2733" s="2" t="s">
        <v>5638</v>
      </c>
      <c r="C2733" s="2" t="s">
        <v>17</v>
      </c>
      <c r="D2733" s="2" t="s">
        <v>18</v>
      </c>
      <c r="E2733" s="5">
        <v>-27860</v>
      </c>
      <c r="F2733" s="3" t="s">
        <v>998</v>
      </c>
      <c r="G2733" s="3" t="s">
        <v>59</v>
      </c>
      <c r="H2733" s="2" t="s">
        <v>21</v>
      </c>
      <c r="I2733" s="2" t="s">
        <v>5639</v>
      </c>
      <c r="J2733" s="3" t="str">
        <f>HYPERLINK("https://www.boe.es/gazeta/dias/1823/09/20/pdfs/GMD-1823-813.pdf#page=6","Abrir facsímil")</f>
        <v>Abrir facsímil</v>
      </c>
      <c r="K2733" s="3" t="s">
        <v>23</v>
      </c>
    </row>
    <row r="2734" spans="1:11" ht="42" customHeight="1">
      <c r="A2734" s="2" t="s">
        <v>5640</v>
      </c>
      <c r="B2734" s="2" t="s">
        <v>5641</v>
      </c>
      <c r="C2734" s="2" t="s">
        <v>17</v>
      </c>
      <c r="D2734" s="2" t="s">
        <v>18</v>
      </c>
      <c r="E2734" s="5">
        <v>-27895</v>
      </c>
      <c r="F2734" s="3" t="s">
        <v>5642</v>
      </c>
      <c r="G2734" s="3" t="s">
        <v>39</v>
      </c>
      <c r="H2734" s="2" t="s">
        <v>21</v>
      </c>
      <c r="I2734" s="2" t="s">
        <v>5643</v>
      </c>
      <c r="J2734" s="3" t="str">
        <f>HYPERLINK("https://www.boe.es/gazeta/dias/1823/08/16/pdfs/GMD-1823-603.pdf#page=1","Abrir facsímil")</f>
        <v>Abrir facsímil</v>
      </c>
      <c r="K2734" s="3" t="s">
        <v>23</v>
      </c>
    </row>
    <row r="2735" spans="1:11" ht="42" customHeight="1">
      <c r="A2735" s="2" t="s">
        <v>5644</v>
      </c>
      <c r="B2735" s="2" t="s">
        <v>5644</v>
      </c>
      <c r="C2735" s="2" t="s">
        <v>17</v>
      </c>
      <c r="D2735" s="2" t="s">
        <v>18</v>
      </c>
      <c r="E2735" s="5">
        <v>-27913</v>
      </c>
      <c r="F2735" s="3" t="s">
        <v>829</v>
      </c>
      <c r="G2735" s="3" t="s">
        <v>39</v>
      </c>
      <c r="H2735" s="2" t="s">
        <v>21</v>
      </c>
      <c r="I2735" s="2" t="s">
        <v>5645</v>
      </c>
      <c r="J2735" s="3" t="str">
        <f>HYPERLINK("https://www.boe.es/gazeta/dias/1823/07/29/pdfs/GMD-1823-483.pdf#page=1","Abrir facsímil")</f>
        <v>Abrir facsímil</v>
      </c>
      <c r="K2735" s="3" t="s">
        <v>23</v>
      </c>
    </row>
    <row r="2736" spans="1:11" ht="42" customHeight="1">
      <c r="A2736" s="2" t="s">
        <v>5646</v>
      </c>
      <c r="B2736" s="2" t="s">
        <v>5646</v>
      </c>
      <c r="C2736" s="2" t="s">
        <v>17</v>
      </c>
      <c r="D2736" s="2" t="s">
        <v>18</v>
      </c>
      <c r="E2736" s="5">
        <v>-27881</v>
      </c>
      <c r="F2736" s="3" t="s">
        <v>725</v>
      </c>
      <c r="G2736" s="3" t="s">
        <v>39</v>
      </c>
      <c r="H2736" s="2" t="s">
        <v>21</v>
      </c>
      <c r="I2736" s="2" t="s">
        <v>5647</v>
      </c>
      <c r="J2736" s="3" t="str">
        <f>HYPERLINK("https://www.boe.es/gazeta/dias/1823/08/30/pdfs/GMD-1823-673.pdf#page=1","Abrir facsímil")</f>
        <v>Abrir facsímil</v>
      </c>
      <c r="K2736" s="3" t="s">
        <v>23</v>
      </c>
    </row>
    <row r="2737" spans="1:11" ht="42" customHeight="1">
      <c r="A2737" s="2" t="s">
        <v>5648</v>
      </c>
      <c r="B2737" s="2" t="s">
        <v>5649</v>
      </c>
      <c r="C2737" s="2" t="s">
        <v>17</v>
      </c>
      <c r="D2737" s="2" t="s">
        <v>117</v>
      </c>
      <c r="E2737" s="5">
        <v>-27953</v>
      </c>
      <c r="F2737" s="3" t="s">
        <v>2684</v>
      </c>
      <c r="G2737" s="3" t="s">
        <v>39</v>
      </c>
      <c r="H2737" s="2" t="s">
        <v>21</v>
      </c>
      <c r="I2737" s="2" t="s">
        <v>5650</v>
      </c>
      <c r="J2737" s="3" t="str">
        <f>HYPERLINK("https://www.boe.es/gazeta/dias/1823/06/19/pdfs/GMD-1823-203E.pdf#page=1","Abrir facsímil")</f>
        <v>Abrir facsímil</v>
      </c>
      <c r="K2737" s="3" t="s">
        <v>23</v>
      </c>
    </row>
    <row r="2738" spans="1:11" ht="42" customHeight="1">
      <c r="A2738" s="2" t="s">
        <v>5648</v>
      </c>
      <c r="B2738" s="2" t="s">
        <v>5649</v>
      </c>
      <c r="C2738" s="2" t="s">
        <v>109</v>
      </c>
      <c r="D2738" s="2" t="s">
        <v>74</v>
      </c>
      <c r="E2738" s="5">
        <v>-27948</v>
      </c>
      <c r="F2738" s="3" t="s">
        <v>3752</v>
      </c>
      <c r="G2738" s="3" t="s">
        <v>39</v>
      </c>
      <c r="H2738" s="2" t="s">
        <v>21</v>
      </c>
      <c r="I2738" s="2" t="s">
        <v>5651</v>
      </c>
      <c r="J2738" s="3" t="str">
        <f>HYPERLINK("https://www.boe.es/gazeta/dias/1823/06/24/pdfs/GMD-1823-263.pdf#page=1","Abrir facsímil")</f>
        <v>Abrir facsímil</v>
      </c>
      <c r="K2738" s="3" t="s">
        <v>23</v>
      </c>
    </row>
    <row r="2739" spans="1:11" ht="42" customHeight="1">
      <c r="A2739" s="2" t="s">
        <v>5652</v>
      </c>
      <c r="B2739" s="2" t="s">
        <v>5653</v>
      </c>
      <c r="C2739" s="2" t="s">
        <v>79</v>
      </c>
      <c r="D2739" s="2" t="s">
        <v>74</v>
      </c>
      <c r="E2739" s="5">
        <v>-27941</v>
      </c>
      <c r="F2739" s="3" t="s">
        <v>1551</v>
      </c>
      <c r="G2739" s="3" t="s">
        <v>20</v>
      </c>
      <c r="H2739" s="2" t="s">
        <v>21</v>
      </c>
      <c r="I2739" s="2" t="s">
        <v>5654</v>
      </c>
      <c r="J2739" s="3" t="str">
        <f>HYPERLINK("https://www.boe.es/gazeta/dias/1823/07/01/pdfs/GMD-1823-323.pdf#page=4","Abrir facsímil")</f>
        <v>Abrir facsímil</v>
      </c>
      <c r="K2739" s="3" t="s">
        <v>23</v>
      </c>
    </row>
    <row r="2740" spans="1:11" ht="42" customHeight="1">
      <c r="A2740" s="2" t="s">
        <v>5655</v>
      </c>
      <c r="B2740" s="2" t="s">
        <v>5656</v>
      </c>
      <c r="C2740" s="2" t="s">
        <v>17</v>
      </c>
      <c r="D2740" s="2" t="s">
        <v>18</v>
      </c>
      <c r="E2740" s="5">
        <v>-27881</v>
      </c>
      <c r="F2740" s="3" t="s">
        <v>725</v>
      </c>
      <c r="G2740" s="3" t="s">
        <v>39</v>
      </c>
      <c r="H2740" s="2" t="s">
        <v>21</v>
      </c>
      <c r="I2740" s="2" t="s">
        <v>5657</v>
      </c>
      <c r="J2740" s="3" t="str">
        <f>HYPERLINK("https://www.boe.es/gazeta/dias/1823/08/30/pdfs/GMD-1823-673.pdf#page=1","Abrir facsímil")</f>
        <v>Abrir facsímil</v>
      </c>
      <c r="K2740" s="3" t="s">
        <v>23</v>
      </c>
    </row>
    <row r="2741" spans="1:11" ht="42" customHeight="1">
      <c r="A2741" s="2" t="s">
        <v>5658</v>
      </c>
      <c r="B2741" s="2" t="s">
        <v>5659</v>
      </c>
      <c r="C2741" s="2" t="s">
        <v>79</v>
      </c>
      <c r="D2741" s="2" t="s">
        <v>74</v>
      </c>
      <c r="E2741" s="5">
        <v>-27881</v>
      </c>
      <c r="F2741" s="3" t="s">
        <v>725</v>
      </c>
      <c r="G2741" s="3" t="s">
        <v>321</v>
      </c>
      <c r="H2741" s="2" t="s">
        <v>21</v>
      </c>
      <c r="I2741" s="2" t="s">
        <v>5660</v>
      </c>
      <c r="J2741" s="3" t="str">
        <f>HYPERLINK("https://www.boe.es/gazeta/dias/1823/08/30/pdfs/GMD-1823-673.pdf#page=2","Abrir facsímil")</f>
        <v>Abrir facsímil</v>
      </c>
      <c r="K2741" s="3" t="s">
        <v>23</v>
      </c>
    </row>
    <row r="2742" spans="1:11" ht="42" customHeight="1">
      <c r="A2742" s="2" t="s">
        <v>5661</v>
      </c>
      <c r="B2742" s="2" t="s">
        <v>5661</v>
      </c>
      <c r="C2742" s="2" t="s">
        <v>17</v>
      </c>
      <c r="D2742" s="2" t="s">
        <v>18</v>
      </c>
      <c r="E2742" s="5">
        <v>-27936</v>
      </c>
      <c r="F2742" s="3" t="s">
        <v>4620</v>
      </c>
      <c r="G2742" s="3" t="s">
        <v>39</v>
      </c>
      <c r="H2742" s="2" t="s">
        <v>21</v>
      </c>
      <c r="I2742" s="2" t="s">
        <v>5662</v>
      </c>
      <c r="J2742" s="3" t="str">
        <f>HYPERLINK("https://www.boe.es/gazeta/dias/1823/07/06/pdfs/GES-1823-86.pdf#page=1","Abrir facsímil")</f>
        <v>Abrir facsímil</v>
      </c>
      <c r="K2742" s="3" t="s">
        <v>23</v>
      </c>
    </row>
    <row r="2743" spans="1:11" ht="42" customHeight="1">
      <c r="A2743" s="2" t="s">
        <v>5663</v>
      </c>
      <c r="B2743" s="2" t="s">
        <v>5663</v>
      </c>
      <c r="C2743" s="2" t="s">
        <v>17</v>
      </c>
      <c r="D2743" s="2" t="s">
        <v>18</v>
      </c>
      <c r="E2743" s="5">
        <v>-27857</v>
      </c>
      <c r="F2743" s="3" t="s">
        <v>4857</v>
      </c>
      <c r="G2743" s="3" t="s">
        <v>48</v>
      </c>
      <c r="H2743" s="2" t="s">
        <v>21</v>
      </c>
      <c r="I2743" s="2" t="s">
        <v>5664</v>
      </c>
      <c r="J2743" s="3" t="str">
        <f>HYPERLINK("https://www.boe.es/gazeta/dias/1823/09/23/pdfs/GES-1823-167.pdf#page=3","Abrir facsímil")</f>
        <v>Abrir facsímil</v>
      </c>
      <c r="K2743" s="3" t="s">
        <v>23</v>
      </c>
    </row>
    <row r="2744" spans="1:11" ht="42" customHeight="1">
      <c r="A2744" s="2" t="s">
        <v>5665</v>
      </c>
      <c r="B2744" s="2" t="s">
        <v>5666</v>
      </c>
      <c r="C2744" s="2" t="s">
        <v>17</v>
      </c>
      <c r="D2744" s="2" t="s">
        <v>18</v>
      </c>
      <c r="E2744" s="5">
        <v>-28064</v>
      </c>
      <c r="F2744" s="3" t="s">
        <v>1190</v>
      </c>
      <c r="G2744" s="3" t="s">
        <v>20</v>
      </c>
      <c r="H2744" s="2" t="s">
        <v>21</v>
      </c>
      <c r="I2744" s="2" t="s">
        <v>5667</v>
      </c>
      <c r="J2744" s="3" t="str">
        <f>HYPERLINK("https://www.boe.es/gazeta/dias/1823/02/28/pdfs/GMD-1823-62.pdf#page=4","Abrir facsímil")</f>
        <v>Abrir facsímil</v>
      </c>
      <c r="K2744" s="3" t="s">
        <v>23</v>
      </c>
    </row>
    <row r="2745" spans="1:11" ht="42" customHeight="1">
      <c r="A2745" s="2" t="s">
        <v>5668</v>
      </c>
      <c r="B2745" s="2" t="s">
        <v>5668</v>
      </c>
      <c r="C2745" s="2" t="s">
        <v>79</v>
      </c>
      <c r="D2745" s="2" t="s">
        <v>74</v>
      </c>
      <c r="E2745" s="5">
        <v>-28051</v>
      </c>
      <c r="F2745" s="3" t="s">
        <v>305</v>
      </c>
      <c r="G2745" s="3" t="s">
        <v>39</v>
      </c>
      <c r="H2745" s="2" t="s">
        <v>21</v>
      </c>
      <c r="I2745" s="2" t="s">
        <v>5669</v>
      </c>
      <c r="J2745" s="3" t="str">
        <f>HYPERLINK("https://www.boe.es/gazeta/dias/1823/03/13/pdfs/GMD-1823-76.pdf#page=1","Abrir facsímil")</f>
        <v>Abrir facsímil</v>
      </c>
      <c r="K2745" s="3" t="s">
        <v>23</v>
      </c>
    </row>
    <row r="2746" spans="1:11" ht="42" customHeight="1">
      <c r="A2746" s="2" t="s">
        <v>5668</v>
      </c>
      <c r="B2746" s="2" t="s">
        <v>5668</v>
      </c>
      <c r="C2746" s="2" t="s">
        <v>84</v>
      </c>
      <c r="D2746" s="2" t="s">
        <v>74</v>
      </c>
      <c r="E2746" s="5">
        <v>-28041</v>
      </c>
      <c r="F2746" s="3" t="s">
        <v>873</v>
      </c>
      <c r="G2746" s="3" t="s">
        <v>366</v>
      </c>
      <c r="H2746" s="2" t="s">
        <v>21</v>
      </c>
      <c r="I2746" s="2" t="s">
        <v>5670</v>
      </c>
      <c r="J2746" s="3" t="str">
        <f>HYPERLINK("https://www.boe.es/gazeta/dias/1823/03/23/pdfs/GMD-1823-86.pdf#page=4","Abrir facsímil")</f>
        <v>Abrir facsímil</v>
      </c>
      <c r="K2746" s="3" t="s">
        <v>23</v>
      </c>
    </row>
    <row r="2747" spans="1:11" ht="42" customHeight="1">
      <c r="A2747" s="2" t="s">
        <v>5668</v>
      </c>
      <c r="B2747" s="2" t="s">
        <v>5668</v>
      </c>
      <c r="C2747" s="2" t="s">
        <v>17</v>
      </c>
      <c r="D2747" s="2" t="s">
        <v>18</v>
      </c>
      <c r="E2747" s="5">
        <v>-27979</v>
      </c>
      <c r="F2747" s="3" t="s">
        <v>1071</v>
      </c>
      <c r="G2747" s="3" t="s">
        <v>5671</v>
      </c>
      <c r="H2747" s="2" t="s">
        <v>21</v>
      </c>
      <c r="I2747" s="2" t="s">
        <v>5672</v>
      </c>
      <c r="J2747" s="3" t="str">
        <f>HYPERLINK("https://www.boe.es/gazeta/dias/1823/05/24/pdfs/GES-1823-45.pdf#page=4","Abrir facsímil")</f>
        <v>Abrir facsímil</v>
      </c>
      <c r="K2747" s="3" t="s">
        <v>23</v>
      </c>
    </row>
    <row r="2748" spans="1:11" ht="42" customHeight="1">
      <c r="A2748" s="2" t="s">
        <v>5673</v>
      </c>
      <c r="B2748" s="2" t="s">
        <v>5674</v>
      </c>
      <c r="C2748" s="2" t="s">
        <v>17</v>
      </c>
      <c r="D2748" s="2" t="s">
        <v>18</v>
      </c>
      <c r="E2748" s="5">
        <v>-27904</v>
      </c>
      <c r="F2748" s="3" t="s">
        <v>1227</v>
      </c>
      <c r="G2748" s="3" t="s">
        <v>34</v>
      </c>
      <c r="H2748" s="2" t="s">
        <v>21</v>
      </c>
      <c r="I2748" s="2" t="s">
        <v>5675</v>
      </c>
      <c r="J2748" s="3" t="str">
        <f>HYPERLINK("https://www.boe.es/gazeta/dias/1823/08/07/pdfs/GMD-1823-543.pdf#page=5","Abrir facsímil")</f>
        <v>Abrir facsímil</v>
      </c>
      <c r="K2748" s="3" t="s">
        <v>23</v>
      </c>
    </row>
    <row r="2749" spans="1:11" ht="42" customHeight="1">
      <c r="A2749" s="2" t="s">
        <v>5676</v>
      </c>
      <c r="B2749" s="2" t="s">
        <v>5677</v>
      </c>
      <c r="C2749" s="2" t="s">
        <v>109</v>
      </c>
      <c r="D2749" s="2" t="s">
        <v>74</v>
      </c>
      <c r="E2749" s="5">
        <v>-27974</v>
      </c>
      <c r="F2749" s="3" t="s">
        <v>618</v>
      </c>
      <c r="G2749" s="3" t="s">
        <v>39</v>
      </c>
      <c r="H2749" s="2" t="s">
        <v>21</v>
      </c>
      <c r="I2749" s="2" t="s">
        <v>5678</v>
      </c>
      <c r="J2749" s="3" t="str">
        <f>HYPERLINK("https://www.boe.es/gazeta/dias/1823/05/29/pdfs/GES-1823-52.pdf#page=1","Abrir facsímil")</f>
        <v>Abrir facsímil</v>
      </c>
      <c r="K2749" s="3" t="s">
        <v>23</v>
      </c>
    </row>
    <row r="2750" spans="1:11" ht="42" customHeight="1">
      <c r="A2750" s="2" t="s">
        <v>5679</v>
      </c>
      <c r="B2750" s="2" t="s">
        <v>5679</v>
      </c>
      <c r="C2750" s="2" t="s">
        <v>79</v>
      </c>
      <c r="D2750" s="2" t="s">
        <v>74</v>
      </c>
      <c r="E2750" s="5">
        <v>-27892</v>
      </c>
      <c r="F2750" s="3" t="s">
        <v>1571</v>
      </c>
      <c r="G2750" s="3" t="s">
        <v>20</v>
      </c>
      <c r="H2750" s="2" t="s">
        <v>21</v>
      </c>
      <c r="I2750" s="2" t="s">
        <v>5680</v>
      </c>
      <c r="J2750" s="3" t="str">
        <f>HYPERLINK("https://www.boe.es/gazeta/dias/1823/08/19/pdfs/GMD-1823-613.pdf#page=4","Abrir facsímil")</f>
        <v>Abrir facsímil</v>
      </c>
      <c r="K2750" s="3" t="s">
        <v>23</v>
      </c>
    </row>
    <row r="2751" spans="1:11" ht="42" customHeight="1">
      <c r="A2751" s="2" t="s">
        <v>5681</v>
      </c>
      <c r="B2751" s="2" t="s">
        <v>5682</v>
      </c>
      <c r="C2751" s="2" t="s">
        <v>109</v>
      </c>
      <c r="D2751" s="2" t="s">
        <v>74</v>
      </c>
      <c r="E2751" s="5">
        <v>-27906</v>
      </c>
      <c r="F2751" s="3" t="s">
        <v>241</v>
      </c>
      <c r="G2751" s="3" t="s">
        <v>48</v>
      </c>
      <c r="H2751" s="2" t="s">
        <v>21</v>
      </c>
      <c r="I2751" s="2" t="s">
        <v>5683</v>
      </c>
      <c r="J2751" s="3" t="str">
        <f>HYPERLINK("https://www.boe.es/gazeta/dias/1823/08/05/pdfs/GES-1823-117.pdf#page=3","Abrir facsímil")</f>
        <v>Abrir facsímil</v>
      </c>
      <c r="K2751" s="3" t="s">
        <v>23</v>
      </c>
    </row>
    <row r="2752" spans="1:11" ht="42" customHeight="1">
      <c r="A2752" s="2" t="s">
        <v>5684</v>
      </c>
      <c r="B2752" s="2" t="s">
        <v>5684</v>
      </c>
      <c r="C2752" s="2" t="s">
        <v>17</v>
      </c>
      <c r="D2752" s="2" t="s">
        <v>18</v>
      </c>
      <c r="E2752" s="5">
        <v>-27808</v>
      </c>
      <c r="F2752" s="3" t="s">
        <v>1602</v>
      </c>
      <c r="G2752" s="3" t="s">
        <v>27</v>
      </c>
      <c r="H2752" s="2" t="s">
        <v>21</v>
      </c>
      <c r="I2752" s="2" t="s">
        <v>5685</v>
      </c>
      <c r="J2752" s="3" t="str">
        <f>HYPERLINK("https://www.boe.es/gazeta/dias/1823/11/11/pdfs/GMD-1823-1103.pdf#page=2","Abrir facsímil")</f>
        <v>Abrir facsímil</v>
      </c>
      <c r="K2752" s="3" t="s">
        <v>23</v>
      </c>
    </row>
    <row r="2753" spans="1:11" ht="42" customHeight="1">
      <c r="A2753" s="2" t="s">
        <v>5686</v>
      </c>
      <c r="B2753" s="2" t="s">
        <v>5687</v>
      </c>
      <c r="C2753" s="2" t="s">
        <v>17</v>
      </c>
      <c r="D2753" s="2" t="s">
        <v>18</v>
      </c>
      <c r="E2753" s="5">
        <v>-28057</v>
      </c>
      <c r="F2753" s="3" t="s">
        <v>301</v>
      </c>
      <c r="G2753" s="3" t="s">
        <v>20</v>
      </c>
      <c r="H2753" s="2" t="s">
        <v>21</v>
      </c>
      <c r="I2753" s="2" t="s">
        <v>5688</v>
      </c>
      <c r="J2753" s="3" t="str">
        <f>HYPERLINK("https://www.boe.es/gazeta/dias/1823/03/07/pdfs/GMD-1823-70.pdf#page=4","Abrir facsímil")</f>
        <v>Abrir facsímil</v>
      </c>
      <c r="K2753" s="3" t="s">
        <v>23</v>
      </c>
    </row>
    <row r="2754" spans="1:11" ht="42" customHeight="1">
      <c r="A2754" s="2" t="s">
        <v>5689</v>
      </c>
      <c r="B2754" s="2" t="s">
        <v>5690</v>
      </c>
      <c r="C2754" s="2" t="s">
        <v>17</v>
      </c>
      <c r="D2754" s="2" t="s">
        <v>18</v>
      </c>
      <c r="E2754" s="5">
        <v>-28053</v>
      </c>
      <c r="F2754" s="3" t="s">
        <v>303</v>
      </c>
      <c r="G2754" s="3" t="s">
        <v>20</v>
      </c>
      <c r="H2754" s="2" t="s">
        <v>21</v>
      </c>
      <c r="I2754" s="2" t="s">
        <v>5691</v>
      </c>
      <c r="J2754" s="3" t="str">
        <f>HYPERLINK("https://www.boe.es/gazeta/dias/1823/03/11/pdfs/GMD-1823-74.pdf#page=4","Abrir facsímil")</f>
        <v>Abrir facsímil</v>
      </c>
      <c r="K2754" s="3" t="s">
        <v>23</v>
      </c>
    </row>
    <row r="2755" spans="1:11" ht="42" customHeight="1">
      <c r="A2755" s="2" t="s">
        <v>5692</v>
      </c>
      <c r="B2755" s="2" t="s">
        <v>5693</v>
      </c>
      <c r="C2755" s="2" t="s">
        <v>79</v>
      </c>
      <c r="D2755" s="2" t="s">
        <v>74</v>
      </c>
      <c r="E2755" s="5">
        <v>-27907</v>
      </c>
      <c r="F2755" s="3" t="s">
        <v>370</v>
      </c>
      <c r="G2755" s="3" t="s">
        <v>20</v>
      </c>
      <c r="H2755" s="2" t="s">
        <v>21</v>
      </c>
      <c r="I2755" s="2" t="s">
        <v>5694</v>
      </c>
      <c r="J2755" s="3" t="str">
        <f>HYPERLINK("https://www.boe.es/gazeta/dias/1823/08/04/pdfs/GES-1823-116.pdf#page=4","Abrir facsímil")</f>
        <v>Abrir facsímil</v>
      </c>
      <c r="K2755" s="3" t="s">
        <v>23</v>
      </c>
    </row>
    <row r="2756" spans="1:11" ht="42" customHeight="1">
      <c r="A2756" s="2" t="s">
        <v>5695</v>
      </c>
      <c r="B2756" s="2" t="s">
        <v>5696</v>
      </c>
      <c r="C2756" s="2" t="s">
        <v>79</v>
      </c>
      <c r="D2756" s="2" t="s">
        <v>74</v>
      </c>
      <c r="E2756" s="5">
        <v>-28048</v>
      </c>
      <c r="F2756" s="3" t="s">
        <v>399</v>
      </c>
      <c r="G2756" s="3" t="s">
        <v>20</v>
      </c>
      <c r="H2756" s="2" t="s">
        <v>21</v>
      </c>
      <c r="I2756" s="2" t="s">
        <v>5697</v>
      </c>
      <c r="J2756" s="3" t="str">
        <f>HYPERLINK("https://www.boe.es/gazeta/dias/1823/03/16/pdfs/GMD-1823-79.pdf#page=4","Abrir facsímil")</f>
        <v>Abrir facsímil</v>
      </c>
      <c r="K2756" s="3" t="s">
        <v>23</v>
      </c>
    </row>
    <row r="2757" spans="1:11" ht="42" customHeight="1">
      <c r="A2757" s="2" t="s">
        <v>5698</v>
      </c>
      <c r="B2757" s="2" t="s">
        <v>5698</v>
      </c>
      <c r="C2757" s="2" t="s">
        <v>17</v>
      </c>
      <c r="D2757" s="2" t="s">
        <v>18</v>
      </c>
      <c r="E2757" s="5">
        <v>-27860</v>
      </c>
      <c r="F2757" s="3" t="s">
        <v>998</v>
      </c>
      <c r="G2757" s="3" t="s">
        <v>59</v>
      </c>
      <c r="H2757" s="2" t="s">
        <v>21</v>
      </c>
      <c r="I2757" s="2" t="s">
        <v>5699</v>
      </c>
      <c r="J2757" s="3" t="str">
        <f>HYPERLINK("https://www.boe.es/gazeta/dias/1823/09/20/pdfs/GMD-1823-813.pdf#page=6","Abrir facsímil")</f>
        <v>Abrir facsímil</v>
      </c>
      <c r="K2757" s="3" t="s">
        <v>23</v>
      </c>
    </row>
    <row r="2758" spans="1:11" ht="42" customHeight="1">
      <c r="A2758" s="2" t="s">
        <v>5700</v>
      </c>
      <c r="B2758" s="2" t="s">
        <v>5701</v>
      </c>
      <c r="C2758" s="2" t="s">
        <v>17</v>
      </c>
      <c r="D2758" s="2" t="s">
        <v>18</v>
      </c>
      <c r="E2758" s="5">
        <v>-28015</v>
      </c>
      <c r="F2758" s="3" t="s">
        <v>985</v>
      </c>
      <c r="G2758" s="3" t="s">
        <v>20</v>
      </c>
      <c r="H2758" s="2" t="s">
        <v>21</v>
      </c>
      <c r="I2758" s="2" t="s">
        <v>5702</v>
      </c>
      <c r="J2758" s="3" t="str">
        <f>HYPERLINK("https://www.boe.es/gazeta/dias/1823/04/18/pdfs/GES-1823-8.pdf#page=4","Abrir facsímil")</f>
        <v>Abrir facsímil</v>
      </c>
      <c r="K2758" s="3" t="s">
        <v>23</v>
      </c>
    </row>
    <row r="2759" spans="1:11" ht="42" customHeight="1">
      <c r="A2759" s="2" t="s">
        <v>5703</v>
      </c>
      <c r="B2759" s="2" t="s">
        <v>5703</v>
      </c>
      <c r="C2759" s="2" t="s">
        <v>17</v>
      </c>
      <c r="D2759" s="2" t="s">
        <v>18</v>
      </c>
      <c r="E2759" s="5">
        <v>-27867</v>
      </c>
      <c r="F2759" s="3" t="s">
        <v>1585</v>
      </c>
      <c r="G2759" s="3" t="s">
        <v>27</v>
      </c>
      <c r="H2759" s="2" t="s">
        <v>21</v>
      </c>
      <c r="I2759" s="2" t="s">
        <v>5704</v>
      </c>
      <c r="J2759" s="3" t="str">
        <f>HYPERLINK("https://www.boe.es/gazeta/dias/1823/09/13/pdfs/GMD-1823-773.pdf#page=2","Abrir facsímil")</f>
        <v>Abrir facsímil</v>
      </c>
      <c r="K2759" s="3" t="s">
        <v>23</v>
      </c>
    </row>
    <row r="2760" spans="1:11" ht="42" customHeight="1">
      <c r="A2760" s="2" t="s">
        <v>5705</v>
      </c>
      <c r="B2760" s="2" t="s">
        <v>5706</v>
      </c>
      <c r="C2760" s="2" t="s">
        <v>17</v>
      </c>
      <c r="D2760" s="2" t="s">
        <v>18</v>
      </c>
      <c r="E2760" s="5">
        <v>-27877</v>
      </c>
      <c r="F2760" s="3" t="s">
        <v>844</v>
      </c>
      <c r="G2760" s="3" t="s">
        <v>48</v>
      </c>
      <c r="H2760" s="2" t="s">
        <v>21</v>
      </c>
      <c r="I2760" s="2" t="s">
        <v>5707</v>
      </c>
      <c r="J2760" s="3" t="str">
        <f>HYPERLINK("https://www.boe.es/gazeta/dias/1823/09/03/pdfs/GES-1823-147.pdf#page=3","Abrir facsímil")</f>
        <v>Abrir facsímil</v>
      </c>
      <c r="K2760" s="3" t="s">
        <v>23</v>
      </c>
    </row>
    <row r="2761" spans="1:11" ht="42" customHeight="1">
      <c r="A2761" s="2" t="s">
        <v>5708</v>
      </c>
      <c r="B2761" s="2" t="s">
        <v>5709</v>
      </c>
      <c r="C2761" s="2" t="s">
        <v>79</v>
      </c>
      <c r="D2761" s="2" t="s">
        <v>74</v>
      </c>
      <c r="E2761" s="5">
        <v>-28004</v>
      </c>
      <c r="F2761" s="3" t="s">
        <v>313</v>
      </c>
      <c r="G2761" s="3" t="s">
        <v>27</v>
      </c>
      <c r="H2761" s="2" t="s">
        <v>21</v>
      </c>
      <c r="I2761" s="2" t="s">
        <v>5710</v>
      </c>
      <c r="J2761" s="3" t="str">
        <f>HYPERLINK("https://www.boe.es/gazeta/dias/1823/04/29/pdfs/GMD-1823-72.pdf#page=2","Abrir facsímil")</f>
        <v>Abrir facsímil</v>
      </c>
      <c r="K2761" s="3" t="s">
        <v>23</v>
      </c>
    </row>
    <row r="2762" spans="1:11" ht="42" customHeight="1">
      <c r="A2762" s="2" t="s">
        <v>5711</v>
      </c>
      <c r="B2762" s="2" t="s">
        <v>5712</v>
      </c>
      <c r="C2762" s="2" t="s">
        <v>17</v>
      </c>
      <c r="D2762" s="2" t="s">
        <v>18</v>
      </c>
      <c r="E2762" s="5">
        <v>-28046</v>
      </c>
      <c r="F2762" s="3" t="s">
        <v>85</v>
      </c>
      <c r="G2762" s="3" t="s">
        <v>39</v>
      </c>
      <c r="H2762" s="2" t="s">
        <v>21</v>
      </c>
      <c r="I2762" s="2" t="s">
        <v>5713</v>
      </c>
      <c r="J2762" s="3" t="str">
        <f>HYPERLINK("https://www.boe.es/gazeta/dias/1823/03/18/pdfs/GMD-1823-81.pdf#page=1","Abrir facsímil")</f>
        <v>Abrir facsímil</v>
      </c>
      <c r="K2762" s="3" t="s">
        <v>23</v>
      </c>
    </row>
    <row r="2763" spans="1:11" ht="42" customHeight="1">
      <c r="A2763" s="2" t="s">
        <v>5714</v>
      </c>
      <c r="B2763" s="2" t="s">
        <v>5715</v>
      </c>
      <c r="C2763" s="2" t="s">
        <v>73</v>
      </c>
      <c r="D2763" s="2" t="s">
        <v>74</v>
      </c>
      <c r="E2763" s="5">
        <v>-28057</v>
      </c>
      <c r="F2763" s="3" t="s">
        <v>301</v>
      </c>
      <c r="G2763" s="3" t="s">
        <v>20</v>
      </c>
      <c r="H2763" s="2" t="s">
        <v>21</v>
      </c>
      <c r="I2763" s="2" t="s">
        <v>5716</v>
      </c>
      <c r="J2763" s="3" t="str">
        <f>HYPERLINK("https://www.boe.es/gazeta/dias/1823/03/07/pdfs/GMD-1823-70.pdf#page=4","Abrir facsímil")</f>
        <v>Abrir facsímil</v>
      </c>
      <c r="K2763" s="3" t="s">
        <v>23</v>
      </c>
    </row>
    <row r="2764" spans="1:11" ht="42" customHeight="1">
      <c r="A2764" s="2" t="s">
        <v>5717</v>
      </c>
      <c r="B2764" s="2" t="s">
        <v>5718</v>
      </c>
      <c r="C2764" s="2" t="s">
        <v>17</v>
      </c>
      <c r="D2764" s="2" t="s">
        <v>18</v>
      </c>
      <c r="E2764" s="5">
        <v>-27861</v>
      </c>
      <c r="F2764" s="3" t="s">
        <v>425</v>
      </c>
      <c r="G2764" s="3" t="s">
        <v>39</v>
      </c>
      <c r="H2764" s="2" t="s">
        <v>21</v>
      </c>
      <c r="I2764" s="2" t="s">
        <v>5719</v>
      </c>
      <c r="J2764" s="3" t="str">
        <f>HYPERLINK("https://www.boe.es/gazeta/dias/1823/09/19/pdfs/GES-1823-163.pdf#page=1","Abrir facsímil")</f>
        <v>Abrir facsímil</v>
      </c>
      <c r="K2764" s="3" t="s">
        <v>23</v>
      </c>
    </row>
    <row r="2765" spans="1:11" ht="42" customHeight="1">
      <c r="A2765" s="2" t="s">
        <v>5720</v>
      </c>
      <c r="B2765" s="2" t="s">
        <v>5721</v>
      </c>
      <c r="C2765" s="2" t="s">
        <v>84</v>
      </c>
      <c r="D2765" s="2" t="s">
        <v>74</v>
      </c>
      <c r="E2765" s="5">
        <v>-27968</v>
      </c>
      <c r="F2765" s="3" t="s">
        <v>1160</v>
      </c>
      <c r="G2765" s="3" t="s">
        <v>34</v>
      </c>
      <c r="H2765" s="2" t="s">
        <v>21</v>
      </c>
      <c r="I2765" s="2" t="s">
        <v>5722</v>
      </c>
      <c r="J2765" s="3" t="str">
        <f>HYPERLINK("https://www.boe.es/gazeta/dias/1823/06/04/pdfs/GES-1823-58.pdf#page=5","Abrir facsímil")</f>
        <v>Abrir facsímil</v>
      </c>
      <c r="K2765" s="3" t="s">
        <v>23</v>
      </c>
    </row>
    <row r="2766" spans="1:11" ht="42" customHeight="1">
      <c r="A2766" s="2" t="s">
        <v>5723</v>
      </c>
      <c r="B2766" s="2" t="s">
        <v>5724</v>
      </c>
      <c r="C2766" s="2" t="s">
        <v>56</v>
      </c>
      <c r="D2766" s="2" t="s">
        <v>57</v>
      </c>
      <c r="E2766" s="5">
        <v>-28080</v>
      </c>
      <c r="F2766" s="3" t="s">
        <v>1010</v>
      </c>
      <c r="G2766" s="3" t="s">
        <v>1382</v>
      </c>
      <c r="H2766" s="2" t="s">
        <v>21</v>
      </c>
      <c r="I2766" s="2" t="s">
        <v>5725</v>
      </c>
      <c r="J2766" s="3" t="str">
        <f>HYPERLINK("https://www.boe.es/gazeta/dias/1823/02/12/pdfs/GMD-1823-46.pdf#page=4","Abrir facsímil")</f>
        <v>Abrir facsímil</v>
      </c>
      <c r="K2766" s="3" t="s">
        <v>23</v>
      </c>
    </row>
    <row r="2767" spans="1:11" ht="42" customHeight="1">
      <c r="A2767" s="2" t="s">
        <v>5726</v>
      </c>
      <c r="B2767" s="2" t="s">
        <v>5727</v>
      </c>
      <c r="C2767" s="2" t="s">
        <v>17</v>
      </c>
      <c r="D2767" s="2" t="s">
        <v>18</v>
      </c>
      <c r="E2767" s="5">
        <v>-27887</v>
      </c>
      <c r="F2767" s="3" t="s">
        <v>1196</v>
      </c>
      <c r="G2767" s="3" t="s">
        <v>20</v>
      </c>
      <c r="H2767" s="2" t="s">
        <v>21</v>
      </c>
      <c r="I2767" s="2" t="s">
        <v>5728</v>
      </c>
      <c r="J2767" s="3" t="str">
        <f>HYPERLINK("https://www.boe.es/gazeta/dias/1823/08/24/pdfs/GES-1823-137.pdf#page=4","Abrir facsímil")</f>
        <v>Abrir facsímil</v>
      </c>
      <c r="K2767" s="3" t="s">
        <v>23</v>
      </c>
    </row>
    <row r="2768" spans="1:11" ht="42" customHeight="1">
      <c r="A2768" s="2" t="s">
        <v>5729</v>
      </c>
      <c r="B2768" s="2" t="s">
        <v>5730</v>
      </c>
      <c r="C2768" s="2" t="s">
        <v>56</v>
      </c>
      <c r="D2768" s="2" t="s">
        <v>57</v>
      </c>
      <c r="E2768" s="5">
        <v>-27785</v>
      </c>
      <c r="F2768" s="3" t="s">
        <v>1397</v>
      </c>
      <c r="G2768" s="3" t="s">
        <v>48</v>
      </c>
      <c r="H2768" s="2" t="s">
        <v>21</v>
      </c>
      <c r="I2768" s="2" t="s">
        <v>5731</v>
      </c>
      <c r="J2768" s="3" t="str">
        <f>HYPERLINK("https://www.boe.es/gazeta/dias/1823/12/04/pdfs/GMD-1823-1203.pdf#page=3","Abrir facsímil")</f>
        <v>Abrir facsímil</v>
      </c>
      <c r="K2768" s="3" t="s">
        <v>23</v>
      </c>
    </row>
    <row r="2769" spans="1:11" ht="42" customHeight="1">
      <c r="A2769" s="2" t="s">
        <v>5732</v>
      </c>
      <c r="B2769" s="2" t="s">
        <v>5733</v>
      </c>
      <c r="C2769" s="2" t="s">
        <v>17</v>
      </c>
      <c r="D2769" s="2" t="s">
        <v>18</v>
      </c>
      <c r="E2769" s="5">
        <v>-28076</v>
      </c>
      <c r="F2769" s="3" t="s">
        <v>1638</v>
      </c>
      <c r="G2769" s="3" t="s">
        <v>59</v>
      </c>
      <c r="H2769" s="2" t="s">
        <v>21</v>
      </c>
      <c r="I2769" s="2" t="s">
        <v>5734</v>
      </c>
      <c r="J2769" s="3" t="str">
        <f>HYPERLINK("https://www.boe.es/gazeta/dias/1823/02/16/pdfs/GMD-1823-50.pdf#page=6","Abrir facsímil")</f>
        <v>Abrir facsímil</v>
      </c>
      <c r="K2769" s="3" t="s">
        <v>23</v>
      </c>
    </row>
    <row r="2770" spans="1:11" ht="42" customHeight="1">
      <c r="A2770" s="2" t="s">
        <v>5735</v>
      </c>
      <c r="B2770" s="2" t="s">
        <v>5735</v>
      </c>
      <c r="C2770" s="2" t="s">
        <v>56</v>
      </c>
      <c r="D2770" s="2" t="s">
        <v>57</v>
      </c>
      <c r="E2770" s="5">
        <v>-28025</v>
      </c>
      <c r="F2770" s="3" t="s">
        <v>477</v>
      </c>
      <c r="G2770" s="3" t="s">
        <v>20</v>
      </c>
      <c r="H2770" s="2" t="s">
        <v>21</v>
      </c>
      <c r="I2770" s="2" t="s">
        <v>5736</v>
      </c>
      <c r="J2770" s="3" t="str">
        <f>HYPERLINK("https://www.boe.es/gazeta/dias/1823/04/08/pdfs/GMD-1823-103.pdf#page=4","Abrir facsímil")</f>
        <v>Abrir facsímil</v>
      </c>
      <c r="K2770" s="3" t="s">
        <v>23</v>
      </c>
    </row>
    <row r="2771" spans="1:11" ht="42" customHeight="1">
      <c r="A2771" s="2" t="s">
        <v>5737</v>
      </c>
      <c r="B2771" s="2" t="s">
        <v>5738</v>
      </c>
      <c r="C2771" s="2" t="s">
        <v>17</v>
      </c>
      <c r="D2771" s="2" t="s">
        <v>18</v>
      </c>
      <c r="E2771" s="5">
        <v>-28090</v>
      </c>
      <c r="F2771" s="3" t="s">
        <v>174</v>
      </c>
      <c r="G2771" s="3" t="s">
        <v>20</v>
      </c>
      <c r="H2771" s="2" t="s">
        <v>21</v>
      </c>
      <c r="I2771" s="2" t="s">
        <v>5739</v>
      </c>
      <c r="J2771" s="3" t="str">
        <f>HYPERLINK("https://www.boe.es/gazeta/dias/1823/02/02/pdfs/GMD-1823-35.pdf#page=4","Abrir facsímil")</f>
        <v>Abrir facsímil</v>
      </c>
      <c r="K2771" s="3" t="s">
        <v>23</v>
      </c>
    </row>
    <row r="2772" spans="1:11" ht="42" customHeight="1">
      <c r="A2772" s="2" t="s">
        <v>5737</v>
      </c>
      <c r="B2772" s="2" t="s">
        <v>5738</v>
      </c>
      <c r="C2772" s="2" t="s">
        <v>17</v>
      </c>
      <c r="D2772" s="2" t="s">
        <v>18</v>
      </c>
      <c r="E2772" s="5">
        <v>-27792</v>
      </c>
      <c r="F2772" s="3" t="s">
        <v>611</v>
      </c>
      <c r="G2772" s="3" t="s">
        <v>48</v>
      </c>
      <c r="H2772" s="2" t="s">
        <v>21</v>
      </c>
      <c r="I2772" s="2" t="s">
        <v>5740</v>
      </c>
      <c r="J2772" s="3" t="str">
        <f>HYPERLINK("https://www.boe.es/gazeta/dias/1823/11/27/pdfs/GMD-1823-1173.pdf#page=3","Abrir facsímil")</f>
        <v>Abrir facsímil</v>
      </c>
      <c r="K2772" s="3" t="s">
        <v>23</v>
      </c>
    </row>
    <row r="2773" spans="1:11" ht="42" customHeight="1">
      <c r="A2773" s="2" t="s">
        <v>5741</v>
      </c>
      <c r="B2773" s="2" t="s">
        <v>5742</v>
      </c>
      <c r="C2773" s="2" t="s">
        <v>17</v>
      </c>
      <c r="D2773" s="2" t="s">
        <v>18</v>
      </c>
      <c r="E2773" s="5">
        <v>-28116</v>
      </c>
      <c r="F2773" s="3" t="s">
        <v>134</v>
      </c>
      <c r="G2773" s="3" t="s">
        <v>59</v>
      </c>
      <c r="H2773" s="2" t="s">
        <v>21</v>
      </c>
      <c r="I2773" s="2" t="s">
        <v>5743</v>
      </c>
      <c r="J2773" s="3" t="str">
        <f>HYPERLINK("https://www.boe.es/gazeta/dias/1823/01/07/pdfs/GMD-1823-7.pdf#page=6","Abrir facsímil")</f>
        <v>Abrir facsímil</v>
      </c>
      <c r="K2773" s="3" t="s">
        <v>23</v>
      </c>
    </row>
    <row r="2774" spans="1:11" ht="42" customHeight="1">
      <c r="A2774" s="2" t="s">
        <v>5744</v>
      </c>
      <c r="B2774" s="2" t="s">
        <v>5745</v>
      </c>
      <c r="C2774" s="2" t="s">
        <v>73</v>
      </c>
      <c r="D2774" s="2" t="s">
        <v>74</v>
      </c>
      <c r="E2774" s="5">
        <v>-28069</v>
      </c>
      <c r="F2774" s="3" t="s">
        <v>2006</v>
      </c>
      <c r="G2774" s="3" t="s">
        <v>48</v>
      </c>
      <c r="H2774" s="2" t="s">
        <v>21</v>
      </c>
      <c r="I2774" s="2" t="s">
        <v>5746</v>
      </c>
      <c r="J2774" s="3" t="str">
        <f>HYPERLINK("https://www.boe.es/gazeta/dias/1823/02/23/pdfs/GMD-1823-57.pdf#page=3","Abrir facsímil")</f>
        <v>Abrir facsímil</v>
      </c>
      <c r="K2774" s="3" t="s">
        <v>23</v>
      </c>
    </row>
    <row r="2775" spans="1:11" ht="42" customHeight="1">
      <c r="A2775" s="2" t="s">
        <v>5747</v>
      </c>
      <c r="B2775" s="2" t="s">
        <v>5748</v>
      </c>
      <c r="C2775" s="2" t="s">
        <v>17</v>
      </c>
      <c r="D2775" s="2" t="s">
        <v>18</v>
      </c>
      <c r="E2775" s="5">
        <v>-27937</v>
      </c>
      <c r="F2775" s="3" t="s">
        <v>897</v>
      </c>
      <c r="G2775" s="3" t="s">
        <v>20</v>
      </c>
      <c r="H2775" s="2" t="s">
        <v>21</v>
      </c>
      <c r="I2775" s="2" t="s">
        <v>5749</v>
      </c>
      <c r="J2775" s="3" t="str">
        <f>HYPERLINK("https://www.boe.es/gazeta/dias/1823/07/05/pdfs/GMD-1823-343.pdf#page=4","Abrir facsímil")</f>
        <v>Abrir facsímil</v>
      </c>
      <c r="K2775" s="3" t="s">
        <v>23</v>
      </c>
    </row>
    <row r="2776" spans="1:11" ht="42" customHeight="1">
      <c r="A2776" s="2" t="s">
        <v>5750</v>
      </c>
      <c r="B2776" s="2" t="s">
        <v>5751</v>
      </c>
      <c r="C2776" s="2" t="s">
        <v>17</v>
      </c>
      <c r="D2776" s="2" t="s">
        <v>18</v>
      </c>
      <c r="E2776" s="5">
        <v>-28080</v>
      </c>
      <c r="F2776" s="3" t="s">
        <v>1010</v>
      </c>
      <c r="G2776" s="3" t="s">
        <v>48</v>
      </c>
      <c r="H2776" s="2" t="s">
        <v>21</v>
      </c>
      <c r="I2776" s="2" t="s">
        <v>5752</v>
      </c>
      <c r="J2776" s="3" t="str">
        <f>HYPERLINK("https://www.boe.es/gazeta/dias/1823/02/12/pdfs/GMD-1823-46.pdf#page=3","Abrir facsímil")</f>
        <v>Abrir facsímil</v>
      </c>
      <c r="K2776" s="3" t="s">
        <v>23</v>
      </c>
    </row>
    <row r="2777" spans="1:11" ht="42" customHeight="1">
      <c r="A2777" s="2" t="s">
        <v>5753</v>
      </c>
      <c r="B2777" s="2" t="s">
        <v>5754</v>
      </c>
      <c r="C2777" s="2" t="s">
        <v>79</v>
      </c>
      <c r="D2777" s="2" t="s">
        <v>74</v>
      </c>
      <c r="E2777" s="5">
        <v>-28110</v>
      </c>
      <c r="F2777" s="3" t="s">
        <v>249</v>
      </c>
      <c r="G2777" s="3" t="s">
        <v>20</v>
      </c>
      <c r="H2777" s="2" t="s">
        <v>21</v>
      </c>
      <c r="I2777" s="2" t="s">
        <v>5755</v>
      </c>
      <c r="J2777" s="3" t="str">
        <f>HYPERLINK("https://www.boe.es/gazeta/dias/1823/01/13/pdfs/GMD-1823-13.pdf#page=4","Abrir facsímil")</f>
        <v>Abrir facsímil</v>
      </c>
      <c r="K2777" s="3" t="s">
        <v>23</v>
      </c>
    </row>
    <row r="2778" spans="1:11" ht="42" customHeight="1">
      <c r="A2778" s="2" t="s">
        <v>5756</v>
      </c>
      <c r="B2778" s="2" t="s">
        <v>5757</v>
      </c>
      <c r="C2778" s="2" t="s">
        <v>109</v>
      </c>
      <c r="D2778" s="2" t="s">
        <v>74</v>
      </c>
      <c r="E2778" s="5">
        <v>-28031</v>
      </c>
      <c r="F2778" s="3" t="s">
        <v>1211</v>
      </c>
      <c r="G2778" s="3" t="s">
        <v>20</v>
      </c>
      <c r="H2778" s="2" t="s">
        <v>21</v>
      </c>
      <c r="I2778" s="2" t="s">
        <v>5758</v>
      </c>
      <c r="J2778" s="3" t="str">
        <f>HYPERLINK("https://www.boe.es/gazeta/dias/1823/04/02/pdfs/GMD-1823-96.pdf#page=4","Abrir facsímil")</f>
        <v>Abrir facsímil</v>
      </c>
      <c r="K2778" s="3" t="s">
        <v>23</v>
      </c>
    </row>
    <row r="2779" spans="1:11" ht="42" customHeight="1">
      <c r="A2779" s="2" t="s">
        <v>5759</v>
      </c>
      <c r="B2779" s="2" t="s">
        <v>5759</v>
      </c>
      <c r="C2779" s="2" t="s">
        <v>79</v>
      </c>
      <c r="D2779" s="2" t="s">
        <v>74</v>
      </c>
      <c r="E2779" s="5">
        <v>-27965</v>
      </c>
      <c r="F2779" s="3" t="s">
        <v>208</v>
      </c>
      <c r="G2779" s="3" t="s">
        <v>48</v>
      </c>
      <c r="H2779" s="2" t="s">
        <v>21</v>
      </c>
      <c r="I2779" s="2" t="s">
        <v>5760</v>
      </c>
      <c r="J2779" s="3" t="str">
        <f>HYPERLINK("https://www.boe.es/gazeta/dias/1823/06/07/pdfs/GES-1823-61.pdf#page=3","Abrir facsímil")</f>
        <v>Abrir facsímil</v>
      </c>
      <c r="K2779" s="3" t="s">
        <v>23</v>
      </c>
    </row>
    <row r="2780" spans="1:11" ht="42" customHeight="1">
      <c r="A2780" s="2" t="s">
        <v>5761</v>
      </c>
      <c r="B2780" s="2" t="s">
        <v>5761</v>
      </c>
      <c r="C2780" s="2" t="s">
        <v>56</v>
      </c>
      <c r="D2780" s="2" t="s">
        <v>57</v>
      </c>
      <c r="E2780" s="5">
        <v>-28008</v>
      </c>
      <c r="F2780" s="3" t="s">
        <v>309</v>
      </c>
      <c r="G2780" s="3" t="s">
        <v>20</v>
      </c>
      <c r="H2780" s="2" t="s">
        <v>21</v>
      </c>
      <c r="I2780" s="2" t="s">
        <v>5762</v>
      </c>
      <c r="J2780" s="3" t="str">
        <f>HYPERLINK("https://www.boe.es/gazeta/dias/1823/04/25/pdfs/GES-1823-15.pdf#page=4","Abrir facsímil")</f>
        <v>Abrir facsímil</v>
      </c>
      <c r="K2780" s="3" t="s">
        <v>23</v>
      </c>
    </row>
    <row r="2781" spans="1:11" ht="42" customHeight="1">
      <c r="A2781" s="2" t="s">
        <v>5763</v>
      </c>
      <c r="B2781" s="2" t="s">
        <v>5764</v>
      </c>
      <c r="C2781" s="2" t="s">
        <v>73</v>
      </c>
      <c r="D2781" s="2" t="s">
        <v>74</v>
      </c>
      <c r="E2781" s="5">
        <v>-27982</v>
      </c>
      <c r="F2781" s="3" t="s">
        <v>340</v>
      </c>
      <c r="G2781" s="3" t="s">
        <v>27</v>
      </c>
      <c r="H2781" s="2" t="s">
        <v>21</v>
      </c>
      <c r="I2781" s="2" t="s">
        <v>5765</v>
      </c>
      <c r="J2781" s="3" t="str">
        <f>HYPERLINK("https://www.boe.es/gazeta/dias/1823/05/21/pdfs/GES-1823-42.pdf#page=2","Abrir facsímil")</f>
        <v>Abrir facsímil</v>
      </c>
      <c r="K2781" s="3" t="s">
        <v>23</v>
      </c>
    </row>
    <row r="2782" spans="1:11" ht="42" customHeight="1">
      <c r="A2782" s="2" t="s">
        <v>5766</v>
      </c>
      <c r="B2782" s="2" t="s">
        <v>5766</v>
      </c>
      <c r="C2782" s="2" t="s">
        <v>17</v>
      </c>
      <c r="D2782" s="2" t="s">
        <v>18</v>
      </c>
      <c r="E2782" s="5">
        <v>-28025</v>
      </c>
      <c r="F2782" s="3" t="s">
        <v>477</v>
      </c>
      <c r="G2782" s="3" t="s">
        <v>20</v>
      </c>
      <c r="H2782" s="2" t="s">
        <v>21</v>
      </c>
      <c r="I2782" s="2" t="s">
        <v>5767</v>
      </c>
      <c r="J2782" s="3" t="str">
        <f>HYPERLINK("https://www.boe.es/gazeta/dias/1823/04/08/pdfs/GMD-1823-103.pdf#page=4","Abrir facsímil")</f>
        <v>Abrir facsímil</v>
      </c>
      <c r="K2782" s="3" t="s">
        <v>23</v>
      </c>
    </row>
    <row r="2783" spans="1:11" ht="42" customHeight="1">
      <c r="A2783" s="2" t="s">
        <v>5768</v>
      </c>
      <c r="B2783" s="2" t="s">
        <v>5768</v>
      </c>
      <c r="C2783" s="2" t="s">
        <v>17</v>
      </c>
      <c r="D2783" s="2" t="s">
        <v>117</v>
      </c>
      <c r="E2783" s="5">
        <v>-28092</v>
      </c>
      <c r="F2783" s="3" t="s">
        <v>156</v>
      </c>
      <c r="G2783" s="3" t="s">
        <v>39</v>
      </c>
      <c r="H2783" s="2" t="s">
        <v>21</v>
      </c>
      <c r="I2783" s="2" t="s">
        <v>5769</v>
      </c>
      <c r="J2783" s="3" t="str">
        <f>HYPERLINK("https://www.boe.es/gazeta/dias/1823/01/31/pdfs/GMD-1823-33E.pdf#page=1","Abrir facsímil")</f>
        <v>Abrir facsímil</v>
      </c>
      <c r="K2783" s="3" t="s">
        <v>23</v>
      </c>
    </row>
    <row r="2784" spans="1:11" ht="42" customHeight="1">
      <c r="A2784" s="2" t="s">
        <v>5768</v>
      </c>
      <c r="B2784" s="2" t="s">
        <v>5768</v>
      </c>
      <c r="C2784" s="2" t="s">
        <v>17</v>
      </c>
      <c r="D2784" s="2" t="s">
        <v>18</v>
      </c>
      <c r="E2784" s="5">
        <v>-28048</v>
      </c>
      <c r="F2784" s="3" t="s">
        <v>399</v>
      </c>
      <c r="G2784" s="3" t="s">
        <v>59</v>
      </c>
      <c r="H2784" s="2" t="s">
        <v>21</v>
      </c>
      <c r="I2784" s="2" t="s">
        <v>5770</v>
      </c>
      <c r="J2784" s="3" t="str">
        <f>HYPERLINK("https://www.boe.es/gazeta/dias/1823/03/16/pdfs/GMD-1823-79.pdf#page=6","Abrir facsímil")</f>
        <v>Abrir facsímil</v>
      </c>
      <c r="K2784" s="3" t="s">
        <v>23</v>
      </c>
    </row>
    <row r="2785" spans="1:11" ht="42" customHeight="1">
      <c r="A2785" s="2" t="s">
        <v>5768</v>
      </c>
      <c r="B2785" s="2" t="s">
        <v>5768</v>
      </c>
      <c r="C2785" s="2" t="s">
        <v>109</v>
      </c>
      <c r="D2785" s="2" t="s">
        <v>74</v>
      </c>
      <c r="E2785" s="5">
        <v>-27988</v>
      </c>
      <c r="F2785" s="3" t="s">
        <v>692</v>
      </c>
      <c r="G2785" s="3" t="s">
        <v>48</v>
      </c>
      <c r="H2785" s="2" t="s">
        <v>21</v>
      </c>
      <c r="I2785" s="2" t="s">
        <v>5771</v>
      </c>
      <c r="J2785" s="3" t="str">
        <f>HYPERLINK("https://www.boe.es/gazeta/dias/1823/05/15/pdfs/GES-1823-35.pdf#page=3","Abrir facsímil")</f>
        <v>Abrir facsímil</v>
      </c>
      <c r="K2785" s="3" t="s">
        <v>23</v>
      </c>
    </row>
    <row r="2786" spans="1:11" ht="42" customHeight="1">
      <c r="A2786" s="2" t="s">
        <v>5768</v>
      </c>
      <c r="B2786" s="2" t="s">
        <v>5768</v>
      </c>
      <c r="C2786" s="2" t="s">
        <v>17</v>
      </c>
      <c r="D2786" s="2" t="s">
        <v>18</v>
      </c>
      <c r="E2786" s="5">
        <v>-27965</v>
      </c>
      <c r="F2786" s="3" t="s">
        <v>208</v>
      </c>
      <c r="G2786" s="3" t="s">
        <v>20</v>
      </c>
      <c r="H2786" s="2" t="s">
        <v>21</v>
      </c>
      <c r="I2786" s="2" t="s">
        <v>5772</v>
      </c>
      <c r="J2786" s="3" t="str">
        <f>HYPERLINK("https://www.boe.es/gazeta/dias/1823/06/07/pdfs/GES-1823-61.pdf#page=4","Abrir facsímil")</f>
        <v>Abrir facsímil</v>
      </c>
      <c r="K2786" s="3" t="s">
        <v>23</v>
      </c>
    </row>
    <row r="2787" spans="1:11" ht="42" customHeight="1">
      <c r="A2787" s="2" t="s">
        <v>5768</v>
      </c>
      <c r="B2787" s="2" t="s">
        <v>5768</v>
      </c>
      <c r="C2787" s="2" t="s">
        <v>17</v>
      </c>
      <c r="D2787" s="2" t="s">
        <v>18</v>
      </c>
      <c r="E2787" s="5">
        <v>-27895</v>
      </c>
      <c r="F2787" s="3" t="s">
        <v>5642</v>
      </c>
      <c r="G2787" s="3" t="s">
        <v>48</v>
      </c>
      <c r="H2787" s="2" t="s">
        <v>21</v>
      </c>
      <c r="I2787" s="2" t="s">
        <v>5773</v>
      </c>
      <c r="J2787" s="3" t="str">
        <f>HYPERLINK("https://www.boe.es/gazeta/dias/1823/08/16/pdfs/GMD-1823-603.pdf#page=3","Abrir facsímil")</f>
        <v>Abrir facsímil</v>
      </c>
      <c r="K2787" s="3" t="s">
        <v>23</v>
      </c>
    </row>
    <row r="2788" spans="1:11" ht="42" customHeight="1">
      <c r="A2788" s="2" t="s">
        <v>5768</v>
      </c>
      <c r="B2788" s="2" t="s">
        <v>5768</v>
      </c>
      <c r="C2788" s="2" t="s">
        <v>17</v>
      </c>
      <c r="D2788" s="2" t="s">
        <v>18</v>
      </c>
      <c r="E2788" s="5">
        <v>-27776</v>
      </c>
      <c r="F2788" s="3" t="s">
        <v>1399</v>
      </c>
      <c r="G2788" s="3" t="s">
        <v>20</v>
      </c>
      <c r="H2788" s="2" t="s">
        <v>21</v>
      </c>
      <c r="I2788" s="2" t="s">
        <v>5774</v>
      </c>
      <c r="J2788" s="3" t="str">
        <f>HYPERLINK("https://www.boe.es/gazeta/dias/1823/12/13/pdfs/GMD-1823-1243.pdf#page=4","Abrir facsímil")</f>
        <v>Abrir facsímil</v>
      </c>
      <c r="K2788" s="3" t="s">
        <v>23</v>
      </c>
    </row>
    <row r="2789" spans="1:11" ht="42" customHeight="1">
      <c r="A2789" s="2" t="s">
        <v>5775</v>
      </c>
      <c r="B2789" s="2" t="s">
        <v>5776</v>
      </c>
      <c r="C2789" s="2" t="s">
        <v>56</v>
      </c>
      <c r="D2789" s="2" t="s">
        <v>57</v>
      </c>
      <c r="E2789" s="5">
        <v>-27829</v>
      </c>
      <c r="F2789" s="3" t="s">
        <v>228</v>
      </c>
      <c r="G2789" s="3" t="s">
        <v>20</v>
      </c>
      <c r="H2789" s="2" t="s">
        <v>28</v>
      </c>
      <c r="I2789" s="2" t="s">
        <v>5777</v>
      </c>
      <c r="J2789" s="3" t="str">
        <f>HYPERLINK("https://www.boe.es/gazeta/dias/1823/10/21/pdfs/GMD-1823-1003.pdf#page=4","Abrir facsímil")</f>
        <v>Abrir facsímil</v>
      </c>
      <c r="K2789" s="3" t="s">
        <v>30</v>
      </c>
    </row>
    <row r="2790" spans="1:11" ht="42" customHeight="1">
      <c r="A2790" s="2" t="s">
        <v>5778</v>
      </c>
      <c r="B2790" s="2" t="s">
        <v>5778</v>
      </c>
      <c r="C2790" s="2" t="s">
        <v>17</v>
      </c>
      <c r="D2790" s="2" t="s">
        <v>18</v>
      </c>
      <c r="E2790" s="5">
        <v>-27958</v>
      </c>
      <c r="F2790" s="3" t="s">
        <v>2203</v>
      </c>
      <c r="G2790" s="3" t="s">
        <v>48</v>
      </c>
      <c r="H2790" s="2" t="s">
        <v>21</v>
      </c>
      <c r="I2790" s="2" t="s">
        <v>5779</v>
      </c>
      <c r="J2790" s="3" t="str">
        <f>HYPERLINK("https://www.boe.es/gazeta/dias/1823/06/14/pdfs/GMD-1823-153.pdf#page=3","Abrir facsímil")</f>
        <v>Abrir facsímil</v>
      </c>
      <c r="K2790" s="3" t="s">
        <v>23</v>
      </c>
    </row>
    <row r="2791" spans="1:11" ht="42" customHeight="1">
      <c r="A2791" s="2" t="s">
        <v>5780</v>
      </c>
      <c r="B2791" s="2" t="s">
        <v>5781</v>
      </c>
      <c r="C2791" s="2" t="s">
        <v>79</v>
      </c>
      <c r="D2791" s="2" t="s">
        <v>74</v>
      </c>
      <c r="E2791" s="5">
        <v>-28119</v>
      </c>
      <c r="F2791" s="3" t="s">
        <v>545</v>
      </c>
      <c r="G2791" s="3" t="s">
        <v>59</v>
      </c>
      <c r="H2791" s="2" t="s">
        <v>28</v>
      </c>
      <c r="I2791" s="2" t="s">
        <v>5782</v>
      </c>
      <c r="J2791" s="3" t="str">
        <f>HYPERLINK("https://www.boe.es/gazeta/dias/1823/01/04/pdfs/GMD-1823-4.pdf#page=6","Abrir facsímil")</f>
        <v>Abrir facsímil</v>
      </c>
      <c r="K2791" s="3" t="s">
        <v>30</v>
      </c>
    </row>
    <row r="2792" spans="1:11" ht="42" customHeight="1">
      <c r="A2792" s="2" t="s">
        <v>5783</v>
      </c>
      <c r="B2792" s="2" t="s">
        <v>5783</v>
      </c>
      <c r="C2792" s="2" t="s">
        <v>17</v>
      </c>
      <c r="D2792" s="2" t="s">
        <v>18</v>
      </c>
      <c r="E2792" s="5">
        <v>-27854</v>
      </c>
      <c r="F2792" s="3" t="s">
        <v>933</v>
      </c>
      <c r="G2792" s="3" t="s">
        <v>48</v>
      </c>
      <c r="H2792" s="2" t="s">
        <v>21</v>
      </c>
      <c r="I2792" s="2" t="s">
        <v>5784</v>
      </c>
      <c r="J2792" s="3" t="str">
        <f>HYPERLINK("https://www.boe.es/gazeta/dias/1823/09/26/pdfs/GES-1823-170.pdf#page=3","Abrir facsímil")</f>
        <v>Abrir facsímil</v>
      </c>
      <c r="K2792" s="3" t="s">
        <v>23</v>
      </c>
    </row>
    <row r="2793" spans="1:11" ht="42" customHeight="1">
      <c r="A2793" s="2" t="s">
        <v>5785</v>
      </c>
      <c r="B2793" s="2" t="s">
        <v>5786</v>
      </c>
      <c r="C2793" s="2" t="s">
        <v>79</v>
      </c>
      <c r="D2793" s="2" t="s">
        <v>74</v>
      </c>
      <c r="E2793" s="5">
        <v>-27953</v>
      </c>
      <c r="F2793" s="3" t="s">
        <v>1783</v>
      </c>
      <c r="G2793" s="3" t="s">
        <v>27</v>
      </c>
      <c r="H2793" s="2" t="s">
        <v>21</v>
      </c>
      <c r="I2793" s="2" t="s">
        <v>5787</v>
      </c>
      <c r="J2793" s="3" t="str">
        <f>HYPERLINK("https://www.boe.es/gazeta/dias/1823/06/19/pdfs/GES-1823-67.pdf#page=2","Abrir facsímil")</f>
        <v>Abrir facsímil</v>
      </c>
      <c r="K2793" s="3" t="s">
        <v>23</v>
      </c>
    </row>
    <row r="2794" spans="1:11" ht="42" customHeight="1">
      <c r="A2794" s="2" t="s">
        <v>5785</v>
      </c>
      <c r="B2794" s="2" t="s">
        <v>5786</v>
      </c>
      <c r="C2794" s="2" t="s">
        <v>17</v>
      </c>
      <c r="D2794" s="2" t="s">
        <v>18</v>
      </c>
      <c r="E2794" s="5">
        <v>-27909</v>
      </c>
      <c r="F2794" s="3" t="s">
        <v>948</v>
      </c>
      <c r="G2794" s="3" t="s">
        <v>20</v>
      </c>
      <c r="H2794" s="2" t="s">
        <v>21</v>
      </c>
      <c r="I2794" s="2" t="s">
        <v>5788</v>
      </c>
      <c r="J2794" s="3" t="str">
        <f>HYPERLINK("https://www.boe.es/gazeta/dias/1823/08/02/pdfs/GES-1823-114.pdf#page=4","Abrir facsímil")</f>
        <v>Abrir facsímil</v>
      </c>
      <c r="K2794" s="3" t="s">
        <v>23</v>
      </c>
    </row>
    <row r="2795" spans="1:11" ht="42" customHeight="1">
      <c r="A2795" s="2" t="s">
        <v>5789</v>
      </c>
      <c r="B2795" s="2" t="s">
        <v>5790</v>
      </c>
      <c r="C2795" s="2" t="s">
        <v>56</v>
      </c>
      <c r="D2795" s="2" t="s">
        <v>57</v>
      </c>
      <c r="E2795" s="5">
        <v>-27960</v>
      </c>
      <c r="F2795" s="3" t="s">
        <v>741</v>
      </c>
      <c r="G2795" s="3" t="s">
        <v>20</v>
      </c>
      <c r="H2795" s="2" t="s">
        <v>21</v>
      </c>
      <c r="I2795" s="2" t="s">
        <v>5791</v>
      </c>
      <c r="J2795" s="3" t="str">
        <f>HYPERLINK("https://www.boe.es/gazeta/dias/1823/06/12/pdfs/GES-1823-66.pdf#page=4","Abrir facsímil")</f>
        <v>Abrir facsímil</v>
      </c>
      <c r="K2795" s="3" t="s">
        <v>23</v>
      </c>
    </row>
    <row r="2796" spans="1:11" ht="42" customHeight="1">
      <c r="A2796" s="2" t="s">
        <v>5789</v>
      </c>
      <c r="B2796" s="2" t="s">
        <v>5790</v>
      </c>
      <c r="C2796" s="2" t="s">
        <v>56</v>
      </c>
      <c r="D2796" s="2" t="s">
        <v>57</v>
      </c>
      <c r="E2796" s="5">
        <v>-27960</v>
      </c>
      <c r="F2796" s="3" t="s">
        <v>741</v>
      </c>
      <c r="G2796" s="3" t="s">
        <v>34</v>
      </c>
      <c r="H2796" s="2" t="s">
        <v>21</v>
      </c>
      <c r="I2796" s="2" t="s">
        <v>5792</v>
      </c>
      <c r="J2796" s="3" t="str">
        <f>HYPERLINK("https://www.boe.es/gazeta/dias/1823/06/12/pdfs/GES-1823-66.pdf#page=5","Abrir facsímil")</f>
        <v>Abrir facsímil</v>
      </c>
      <c r="K2796" s="3" t="s">
        <v>23</v>
      </c>
    </row>
    <row r="2797" spans="1:11" ht="42" customHeight="1">
      <c r="A2797" s="2" t="s">
        <v>5789</v>
      </c>
      <c r="B2797" s="2" t="s">
        <v>5790</v>
      </c>
      <c r="C2797" s="2" t="s">
        <v>56</v>
      </c>
      <c r="D2797" s="2" t="s">
        <v>117</v>
      </c>
      <c r="E2797" s="5">
        <v>-27952</v>
      </c>
      <c r="F2797" s="3" t="s">
        <v>1844</v>
      </c>
      <c r="G2797" s="3" t="s">
        <v>27</v>
      </c>
      <c r="H2797" s="2" t="s">
        <v>21</v>
      </c>
      <c r="I2797" s="2" t="s">
        <v>5793</v>
      </c>
      <c r="J2797" s="3" t="str">
        <f>HYPERLINK("https://www.boe.es/gazeta/dias/1823/06/20/pdfs/GMD-1823-213E.pdf#page=2","Abrir facsímil")</f>
        <v>Abrir facsímil</v>
      </c>
      <c r="K2797" s="3" t="s">
        <v>23</v>
      </c>
    </row>
    <row r="2798" spans="1:11" ht="42" customHeight="1">
      <c r="A2798" s="2" t="s">
        <v>5789</v>
      </c>
      <c r="B2798" s="2" t="s">
        <v>5790</v>
      </c>
      <c r="C2798" s="2" t="s">
        <v>79</v>
      </c>
      <c r="D2798" s="2" t="s">
        <v>74</v>
      </c>
      <c r="E2798" s="5">
        <v>-27944</v>
      </c>
      <c r="F2798" s="3" t="s">
        <v>2823</v>
      </c>
      <c r="G2798" s="3" t="s">
        <v>39</v>
      </c>
      <c r="H2798" s="2" t="s">
        <v>21</v>
      </c>
      <c r="I2798" s="2" t="s">
        <v>5794</v>
      </c>
      <c r="J2798" s="3" t="str">
        <f>HYPERLINK("https://www.boe.es/gazeta/dias/1823/06/28/pdfs/GES-1823-78.pdf#page=1","Abrir facsímil")</f>
        <v>Abrir facsímil</v>
      </c>
      <c r="K2798" s="3" t="s">
        <v>23</v>
      </c>
    </row>
    <row r="2799" spans="1:11" ht="42" customHeight="1">
      <c r="A2799" s="2" t="s">
        <v>5795</v>
      </c>
      <c r="B2799" s="2" t="s">
        <v>5795</v>
      </c>
      <c r="C2799" s="2" t="s">
        <v>17</v>
      </c>
      <c r="D2799" s="2" t="s">
        <v>18</v>
      </c>
      <c r="E2799" s="5">
        <v>-27960</v>
      </c>
      <c r="F2799" s="3" t="s">
        <v>682</v>
      </c>
      <c r="G2799" s="3" t="s">
        <v>815</v>
      </c>
      <c r="H2799" s="2" t="s">
        <v>21</v>
      </c>
      <c r="I2799" s="2" t="s">
        <v>5796</v>
      </c>
      <c r="J2799" s="3" t="str">
        <f>HYPERLINK("https://www.boe.es/gazeta/dias/1823/06/12/pdfs/GMD-1823-123.pdf#page=6","Abrir facsímil")</f>
        <v>Abrir facsímil</v>
      </c>
      <c r="K2799" s="3" t="s">
        <v>23</v>
      </c>
    </row>
    <row r="2800" spans="1:11" ht="42" customHeight="1">
      <c r="A2800" s="2" t="s">
        <v>5797</v>
      </c>
      <c r="B2800" s="2" t="s">
        <v>5798</v>
      </c>
      <c r="C2800" s="2" t="s">
        <v>17</v>
      </c>
      <c r="D2800" s="2" t="s">
        <v>18</v>
      </c>
      <c r="E2800" s="5">
        <v>-27885</v>
      </c>
      <c r="F2800" s="3" t="s">
        <v>65</v>
      </c>
      <c r="G2800" s="3" t="s">
        <v>27</v>
      </c>
      <c r="H2800" s="2" t="s">
        <v>21</v>
      </c>
      <c r="I2800" s="2" t="s">
        <v>5799</v>
      </c>
      <c r="J2800" s="3" t="str">
        <f>HYPERLINK("https://www.boe.es/gazeta/dias/1823/08/26/pdfs/GMD-1823-653.pdf#page=2","Abrir facsímil")</f>
        <v>Abrir facsímil</v>
      </c>
      <c r="K2800" s="3" t="s">
        <v>23</v>
      </c>
    </row>
    <row r="2801" spans="1:11" ht="42" customHeight="1">
      <c r="A2801" s="2" t="s">
        <v>5800</v>
      </c>
      <c r="B2801" s="2" t="s">
        <v>5801</v>
      </c>
      <c r="C2801" s="2" t="s">
        <v>79</v>
      </c>
      <c r="D2801" s="2" t="s">
        <v>74</v>
      </c>
      <c r="E2801" s="5">
        <v>-27920</v>
      </c>
      <c r="F2801" s="3" t="s">
        <v>1334</v>
      </c>
      <c r="G2801" s="3" t="s">
        <v>715</v>
      </c>
      <c r="H2801" s="2" t="s">
        <v>21</v>
      </c>
      <c r="I2801" s="2" t="s">
        <v>5802</v>
      </c>
      <c r="J2801" s="3" t="str">
        <f>HYPERLINK("https://www.boe.es/gazeta/dias/1823/07/22/pdfs/GMD-1823-443.pdf#page=8","Abrir facsímil")</f>
        <v>Abrir facsímil</v>
      </c>
      <c r="K2801" s="3" t="s">
        <v>23</v>
      </c>
    </row>
    <row r="2802" spans="1:11" ht="42" customHeight="1">
      <c r="A2802" s="2" t="s">
        <v>5803</v>
      </c>
      <c r="B2802" s="2" t="s">
        <v>5804</v>
      </c>
      <c r="C2802" s="2" t="s">
        <v>17</v>
      </c>
      <c r="D2802" s="2" t="s">
        <v>18</v>
      </c>
      <c r="E2802" s="5">
        <v>-27895</v>
      </c>
      <c r="F2802" s="3" t="s">
        <v>5642</v>
      </c>
      <c r="G2802" s="3" t="s">
        <v>20</v>
      </c>
      <c r="H2802" s="2" t="s">
        <v>21</v>
      </c>
      <c r="I2802" s="2" t="s">
        <v>5805</v>
      </c>
      <c r="J2802" s="3" t="str">
        <f>HYPERLINK("https://www.boe.es/gazeta/dias/1823/08/16/pdfs/GMD-1823-603.pdf#page=4","Abrir facsímil")</f>
        <v>Abrir facsímil</v>
      </c>
      <c r="K2802" s="3" t="s">
        <v>23</v>
      </c>
    </row>
    <row r="2803" spans="1:11" ht="42" customHeight="1">
      <c r="A2803" s="2" t="s">
        <v>5806</v>
      </c>
      <c r="B2803" s="2" t="s">
        <v>5807</v>
      </c>
      <c r="C2803" s="2" t="s">
        <v>73</v>
      </c>
      <c r="D2803" s="2" t="s">
        <v>74</v>
      </c>
      <c r="E2803" s="5">
        <v>-27895</v>
      </c>
      <c r="F2803" s="3" t="s">
        <v>5642</v>
      </c>
      <c r="G2803" s="3" t="s">
        <v>20</v>
      </c>
      <c r="H2803" s="2" t="s">
        <v>21</v>
      </c>
      <c r="I2803" s="2" t="s">
        <v>5808</v>
      </c>
      <c r="J2803" s="3" t="str">
        <f>HYPERLINK("https://www.boe.es/gazeta/dias/1823/08/16/pdfs/GMD-1823-603.pdf#page=4","Abrir facsímil")</f>
        <v>Abrir facsímil</v>
      </c>
      <c r="K2803" s="3" t="s">
        <v>23</v>
      </c>
    </row>
    <row r="2804" spans="1:11" ht="42" customHeight="1">
      <c r="A2804" s="2" t="s">
        <v>5809</v>
      </c>
      <c r="B2804" s="2" t="s">
        <v>5809</v>
      </c>
      <c r="C2804" s="2" t="s">
        <v>73</v>
      </c>
      <c r="D2804" s="2" t="s">
        <v>74</v>
      </c>
      <c r="E2804" s="5">
        <v>-28064</v>
      </c>
      <c r="F2804" s="3" t="s">
        <v>1190</v>
      </c>
      <c r="G2804" s="3" t="s">
        <v>20</v>
      </c>
      <c r="H2804" s="2" t="s">
        <v>21</v>
      </c>
      <c r="I2804" s="2" t="s">
        <v>5810</v>
      </c>
      <c r="J2804" s="3" t="str">
        <f>HYPERLINK("https://www.boe.es/gazeta/dias/1823/02/28/pdfs/GMD-1823-62.pdf#page=4","Abrir facsímil")</f>
        <v>Abrir facsímil</v>
      </c>
      <c r="K2804" s="3" t="s">
        <v>23</v>
      </c>
    </row>
    <row r="2805" spans="1:11" ht="42" customHeight="1">
      <c r="A2805" s="2" t="s">
        <v>5811</v>
      </c>
      <c r="B2805" s="2" t="s">
        <v>5812</v>
      </c>
      <c r="C2805" s="2" t="s">
        <v>79</v>
      </c>
      <c r="D2805" s="2" t="s">
        <v>74</v>
      </c>
      <c r="E2805" s="5">
        <v>-28117</v>
      </c>
      <c r="F2805" s="3" t="s">
        <v>271</v>
      </c>
      <c r="G2805" s="3" t="s">
        <v>34</v>
      </c>
      <c r="H2805" s="2" t="s">
        <v>21</v>
      </c>
      <c r="I2805" s="2" t="s">
        <v>5813</v>
      </c>
      <c r="J2805" s="3" t="str">
        <f>HYPERLINK("https://www.boe.es/gazeta/dias/1823/01/06/pdfs/GMD-1823-6.pdf#page=5","Abrir facsímil")</f>
        <v>Abrir facsímil</v>
      </c>
      <c r="K2805" s="3" t="s">
        <v>23</v>
      </c>
    </row>
    <row r="2806" spans="1:11" ht="42" customHeight="1">
      <c r="A2806" s="2" t="s">
        <v>5814</v>
      </c>
      <c r="B2806" s="2" t="s">
        <v>5815</v>
      </c>
      <c r="C2806" s="2" t="s">
        <v>17</v>
      </c>
      <c r="D2806" s="2" t="s">
        <v>18</v>
      </c>
      <c r="E2806" s="5">
        <v>-28041</v>
      </c>
      <c r="F2806" s="3" t="s">
        <v>873</v>
      </c>
      <c r="G2806" s="3" t="s">
        <v>366</v>
      </c>
      <c r="H2806" s="2" t="s">
        <v>21</v>
      </c>
      <c r="I2806" s="2" t="s">
        <v>5816</v>
      </c>
      <c r="J2806" s="3" t="str">
        <f>HYPERLINK("https://www.boe.es/gazeta/dias/1823/03/23/pdfs/GMD-1823-86.pdf#page=4","Abrir facsímil")</f>
        <v>Abrir facsímil</v>
      </c>
      <c r="K2806" s="3" t="s">
        <v>23</v>
      </c>
    </row>
    <row r="2807" spans="1:11" ht="42" customHeight="1">
      <c r="A2807" s="2" t="s">
        <v>5817</v>
      </c>
      <c r="B2807" s="2" t="s">
        <v>5818</v>
      </c>
      <c r="C2807" s="2" t="s">
        <v>17</v>
      </c>
      <c r="D2807" s="2" t="s">
        <v>18</v>
      </c>
      <c r="E2807" s="5">
        <v>-27864</v>
      </c>
      <c r="F2807" s="3" t="s">
        <v>1301</v>
      </c>
      <c r="G2807" s="3" t="s">
        <v>1302</v>
      </c>
      <c r="H2807" s="2" t="s">
        <v>28</v>
      </c>
      <c r="I2807" s="2" t="s">
        <v>5819</v>
      </c>
      <c r="J2807" s="3" t="str">
        <f>HYPERLINK("https://www.boe.es/gazeta/dias/1823/09/16/pdfs/GES-1823-160.pdf#page=1","Abrir facsímil")</f>
        <v>Abrir facsímil</v>
      </c>
      <c r="K2807" s="3" t="s">
        <v>30</v>
      </c>
    </row>
    <row r="2808" spans="1:11" ht="42" customHeight="1">
      <c r="A2808" s="2" t="s">
        <v>5820</v>
      </c>
      <c r="B2808" s="2" t="s">
        <v>5821</v>
      </c>
      <c r="C2808" s="2" t="s">
        <v>79</v>
      </c>
      <c r="D2808" s="2" t="s">
        <v>74</v>
      </c>
      <c r="E2808" s="5">
        <v>-28066</v>
      </c>
      <c r="F2808" s="3" t="s">
        <v>19</v>
      </c>
      <c r="G2808" s="3" t="s">
        <v>20</v>
      </c>
      <c r="H2808" s="2" t="s">
        <v>21</v>
      </c>
      <c r="I2808" s="2" t="s">
        <v>5822</v>
      </c>
      <c r="J2808" s="3" t="str">
        <f>HYPERLINK("https://www.boe.es/gazeta/dias/1823/02/26/pdfs/GMD-1823-60.pdf#page=4","Abrir facsímil")</f>
        <v>Abrir facsímil</v>
      </c>
      <c r="K2808" s="3" t="s">
        <v>23</v>
      </c>
    </row>
    <row r="2809" spans="1:11" ht="42" customHeight="1">
      <c r="A2809" s="2" t="s">
        <v>5823</v>
      </c>
      <c r="B2809" s="2" t="s">
        <v>5823</v>
      </c>
      <c r="C2809" s="2" t="s">
        <v>17</v>
      </c>
      <c r="D2809" s="2" t="s">
        <v>18</v>
      </c>
      <c r="E2809" s="5">
        <v>-28072</v>
      </c>
      <c r="F2809" s="3" t="s">
        <v>4439</v>
      </c>
      <c r="G2809" s="3" t="s">
        <v>20</v>
      </c>
      <c r="H2809" s="2" t="s">
        <v>21</v>
      </c>
      <c r="I2809" s="2" t="s">
        <v>5824</v>
      </c>
      <c r="J2809" s="3" t="str">
        <f>HYPERLINK("https://www.boe.es/gazeta/dias/1823/02/20/pdfs/GMD-1823-54.pdf#page=4","Abrir facsímil")</f>
        <v>Abrir facsímil</v>
      </c>
      <c r="K2809" s="3" t="s">
        <v>23</v>
      </c>
    </row>
    <row r="2810" spans="1:11" ht="42" customHeight="1">
      <c r="A2810" s="2" t="s">
        <v>5825</v>
      </c>
      <c r="B2810" s="2" t="s">
        <v>5826</v>
      </c>
      <c r="C2810" s="2" t="s">
        <v>17</v>
      </c>
      <c r="D2810" s="2" t="s">
        <v>18</v>
      </c>
      <c r="E2810" s="5">
        <v>-27934</v>
      </c>
      <c r="F2810" s="3" t="s">
        <v>2155</v>
      </c>
      <c r="G2810" s="3" t="s">
        <v>5827</v>
      </c>
      <c r="H2810" s="2" t="s">
        <v>21</v>
      </c>
      <c r="I2810" s="2" t="s">
        <v>5828</v>
      </c>
      <c r="J2810" s="3" t="str">
        <f>HYPERLINK("https://www.boe.es/gazeta/dias/1823/07/08/pdfs/GES-1823-88.pdf#page=4","Abrir facsímil")</f>
        <v>Abrir facsímil</v>
      </c>
      <c r="K2810" s="3" t="s">
        <v>23</v>
      </c>
    </row>
    <row r="2811" spans="1:11" ht="42" customHeight="1">
      <c r="A2811" s="2" t="s">
        <v>5829</v>
      </c>
      <c r="B2811" s="2" t="s">
        <v>5830</v>
      </c>
      <c r="C2811" s="2" t="s">
        <v>17</v>
      </c>
      <c r="D2811" s="2" t="s">
        <v>18</v>
      </c>
      <c r="E2811" s="5">
        <v>-27877</v>
      </c>
      <c r="F2811" s="3" t="s">
        <v>844</v>
      </c>
      <c r="G2811" s="3" t="s">
        <v>48</v>
      </c>
      <c r="H2811" s="2" t="s">
        <v>21</v>
      </c>
      <c r="I2811" s="2" t="s">
        <v>5831</v>
      </c>
      <c r="J2811" s="3" t="str">
        <f>HYPERLINK("https://www.boe.es/gazeta/dias/1823/09/03/pdfs/GES-1823-147.pdf#page=3","Abrir facsímil")</f>
        <v>Abrir facsímil</v>
      </c>
      <c r="K2811" s="3" t="s">
        <v>23</v>
      </c>
    </row>
    <row r="2812" spans="1:11" ht="42" customHeight="1">
      <c r="A2812" s="2" t="s">
        <v>5832</v>
      </c>
      <c r="B2812" s="2" t="s">
        <v>5833</v>
      </c>
      <c r="C2812" s="2" t="s">
        <v>17</v>
      </c>
      <c r="D2812" s="2" t="s">
        <v>18</v>
      </c>
      <c r="E2812" s="5">
        <v>-27863</v>
      </c>
      <c r="F2812" s="3" t="s">
        <v>651</v>
      </c>
      <c r="G2812" s="3" t="s">
        <v>27</v>
      </c>
      <c r="H2812" s="2" t="s">
        <v>21</v>
      </c>
      <c r="I2812" s="2" t="s">
        <v>5834</v>
      </c>
      <c r="J2812" s="3" t="str">
        <f>HYPERLINK("https://www.boe.es/gazeta/dias/1823/09/17/pdfs/GES-1823-161.pdf#page=2","Abrir facsímil")</f>
        <v>Abrir facsímil</v>
      </c>
      <c r="K2812" s="3" t="s">
        <v>23</v>
      </c>
    </row>
    <row r="2813" spans="1:11" ht="42" customHeight="1">
      <c r="A2813" s="2" t="s">
        <v>5835</v>
      </c>
      <c r="B2813" s="2" t="s">
        <v>5835</v>
      </c>
      <c r="C2813" s="2" t="s">
        <v>56</v>
      </c>
      <c r="D2813" s="2" t="s">
        <v>57</v>
      </c>
      <c r="E2813" s="5">
        <v>-27899</v>
      </c>
      <c r="F2813" s="3" t="s">
        <v>2172</v>
      </c>
      <c r="G2813" s="3" t="s">
        <v>20</v>
      </c>
      <c r="H2813" s="2" t="s">
        <v>21</v>
      </c>
      <c r="I2813" s="2" t="s">
        <v>5836</v>
      </c>
      <c r="J2813" s="3" t="str">
        <f>HYPERLINK("https://www.boe.es/gazeta/dias/1823/08/12/pdfs/GES-1823-125.pdf#page=4","Abrir facsímil")</f>
        <v>Abrir facsímil</v>
      </c>
      <c r="K2813" s="3" t="s">
        <v>23</v>
      </c>
    </row>
    <row r="2814" spans="1:11" ht="42" customHeight="1">
      <c r="A2814" s="2" t="s">
        <v>5835</v>
      </c>
      <c r="B2814" s="2" t="s">
        <v>5835</v>
      </c>
      <c r="C2814" s="2" t="s">
        <v>73</v>
      </c>
      <c r="D2814" s="2" t="s">
        <v>74</v>
      </c>
      <c r="E2814" s="5">
        <v>-27832</v>
      </c>
      <c r="F2814" s="3" t="s">
        <v>1815</v>
      </c>
      <c r="G2814" s="3" t="s">
        <v>20</v>
      </c>
      <c r="H2814" s="2" t="s">
        <v>21</v>
      </c>
      <c r="I2814" s="2" t="s">
        <v>5837</v>
      </c>
      <c r="J2814" s="3" t="str">
        <f>HYPERLINK("https://www.boe.es/gazeta/dias/1823/10/18/pdfs/GMD-1823-993.pdf#page=4","Abrir facsímil")</f>
        <v>Abrir facsímil</v>
      </c>
      <c r="K2814" s="3" t="s">
        <v>23</v>
      </c>
    </row>
    <row r="2815" spans="1:11" ht="42" customHeight="1">
      <c r="A2815" s="2" t="s">
        <v>5838</v>
      </c>
      <c r="B2815" s="2" t="s">
        <v>5838</v>
      </c>
      <c r="C2815" s="2" t="s">
        <v>17</v>
      </c>
      <c r="D2815" s="2" t="s">
        <v>18</v>
      </c>
      <c r="E2815" s="5">
        <v>-28021</v>
      </c>
      <c r="F2815" s="3" t="s">
        <v>1054</v>
      </c>
      <c r="G2815" s="3" t="s">
        <v>48</v>
      </c>
      <c r="H2815" s="2" t="s">
        <v>21</v>
      </c>
      <c r="I2815" s="2" t="s">
        <v>5839</v>
      </c>
      <c r="J2815" s="3" t="str">
        <f>HYPERLINK("https://www.boe.es/gazeta/dias/1823/04/12/pdfs/GMD-1823-107.pdf#page=3","Abrir facsímil")</f>
        <v>Abrir facsímil</v>
      </c>
      <c r="K2815" s="3" t="s">
        <v>23</v>
      </c>
    </row>
    <row r="2816" spans="1:11" ht="42" customHeight="1">
      <c r="A2816" s="2" t="s">
        <v>5838</v>
      </c>
      <c r="B2816" s="2" t="s">
        <v>5838</v>
      </c>
      <c r="C2816" s="2" t="s">
        <v>56</v>
      </c>
      <c r="D2816" s="2" t="s">
        <v>57</v>
      </c>
      <c r="E2816" s="5">
        <v>-27879</v>
      </c>
      <c r="F2816" s="3" t="s">
        <v>638</v>
      </c>
      <c r="G2816" s="3" t="s">
        <v>20</v>
      </c>
      <c r="H2816" s="2" t="s">
        <v>21</v>
      </c>
      <c r="I2816" s="2" t="s">
        <v>5840</v>
      </c>
      <c r="J2816" s="3" t="str">
        <f>HYPERLINK("https://www.boe.es/gazeta/dias/1823/09/01/pdfs/GES-1823-145.pdf#page=4","Abrir facsímil")</f>
        <v>Abrir facsímil</v>
      </c>
      <c r="K2816" s="3" t="s">
        <v>23</v>
      </c>
    </row>
    <row r="2817" spans="1:11" ht="42" customHeight="1">
      <c r="A2817" s="2" t="s">
        <v>5841</v>
      </c>
      <c r="B2817" s="2" t="s">
        <v>5841</v>
      </c>
      <c r="C2817" s="2" t="s">
        <v>17</v>
      </c>
      <c r="D2817" s="2" t="s">
        <v>18</v>
      </c>
      <c r="E2817" s="5">
        <v>-28013</v>
      </c>
      <c r="F2817" s="3" t="s">
        <v>2466</v>
      </c>
      <c r="G2817" s="3" t="s">
        <v>2467</v>
      </c>
      <c r="H2817" s="2" t="s">
        <v>21</v>
      </c>
      <c r="I2817" s="2" t="s">
        <v>5842</v>
      </c>
      <c r="J2817" s="3" t="str">
        <f>HYPERLINK("https://www.boe.es/gazeta/dias/1823/04/20/pdfs/GES-1823-10.pdf#page=3","Abrir facsímil")</f>
        <v>Abrir facsímil</v>
      </c>
      <c r="K2817" s="3" t="s">
        <v>23</v>
      </c>
    </row>
    <row r="2818" spans="1:11" ht="42" customHeight="1">
      <c r="A2818" s="2" t="s">
        <v>5843</v>
      </c>
      <c r="B2818" s="2" t="s">
        <v>5844</v>
      </c>
      <c r="C2818" s="2" t="s">
        <v>56</v>
      </c>
      <c r="D2818" s="2" t="s">
        <v>57</v>
      </c>
      <c r="E2818" s="5">
        <v>-28114</v>
      </c>
      <c r="F2818" s="3" t="s">
        <v>153</v>
      </c>
      <c r="G2818" s="3" t="s">
        <v>34</v>
      </c>
      <c r="H2818" s="2" t="s">
        <v>28</v>
      </c>
      <c r="I2818" s="2" t="s">
        <v>5845</v>
      </c>
      <c r="J2818" s="3" t="str">
        <f>HYPERLINK("https://www.boe.es/gazeta/dias/1823/01/09/pdfs/GMD-1823-9.pdf#page=5","Abrir facsímil")</f>
        <v>Abrir facsímil</v>
      </c>
      <c r="K2818" s="3" t="s">
        <v>30</v>
      </c>
    </row>
    <row r="2819" spans="1:11" ht="42" customHeight="1">
      <c r="A2819" s="2" t="s">
        <v>5846</v>
      </c>
      <c r="B2819" s="2" t="s">
        <v>5847</v>
      </c>
      <c r="C2819" s="2" t="s">
        <v>79</v>
      </c>
      <c r="D2819" s="2" t="s">
        <v>74</v>
      </c>
      <c r="E2819" s="5">
        <v>-28048</v>
      </c>
      <c r="F2819" s="3" t="s">
        <v>399</v>
      </c>
      <c r="G2819" s="3" t="s">
        <v>20</v>
      </c>
      <c r="H2819" s="2" t="s">
        <v>21</v>
      </c>
      <c r="I2819" s="2" t="s">
        <v>5848</v>
      </c>
      <c r="J2819" s="3" t="str">
        <f>HYPERLINK("https://www.boe.es/gazeta/dias/1823/03/16/pdfs/GMD-1823-79.pdf#page=4","Abrir facsímil")</f>
        <v>Abrir facsímil</v>
      </c>
      <c r="K2819" s="3" t="s">
        <v>23</v>
      </c>
    </row>
    <row r="2820" spans="1:11" ht="42" customHeight="1">
      <c r="A2820" s="2" t="s">
        <v>5849</v>
      </c>
      <c r="B2820" s="2" t="s">
        <v>5849</v>
      </c>
      <c r="C2820" s="2" t="s">
        <v>17</v>
      </c>
      <c r="D2820" s="2" t="s">
        <v>18</v>
      </c>
      <c r="E2820" s="5">
        <v>-27918</v>
      </c>
      <c r="F2820" s="3" t="s">
        <v>218</v>
      </c>
      <c r="G2820" s="3" t="s">
        <v>20</v>
      </c>
      <c r="H2820" s="2" t="s">
        <v>21</v>
      </c>
      <c r="I2820" s="2" t="s">
        <v>5850</v>
      </c>
      <c r="J2820" s="3" t="str">
        <f>HYPERLINK("https://www.boe.es/gazeta/dias/1823/07/24/pdfs/GMD-1823-463.pdf#page=4","Abrir facsímil")</f>
        <v>Abrir facsímil</v>
      </c>
      <c r="K2820" s="3" t="s">
        <v>23</v>
      </c>
    </row>
    <row r="2821" spans="1:11" ht="42" customHeight="1">
      <c r="A2821" s="2" t="s">
        <v>5849</v>
      </c>
      <c r="B2821" s="2" t="s">
        <v>5849</v>
      </c>
      <c r="C2821" s="2" t="s">
        <v>17</v>
      </c>
      <c r="D2821" s="2" t="s">
        <v>18</v>
      </c>
      <c r="E2821" s="5">
        <v>-27918</v>
      </c>
      <c r="F2821" s="3" t="s">
        <v>218</v>
      </c>
      <c r="G2821" s="3" t="s">
        <v>34</v>
      </c>
      <c r="H2821" s="2" t="s">
        <v>21</v>
      </c>
      <c r="I2821" s="2" t="s">
        <v>5851</v>
      </c>
      <c r="J2821" s="3" t="str">
        <f>HYPERLINK("https://www.boe.es/gazeta/dias/1823/07/24/pdfs/GMD-1823-463.pdf#page=5","Abrir facsímil")</f>
        <v>Abrir facsímil</v>
      </c>
      <c r="K2821" s="3" t="s">
        <v>23</v>
      </c>
    </row>
    <row r="2822" spans="1:11" ht="42" customHeight="1">
      <c r="A2822" s="2" t="s">
        <v>5852</v>
      </c>
      <c r="B2822" s="2" t="s">
        <v>5853</v>
      </c>
      <c r="C2822" s="2" t="s">
        <v>73</v>
      </c>
      <c r="D2822" s="2" t="s">
        <v>74</v>
      </c>
      <c r="E2822" s="5">
        <v>-28025</v>
      </c>
      <c r="F2822" s="3" t="s">
        <v>477</v>
      </c>
      <c r="G2822" s="3" t="s">
        <v>20</v>
      </c>
      <c r="H2822" s="2" t="s">
        <v>21</v>
      </c>
      <c r="I2822" s="2" t="s">
        <v>5854</v>
      </c>
      <c r="J2822" s="3" t="str">
        <f>HYPERLINK("https://www.boe.es/gazeta/dias/1823/04/08/pdfs/GMD-1823-103.pdf#page=4","Abrir facsímil")</f>
        <v>Abrir facsímil</v>
      </c>
      <c r="K2822" s="3" t="s">
        <v>23</v>
      </c>
    </row>
    <row r="2823" spans="1:11" ht="42" customHeight="1">
      <c r="A2823" s="2" t="s">
        <v>5855</v>
      </c>
      <c r="B2823" s="2" t="s">
        <v>5855</v>
      </c>
      <c r="C2823" s="2" t="s">
        <v>17</v>
      </c>
      <c r="D2823" s="2" t="s">
        <v>18</v>
      </c>
      <c r="E2823" s="5">
        <v>-27989</v>
      </c>
      <c r="F2823" s="3" t="s">
        <v>1134</v>
      </c>
      <c r="G2823" s="3" t="s">
        <v>27</v>
      </c>
      <c r="H2823" s="2" t="s">
        <v>21</v>
      </c>
      <c r="I2823" s="2" t="s">
        <v>5856</v>
      </c>
      <c r="J2823" s="3" t="str">
        <f>HYPERLINK("https://www.boe.es/gazeta/dias/1823/05/14/pdfs/GES-1823-34.pdf#page=2","Abrir facsímil")</f>
        <v>Abrir facsímil</v>
      </c>
      <c r="K2823" s="3" t="s">
        <v>23</v>
      </c>
    </row>
    <row r="2824" spans="1:11" ht="42" customHeight="1">
      <c r="A2824" s="2" t="s">
        <v>5857</v>
      </c>
      <c r="B2824" s="2" t="s">
        <v>5858</v>
      </c>
      <c r="C2824" s="2" t="s">
        <v>17</v>
      </c>
      <c r="D2824" s="2" t="s">
        <v>18</v>
      </c>
      <c r="E2824" s="5">
        <v>-27945</v>
      </c>
      <c r="F2824" s="3" t="s">
        <v>628</v>
      </c>
      <c r="G2824" s="3" t="s">
        <v>20</v>
      </c>
      <c r="H2824" s="2" t="s">
        <v>21</v>
      </c>
      <c r="I2824" s="2" t="s">
        <v>5859</v>
      </c>
      <c r="J2824" s="3" t="str">
        <f>HYPERLINK("https://www.boe.es/gazeta/dias/1823/06/27/pdfs/GES-1823-77.pdf#page=4","Abrir facsímil")</f>
        <v>Abrir facsímil</v>
      </c>
      <c r="K2824" s="3" t="s">
        <v>23</v>
      </c>
    </row>
    <row r="2825" spans="1:11" ht="42" customHeight="1">
      <c r="A2825" s="2" t="s">
        <v>5860</v>
      </c>
      <c r="B2825" s="2" t="s">
        <v>5860</v>
      </c>
      <c r="C2825" s="2" t="s">
        <v>109</v>
      </c>
      <c r="D2825" s="2" t="s">
        <v>74</v>
      </c>
      <c r="E2825" s="5">
        <v>-27943</v>
      </c>
      <c r="F2825" s="3" t="s">
        <v>346</v>
      </c>
      <c r="G2825" s="3" t="s">
        <v>20</v>
      </c>
      <c r="H2825" s="2" t="s">
        <v>21</v>
      </c>
      <c r="I2825" s="2" t="s">
        <v>5861</v>
      </c>
      <c r="J2825" s="3" t="str">
        <f>HYPERLINK("https://www.boe.es/gazeta/dias/1823/06/29/pdfs/GES-1823-79.pdf#page=4","Abrir facsímil")</f>
        <v>Abrir facsímil</v>
      </c>
      <c r="K2825" s="3" t="s">
        <v>23</v>
      </c>
    </row>
    <row r="2826" spans="1:11" ht="42" customHeight="1">
      <c r="A2826" s="2" t="s">
        <v>5860</v>
      </c>
      <c r="B2826" s="2" t="s">
        <v>5860</v>
      </c>
      <c r="C2826" s="2" t="s">
        <v>17</v>
      </c>
      <c r="D2826" s="2" t="s">
        <v>18</v>
      </c>
      <c r="E2826" s="5">
        <v>-27792</v>
      </c>
      <c r="F2826" s="3" t="s">
        <v>611</v>
      </c>
      <c r="G2826" s="3" t="s">
        <v>48</v>
      </c>
      <c r="H2826" s="2" t="s">
        <v>21</v>
      </c>
      <c r="I2826" s="2" t="s">
        <v>5862</v>
      </c>
      <c r="J2826" s="3" t="str">
        <f>HYPERLINK("https://www.boe.es/gazeta/dias/1823/11/27/pdfs/GMD-1823-1173.pdf#page=3","Abrir facsímil")</f>
        <v>Abrir facsímil</v>
      </c>
      <c r="K2826" s="3" t="s">
        <v>23</v>
      </c>
    </row>
    <row r="2827" spans="1:11" ht="42" customHeight="1">
      <c r="A2827" s="2" t="s">
        <v>5863</v>
      </c>
      <c r="B2827" s="2" t="s">
        <v>5864</v>
      </c>
      <c r="C2827" s="2" t="s">
        <v>79</v>
      </c>
      <c r="D2827" s="2" t="s">
        <v>74</v>
      </c>
      <c r="E2827" s="5">
        <v>-28057</v>
      </c>
      <c r="F2827" s="3" t="s">
        <v>301</v>
      </c>
      <c r="G2827" s="3" t="s">
        <v>20</v>
      </c>
      <c r="H2827" s="2" t="s">
        <v>21</v>
      </c>
      <c r="I2827" s="2" t="s">
        <v>5865</v>
      </c>
      <c r="J2827" s="3" t="str">
        <f>HYPERLINK("https://www.boe.es/gazeta/dias/1823/03/07/pdfs/GMD-1823-70.pdf#page=4","Abrir facsímil")</f>
        <v>Abrir facsímil</v>
      </c>
      <c r="K2827" s="3" t="s">
        <v>23</v>
      </c>
    </row>
    <row r="2828" spans="1:11" ht="42" customHeight="1">
      <c r="A2828" s="2" t="s">
        <v>5866</v>
      </c>
      <c r="B2828" s="2" t="s">
        <v>5866</v>
      </c>
      <c r="C2828" s="2" t="s">
        <v>17</v>
      </c>
      <c r="D2828" s="2" t="s">
        <v>18</v>
      </c>
      <c r="E2828" s="5">
        <v>-27869</v>
      </c>
      <c r="F2828" s="3" t="s">
        <v>520</v>
      </c>
      <c r="G2828" s="3" t="s">
        <v>39</v>
      </c>
      <c r="H2828" s="2" t="s">
        <v>21</v>
      </c>
      <c r="I2828" s="2" t="s">
        <v>5867</v>
      </c>
      <c r="J2828" s="3" t="str">
        <f>HYPERLINK("https://www.boe.es/gazeta/dias/1823/09/11/pdfs/GMD-1823-753.pdf#page=1","Abrir facsímil")</f>
        <v>Abrir facsímil</v>
      </c>
      <c r="K2828" s="3" t="s">
        <v>23</v>
      </c>
    </row>
    <row r="2829" spans="1:11" ht="42" customHeight="1">
      <c r="A2829" s="2" t="s">
        <v>5868</v>
      </c>
      <c r="B2829" s="2" t="s">
        <v>5868</v>
      </c>
      <c r="C2829" s="2" t="s">
        <v>79</v>
      </c>
      <c r="D2829" s="2" t="s">
        <v>74</v>
      </c>
      <c r="E2829" s="5">
        <v>-28017</v>
      </c>
      <c r="F2829" s="3" t="s">
        <v>2912</v>
      </c>
      <c r="G2829" s="3" t="s">
        <v>48</v>
      </c>
      <c r="H2829" s="2" t="s">
        <v>21</v>
      </c>
      <c r="I2829" s="2" t="s">
        <v>5869</v>
      </c>
      <c r="J2829" s="3" t="str">
        <f>HYPERLINK("https://www.boe.es/gazeta/dias/1823/04/16/pdfs/GES-1823-6.pdf#page=3","Abrir facsímil")</f>
        <v>Abrir facsímil</v>
      </c>
      <c r="K2829" s="3" t="s">
        <v>23</v>
      </c>
    </row>
    <row r="2830" spans="1:11" ht="42" customHeight="1">
      <c r="A2830" s="2" t="s">
        <v>5868</v>
      </c>
      <c r="B2830" s="2" t="s">
        <v>5868</v>
      </c>
      <c r="C2830" s="2" t="s">
        <v>325</v>
      </c>
      <c r="D2830" s="2" t="s">
        <v>74</v>
      </c>
      <c r="E2830" s="5">
        <v>-27896</v>
      </c>
      <c r="F2830" s="3" t="s">
        <v>4122</v>
      </c>
      <c r="G2830" s="3" t="s">
        <v>39</v>
      </c>
      <c r="H2830" s="2" t="s">
        <v>21</v>
      </c>
      <c r="I2830" s="2" t="s">
        <v>5870</v>
      </c>
      <c r="J2830" s="3" t="str">
        <f>HYPERLINK("https://www.boe.es/gazeta/dias/1823/08/15/pdfs/GES-1823-128.pdf#page=1","Abrir facsímil")</f>
        <v>Abrir facsímil</v>
      </c>
      <c r="K2830" s="3" t="s">
        <v>23</v>
      </c>
    </row>
    <row r="2831" spans="1:11" ht="42" customHeight="1">
      <c r="A2831" s="2" t="s">
        <v>5868</v>
      </c>
      <c r="B2831" s="2" t="s">
        <v>5868</v>
      </c>
      <c r="C2831" s="2" t="s">
        <v>79</v>
      </c>
      <c r="D2831" s="2" t="s">
        <v>74</v>
      </c>
      <c r="E2831" s="5">
        <v>-27848</v>
      </c>
      <c r="F2831" s="3" t="s">
        <v>1083</v>
      </c>
      <c r="G2831" s="3" t="s">
        <v>39</v>
      </c>
      <c r="H2831" s="2" t="s">
        <v>21</v>
      </c>
      <c r="I2831" s="2" t="s">
        <v>5871</v>
      </c>
      <c r="J2831" s="3" t="str">
        <f>HYPERLINK("https://www.boe.es/gazeta/dias/1823/10/02/pdfs/GES-1823-176.pdf#page=1","Abrir facsímil")</f>
        <v>Abrir facsímil</v>
      </c>
      <c r="K2831" s="3" t="s">
        <v>23</v>
      </c>
    </row>
    <row r="2832" spans="1:11" ht="42" customHeight="1">
      <c r="A2832" s="2" t="s">
        <v>5872</v>
      </c>
      <c r="B2832" s="2" t="s">
        <v>5872</v>
      </c>
      <c r="C2832" s="2" t="s">
        <v>79</v>
      </c>
      <c r="D2832" s="2" t="s">
        <v>74</v>
      </c>
      <c r="E2832" s="5">
        <v>-27862</v>
      </c>
      <c r="F2832" s="3" t="s">
        <v>1530</v>
      </c>
      <c r="G2832" s="3" t="s">
        <v>27</v>
      </c>
      <c r="H2832" s="2" t="s">
        <v>21</v>
      </c>
      <c r="I2832" s="2" t="s">
        <v>5873</v>
      </c>
      <c r="J2832" s="3" t="str">
        <f>HYPERLINK("https://www.boe.es/gazeta/dias/1823/09/18/pdfs/GMD-1823-803.pdf#page=2","Abrir facsímil")</f>
        <v>Abrir facsímil</v>
      </c>
      <c r="K2832" s="3" t="s">
        <v>23</v>
      </c>
    </row>
    <row r="2833" spans="1:11" ht="42" customHeight="1">
      <c r="A2833" s="2" t="s">
        <v>5874</v>
      </c>
      <c r="B2833" s="2" t="s">
        <v>5875</v>
      </c>
      <c r="C2833" s="2" t="s">
        <v>325</v>
      </c>
      <c r="D2833" s="2" t="s">
        <v>74</v>
      </c>
      <c r="E2833" s="5">
        <v>-27899</v>
      </c>
      <c r="F2833" s="3" t="s">
        <v>2172</v>
      </c>
      <c r="G2833" s="3" t="s">
        <v>39</v>
      </c>
      <c r="H2833" s="2" t="s">
        <v>28</v>
      </c>
      <c r="I2833" s="2" t="s">
        <v>5876</v>
      </c>
      <c r="J2833" s="3" t="str">
        <f>HYPERLINK("https://www.boe.es/gazeta/dias/1823/08/12/pdfs/GES-1823-125.pdf#page=1","Abrir facsímil")</f>
        <v>Abrir facsímil</v>
      </c>
      <c r="K2833" s="3" t="s">
        <v>30</v>
      </c>
    </row>
    <row r="2834" spans="1:11" ht="42" customHeight="1">
      <c r="A2834" s="2" t="s">
        <v>5877</v>
      </c>
      <c r="B2834" s="2" t="s">
        <v>5877</v>
      </c>
      <c r="C2834" s="2" t="s">
        <v>17</v>
      </c>
      <c r="D2834" s="2" t="s">
        <v>18</v>
      </c>
      <c r="E2834" s="5">
        <v>-27899</v>
      </c>
      <c r="F2834" s="3" t="s">
        <v>2172</v>
      </c>
      <c r="G2834" s="3" t="s">
        <v>39</v>
      </c>
      <c r="H2834" s="2" t="s">
        <v>21</v>
      </c>
      <c r="I2834" s="2" t="s">
        <v>5878</v>
      </c>
      <c r="J2834" s="3" t="str">
        <f>HYPERLINK("https://www.boe.es/gazeta/dias/1823/08/12/pdfs/GES-1823-125.pdf#page=1","Abrir facsímil")</f>
        <v>Abrir facsímil</v>
      </c>
      <c r="K2834" s="3" t="s">
        <v>23</v>
      </c>
    </row>
    <row r="2835" spans="1:11" ht="42" customHeight="1">
      <c r="A2835" s="2" t="s">
        <v>5879</v>
      </c>
      <c r="B2835" s="2" t="s">
        <v>5880</v>
      </c>
      <c r="C2835" s="2" t="s">
        <v>17</v>
      </c>
      <c r="D2835" s="2" t="s">
        <v>18</v>
      </c>
      <c r="E2835" s="5">
        <v>-28076</v>
      </c>
      <c r="F2835" s="3" t="s">
        <v>1638</v>
      </c>
      <c r="G2835" s="3" t="s">
        <v>34</v>
      </c>
      <c r="H2835" s="2" t="s">
        <v>21</v>
      </c>
      <c r="I2835" s="2" t="s">
        <v>5881</v>
      </c>
      <c r="J2835" s="3" t="str">
        <f>HYPERLINK("https://www.boe.es/gazeta/dias/1823/02/16/pdfs/GMD-1823-50.pdf#page=5","Abrir facsímil")</f>
        <v>Abrir facsímil</v>
      </c>
      <c r="K2835" s="3" t="s">
        <v>23</v>
      </c>
    </row>
    <row r="2836" spans="1:11" ht="42" customHeight="1">
      <c r="A2836" s="2" t="s">
        <v>5882</v>
      </c>
      <c r="B2836" s="2" t="s">
        <v>5883</v>
      </c>
      <c r="C2836" s="2" t="s">
        <v>109</v>
      </c>
      <c r="D2836" s="2" t="s">
        <v>74</v>
      </c>
      <c r="E2836" s="5">
        <v>-27995</v>
      </c>
      <c r="F2836" s="3" t="s">
        <v>326</v>
      </c>
      <c r="G2836" s="3" t="s">
        <v>39</v>
      </c>
      <c r="H2836" s="2" t="s">
        <v>21</v>
      </c>
      <c r="I2836" s="2" t="s">
        <v>5884</v>
      </c>
      <c r="J2836" s="3" t="str">
        <f>HYPERLINK("https://www.boe.es/gazeta/dias/1823/05/08/pdfs/GMD-1823-112.pdf#page=1","Abrir facsímil")</f>
        <v>Abrir facsímil</v>
      </c>
      <c r="K2836" s="3" t="s">
        <v>23</v>
      </c>
    </row>
    <row r="2837" spans="1:11" ht="42" customHeight="1">
      <c r="A2837" s="2" t="s">
        <v>5885</v>
      </c>
      <c r="B2837" s="2" t="s">
        <v>5886</v>
      </c>
      <c r="C2837" s="2" t="s">
        <v>17</v>
      </c>
      <c r="D2837" s="2" t="s">
        <v>18</v>
      </c>
      <c r="E2837" s="5">
        <v>-28105</v>
      </c>
      <c r="F2837" s="3" t="s">
        <v>502</v>
      </c>
      <c r="G2837" s="3" t="s">
        <v>27</v>
      </c>
      <c r="H2837" s="2" t="s">
        <v>28</v>
      </c>
      <c r="I2837" s="2" t="s">
        <v>5887</v>
      </c>
      <c r="J2837" s="3" t="str">
        <f>HYPERLINK("https://www.boe.es/gazeta/dias/1823/01/18/pdfs/GMD-1823-18.pdf#page=2","Abrir facsímil")</f>
        <v>Abrir facsímil</v>
      </c>
      <c r="K2837" s="3" t="s">
        <v>30</v>
      </c>
    </row>
    <row r="2838" spans="1:11" ht="42" customHeight="1">
      <c r="A2838" s="2" t="s">
        <v>5888</v>
      </c>
      <c r="B2838" s="2" t="s">
        <v>5888</v>
      </c>
      <c r="C2838" s="2" t="s">
        <v>56</v>
      </c>
      <c r="D2838" s="2" t="s">
        <v>57</v>
      </c>
      <c r="E2838" s="5">
        <v>-27939</v>
      </c>
      <c r="F2838" s="3" t="s">
        <v>1403</v>
      </c>
      <c r="G2838" s="3" t="s">
        <v>5889</v>
      </c>
      <c r="H2838" s="2" t="s">
        <v>21</v>
      </c>
      <c r="I2838" s="2" t="s">
        <v>5890</v>
      </c>
      <c r="J2838" s="3" t="str">
        <f>HYPERLINK("https://www.boe.es/gazeta/dias/1823/07/03/pdfs/GMD-1823-333.pdf#page=5","Abrir facsímil")</f>
        <v>Abrir facsímil</v>
      </c>
      <c r="K2838" s="3" t="s">
        <v>23</v>
      </c>
    </row>
    <row r="2839" spans="1:11" ht="42" customHeight="1">
      <c r="A2839" s="2" t="s">
        <v>5891</v>
      </c>
      <c r="B2839" s="2" t="s">
        <v>5892</v>
      </c>
      <c r="C2839" s="2" t="s">
        <v>17</v>
      </c>
      <c r="D2839" s="2" t="s">
        <v>18</v>
      </c>
      <c r="E2839" s="5">
        <v>-27911</v>
      </c>
      <c r="F2839" s="3" t="s">
        <v>1393</v>
      </c>
      <c r="G2839" s="3" t="s">
        <v>20</v>
      </c>
      <c r="H2839" s="2" t="s">
        <v>21</v>
      </c>
      <c r="I2839" s="2" t="s">
        <v>5893</v>
      </c>
      <c r="J2839" s="3" t="str">
        <f>HYPERLINK("https://www.boe.es/gazeta/dias/1823/07/31/pdfs/GMD-1823-503.pdf#page=4","Abrir facsímil")</f>
        <v>Abrir facsímil</v>
      </c>
      <c r="K2839" s="3" t="s">
        <v>23</v>
      </c>
    </row>
    <row r="2840" spans="1:11" ht="42" customHeight="1">
      <c r="A2840" s="2" t="s">
        <v>5894</v>
      </c>
      <c r="B2840" s="2" t="s">
        <v>5895</v>
      </c>
      <c r="C2840" s="2" t="s">
        <v>17</v>
      </c>
      <c r="D2840" s="2" t="s">
        <v>18</v>
      </c>
      <c r="E2840" s="5">
        <v>-28046</v>
      </c>
      <c r="F2840" s="3" t="s">
        <v>85</v>
      </c>
      <c r="G2840" s="3" t="s">
        <v>20</v>
      </c>
      <c r="H2840" s="2" t="s">
        <v>21</v>
      </c>
      <c r="I2840" s="2" t="s">
        <v>5896</v>
      </c>
      <c r="J2840" s="3" t="str">
        <f>HYPERLINK("https://www.boe.es/gazeta/dias/1823/03/18/pdfs/GMD-1823-81.pdf#page=4","Abrir facsímil")</f>
        <v>Abrir facsímil</v>
      </c>
      <c r="K2840" s="3" t="s">
        <v>23</v>
      </c>
    </row>
    <row r="2841" spans="1:11" ht="42" customHeight="1">
      <c r="A2841" s="2" t="s">
        <v>5897</v>
      </c>
      <c r="B2841" s="2" t="s">
        <v>5898</v>
      </c>
      <c r="C2841" s="2" t="s">
        <v>56</v>
      </c>
      <c r="D2841" s="2" t="s">
        <v>57</v>
      </c>
      <c r="E2841" s="5">
        <v>-27797</v>
      </c>
      <c r="F2841" s="3" t="s">
        <v>3409</v>
      </c>
      <c r="G2841" s="3" t="s">
        <v>20</v>
      </c>
      <c r="H2841" s="2" t="s">
        <v>21</v>
      </c>
      <c r="I2841" s="2" t="s">
        <v>5899</v>
      </c>
      <c r="J2841" s="3" t="str">
        <f>HYPERLINK("https://www.boe.es/gazeta/dias/1823/11/22/pdfs/GMD-1823-1153.pdf#page=4","Abrir facsímil")</f>
        <v>Abrir facsímil</v>
      </c>
      <c r="K2841" s="3" t="s">
        <v>23</v>
      </c>
    </row>
    <row r="2842" spans="1:11" ht="42" customHeight="1">
      <c r="A2842" s="2" t="s">
        <v>5900</v>
      </c>
      <c r="B2842" s="2" t="s">
        <v>5901</v>
      </c>
      <c r="C2842" s="2" t="s">
        <v>79</v>
      </c>
      <c r="D2842" s="2" t="s">
        <v>74</v>
      </c>
      <c r="E2842" s="5">
        <v>-28014</v>
      </c>
      <c r="F2842" s="3" t="s">
        <v>2805</v>
      </c>
      <c r="G2842" s="3" t="s">
        <v>20</v>
      </c>
      <c r="H2842" s="2" t="s">
        <v>21</v>
      </c>
      <c r="I2842" s="2" t="s">
        <v>5902</v>
      </c>
      <c r="J2842" s="3" t="str">
        <f>HYPERLINK("https://www.boe.es/gazeta/dias/1823/04/19/pdfs/GES-1823-9.pdf#page=4","Abrir facsímil")</f>
        <v>Abrir facsímil</v>
      </c>
      <c r="K2842" s="3" t="s">
        <v>23</v>
      </c>
    </row>
    <row r="2843" spans="1:11" ht="42" customHeight="1">
      <c r="A2843" s="2" t="s">
        <v>5903</v>
      </c>
      <c r="B2843" s="2" t="s">
        <v>5904</v>
      </c>
      <c r="C2843" s="2" t="s">
        <v>17</v>
      </c>
      <c r="D2843" s="2" t="s">
        <v>18</v>
      </c>
      <c r="E2843" s="5">
        <v>-28120</v>
      </c>
      <c r="F2843" s="3" t="s">
        <v>2772</v>
      </c>
      <c r="G2843" s="3" t="s">
        <v>27</v>
      </c>
      <c r="H2843" s="2" t="s">
        <v>21</v>
      </c>
      <c r="I2843" s="2" t="s">
        <v>5905</v>
      </c>
      <c r="J2843" s="3" t="str">
        <f>HYPERLINK("https://www.boe.es/gazeta/dias/1823/01/03/pdfs/GMD-1823-3.pdf#page=2","Abrir facsímil")</f>
        <v>Abrir facsímil</v>
      </c>
      <c r="K2843" s="3" t="s">
        <v>23</v>
      </c>
    </row>
    <row r="2844" spans="1:11" ht="42" customHeight="1">
      <c r="A2844" s="2" t="s">
        <v>5906</v>
      </c>
      <c r="B2844" s="2" t="s">
        <v>5907</v>
      </c>
      <c r="C2844" s="2" t="s">
        <v>73</v>
      </c>
      <c r="D2844" s="2" t="s">
        <v>74</v>
      </c>
      <c r="E2844" s="5">
        <v>-27962</v>
      </c>
      <c r="F2844" s="3" t="s">
        <v>594</v>
      </c>
      <c r="G2844" s="3" t="s">
        <v>39</v>
      </c>
      <c r="H2844" s="2" t="s">
        <v>28</v>
      </c>
      <c r="I2844" s="2" t="s">
        <v>5908</v>
      </c>
      <c r="J2844" s="3" t="str">
        <f>HYPERLINK("https://www.boe.es/gazeta/dias/1823/06/10/pdfs/GES-1823-64.pdf#page=1","Abrir facsímil")</f>
        <v>Abrir facsímil</v>
      </c>
      <c r="K2844" s="3" t="s">
        <v>30</v>
      </c>
    </row>
    <row r="2845" spans="1:11" ht="42" customHeight="1">
      <c r="A2845" s="2" t="s">
        <v>5909</v>
      </c>
      <c r="B2845" s="2" t="s">
        <v>5910</v>
      </c>
      <c r="C2845" s="2" t="s">
        <v>73</v>
      </c>
      <c r="D2845" s="2" t="s">
        <v>74</v>
      </c>
      <c r="E2845" s="5">
        <v>-28021</v>
      </c>
      <c r="F2845" s="3" t="s">
        <v>1054</v>
      </c>
      <c r="G2845" s="3" t="s">
        <v>1055</v>
      </c>
      <c r="H2845" s="2" t="s">
        <v>21</v>
      </c>
      <c r="I2845" s="2" t="s">
        <v>5911</v>
      </c>
      <c r="J2845" s="3" t="str">
        <f>HYPERLINK("https://www.boe.es/gazeta/dias/1823/04/12/pdfs/GMD-1823-107.pdf#page=4","Abrir facsímil")</f>
        <v>Abrir facsímil</v>
      </c>
      <c r="K2845" s="3" t="s">
        <v>23</v>
      </c>
    </row>
    <row r="2846" spans="1:11" ht="42" customHeight="1">
      <c r="A2846" s="2" t="s">
        <v>5912</v>
      </c>
      <c r="B2846" s="2" t="s">
        <v>5913</v>
      </c>
      <c r="C2846" s="2" t="s">
        <v>79</v>
      </c>
      <c r="D2846" s="2" t="s">
        <v>74</v>
      </c>
      <c r="E2846" s="5">
        <v>-28101</v>
      </c>
      <c r="F2846" s="3" t="s">
        <v>1041</v>
      </c>
      <c r="G2846" s="3" t="s">
        <v>20</v>
      </c>
      <c r="H2846" s="2" t="s">
        <v>21</v>
      </c>
      <c r="I2846" s="2" t="s">
        <v>5914</v>
      </c>
      <c r="J2846" s="3" t="str">
        <f>HYPERLINK("https://www.boe.es/gazeta/dias/1823/01/22/pdfs/GMD-1823-23.pdf#page=4","Abrir facsímil")</f>
        <v>Abrir facsímil</v>
      </c>
      <c r="K2846" s="3" t="s">
        <v>23</v>
      </c>
    </row>
    <row r="2847" spans="1:11" ht="42" customHeight="1">
      <c r="A2847" s="2" t="s">
        <v>5915</v>
      </c>
      <c r="B2847" s="2" t="s">
        <v>5916</v>
      </c>
      <c r="C2847" s="2" t="s">
        <v>56</v>
      </c>
      <c r="D2847" s="2" t="s">
        <v>117</v>
      </c>
      <c r="E2847" s="5">
        <v>-27970</v>
      </c>
      <c r="F2847" s="3" t="s">
        <v>1699</v>
      </c>
      <c r="G2847" s="3" t="s">
        <v>39</v>
      </c>
      <c r="H2847" s="2" t="s">
        <v>21</v>
      </c>
      <c r="I2847" s="2" t="s">
        <v>5917</v>
      </c>
      <c r="J2847" s="3" t="str">
        <f>HYPERLINK("https://www.boe.es/gazeta/dias/1823/06/02/pdfs/GMD-1823-43E.pdf#page=1","Abrir facsímil")</f>
        <v>Abrir facsímil</v>
      </c>
      <c r="K2847" s="3" t="s">
        <v>23</v>
      </c>
    </row>
    <row r="2848" spans="1:11" ht="42" customHeight="1">
      <c r="A2848" s="2" t="s">
        <v>5918</v>
      </c>
      <c r="B2848" s="2" t="s">
        <v>5918</v>
      </c>
      <c r="C2848" s="2" t="s">
        <v>17</v>
      </c>
      <c r="D2848" s="2" t="s">
        <v>18</v>
      </c>
      <c r="E2848" s="5">
        <v>-27902</v>
      </c>
      <c r="F2848" s="3" t="s">
        <v>221</v>
      </c>
      <c r="G2848" s="3" t="s">
        <v>27</v>
      </c>
      <c r="H2848" s="2" t="s">
        <v>21</v>
      </c>
      <c r="I2848" s="2" t="s">
        <v>5919</v>
      </c>
      <c r="J2848" s="3" t="str">
        <f>HYPERLINK("https://www.boe.es/gazeta/dias/1823/08/09/pdfs/GES-1823-122.pdf#page=2","Abrir facsímil")</f>
        <v>Abrir facsímil</v>
      </c>
      <c r="K2848" s="3" t="s">
        <v>23</v>
      </c>
    </row>
    <row r="2849" spans="1:11" ht="42" customHeight="1">
      <c r="A2849" s="2" t="s">
        <v>5920</v>
      </c>
      <c r="B2849" s="2" t="s">
        <v>5921</v>
      </c>
      <c r="C2849" s="2" t="s">
        <v>79</v>
      </c>
      <c r="D2849" s="2" t="s">
        <v>74</v>
      </c>
      <c r="E2849" s="5">
        <v>-27893</v>
      </c>
      <c r="F2849" s="3" t="s">
        <v>1893</v>
      </c>
      <c r="G2849" s="3" t="s">
        <v>1894</v>
      </c>
      <c r="H2849" s="2" t="s">
        <v>21</v>
      </c>
      <c r="I2849" s="2" t="s">
        <v>5922</v>
      </c>
      <c r="J2849" s="3" t="str">
        <f>HYPERLINK("https://www.boe.es/gazeta/dias/1823/08/18/pdfs/GES-1823-131.pdf#page=4","Abrir facsímil")</f>
        <v>Abrir facsímil</v>
      </c>
      <c r="K2849" s="3" t="s">
        <v>23</v>
      </c>
    </row>
    <row r="2850" spans="1:11" ht="42" customHeight="1">
      <c r="A2850" s="2" t="s">
        <v>5923</v>
      </c>
      <c r="B2850" s="2" t="s">
        <v>5924</v>
      </c>
      <c r="C2850" s="2" t="s">
        <v>17</v>
      </c>
      <c r="D2850" s="2" t="s">
        <v>18</v>
      </c>
      <c r="E2850" s="5">
        <v>-27884</v>
      </c>
      <c r="F2850" s="3" t="s">
        <v>61</v>
      </c>
      <c r="G2850" s="3" t="s">
        <v>27</v>
      </c>
      <c r="H2850" s="2" t="s">
        <v>21</v>
      </c>
      <c r="I2850" s="2" t="s">
        <v>5925</v>
      </c>
      <c r="J2850" s="3" t="str">
        <f>HYPERLINK("https://www.boe.es/gazeta/dias/1823/08/27/pdfs/GES-1823-140.pdf#page=2","Abrir facsímil")</f>
        <v>Abrir facsímil</v>
      </c>
      <c r="K2850" s="3" t="s">
        <v>23</v>
      </c>
    </row>
    <row r="2851" spans="1:11" ht="42" customHeight="1">
      <c r="A2851" s="2" t="s">
        <v>5926</v>
      </c>
      <c r="B2851" s="2" t="s">
        <v>5927</v>
      </c>
      <c r="C2851" s="2" t="s">
        <v>17</v>
      </c>
      <c r="D2851" s="2" t="s">
        <v>18</v>
      </c>
      <c r="E2851" s="5">
        <v>-28026</v>
      </c>
      <c r="F2851" s="3" t="s">
        <v>937</v>
      </c>
      <c r="G2851" s="3" t="s">
        <v>5928</v>
      </c>
      <c r="H2851" s="2" t="s">
        <v>21</v>
      </c>
      <c r="I2851" s="2" t="s">
        <v>5929</v>
      </c>
      <c r="J2851" s="3" t="str">
        <f>HYPERLINK("https://www.boe.es/gazeta/dias/1823/04/07/pdfs/GMD-1823-102.pdf#page=2","Abrir facsímil")</f>
        <v>Abrir facsímil</v>
      </c>
      <c r="K2851" s="3" t="s">
        <v>23</v>
      </c>
    </row>
    <row r="2852" spans="1:11" ht="42" customHeight="1">
      <c r="A2852" s="2" t="s">
        <v>5930</v>
      </c>
      <c r="B2852" s="2" t="s">
        <v>5931</v>
      </c>
      <c r="C2852" s="2" t="s">
        <v>56</v>
      </c>
      <c r="D2852" s="2" t="s">
        <v>57</v>
      </c>
      <c r="E2852" s="5">
        <v>-27862</v>
      </c>
      <c r="F2852" s="3" t="s">
        <v>1530</v>
      </c>
      <c r="G2852" s="3" t="s">
        <v>48</v>
      </c>
      <c r="H2852" s="2" t="s">
        <v>21</v>
      </c>
      <c r="I2852" s="2" t="s">
        <v>5932</v>
      </c>
      <c r="J2852" s="3" t="str">
        <f>HYPERLINK("https://www.boe.es/gazeta/dias/1823/09/18/pdfs/GMD-1823-803.pdf#page=3","Abrir facsímil")</f>
        <v>Abrir facsímil</v>
      </c>
      <c r="K2852" s="3" t="s">
        <v>23</v>
      </c>
    </row>
    <row r="2853" spans="1:11" ht="42" customHeight="1">
      <c r="A2853" s="2" t="s">
        <v>5933</v>
      </c>
      <c r="B2853" s="2" t="s">
        <v>5933</v>
      </c>
      <c r="C2853" s="2" t="s">
        <v>17</v>
      </c>
      <c r="D2853" s="2" t="s">
        <v>18</v>
      </c>
      <c r="E2853" s="5">
        <v>-27943</v>
      </c>
      <c r="F2853" s="3" t="s">
        <v>346</v>
      </c>
      <c r="G2853" s="3" t="s">
        <v>48</v>
      </c>
      <c r="H2853" s="2" t="s">
        <v>21</v>
      </c>
      <c r="I2853" s="2" t="s">
        <v>5934</v>
      </c>
      <c r="J2853" s="3" t="str">
        <f>HYPERLINK("https://www.boe.es/gazeta/dias/1823/06/29/pdfs/GES-1823-79.pdf#page=3","Abrir facsímil")</f>
        <v>Abrir facsímil</v>
      </c>
      <c r="K2853" s="3" t="s">
        <v>23</v>
      </c>
    </row>
    <row r="2854" spans="1:11" ht="42" customHeight="1">
      <c r="A2854" s="2" t="s">
        <v>5935</v>
      </c>
      <c r="B2854" s="2" t="s">
        <v>5935</v>
      </c>
      <c r="C2854" s="2" t="s">
        <v>17</v>
      </c>
      <c r="D2854" s="2" t="s">
        <v>18</v>
      </c>
      <c r="E2854" s="5">
        <v>-27995</v>
      </c>
      <c r="F2854" s="3" t="s">
        <v>326</v>
      </c>
      <c r="G2854" s="3" t="s">
        <v>20</v>
      </c>
      <c r="H2854" s="2" t="s">
        <v>21</v>
      </c>
      <c r="I2854" s="2" t="s">
        <v>5936</v>
      </c>
      <c r="J2854" s="3" t="str">
        <f>HYPERLINK("https://www.boe.es/gazeta/dias/1823/05/08/pdfs/GMD-1823-112.pdf#page=4","Abrir facsímil")</f>
        <v>Abrir facsímil</v>
      </c>
      <c r="K2854" s="3" t="s">
        <v>23</v>
      </c>
    </row>
    <row r="2855" spans="1:11" ht="42" customHeight="1">
      <c r="A2855" s="2" t="s">
        <v>5935</v>
      </c>
      <c r="B2855" s="2" t="s">
        <v>5935</v>
      </c>
      <c r="C2855" s="2" t="s">
        <v>17</v>
      </c>
      <c r="D2855" s="2" t="s">
        <v>18</v>
      </c>
      <c r="E2855" s="5">
        <v>-27993</v>
      </c>
      <c r="F2855" s="3" t="s">
        <v>1062</v>
      </c>
      <c r="G2855" s="3" t="s">
        <v>59</v>
      </c>
      <c r="H2855" s="2" t="s">
        <v>21</v>
      </c>
      <c r="I2855" s="2" t="s">
        <v>5937</v>
      </c>
      <c r="J2855" s="3" t="str">
        <f>HYPERLINK("https://www.boe.es/gazeta/dias/1823/05/10/pdfs/GMD-1823-122.pdf#page=6","Abrir facsímil")</f>
        <v>Abrir facsímil</v>
      </c>
      <c r="K2855" s="3" t="s">
        <v>23</v>
      </c>
    </row>
    <row r="2856" spans="1:11" ht="42" customHeight="1">
      <c r="A2856" s="2" t="s">
        <v>5935</v>
      </c>
      <c r="B2856" s="2" t="s">
        <v>5935</v>
      </c>
      <c r="C2856" s="2" t="s">
        <v>17</v>
      </c>
      <c r="D2856" s="2" t="s">
        <v>18</v>
      </c>
      <c r="E2856" s="5">
        <v>-27922</v>
      </c>
      <c r="F2856" s="3" t="s">
        <v>1959</v>
      </c>
      <c r="G2856" s="3" t="s">
        <v>27</v>
      </c>
      <c r="H2856" s="2" t="s">
        <v>21</v>
      </c>
      <c r="I2856" s="2" t="s">
        <v>5938</v>
      </c>
      <c r="J2856" s="3" t="str">
        <f>HYPERLINK("https://www.boe.es/gazeta/dias/1823/07/20/pdfs/GES-1823-101.pdf#page=2","Abrir facsímil")</f>
        <v>Abrir facsímil</v>
      </c>
      <c r="K2856" s="3" t="s">
        <v>23</v>
      </c>
    </row>
    <row r="2857" spans="1:11" ht="42" customHeight="1">
      <c r="A2857" s="2" t="s">
        <v>5935</v>
      </c>
      <c r="B2857" s="2" t="s">
        <v>5935</v>
      </c>
      <c r="C2857" s="2" t="s">
        <v>17</v>
      </c>
      <c r="D2857" s="2" t="s">
        <v>18</v>
      </c>
      <c r="E2857" s="5">
        <v>-27910</v>
      </c>
      <c r="F2857" s="3" t="s">
        <v>38</v>
      </c>
      <c r="G2857" s="3" t="s">
        <v>39</v>
      </c>
      <c r="H2857" s="2" t="s">
        <v>21</v>
      </c>
      <c r="I2857" s="2" t="s">
        <v>5939</v>
      </c>
      <c r="J2857" s="3" t="str">
        <f>HYPERLINK("https://www.boe.es/gazeta/dias/1823/08/01/pdfs/GES-1823-113.pdf#page=1","Abrir facsímil")</f>
        <v>Abrir facsímil</v>
      </c>
      <c r="K2857" s="3" t="s">
        <v>23</v>
      </c>
    </row>
    <row r="2858" spans="1:11" ht="42" customHeight="1">
      <c r="A2858" s="2" t="s">
        <v>5935</v>
      </c>
      <c r="B2858" s="2" t="s">
        <v>5935</v>
      </c>
      <c r="C2858" s="2" t="s">
        <v>17</v>
      </c>
      <c r="D2858" s="2" t="s">
        <v>18</v>
      </c>
      <c r="E2858" s="5">
        <v>-27841</v>
      </c>
      <c r="F2858" s="3" t="s">
        <v>721</v>
      </c>
      <c r="G2858" s="3" t="s">
        <v>39</v>
      </c>
      <c r="H2858" s="2" t="s">
        <v>21</v>
      </c>
      <c r="I2858" s="2" t="s">
        <v>5940</v>
      </c>
      <c r="J2858" s="3" t="str">
        <f>HYPERLINK("https://www.boe.es/gazeta/dias/1823/10/09/pdfs/GMD-1823-953.pdf#page=1","Abrir facsímil")</f>
        <v>Abrir facsímil</v>
      </c>
      <c r="K2858" s="3" t="s">
        <v>23</v>
      </c>
    </row>
    <row r="2859" spans="1:11" ht="42" customHeight="1">
      <c r="A2859" s="2" t="s">
        <v>5935</v>
      </c>
      <c r="B2859" s="2" t="s">
        <v>5935</v>
      </c>
      <c r="C2859" s="2" t="s">
        <v>17</v>
      </c>
      <c r="D2859" s="2" t="s">
        <v>18</v>
      </c>
      <c r="E2859" s="5">
        <v>-27818</v>
      </c>
      <c r="F2859" s="3" t="s">
        <v>1597</v>
      </c>
      <c r="G2859" s="3" t="s">
        <v>20</v>
      </c>
      <c r="H2859" s="2" t="s">
        <v>21</v>
      </c>
      <c r="I2859" s="2" t="s">
        <v>5941</v>
      </c>
      <c r="J2859" s="3" t="str">
        <f>HYPERLINK("https://www.boe.es/gazeta/dias/1823/11/01/pdfs/GMD-1823-1053.pdf#page=4","Abrir facsímil")</f>
        <v>Abrir facsímil</v>
      </c>
      <c r="K2859" s="3" t="s">
        <v>23</v>
      </c>
    </row>
    <row r="2860" spans="1:11" ht="42" customHeight="1">
      <c r="A2860" s="2" t="s">
        <v>5935</v>
      </c>
      <c r="B2860" s="2" t="s">
        <v>5935</v>
      </c>
      <c r="C2860" s="2" t="s">
        <v>73</v>
      </c>
      <c r="D2860" s="2" t="s">
        <v>74</v>
      </c>
      <c r="E2860" s="5">
        <v>-27799</v>
      </c>
      <c r="F2860" s="3" t="s">
        <v>3388</v>
      </c>
      <c r="G2860" s="3" t="s">
        <v>48</v>
      </c>
      <c r="H2860" s="2" t="s">
        <v>21</v>
      </c>
      <c r="I2860" s="2" t="s">
        <v>5942</v>
      </c>
      <c r="J2860" s="3" t="str">
        <f>HYPERLINK("https://www.boe.es/gazeta/dias/1823/11/20/pdfs/GMD-1823-1143.pdf#page=3","Abrir facsímil")</f>
        <v>Abrir facsímil</v>
      </c>
      <c r="K2860" s="3" t="s">
        <v>23</v>
      </c>
    </row>
    <row r="2861" spans="1:11" ht="42" customHeight="1">
      <c r="A2861" s="2" t="s">
        <v>5943</v>
      </c>
      <c r="B2861" s="2" t="s">
        <v>5944</v>
      </c>
      <c r="C2861" s="2" t="s">
        <v>73</v>
      </c>
      <c r="D2861" s="2" t="s">
        <v>74</v>
      </c>
      <c r="E2861" s="5">
        <v>-27982</v>
      </c>
      <c r="F2861" s="3" t="s">
        <v>340</v>
      </c>
      <c r="G2861" s="3" t="s">
        <v>27</v>
      </c>
      <c r="H2861" s="2" t="s">
        <v>21</v>
      </c>
      <c r="I2861" s="2" t="s">
        <v>5945</v>
      </c>
      <c r="J2861" s="3" t="str">
        <f>HYPERLINK("https://www.boe.es/gazeta/dias/1823/05/21/pdfs/GES-1823-42.pdf#page=2","Abrir facsímil")</f>
        <v>Abrir facsímil</v>
      </c>
      <c r="K2861" s="3" t="s">
        <v>23</v>
      </c>
    </row>
    <row r="2862" spans="1:11" ht="42" customHeight="1">
      <c r="A2862" s="2" t="s">
        <v>5946</v>
      </c>
      <c r="B2862" s="2" t="s">
        <v>5947</v>
      </c>
      <c r="C2862" s="2" t="s">
        <v>79</v>
      </c>
      <c r="D2862" s="2" t="s">
        <v>74</v>
      </c>
      <c r="E2862" s="5">
        <v>-28101</v>
      </c>
      <c r="F2862" s="3" t="s">
        <v>1041</v>
      </c>
      <c r="G2862" s="3" t="s">
        <v>20</v>
      </c>
      <c r="H2862" s="2" t="s">
        <v>21</v>
      </c>
      <c r="I2862" s="2" t="s">
        <v>5948</v>
      </c>
      <c r="J2862" s="3" t="str">
        <f>HYPERLINK("https://www.boe.es/gazeta/dias/1823/01/22/pdfs/GMD-1823-23.pdf#page=4","Abrir facsímil")</f>
        <v>Abrir facsímil</v>
      </c>
      <c r="K2862" s="3" t="s">
        <v>23</v>
      </c>
    </row>
    <row r="2863" spans="1:11" ht="42" customHeight="1">
      <c r="A2863" s="2" t="s">
        <v>5949</v>
      </c>
      <c r="B2863" s="2" t="s">
        <v>5950</v>
      </c>
      <c r="C2863" s="2" t="s">
        <v>17</v>
      </c>
      <c r="D2863" s="2" t="s">
        <v>18</v>
      </c>
      <c r="E2863" s="5">
        <v>-28028</v>
      </c>
      <c r="F2863" s="3" t="s">
        <v>893</v>
      </c>
      <c r="G2863" s="3" t="s">
        <v>27</v>
      </c>
      <c r="H2863" s="2" t="s">
        <v>28</v>
      </c>
      <c r="I2863" s="2" t="s">
        <v>5951</v>
      </c>
      <c r="J2863" s="3" t="str">
        <f>HYPERLINK("https://www.boe.es/gazeta/dias/1823/04/05/pdfs/GMD-1823-99.pdf#page=2","Abrir facsímil")</f>
        <v>Abrir facsímil</v>
      </c>
      <c r="K2863" s="3" t="s">
        <v>30</v>
      </c>
    </row>
    <row r="2864" spans="1:11" ht="42" customHeight="1">
      <c r="A2864" s="2" t="s">
        <v>5952</v>
      </c>
      <c r="B2864" s="2" t="s">
        <v>5953</v>
      </c>
      <c r="C2864" s="2" t="s">
        <v>17</v>
      </c>
      <c r="D2864" s="2" t="s">
        <v>18</v>
      </c>
      <c r="E2864" s="5">
        <v>-27862</v>
      </c>
      <c r="F2864" s="3" t="s">
        <v>1530</v>
      </c>
      <c r="G2864" s="3" t="s">
        <v>39</v>
      </c>
      <c r="H2864" s="2" t="s">
        <v>21</v>
      </c>
      <c r="I2864" s="2" t="s">
        <v>5954</v>
      </c>
      <c r="J2864" s="3" t="str">
        <f>HYPERLINK("https://www.boe.es/gazeta/dias/1823/09/18/pdfs/GMD-1823-803.pdf#page=1","Abrir facsímil")</f>
        <v>Abrir facsímil</v>
      </c>
      <c r="K2864" s="3" t="s">
        <v>23</v>
      </c>
    </row>
    <row r="2865" spans="1:11" ht="42" customHeight="1">
      <c r="A2865" s="2" t="s">
        <v>5955</v>
      </c>
      <c r="B2865" s="2" t="s">
        <v>5955</v>
      </c>
      <c r="C2865" s="2" t="s">
        <v>79</v>
      </c>
      <c r="D2865" s="2" t="s">
        <v>74</v>
      </c>
      <c r="E2865" s="5">
        <v>-27792</v>
      </c>
      <c r="F2865" s="3" t="s">
        <v>611</v>
      </c>
      <c r="G2865" s="3" t="s">
        <v>48</v>
      </c>
      <c r="H2865" s="2" t="s">
        <v>21</v>
      </c>
      <c r="I2865" s="2" t="s">
        <v>5956</v>
      </c>
      <c r="J2865" s="3" t="str">
        <f>HYPERLINK("https://www.boe.es/gazeta/dias/1823/11/27/pdfs/GMD-1823-1173.pdf#page=3","Abrir facsímil")</f>
        <v>Abrir facsímil</v>
      </c>
      <c r="K2865" s="3" t="s">
        <v>23</v>
      </c>
    </row>
    <row r="2866" spans="1:11" ht="42" customHeight="1">
      <c r="A2866" s="2" t="s">
        <v>5957</v>
      </c>
      <c r="B2866" s="2" t="s">
        <v>5957</v>
      </c>
      <c r="C2866" s="2" t="s">
        <v>17</v>
      </c>
      <c r="D2866" s="2" t="s">
        <v>18</v>
      </c>
      <c r="E2866" s="5">
        <v>-27916</v>
      </c>
      <c r="F2866" s="3" t="s">
        <v>772</v>
      </c>
      <c r="G2866" s="3" t="s">
        <v>5958</v>
      </c>
      <c r="H2866" s="2" t="s">
        <v>21</v>
      </c>
      <c r="I2866" s="2" t="s">
        <v>5959</v>
      </c>
      <c r="J2866" s="3" t="str">
        <f>HYPERLINK("https://www.boe.es/gazeta/dias/1823/07/26/pdfs/GES-1823-107.pdf#page=4","Abrir facsímil")</f>
        <v>Abrir facsímil</v>
      </c>
      <c r="K2866" s="3" t="s">
        <v>23</v>
      </c>
    </row>
    <row r="2867" spans="1:11" ht="42" customHeight="1">
      <c r="A2867" s="2" t="s">
        <v>5960</v>
      </c>
      <c r="B2867" s="2" t="s">
        <v>5961</v>
      </c>
      <c r="C2867" s="2" t="s">
        <v>17</v>
      </c>
      <c r="D2867" s="2" t="s">
        <v>18</v>
      </c>
      <c r="E2867" s="5">
        <v>-27897</v>
      </c>
      <c r="F2867" s="3" t="s">
        <v>5962</v>
      </c>
      <c r="G2867" s="3" t="s">
        <v>5269</v>
      </c>
      <c r="H2867" s="2" t="s">
        <v>21</v>
      </c>
      <c r="I2867" s="2" t="s">
        <v>5963</v>
      </c>
      <c r="J2867" s="3" t="str">
        <f>HYPERLINK("https://www.boe.es/gazeta/dias/1823/08/14/pdfs/GES-1823-127.pdf#page=2","Abrir facsímil")</f>
        <v>Abrir facsímil</v>
      </c>
      <c r="K2867" s="3" t="s">
        <v>23</v>
      </c>
    </row>
    <row r="2868" spans="1:11" ht="42" customHeight="1">
      <c r="A2868" s="2" t="s">
        <v>5964</v>
      </c>
      <c r="B2868" s="2" t="s">
        <v>5965</v>
      </c>
      <c r="C2868" s="2" t="s">
        <v>73</v>
      </c>
      <c r="D2868" s="2" t="s">
        <v>74</v>
      </c>
      <c r="E2868" s="5">
        <v>-27981</v>
      </c>
      <c r="F2868" s="3" t="s">
        <v>1521</v>
      </c>
      <c r="G2868" s="3" t="s">
        <v>2395</v>
      </c>
      <c r="H2868" s="2" t="s">
        <v>21</v>
      </c>
      <c r="I2868" s="2" t="s">
        <v>5966</v>
      </c>
      <c r="J2868" s="3" t="str">
        <f>HYPERLINK("https://www.boe.es/gazeta/dias/1823/05/22/pdfs/GES-1823-43.pdf#page=2","Abrir facsímil")</f>
        <v>Abrir facsímil</v>
      </c>
      <c r="K2868" s="3" t="s">
        <v>23</v>
      </c>
    </row>
    <row r="2869" spans="1:11" ht="42" customHeight="1">
      <c r="A2869" s="2" t="s">
        <v>5967</v>
      </c>
      <c r="B2869" s="2" t="s">
        <v>5967</v>
      </c>
      <c r="C2869" s="2" t="s">
        <v>56</v>
      </c>
      <c r="D2869" s="2" t="s">
        <v>57</v>
      </c>
      <c r="E2869" s="5">
        <v>-28099</v>
      </c>
      <c r="F2869" s="3" t="s">
        <v>1689</v>
      </c>
      <c r="G2869" s="3" t="s">
        <v>39</v>
      </c>
      <c r="H2869" s="2" t="s">
        <v>21</v>
      </c>
      <c r="I2869" s="2" t="s">
        <v>5968</v>
      </c>
      <c r="J2869" s="3" t="str">
        <f>HYPERLINK("https://www.boe.es/gazeta/dias/1823/01/24/pdfs/GMD-1823-25.pdf#page=1","Abrir facsímil")</f>
        <v>Abrir facsímil</v>
      </c>
      <c r="K2869" s="3" t="s">
        <v>23</v>
      </c>
    </row>
    <row r="2870" spans="1:11" ht="42" customHeight="1">
      <c r="A2870" s="2" t="s">
        <v>5969</v>
      </c>
      <c r="B2870" s="2" t="s">
        <v>5970</v>
      </c>
      <c r="C2870" s="2" t="s">
        <v>293</v>
      </c>
      <c r="D2870" s="2" t="s">
        <v>74</v>
      </c>
      <c r="E2870" s="5">
        <v>-28048</v>
      </c>
      <c r="F2870" s="3" t="s">
        <v>399</v>
      </c>
      <c r="G2870" s="3" t="s">
        <v>59</v>
      </c>
      <c r="H2870" s="2" t="s">
        <v>21</v>
      </c>
      <c r="I2870" s="2" t="s">
        <v>5971</v>
      </c>
      <c r="J2870" s="3" t="str">
        <f>HYPERLINK("https://www.boe.es/gazeta/dias/1823/03/16/pdfs/GMD-1823-79.pdf#page=6","Abrir facsímil")</f>
        <v>Abrir facsímil</v>
      </c>
      <c r="K2870" s="3" t="s">
        <v>23</v>
      </c>
    </row>
    <row r="2871" spans="1:11" ht="42" customHeight="1">
      <c r="A2871" s="2" t="s">
        <v>5972</v>
      </c>
      <c r="B2871" s="2" t="s">
        <v>5972</v>
      </c>
      <c r="C2871" s="2" t="s">
        <v>17</v>
      </c>
      <c r="D2871" s="2" t="s">
        <v>18</v>
      </c>
      <c r="E2871" s="5">
        <v>-28076</v>
      </c>
      <c r="F2871" s="3" t="s">
        <v>1638</v>
      </c>
      <c r="G2871" s="3" t="s">
        <v>59</v>
      </c>
      <c r="H2871" s="2" t="s">
        <v>21</v>
      </c>
      <c r="I2871" s="2" t="s">
        <v>5973</v>
      </c>
      <c r="J2871" s="3" t="str">
        <f>HYPERLINK("https://www.boe.es/gazeta/dias/1823/02/16/pdfs/GMD-1823-50.pdf#page=6","Abrir facsímil")</f>
        <v>Abrir facsímil</v>
      </c>
      <c r="K2871" s="3" t="s">
        <v>23</v>
      </c>
    </row>
    <row r="2872" spans="1:11" ht="42" customHeight="1">
      <c r="A2872" s="2" t="s">
        <v>5974</v>
      </c>
      <c r="B2872" s="2" t="s">
        <v>5975</v>
      </c>
      <c r="C2872" s="2" t="s">
        <v>325</v>
      </c>
      <c r="D2872" s="2" t="s">
        <v>74</v>
      </c>
      <c r="E2872" s="5">
        <v>-27797</v>
      </c>
      <c r="F2872" s="3" t="s">
        <v>3409</v>
      </c>
      <c r="G2872" s="3" t="s">
        <v>39</v>
      </c>
      <c r="H2872" s="2" t="s">
        <v>21</v>
      </c>
      <c r="I2872" s="2" t="s">
        <v>5976</v>
      </c>
      <c r="J2872" s="3" t="str">
        <f>HYPERLINK("https://www.boe.es/gazeta/dias/1823/11/22/pdfs/GMD-1823-1153.pdf#page=1","Abrir facsímil")</f>
        <v>Abrir facsímil</v>
      </c>
      <c r="K2872" s="3" t="s">
        <v>23</v>
      </c>
    </row>
    <row r="2873" spans="1:11" ht="42" customHeight="1">
      <c r="A2873" s="2" t="s">
        <v>5977</v>
      </c>
      <c r="B2873" s="2" t="s">
        <v>5978</v>
      </c>
      <c r="C2873" s="2" t="s">
        <v>17</v>
      </c>
      <c r="D2873" s="2" t="s">
        <v>18</v>
      </c>
      <c r="E2873" s="5">
        <v>-27905</v>
      </c>
      <c r="F2873" s="3" t="s">
        <v>236</v>
      </c>
      <c r="G2873" s="3" t="s">
        <v>237</v>
      </c>
      <c r="H2873" s="2" t="s">
        <v>28</v>
      </c>
      <c r="I2873" s="2" t="s">
        <v>5979</v>
      </c>
      <c r="J2873" s="3" t="str">
        <f>HYPERLINK("https://www.boe.es/gazeta/dias/1823/08/06/pdfs/GES-1823-119.pdf#page=4","Abrir facsímil")</f>
        <v>Abrir facsímil</v>
      </c>
      <c r="K2873" s="3" t="s">
        <v>30</v>
      </c>
    </row>
    <row r="2874" spans="1:11" ht="42" customHeight="1">
      <c r="A2874" s="2" t="s">
        <v>5980</v>
      </c>
      <c r="B2874" s="2" t="s">
        <v>5981</v>
      </c>
      <c r="C2874" s="2" t="s">
        <v>109</v>
      </c>
      <c r="D2874" s="2" t="s">
        <v>74</v>
      </c>
      <c r="E2874" s="5">
        <v>-28037</v>
      </c>
      <c r="F2874" s="3" t="s">
        <v>192</v>
      </c>
      <c r="G2874" s="3" t="s">
        <v>48</v>
      </c>
      <c r="H2874" s="2" t="s">
        <v>21</v>
      </c>
      <c r="I2874" s="2" t="s">
        <v>5982</v>
      </c>
      <c r="J2874" s="3" t="str">
        <f>HYPERLINK("https://www.boe.es/gazeta/dias/1823/03/27/pdfs/GMD-1823-90.pdf#page=3","Abrir facsímil")</f>
        <v>Abrir facsímil</v>
      </c>
      <c r="K2874" s="3" t="s">
        <v>23</v>
      </c>
    </row>
    <row r="2875" spans="1:11" ht="42" customHeight="1">
      <c r="A2875" s="2" t="s">
        <v>5983</v>
      </c>
      <c r="B2875" s="2" t="s">
        <v>5983</v>
      </c>
      <c r="C2875" s="2" t="s">
        <v>17</v>
      </c>
      <c r="D2875" s="2" t="s">
        <v>18</v>
      </c>
      <c r="E2875" s="5">
        <v>-28074</v>
      </c>
      <c r="F2875" s="3" t="s">
        <v>212</v>
      </c>
      <c r="G2875" s="3" t="s">
        <v>39</v>
      </c>
      <c r="H2875" s="2" t="s">
        <v>21</v>
      </c>
      <c r="I2875" s="2" t="s">
        <v>5984</v>
      </c>
      <c r="J2875" s="3" t="str">
        <f>HYPERLINK("https://www.boe.es/gazeta/dias/1823/02/18/pdfs/GMD-1823-52.pdf#page=1","Abrir facsímil")</f>
        <v>Abrir facsímil</v>
      </c>
      <c r="K2875" s="3" t="s">
        <v>23</v>
      </c>
    </row>
    <row r="2876" spans="1:11" ht="42" customHeight="1">
      <c r="A2876" s="2" t="s">
        <v>5985</v>
      </c>
      <c r="B2876" s="2" t="s">
        <v>5986</v>
      </c>
      <c r="C2876" s="2" t="s">
        <v>79</v>
      </c>
      <c r="D2876" s="2" t="s">
        <v>74</v>
      </c>
      <c r="E2876" s="5">
        <v>-28037</v>
      </c>
      <c r="F2876" s="3" t="s">
        <v>192</v>
      </c>
      <c r="G2876" s="3" t="s">
        <v>48</v>
      </c>
      <c r="H2876" s="2" t="s">
        <v>21</v>
      </c>
      <c r="I2876" s="2" t="s">
        <v>5987</v>
      </c>
      <c r="J2876" s="3" t="str">
        <f>HYPERLINK("https://www.boe.es/gazeta/dias/1823/03/27/pdfs/GMD-1823-90.pdf#page=3","Abrir facsímil")</f>
        <v>Abrir facsímil</v>
      </c>
      <c r="K2876" s="3" t="s">
        <v>23</v>
      </c>
    </row>
    <row r="2877" spans="1:11" ht="42" customHeight="1">
      <c r="A2877" s="2" t="s">
        <v>5988</v>
      </c>
      <c r="B2877" s="2" t="s">
        <v>5989</v>
      </c>
      <c r="C2877" s="2" t="s">
        <v>17</v>
      </c>
      <c r="D2877" s="2" t="s">
        <v>18</v>
      </c>
      <c r="E2877" s="5">
        <v>-28097</v>
      </c>
      <c r="F2877" s="3" t="s">
        <v>1368</v>
      </c>
      <c r="G2877" s="3" t="s">
        <v>20</v>
      </c>
      <c r="H2877" s="2" t="s">
        <v>21</v>
      </c>
      <c r="I2877" s="2" t="s">
        <v>5990</v>
      </c>
      <c r="J2877" s="3" t="str">
        <f>HYPERLINK("https://www.boe.es/gazeta/dias/1823/01/26/pdfs/GMD-1823-27.pdf#page=4","Abrir facsímil")</f>
        <v>Abrir facsímil</v>
      </c>
      <c r="K2877" s="3" t="s">
        <v>23</v>
      </c>
    </row>
    <row r="2878" spans="1:11" ht="42" customHeight="1">
      <c r="A2878" s="2" t="s">
        <v>5991</v>
      </c>
      <c r="B2878" s="2" t="s">
        <v>5991</v>
      </c>
      <c r="C2878" s="2" t="s">
        <v>56</v>
      </c>
      <c r="D2878" s="2" t="s">
        <v>57</v>
      </c>
      <c r="E2878" s="5">
        <v>-28113</v>
      </c>
      <c r="F2878" s="3" t="s">
        <v>2088</v>
      </c>
      <c r="G2878" s="3" t="s">
        <v>59</v>
      </c>
      <c r="H2878" s="2" t="s">
        <v>21</v>
      </c>
      <c r="I2878" s="2" t="s">
        <v>5992</v>
      </c>
      <c r="J2878" s="3" t="str">
        <f>HYPERLINK("https://www.boe.es/gazeta/dias/1823/01/10/pdfs/GMD-1823-10.pdf#page=6","Abrir facsímil")</f>
        <v>Abrir facsímil</v>
      </c>
      <c r="K2878" s="3" t="s">
        <v>23</v>
      </c>
    </row>
    <row r="2879" spans="1:11" ht="42" customHeight="1">
      <c r="A2879" s="2" t="s">
        <v>5991</v>
      </c>
      <c r="B2879" s="2" t="s">
        <v>5991</v>
      </c>
      <c r="C2879" s="2" t="s">
        <v>17</v>
      </c>
      <c r="D2879" s="2" t="s">
        <v>18</v>
      </c>
      <c r="E2879" s="5">
        <v>-27857</v>
      </c>
      <c r="F2879" s="3" t="s">
        <v>378</v>
      </c>
      <c r="G2879" s="3" t="s">
        <v>27</v>
      </c>
      <c r="H2879" s="2" t="s">
        <v>21</v>
      </c>
      <c r="I2879" s="2" t="s">
        <v>5993</v>
      </c>
      <c r="J2879" s="3" t="str">
        <f>HYPERLINK("https://www.boe.es/gazeta/dias/1823/09/23/pdfs/GMD-1823-833.pdf#page=2","Abrir facsímil")</f>
        <v>Abrir facsímil</v>
      </c>
      <c r="K2879" s="3" t="s">
        <v>23</v>
      </c>
    </row>
    <row r="2880" spans="1:11" ht="42" customHeight="1">
      <c r="A2880" s="2" t="s">
        <v>5991</v>
      </c>
      <c r="B2880" s="2" t="s">
        <v>5991</v>
      </c>
      <c r="C2880" s="2" t="s">
        <v>17</v>
      </c>
      <c r="D2880" s="2" t="s">
        <v>18</v>
      </c>
      <c r="E2880" s="5">
        <v>-27841</v>
      </c>
      <c r="F2880" s="3" t="s">
        <v>721</v>
      </c>
      <c r="G2880" s="3" t="s">
        <v>39</v>
      </c>
      <c r="H2880" s="2" t="s">
        <v>21</v>
      </c>
      <c r="I2880" s="2" t="s">
        <v>5994</v>
      </c>
      <c r="J2880" s="3" t="str">
        <f>HYPERLINK("https://www.boe.es/gazeta/dias/1823/10/09/pdfs/GMD-1823-953.pdf#page=1","Abrir facsímil")</f>
        <v>Abrir facsímil</v>
      </c>
      <c r="K2880" s="3" t="s">
        <v>23</v>
      </c>
    </row>
    <row r="2881" spans="1:11" ht="42" customHeight="1">
      <c r="A2881" s="2" t="s">
        <v>5991</v>
      </c>
      <c r="B2881" s="2" t="s">
        <v>5991</v>
      </c>
      <c r="C2881" s="2" t="s">
        <v>17</v>
      </c>
      <c r="D2881" s="2" t="s">
        <v>18</v>
      </c>
      <c r="E2881" s="5">
        <v>-27794</v>
      </c>
      <c r="F2881" s="3" t="s">
        <v>747</v>
      </c>
      <c r="G2881" s="3" t="s">
        <v>48</v>
      </c>
      <c r="H2881" s="2" t="s">
        <v>21</v>
      </c>
      <c r="I2881" s="2" t="s">
        <v>5995</v>
      </c>
      <c r="J2881" s="3" t="str">
        <f>HYPERLINK("https://www.boe.es/gazeta/dias/1823/11/25/pdfs/GMD-1823-1163.pdf#page=3","Abrir facsímil")</f>
        <v>Abrir facsímil</v>
      </c>
      <c r="K2881" s="3" t="s">
        <v>23</v>
      </c>
    </row>
    <row r="2882" spans="1:11" ht="42" customHeight="1">
      <c r="A2882" s="2" t="s">
        <v>5996</v>
      </c>
      <c r="B2882" s="2" t="s">
        <v>5997</v>
      </c>
      <c r="C2882" s="2" t="s">
        <v>17</v>
      </c>
      <c r="D2882" s="2" t="s">
        <v>18</v>
      </c>
      <c r="E2882" s="5">
        <v>-27829</v>
      </c>
      <c r="F2882" s="3" t="s">
        <v>228</v>
      </c>
      <c r="G2882" s="3" t="s">
        <v>20</v>
      </c>
      <c r="H2882" s="2" t="s">
        <v>21</v>
      </c>
      <c r="I2882" s="2" t="s">
        <v>5998</v>
      </c>
      <c r="J2882" s="3" t="str">
        <f>HYPERLINK("https://www.boe.es/gazeta/dias/1823/10/21/pdfs/GMD-1823-1003.pdf#page=4","Abrir facsímil")</f>
        <v>Abrir facsímil</v>
      </c>
      <c r="K2882" s="3" t="s">
        <v>23</v>
      </c>
    </row>
    <row r="2883" spans="1:11" ht="42" customHeight="1">
      <c r="A2883" s="2" t="s">
        <v>5999</v>
      </c>
      <c r="B2883" s="2" t="s">
        <v>6000</v>
      </c>
      <c r="C2883" s="2" t="s">
        <v>17</v>
      </c>
      <c r="D2883" s="2" t="s">
        <v>18</v>
      </c>
      <c r="E2883" s="5">
        <v>-27978</v>
      </c>
      <c r="F2883" s="3" t="s">
        <v>342</v>
      </c>
      <c r="G2883" s="3" t="s">
        <v>59</v>
      </c>
      <c r="H2883" s="2" t="s">
        <v>21</v>
      </c>
      <c r="I2883" s="2" t="s">
        <v>6001</v>
      </c>
      <c r="J2883" s="3" t="str">
        <f>HYPERLINK("https://www.boe.es/gazeta/dias/1823/05/25/pdfs/GES-1823-46.pdf#page=6","Abrir facsímil")</f>
        <v>Abrir facsímil</v>
      </c>
      <c r="K2883" s="3" t="s">
        <v>23</v>
      </c>
    </row>
    <row r="2884" spans="1:11" ht="42" customHeight="1">
      <c r="A2884" s="2" t="s">
        <v>6002</v>
      </c>
      <c r="B2884" s="2" t="s">
        <v>6002</v>
      </c>
      <c r="C2884" s="2" t="s">
        <v>17</v>
      </c>
      <c r="D2884" s="2" t="s">
        <v>18</v>
      </c>
      <c r="E2884" s="5">
        <v>-28062</v>
      </c>
      <c r="F2884" s="3" t="s">
        <v>1357</v>
      </c>
      <c r="G2884" s="3" t="s">
        <v>48</v>
      </c>
      <c r="H2884" s="2" t="s">
        <v>21</v>
      </c>
      <c r="I2884" s="2" t="s">
        <v>6003</v>
      </c>
      <c r="J2884" s="3" t="str">
        <f>HYPERLINK("https://www.boe.es/gazeta/dias/1823/03/02/pdfs/GMD-1823-65.pdf#page=3","Abrir facsímil")</f>
        <v>Abrir facsímil</v>
      </c>
      <c r="K2884" s="3" t="s">
        <v>23</v>
      </c>
    </row>
    <row r="2885" spans="1:11" ht="42" customHeight="1">
      <c r="A2885" s="2" t="s">
        <v>6004</v>
      </c>
      <c r="B2885" s="2" t="s">
        <v>6005</v>
      </c>
      <c r="C2885" s="2" t="s">
        <v>79</v>
      </c>
      <c r="D2885" s="2" t="s">
        <v>74</v>
      </c>
      <c r="E2885" s="5">
        <v>-27825</v>
      </c>
      <c r="F2885" s="3" t="s">
        <v>2503</v>
      </c>
      <c r="G2885" s="3" t="s">
        <v>48</v>
      </c>
      <c r="H2885" s="2" t="s">
        <v>21</v>
      </c>
      <c r="I2885" s="2" t="s">
        <v>6006</v>
      </c>
      <c r="J2885" s="3" t="str">
        <f>HYPERLINK("https://www.boe.es/gazeta/dias/1823/10/25/pdfs/GMD-1823-1023.pdf#page=3","Abrir facsímil")</f>
        <v>Abrir facsímil</v>
      </c>
      <c r="K2885" s="3" t="s">
        <v>23</v>
      </c>
    </row>
    <row r="2886" spans="1:11" ht="42" customHeight="1">
      <c r="A2886" s="2" t="s">
        <v>6007</v>
      </c>
      <c r="B2886" s="2" t="s">
        <v>6008</v>
      </c>
      <c r="C2886" s="2" t="s">
        <v>293</v>
      </c>
      <c r="D2886" s="2" t="s">
        <v>74</v>
      </c>
      <c r="E2886" s="5">
        <v>-27984</v>
      </c>
      <c r="F2886" s="3" t="s">
        <v>335</v>
      </c>
      <c r="G2886" s="3" t="s">
        <v>27</v>
      </c>
      <c r="H2886" s="2" t="s">
        <v>21</v>
      </c>
      <c r="I2886" s="2" t="s">
        <v>6009</v>
      </c>
      <c r="J2886" s="3" t="str">
        <f>HYPERLINK("https://www.boe.es/gazeta/dias/1823/05/19/pdfs/GES-1823-39.pdf#page=2","Abrir facsímil")</f>
        <v>Abrir facsímil</v>
      </c>
      <c r="K2886" s="3" t="s">
        <v>23</v>
      </c>
    </row>
    <row r="2887" spans="1:11" ht="42" customHeight="1">
      <c r="A2887" s="2" t="s">
        <v>6010</v>
      </c>
      <c r="B2887" s="2" t="s">
        <v>6010</v>
      </c>
      <c r="C2887" s="2" t="s">
        <v>17</v>
      </c>
      <c r="D2887" s="2" t="s">
        <v>18</v>
      </c>
      <c r="E2887" s="5">
        <v>-27913</v>
      </c>
      <c r="F2887" s="3" t="s">
        <v>829</v>
      </c>
      <c r="G2887" s="3" t="s">
        <v>34</v>
      </c>
      <c r="H2887" s="2" t="s">
        <v>21</v>
      </c>
      <c r="I2887" s="2" t="s">
        <v>6011</v>
      </c>
      <c r="J2887" s="3" t="str">
        <f>HYPERLINK("https://www.boe.es/gazeta/dias/1823/07/29/pdfs/GMD-1823-483.pdf#page=5","Abrir facsímil")</f>
        <v>Abrir facsímil</v>
      </c>
      <c r="K2887" s="3" t="s">
        <v>23</v>
      </c>
    </row>
    <row r="2888" spans="1:11" ht="42" customHeight="1">
      <c r="A2888" s="2" t="s">
        <v>6012</v>
      </c>
      <c r="B2888" s="2" t="s">
        <v>6012</v>
      </c>
      <c r="C2888" s="2" t="s">
        <v>17</v>
      </c>
      <c r="D2888" s="2" t="s">
        <v>18</v>
      </c>
      <c r="E2888" s="5">
        <v>-28076</v>
      </c>
      <c r="F2888" s="3" t="s">
        <v>1638</v>
      </c>
      <c r="G2888" s="3" t="s">
        <v>34</v>
      </c>
      <c r="H2888" s="2" t="s">
        <v>21</v>
      </c>
      <c r="I2888" s="2" t="s">
        <v>6013</v>
      </c>
      <c r="J2888" s="3" t="str">
        <f>HYPERLINK("https://www.boe.es/gazeta/dias/1823/02/16/pdfs/GMD-1823-50.pdf#page=5","Abrir facsímil")</f>
        <v>Abrir facsímil</v>
      </c>
      <c r="K2888" s="3" t="s">
        <v>23</v>
      </c>
    </row>
    <row r="2889" spans="1:11" ht="42" customHeight="1">
      <c r="A2889" s="2" t="s">
        <v>6014</v>
      </c>
      <c r="B2889" s="2" t="s">
        <v>6014</v>
      </c>
      <c r="C2889" s="2" t="s">
        <v>17</v>
      </c>
      <c r="D2889" s="2" t="s">
        <v>18</v>
      </c>
      <c r="E2889" s="5">
        <v>-28076</v>
      </c>
      <c r="F2889" s="3" t="s">
        <v>1638</v>
      </c>
      <c r="G2889" s="3" t="s">
        <v>34</v>
      </c>
      <c r="H2889" s="2" t="s">
        <v>21</v>
      </c>
      <c r="I2889" s="2" t="s">
        <v>6015</v>
      </c>
      <c r="J2889" s="3" t="str">
        <f>HYPERLINK("https://www.boe.es/gazeta/dias/1823/02/16/pdfs/GMD-1823-50.pdf#page=5","Abrir facsímil")</f>
        <v>Abrir facsímil</v>
      </c>
      <c r="K2889" s="3" t="s">
        <v>23</v>
      </c>
    </row>
    <row r="2890" spans="1:11" ht="42" customHeight="1">
      <c r="A2890" s="2" t="s">
        <v>6016</v>
      </c>
      <c r="B2890" s="2" t="s">
        <v>6017</v>
      </c>
      <c r="C2890" s="2" t="s">
        <v>17</v>
      </c>
      <c r="D2890" s="2" t="s">
        <v>18</v>
      </c>
      <c r="E2890" s="5">
        <v>-28065</v>
      </c>
      <c r="F2890" s="3" t="s">
        <v>686</v>
      </c>
      <c r="G2890" s="3" t="s">
        <v>20</v>
      </c>
      <c r="H2890" s="2" t="s">
        <v>21</v>
      </c>
      <c r="I2890" s="2" t="s">
        <v>6018</v>
      </c>
      <c r="J2890" s="3" t="str">
        <f>HYPERLINK("https://www.boe.es/gazeta/dias/1823/02/27/pdfs/GMD-1823-61.pdf#page=4","Abrir facsímil")</f>
        <v>Abrir facsímil</v>
      </c>
      <c r="K2890" s="3" t="s">
        <v>23</v>
      </c>
    </row>
    <row r="2891" spans="1:11" ht="42" customHeight="1">
      <c r="A2891" s="2" t="s">
        <v>6019</v>
      </c>
      <c r="B2891" s="2" t="s">
        <v>6020</v>
      </c>
      <c r="C2891" s="2" t="s">
        <v>17</v>
      </c>
      <c r="D2891" s="2" t="s">
        <v>18</v>
      </c>
      <c r="E2891" s="5">
        <v>-28029</v>
      </c>
      <c r="F2891" s="3" t="s">
        <v>141</v>
      </c>
      <c r="G2891" s="3" t="s">
        <v>27</v>
      </c>
      <c r="H2891" s="2" t="s">
        <v>28</v>
      </c>
      <c r="I2891" s="2" t="s">
        <v>6021</v>
      </c>
      <c r="J2891" s="3" t="str">
        <f>HYPERLINK("https://www.boe.es/gazeta/dias/1823/04/04/pdfs/GMD-1823-98.pdf#page=2","Abrir facsímil")</f>
        <v>Abrir facsímil</v>
      </c>
      <c r="K2891" s="3" t="s">
        <v>30</v>
      </c>
    </row>
    <row r="2892" spans="1:11" ht="42" customHeight="1">
      <c r="A2892" s="2" t="s">
        <v>6022</v>
      </c>
      <c r="B2892" s="2" t="s">
        <v>6022</v>
      </c>
      <c r="C2892" s="2" t="s">
        <v>17</v>
      </c>
      <c r="D2892" s="2" t="s">
        <v>18</v>
      </c>
      <c r="E2892" s="5">
        <v>-27891</v>
      </c>
      <c r="F2892" s="3" t="s">
        <v>825</v>
      </c>
      <c r="G2892" s="3" t="s">
        <v>20</v>
      </c>
      <c r="H2892" s="2" t="s">
        <v>21</v>
      </c>
      <c r="I2892" s="2" t="s">
        <v>6023</v>
      </c>
      <c r="J2892" s="3" t="str">
        <f>HYPERLINK("https://www.boe.es/gazeta/dias/1823/08/20/pdfs/GES-1823-133.pdf#page=4","Abrir facsímil")</f>
        <v>Abrir facsímil</v>
      </c>
      <c r="K2892" s="3" t="s">
        <v>23</v>
      </c>
    </row>
    <row r="2893" spans="1:11" ht="42" customHeight="1">
      <c r="A2893" s="2" t="s">
        <v>6024</v>
      </c>
      <c r="B2893" s="2" t="s">
        <v>6025</v>
      </c>
      <c r="C2893" s="2" t="s">
        <v>17</v>
      </c>
      <c r="D2893" s="2" t="s">
        <v>18</v>
      </c>
      <c r="E2893" s="5">
        <v>-27801</v>
      </c>
      <c r="F2893" s="3" t="s">
        <v>800</v>
      </c>
      <c r="G2893" s="3" t="s">
        <v>48</v>
      </c>
      <c r="H2893" s="2" t="s">
        <v>21</v>
      </c>
      <c r="I2893" s="2" t="s">
        <v>6026</v>
      </c>
      <c r="J2893" s="3" t="str">
        <f>HYPERLINK("https://www.boe.es/gazeta/dias/1823/11/18/pdfs/GMD-1823-1133.pdf#page=3","Abrir facsímil")</f>
        <v>Abrir facsímil</v>
      </c>
      <c r="K2893" s="3" t="s">
        <v>23</v>
      </c>
    </row>
    <row r="2894" spans="1:11" ht="42" customHeight="1">
      <c r="A2894" s="2" t="s">
        <v>6027</v>
      </c>
      <c r="B2894" s="2" t="s">
        <v>6028</v>
      </c>
      <c r="C2894" s="2" t="s">
        <v>17</v>
      </c>
      <c r="D2894" s="2" t="s">
        <v>18</v>
      </c>
      <c r="E2894" s="5">
        <v>-27872</v>
      </c>
      <c r="F2894" s="3" t="s">
        <v>374</v>
      </c>
      <c r="G2894" s="3" t="s">
        <v>48</v>
      </c>
      <c r="H2894" s="2" t="s">
        <v>21</v>
      </c>
      <c r="I2894" s="2" t="s">
        <v>6029</v>
      </c>
      <c r="J2894" s="3" t="str">
        <f>HYPERLINK("https://www.boe.es/gazeta/dias/1823/09/08/pdfs/GES-1823-152.pdf#page=3","Abrir facsímil")</f>
        <v>Abrir facsímil</v>
      </c>
      <c r="K2894" s="3" t="s">
        <v>23</v>
      </c>
    </row>
    <row r="2895" spans="1:11" ht="42" customHeight="1">
      <c r="A2895" s="2" t="s">
        <v>6030</v>
      </c>
      <c r="B2895" s="2" t="s">
        <v>6030</v>
      </c>
      <c r="C2895" s="2" t="s">
        <v>79</v>
      </c>
      <c r="D2895" s="2" t="s">
        <v>74</v>
      </c>
      <c r="E2895" s="5">
        <v>-27913</v>
      </c>
      <c r="F2895" s="3" t="s">
        <v>829</v>
      </c>
      <c r="G2895" s="3" t="s">
        <v>48</v>
      </c>
      <c r="H2895" s="2" t="s">
        <v>21</v>
      </c>
      <c r="I2895" s="2" t="s">
        <v>6031</v>
      </c>
      <c r="J2895" s="3" t="str">
        <f>HYPERLINK("https://www.boe.es/gazeta/dias/1823/07/29/pdfs/GMD-1823-483.pdf#page=3","Abrir facsímil")</f>
        <v>Abrir facsímil</v>
      </c>
      <c r="K2895" s="3" t="s">
        <v>23</v>
      </c>
    </row>
    <row r="2896" spans="1:11" ht="42" customHeight="1">
      <c r="A2896" s="2" t="s">
        <v>6032</v>
      </c>
      <c r="B2896" s="2" t="s">
        <v>6032</v>
      </c>
      <c r="C2896" s="2" t="s">
        <v>17</v>
      </c>
      <c r="D2896" s="2" t="s">
        <v>18</v>
      </c>
      <c r="E2896" s="5">
        <v>-28071</v>
      </c>
      <c r="F2896" s="3" t="s">
        <v>587</v>
      </c>
      <c r="G2896" s="3" t="s">
        <v>48</v>
      </c>
      <c r="H2896" s="2" t="s">
        <v>21</v>
      </c>
      <c r="I2896" s="2" t="s">
        <v>6033</v>
      </c>
      <c r="J2896" s="3" t="str">
        <f>HYPERLINK("https://www.boe.es/gazeta/dias/1823/02/21/pdfs/GMD-1823-55.pdf#page=3","Abrir facsímil")</f>
        <v>Abrir facsímil</v>
      </c>
      <c r="K2896" s="3" t="s">
        <v>23</v>
      </c>
    </row>
    <row r="2897" spans="1:11" ht="42" customHeight="1">
      <c r="A2897" s="2" t="s">
        <v>6034</v>
      </c>
      <c r="B2897" s="2" t="s">
        <v>6034</v>
      </c>
      <c r="C2897" s="2" t="s">
        <v>17</v>
      </c>
      <c r="D2897" s="2" t="s">
        <v>18</v>
      </c>
      <c r="E2897" s="5">
        <v>-27855</v>
      </c>
      <c r="F2897" s="3" t="s">
        <v>380</v>
      </c>
      <c r="G2897" s="3" t="s">
        <v>39</v>
      </c>
      <c r="H2897" s="2" t="s">
        <v>21</v>
      </c>
      <c r="I2897" s="2" t="s">
        <v>6035</v>
      </c>
      <c r="J2897" s="3" t="str">
        <f>HYPERLINK("https://www.boe.es/gazeta/dias/1823/09/25/pdfs/GMD-1823-853.pdf#page=1","Abrir facsímil")</f>
        <v>Abrir facsímil</v>
      </c>
      <c r="K2897" s="3" t="s">
        <v>23</v>
      </c>
    </row>
    <row r="2898" spans="1:11" ht="42" customHeight="1">
      <c r="A2898" s="2" t="s">
        <v>6036</v>
      </c>
      <c r="B2898" s="2" t="s">
        <v>6037</v>
      </c>
      <c r="C2898" s="2" t="s">
        <v>17</v>
      </c>
      <c r="D2898" s="2" t="s">
        <v>18</v>
      </c>
      <c r="E2898" s="5">
        <v>-27925</v>
      </c>
      <c r="F2898" s="3" t="s">
        <v>89</v>
      </c>
      <c r="G2898" s="3" t="s">
        <v>39</v>
      </c>
      <c r="H2898" s="2" t="s">
        <v>21</v>
      </c>
      <c r="I2898" s="2" t="s">
        <v>6038</v>
      </c>
      <c r="J2898" s="3" t="str">
        <f>HYPERLINK("https://www.boe.es/gazeta/dias/1823/07/17/pdfs/GES-1823-97.pdf#page=1","Abrir facsímil")</f>
        <v>Abrir facsímil</v>
      </c>
      <c r="K2898" s="3" t="s">
        <v>23</v>
      </c>
    </row>
    <row r="2899" spans="1:11" ht="42" customHeight="1">
      <c r="A2899" s="2" t="s">
        <v>6039</v>
      </c>
      <c r="B2899" s="2" t="s">
        <v>6039</v>
      </c>
      <c r="C2899" s="2" t="s">
        <v>17</v>
      </c>
      <c r="D2899" s="2" t="s">
        <v>18</v>
      </c>
      <c r="E2899" s="5">
        <v>-28105</v>
      </c>
      <c r="F2899" s="3" t="s">
        <v>502</v>
      </c>
      <c r="G2899" s="3" t="s">
        <v>39</v>
      </c>
      <c r="H2899" s="2" t="s">
        <v>21</v>
      </c>
      <c r="I2899" s="2" t="s">
        <v>6040</v>
      </c>
      <c r="J2899" s="3" t="str">
        <f>HYPERLINK("https://www.boe.es/gazeta/dias/1823/01/18/pdfs/GMD-1823-18.pdf#page=1","Abrir facsímil")</f>
        <v>Abrir facsímil</v>
      </c>
      <c r="K2899" s="3" t="s">
        <v>23</v>
      </c>
    </row>
    <row r="2900" spans="1:11" ht="42" customHeight="1">
      <c r="A2900" s="2" t="s">
        <v>6039</v>
      </c>
      <c r="B2900" s="2" t="s">
        <v>6039</v>
      </c>
      <c r="C2900" s="2" t="s">
        <v>17</v>
      </c>
      <c r="D2900" s="2" t="s">
        <v>18</v>
      </c>
      <c r="E2900" s="5">
        <v>-27939</v>
      </c>
      <c r="F2900" s="3" t="s">
        <v>1403</v>
      </c>
      <c r="G2900" s="3" t="s">
        <v>2756</v>
      </c>
      <c r="H2900" s="2" t="s">
        <v>21</v>
      </c>
      <c r="I2900" s="2" t="s">
        <v>6041</v>
      </c>
      <c r="J2900" s="3" t="str">
        <f>HYPERLINK("https://www.boe.es/gazeta/dias/1823/07/03/pdfs/GMD-1823-333.pdf#page=6","Abrir facsímil")</f>
        <v>Abrir facsímil</v>
      </c>
      <c r="K2900" s="3" t="s">
        <v>23</v>
      </c>
    </row>
    <row r="2901" spans="1:11" ht="42" customHeight="1">
      <c r="A2901" s="2" t="s">
        <v>6039</v>
      </c>
      <c r="B2901" s="2" t="s">
        <v>6039</v>
      </c>
      <c r="C2901" s="2" t="s">
        <v>17</v>
      </c>
      <c r="D2901" s="2" t="s">
        <v>18</v>
      </c>
      <c r="E2901" s="5">
        <v>-27864</v>
      </c>
      <c r="F2901" s="3" t="s">
        <v>395</v>
      </c>
      <c r="G2901" s="3" t="s">
        <v>27</v>
      </c>
      <c r="H2901" s="2" t="s">
        <v>21</v>
      </c>
      <c r="I2901" s="2" t="s">
        <v>6042</v>
      </c>
      <c r="J2901" s="3" t="str">
        <f>HYPERLINK("https://www.boe.es/gazeta/dias/1823/09/16/pdfs/GMD-1823-783.pdf#page=2","Abrir facsímil")</f>
        <v>Abrir facsímil</v>
      </c>
      <c r="K2901" s="3" t="s">
        <v>23</v>
      </c>
    </row>
    <row r="2902" spans="1:11" ht="42" customHeight="1">
      <c r="A2902" s="2" t="s">
        <v>6043</v>
      </c>
      <c r="B2902" s="2" t="s">
        <v>6043</v>
      </c>
      <c r="C2902" s="2" t="s">
        <v>79</v>
      </c>
      <c r="D2902" s="2" t="s">
        <v>74</v>
      </c>
      <c r="E2902" s="5">
        <v>-27913</v>
      </c>
      <c r="F2902" s="3" t="s">
        <v>829</v>
      </c>
      <c r="G2902" s="3" t="s">
        <v>276</v>
      </c>
      <c r="H2902" s="2" t="s">
        <v>21</v>
      </c>
      <c r="I2902" s="2" t="s">
        <v>6044</v>
      </c>
      <c r="J2902" s="3" t="str">
        <f>HYPERLINK("https://www.boe.es/gazeta/dias/1823/07/29/pdfs/GMD-1823-483.pdf#page=7","Abrir facsímil")</f>
        <v>Abrir facsímil</v>
      </c>
      <c r="K2902" s="3" t="s">
        <v>23</v>
      </c>
    </row>
    <row r="2903" spans="1:11" ht="42" customHeight="1">
      <c r="A2903" s="2" t="s">
        <v>6045</v>
      </c>
      <c r="B2903" s="2" t="s">
        <v>6045</v>
      </c>
      <c r="C2903" s="2" t="s">
        <v>17</v>
      </c>
      <c r="D2903" s="2" t="s">
        <v>18</v>
      </c>
      <c r="E2903" s="5">
        <v>-27894</v>
      </c>
      <c r="F2903" s="3" t="s">
        <v>2013</v>
      </c>
      <c r="G2903" s="3" t="s">
        <v>27</v>
      </c>
      <c r="H2903" s="2" t="s">
        <v>21</v>
      </c>
      <c r="I2903" s="2" t="s">
        <v>6046</v>
      </c>
      <c r="J2903" s="3" t="str">
        <f>HYPERLINK("https://www.boe.es/gazeta/dias/1823/08/17/pdfs/GES-1823-130.pdf#page=2","Abrir facsímil")</f>
        <v>Abrir facsímil</v>
      </c>
      <c r="K2903" s="3" t="s">
        <v>23</v>
      </c>
    </row>
    <row r="2904" spans="1:11" ht="42" customHeight="1">
      <c r="A2904" s="2" t="s">
        <v>6047</v>
      </c>
      <c r="B2904" s="2" t="s">
        <v>6047</v>
      </c>
      <c r="C2904" s="2" t="s">
        <v>17</v>
      </c>
      <c r="D2904" s="2" t="s">
        <v>18</v>
      </c>
      <c r="E2904" s="5">
        <v>-27874</v>
      </c>
      <c r="F2904" s="3" t="s">
        <v>1410</v>
      </c>
      <c r="G2904" s="3" t="s">
        <v>39</v>
      </c>
      <c r="H2904" s="2" t="s">
        <v>21</v>
      </c>
      <c r="I2904" s="2" t="s">
        <v>6048</v>
      </c>
      <c r="J2904" s="3" t="str">
        <f>HYPERLINK("https://www.boe.es/gazeta/dias/1823/09/06/pdfs/GES-1823-150.pdf#page=1","Abrir facsímil")</f>
        <v>Abrir facsímil</v>
      </c>
      <c r="K2904" s="3" t="s">
        <v>23</v>
      </c>
    </row>
    <row r="2905" spans="1:11" ht="42" customHeight="1">
      <c r="A2905" s="2" t="s">
        <v>6049</v>
      </c>
      <c r="B2905" s="2" t="s">
        <v>6049</v>
      </c>
      <c r="C2905" s="2" t="s">
        <v>56</v>
      </c>
      <c r="D2905" s="2" t="s">
        <v>57</v>
      </c>
      <c r="E2905" s="5">
        <v>-27977</v>
      </c>
      <c r="F2905" s="3" t="s">
        <v>1489</v>
      </c>
      <c r="G2905" s="3" t="s">
        <v>39</v>
      </c>
      <c r="H2905" s="2" t="s">
        <v>21</v>
      </c>
      <c r="I2905" s="2" t="s">
        <v>6050</v>
      </c>
      <c r="J2905" s="3" t="str">
        <f>HYPERLINK("https://www.boe.es/gazeta/dias/1823/05/26/pdfs/GES-1823-47.pdf#page=1","Abrir facsímil")</f>
        <v>Abrir facsímil</v>
      </c>
      <c r="K2905" s="3" t="s">
        <v>23</v>
      </c>
    </row>
    <row r="2906" spans="1:11" ht="42" customHeight="1">
      <c r="A2906" s="2" t="s">
        <v>6051</v>
      </c>
      <c r="B2906" s="2" t="s">
        <v>6052</v>
      </c>
      <c r="C2906" s="2" t="s">
        <v>17</v>
      </c>
      <c r="D2906" s="2" t="s">
        <v>18</v>
      </c>
      <c r="E2906" s="5">
        <v>-27853</v>
      </c>
      <c r="F2906" s="3" t="s">
        <v>539</v>
      </c>
      <c r="G2906" s="3" t="s">
        <v>39</v>
      </c>
      <c r="H2906" s="2" t="s">
        <v>21</v>
      </c>
      <c r="I2906" s="2" t="s">
        <v>6053</v>
      </c>
      <c r="J2906" s="3" t="str">
        <f>HYPERLINK("https://www.boe.es/gazeta/dias/1823/09/27/pdfs/GMD-1823-863.pdf#page=1","Abrir facsímil")</f>
        <v>Abrir facsímil</v>
      </c>
      <c r="K2906" s="3" t="s">
        <v>23</v>
      </c>
    </row>
    <row r="2907" spans="1:11" ht="42" customHeight="1">
      <c r="A2907" s="2" t="s">
        <v>6054</v>
      </c>
      <c r="B2907" s="2" t="s">
        <v>6055</v>
      </c>
      <c r="C2907" s="2" t="s">
        <v>79</v>
      </c>
      <c r="D2907" s="2" t="s">
        <v>74</v>
      </c>
      <c r="E2907" s="5">
        <v>-27906</v>
      </c>
      <c r="F2907" s="3" t="s">
        <v>1527</v>
      </c>
      <c r="G2907" s="3" t="s">
        <v>59</v>
      </c>
      <c r="H2907" s="2" t="s">
        <v>21</v>
      </c>
      <c r="I2907" s="2" t="s">
        <v>6056</v>
      </c>
      <c r="J2907" s="3" t="str">
        <f>HYPERLINK("https://www.boe.es/gazeta/dias/1823/08/05/pdfs/GMD-1823-533.pdf#page=6","Abrir facsímil")</f>
        <v>Abrir facsímil</v>
      </c>
      <c r="K2907" s="3" t="s">
        <v>23</v>
      </c>
    </row>
    <row r="2908" spans="1:11" ht="42" customHeight="1">
      <c r="A2908" s="2" t="s">
        <v>6057</v>
      </c>
      <c r="B2908" s="2" t="s">
        <v>6058</v>
      </c>
      <c r="C2908" s="2" t="s">
        <v>56</v>
      </c>
      <c r="D2908" s="2" t="s">
        <v>57</v>
      </c>
      <c r="E2908" s="5">
        <v>-27783</v>
      </c>
      <c r="F2908" s="3" t="s">
        <v>941</v>
      </c>
      <c r="G2908" s="3" t="s">
        <v>20</v>
      </c>
      <c r="H2908" s="2" t="s">
        <v>21</v>
      </c>
      <c r="I2908" s="2" t="s">
        <v>6059</v>
      </c>
      <c r="J2908" s="3" t="str">
        <f>HYPERLINK("https://www.boe.es/gazeta/dias/1823/12/06/pdfs/GMD-1823-1213.pdf#page=4","Abrir facsímil")</f>
        <v>Abrir facsímil</v>
      </c>
      <c r="K2908" s="3" t="s">
        <v>23</v>
      </c>
    </row>
    <row r="2909" spans="1:11" ht="42" customHeight="1">
      <c r="A2909" s="2" t="s">
        <v>6060</v>
      </c>
      <c r="B2909" s="2" t="s">
        <v>6061</v>
      </c>
      <c r="C2909" s="2" t="s">
        <v>17</v>
      </c>
      <c r="D2909" s="2" t="s">
        <v>18</v>
      </c>
      <c r="E2909" s="5">
        <v>-27792</v>
      </c>
      <c r="F2909" s="3" t="s">
        <v>611</v>
      </c>
      <c r="G2909" s="3" t="s">
        <v>48</v>
      </c>
      <c r="H2909" s="2" t="s">
        <v>21</v>
      </c>
      <c r="I2909" s="2" t="s">
        <v>6062</v>
      </c>
      <c r="J2909" s="3" t="str">
        <f>HYPERLINK("https://www.boe.es/gazeta/dias/1823/11/27/pdfs/GMD-1823-1173.pdf#page=3","Abrir facsímil")</f>
        <v>Abrir facsímil</v>
      </c>
      <c r="K2909" s="3" t="s">
        <v>23</v>
      </c>
    </row>
    <row r="2910" spans="1:11" ht="42" customHeight="1">
      <c r="A2910" s="2" t="s">
        <v>6063</v>
      </c>
      <c r="B2910" s="2" t="s">
        <v>6063</v>
      </c>
      <c r="C2910" s="2" t="s">
        <v>17</v>
      </c>
      <c r="D2910" s="2" t="s">
        <v>18</v>
      </c>
      <c r="E2910" s="5">
        <v>-27913</v>
      </c>
      <c r="F2910" s="3" t="s">
        <v>829</v>
      </c>
      <c r="G2910" s="3" t="s">
        <v>34</v>
      </c>
      <c r="H2910" s="2" t="s">
        <v>21</v>
      </c>
      <c r="I2910" s="2" t="s">
        <v>6064</v>
      </c>
      <c r="J2910" s="3" t="str">
        <f>HYPERLINK("https://www.boe.es/gazeta/dias/1823/07/29/pdfs/GMD-1823-483.pdf#page=5","Abrir facsímil")</f>
        <v>Abrir facsímil</v>
      </c>
      <c r="K2910" s="3" t="s">
        <v>23</v>
      </c>
    </row>
    <row r="2911" spans="1:11" ht="42" customHeight="1">
      <c r="A2911" s="2" t="s">
        <v>6065</v>
      </c>
      <c r="B2911" s="2" t="s">
        <v>6066</v>
      </c>
      <c r="C2911" s="2" t="s">
        <v>84</v>
      </c>
      <c r="D2911" s="2" t="s">
        <v>74</v>
      </c>
      <c r="E2911" s="5">
        <v>-28013</v>
      </c>
      <c r="F2911" s="3" t="s">
        <v>105</v>
      </c>
      <c r="G2911" s="3" t="s">
        <v>20</v>
      </c>
      <c r="H2911" s="2" t="s">
        <v>21</v>
      </c>
      <c r="I2911" s="2" t="s">
        <v>6067</v>
      </c>
      <c r="J2911" s="3" t="str">
        <f>HYPERLINK("https://www.boe.es/gazeta/dias/1823/04/20/pdfs/GMD-1823-32.pdf#page=4","Abrir facsímil")</f>
        <v>Abrir facsímil</v>
      </c>
      <c r="K2911" s="3" t="s">
        <v>23</v>
      </c>
    </row>
    <row r="2912" spans="1:11" ht="42" customHeight="1">
      <c r="A2912" s="2" t="s">
        <v>6068</v>
      </c>
      <c r="B2912" s="2" t="s">
        <v>6069</v>
      </c>
      <c r="C2912" s="2" t="s">
        <v>17</v>
      </c>
      <c r="D2912" s="2" t="s">
        <v>18</v>
      </c>
      <c r="E2912" s="5">
        <v>-27946</v>
      </c>
      <c r="F2912" s="3" t="s">
        <v>1547</v>
      </c>
      <c r="G2912" s="3" t="s">
        <v>48</v>
      </c>
      <c r="H2912" s="2" t="s">
        <v>21</v>
      </c>
      <c r="I2912" s="2" t="s">
        <v>6070</v>
      </c>
      <c r="J2912" s="3" t="str">
        <f>HYPERLINK("https://www.boe.es/gazeta/dias/1823/06/26/pdfs/GMD-1823-283.pdf#page=3","Abrir facsímil")</f>
        <v>Abrir facsímil</v>
      </c>
      <c r="K2912" s="3" t="s">
        <v>23</v>
      </c>
    </row>
    <row r="2913" spans="1:11" ht="42" customHeight="1">
      <c r="A2913" s="2" t="s">
        <v>6071</v>
      </c>
      <c r="B2913" s="2" t="s">
        <v>6072</v>
      </c>
      <c r="C2913" s="2" t="s">
        <v>73</v>
      </c>
      <c r="D2913" s="2" t="s">
        <v>74</v>
      </c>
      <c r="E2913" s="5">
        <v>-27873</v>
      </c>
      <c r="F2913" s="3" t="s">
        <v>160</v>
      </c>
      <c r="G2913" s="3" t="s">
        <v>20</v>
      </c>
      <c r="H2913" s="2" t="s">
        <v>21</v>
      </c>
      <c r="I2913" s="2" t="s">
        <v>6073</v>
      </c>
      <c r="J2913" s="3" t="str">
        <f>HYPERLINK("https://www.boe.es/gazeta/dias/1823/09/07/pdfs/GES-1823-151.pdf#page=4","Abrir facsímil")</f>
        <v>Abrir facsímil</v>
      </c>
      <c r="K2913" s="3" t="s">
        <v>23</v>
      </c>
    </row>
    <row r="2914" spans="1:11" ht="42" customHeight="1">
      <c r="A2914" s="2" t="s">
        <v>6074</v>
      </c>
      <c r="B2914" s="2" t="s">
        <v>6075</v>
      </c>
      <c r="C2914" s="2" t="s">
        <v>79</v>
      </c>
      <c r="D2914" s="2" t="s">
        <v>74</v>
      </c>
      <c r="E2914" s="5">
        <v>-27921</v>
      </c>
      <c r="F2914" s="3" t="s">
        <v>356</v>
      </c>
      <c r="G2914" s="3" t="s">
        <v>27</v>
      </c>
      <c r="H2914" s="2" t="s">
        <v>21</v>
      </c>
      <c r="I2914" s="2" t="s">
        <v>6076</v>
      </c>
      <c r="J2914" s="3" t="str">
        <f>HYPERLINK("https://www.boe.es/gazeta/dias/1823/07/21/pdfs/GES-1823-102.pdf#page=2","Abrir facsímil")</f>
        <v>Abrir facsímil</v>
      </c>
      <c r="K2914" s="3" t="s">
        <v>23</v>
      </c>
    </row>
    <row r="2915" spans="1:11" ht="42" customHeight="1">
      <c r="A2915" s="2" t="s">
        <v>6077</v>
      </c>
      <c r="B2915" s="2" t="s">
        <v>6078</v>
      </c>
      <c r="C2915" s="2" t="s">
        <v>17</v>
      </c>
      <c r="D2915" s="2" t="s">
        <v>18</v>
      </c>
      <c r="E2915" s="5">
        <v>-28068</v>
      </c>
      <c r="F2915" s="3" t="s">
        <v>1325</v>
      </c>
      <c r="G2915" s="3" t="s">
        <v>20</v>
      </c>
      <c r="H2915" s="2" t="s">
        <v>21</v>
      </c>
      <c r="I2915" s="2" t="s">
        <v>6079</v>
      </c>
      <c r="J2915" s="3" t="str">
        <f>HYPERLINK("https://www.boe.es/gazeta/dias/1823/02/24/pdfs/GMD-1823-58.pdf#page=4","Abrir facsímil")</f>
        <v>Abrir facsímil</v>
      </c>
      <c r="K2915" s="3" t="s">
        <v>23</v>
      </c>
    </row>
    <row r="2916" spans="1:11" ht="42" customHeight="1">
      <c r="A2916" s="2" t="s">
        <v>6080</v>
      </c>
      <c r="B2916" s="2" t="s">
        <v>6081</v>
      </c>
      <c r="C2916" s="2" t="s">
        <v>17</v>
      </c>
      <c r="D2916" s="2" t="s">
        <v>18</v>
      </c>
      <c r="E2916" s="5">
        <v>-27815</v>
      </c>
      <c r="F2916" s="3" t="s">
        <v>1266</v>
      </c>
      <c r="G2916" s="3" t="s">
        <v>48</v>
      </c>
      <c r="H2916" s="2" t="s">
        <v>21</v>
      </c>
      <c r="I2916" s="2" t="s">
        <v>6082</v>
      </c>
      <c r="J2916" s="3" t="str">
        <f>HYPERLINK("https://www.boe.es/gazeta/dias/1823/11/04/pdfs/GMD-1823-1063.pdf#page=3","Abrir facsímil")</f>
        <v>Abrir facsímil</v>
      </c>
      <c r="K2916" s="3" t="s">
        <v>23</v>
      </c>
    </row>
    <row r="2917" spans="1:11" ht="42" customHeight="1">
      <c r="A2917" s="2" t="s">
        <v>6083</v>
      </c>
      <c r="B2917" s="2" t="s">
        <v>6084</v>
      </c>
      <c r="C2917" s="2" t="s">
        <v>17</v>
      </c>
      <c r="D2917" s="2" t="s">
        <v>18</v>
      </c>
      <c r="E2917" s="5">
        <v>-28063</v>
      </c>
      <c r="F2917" s="3" t="s">
        <v>2493</v>
      </c>
      <c r="G2917" s="3" t="s">
        <v>20</v>
      </c>
      <c r="H2917" s="2" t="s">
        <v>21</v>
      </c>
      <c r="I2917" s="2" t="s">
        <v>6085</v>
      </c>
      <c r="J2917" s="3" t="str">
        <f>HYPERLINK("https://www.boe.es/gazeta/dias/1823/03/01/pdfs/GMD-1823-63.pdf#page=4","Abrir facsímil")</f>
        <v>Abrir facsímil</v>
      </c>
      <c r="K2917" s="3" t="s">
        <v>23</v>
      </c>
    </row>
    <row r="2918" spans="1:11" ht="42" customHeight="1">
      <c r="A2918" s="2" t="s">
        <v>6086</v>
      </c>
      <c r="B2918" s="2" t="s">
        <v>6087</v>
      </c>
      <c r="C2918" s="2" t="s">
        <v>56</v>
      </c>
      <c r="D2918" s="2" t="s">
        <v>57</v>
      </c>
      <c r="E2918" s="5">
        <v>-27987</v>
      </c>
      <c r="F2918" s="3" t="s">
        <v>332</v>
      </c>
      <c r="G2918" s="3" t="s">
        <v>59</v>
      </c>
      <c r="H2918" s="2" t="s">
        <v>21</v>
      </c>
      <c r="I2918" s="2" t="s">
        <v>6088</v>
      </c>
      <c r="J2918" s="3" t="str">
        <f>HYPERLINK("https://www.boe.es/gazeta/dias/1823/05/16/pdfs/GES-1823-36.pdf#page=6","Abrir facsímil")</f>
        <v>Abrir facsímil</v>
      </c>
      <c r="K2918" s="3" t="s">
        <v>23</v>
      </c>
    </row>
    <row r="2919" spans="1:11" ht="42" customHeight="1">
      <c r="A2919" s="2" t="s">
        <v>6089</v>
      </c>
      <c r="B2919" s="2" t="s">
        <v>6090</v>
      </c>
      <c r="C2919" s="2" t="s">
        <v>17</v>
      </c>
      <c r="D2919" s="2" t="s">
        <v>18</v>
      </c>
      <c r="E2919" s="5">
        <v>-27984</v>
      </c>
      <c r="F2919" s="3" t="s">
        <v>335</v>
      </c>
      <c r="G2919" s="3" t="s">
        <v>59</v>
      </c>
      <c r="H2919" s="2" t="s">
        <v>21</v>
      </c>
      <c r="I2919" s="2" t="s">
        <v>6091</v>
      </c>
      <c r="J2919" s="3" t="str">
        <f>HYPERLINK("https://www.boe.es/gazeta/dias/1823/05/19/pdfs/GES-1823-39.pdf#page=6","Abrir facsímil")</f>
        <v>Abrir facsímil</v>
      </c>
      <c r="K2919" s="3" t="s">
        <v>23</v>
      </c>
    </row>
    <row r="2920" spans="1:11" ht="42" customHeight="1">
      <c r="A2920" s="2" t="s">
        <v>6092</v>
      </c>
      <c r="B2920" s="2" t="s">
        <v>6092</v>
      </c>
      <c r="C2920" s="2" t="s">
        <v>17</v>
      </c>
      <c r="D2920" s="2" t="s">
        <v>18</v>
      </c>
      <c r="E2920" s="5">
        <v>-28104</v>
      </c>
      <c r="F2920" s="3" t="s">
        <v>114</v>
      </c>
      <c r="G2920" s="3" t="s">
        <v>34</v>
      </c>
      <c r="H2920" s="2" t="s">
        <v>21</v>
      </c>
      <c r="I2920" s="2" t="s">
        <v>6093</v>
      </c>
      <c r="J2920" s="3" t="str">
        <f>HYPERLINK("https://www.boe.es/gazeta/dias/1823/01/19/pdfs/GMD-1823-19.pdf#page=5","Abrir facsímil")</f>
        <v>Abrir facsímil</v>
      </c>
      <c r="K2920" s="3" t="s">
        <v>23</v>
      </c>
    </row>
    <row r="2921" spans="1:11" ht="42" customHeight="1">
      <c r="A2921" s="2" t="s">
        <v>6094</v>
      </c>
      <c r="B2921" s="2" t="s">
        <v>6095</v>
      </c>
      <c r="C2921" s="2" t="s">
        <v>293</v>
      </c>
      <c r="D2921" s="2" t="s">
        <v>74</v>
      </c>
      <c r="E2921" s="5">
        <v>-28049</v>
      </c>
      <c r="F2921" s="3" t="s">
        <v>198</v>
      </c>
      <c r="G2921" s="3" t="s">
        <v>48</v>
      </c>
      <c r="H2921" s="2" t="s">
        <v>21</v>
      </c>
      <c r="I2921" s="2" t="s">
        <v>6096</v>
      </c>
      <c r="J2921" s="3" t="str">
        <f>HYPERLINK("https://www.boe.es/gazeta/dias/1823/03/15/pdfs/GMD-1823-78.pdf#page=3","Abrir facsímil")</f>
        <v>Abrir facsímil</v>
      </c>
      <c r="K2921" s="3" t="s">
        <v>23</v>
      </c>
    </row>
    <row r="2922" spans="1:11" ht="42" customHeight="1">
      <c r="A2922" s="2" t="s">
        <v>6097</v>
      </c>
      <c r="B2922" s="2" t="s">
        <v>6097</v>
      </c>
      <c r="C2922" s="2" t="s">
        <v>17</v>
      </c>
      <c r="D2922" s="2" t="s">
        <v>18</v>
      </c>
      <c r="E2922" s="5">
        <v>-27841</v>
      </c>
      <c r="F2922" s="3" t="s">
        <v>721</v>
      </c>
      <c r="G2922" s="3" t="s">
        <v>27</v>
      </c>
      <c r="H2922" s="2" t="s">
        <v>21</v>
      </c>
      <c r="I2922" s="2" t="s">
        <v>6098</v>
      </c>
      <c r="J2922" s="3" t="str">
        <f>HYPERLINK("https://www.boe.es/gazeta/dias/1823/10/09/pdfs/GMD-1823-953.pdf#page=2","Abrir facsímil")</f>
        <v>Abrir facsímil</v>
      </c>
      <c r="K2922" s="3" t="s">
        <v>23</v>
      </c>
    </row>
    <row r="2923" spans="1:11" ht="42" customHeight="1">
      <c r="A2923" s="2" t="s">
        <v>6099</v>
      </c>
      <c r="B2923" s="2" t="s">
        <v>6100</v>
      </c>
      <c r="C2923" s="2" t="s">
        <v>17</v>
      </c>
      <c r="D2923" s="2" t="s">
        <v>18</v>
      </c>
      <c r="E2923" s="5">
        <v>-28003</v>
      </c>
      <c r="F2923" s="3" t="s">
        <v>26</v>
      </c>
      <c r="G2923" s="3" t="s">
        <v>27</v>
      </c>
      <c r="H2923" s="2" t="s">
        <v>21</v>
      </c>
      <c r="I2923" s="2" t="s">
        <v>6101</v>
      </c>
      <c r="J2923" s="3" t="str">
        <f>HYPERLINK("https://www.boe.es/gazeta/dias/1823/04/30/pdfs/GES-1823-20.pdf#page=2","Abrir facsímil")</f>
        <v>Abrir facsímil</v>
      </c>
      <c r="K2923" s="3" t="s">
        <v>23</v>
      </c>
    </row>
    <row r="2924" spans="1:11" ht="42" customHeight="1">
      <c r="A2924" s="2" t="s">
        <v>6102</v>
      </c>
      <c r="B2924" s="2" t="s">
        <v>6103</v>
      </c>
      <c r="C2924" s="2" t="s">
        <v>109</v>
      </c>
      <c r="D2924" s="2" t="s">
        <v>74</v>
      </c>
      <c r="E2924" s="5">
        <v>-28103</v>
      </c>
      <c r="F2924" s="3" t="s">
        <v>285</v>
      </c>
      <c r="G2924" s="3" t="s">
        <v>27</v>
      </c>
      <c r="H2924" s="2" t="s">
        <v>21</v>
      </c>
      <c r="I2924" s="2" t="s">
        <v>6104</v>
      </c>
      <c r="J2924" s="3" t="str">
        <f>HYPERLINK("https://www.boe.es/gazeta/dias/1823/01/20/pdfs/GMD-1823-20.pdf#page=2","Abrir facsímil")</f>
        <v>Abrir facsímil</v>
      </c>
      <c r="K2924" s="3" t="s">
        <v>23</v>
      </c>
    </row>
    <row r="2925" spans="1:11" ht="42" customHeight="1">
      <c r="A2925" s="2" t="s">
        <v>6102</v>
      </c>
      <c r="B2925" s="2" t="s">
        <v>6103</v>
      </c>
      <c r="C2925" s="2" t="s">
        <v>17</v>
      </c>
      <c r="D2925" s="2" t="s">
        <v>18</v>
      </c>
      <c r="E2925" s="5">
        <v>-28102</v>
      </c>
      <c r="F2925" s="3" t="s">
        <v>287</v>
      </c>
      <c r="G2925" s="3" t="s">
        <v>27</v>
      </c>
      <c r="H2925" s="2" t="s">
        <v>21</v>
      </c>
      <c r="I2925" s="2" t="s">
        <v>6105</v>
      </c>
      <c r="J2925" s="3" t="str">
        <f>HYPERLINK("https://www.boe.es/gazeta/dias/1823/01/21/pdfs/GMD-1823-22.pdf#page=2","Abrir facsímil")</f>
        <v>Abrir facsímil</v>
      </c>
      <c r="K2925" s="3" t="s">
        <v>23</v>
      </c>
    </row>
    <row r="2926" spans="1:11" ht="42" customHeight="1">
      <c r="A2926" s="2" t="s">
        <v>6106</v>
      </c>
      <c r="B2926" s="2" t="s">
        <v>6107</v>
      </c>
      <c r="C2926" s="2" t="s">
        <v>293</v>
      </c>
      <c r="D2926" s="2" t="s">
        <v>74</v>
      </c>
      <c r="E2926" s="5">
        <v>-28013</v>
      </c>
      <c r="F2926" s="3" t="s">
        <v>105</v>
      </c>
      <c r="G2926" s="3" t="s">
        <v>20</v>
      </c>
      <c r="H2926" s="2" t="s">
        <v>21</v>
      </c>
      <c r="I2926" s="2" t="s">
        <v>6108</v>
      </c>
      <c r="J2926" s="3" t="str">
        <f>HYPERLINK("https://www.boe.es/gazeta/dias/1823/04/20/pdfs/GMD-1823-32.pdf#page=4","Abrir facsímil")</f>
        <v>Abrir facsímil</v>
      </c>
      <c r="K2926" s="3" t="s">
        <v>23</v>
      </c>
    </row>
    <row r="2927" spans="1:11" ht="42" customHeight="1">
      <c r="A2927" s="2" t="s">
        <v>6109</v>
      </c>
      <c r="B2927" s="2" t="s">
        <v>6110</v>
      </c>
      <c r="C2927" s="2" t="s">
        <v>56</v>
      </c>
      <c r="D2927" s="2" t="s">
        <v>57</v>
      </c>
      <c r="E2927" s="5">
        <v>-28073</v>
      </c>
      <c r="F2927" s="3" t="s">
        <v>204</v>
      </c>
      <c r="G2927" s="3" t="s">
        <v>27</v>
      </c>
      <c r="H2927" s="2" t="s">
        <v>21</v>
      </c>
      <c r="I2927" s="2" t="s">
        <v>6111</v>
      </c>
      <c r="J2927" s="3" t="str">
        <f>HYPERLINK("https://www.boe.es/gazeta/dias/1823/02/19/pdfs/GMD-1823-53.pdf#page=2","Abrir facsímil")</f>
        <v>Abrir facsímil</v>
      </c>
      <c r="K2927" s="3" t="s">
        <v>23</v>
      </c>
    </row>
    <row r="2928" spans="1:11" ht="42" customHeight="1">
      <c r="A2928" s="2" t="s">
        <v>6112</v>
      </c>
      <c r="B2928" s="2" t="s">
        <v>6113</v>
      </c>
      <c r="C2928" s="2" t="s">
        <v>79</v>
      </c>
      <c r="D2928" s="2" t="s">
        <v>74</v>
      </c>
      <c r="E2928" s="5">
        <v>-27944</v>
      </c>
      <c r="F2928" s="3" t="s">
        <v>658</v>
      </c>
      <c r="G2928" s="3" t="s">
        <v>48</v>
      </c>
      <c r="H2928" s="2" t="s">
        <v>21</v>
      </c>
      <c r="I2928" s="2" t="s">
        <v>6114</v>
      </c>
      <c r="J2928" s="3" t="str">
        <f>HYPERLINK("https://www.boe.es/gazeta/dias/1823/06/28/pdfs/GMD-1823-303.pdf#page=3","Abrir facsímil")</f>
        <v>Abrir facsímil</v>
      </c>
      <c r="K2928" s="3" t="s">
        <v>23</v>
      </c>
    </row>
    <row r="2929" spans="1:11" ht="42" customHeight="1">
      <c r="A2929" s="2" t="s">
        <v>6115</v>
      </c>
      <c r="B2929" s="2" t="s">
        <v>6116</v>
      </c>
      <c r="C2929" s="2" t="s">
        <v>79</v>
      </c>
      <c r="D2929" s="2" t="s">
        <v>74</v>
      </c>
      <c r="E2929" s="5">
        <v>-27895</v>
      </c>
      <c r="F2929" s="3" t="s">
        <v>5642</v>
      </c>
      <c r="G2929" s="3" t="s">
        <v>20</v>
      </c>
      <c r="H2929" s="2" t="s">
        <v>21</v>
      </c>
      <c r="I2929" s="2" t="s">
        <v>6117</v>
      </c>
      <c r="J2929" s="3" t="str">
        <f>HYPERLINK("https://www.boe.es/gazeta/dias/1823/08/16/pdfs/GMD-1823-603.pdf#page=4","Abrir facsímil")</f>
        <v>Abrir facsímil</v>
      </c>
      <c r="K2929" s="3" t="s">
        <v>23</v>
      </c>
    </row>
    <row r="2930" spans="1:11" ht="42" customHeight="1">
      <c r="A2930" s="2" t="s">
        <v>6118</v>
      </c>
      <c r="B2930" s="2" t="s">
        <v>6119</v>
      </c>
      <c r="C2930" s="2" t="s">
        <v>79</v>
      </c>
      <c r="D2930" s="2" t="s">
        <v>74</v>
      </c>
      <c r="E2930" s="5">
        <v>-28031</v>
      </c>
      <c r="F2930" s="3" t="s">
        <v>1211</v>
      </c>
      <c r="G2930" s="3" t="s">
        <v>20</v>
      </c>
      <c r="H2930" s="2" t="s">
        <v>21</v>
      </c>
      <c r="I2930" s="2" t="s">
        <v>6120</v>
      </c>
      <c r="J2930" s="3" t="str">
        <f>HYPERLINK("https://www.boe.es/gazeta/dias/1823/04/02/pdfs/GMD-1823-96.pdf#page=4","Abrir facsímil")</f>
        <v>Abrir facsímil</v>
      </c>
      <c r="K2930" s="3" t="s">
        <v>23</v>
      </c>
    </row>
    <row r="2931" spans="1:11" ht="42" customHeight="1">
      <c r="A2931" s="2" t="s">
        <v>6121</v>
      </c>
      <c r="B2931" s="2" t="s">
        <v>6122</v>
      </c>
      <c r="C2931" s="2" t="s">
        <v>17</v>
      </c>
      <c r="D2931" s="2" t="s">
        <v>18</v>
      </c>
      <c r="E2931" s="5">
        <v>-27906</v>
      </c>
      <c r="F2931" s="3" t="s">
        <v>241</v>
      </c>
      <c r="G2931" s="3" t="s">
        <v>20</v>
      </c>
      <c r="H2931" s="2" t="s">
        <v>21</v>
      </c>
      <c r="I2931" s="2" t="s">
        <v>6123</v>
      </c>
      <c r="J2931" s="3" t="str">
        <f>HYPERLINK("https://www.boe.es/gazeta/dias/1823/08/05/pdfs/GES-1823-117.pdf#page=4","Abrir facsímil")</f>
        <v>Abrir facsímil</v>
      </c>
      <c r="K2931" s="3" t="s">
        <v>23</v>
      </c>
    </row>
    <row r="2932" spans="1:11" ht="42" customHeight="1">
      <c r="A2932" s="2" t="s">
        <v>6124</v>
      </c>
      <c r="B2932" s="2" t="s">
        <v>6125</v>
      </c>
      <c r="C2932" s="2" t="s">
        <v>79</v>
      </c>
      <c r="D2932" s="2" t="s">
        <v>74</v>
      </c>
      <c r="E2932" s="5">
        <v>-27759</v>
      </c>
      <c r="F2932" s="3" t="s">
        <v>415</v>
      </c>
      <c r="G2932" s="3" t="s">
        <v>20</v>
      </c>
      <c r="H2932" s="2" t="s">
        <v>21</v>
      </c>
      <c r="I2932" s="2" t="s">
        <v>6126</v>
      </c>
      <c r="J2932" s="3" t="str">
        <f>HYPERLINK("https://www.boe.es/gazeta/dias/1823/12/30/pdfs/GMD-1823-1313.pdf#page=4","Abrir facsímil")</f>
        <v>Abrir facsímil</v>
      </c>
      <c r="K2932" s="3" t="s">
        <v>23</v>
      </c>
    </row>
    <row r="2933" spans="1:11" ht="42" customHeight="1">
      <c r="A2933" s="2" t="s">
        <v>6127</v>
      </c>
      <c r="B2933" s="2" t="s">
        <v>6127</v>
      </c>
      <c r="C2933" s="2" t="s">
        <v>17</v>
      </c>
      <c r="D2933" s="2" t="s">
        <v>18</v>
      </c>
      <c r="E2933" s="5">
        <v>-28041</v>
      </c>
      <c r="F2933" s="3" t="s">
        <v>873</v>
      </c>
      <c r="G2933" s="3" t="s">
        <v>27</v>
      </c>
      <c r="H2933" s="2" t="s">
        <v>21</v>
      </c>
      <c r="I2933" s="2" t="s">
        <v>6128</v>
      </c>
      <c r="J2933" s="3" t="str">
        <f>HYPERLINK("https://www.boe.es/gazeta/dias/1823/03/23/pdfs/GMD-1823-86.pdf#page=2","Abrir facsímil")</f>
        <v>Abrir facsímil</v>
      </c>
      <c r="K2933" s="3" t="s">
        <v>23</v>
      </c>
    </row>
    <row r="2934" spans="1:11" ht="42" customHeight="1">
      <c r="A2934" s="2" t="s">
        <v>6127</v>
      </c>
      <c r="B2934" s="2" t="s">
        <v>6127</v>
      </c>
      <c r="C2934" s="2" t="s">
        <v>17</v>
      </c>
      <c r="D2934" s="2" t="s">
        <v>18</v>
      </c>
      <c r="E2934" s="5">
        <v>-28018</v>
      </c>
      <c r="F2934" s="3" t="s">
        <v>2613</v>
      </c>
      <c r="G2934" s="3" t="s">
        <v>27</v>
      </c>
      <c r="H2934" s="2" t="s">
        <v>21</v>
      </c>
      <c r="I2934" s="2" t="s">
        <v>6129</v>
      </c>
      <c r="J2934" s="3" t="str">
        <f>HYPERLINK("https://www.boe.es/gazeta/dias/1823/04/15/pdfs/GES-1823-5.pdf#page=2","Abrir facsímil")</f>
        <v>Abrir facsímil</v>
      </c>
      <c r="K2934" s="3" t="s">
        <v>23</v>
      </c>
    </row>
    <row r="2935" spans="1:11" ht="42" customHeight="1">
      <c r="A2935" s="2" t="s">
        <v>6130</v>
      </c>
      <c r="B2935" s="2" t="s">
        <v>6131</v>
      </c>
      <c r="C2935" s="2" t="s">
        <v>17</v>
      </c>
      <c r="D2935" s="2" t="s">
        <v>18</v>
      </c>
      <c r="E2935" s="5">
        <v>-27937</v>
      </c>
      <c r="F2935" s="3" t="s">
        <v>730</v>
      </c>
      <c r="G2935" s="3" t="s">
        <v>27</v>
      </c>
      <c r="H2935" s="2" t="s">
        <v>21</v>
      </c>
      <c r="I2935" s="2" t="s">
        <v>6132</v>
      </c>
      <c r="J2935" s="3" t="str">
        <f>HYPERLINK("https://www.boe.es/gazeta/dias/1823/07/05/pdfs/GES-1823-85.pdf#page=2","Abrir facsímil")</f>
        <v>Abrir facsímil</v>
      </c>
      <c r="K2935" s="3" t="s">
        <v>23</v>
      </c>
    </row>
    <row r="2936" spans="1:11" ht="42" customHeight="1">
      <c r="A2936" s="2" t="s">
        <v>6133</v>
      </c>
      <c r="B2936" s="2" t="s">
        <v>6134</v>
      </c>
      <c r="C2936" s="2" t="s">
        <v>56</v>
      </c>
      <c r="D2936" s="2" t="s">
        <v>57</v>
      </c>
      <c r="E2936" s="5">
        <v>-27908</v>
      </c>
      <c r="F2936" s="3" t="s">
        <v>80</v>
      </c>
      <c r="G2936" s="3" t="s">
        <v>39</v>
      </c>
      <c r="H2936" s="2" t="s">
        <v>21</v>
      </c>
      <c r="I2936" s="2" t="s">
        <v>6135</v>
      </c>
      <c r="J2936" s="3" t="str">
        <f>HYPERLINK("https://www.boe.es/gazeta/dias/1823/08/03/pdfs/GES-1823-115.pdf#page=1","Abrir facsímil")</f>
        <v>Abrir facsímil</v>
      </c>
      <c r="K2936" s="3" t="s">
        <v>23</v>
      </c>
    </row>
    <row r="2937" spans="1:11" ht="42" customHeight="1">
      <c r="A2937" s="2" t="s">
        <v>6136</v>
      </c>
      <c r="B2937" s="2" t="s">
        <v>6137</v>
      </c>
      <c r="C2937" s="2" t="s">
        <v>17</v>
      </c>
      <c r="D2937" s="2" t="s">
        <v>18</v>
      </c>
      <c r="E2937" s="5">
        <v>-27955</v>
      </c>
      <c r="F2937" s="3" t="s">
        <v>3015</v>
      </c>
      <c r="G2937" s="3" t="s">
        <v>20</v>
      </c>
      <c r="H2937" s="2" t="s">
        <v>21</v>
      </c>
      <c r="I2937" s="2" t="s">
        <v>6138</v>
      </c>
      <c r="J2937" s="3" t="str">
        <f>HYPERLINK("https://www.boe.es/gazeta/dias/1823/06/17/pdfs/GMD-1823-183.pdf#page=4","Abrir facsímil")</f>
        <v>Abrir facsímil</v>
      </c>
      <c r="K2937" s="3" t="s">
        <v>23</v>
      </c>
    </row>
    <row r="2938" spans="1:11" ht="42" customHeight="1">
      <c r="A2938" s="2" t="s">
        <v>6139</v>
      </c>
      <c r="B2938" s="2" t="s">
        <v>6140</v>
      </c>
      <c r="C2938" s="2" t="s">
        <v>17</v>
      </c>
      <c r="D2938" s="2" t="s">
        <v>18</v>
      </c>
      <c r="E2938" s="5">
        <v>-28004</v>
      </c>
      <c r="F2938" s="3" t="s">
        <v>313</v>
      </c>
      <c r="G2938" s="3" t="s">
        <v>20</v>
      </c>
      <c r="H2938" s="2" t="s">
        <v>21</v>
      </c>
      <c r="I2938" s="2" t="s">
        <v>6141</v>
      </c>
      <c r="J2938" s="3" t="str">
        <f>HYPERLINK("https://www.boe.es/gazeta/dias/1823/04/29/pdfs/GMD-1823-72.pdf#page=4","Abrir facsímil")</f>
        <v>Abrir facsímil</v>
      </c>
      <c r="K2938" s="3" t="s">
        <v>23</v>
      </c>
    </row>
    <row r="2939" spans="1:11" ht="42" customHeight="1">
      <c r="A2939" s="2" t="s">
        <v>6142</v>
      </c>
      <c r="B2939" s="2" t="s">
        <v>6142</v>
      </c>
      <c r="C2939" s="2" t="s">
        <v>79</v>
      </c>
      <c r="D2939" s="2" t="s">
        <v>74</v>
      </c>
      <c r="E2939" s="5">
        <v>-27888</v>
      </c>
      <c r="F2939" s="3" t="s">
        <v>232</v>
      </c>
      <c r="G2939" s="3" t="s">
        <v>1576</v>
      </c>
      <c r="H2939" s="2" t="s">
        <v>21</v>
      </c>
      <c r="I2939" s="2" t="s">
        <v>6143</v>
      </c>
      <c r="J2939" s="3" t="str">
        <f>HYPERLINK("https://www.boe.es/gazeta/dias/1823/08/23/pdfs/GMD-1823-633.pdf#page=4","Abrir facsímil")</f>
        <v>Abrir facsímil</v>
      </c>
      <c r="K2939" s="3" t="s">
        <v>23</v>
      </c>
    </row>
    <row r="2940" spans="1:11" ht="42" customHeight="1">
      <c r="A2940" s="2" t="s">
        <v>6144</v>
      </c>
      <c r="B2940" s="2" t="s">
        <v>6145</v>
      </c>
      <c r="C2940" s="2" t="s">
        <v>17</v>
      </c>
      <c r="D2940" s="2" t="s">
        <v>18</v>
      </c>
      <c r="E2940" s="5">
        <v>-28063</v>
      </c>
      <c r="F2940" s="3" t="s">
        <v>2493</v>
      </c>
      <c r="G2940" s="3" t="s">
        <v>20</v>
      </c>
      <c r="H2940" s="2" t="s">
        <v>21</v>
      </c>
      <c r="I2940" s="2" t="s">
        <v>6146</v>
      </c>
      <c r="J2940" s="3" t="str">
        <f>HYPERLINK("https://www.boe.es/gazeta/dias/1823/03/01/pdfs/GMD-1823-63.pdf#page=4","Abrir facsímil")</f>
        <v>Abrir facsímil</v>
      </c>
      <c r="K2940" s="3" t="s">
        <v>23</v>
      </c>
    </row>
    <row r="2941" spans="1:11" ht="42" customHeight="1">
      <c r="A2941" s="2" t="s">
        <v>6144</v>
      </c>
      <c r="B2941" s="2" t="s">
        <v>6145</v>
      </c>
      <c r="C2941" s="2" t="s">
        <v>17</v>
      </c>
      <c r="D2941" s="2" t="s">
        <v>18</v>
      </c>
      <c r="E2941" s="5">
        <v>-28053</v>
      </c>
      <c r="F2941" s="3" t="s">
        <v>303</v>
      </c>
      <c r="G2941" s="3" t="s">
        <v>20</v>
      </c>
      <c r="H2941" s="2" t="s">
        <v>21</v>
      </c>
      <c r="I2941" s="2" t="s">
        <v>6147</v>
      </c>
      <c r="J2941" s="3" t="str">
        <f>HYPERLINK("https://www.boe.es/gazeta/dias/1823/03/11/pdfs/GMD-1823-74.pdf#page=4","Abrir facsímil")</f>
        <v>Abrir facsímil</v>
      </c>
      <c r="K2941" s="3" t="s">
        <v>23</v>
      </c>
    </row>
    <row r="2942" spans="1:11" ht="42" customHeight="1">
      <c r="A2942" s="2" t="s">
        <v>6148</v>
      </c>
      <c r="B2942" s="2" t="s">
        <v>6148</v>
      </c>
      <c r="C2942" s="2" t="s">
        <v>56</v>
      </c>
      <c r="D2942" s="2" t="s">
        <v>57</v>
      </c>
      <c r="E2942" s="5">
        <v>-28077</v>
      </c>
      <c r="F2942" s="3" t="s">
        <v>536</v>
      </c>
      <c r="G2942" s="3" t="s">
        <v>59</v>
      </c>
      <c r="H2942" s="2" t="s">
        <v>21</v>
      </c>
      <c r="I2942" s="2" t="s">
        <v>6149</v>
      </c>
      <c r="J2942" s="3" t="str">
        <f>HYPERLINK("https://www.boe.es/gazeta/dias/1823/02/15/pdfs/GMD-1823-49.pdf#page=6","Abrir facsímil")</f>
        <v>Abrir facsímil</v>
      </c>
      <c r="K2942" s="3" t="s">
        <v>23</v>
      </c>
    </row>
    <row r="2943" spans="1:11" ht="42" customHeight="1">
      <c r="A2943" s="2" t="s">
        <v>6148</v>
      </c>
      <c r="B2943" s="2" t="s">
        <v>6148</v>
      </c>
      <c r="C2943" s="2" t="s">
        <v>17</v>
      </c>
      <c r="D2943" s="2" t="s">
        <v>18</v>
      </c>
      <c r="E2943" s="5">
        <v>-27918</v>
      </c>
      <c r="F2943" s="3" t="s">
        <v>218</v>
      </c>
      <c r="G2943" s="3" t="s">
        <v>20</v>
      </c>
      <c r="H2943" s="2" t="s">
        <v>21</v>
      </c>
      <c r="I2943" s="2" t="s">
        <v>6150</v>
      </c>
      <c r="J2943" s="3" t="str">
        <f>HYPERLINK("https://www.boe.es/gazeta/dias/1823/07/24/pdfs/GMD-1823-463.pdf#page=4","Abrir facsímil")</f>
        <v>Abrir facsímil</v>
      </c>
      <c r="K2943" s="3" t="s">
        <v>23</v>
      </c>
    </row>
    <row r="2944" spans="1:11" ht="42" customHeight="1">
      <c r="A2944" s="2" t="s">
        <v>6151</v>
      </c>
      <c r="B2944" s="2" t="s">
        <v>6152</v>
      </c>
      <c r="C2944" s="2" t="s">
        <v>79</v>
      </c>
      <c r="D2944" s="2" t="s">
        <v>74</v>
      </c>
      <c r="E2944" s="5">
        <v>-28099</v>
      </c>
      <c r="F2944" s="3" t="s">
        <v>1689</v>
      </c>
      <c r="G2944" s="3" t="s">
        <v>39</v>
      </c>
      <c r="H2944" s="2" t="s">
        <v>21</v>
      </c>
      <c r="I2944" s="2" t="s">
        <v>6153</v>
      </c>
      <c r="J2944" s="3" t="str">
        <f>HYPERLINK("https://www.boe.es/gazeta/dias/1823/01/24/pdfs/GMD-1823-25.pdf#page=1","Abrir facsímil")</f>
        <v>Abrir facsímil</v>
      </c>
      <c r="K2944" s="3" t="s">
        <v>23</v>
      </c>
    </row>
    <row r="2945" spans="1:11" ht="42" customHeight="1">
      <c r="A2945" s="2" t="s">
        <v>6154</v>
      </c>
      <c r="B2945" s="2" t="s">
        <v>6155</v>
      </c>
      <c r="C2945" s="2" t="s">
        <v>17</v>
      </c>
      <c r="D2945" s="2" t="s">
        <v>18</v>
      </c>
      <c r="E2945" s="5">
        <v>-28043</v>
      </c>
      <c r="F2945" s="3" t="s">
        <v>69</v>
      </c>
      <c r="G2945" s="3" t="s">
        <v>39</v>
      </c>
      <c r="H2945" s="2" t="s">
        <v>21</v>
      </c>
      <c r="I2945" s="2" t="s">
        <v>6156</v>
      </c>
      <c r="J2945" s="3" t="str">
        <f>HYPERLINK("https://www.boe.es/gazeta/dias/1823/03/21/pdfs/GMD-1823-84.pdf#page=1","Abrir facsímil")</f>
        <v>Abrir facsímil</v>
      </c>
      <c r="K2945" s="3" t="s">
        <v>23</v>
      </c>
    </row>
    <row r="2946" spans="1:11" ht="42" customHeight="1">
      <c r="A2946" s="2" t="s">
        <v>6157</v>
      </c>
      <c r="B2946" s="2" t="s">
        <v>6158</v>
      </c>
      <c r="C2946" s="2" t="s">
        <v>293</v>
      </c>
      <c r="D2946" s="2" t="s">
        <v>74</v>
      </c>
      <c r="E2946" s="5">
        <v>-27984</v>
      </c>
      <c r="F2946" s="3" t="s">
        <v>335</v>
      </c>
      <c r="G2946" s="3" t="s">
        <v>27</v>
      </c>
      <c r="H2946" s="2" t="s">
        <v>21</v>
      </c>
      <c r="I2946" s="2" t="s">
        <v>6159</v>
      </c>
      <c r="J2946" s="3" t="str">
        <f>HYPERLINK("https://www.boe.es/gazeta/dias/1823/05/19/pdfs/GES-1823-39.pdf#page=2","Abrir facsímil")</f>
        <v>Abrir facsímil</v>
      </c>
      <c r="K2946" s="3" t="s">
        <v>23</v>
      </c>
    </row>
    <row r="2947" spans="1:11" ht="42" customHeight="1">
      <c r="A2947" s="2" t="s">
        <v>6160</v>
      </c>
      <c r="B2947" s="2" t="s">
        <v>6161</v>
      </c>
      <c r="C2947" s="2" t="s">
        <v>17</v>
      </c>
      <c r="D2947" s="2" t="s">
        <v>18</v>
      </c>
      <c r="E2947" s="5">
        <v>-28062</v>
      </c>
      <c r="F2947" s="3" t="s">
        <v>1357</v>
      </c>
      <c r="G2947" s="3" t="s">
        <v>20</v>
      </c>
      <c r="H2947" s="2" t="s">
        <v>21</v>
      </c>
      <c r="I2947" s="2" t="s">
        <v>6162</v>
      </c>
      <c r="J2947" s="3" t="str">
        <f>HYPERLINK("https://www.boe.es/gazeta/dias/1823/03/02/pdfs/GMD-1823-65.pdf#page=4","Abrir facsímil")</f>
        <v>Abrir facsímil</v>
      </c>
      <c r="K2947" s="3" t="s">
        <v>23</v>
      </c>
    </row>
    <row r="2948" spans="1:11" ht="42" customHeight="1">
      <c r="A2948" s="2" t="s">
        <v>6163</v>
      </c>
      <c r="B2948" s="2" t="s">
        <v>6164</v>
      </c>
      <c r="C2948" s="2" t="s">
        <v>17</v>
      </c>
      <c r="D2948" s="2" t="s">
        <v>18</v>
      </c>
      <c r="E2948" s="5">
        <v>-27804</v>
      </c>
      <c r="F2948" s="3" t="s">
        <v>836</v>
      </c>
      <c r="G2948" s="3" t="s">
        <v>20</v>
      </c>
      <c r="H2948" s="2" t="s">
        <v>21</v>
      </c>
      <c r="I2948" s="2" t="s">
        <v>6165</v>
      </c>
      <c r="J2948" s="3" t="str">
        <f>HYPERLINK("https://www.boe.es/gazeta/dias/1823/11/15/pdfs/GMD-1823-1123.pdf#page=4","Abrir facsímil")</f>
        <v>Abrir facsímil</v>
      </c>
      <c r="K2948" s="3" t="s">
        <v>23</v>
      </c>
    </row>
    <row r="2949" spans="1:11" ht="42" customHeight="1">
      <c r="A2949" s="2" t="s">
        <v>6166</v>
      </c>
      <c r="B2949" s="2" t="s">
        <v>6167</v>
      </c>
      <c r="C2949" s="2" t="s">
        <v>84</v>
      </c>
      <c r="D2949" s="2" t="s">
        <v>74</v>
      </c>
      <c r="E2949" s="5">
        <v>-27978</v>
      </c>
      <c r="F2949" s="3" t="s">
        <v>342</v>
      </c>
      <c r="G2949" s="3" t="s">
        <v>59</v>
      </c>
      <c r="H2949" s="2" t="s">
        <v>21</v>
      </c>
      <c r="I2949" s="2" t="s">
        <v>6168</v>
      </c>
      <c r="J2949" s="3" t="str">
        <f>HYPERLINK("https://www.boe.es/gazeta/dias/1823/05/25/pdfs/GES-1823-46.pdf#page=6","Abrir facsímil")</f>
        <v>Abrir facsímil</v>
      </c>
      <c r="K2949" s="3" t="s">
        <v>23</v>
      </c>
    </row>
    <row r="2950" spans="1:11" ht="42" customHeight="1">
      <c r="A2950" s="2" t="s">
        <v>6169</v>
      </c>
      <c r="B2950" s="2" t="s">
        <v>6169</v>
      </c>
      <c r="C2950" s="2" t="s">
        <v>56</v>
      </c>
      <c r="D2950" s="2" t="s">
        <v>57</v>
      </c>
      <c r="E2950" s="5">
        <v>-28001</v>
      </c>
      <c r="F2950" s="3" t="s">
        <v>768</v>
      </c>
      <c r="G2950" s="3" t="s">
        <v>27</v>
      </c>
      <c r="H2950" s="2" t="s">
        <v>21</v>
      </c>
      <c r="I2950" s="2" t="s">
        <v>6170</v>
      </c>
      <c r="J2950" s="3" t="str">
        <f>HYPERLINK("https://www.boe.es/gazeta/dias/1823/05/02/pdfs/GES-1823-22.pdf#page=2","Abrir facsímil")</f>
        <v>Abrir facsímil</v>
      </c>
      <c r="K2950" s="3" t="s">
        <v>23</v>
      </c>
    </row>
    <row r="2951" spans="1:11" ht="42" customHeight="1">
      <c r="A2951" s="2" t="s">
        <v>6171</v>
      </c>
      <c r="B2951" s="2" t="s">
        <v>6172</v>
      </c>
      <c r="C2951" s="2" t="s">
        <v>17</v>
      </c>
      <c r="D2951" s="2" t="s">
        <v>18</v>
      </c>
      <c r="E2951" s="5">
        <v>-27965</v>
      </c>
      <c r="F2951" s="3" t="s">
        <v>208</v>
      </c>
      <c r="G2951" s="3" t="s">
        <v>27</v>
      </c>
      <c r="H2951" s="2" t="s">
        <v>21</v>
      </c>
      <c r="I2951" s="2" t="s">
        <v>6173</v>
      </c>
      <c r="J2951" s="3" t="str">
        <f>HYPERLINK("https://www.boe.es/gazeta/dias/1823/06/07/pdfs/GES-1823-61.pdf#page=2","Abrir facsímil")</f>
        <v>Abrir facsímil</v>
      </c>
      <c r="K2951" s="3" t="s">
        <v>23</v>
      </c>
    </row>
    <row r="2952" spans="1:11" ht="42" customHeight="1">
      <c r="A2952" s="2" t="s">
        <v>6174</v>
      </c>
      <c r="B2952" s="2" t="s">
        <v>6175</v>
      </c>
      <c r="C2952" s="2" t="s">
        <v>109</v>
      </c>
      <c r="D2952" s="2" t="s">
        <v>74</v>
      </c>
      <c r="E2952" s="5">
        <v>-27937</v>
      </c>
      <c r="F2952" s="3" t="s">
        <v>730</v>
      </c>
      <c r="G2952" s="3" t="s">
        <v>39</v>
      </c>
      <c r="H2952" s="2" t="s">
        <v>21</v>
      </c>
      <c r="I2952" s="2" t="s">
        <v>6176</v>
      </c>
      <c r="J2952" s="3" t="str">
        <f>HYPERLINK("https://www.boe.es/gazeta/dias/1823/07/05/pdfs/GES-1823-85.pdf#page=1","Abrir facsímil")</f>
        <v>Abrir facsímil</v>
      </c>
      <c r="K2952" s="3" t="s">
        <v>23</v>
      </c>
    </row>
    <row r="2953" spans="1:11" ht="42" customHeight="1">
      <c r="A2953" s="2" t="s">
        <v>6177</v>
      </c>
      <c r="B2953" s="2" t="s">
        <v>6178</v>
      </c>
      <c r="C2953" s="2" t="s">
        <v>56</v>
      </c>
      <c r="D2953" s="2" t="s">
        <v>57</v>
      </c>
      <c r="E2953" s="5">
        <v>-27998</v>
      </c>
      <c r="F2953" s="3" t="s">
        <v>1058</v>
      </c>
      <c r="G2953" s="3" t="s">
        <v>20</v>
      </c>
      <c r="H2953" s="2" t="s">
        <v>21</v>
      </c>
      <c r="I2953" s="2" t="s">
        <v>6179</v>
      </c>
      <c r="J2953" s="3" t="str">
        <f>HYPERLINK("https://www.boe.es/gazeta/dias/1823/05/05/pdfs/GES-1823-25.pdf#page=4","Abrir facsímil")</f>
        <v>Abrir facsímil</v>
      </c>
      <c r="K2953" s="3" t="s">
        <v>23</v>
      </c>
    </row>
    <row r="2954" spans="1:11" ht="42" customHeight="1">
      <c r="A2954" s="2" t="s">
        <v>6180</v>
      </c>
      <c r="B2954" s="2" t="s">
        <v>6181</v>
      </c>
      <c r="C2954" s="2" t="s">
        <v>73</v>
      </c>
      <c r="D2954" s="2" t="s">
        <v>74</v>
      </c>
      <c r="E2954" s="5">
        <v>-28058</v>
      </c>
      <c r="F2954" s="3" t="s">
        <v>1282</v>
      </c>
      <c r="G2954" s="3" t="s">
        <v>59</v>
      </c>
      <c r="H2954" s="2" t="s">
        <v>21</v>
      </c>
      <c r="I2954" s="2" t="s">
        <v>6182</v>
      </c>
      <c r="J2954" s="3" t="str">
        <f>HYPERLINK("https://www.boe.es/gazeta/dias/1823/03/06/pdfs/GMD-1823-69.pdf#page=6","Abrir facsímil")</f>
        <v>Abrir facsímil</v>
      </c>
      <c r="K2954" s="3" t="s">
        <v>23</v>
      </c>
    </row>
    <row r="2955" spans="1:11" ht="42" customHeight="1">
      <c r="A2955" s="2" t="s">
        <v>6183</v>
      </c>
      <c r="B2955" s="2" t="s">
        <v>6184</v>
      </c>
      <c r="C2955" s="2" t="s">
        <v>109</v>
      </c>
      <c r="D2955" s="2" t="s">
        <v>74</v>
      </c>
      <c r="E2955" s="5">
        <v>-27905</v>
      </c>
      <c r="F2955" s="3" t="s">
        <v>236</v>
      </c>
      <c r="G2955" s="3" t="s">
        <v>237</v>
      </c>
      <c r="H2955" s="2" t="s">
        <v>21</v>
      </c>
      <c r="I2955" s="2" t="s">
        <v>6185</v>
      </c>
      <c r="J2955" s="3" t="str">
        <f>HYPERLINK("https://www.boe.es/gazeta/dias/1823/08/06/pdfs/GES-1823-119.pdf#page=4","Abrir facsímil")</f>
        <v>Abrir facsímil</v>
      </c>
      <c r="K2955" s="3" t="s">
        <v>23</v>
      </c>
    </row>
    <row r="2956" spans="1:11" ht="42" customHeight="1">
      <c r="A2956" s="2" t="s">
        <v>6186</v>
      </c>
      <c r="B2956" s="2" t="s">
        <v>6187</v>
      </c>
      <c r="C2956" s="2" t="s">
        <v>17</v>
      </c>
      <c r="D2956" s="2" t="s">
        <v>18</v>
      </c>
      <c r="E2956" s="5">
        <v>-28061</v>
      </c>
      <c r="F2956" s="3" t="s">
        <v>704</v>
      </c>
      <c r="G2956" s="3" t="s">
        <v>59</v>
      </c>
      <c r="H2956" s="2" t="s">
        <v>21</v>
      </c>
      <c r="I2956" s="2" t="s">
        <v>6188</v>
      </c>
      <c r="J2956" s="3" t="str">
        <f>HYPERLINK("https://www.boe.es/gazeta/dias/1823/03/03/pdfs/GMD-1823-66.pdf#page=6","Abrir facsímil")</f>
        <v>Abrir facsímil</v>
      </c>
      <c r="K2956" s="3" t="s">
        <v>23</v>
      </c>
    </row>
    <row r="2957" spans="1:11" ht="42" customHeight="1">
      <c r="A2957" s="2" t="s">
        <v>6186</v>
      </c>
      <c r="B2957" s="2" t="s">
        <v>6187</v>
      </c>
      <c r="C2957" s="2" t="s">
        <v>109</v>
      </c>
      <c r="D2957" s="2" t="s">
        <v>74</v>
      </c>
      <c r="E2957" s="5">
        <v>-28043</v>
      </c>
      <c r="F2957" s="3" t="s">
        <v>69</v>
      </c>
      <c r="G2957" s="3" t="s">
        <v>59</v>
      </c>
      <c r="H2957" s="2" t="s">
        <v>21</v>
      </c>
      <c r="I2957" s="2" t="s">
        <v>6189</v>
      </c>
      <c r="J2957" s="3" t="str">
        <f>HYPERLINK("https://www.boe.es/gazeta/dias/1823/03/21/pdfs/GMD-1823-84.pdf#page=6","Abrir facsímil")</f>
        <v>Abrir facsímil</v>
      </c>
      <c r="K2957" s="3" t="s">
        <v>23</v>
      </c>
    </row>
    <row r="2958" spans="1:11" ht="42" customHeight="1">
      <c r="A2958" s="2" t="s">
        <v>6190</v>
      </c>
      <c r="B2958" s="2" t="s">
        <v>6191</v>
      </c>
      <c r="C2958" s="2" t="s">
        <v>17</v>
      </c>
      <c r="D2958" s="2" t="s">
        <v>18</v>
      </c>
      <c r="E2958" s="5">
        <v>-27892</v>
      </c>
      <c r="F2958" s="3" t="s">
        <v>1571</v>
      </c>
      <c r="G2958" s="3" t="s">
        <v>27</v>
      </c>
      <c r="H2958" s="2" t="s">
        <v>21</v>
      </c>
      <c r="I2958" s="2" t="s">
        <v>6192</v>
      </c>
      <c r="J2958" s="3" t="str">
        <f>HYPERLINK("https://www.boe.es/gazeta/dias/1823/08/19/pdfs/GMD-1823-613.pdf#page=2","Abrir facsímil")</f>
        <v>Abrir facsímil</v>
      </c>
      <c r="K2958" s="3" t="s">
        <v>23</v>
      </c>
    </row>
    <row r="2959" spans="1:11" ht="42" customHeight="1">
      <c r="A2959" s="2" t="s">
        <v>6190</v>
      </c>
      <c r="B2959" s="2" t="s">
        <v>6191</v>
      </c>
      <c r="C2959" s="2" t="s">
        <v>17</v>
      </c>
      <c r="D2959" s="2" t="s">
        <v>18</v>
      </c>
      <c r="E2959" s="5">
        <v>-27892</v>
      </c>
      <c r="F2959" s="3" t="s">
        <v>1571</v>
      </c>
      <c r="G2959" s="3" t="s">
        <v>48</v>
      </c>
      <c r="H2959" s="2" t="s">
        <v>21</v>
      </c>
      <c r="I2959" s="2" t="s">
        <v>6193</v>
      </c>
      <c r="J2959" s="3" t="str">
        <f>HYPERLINK("https://www.boe.es/gazeta/dias/1823/08/19/pdfs/GMD-1823-613.pdf#page=3","Abrir facsímil")</f>
        <v>Abrir facsímil</v>
      </c>
      <c r="K2959" s="3" t="s">
        <v>23</v>
      </c>
    </row>
    <row r="2960" spans="1:11" ht="42" customHeight="1">
      <c r="A2960" s="2" t="s">
        <v>6194</v>
      </c>
      <c r="B2960" s="2" t="s">
        <v>6195</v>
      </c>
      <c r="C2960" s="2" t="s">
        <v>56</v>
      </c>
      <c r="D2960" s="2" t="s">
        <v>57</v>
      </c>
      <c r="E2960" s="5">
        <v>-28004</v>
      </c>
      <c r="F2960" s="3" t="s">
        <v>33</v>
      </c>
      <c r="G2960" s="3" t="s">
        <v>27</v>
      </c>
      <c r="H2960" s="2" t="s">
        <v>21</v>
      </c>
      <c r="I2960" s="2" t="s">
        <v>6196</v>
      </c>
      <c r="J2960" s="3" t="str">
        <f>HYPERLINK("https://www.boe.es/gazeta/dias/1823/04/29/pdfs/GES-1823-19.pdf#page=2","Abrir facsímil")</f>
        <v>Abrir facsímil</v>
      </c>
      <c r="K2960" s="3" t="s">
        <v>23</v>
      </c>
    </row>
    <row r="2961" spans="1:11" ht="42" customHeight="1">
      <c r="A2961" s="2" t="s">
        <v>6197</v>
      </c>
      <c r="B2961" s="2" t="s">
        <v>6198</v>
      </c>
      <c r="C2961" s="2" t="s">
        <v>293</v>
      </c>
      <c r="D2961" s="2" t="s">
        <v>74</v>
      </c>
      <c r="E2961" s="5">
        <v>-27987</v>
      </c>
      <c r="F2961" s="3" t="s">
        <v>332</v>
      </c>
      <c r="G2961" s="3" t="s">
        <v>59</v>
      </c>
      <c r="H2961" s="2" t="s">
        <v>21</v>
      </c>
      <c r="I2961" s="2" t="s">
        <v>6199</v>
      </c>
      <c r="J2961" s="3" t="str">
        <f>HYPERLINK("https://www.boe.es/gazeta/dias/1823/05/16/pdfs/GES-1823-36.pdf#page=6","Abrir facsímil")</f>
        <v>Abrir facsímil</v>
      </c>
      <c r="K2961" s="3" t="s">
        <v>23</v>
      </c>
    </row>
    <row r="2962" spans="1:11" ht="42" customHeight="1">
      <c r="A2962" s="2" t="s">
        <v>6197</v>
      </c>
      <c r="B2962" s="2" t="s">
        <v>6198</v>
      </c>
      <c r="C2962" s="2" t="s">
        <v>56</v>
      </c>
      <c r="D2962" s="2" t="s">
        <v>57</v>
      </c>
      <c r="E2962" s="5">
        <v>-27968</v>
      </c>
      <c r="F2962" s="3" t="s">
        <v>1160</v>
      </c>
      <c r="G2962" s="3" t="s">
        <v>715</v>
      </c>
      <c r="H2962" s="2" t="s">
        <v>21</v>
      </c>
      <c r="I2962" s="2" t="s">
        <v>6200</v>
      </c>
      <c r="J2962" s="3" t="str">
        <f>HYPERLINK("https://www.boe.es/gazeta/dias/1823/06/04/pdfs/GES-1823-58.pdf#page=8","Abrir facsímil")</f>
        <v>Abrir facsímil</v>
      </c>
      <c r="K2962" s="3" t="s">
        <v>23</v>
      </c>
    </row>
    <row r="2963" spans="1:11" ht="42" customHeight="1">
      <c r="A2963" s="2" t="s">
        <v>6201</v>
      </c>
      <c r="B2963" s="2" t="s">
        <v>6202</v>
      </c>
      <c r="C2963" s="2" t="s">
        <v>79</v>
      </c>
      <c r="D2963" s="2" t="s">
        <v>74</v>
      </c>
      <c r="E2963" s="5">
        <v>-27906</v>
      </c>
      <c r="F2963" s="3" t="s">
        <v>1527</v>
      </c>
      <c r="G2963" s="3" t="s">
        <v>59</v>
      </c>
      <c r="H2963" s="2" t="s">
        <v>21</v>
      </c>
      <c r="I2963" s="2" t="s">
        <v>6203</v>
      </c>
      <c r="J2963" s="3" t="str">
        <f>HYPERLINK("https://www.boe.es/gazeta/dias/1823/08/05/pdfs/GMD-1823-533.pdf#page=6","Abrir facsímil")</f>
        <v>Abrir facsímil</v>
      </c>
      <c r="K2963" s="3" t="s">
        <v>23</v>
      </c>
    </row>
    <row r="2964" spans="1:11" ht="42" customHeight="1">
      <c r="A2964" s="2" t="s">
        <v>6204</v>
      </c>
      <c r="B2964" s="2" t="s">
        <v>6205</v>
      </c>
      <c r="C2964" s="2" t="s">
        <v>109</v>
      </c>
      <c r="D2964" s="2" t="s">
        <v>74</v>
      </c>
      <c r="E2964" s="5">
        <v>-27983</v>
      </c>
      <c r="F2964" s="3" t="s">
        <v>337</v>
      </c>
      <c r="G2964" s="3" t="s">
        <v>27</v>
      </c>
      <c r="H2964" s="2" t="s">
        <v>21</v>
      </c>
      <c r="I2964" s="2" t="s">
        <v>6206</v>
      </c>
      <c r="J2964" s="3" t="str">
        <f>HYPERLINK("https://www.boe.es/gazeta/dias/1823/05/20/pdfs/GES-1823-40.pdf#page=2","Abrir facsímil")</f>
        <v>Abrir facsímil</v>
      </c>
      <c r="K2964" s="3" t="s">
        <v>23</v>
      </c>
    </row>
    <row r="2965" spans="1:11" ht="42" customHeight="1">
      <c r="A2965" s="2" t="s">
        <v>6207</v>
      </c>
      <c r="B2965" s="2" t="s">
        <v>6207</v>
      </c>
      <c r="C2965" s="2" t="s">
        <v>17</v>
      </c>
      <c r="D2965" s="2" t="s">
        <v>18</v>
      </c>
      <c r="E2965" s="5">
        <v>-28114</v>
      </c>
      <c r="F2965" s="3" t="s">
        <v>153</v>
      </c>
      <c r="G2965" s="3" t="s">
        <v>39</v>
      </c>
      <c r="H2965" s="2" t="s">
        <v>21</v>
      </c>
      <c r="I2965" s="2" t="s">
        <v>6208</v>
      </c>
      <c r="J2965" s="3" t="str">
        <f>HYPERLINK("https://www.boe.es/gazeta/dias/1823/01/09/pdfs/GMD-1823-9.pdf#page=1","Abrir facsímil")</f>
        <v>Abrir facsímil</v>
      </c>
      <c r="K2965" s="3" t="s">
        <v>23</v>
      </c>
    </row>
    <row r="2966" spans="1:11" ht="42" customHeight="1">
      <c r="A2966" s="2" t="s">
        <v>6207</v>
      </c>
      <c r="B2966" s="2" t="s">
        <v>6207</v>
      </c>
      <c r="C2966" s="2" t="s">
        <v>17</v>
      </c>
      <c r="D2966" s="2" t="s">
        <v>18</v>
      </c>
      <c r="E2966" s="5">
        <v>-28114</v>
      </c>
      <c r="F2966" s="3" t="s">
        <v>153</v>
      </c>
      <c r="G2966" s="3" t="s">
        <v>27</v>
      </c>
      <c r="H2966" s="2" t="s">
        <v>21</v>
      </c>
      <c r="I2966" s="2" t="s">
        <v>6209</v>
      </c>
      <c r="J2966" s="3" t="str">
        <f>HYPERLINK("https://www.boe.es/gazeta/dias/1823/01/09/pdfs/GMD-1823-9.pdf#page=2","Abrir facsímil")</f>
        <v>Abrir facsímil</v>
      </c>
      <c r="K2966" s="3" t="s">
        <v>23</v>
      </c>
    </row>
    <row r="2967" spans="1:11" ht="42" customHeight="1">
      <c r="A2967" s="2" t="s">
        <v>6207</v>
      </c>
      <c r="B2967" s="2" t="s">
        <v>6207</v>
      </c>
      <c r="C2967" s="2" t="s">
        <v>17</v>
      </c>
      <c r="D2967" s="2" t="s">
        <v>18</v>
      </c>
      <c r="E2967" s="5">
        <v>-28112</v>
      </c>
      <c r="F2967" s="3" t="s">
        <v>43</v>
      </c>
      <c r="G2967" s="3" t="s">
        <v>39</v>
      </c>
      <c r="H2967" s="2" t="s">
        <v>21</v>
      </c>
      <c r="I2967" s="2" t="s">
        <v>6210</v>
      </c>
      <c r="J2967" s="3" t="str">
        <f>HYPERLINK("https://www.boe.es/gazeta/dias/1823/01/11/pdfs/GMD-1823-11.pdf#page=1","Abrir facsímil")</f>
        <v>Abrir facsímil</v>
      </c>
      <c r="K2967" s="3" t="s">
        <v>23</v>
      </c>
    </row>
    <row r="2968" spans="1:11" ht="42" customHeight="1">
      <c r="A2968" s="2" t="s">
        <v>6207</v>
      </c>
      <c r="B2968" s="2" t="s">
        <v>6207</v>
      </c>
      <c r="C2968" s="2" t="s">
        <v>17</v>
      </c>
      <c r="D2968" s="2" t="s">
        <v>117</v>
      </c>
      <c r="E2968" s="5">
        <v>-27873</v>
      </c>
      <c r="F2968" s="3" t="s">
        <v>1668</v>
      </c>
      <c r="G2968" s="3" t="s">
        <v>27</v>
      </c>
      <c r="H2968" s="2" t="s">
        <v>21</v>
      </c>
      <c r="I2968" s="2" t="s">
        <v>6211</v>
      </c>
      <c r="J2968" s="3" t="str">
        <f>HYPERLINK("https://www.boe.es/gazeta/dias/1823/09/07/pdfs/GMD-1823-72E.pdf#page=2","Abrir facsímil")</f>
        <v>Abrir facsímil</v>
      </c>
      <c r="K2968" s="3" t="s">
        <v>23</v>
      </c>
    </row>
    <row r="2969" spans="1:11" ht="42" customHeight="1">
      <c r="A2969" s="2" t="s">
        <v>6212</v>
      </c>
      <c r="B2969" s="2" t="s">
        <v>6213</v>
      </c>
      <c r="C2969" s="2" t="s">
        <v>84</v>
      </c>
      <c r="D2969" s="2" t="s">
        <v>74</v>
      </c>
      <c r="E2969" s="5">
        <v>-28098</v>
      </c>
      <c r="F2969" s="3" t="s">
        <v>1101</v>
      </c>
      <c r="G2969" s="3" t="s">
        <v>20</v>
      </c>
      <c r="H2969" s="2" t="s">
        <v>28</v>
      </c>
      <c r="I2969" s="2" t="s">
        <v>6214</v>
      </c>
      <c r="J2969" s="3" t="str">
        <f>HYPERLINK("https://www.boe.es/gazeta/dias/1823/01/25/pdfs/GMD-1823-26.pdf#page=4","Abrir facsímil")</f>
        <v>Abrir facsímil</v>
      </c>
      <c r="K2969" s="3" t="s">
        <v>30</v>
      </c>
    </row>
    <row r="2970" spans="1:11" ht="42" customHeight="1">
      <c r="A2970" s="2" t="s">
        <v>6215</v>
      </c>
      <c r="B2970" s="2" t="s">
        <v>6216</v>
      </c>
      <c r="C2970" s="2" t="s">
        <v>79</v>
      </c>
      <c r="D2970" s="2" t="s">
        <v>74</v>
      </c>
      <c r="E2970" s="5">
        <v>-28099</v>
      </c>
      <c r="F2970" s="3" t="s">
        <v>1689</v>
      </c>
      <c r="G2970" s="3" t="s">
        <v>39</v>
      </c>
      <c r="H2970" s="2" t="s">
        <v>21</v>
      </c>
      <c r="I2970" s="2" t="s">
        <v>6217</v>
      </c>
      <c r="J2970" s="3" t="str">
        <f>HYPERLINK("https://www.boe.es/gazeta/dias/1823/01/24/pdfs/GMD-1823-25.pdf#page=1","Abrir facsímil")</f>
        <v>Abrir facsímil</v>
      </c>
      <c r="K2970" s="3" t="s">
        <v>23</v>
      </c>
    </row>
    <row r="2971" spans="1:11" ht="42" customHeight="1">
      <c r="A2971" s="2" t="s">
        <v>6218</v>
      </c>
      <c r="B2971" s="2" t="s">
        <v>6219</v>
      </c>
      <c r="C2971" s="2" t="s">
        <v>17</v>
      </c>
      <c r="D2971" s="2" t="s">
        <v>18</v>
      </c>
      <c r="E2971" s="5">
        <v>-28043</v>
      </c>
      <c r="F2971" s="3" t="s">
        <v>69</v>
      </c>
      <c r="G2971" s="3" t="s">
        <v>39</v>
      </c>
      <c r="H2971" s="2" t="s">
        <v>21</v>
      </c>
      <c r="I2971" s="2" t="s">
        <v>6220</v>
      </c>
      <c r="J2971" s="3" t="str">
        <f>HYPERLINK("https://www.boe.es/gazeta/dias/1823/03/21/pdfs/GMD-1823-84.pdf#page=1","Abrir facsímil")</f>
        <v>Abrir facsímil</v>
      </c>
      <c r="K2971" s="3" t="s">
        <v>23</v>
      </c>
    </row>
    <row r="2972" spans="1:11" ht="42" customHeight="1">
      <c r="A2972" s="2" t="s">
        <v>6221</v>
      </c>
      <c r="B2972" s="2" t="s">
        <v>6221</v>
      </c>
      <c r="C2972" s="2" t="s">
        <v>17</v>
      </c>
      <c r="D2972" s="2" t="s">
        <v>18</v>
      </c>
      <c r="E2972" s="5">
        <v>-27904</v>
      </c>
      <c r="F2972" s="3" t="s">
        <v>1227</v>
      </c>
      <c r="G2972" s="3" t="s">
        <v>20</v>
      </c>
      <c r="H2972" s="2" t="s">
        <v>21</v>
      </c>
      <c r="I2972" s="2" t="s">
        <v>6222</v>
      </c>
      <c r="J2972" s="3" t="str">
        <f>HYPERLINK("https://www.boe.es/gazeta/dias/1823/08/07/pdfs/GMD-1823-543.pdf#page=4","Abrir facsímil")</f>
        <v>Abrir facsímil</v>
      </c>
      <c r="K2972" s="3" t="s">
        <v>23</v>
      </c>
    </row>
    <row r="2973" spans="1:11" ht="42" customHeight="1">
      <c r="A2973" s="2" t="s">
        <v>6223</v>
      </c>
      <c r="B2973" s="2" t="s">
        <v>6224</v>
      </c>
      <c r="C2973" s="2" t="s">
        <v>17</v>
      </c>
      <c r="D2973" s="2" t="s">
        <v>18</v>
      </c>
      <c r="E2973" s="5">
        <v>-28094</v>
      </c>
      <c r="F2973" s="3" t="s">
        <v>93</v>
      </c>
      <c r="G2973" s="3" t="s">
        <v>20</v>
      </c>
      <c r="H2973" s="2" t="s">
        <v>21</v>
      </c>
      <c r="I2973" s="2" t="s">
        <v>6225</v>
      </c>
      <c r="J2973" s="3" t="str">
        <f>HYPERLINK("https://www.boe.es/gazeta/dias/1823/01/29/pdfs/GMD-1823-30.pdf#page=4","Abrir facsímil")</f>
        <v>Abrir facsímil</v>
      </c>
      <c r="K2973" s="3" t="s">
        <v>23</v>
      </c>
    </row>
    <row r="2974" spans="1:11" ht="42" customHeight="1">
      <c r="A2974" s="2" t="s">
        <v>6226</v>
      </c>
      <c r="B2974" s="2" t="s">
        <v>6227</v>
      </c>
      <c r="C2974" s="2" t="s">
        <v>79</v>
      </c>
      <c r="D2974" s="2" t="s">
        <v>74</v>
      </c>
      <c r="E2974" s="5">
        <v>-28037</v>
      </c>
      <c r="F2974" s="3" t="s">
        <v>192</v>
      </c>
      <c r="G2974" s="3" t="s">
        <v>48</v>
      </c>
      <c r="H2974" s="2" t="s">
        <v>21</v>
      </c>
      <c r="I2974" s="2" t="s">
        <v>6228</v>
      </c>
      <c r="J2974" s="3" t="str">
        <f>HYPERLINK("https://www.boe.es/gazeta/dias/1823/03/27/pdfs/GMD-1823-90.pdf#page=3","Abrir facsímil")</f>
        <v>Abrir facsímil</v>
      </c>
      <c r="K2974" s="3" t="s">
        <v>23</v>
      </c>
    </row>
    <row r="2975" spans="1:11" ht="42" customHeight="1">
      <c r="A2975" s="2" t="s">
        <v>6229</v>
      </c>
      <c r="B2975" s="2" t="s">
        <v>6230</v>
      </c>
      <c r="C2975" s="2" t="s">
        <v>56</v>
      </c>
      <c r="D2975" s="2" t="s">
        <v>57</v>
      </c>
      <c r="E2975" s="5">
        <v>-28109</v>
      </c>
      <c r="F2975" s="3" t="s">
        <v>889</v>
      </c>
      <c r="G2975" s="3" t="s">
        <v>27</v>
      </c>
      <c r="H2975" s="2" t="s">
        <v>21</v>
      </c>
      <c r="I2975" s="2" t="s">
        <v>6231</v>
      </c>
      <c r="J2975" s="3" t="str">
        <f>HYPERLINK("https://www.boe.es/gazeta/dias/1823/01/14/pdfs/GMD-1823-14.pdf#page=2","Abrir facsímil")</f>
        <v>Abrir facsímil</v>
      </c>
      <c r="K2975" s="3" t="s">
        <v>23</v>
      </c>
    </row>
    <row r="2976" spans="1:11" ht="42" customHeight="1">
      <c r="A2976" s="2" t="s">
        <v>6232</v>
      </c>
      <c r="B2976" s="2" t="s">
        <v>6232</v>
      </c>
      <c r="C2976" s="2" t="s">
        <v>17</v>
      </c>
      <c r="D2976" s="2" t="s">
        <v>18</v>
      </c>
      <c r="E2976" s="5">
        <v>-27916</v>
      </c>
      <c r="F2976" s="3" t="s">
        <v>1558</v>
      </c>
      <c r="G2976" s="3" t="s">
        <v>20</v>
      </c>
      <c r="H2976" s="2" t="s">
        <v>21</v>
      </c>
      <c r="I2976" s="2" t="s">
        <v>6233</v>
      </c>
      <c r="J2976" s="3" t="str">
        <f>HYPERLINK("https://www.boe.es/gazeta/dias/1823/07/26/pdfs/GMD-1823-473.pdf#page=4","Abrir facsímil")</f>
        <v>Abrir facsímil</v>
      </c>
      <c r="K2976" s="3" t="s">
        <v>23</v>
      </c>
    </row>
    <row r="2977" spans="1:11" ht="42" customHeight="1">
      <c r="A2977" s="2" t="s">
        <v>6234</v>
      </c>
      <c r="B2977" s="2" t="s">
        <v>6234</v>
      </c>
      <c r="C2977" s="2" t="s">
        <v>17</v>
      </c>
      <c r="D2977" s="2" t="s">
        <v>18</v>
      </c>
      <c r="E2977" s="5">
        <v>-27944</v>
      </c>
      <c r="F2977" s="3" t="s">
        <v>658</v>
      </c>
      <c r="G2977" s="3" t="s">
        <v>27</v>
      </c>
      <c r="H2977" s="2" t="s">
        <v>21</v>
      </c>
      <c r="I2977" s="2" t="s">
        <v>6235</v>
      </c>
      <c r="J2977" s="3" t="str">
        <f>HYPERLINK("https://www.boe.es/gazeta/dias/1823/06/28/pdfs/GMD-1823-303.pdf#page=2","Abrir facsímil")</f>
        <v>Abrir facsímil</v>
      </c>
      <c r="K2977" s="3" t="s">
        <v>23</v>
      </c>
    </row>
    <row r="2978" spans="1:11" ht="42" customHeight="1">
      <c r="A2978" s="2" t="s">
        <v>6236</v>
      </c>
      <c r="B2978" s="2" t="s">
        <v>6236</v>
      </c>
      <c r="C2978" s="2" t="s">
        <v>17</v>
      </c>
      <c r="D2978" s="2" t="s">
        <v>18</v>
      </c>
      <c r="E2978" s="5">
        <v>-27944</v>
      </c>
      <c r="F2978" s="3" t="s">
        <v>658</v>
      </c>
      <c r="G2978" s="3" t="s">
        <v>27</v>
      </c>
      <c r="H2978" s="2" t="s">
        <v>21</v>
      </c>
      <c r="I2978" s="2" t="s">
        <v>6237</v>
      </c>
      <c r="J2978" s="3" t="str">
        <f>HYPERLINK("https://www.boe.es/gazeta/dias/1823/06/28/pdfs/GMD-1823-303.pdf#page=2","Abrir facsímil")</f>
        <v>Abrir facsímil</v>
      </c>
      <c r="K2978" s="3" t="s">
        <v>23</v>
      </c>
    </row>
    <row r="2979" spans="1:11" ht="42" customHeight="1">
      <c r="A2979" s="2" t="s">
        <v>6238</v>
      </c>
      <c r="B2979" s="2" t="s">
        <v>6239</v>
      </c>
      <c r="C2979" s="2" t="s">
        <v>109</v>
      </c>
      <c r="D2979" s="2" t="s">
        <v>74</v>
      </c>
      <c r="E2979" s="5">
        <v>-27778</v>
      </c>
      <c r="F2979" s="3" t="s">
        <v>1343</v>
      </c>
      <c r="G2979" s="3" t="s">
        <v>48</v>
      </c>
      <c r="H2979" s="2" t="s">
        <v>21</v>
      </c>
      <c r="I2979" s="2" t="s">
        <v>6240</v>
      </c>
      <c r="J2979" s="3" t="str">
        <f>HYPERLINK("https://www.boe.es/gazeta/dias/1823/12/11/pdfs/GMD-1823-1233.pdf#page=3","Abrir facsímil")</f>
        <v>Abrir facsímil</v>
      </c>
      <c r="K2979" s="3" t="s">
        <v>23</v>
      </c>
    </row>
    <row r="2980" spans="1:11" ht="42" customHeight="1">
      <c r="A2980" s="2" t="s">
        <v>6241</v>
      </c>
      <c r="B2980" s="2" t="s">
        <v>6242</v>
      </c>
      <c r="C2980" s="2" t="s">
        <v>17</v>
      </c>
      <c r="D2980" s="2" t="s">
        <v>18</v>
      </c>
      <c r="E2980" s="5">
        <v>-27846</v>
      </c>
      <c r="F2980" s="3" t="s">
        <v>2535</v>
      </c>
      <c r="G2980" s="3" t="s">
        <v>48</v>
      </c>
      <c r="H2980" s="2" t="s">
        <v>21</v>
      </c>
      <c r="I2980" s="2" t="s">
        <v>6243</v>
      </c>
      <c r="J2980" s="3" t="str">
        <f>HYPERLINK("https://www.boe.es/gazeta/dias/1823/10/04/pdfs/GMD-1823-913.pdf#page=3","Abrir facsímil")</f>
        <v>Abrir facsímil</v>
      </c>
      <c r="K2980" s="3" t="s">
        <v>23</v>
      </c>
    </row>
    <row r="2981" spans="1:11" ht="42" customHeight="1">
      <c r="A2981" s="2" t="s">
        <v>6241</v>
      </c>
      <c r="B2981" s="2" t="s">
        <v>6242</v>
      </c>
      <c r="C2981" s="2" t="s">
        <v>17</v>
      </c>
      <c r="D2981" s="2" t="s">
        <v>18</v>
      </c>
      <c r="E2981" s="5">
        <v>-27811</v>
      </c>
      <c r="F2981" s="3" t="s">
        <v>834</v>
      </c>
      <c r="G2981" s="3" t="s">
        <v>48</v>
      </c>
      <c r="H2981" s="2" t="s">
        <v>21</v>
      </c>
      <c r="I2981" s="2" t="s">
        <v>6244</v>
      </c>
      <c r="J2981" s="3" t="str">
        <f>HYPERLINK("https://www.boe.es/gazeta/dias/1823/11/08/pdfs/GMD-1823-1083.pdf#page=3","Abrir facsímil")</f>
        <v>Abrir facsímil</v>
      </c>
      <c r="K2981" s="3" t="s">
        <v>23</v>
      </c>
    </row>
    <row r="2982" spans="1:11" ht="42" customHeight="1">
      <c r="A2982" s="2" t="s">
        <v>6245</v>
      </c>
      <c r="B2982" s="2" t="s">
        <v>6246</v>
      </c>
      <c r="C2982" s="2" t="s">
        <v>79</v>
      </c>
      <c r="D2982" s="2" t="s">
        <v>74</v>
      </c>
      <c r="E2982" s="5">
        <v>-27847</v>
      </c>
      <c r="F2982" s="3" t="s">
        <v>6247</v>
      </c>
      <c r="G2982" s="3" t="s">
        <v>39</v>
      </c>
      <c r="H2982" s="2" t="s">
        <v>21</v>
      </c>
      <c r="I2982" s="2" t="s">
        <v>6248</v>
      </c>
      <c r="J2982" s="3" t="str">
        <f>HYPERLINK("https://www.boe.es/gazeta/dias/1823/10/03/pdfs/GES-1823-177.pdf#page=1","Abrir facsímil")</f>
        <v>Abrir facsímil</v>
      </c>
      <c r="K2982" s="3" t="s">
        <v>23</v>
      </c>
    </row>
    <row r="2983" spans="1:11" ht="42" customHeight="1">
      <c r="A2983" s="2" t="s">
        <v>6249</v>
      </c>
      <c r="B2983" s="2" t="s">
        <v>6249</v>
      </c>
      <c r="C2983" s="2" t="s">
        <v>17</v>
      </c>
      <c r="D2983" s="2" t="s">
        <v>18</v>
      </c>
      <c r="E2983" s="5">
        <v>-28070</v>
      </c>
      <c r="F2983" s="3" t="s">
        <v>972</v>
      </c>
      <c r="G2983" s="3" t="s">
        <v>27</v>
      </c>
      <c r="H2983" s="2" t="s">
        <v>21</v>
      </c>
      <c r="I2983" s="2" t="s">
        <v>6250</v>
      </c>
      <c r="J2983" s="3" t="str">
        <f>HYPERLINK("https://www.boe.es/gazeta/dias/1823/02/22/pdfs/GMD-1823-56.pdf#page=2","Abrir facsímil")</f>
        <v>Abrir facsímil</v>
      </c>
      <c r="K2983" s="3" t="s">
        <v>23</v>
      </c>
    </row>
    <row r="2984" spans="1:11" ht="42" customHeight="1">
      <c r="A2984" s="2" t="s">
        <v>6251</v>
      </c>
      <c r="B2984" s="2" t="s">
        <v>6251</v>
      </c>
      <c r="C2984" s="2" t="s">
        <v>17</v>
      </c>
      <c r="D2984" s="2" t="s">
        <v>117</v>
      </c>
      <c r="E2984" s="5">
        <v>-27873</v>
      </c>
      <c r="F2984" s="3" t="s">
        <v>1668</v>
      </c>
      <c r="G2984" s="3" t="s">
        <v>27</v>
      </c>
      <c r="H2984" s="2" t="s">
        <v>21</v>
      </c>
      <c r="I2984" s="2" t="s">
        <v>6252</v>
      </c>
      <c r="J2984" s="3" t="str">
        <f>HYPERLINK("https://www.boe.es/gazeta/dias/1823/09/07/pdfs/GMD-1823-72E.pdf#page=2","Abrir facsímil")</f>
        <v>Abrir facsímil</v>
      </c>
      <c r="K2984" s="3" t="s">
        <v>23</v>
      </c>
    </row>
    <row r="2985" spans="1:11" ht="42" customHeight="1">
      <c r="A2985" s="2" t="s">
        <v>6253</v>
      </c>
      <c r="B2985" s="2" t="s">
        <v>6254</v>
      </c>
      <c r="C2985" s="2" t="s">
        <v>1477</v>
      </c>
      <c r="D2985" s="2" t="s">
        <v>57</v>
      </c>
      <c r="E2985" s="5">
        <v>-27918</v>
      </c>
      <c r="F2985" s="3" t="s">
        <v>218</v>
      </c>
      <c r="G2985" s="3" t="s">
        <v>39</v>
      </c>
      <c r="H2985" s="2" t="s">
        <v>21</v>
      </c>
      <c r="I2985" s="2" t="s">
        <v>6255</v>
      </c>
      <c r="J2985" s="3" t="str">
        <f>HYPERLINK("https://www.boe.es/gazeta/dias/1823/07/24/pdfs/GMD-1823-463.pdf#page=1","Abrir facsímil")</f>
        <v>Abrir facsímil</v>
      </c>
      <c r="K2985" s="3" t="s">
        <v>23</v>
      </c>
    </row>
    <row r="2986" spans="1:11" ht="42" customHeight="1">
      <c r="A2986" s="2" t="s">
        <v>6256</v>
      </c>
      <c r="B2986" s="2" t="s">
        <v>6256</v>
      </c>
      <c r="C2986" s="2" t="s">
        <v>79</v>
      </c>
      <c r="D2986" s="2" t="s">
        <v>74</v>
      </c>
      <c r="E2986" s="5">
        <v>-28081</v>
      </c>
      <c r="F2986" s="3" t="s">
        <v>170</v>
      </c>
      <c r="G2986" s="3" t="s">
        <v>20</v>
      </c>
      <c r="H2986" s="2" t="s">
        <v>21</v>
      </c>
      <c r="I2986" s="2" t="s">
        <v>6257</v>
      </c>
      <c r="J2986" s="3" t="str">
        <f>HYPERLINK("https://www.boe.es/gazeta/dias/1823/02/11/pdfs/GMD-1823-45.pdf#page=4","Abrir facsímil")</f>
        <v>Abrir facsímil</v>
      </c>
      <c r="K2986" s="3" t="s">
        <v>23</v>
      </c>
    </row>
    <row r="2987" spans="1:11" ht="42" customHeight="1">
      <c r="A2987" s="2" t="s">
        <v>6258</v>
      </c>
      <c r="B2987" s="2" t="s">
        <v>6258</v>
      </c>
      <c r="C2987" s="2" t="s">
        <v>56</v>
      </c>
      <c r="D2987" s="2" t="s">
        <v>57</v>
      </c>
      <c r="E2987" s="5">
        <v>-27945</v>
      </c>
      <c r="F2987" s="3" t="s">
        <v>628</v>
      </c>
      <c r="G2987" s="3" t="s">
        <v>39</v>
      </c>
      <c r="H2987" s="2" t="s">
        <v>21</v>
      </c>
      <c r="I2987" s="2" t="s">
        <v>6259</v>
      </c>
      <c r="J2987" s="3" t="str">
        <f>HYPERLINK("https://www.boe.es/gazeta/dias/1823/06/27/pdfs/GES-1823-77.pdf#page=1","Abrir facsímil")</f>
        <v>Abrir facsímil</v>
      </c>
      <c r="K2987" s="3" t="s">
        <v>23</v>
      </c>
    </row>
    <row r="2988" spans="1:11" ht="42" customHeight="1">
      <c r="A2988" s="2" t="s">
        <v>6260</v>
      </c>
      <c r="B2988" s="2" t="s">
        <v>6260</v>
      </c>
      <c r="C2988" s="2" t="s">
        <v>17</v>
      </c>
      <c r="D2988" s="2" t="s">
        <v>18</v>
      </c>
      <c r="E2988" s="5">
        <v>-27850</v>
      </c>
      <c r="F2988" s="3" t="s">
        <v>910</v>
      </c>
      <c r="G2988" s="3" t="s">
        <v>27</v>
      </c>
      <c r="H2988" s="2" t="s">
        <v>21</v>
      </c>
      <c r="I2988" s="2" t="s">
        <v>6261</v>
      </c>
      <c r="J2988" s="3" t="str">
        <f>HYPERLINK("https://www.boe.es/gazeta/dias/1823/09/30/pdfs/GMD-1823-873.pdf#page=2","Abrir facsímil")</f>
        <v>Abrir facsímil</v>
      </c>
      <c r="K2988" s="3" t="s">
        <v>23</v>
      </c>
    </row>
    <row r="2989" spans="1:11" ht="42" customHeight="1">
      <c r="A2989" s="2" t="s">
        <v>6262</v>
      </c>
      <c r="B2989" s="2" t="s">
        <v>6263</v>
      </c>
      <c r="C2989" s="2" t="s">
        <v>17</v>
      </c>
      <c r="D2989" s="2" t="s">
        <v>18</v>
      </c>
      <c r="E2989" s="5">
        <v>-27991</v>
      </c>
      <c r="F2989" s="3" t="s">
        <v>328</v>
      </c>
      <c r="G2989" s="3" t="s">
        <v>34</v>
      </c>
      <c r="H2989" s="2" t="s">
        <v>21</v>
      </c>
      <c r="I2989" s="2" t="s">
        <v>6264</v>
      </c>
      <c r="J2989" s="3" t="str">
        <f>HYPERLINK("https://www.boe.es/gazeta/dias/1823/05/12/pdfs/GES-1823-32.pdf#page=5","Abrir facsímil")</f>
        <v>Abrir facsímil</v>
      </c>
      <c r="K2989" s="3" t="s">
        <v>23</v>
      </c>
    </row>
    <row r="2990" spans="1:11" ht="42" customHeight="1">
      <c r="A2990" s="2" t="s">
        <v>6265</v>
      </c>
      <c r="B2990" s="2" t="s">
        <v>6266</v>
      </c>
      <c r="C2990" s="2" t="s">
        <v>17</v>
      </c>
      <c r="D2990" s="2" t="s">
        <v>18</v>
      </c>
      <c r="E2990" s="5">
        <v>-28114</v>
      </c>
      <c r="F2990" s="3" t="s">
        <v>153</v>
      </c>
      <c r="G2990" s="3" t="s">
        <v>27</v>
      </c>
      <c r="H2990" s="2" t="s">
        <v>21</v>
      </c>
      <c r="I2990" s="2" t="s">
        <v>6267</v>
      </c>
      <c r="J2990" s="3" t="str">
        <f>HYPERLINK("https://www.boe.es/gazeta/dias/1823/01/09/pdfs/GMD-1823-9.pdf#page=2","Abrir facsímil")</f>
        <v>Abrir facsímil</v>
      </c>
      <c r="K2990" s="3" t="s">
        <v>23</v>
      </c>
    </row>
    <row r="2991" spans="1:11" ht="42" customHeight="1">
      <c r="A2991" s="2" t="s">
        <v>6268</v>
      </c>
      <c r="B2991" s="2" t="s">
        <v>6269</v>
      </c>
      <c r="C2991" s="2" t="s">
        <v>17</v>
      </c>
      <c r="D2991" s="2" t="s">
        <v>18</v>
      </c>
      <c r="E2991" s="5">
        <v>-28104</v>
      </c>
      <c r="F2991" s="3" t="s">
        <v>114</v>
      </c>
      <c r="G2991" s="3" t="s">
        <v>59</v>
      </c>
      <c r="H2991" s="2" t="s">
        <v>21</v>
      </c>
      <c r="I2991" s="2" t="s">
        <v>6270</v>
      </c>
      <c r="J2991" s="3" t="str">
        <f>HYPERLINK("https://www.boe.es/gazeta/dias/1823/01/19/pdfs/GMD-1823-19.pdf#page=6","Abrir facsímil")</f>
        <v>Abrir facsímil</v>
      </c>
      <c r="K2991" s="3" t="s">
        <v>23</v>
      </c>
    </row>
    <row r="2992" spans="1:11" ht="42" customHeight="1">
      <c r="A2992" s="2" t="s">
        <v>6271</v>
      </c>
      <c r="B2992" s="2" t="s">
        <v>6272</v>
      </c>
      <c r="C2992" s="2" t="s">
        <v>56</v>
      </c>
      <c r="D2992" s="2" t="s">
        <v>57</v>
      </c>
      <c r="E2992" s="5">
        <v>-27999</v>
      </c>
      <c r="F2992" s="3" t="s">
        <v>97</v>
      </c>
      <c r="G2992" s="3" t="s">
        <v>20</v>
      </c>
      <c r="H2992" s="2" t="s">
        <v>21</v>
      </c>
      <c r="I2992" s="2" t="s">
        <v>6273</v>
      </c>
      <c r="J2992" s="3" t="str">
        <f>HYPERLINK("https://www.boe.es/gazeta/dias/1823/05/04/pdfs/GES-1823-24.pdf#page=4","Abrir facsímil")</f>
        <v>Abrir facsímil</v>
      </c>
      <c r="K2992" s="3" t="s">
        <v>23</v>
      </c>
    </row>
    <row r="2993" spans="1:11" ht="42" customHeight="1">
      <c r="A2993" s="2" t="s">
        <v>6274</v>
      </c>
      <c r="B2993" s="2" t="s">
        <v>6275</v>
      </c>
      <c r="C2993" s="2" t="s">
        <v>17</v>
      </c>
      <c r="D2993" s="2" t="s">
        <v>18</v>
      </c>
      <c r="E2993" s="5">
        <v>-28109</v>
      </c>
      <c r="F2993" s="3" t="s">
        <v>889</v>
      </c>
      <c r="G2993" s="3" t="s">
        <v>48</v>
      </c>
      <c r="H2993" s="2" t="s">
        <v>21</v>
      </c>
      <c r="I2993" s="2" t="s">
        <v>6276</v>
      </c>
      <c r="J2993" s="3" t="str">
        <f>HYPERLINK("https://www.boe.es/gazeta/dias/1823/01/14/pdfs/GMD-1823-14.pdf#page=3","Abrir facsímil")</f>
        <v>Abrir facsímil</v>
      </c>
      <c r="K2993" s="3" t="s">
        <v>23</v>
      </c>
    </row>
    <row r="2994" spans="1:11" ht="42" customHeight="1">
      <c r="A2994" s="2" t="s">
        <v>6277</v>
      </c>
      <c r="B2994" s="2" t="s">
        <v>6278</v>
      </c>
      <c r="C2994" s="2" t="s">
        <v>79</v>
      </c>
      <c r="D2994" s="2" t="s">
        <v>74</v>
      </c>
      <c r="E2994" s="5">
        <v>-28013</v>
      </c>
      <c r="F2994" s="3" t="s">
        <v>105</v>
      </c>
      <c r="G2994" s="3" t="s">
        <v>20</v>
      </c>
      <c r="H2994" s="2" t="s">
        <v>28</v>
      </c>
      <c r="I2994" s="2" t="s">
        <v>6279</v>
      </c>
      <c r="J2994" s="3" t="str">
        <f>HYPERLINK("https://www.boe.es/gazeta/dias/1823/04/20/pdfs/GMD-1823-32.pdf#page=4","Abrir facsímil")</f>
        <v>Abrir facsímil</v>
      </c>
      <c r="K2994" s="3" t="s">
        <v>30</v>
      </c>
    </row>
    <row r="2995" spans="1:11" ht="42" customHeight="1">
      <c r="A2995" s="2" t="s">
        <v>6280</v>
      </c>
      <c r="B2995" s="2" t="s">
        <v>6281</v>
      </c>
      <c r="C2995" s="2" t="s">
        <v>17</v>
      </c>
      <c r="D2995" s="2" t="s">
        <v>18</v>
      </c>
      <c r="E2995" s="5">
        <v>-28016</v>
      </c>
      <c r="F2995" s="3" t="s">
        <v>2259</v>
      </c>
      <c r="G2995" s="3" t="s">
        <v>20</v>
      </c>
      <c r="H2995" s="2" t="s">
        <v>21</v>
      </c>
      <c r="I2995" s="2" t="s">
        <v>6282</v>
      </c>
      <c r="J2995" s="3" t="str">
        <f>HYPERLINK("https://www.boe.es/gazeta/dias/1823/04/17/pdfs/GES-1823-7.pdf#page=4","Abrir facsímil")</f>
        <v>Abrir facsímil</v>
      </c>
      <c r="K2995" s="3" t="s">
        <v>23</v>
      </c>
    </row>
    <row r="2996" spans="1:11" ht="42" customHeight="1">
      <c r="A2996" s="2" t="s">
        <v>6280</v>
      </c>
      <c r="B2996" s="2" t="s">
        <v>6281</v>
      </c>
      <c r="C2996" s="2" t="s">
        <v>56</v>
      </c>
      <c r="D2996" s="2" t="s">
        <v>57</v>
      </c>
      <c r="E2996" s="5">
        <v>-27820</v>
      </c>
      <c r="F2996" s="3" t="s">
        <v>6283</v>
      </c>
      <c r="G2996" s="3" t="s">
        <v>39</v>
      </c>
      <c r="H2996" s="2" t="s">
        <v>21</v>
      </c>
      <c r="I2996" s="2" t="s">
        <v>6284</v>
      </c>
      <c r="J2996" s="3" t="str">
        <f>HYPERLINK("https://www.boe.es/gazeta/dias/1823/10/30/pdfs/GMD-1823-1043.pdf#page=1","Abrir facsímil")</f>
        <v>Abrir facsímil</v>
      </c>
      <c r="K2996" s="3" t="s">
        <v>23</v>
      </c>
    </row>
    <row r="2997" spans="1:11" ht="42" customHeight="1">
      <c r="A2997" s="2" t="s">
        <v>6285</v>
      </c>
      <c r="B2997" s="2" t="s">
        <v>6286</v>
      </c>
      <c r="C2997" s="2" t="s">
        <v>73</v>
      </c>
      <c r="D2997" s="2" t="s">
        <v>74</v>
      </c>
      <c r="E2997" s="5">
        <v>-28064</v>
      </c>
      <c r="F2997" s="3" t="s">
        <v>1190</v>
      </c>
      <c r="G2997" s="3" t="s">
        <v>20</v>
      </c>
      <c r="H2997" s="2" t="s">
        <v>21</v>
      </c>
      <c r="I2997" s="2" t="s">
        <v>6287</v>
      </c>
      <c r="J2997" s="3" t="str">
        <f>HYPERLINK("https://www.boe.es/gazeta/dias/1823/02/28/pdfs/GMD-1823-62.pdf#page=4","Abrir facsímil")</f>
        <v>Abrir facsímil</v>
      </c>
      <c r="K2997" s="3" t="s">
        <v>23</v>
      </c>
    </row>
    <row r="2998" spans="1:11" ht="42" customHeight="1">
      <c r="A2998" s="2" t="s">
        <v>6288</v>
      </c>
      <c r="B2998" s="2" t="s">
        <v>6289</v>
      </c>
      <c r="C2998" s="2" t="s">
        <v>17</v>
      </c>
      <c r="D2998" s="2" t="s">
        <v>18</v>
      </c>
      <c r="E2998" s="5">
        <v>-28056</v>
      </c>
      <c r="F2998" s="3" t="s">
        <v>572</v>
      </c>
      <c r="G2998" s="3" t="s">
        <v>59</v>
      </c>
      <c r="H2998" s="2" t="s">
        <v>21</v>
      </c>
      <c r="I2998" s="2" t="s">
        <v>6290</v>
      </c>
      <c r="J2998" s="3" t="str">
        <f>HYPERLINK("https://www.boe.es/gazeta/dias/1823/03/08/pdfs/GMD-1823-71.pdf#page=6","Abrir facsímil")</f>
        <v>Abrir facsímil</v>
      </c>
      <c r="K2998" s="3" t="s">
        <v>23</v>
      </c>
    </row>
    <row r="2999" spans="1:11" ht="42" customHeight="1">
      <c r="A2999" s="2" t="s">
        <v>6291</v>
      </c>
      <c r="B2999" s="2" t="s">
        <v>6292</v>
      </c>
      <c r="C2999" s="2" t="s">
        <v>17</v>
      </c>
      <c r="D2999" s="2" t="s">
        <v>18</v>
      </c>
      <c r="E2999" s="5">
        <v>-27897</v>
      </c>
      <c r="F2999" s="3" t="s">
        <v>1569</v>
      </c>
      <c r="G2999" s="3" t="s">
        <v>20</v>
      </c>
      <c r="H2999" s="2" t="s">
        <v>21</v>
      </c>
      <c r="I2999" s="2" t="s">
        <v>6293</v>
      </c>
      <c r="J2999" s="3" t="str">
        <f>HYPERLINK("https://www.boe.es/gazeta/dias/1823/08/14/pdfs/GMD-1823-593.pdf#page=4","Abrir facsímil")</f>
        <v>Abrir facsímil</v>
      </c>
      <c r="K2999" s="3" t="s">
        <v>23</v>
      </c>
    </row>
    <row r="3000" spans="1:11" ht="42" customHeight="1">
      <c r="A3000" s="2" t="s">
        <v>6294</v>
      </c>
      <c r="B3000" s="2" t="s">
        <v>6295</v>
      </c>
      <c r="C3000" s="2" t="s">
        <v>79</v>
      </c>
      <c r="D3000" s="2" t="s">
        <v>74</v>
      </c>
      <c r="E3000" s="5">
        <v>-28037</v>
      </c>
      <c r="F3000" s="3" t="s">
        <v>192</v>
      </c>
      <c r="G3000" s="3" t="s">
        <v>48</v>
      </c>
      <c r="H3000" s="2" t="s">
        <v>21</v>
      </c>
      <c r="I3000" s="2" t="s">
        <v>6296</v>
      </c>
      <c r="J3000" s="3" t="str">
        <f>HYPERLINK("https://www.boe.es/gazeta/dias/1823/03/27/pdfs/GMD-1823-90.pdf#page=3","Abrir facsímil")</f>
        <v>Abrir facsímil</v>
      </c>
      <c r="K3000" s="3" t="s">
        <v>23</v>
      </c>
    </row>
    <row r="3001" spans="1:11" ht="42" customHeight="1">
      <c r="A3001" s="2" t="s">
        <v>6294</v>
      </c>
      <c r="B3001" s="2" t="s">
        <v>6295</v>
      </c>
      <c r="C3001" s="2" t="s">
        <v>73</v>
      </c>
      <c r="D3001" s="2" t="s">
        <v>74</v>
      </c>
      <c r="E3001" s="5">
        <v>-28008</v>
      </c>
      <c r="F3001" s="3" t="s">
        <v>309</v>
      </c>
      <c r="G3001" s="3" t="s">
        <v>20</v>
      </c>
      <c r="H3001" s="2" t="s">
        <v>21</v>
      </c>
      <c r="I3001" s="2" t="s">
        <v>6297</v>
      </c>
      <c r="J3001" s="3" t="str">
        <f>HYPERLINK("https://www.boe.es/gazeta/dias/1823/04/25/pdfs/GES-1823-15.pdf#page=4","Abrir facsímil")</f>
        <v>Abrir facsímil</v>
      </c>
      <c r="K3001" s="3" t="s">
        <v>23</v>
      </c>
    </row>
    <row r="3002" spans="1:11" ht="42" customHeight="1">
      <c r="A3002" s="2" t="s">
        <v>6298</v>
      </c>
      <c r="B3002" s="2" t="s">
        <v>6298</v>
      </c>
      <c r="C3002" s="2" t="s">
        <v>17</v>
      </c>
      <c r="D3002" s="2" t="s">
        <v>117</v>
      </c>
      <c r="E3002" s="5">
        <v>-27966</v>
      </c>
      <c r="F3002" s="3" t="s">
        <v>962</v>
      </c>
      <c r="G3002" s="3" t="s">
        <v>39</v>
      </c>
      <c r="H3002" s="2" t="s">
        <v>21</v>
      </c>
      <c r="I3002" s="2" t="s">
        <v>6299</v>
      </c>
      <c r="J3002" s="3" t="str">
        <f>HYPERLINK("https://www.boe.es/gazeta/dias/1823/06/06/pdfs/GMD-1823-73E.pdf#page=1","Abrir facsímil")</f>
        <v>Abrir facsímil</v>
      </c>
      <c r="K3002" s="3" t="s">
        <v>23</v>
      </c>
    </row>
    <row r="3003" spans="1:11" ht="42" customHeight="1">
      <c r="A3003" s="2" t="s">
        <v>6300</v>
      </c>
      <c r="B3003" s="2" t="s">
        <v>6301</v>
      </c>
      <c r="C3003" s="2" t="s">
        <v>73</v>
      </c>
      <c r="D3003" s="2" t="s">
        <v>74</v>
      </c>
      <c r="E3003" s="5">
        <v>-27927</v>
      </c>
      <c r="F3003" s="3" t="s">
        <v>1426</v>
      </c>
      <c r="G3003" s="3" t="s">
        <v>20</v>
      </c>
      <c r="H3003" s="2" t="s">
        <v>21</v>
      </c>
      <c r="I3003" s="2" t="s">
        <v>6302</v>
      </c>
      <c r="J3003" s="3" t="str">
        <f>HYPERLINK("https://www.boe.es/gazeta/dias/1823/07/15/pdfs/GES-1823-95.pdf#page=4","Abrir facsímil")</f>
        <v>Abrir facsímil</v>
      </c>
      <c r="K3003" s="3" t="s">
        <v>23</v>
      </c>
    </row>
    <row r="3004" spans="1:11" ht="42" customHeight="1">
      <c r="A3004" s="2" t="s">
        <v>6303</v>
      </c>
      <c r="B3004" s="2" t="s">
        <v>6304</v>
      </c>
      <c r="C3004" s="2" t="s">
        <v>17</v>
      </c>
      <c r="D3004" s="2" t="s">
        <v>18</v>
      </c>
      <c r="E3004" s="5">
        <v>-28093</v>
      </c>
      <c r="F3004" s="3" t="s">
        <v>1044</v>
      </c>
      <c r="G3004" s="3" t="s">
        <v>59</v>
      </c>
      <c r="H3004" s="2" t="s">
        <v>21</v>
      </c>
      <c r="I3004" s="2" t="s">
        <v>6305</v>
      </c>
      <c r="J3004" s="3" t="str">
        <f>HYPERLINK("https://www.boe.es/gazeta/dias/1823/01/30/pdfs/GMD-1823-31.pdf#page=6","Abrir facsímil")</f>
        <v>Abrir facsímil</v>
      </c>
      <c r="K3004" s="3" t="s">
        <v>23</v>
      </c>
    </row>
    <row r="3005" spans="1:11" ht="42" customHeight="1">
      <c r="A3005" s="2" t="s">
        <v>6306</v>
      </c>
      <c r="B3005" s="2" t="s">
        <v>6306</v>
      </c>
      <c r="C3005" s="2" t="s">
        <v>84</v>
      </c>
      <c r="D3005" s="2" t="s">
        <v>74</v>
      </c>
      <c r="E3005" s="5">
        <v>-27880</v>
      </c>
      <c r="F3005" s="3" t="s">
        <v>6307</v>
      </c>
      <c r="G3005" s="3" t="s">
        <v>20</v>
      </c>
      <c r="H3005" s="2" t="s">
        <v>21</v>
      </c>
      <c r="I3005" s="2" t="s">
        <v>6308</v>
      </c>
      <c r="J3005" s="3" t="str">
        <f>HYPERLINK("https://www.boe.es/gazeta/dias/1823/08/31/pdfs/GES-1823-144.pdf#page=4","Abrir facsímil")</f>
        <v>Abrir facsímil</v>
      </c>
      <c r="K3005" s="3" t="s">
        <v>23</v>
      </c>
    </row>
    <row r="3006" spans="1:11" ht="42" customHeight="1">
      <c r="A3006" s="2" t="s">
        <v>6309</v>
      </c>
      <c r="B3006" s="2" t="s">
        <v>6309</v>
      </c>
      <c r="C3006" s="2" t="s">
        <v>84</v>
      </c>
      <c r="D3006" s="2" t="s">
        <v>74</v>
      </c>
      <c r="E3006" s="5">
        <v>-27846</v>
      </c>
      <c r="F3006" s="3" t="s">
        <v>2535</v>
      </c>
      <c r="G3006" s="3" t="s">
        <v>20</v>
      </c>
      <c r="H3006" s="2" t="s">
        <v>21</v>
      </c>
      <c r="I3006" s="2" t="s">
        <v>6310</v>
      </c>
      <c r="J3006" s="3" t="str">
        <f>HYPERLINK("https://www.boe.es/gazeta/dias/1823/10/04/pdfs/GMD-1823-913.pdf#page=4","Abrir facsímil")</f>
        <v>Abrir facsímil</v>
      </c>
      <c r="K3006" s="3" t="s">
        <v>23</v>
      </c>
    </row>
    <row r="3007" spans="1:11" ht="42" customHeight="1">
      <c r="A3007" s="2" t="s">
        <v>6311</v>
      </c>
      <c r="B3007" s="2" t="s">
        <v>6312</v>
      </c>
      <c r="C3007" s="2" t="s">
        <v>79</v>
      </c>
      <c r="D3007" s="2" t="s">
        <v>74</v>
      </c>
      <c r="E3007" s="5">
        <v>-28048</v>
      </c>
      <c r="F3007" s="3" t="s">
        <v>399</v>
      </c>
      <c r="G3007" s="3" t="s">
        <v>20</v>
      </c>
      <c r="H3007" s="2" t="s">
        <v>21</v>
      </c>
      <c r="I3007" s="2" t="s">
        <v>6313</v>
      </c>
      <c r="J3007" s="3" t="str">
        <f>HYPERLINK("https://www.boe.es/gazeta/dias/1823/03/16/pdfs/GMD-1823-79.pdf#page=4","Abrir facsímil")</f>
        <v>Abrir facsímil</v>
      </c>
      <c r="K3007" s="3" t="s">
        <v>23</v>
      </c>
    </row>
    <row r="3008" spans="1:11" ht="42" customHeight="1">
      <c r="A3008" s="2" t="s">
        <v>6314</v>
      </c>
      <c r="B3008" s="2" t="s">
        <v>6315</v>
      </c>
      <c r="C3008" s="2" t="s">
        <v>56</v>
      </c>
      <c r="D3008" s="2" t="s">
        <v>57</v>
      </c>
      <c r="E3008" s="5">
        <v>-28031</v>
      </c>
      <c r="F3008" s="3" t="s">
        <v>1211</v>
      </c>
      <c r="G3008" s="3" t="s">
        <v>20</v>
      </c>
      <c r="H3008" s="2" t="s">
        <v>21</v>
      </c>
      <c r="I3008" s="2" t="s">
        <v>6316</v>
      </c>
      <c r="J3008" s="3" t="str">
        <f>HYPERLINK("https://www.boe.es/gazeta/dias/1823/04/02/pdfs/GMD-1823-96.pdf#page=4","Abrir facsímil")</f>
        <v>Abrir facsímil</v>
      </c>
      <c r="K3008" s="3" t="s">
        <v>23</v>
      </c>
    </row>
    <row r="3009" spans="1:11" ht="42" customHeight="1">
      <c r="A3009" s="2" t="s">
        <v>6317</v>
      </c>
      <c r="B3009" s="2" t="s">
        <v>6317</v>
      </c>
      <c r="C3009" s="2" t="s">
        <v>17</v>
      </c>
      <c r="D3009" s="2" t="s">
        <v>18</v>
      </c>
      <c r="E3009" s="5">
        <v>-27953</v>
      </c>
      <c r="F3009" s="3" t="s">
        <v>1543</v>
      </c>
      <c r="G3009" s="3" t="s">
        <v>48</v>
      </c>
      <c r="H3009" s="2" t="s">
        <v>21</v>
      </c>
      <c r="I3009" s="2" t="s">
        <v>6318</v>
      </c>
      <c r="J3009" s="3" t="str">
        <f>HYPERLINK("https://www.boe.es/gazeta/dias/1823/06/19/pdfs/GMD-1823-193.pdf#page=3","Abrir facsímil")</f>
        <v>Abrir facsímil</v>
      </c>
      <c r="K3009" s="3" t="s">
        <v>23</v>
      </c>
    </row>
    <row r="3010" spans="1:11" ht="42" customHeight="1">
      <c r="A3010" s="2" t="s">
        <v>6319</v>
      </c>
      <c r="B3010" s="2" t="s">
        <v>6320</v>
      </c>
      <c r="C3010" s="2" t="s">
        <v>56</v>
      </c>
      <c r="D3010" s="2" t="s">
        <v>57</v>
      </c>
      <c r="E3010" s="5">
        <v>-28041</v>
      </c>
      <c r="F3010" s="3" t="s">
        <v>873</v>
      </c>
      <c r="G3010" s="3" t="s">
        <v>366</v>
      </c>
      <c r="H3010" s="2" t="s">
        <v>21</v>
      </c>
      <c r="I3010" s="2" t="s">
        <v>6321</v>
      </c>
      <c r="J3010" s="3" t="str">
        <f>HYPERLINK("https://www.boe.es/gazeta/dias/1823/03/23/pdfs/GMD-1823-86.pdf#page=4","Abrir facsímil")</f>
        <v>Abrir facsímil</v>
      </c>
      <c r="K3010" s="3" t="s">
        <v>23</v>
      </c>
    </row>
    <row r="3011" spans="1:11" ht="42" customHeight="1">
      <c r="A3011" s="2" t="s">
        <v>6322</v>
      </c>
      <c r="B3011" s="2" t="s">
        <v>6323</v>
      </c>
      <c r="C3011" s="2" t="s">
        <v>17</v>
      </c>
      <c r="D3011" s="2" t="s">
        <v>18</v>
      </c>
      <c r="E3011" s="5">
        <v>-27846</v>
      </c>
      <c r="F3011" s="3" t="s">
        <v>2535</v>
      </c>
      <c r="G3011" s="3" t="s">
        <v>39</v>
      </c>
      <c r="H3011" s="2" t="s">
        <v>21</v>
      </c>
      <c r="I3011" s="2" t="s">
        <v>6324</v>
      </c>
      <c r="J3011" s="3" t="str">
        <f>HYPERLINK("https://www.boe.es/gazeta/dias/1823/10/04/pdfs/GMD-1823-913.pdf#page=1","Abrir facsímil")</f>
        <v>Abrir facsímil</v>
      </c>
      <c r="K3011" s="3" t="s">
        <v>23</v>
      </c>
    </row>
    <row r="3012" spans="1:11" ht="42" customHeight="1">
      <c r="A3012" s="2" t="s">
        <v>6325</v>
      </c>
      <c r="B3012" s="2" t="s">
        <v>6325</v>
      </c>
      <c r="C3012" s="2" t="s">
        <v>17</v>
      </c>
      <c r="D3012" s="2" t="s">
        <v>18</v>
      </c>
      <c r="E3012" s="5">
        <v>-28114</v>
      </c>
      <c r="F3012" s="3" t="s">
        <v>153</v>
      </c>
      <c r="G3012" s="3" t="s">
        <v>20</v>
      </c>
      <c r="H3012" s="2" t="s">
        <v>21</v>
      </c>
      <c r="I3012" s="2" t="s">
        <v>6326</v>
      </c>
      <c r="J3012" s="3" t="str">
        <f>HYPERLINK("https://www.boe.es/gazeta/dias/1823/01/09/pdfs/GMD-1823-9.pdf#page=4","Abrir facsímil")</f>
        <v>Abrir facsímil</v>
      </c>
      <c r="K3012" s="3" t="s">
        <v>23</v>
      </c>
    </row>
    <row r="3013" spans="1:11" ht="42" customHeight="1">
      <c r="A3013" s="2" t="s">
        <v>6327</v>
      </c>
      <c r="B3013" s="2" t="s">
        <v>6328</v>
      </c>
      <c r="C3013" s="2" t="s">
        <v>56</v>
      </c>
      <c r="D3013" s="2" t="s">
        <v>57</v>
      </c>
      <c r="E3013" s="5">
        <v>-27773</v>
      </c>
      <c r="F3013" s="3" t="s">
        <v>513</v>
      </c>
      <c r="G3013" s="3" t="s">
        <v>39</v>
      </c>
      <c r="H3013" s="2" t="s">
        <v>21</v>
      </c>
      <c r="I3013" s="2" t="s">
        <v>6329</v>
      </c>
      <c r="J3013" s="3" t="str">
        <f>HYPERLINK("https://www.boe.es/gazeta/dias/1823/12/16/pdfs/GMD-1823-1253.pdf#page=1","Abrir facsímil")</f>
        <v>Abrir facsímil</v>
      </c>
      <c r="K3013" s="3" t="s">
        <v>23</v>
      </c>
    </row>
    <row r="3014" spans="1:11" ht="42" customHeight="1">
      <c r="A3014" s="2" t="s">
        <v>6330</v>
      </c>
      <c r="B3014" s="2" t="s">
        <v>6331</v>
      </c>
      <c r="C3014" s="2" t="s">
        <v>17</v>
      </c>
      <c r="D3014" s="2" t="s">
        <v>18</v>
      </c>
      <c r="E3014" s="5">
        <v>-27906</v>
      </c>
      <c r="F3014" s="3" t="s">
        <v>241</v>
      </c>
      <c r="G3014" s="3" t="s">
        <v>48</v>
      </c>
      <c r="H3014" s="2" t="s">
        <v>21</v>
      </c>
      <c r="I3014" s="2" t="s">
        <v>6332</v>
      </c>
      <c r="J3014" s="3" t="str">
        <f>HYPERLINK("https://www.boe.es/gazeta/dias/1823/08/05/pdfs/GES-1823-117.pdf#page=3","Abrir facsímil")</f>
        <v>Abrir facsímil</v>
      </c>
      <c r="K3014" s="3" t="s">
        <v>23</v>
      </c>
    </row>
    <row r="3015" spans="1:11" ht="42" customHeight="1">
      <c r="A3015" s="2" t="s">
        <v>6333</v>
      </c>
      <c r="B3015" s="2" t="s">
        <v>6334</v>
      </c>
      <c r="C3015" s="2" t="s">
        <v>56</v>
      </c>
      <c r="D3015" s="2" t="s">
        <v>57</v>
      </c>
      <c r="E3015" s="5">
        <v>-28069</v>
      </c>
      <c r="F3015" s="3" t="s">
        <v>2006</v>
      </c>
      <c r="G3015" s="3" t="s">
        <v>20</v>
      </c>
      <c r="H3015" s="2" t="s">
        <v>21</v>
      </c>
      <c r="I3015" s="2" t="s">
        <v>6335</v>
      </c>
      <c r="J3015" s="3" t="str">
        <f>HYPERLINK("https://www.boe.es/gazeta/dias/1823/02/23/pdfs/GMD-1823-57.pdf#page=4","Abrir facsímil")</f>
        <v>Abrir facsímil</v>
      </c>
      <c r="K3015" s="3" t="s">
        <v>23</v>
      </c>
    </row>
    <row r="3016" spans="1:11" ht="42" customHeight="1">
      <c r="A3016" s="2" t="s">
        <v>6336</v>
      </c>
      <c r="B3016" s="2" t="s">
        <v>6337</v>
      </c>
      <c r="C3016" s="2" t="s">
        <v>17</v>
      </c>
      <c r="D3016" s="2" t="s">
        <v>18</v>
      </c>
      <c r="E3016" s="5">
        <v>-27994</v>
      </c>
      <c r="F3016" s="3" t="s">
        <v>714</v>
      </c>
      <c r="G3016" s="3" t="s">
        <v>276</v>
      </c>
      <c r="H3016" s="2" t="s">
        <v>21</v>
      </c>
      <c r="I3016" s="2" t="s">
        <v>6338</v>
      </c>
      <c r="J3016" s="3" t="str">
        <f>HYPERLINK("https://www.boe.es/gazeta/dias/1823/05/09/pdfs/GES-1823-29.pdf#page=7","Abrir facsímil")</f>
        <v>Abrir facsímil</v>
      </c>
      <c r="K3016" s="3" t="s">
        <v>23</v>
      </c>
    </row>
    <row r="3017" spans="1:11" ht="42" customHeight="1">
      <c r="A3017" s="2" t="s">
        <v>6339</v>
      </c>
      <c r="B3017" s="2" t="s">
        <v>6340</v>
      </c>
      <c r="C3017" s="2" t="s">
        <v>17</v>
      </c>
      <c r="D3017" s="2" t="s">
        <v>18</v>
      </c>
      <c r="E3017" s="5">
        <v>-27906</v>
      </c>
      <c r="F3017" s="3" t="s">
        <v>241</v>
      </c>
      <c r="G3017" s="3" t="s">
        <v>20</v>
      </c>
      <c r="H3017" s="2" t="s">
        <v>21</v>
      </c>
      <c r="I3017" s="2" t="s">
        <v>6341</v>
      </c>
      <c r="J3017" s="3" t="str">
        <f>HYPERLINK("https://www.boe.es/gazeta/dias/1823/08/05/pdfs/GES-1823-117.pdf#page=4","Abrir facsímil")</f>
        <v>Abrir facsímil</v>
      </c>
      <c r="K3017" s="3" t="s">
        <v>23</v>
      </c>
    </row>
    <row r="3018" spans="1:11" ht="42" customHeight="1">
      <c r="A3018" s="2" t="s">
        <v>6342</v>
      </c>
      <c r="B3018" s="2" t="s">
        <v>6343</v>
      </c>
      <c r="C3018" s="2" t="s">
        <v>17</v>
      </c>
      <c r="D3018" s="2" t="s">
        <v>117</v>
      </c>
      <c r="E3018" s="5">
        <v>-27925</v>
      </c>
      <c r="F3018" s="3" t="s">
        <v>3911</v>
      </c>
      <c r="G3018" s="3" t="s">
        <v>39</v>
      </c>
      <c r="H3018" s="2" t="s">
        <v>21</v>
      </c>
      <c r="I3018" s="2" t="s">
        <v>6344</v>
      </c>
      <c r="J3018" s="3" t="str">
        <f>HYPERLINK("https://www.boe.es/gazeta/dias/1823/07/17/pdfs/GES-1823-98E.pdf#page=1","Abrir facsímil")</f>
        <v>Abrir facsímil</v>
      </c>
      <c r="K3018" s="3" t="s">
        <v>23</v>
      </c>
    </row>
    <row r="3019" spans="1:11" ht="42" customHeight="1">
      <c r="A3019" s="2" t="s">
        <v>6342</v>
      </c>
      <c r="B3019" s="2" t="s">
        <v>6343</v>
      </c>
      <c r="C3019" s="2" t="s">
        <v>17</v>
      </c>
      <c r="D3019" s="2" t="s">
        <v>18</v>
      </c>
      <c r="E3019" s="5">
        <v>-27906</v>
      </c>
      <c r="F3019" s="3" t="s">
        <v>241</v>
      </c>
      <c r="G3019" s="3" t="s">
        <v>48</v>
      </c>
      <c r="H3019" s="2" t="s">
        <v>21</v>
      </c>
      <c r="I3019" s="2" t="s">
        <v>6345</v>
      </c>
      <c r="J3019" s="3" t="str">
        <f>HYPERLINK("https://www.boe.es/gazeta/dias/1823/08/05/pdfs/GES-1823-117.pdf#page=3","Abrir facsímil")</f>
        <v>Abrir facsímil</v>
      </c>
      <c r="K3019" s="3" t="s">
        <v>23</v>
      </c>
    </row>
    <row r="3020" spans="1:11" ht="42" customHeight="1">
      <c r="A3020" s="2" t="s">
        <v>6342</v>
      </c>
      <c r="B3020" s="2" t="s">
        <v>6343</v>
      </c>
      <c r="C3020" s="2" t="s">
        <v>17</v>
      </c>
      <c r="D3020" s="2" t="s">
        <v>18</v>
      </c>
      <c r="E3020" s="5">
        <v>-27892</v>
      </c>
      <c r="F3020" s="3" t="s">
        <v>1229</v>
      </c>
      <c r="G3020" s="3" t="s">
        <v>39</v>
      </c>
      <c r="H3020" s="2" t="s">
        <v>21</v>
      </c>
      <c r="I3020" s="2" t="s">
        <v>6346</v>
      </c>
      <c r="J3020" s="3" t="str">
        <f>HYPERLINK("https://www.boe.es/gazeta/dias/1823/08/19/pdfs/GES-1823-132.pdf#page=1","Abrir facsímil")</f>
        <v>Abrir facsímil</v>
      </c>
      <c r="K3020" s="3" t="s">
        <v>23</v>
      </c>
    </row>
    <row r="3021" spans="1:11" ht="42" customHeight="1">
      <c r="A3021" s="2" t="s">
        <v>6347</v>
      </c>
      <c r="B3021" s="2" t="s">
        <v>6347</v>
      </c>
      <c r="C3021" s="2" t="s">
        <v>84</v>
      </c>
      <c r="D3021" s="2" t="s">
        <v>74</v>
      </c>
      <c r="E3021" s="5">
        <v>-27951</v>
      </c>
      <c r="F3021" s="3" t="s">
        <v>548</v>
      </c>
      <c r="G3021" s="3" t="s">
        <v>20</v>
      </c>
      <c r="H3021" s="2" t="s">
        <v>21</v>
      </c>
      <c r="I3021" s="2" t="s">
        <v>6348</v>
      </c>
      <c r="J3021" s="3" t="str">
        <f>HYPERLINK("https://www.boe.es/gazeta/dias/1823/06/21/pdfs/GES-1823-69.pdf#page=4","Abrir facsímil")</f>
        <v>Abrir facsímil</v>
      </c>
      <c r="K3021" s="3" t="s">
        <v>23</v>
      </c>
    </row>
    <row r="3022" spans="1:11" ht="42" customHeight="1">
      <c r="A3022" s="2" t="s">
        <v>6349</v>
      </c>
      <c r="B3022" s="2" t="s">
        <v>6350</v>
      </c>
      <c r="C3022" s="2" t="s">
        <v>56</v>
      </c>
      <c r="D3022" s="2" t="s">
        <v>57</v>
      </c>
      <c r="E3022" s="5">
        <v>-27983</v>
      </c>
      <c r="F3022" s="3" t="s">
        <v>337</v>
      </c>
      <c r="G3022" s="3" t="s">
        <v>34</v>
      </c>
      <c r="H3022" s="2" t="s">
        <v>21</v>
      </c>
      <c r="I3022" s="2" t="s">
        <v>6351</v>
      </c>
      <c r="J3022" s="3" t="str">
        <f>HYPERLINK("https://www.boe.es/gazeta/dias/1823/05/20/pdfs/GES-1823-40.pdf#page=5","Abrir facsímil")</f>
        <v>Abrir facsímil</v>
      </c>
      <c r="K3022" s="3" t="s">
        <v>23</v>
      </c>
    </row>
    <row r="3023" spans="1:11" ht="42" customHeight="1">
      <c r="A3023" s="2" t="s">
        <v>6352</v>
      </c>
      <c r="B3023" s="2" t="s">
        <v>6352</v>
      </c>
      <c r="C3023" s="2" t="s">
        <v>79</v>
      </c>
      <c r="D3023" s="2" t="s">
        <v>74</v>
      </c>
      <c r="E3023" s="5">
        <v>-28035</v>
      </c>
      <c r="F3023" s="3" t="s">
        <v>138</v>
      </c>
      <c r="G3023" s="3" t="s">
        <v>48</v>
      </c>
      <c r="H3023" s="2" t="s">
        <v>21</v>
      </c>
      <c r="I3023" s="2" t="s">
        <v>6353</v>
      </c>
      <c r="J3023" s="3" t="str">
        <f>HYPERLINK("https://www.boe.es/gazeta/dias/1823/03/29/pdfs/GMD-1823-92.pdf#page=3","Abrir facsímil")</f>
        <v>Abrir facsímil</v>
      </c>
      <c r="K3023" s="3" t="s">
        <v>23</v>
      </c>
    </row>
    <row r="3024" spans="1:11" ht="42" customHeight="1">
      <c r="A3024" s="2" t="s">
        <v>6354</v>
      </c>
      <c r="B3024" s="2" t="s">
        <v>6355</v>
      </c>
      <c r="C3024" s="2" t="s">
        <v>17</v>
      </c>
      <c r="D3024" s="2" t="s">
        <v>18</v>
      </c>
      <c r="E3024" s="5">
        <v>-28042</v>
      </c>
      <c r="F3024" s="3" t="s">
        <v>1218</v>
      </c>
      <c r="G3024" s="3" t="s">
        <v>20</v>
      </c>
      <c r="H3024" s="2" t="s">
        <v>21</v>
      </c>
      <c r="I3024" s="2" t="s">
        <v>6356</v>
      </c>
      <c r="J3024" s="3" t="str">
        <f>HYPERLINK("https://www.boe.es/gazeta/dias/1823/03/22/pdfs/GMD-1823-85.pdf#page=4","Abrir facsímil")</f>
        <v>Abrir facsímil</v>
      </c>
      <c r="K3024" s="3" t="s">
        <v>23</v>
      </c>
    </row>
    <row r="3025" spans="1:11" ht="42" customHeight="1">
      <c r="A3025" s="2" t="s">
        <v>6357</v>
      </c>
      <c r="B3025" s="2" t="s">
        <v>6357</v>
      </c>
      <c r="C3025" s="2" t="s">
        <v>79</v>
      </c>
      <c r="D3025" s="2" t="s">
        <v>74</v>
      </c>
      <c r="E3025" s="5">
        <v>-28077</v>
      </c>
      <c r="F3025" s="3" t="s">
        <v>536</v>
      </c>
      <c r="G3025" s="3" t="s">
        <v>39</v>
      </c>
      <c r="H3025" s="2" t="s">
        <v>21</v>
      </c>
      <c r="I3025" s="2" t="s">
        <v>6358</v>
      </c>
      <c r="J3025" s="3" t="str">
        <f>HYPERLINK("https://www.boe.es/gazeta/dias/1823/02/15/pdfs/GMD-1823-49.pdf#page=1","Abrir facsímil")</f>
        <v>Abrir facsímil</v>
      </c>
      <c r="K3025" s="3" t="s">
        <v>23</v>
      </c>
    </row>
    <row r="3026" spans="1:11" ht="42" customHeight="1">
      <c r="A3026" s="2" t="s">
        <v>6357</v>
      </c>
      <c r="B3026" s="2" t="s">
        <v>6357</v>
      </c>
      <c r="C3026" s="2" t="s">
        <v>79</v>
      </c>
      <c r="D3026" s="2" t="s">
        <v>74</v>
      </c>
      <c r="E3026" s="5">
        <v>-27913</v>
      </c>
      <c r="F3026" s="3" t="s">
        <v>821</v>
      </c>
      <c r="G3026" s="3" t="s">
        <v>39</v>
      </c>
      <c r="H3026" s="2" t="s">
        <v>21</v>
      </c>
      <c r="I3026" s="2" t="s">
        <v>6359</v>
      </c>
      <c r="J3026" s="3" t="str">
        <f>HYPERLINK("https://www.boe.es/gazeta/dias/1823/07/29/pdfs/GES-1823-110.pdf#page=1","Abrir facsímil")</f>
        <v>Abrir facsímil</v>
      </c>
      <c r="K3026" s="3" t="s">
        <v>23</v>
      </c>
    </row>
    <row r="3027" spans="1:11" ht="42" customHeight="1">
      <c r="A3027" s="2" t="s">
        <v>6360</v>
      </c>
      <c r="B3027" s="2" t="s">
        <v>6361</v>
      </c>
      <c r="C3027" s="2" t="s">
        <v>17</v>
      </c>
      <c r="D3027" s="2" t="s">
        <v>18</v>
      </c>
      <c r="E3027" s="5">
        <v>-28087</v>
      </c>
      <c r="F3027" s="3" t="s">
        <v>3125</v>
      </c>
      <c r="G3027" s="3" t="s">
        <v>48</v>
      </c>
      <c r="H3027" s="2" t="s">
        <v>21</v>
      </c>
      <c r="I3027" s="2" t="s">
        <v>6362</v>
      </c>
      <c r="J3027" s="3" t="str">
        <f>HYPERLINK("https://www.boe.es/gazeta/dias/1823/02/05/pdfs/GMD-1823-38.pdf#page=3","Abrir facsímil")</f>
        <v>Abrir facsímil</v>
      </c>
      <c r="K3027" s="3" t="s">
        <v>23</v>
      </c>
    </row>
    <row r="3028" spans="1:11" ht="42" customHeight="1">
      <c r="A3028" s="2" t="s">
        <v>6363</v>
      </c>
      <c r="B3028" s="2" t="s">
        <v>6364</v>
      </c>
      <c r="C3028" s="2" t="s">
        <v>17</v>
      </c>
      <c r="D3028" s="2" t="s">
        <v>18</v>
      </c>
      <c r="E3028" s="5">
        <v>-27977</v>
      </c>
      <c r="F3028" s="3" t="s">
        <v>1489</v>
      </c>
      <c r="G3028" s="3" t="s">
        <v>27</v>
      </c>
      <c r="H3028" s="2" t="s">
        <v>21</v>
      </c>
      <c r="I3028" s="2" t="s">
        <v>6365</v>
      </c>
      <c r="J3028" s="3" t="str">
        <f>HYPERLINK("https://www.boe.es/gazeta/dias/1823/05/26/pdfs/GES-1823-47.pdf#page=2","Abrir facsímil")</f>
        <v>Abrir facsímil</v>
      </c>
      <c r="K3028" s="3" t="s">
        <v>23</v>
      </c>
    </row>
    <row r="3029" spans="1:11" ht="42" customHeight="1">
      <c r="A3029" s="2" t="s">
        <v>6366</v>
      </c>
      <c r="B3029" s="2" t="s">
        <v>6366</v>
      </c>
      <c r="C3029" s="2" t="s">
        <v>17</v>
      </c>
      <c r="D3029" s="2" t="s">
        <v>18</v>
      </c>
      <c r="E3029" s="5">
        <v>-27804</v>
      </c>
      <c r="F3029" s="3" t="s">
        <v>836</v>
      </c>
      <c r="G3029" s="3" t="s">
        <v>20</v>
      </c>
      <c r="H3029" s="2" t="s">
        <v>21</v>
      </c>
      <c r="I3029" s="2" t="s">
        <v>6367</v>
      </c>
      <c r="J3029" s="3" t="str">
        <f>HYPERLINK("https://www.boe.es/gazeta/dias/1823/11/15/pdfs/GMD-1823-1123.pdf#page=4","Abrir facsímil")</f>
        <v>Abrir facsímil</v>
      </c>
      <c r="K3029" s="3" t="s">
        <v>23</v>
      </c>
    </row>
    <row r="3030" spans="1:11" ht="42" customHeight="1">
      <c r="A3030" s="2" t="s">
        <v>6368</v>
      </c>
      <c r="B3030" s="2" t="s">
        <v>6369</v>
      </c>
      <c r="C3030" s="2" t="s">
        <v>84</v>
      </c>
      <c r="D3030" s="2" t="s">
        <v>74</v>
      </c>
      <c r="E3030" s="5">
        <v>-28104</v>
      </c>
      <c r="F3030" s="3" t="s">
        <v>114</v>
      </c>
      <c r="G3030" s="3" t="s">
        <v>48</v>
      </c>
      <c r="H3030" s="2" t="s">
        <v>28</v>
      </c>
      <c r="I3030" s="2" t="s">
        <v>6370</v>
      </c>
      <c r="J3030" s="3" t="str">
        <f>HYPERLINK("https://www.boe.es/gazeta/dias/1823/01/19/pdfs/GMD-1823-19.pdf#page=3","Abrir facsímil")</f>
        <v>Abrir facsímil</v>
      </c>
      <c r="K3030" s="3" t="s">
        <v>30</v>
      </c>
    </row>
    <row r="3031" spans="1:11" ht="42" customHeight="1">
      <c r="A3031" s="2" t="s">
        <v>6371</v>
      </c>
      <c r="B3031" s="2" t="s">
        <v>6372</v>
      </c>
      <c r="C3031" s="2" t="s">
        <v>73</v>
      </c>
      <c r="D3031" s="2" t="s">
        <v>74</v>
      </c>
      <c r="E3031" s="5">
        <v>-27945</v>
      </c>
      <c r="F3031" s="3" t="s">
        <v>628</v>
      </c>
      <c r="G3031" s="3" t="s">
        <v>20</v>
      </c>
      <c r="H3031" s="2" t="s">
        <v>21</v>
      </c>
      <c r="I3031" s="2" t="s">
        <v>6373</v>
      </c>
      <c r="J3031" s="3" t="str">
        <f>HYPERLINK("https://www.boe.es/gazeta/dias/1823/06/27/pdfs/GES-1823-77.pdf#page=4","Abrir facsímil")</f>
        <v>Abrir facsímil</v>
      </c>
      <c r="K3031" s="3" t="s">
        <v>23</v>
      </c>
    </row>
    <row r="3032" spans="1:11" ht="42" customHeight="1">
      <c r="A3032" s="2" t="s">
        <v>6374</v>
      </c>
      <c r="B3032" s="2" t="s">
        <v>6374</v>
      </c>
      <c r="C3032" s="2" t="s">
        <v>79</v>
      </c>
      <c r="D3032" s="2" t="s">
        <v>74</v>
      </c>
      <c r="E3032" s="5">
        <v>-27953</v>
      </c>
      <c r="F3032" s="3" t="s">
        <v>1783</v>
      </c>
      <c r="G3032" s="3" t="s">
        <v>27</v>
      </c>
      <c r="H3032" s="2" t="s">
        <v>21</v>
      </c>
      <c r="I3032" s="2" t="s">
        <v>6375</v>
      </c>
      <c r="J3032" s="3" t="str">
        <f>HYPERLINK("https://www.boe.es/gazeta/dias/1823/06/19/pdfs/GES-1823-67.pdf#page=2","Abrir facsímil")</f>
        <v>Abrir facsímil</v>
      </c>
      <c r="K3032" s="3" t="s">
        <v>23</v>
      </c>
    </row>
    <row r="3033" spans="1:11" ht="42" customHeight="1">
      <c r="A3033" s="2" t="s">
        <v>6376</v>
      </c>
      <c r="B3033" s="2" t="s">
        <v>6377</v>
      </c>
      <c r="C3033" s="2" t="s">
        <v>73</v>
      </c>
      <c r="D3033" s="2" t="s">
        <v>74</v>
      </c>
      <c r="E3033" s="5">
        <v>-28041</v>
      </c>
      <c r="F3033" s="3" t="s">
        <v>873</v>
      </c>
      <c r="G3033" s="3" t="s">
        <v>366</v>
      </c>
      <c r="H3033" s="2" t="s">
        <v>21</v>
      </c>
      <c r="I3033" s="2" t="s">
        <v>6378</v>
      </c>
      <c r="J3033" s="3" t="str">
        <f>HYPERLINK("https://www.boe.es/gazeta/dias/1823/03/23/pdfs/GMD-1823-86.pdf#page=4","Abrir facsímil")</f>
        <v>Abrir facsímil</v>
      </c>
      <c r="K3033" s="3" t="s">
        <v>23</v>
      </c>
    </row>
    <row r="3034" spans="1:11" ht="42" customHeight="1">
      <c r="A3034" s="2" t="s">
        <v>6379</v>
      </c>
      <c r="B3034" s="2" t="s">
        <v>6380</v>
      </c>
      <c r="C3034" s="2" t="s">
        <v>109</v>
      </c>
      <c r="D3034" s="2" t="s">
        <v>74</v>
      </c>
      <c r="E3034" s="5">
        <v>-28031</v>
      </c>
      <c r="F3034" s="3" t="s">
        <v>1211</v>
      </c>
      <c r="G3034" s="3" t="s">
        <v>20</v>
      </c>
      <c r="H3034" s="2" t="s">
        <v>21</v>
      </c>
      <c r="I3034" s="2" t="s">
        <v>6381</v>
      </c>
      <c r="J3034" s="3" t="str">
        <f>HYPERLINK("https://www.boe.es/gazeta/dias/1823/04/02/pdfs/GMD-1823-96.pdf#page=4","Abrir facsímil")</f>
        <v>Abrir facsímil</v>
      </c>
      <c r="K3034" s="3" t="s">
        <v>23</v>
      </c>
    </row>
    <row r="3035" spans="1:11" ht="42" customHeight="1">
      <c r="A3035" s="2" t="s">
        <v>6379</v>
      </c>
      <c r="B3035" s="2" t="s">
        <v>6380</v>
      </c>
      <c r="C3035" s="2" t="s">
        <v>73</v>
      </c>
      <c r="D3035" s="2" t="s">
        <v>74</v>
      </c>
      <c r="E3035" s="5">
        <v>-28025</v>
      </c>
      <c r="F3035" s="3" t="s">
        <v>477</v>
      </c>
      <c r="G3035" s="3" t="s">
        <v>20</v>
      </c>
      <c r="H3035" s="2" t="s">
        <v>21</v>
      </c>
      <c r="I3035" s="2" t="s">
        <v>6382</v>
      </c>
      <c r="J3035" s="3" t="str">
        <f>HYPERLINK("https://www.boe.es/gazeta/dias/1823/04/08/pdfs/GMD-1823-103.pdf#page=4","Abrir facsímil")</f>
        <v>Abrir facsímil</v>
      </c>
      <c r="K3035" s="3" t="s">
        <v>23</v>
      </c>
    </row>
    <row r="3036" spans="1:11" ht="42" customHeight="1">
      <c r="A3036" s="2" t="s">
        <v>6383</v>
      </c>
      <c r="B3036" s="2" t="s">
        <v>6383</v>
      </c>
      <c r="C3036" s="2" t="s">
        <v>109</v>
      </c>
      <c r="D3036" s="2" t="s">
        <v>74</v>
      </c>
      <c r="E3036" s="5">
        <v>-28051</v>
      </c>
      <c r="F3036" s="3" t="s">
        <v>305</v>
      </c>
      <c r="G3036" s="3" t="s">
        <v>20</v>
      </c>
      <c r="H3036" s="2" t="s">
        <v>21</v>
      </c>
      <c r="I3036" s="2" t="s">
        <v>6384</v>
      </c>
      <c r="J3036" s="3" t="str">
        <f>HYPERLINK("https://www.boe.es/gazeta/dias/1823/03/13/pdfs/GMD-1823-76.pdf#page=4","Abrir facsímil")</f>
        <v>Abrir facsímil</v>
      </c>
      <c r="K3036" s="3" t="s">
        <v>23</v>
      </c>
    </row>
    <row r="3037" spans="1:11" ht="42" customHeight="1">
      <c r="A3037" s="2" t="s">
        <v>6385</v>
      </c>
      <c r="B3037" s="2" t="s">
        <v>6386</v>
      </c>
      <c r="C3037" s="2" t="s">
        <v>56</v>
      </c>
      <c r="D3037" s="2" t="s">
        <v>57</v>
      </c>
      <c r="E3037" s="5">
        <v>-27853</v>
      </c>
      <c r="F3037" s="3" t="s">
        <v>539</v>
      </c>
      <c r="G3037" s="3" t="s">
        <v>20</v>
      </c>
      <c r="H3037" s="2" t="s">
        <v>21</v>
      </c>
      <c r="I3037" s="2" t="s">
        <v>6387</v>
      </c>
      <c r="J3037" s="3" t="str">
        <f>HYPERLINK("https://www.boe.es/gazeta/dias/1823/09/27/pdfs/GMD-1823-863.pdf#page=4","Abrir facsímil")</f>
        <v>Abrir facsímil</v>
      </c>
      <c r="K3037" s="3" t="s">
        <v>23</v>
      </c>
    </row>
    <row r="3038" spans="1:11" ht="42" customHeight="1">
      <c r="A3038" s="2" t="s">
        <v>6388</v>
      </c>
      <c r="B3038" s="2" t="s">
        <v>6389</v>
      </c>
      <c r="C3038" s="2" t="s">
        <v>17</v>
      </c>
      <c r="D3038" s="2" t="s">
        <v>117</v>
      </c>
      <c r="E3038" s="5">
        <v>-27912</v>
      </c>
      <c r="F3038" s="3" t="s">
        <v>2353</v>
      </c>
      <c r="G3038" s="3" t="s">
        <v>39</v>
      </c>
      <c r="H3038" s="2" t="s">
        <v>21</v>
      </c>
      <c r="I3038" s="2" t="s">
        <v>6390</v>
      </c>
      <c r="J3038" s="3" t="str">
        <f>HYPERLINK("https://www.boe.es/gazeta/dias/1823/07/30/pdfs/GMD-1823-493E.pdf#page=1","Abrir facsímil")</f>
        <v>Abrir facsímil</v>
      </c>
      <c r="K3038" s="3" t="s">
        <v>23</v>
      </c>
    </row>
    <row r="3039" spans="1:11" ht="42" customHeight="1">
      <c r="A3039" s="2" t="s">
        <v>6391</v>
      </c>
      <c r="B3039" s="2" t="s">
        <v>6391</v>
      </c>
      <c r="C3039" s="2" t="s">
        <v>17</v>
      </c>
      <c r="D3039" s="2" t="s">
        <v>117</v>
      </c>
      <c r="E3039" s="5">
        <v>-27975</v>
      </c>
      <c r="F3039" s="3" t="s">
        <v>1922</v>
      </c>
      <c r="G3039" s="3" t="s">
        <v>39</v>
      </c>
      <c r="H3039" s="2" t="s">
        <v>21</v>
      </c>
      <c r="I3039" s="2" t="s">
        <v>6392</v>
      </c>
      <c r="J3039" s="3" t="str">
        <f>HYPERLINK("https://www.boe.es/gazeta/dias/1823/05/28/pdfs/GES-1823-51E.pdf#page=1","Abrir facsímil")</f>
        <v>Abrir facsímil</v>
      </c>
      <c r="K3039" s="3" t="s">
        <v>23</v>
      </c>
    </row>
    <row r="3040" spans="1:11" ht="42" customHeight="1">
      <c r="A3040" s="2" t="s">
        <v>6391</v>
      </c>
      <c r="B3040" s="2" t="s">
        <v>6391</v>
      </c>
      <c r="C3040" s="2" t="s">
        <v>17</v>
      </c>
      <c r="D3040" s="2" t="s">
        <v>18</v>
      </c>
      <c r="E3040" s="5">
        <v>-27930</v>
      </c>
      <c r="F3040" s="3" t="s">
        <v>2334</v>
      </c>
      <c r="G3040" s="3" t="s">
        <v>20</v>
      </c>
      <c r="H3040" s="2" t="s">
        <v>21</v>
      </c>
      <c r="I3040" s="2" t="s">
        <v>6393</v>
      </c>
      <c r="J3040" s="3" t="str">
        <f>HYPERLINK("https://www.boe.es/gazeta/dias/1823/07/12/pdfs/GES-1823-92.pdf#page=4","Abrir facsímil")</f>
        <v>Abrir facsímil</v>
      </c>
      <c r="K3040" s="3" t="s">
        <v>23</v>
      </c>
    </row>
    <row r="3041" spans="1:11" ht="42" customHeight="1">
      <c r="A3041" s="2" t="s">
        <v>6394</v>
      </c>
      <c r="B3041" s="2" t="s">
        <v>6395</v>
      </c>
      <c r="C3041" s="2" t="s">
        <v>109</v>
      </c>
      <c r="D3041" s="2" t="s">
        <v>74</v>
      </c>
      <c r="E3041" s="5">
        <v>-28079</v>
      </c>
      <c r="F3041" s="3" t="s">
        <v>178</v>
      </c>
      <c r="G3041" s="3" t="s">
        <v>39</v>
      </c>
      <c r="H3041" s="2" t="s">
        <v>21</v>
      </c>
      <c r="I3041" s="2" t="s">
        <v>6396</v>
      </c>
      <c r="J3041" s="3" t="str">
        <f>HYPERLINK("https://www.boe.es/gazeta/dias/1823/02/13/pdfs/GMD-1823-47.pdf#page=1","Abrir facsímil")</f>
        <v>Abrir facsímil</v>
      </c>
      <c r="K3041" s="3" t="s">
        <v>23</v>
      </c>
    </row>
    <row r="3042" spans="1:11" ht="42" customHeight="1">
      <c r="A3042" s="2" t="s">
        <v>6397</v>
      </c>
      <c r="B3042" s="2" t="s">
        <v>6397</v>
      </c>
      <c r="C3042" s="2" t="s">
        <v>17</v>
      </c>
      <c r="D3042" s="2" t="s">
        <v>18</v>
      </c>
      <c r="E3042" s="5">
        <v>-28055</v>
      </c>
      <c r="F3042" s="3" t="s">
        <v>313</v>
      </c>
      <c r="G3042" s="3" t="s">
        <v>27</v>
      </c>
      <c r="H3042" s="2" t="s">
        <v>21</v>
      </c>
      <c r="I3042" s="2" t="s">
        <v>6398</v>
      </c>
      <c r="J3042" s="3" t="str">
        <f>HYPERLINK("https://www.boe.es/gazeta/dias/1823/03/09/pdfs/GMD-1823-72.pdf#page=2","Abrir facsímil")</f>
        <v>Abrir facsímil</v>
      </c>
      <c r="K3042" s="3" t="s">
        <v>23</v>
      </c>
    </row>
    <row r="3043" spans="1:11" ht="42" customHeight="1">
      <c r="A3043" s="2" t="s">
        <v>6397</v>
      </c>
      <c r="B3043" s="2" t="s">
        <v>6397</v>
      </c>
      <c r="C3043" s="2" t="s">
        <v>293</v>
      </c>
      <c r="D3043" s="2" t="s">
        <v>74</v>
      </c>
      <c r="E3043" s="5">
        <v>-28002</v>
      </c>
      <c r="F3043" s="3" t="s">
        <v>315</v>
      </c>
      <c r="G3043" s="3" t="s">
        <v>1116</v>
      </c>
      <c r="H3043" s="2" t="s">
        <v>21</v>
      </c>
      <c r="I3043" s="2" t="s">
        <v>6399</v>
      </c>
      <c r="J3043" s="3" t="str">
        <f>HYPERLINK("https://www.boe.es/gazeta/dias/1823/05/01/pdfs/GES-1823-21.pdf#page=4","Abrir facsímil")</f>
        <v>Abrir facsímil</v>
      </c>
      <c r="K3043" s="3" t="s">
        <v>23</v>
      </c>
    </row>
    <row r="3044" spans="1:11" ht="42" customHeight="1">
      <c r="A3044" s="2" t="s">
        <v>6397</v>
      </c>
      <c r="B3044" s="2" t="s">
        <v>6397</v>
      </c>
      <c r="C3044" s="2" t="s">
        <v>293</v>
      </c>
      <c r="D3044" s="2" t="s">
        <v>74</v>
      </c>
      <c r="E3044" s="5">
        <v>-28001</v>
      </c>
      <c r="F3044" s="3" t="s">
        <v>768</v>
      </c>
      <c r="G3044" s="3" t="s">
        <v>48</v>
      </c>
      <c r="H3044" s="2" t="s">
        <v>21</v>
      </c>
      <c r="I3044" s="2" t="s">
        <v>6400</v>
      </c>
      <c r="J3044" s="3" t="str">
        <f>HYPERLINK("https://www.boe.es/gazeta/dias/1823/05/02/pdfs/GES-1823-22.pdf#page=3","Abrir facsímil")</f>
        <v>Abrir facsímil</v>
      </c>
      <c r="K3044" s="3" t="s">
        <v>23</v>
      </c>
    </row>
    <row r="3045" spans="1:11" ht="42" customHeight="1">
      <c r="A3045" s="2" t="s">
        <v>6397</v>
      </c>
      <c r="B3045" s="2" t="s">
        <v>6397</v>
      </c>
      <c r="C3045" s="2" t="s">
        <v>56</v>
      </c>
      <c r="D3045" s="2" t="s">
        <v>57</v>
      </c>
      <c r="E3045" s="5">
        <v>-27995</v>
      </c>
      <c r="F3045" s="3" t="s">
        <v>326</v>
      </c>
      <c r="G3045" s="3" t="s">
        <v>27</v>
      </c>
      <c r="H3045" s="2" t="s">
        <v>21</v>
      </c>
      <c r="I3045" s="2" t="s">
        <v>6401</v>
      </c>
      <c r="J3045" s="3" t="str">
        <f>HYPERLINK("https://www.boe.es/gazeta/dias/1823/05/08/pdfs/GMD-1823-112.pdf#page=2","Abrir facsímil")</f>
        <v>Abrir facsímil</v>
      </c>
      <c r="K3045" s="3" t="s">
        <v>23</v>
      </c>
    </row>
    <row r="3046" spans="1:11" ht="42" customHeight="1">
      <c r="A3046" s="2" t="s">
        <v>6397</v>
      </c>
      <c r="B3046" s="2" t="s">
        <v>6397</v>
      </c>
      <c r="C3046" s="2" t="s">
        <v>293</v>
      </c>
      <c r="D3046" s="2" t="s">
        <v>74</v>
      </c>
      <c r="E3046" s="5">
        <v>-27995</v>
      </c>
      <c r="F3046" s="3" t="s">
        <v>326</v>
      </c>
      <c r="G3046" s="3" t="s">
        <v>48</v>
      </c>
      <c r="H3046" s="2" t="s">
        <v>21</v>
      </c>
      <c r="I3046" s="2" t="s">
        <v>6402</v>
      </c>
      <c r="J3046" s="3" t="str">
        <f>HYPERLINK("https://www.boe.es/gazeta/dias/1823/05/08/pdfs/GMD-1823-112.pdf#page=3","Abrir facsímil")</f>
        <v>Abrir facsímil</v>
      </c>
      <c r="K3046" s="3" t="s">
        <v>23</v>
      </c>
    </row>
    <row r="3047" spans="1:11" ht="42" customHeight="1">
      <c r="A3047" s="2" t="s">
        <v>6403</v>
      </c>
      <c r="B3047" s="2" t="s">
        <v>6404</v>
      </c>
      <c r="C3047" s="2" t="s">
        <v>56</v>
      </c>
      <c r="D3047" s="2" t="s">
        <v>57</v>
      </c>
      <c r="E3047" s="5">
        <v>-27901</v>
      </c>
      <c r="F3047" s="3" t="s">
        <v>840</v>
      </c>
      <c r="G3047" s="3" t="s">
        <v>20</v>
      </c>
      <c r="H3047" s="2" t="s">
        <v>21</v>
      </c>
      <c r="I3047" s="2" t="s">
        <v>6405</v>
      </c>
      <c r="J3047" s="3" t="str">
        <f>HYPERLINK("https://www.boe.es/gazeta/dias/1823/08/10/pdfs/GES-1823-123.pdf#page=4","Abrir facsímil")</f>
        <v>Abrir facsímil</v>
      </c>
      <c r="K3047" s="3" t="s">
        <v>23</v>
      </c>
    </row>
    <row r="3048" spans="1:11" ht="42" customHeight="1">
      <c r="A3048" s="2" t="s">
        <v>6403</v>
      </c>
      <c r="B3048" s="2" t="s">
        <v>6404</v>
      </c>
      <c r="C3048" s="2" t="s">
        <v>17</v>
      </c>
      <c r="D3048" s="2" t="s">
        <v>18</v>
      </c>
      <c r="E3048" s="5">
        <v>-27891</v>
      </c>
      <c r="F3048" s="3" t="s">
        <v>825</v>
      </c>
      <c r="G3048" s="3" t="s">
        <v>20</v>
      </c>
      <c r="H3048" s="2" t="s">
        <v>21</v>
      </c>
      <c r="I3048" s="2" t="s">
        <v>6406</v>
      </c>
      <c r="J3048" s="3" t="str">
        <f>HYPERLINK("https://www.boe.es/gazeta/dias/1823/08/20/pdfs/GES-1823-133.pdf#page=4","Abrir facsímil")</f>
        <v>Abrir facsímil</v>
      </c>
      <c r="K3048" s="3" t="s">
        <v>23</v>
      </c>
    </row>
    <row r="3049" spans="1:11" ht="42" customHeight="1">
      <c r="A3049" s="2" t="s">
        <v>6403</v>
      </c>
      <c r="B3049" s="2" t="s">
        <v>6404</v>
      </c>
      <c r="C3049" s="2" t="s">
        <v>56</v>
      </c>
      <c r="D3049" s="2" t="s">
        <v>57</v>
      </c>
      <c r="E3049" s="5">
        <v>-27879</v>
      </c>
      <c r="F3049" s="3" t="s">
        <v>638</v>
      </c>
      <c r="G3049" s="3" t="s">
        <v>20</v>
      </c>
      <c r="H3049" s="2" t="s">
        <v>21</v>
      </c>
      <c r="I3049" s="2" t="s">
        <v>6407</v>
      </c>
      <c r="J3049" s="3" t="str">
        <f>HYPERLINK("https://www.boe.es/gazeta/dias/1823/09/01/pdfs/GES-1823-145.pdf#page=4","Abrir facsímil")</f>
        <v>Abrir facsímil</v>
      </c>
      <c r="K3049" s="3" t="s">
        <v>23</v>
      </c>
    </row>
    <row r="3050" spans="1:11" ht="42" customHeight="1">
      <c r="A3050" s="2" t="s">
        <v>6408</v>
      </c>
      <c r="B3050" s="2" t="s">
        <v>6409</v>
      </c>
      <c r="C3050" s="2" t="s">
        <v>56</v>
      </c>
      <c r="D3050" s="2" t="s">
        <v>57</v>
      </c>
      <c r="E3050" s="5">
        <v>-27759</v>
      </c>
      <c r="F3050" s="3" t="s">
        <v>415</v>
      </c>
      <c r="G3050" s="3" t="s">
        <v>48</v>
      </c>
      <c r="H3050" s="2" t="s">
        <v>21</v>
      </c>
      <c r="I3050" s="2" t="s">
        <v>6410</v>
      </c>
      <c r="J3050" s="3" t="str">
        <f>HYPERLINK("https://www.boe.es/gazeta/dias/1823/12/30/pdfs/GMD-1823-1313.pdf#page=3","Abrir facsímil")</f>
        <v>Abrir facsímil</v>
      </c>
      <c r="K3050" s="3" t="s">
        <v>23</v>
      </c>
    </row>
    <row r="3051" spans="1:11" ht="42" customHeight="1">
      <c r="A3051" s="2" t="s">
        <v>6411</v>
      </c>
      <c r="B3051" s="2" t="s">
        <v>6411</v>
      </c>
      <c r="C3051" s="2" t="s">
        <v>17</v>
      </c>
      <c r="D3051" s="2" t="s">
        <v>18</v>
      </c>
      <c r="E3051" s="5">
        <v>-28074</v>
      </c>
      <c r="F3051" s="3" t="s">
        <v>212</v>
      </c>
      <c r="G3051" s="3" t="s">
        <v>39</v>
      </c>
      <c r="H3051" s="2" t="s">
        <v>21</v>
      </c>
      <c r="I3051" s="2" t="s">
        <v>6412</v>
      </c>
      <c r="J3051" s="3" t="str">
        <f>HYPERLINK("https://www.boe.es/gazeta/dias/1823/02/18/pdfs/GMD-1823-52.pdf#page=1","Abrir facsímil")</f>
        <v>Abrir facsímil</v>
      </c>
      <c r="K3051" s="3" t="s">
        <v>23</v>
      </c>
    </row>
    <row r="3052" spans="1:11" ht="42" customHeight="1">
      <c r="A3052" s="2" t="s">
        <v>6413</v>
      </c>
      <c r="B3052" s="2" t="s">
        <v>6414</v>
      </c>
      <c r="C3052" s="2" t="s">
        <v>17</v>
      </c>
      <c r="D3052" s="2" t="s">
        <v>18</v>
      </c>
      <c r="E3052" s="5">
        <v>-27923</v>
      </c>
      <c r="F3052" s="3" t="s">
        <v>354</v>
      </c>
      <c r="G3052" s="3" t="s">
        <v>39</v>
      </c>
      <c r="H3052" s="2" t="s">
        <v>21</v>
      </c>
      <c r="I3052" s="2" t="s">
        <v>6415</v>
      </c>
      <c r="J3052" s="3" t="str">
        <f>HYPERLINK("https://www.boe.es/gazeta/dias/1823/07/19/pdfs/GES-1823-100.pdf#page=1","Abrir facsímil")</f>
        <v>Abrir facsímil</v>
      </c>
      <c r="K3052" s="3" t="s">
        <v>23</v>
      </c>
    </row>
    <row r="3053" spans="1:11" ht="42" customHeight="1">
      <c r="A3053" s="2" t="s">
        <v>6416</v>
      </c>
      <c r="B3053" s="2" t="s">
        <v>6416</v>
      </c>
      <c r="C3053" s="2" t="s">
        <v>73</v>
      </c>
      <c r="D3053" s="2" t="s">
        <v>74</v>
      </c>
      <c r="E3053" s="5">
        <v>-28014</v>
      </c>
      <c r="F3053" s="3" t="s">
        <v>2805</v>
      </c>
      <c r="G3053" s="3" t="s">
        <v>48</v>
      </c>
      <c r="H3053" s="2" t="s">
        <v>21</v>
      </c>
      <c r="I3053" s="2" t="s">
        <v>6417</v>
      </c>
      <c r="J3053" s="3" t="str">
        <f>HYPERLINK("https://www.boe.es/gazeta/dias/1823/04/19/pdfs/GES-1823-9.pdf#page=3","Abrir facsímil")</f>
        <v>Abrir facsímil</v>
      </c>
      <c r="K3053" s="3" t="s">
        <v>23</v>
      </c>
    </row>
    <row r="3054" spans="1:11" ht="42" customHeight="1">
      <c r="A3054" s="2" t="s">
        <v>6418</v>
      </c>
      <c r="B3054" s="2" t="s">
        <v>6418</v>
      </c>
      <c r="C3054" s="2" t="s">
        <v>17</v>
      </c>
      <c r="D3054" s="2" t="s">
        <v>18</v>
      </c>
      <c r="E3054" s="5">
        <v>-28000</v>
      </c>
      <c r="F3054" s="3" t="s">
        <v>138</v>
      </c>
      <c r="G3054" s="3" t="s">
        <v>20</v>
      </c>
      <c r="H3054" s="2" t="s">
        <v>21</v>
      </c>
      <c r="I3054" s="2" t="s">
        <v>6419</v>
      </c>
      <c r="J3054" s="3" t="str">
        <f>HYPERLINK("https://www.boe.es/gazeta/dias/1823/05/03/pdfs/GMD-1823-92.pdf#page=4","Abrir facsímil")</f>
        <v>Abrir facsímil</v>
      </c>
      <c r="K3054" s="3" t="s">
        <v>23</v>
      </c>
    </row>
    <row r="3055" spans="1:11" ht="42" customHeight="1">
      <c r="A3055" s="2" t="s">
        <v>6420</v>
      </c>
      <c r="B3055" s="2" t="s">
        <v>6420</v>
      </c>
      <c r="C3055" s="2" t="s">
        <v>17</v>
      </c>
      <c r="D3055" s="2" t="s">
        <v>18</v>
      </c>
      <c r="E3055" s="5">
        <v>-27960</v>
      </c>
      <c r="F3055" s="3" t="s">
        <v>682</v>
      </c>
      <c r="G3055" s="3" t="s">
        <v>3173</v>
      </c>
      <c r="H3055" s="2" t="s">
        <v>21</v>
      </c>
      <c r="I3055" s="2" t="s">
        <v>6421</v>
      </c>
      <c r="J3055" s="3" t="str">
        <f>HYPERLINK("https://www.boe.es/gazeta/dias/1823/06/12/pdfs/GMD-1823-123.pdf#page=4","Abrir facsímil")</f>
        <v>Abrir facsímil</v>
      </c>
      <c r="K3055" s="3" t="s">
        <v>23</v>
      </c>
    </row>
    <row r="3056" spans="1:11" ht="42" customHeight="1">
      <c r="A3056" s="2" t="s">
        <v>6422</v>
      </c>
      <c r="B3056" s="2" t="s">
        <v>6422</v>
      </c>
      <c r="C3056" s="2" t="s">
        <v>109</v>
      </c>
      <c r="D3056" s="2" t="s">
        <v>74</v>
      </c>
      <c r="E3056" s="5">
        <v>-27928</v>
      </c>
      <c r="F3056" s="3" t="s">
        <v>1316</v>
      </c>
      <c r="G3056" s="3" t="s">
        <v>3173</v>
      </c>
      <c r="H3056" s="2" t="s">
        <v>21</v>
      </c>
      <c r="I3056" s="2" t="s">
        <v>6423</v>
      </c>
      <c r="J3056" s="3" t="str">
        <f>HYPERLINK("https://www.boe.es/gazeta/dias/1823/07/14/pdfs/GES-1823-94.pdf#page=1","Abrir facsímil")</f>
        <v>Abrir facsímil</v>
      </c>
      <c r="K3056" s="3" t="s">
        <v>23</v>
      </c>
    </row>
    <row r="3057" spans="1:11" ht="42" customHeight="1">
      <c r="A3057" s="2" t="s">
        <v>6424</v>
      </c>
      <c r="B3057" s="2" t="s">
        <v>6425</v>
      </c>
      <c r="C3057" s="2" t="s">
        <v>17</v>
      </c>
      <c r="D3057" s="2" t="s">
        <v>18</v>
      </c>
      <c r="E3057" s="5">
        <v>-28001</v>
      </c>
      <c r="F3057" s="3" t="s">
        <v>768</v>
      </c>
      <c r="G3057" s="3" t="s">
        <v>2756</v>
      </c>
      <c r="H3057" s="2" t="s">
        <v>21</v>
      </c>
      <c r="I3057" s="2" t="s">
        <v>6426</v>
      </c>
      <c r="J3057" s="3" t="str">
        <f>HYPERLINK("https://www.boe.es/gazeta/dias/1823/05/02/pdfs/GES-1823-22.pdf#page=6","Abrir facsímil")</f>
        <v>Abrir facsímil</v>
      </c>
      <c r="K3057" s="3" t="s">
        <v>23</v>
      </c>
    </row>
    <row r="3058" spans="1:11" ht="42" customHeight="1">
      <c r="A3058" s="2" t="s">
        <v>6427</v>
      </c>
      <c r="B3058" s="2" t="s">
        <v>6428</v>
      </c>
      <c r="C3058" s="2" t="s">
        <v>56</v>
      </c>
      <c r="D3058" s="2" t="s">
        <v>57</v>
      </c>
      <c r="E3058" s="5">
        <v>-27967</v>
      </c>
      <c r="F3058" s="3" t="s">
        <v>412</v>
      </c>
      <c r="G3058" s="3" t="s">
        <v>39</v>
      </c>
      <c r="H3058" s="2" t="s">
        <v>21</v>
      </c>
      <c r="I3058" s="2" t="s">
        <v>6429</v>
      </c>
      <c r="J3058" s="3" t="str">
        <f>HYPERLINK("https://www.boe.es/gazeta/dias/1823/06/05/pdfs/GES-1823-59.pdf#page=1","Abrir facsímil")</f>
        <v>Abrir facsímil</v>
      </c>
      <c r="K3058" s="3" t="s">
        <v>23</v>
      </c>
    </row>
    <row r="3059" spans="1:11" ht="42" customHeight="1">
      <c r="A3059" s="2" t="s">
        <v>6430</v>
      </c>
      <c r="B3059" s="2" t="s">
        <v>6431</v>
      </c>
      <c r="C3059" s="2" t="s">
        <v>17</v>
      </c>
      <c r="D3059" s="2" t="s">
        <v>18</v>
      </c>
      <c r="E3059" s="5">
        <v>-28015</v>
      </c>
      <c r="F3059" s="3" t="s">
        <v>985</v>
      </c>
      <c r="G3059" s="3" t="s">
        <v>39</v>
      </c>
      <c r="H3059" s="2" t="s">
        <v>21</v>
      </c>
      <c r="I3059" s="2" t="s">
        <v>6432</v>
      </c>
      <c r="J3059" s="3" t="str">
        <f>HYPERLINK("https://www.boe.es/gazeta/dias/1823/04/18/pdfs/GES-1823-8.pdf#page=1","Abrir facsímil")</f>
        <v>Abrir facsímil</v>
      </c>
      <c r="K3059" s="3" t="s">
        <v>23</v>
      </c>
    </row>
    <row r="3060" spans="1:11" ht="42" customHeight="1">
      <c r="A3060" s="2" t="s">
        <v>6433</v>
      </c>
      <c r="B3060" s="2" t="s">
        <v>6433</v>
      </c>
      <c r="C3060" s="2" t="s">
        <v>17</v>
      </c>
      <c r="D3060" s="2" t="s">
        <v>18</v>
      </c>
      <c r="E3060" s="5">
        <v>-27967</v>
      </c>
      <c r="F3060" s="3" t="s">
        <v>2493</v>
      </c>
      <c r="G3060" s="3" t="s">
        <v>48</v>
      </c>
      <c r="H3060" s="2" t="s">
        <v>21</v>
      </c>
      <c r="I3060" s="2" t="s">
        <v>6434</v>
      </c>
      <c r="J3060" s="3" t="str">
        <f>HYPERLINK("https://www.boe.es/gazeta/dias/1823/06/05/pdfs/GMD-1823-63.pdf#page=3","Abrir facsímil")</f>
        <v>Abrir facsímil</v>
      </c>
      <c r="K3060" s="3" t="s">
        <v>23</v>
      </c>
    </row>
    <row r="3061" spans="1:11" ht="42" customHeight="1">
      <c r="A3061" s="2" t="s">
        <v>6435</v>
      </c>
      <c r="B3061" s="2" t="s">
        <v>6435</v>
      </c>
      <c r="C3061" s="2" t="s">
        <v>17</v>
      </c>
      <c r="D3061" s="2" t="s">
        <v>18</v>
      </c>
      <c r="E3061" s="5">
        <v>-28105</v>
      </c>
      <c r="F3061" s="3" t="s">
        <v>502</v>
      </c>
      <c r="G3061" s="3" t="s">
        <v>39</v>
      </c>
      <c r="H3061" s="2" t="s">
        <v>21</v>
      </c>
      <c r="I3061" s="2" t="s">
        <v>6436</v>
      </c>
      <c r="J3061" s="3" t="str">
        <f>HYPERLINK("https://www.boe.es/gazeta/dias/1823/01/18/pdfs/GMD-1823-18.pdf#page=1","Abrir facsímil")</f>
        <v>Abrir facsímil</v>
      </c>
      <c r="K3061" s="3" t="s">
        <v>23</v>
      </c>
    </row>
    <row r="3062" spans="1:11" ht="42" customHeight="1">
      <c r="A3062" s="2" t="s">
        <v>6435</v>
      </c>
      <c r="B3062" s="2" t="s">
        <v>6435</v>
      </c>
      <c r="C3062" s="2" t="s">
        <v>17</v>
      </c>
      <c r="D3062" s="2" t="s">
        <v>18</v>
      </c>
      <c r="E3062" s="5">
        <v>-28077</v>
      </c>
      <c r="F3062" s="3" t="s">
        <v>536</v>
      </c>
      <c r="G3062" s="3" t="s">
        <v>59</v>
      </c>
      <c r="H3062" s="2" t="s">
        <v>21</v>
      </c>
      <c r="I3062" s="2" t="s">
        <v>6437</v>
      </c>
      <c r="J3062" s="3" t="str">
        <f>HYPERLINK("https://www.boe.es/gazeta/dias/1823/02/15/pdfs/GMD-1823-49.pdf#page=6","Abrir facsímil")</f>
        <v>Abrir facsímil</v>
      </c>
      <c r="K3062" s="3" t="s">
        <v>23</v>
      </c>
    </row>
    <row r="3063" spans="1:11" ht="42" customHeight="1">
      <c r="A3063" s="2" t="s">
        <v>6435</v>
      </c>
      <c r="B3063" s="2" t="s">
        <v>6435</v>
      </c>
      <c r="C3063" s="2" t="s">
        <v>17</v>
      </c>
      <c r="D3063" s="2" t="s">
        <v>18</v>
      </c>
      <c r="E3063" s="5">
        <v>-28068</v>
      </c>
      <c r="F3063" s="3" t="s">
        <v>1325</v>
      </c>
      <c r="G3063" s="3" t="s">
        <v>48</v>
      </c>
      <c r="H3063" s="2" t="s">
        <v>21</v>
      </c>
      <c r="I3063" s="2" t="s">
        <v>6438</v>
      </c>
      <c r="J3063" s="3" t="str">
        <f>HYPERLINK("https://www.boe.es/gazeta/dias/1823/02/24/pdfs/GMD-1823-58.pdf#page=3","Abrir facsímil")</f>
        <v>Abrir facsímil</v>
      </c>
      <c r="K3063" s="3" t="s">
        <v>23</v>
      </c>
    </row>
    <row r="3064" spans="1:11" ht="42" customHeight="1">
      <c r="A3064" s="2" t="s">
        <v>6435</v>
      </c>
      <c r="B3064" s="2" t="s">
        <v>6435</v>
      </c>
      <c r="C3064" s="2" t="s">
        <v>17</v>
      </c>
      <c r="D3064" s="2" t="s">
        <v>18</v>
      </c>
      <c r="E3064" s="5">
        <v>-28043</v>
      </c>
      <c r="F3064" s="3" t="s">
        <v>69</v>
      </c>
      <c r="G3064" s="3" t="s">
        <v>39</v>
      </c>
      <c r="H3064" s="2" t="s">
        <v>21</v>
      </c>
      <c r="I3064" s="2" t="s">
        <v>6439</v>
      </c>
      <c r="J3064" s="3" t="str">
        <f>HYPERLINK("https://www.boe.es/gazeta/dias/1823/03/21/pdfs/GMD-1823-84.pdf#page=1","Abrir facsímil")</f>
        <v>Abrir facsímil</v>
      </c>
      <c r="K3064" s="3" t="s">
        <v>23</v>
      </c>
    </row>
    <row r="3065" spans="1:11" ht="42" customHeight="1">
      <c r="A3065" s="2" t="s">
        <v>6435</v>
      </c>
      <c r="B3065" s="2" t="s">
        <v>6435</v>
      </c>
      <c r="C3065" s="2" t="s">
        <v>17</v>
      </c>
      <c r="D3065" s="2" t="s">
        <v>18</v>
      </c>
      <c r="E3065" s="5">
        <v>-28011</v>
      </c>
      <c r="F3065" s="3" t="s">
        <v>3326</v>
      </c>
      <c r="G3065" s="3" t="s">
        <v>6440</v>
      </c>
      <c r="H3065" s="2" t="s">
        <v>21</v>
      </c>
      <c r="I3065" s="2" t="s">
        <v>6441</v>
      </c>
      <c r="J3065" s="3" t="str">
        <f>HYPERLINK("https://www.boe.es/gazeta/dias/1823/04/22/pdfs/GES-1823-12.pdf#page=3","Abrir facsímil")</f>
        <v>Abrir facsímil</v>
      </c>
      <c r="K3065" s="3" t="s">
        <v>23</v>
      </c>
    </row>
    <row r="3066" spans="1:11" ht="42" customHeight="1">
      <c r="A3066" s="2" t="s">
        <v>6435</v>
      </c>
      <c r="B3066" s="2" t="s">
        <v>6435</v>
      </c>
      <c r="C3066" s="2" t="s">
        <v>17</v>
      </c>
      <c r="D3066" s="2" t="s">
        <v>18</v>
      </c>
      <c r="E3066" s="5">
        <v>-28010</v>
      </c>
      <c r="F3066" s="3" t="s">
        <v>808</v>
      </c>
      <c r="G3066" s="3" t="s">
        <v>27</v>
      </c>
      <c r="H3066" s="2" t="s">
        <v>21</v>
      </c>
      <c r="I3066" s="2" t="s">
        <v>6442</v>
      </c>
      <c r="J3066" s="3" t="str">
        <f>HYPERLINK("https://www.boe.es/gazeta/dias/1823/04/23/pdfs/GES-1823-13.pdf#page=2","Abrir facsímil")</f>
        <v>Abrir facsímil</v>
      </c>
      <c r="K3066" s="3" t="s">
        <v>23</v>
      </c>
    </row>
    <row r="3067" spans="1:11" ht="42" customHeight="1">
      <c r="A3067" s="2" t="s">
        <v>6435</v>
      </c>
      <c r="B3067" s="2" t="s">
        <v>6435</v>
      </c>
      <c r="C3067" s="2" t="s">
        <v>17</v>
      </c>
      <c r="D3067" s="2" t="s">
        <v>18</v>
      </c>
      <c r="E3067" s="5">
        <v>-28001</v>
      </c>
      <c r="F3067" s="3" t="s">
        <v>768</v>
      </c>
      <c r="G3067" s="3" t="s">
        <v>39</v>
      </c>
      <c r="H3067" s="2" t="s">
        <v>21</v>
      </c>
      <c r="I3067" s="2" t="s">
        <v>6443</v>
      </c>
      <c r="J3067" s="3" t="str">
        <f>HYPERLINK("https://www.boe.es/gazeta/dias/1823/05/02/pdfs/GES-1823-22.pdf#page=1","Abrir facsímil")</f>
        <v>Abrir facsímil</v>
      </c>
      <c r="K3067" s="3" t="s">
        <v>23</v>
      </c>
    </row>
    <row r="3068" spans="1:11" ht="42" customHeight="1">
      <c r="A3068" s="2" t="s">
        <v>6435</v>
      </c>
      <c r="B3068" s="2" t="s">
        <v>6435</v>
      </c>
      <c r="C3068" s="2" t="s">
        <v>17</v>
      </c>
      <c r="D3068" s="2" t="s">
        <v>18</v>
      </c>
      <c r="E3068" s="5">
        <v>-27997</v>
      </c>
      <c r="F3068" s="3" t="s">
        <v>937</v>
      </c>
      <c r="G3068" s="3" t="s">
        <v>39</v>
      </c>
      <c r="H3068" s="2" t="s">
        <v>21</v>
      </c>
      <c r="I3068" s="2" t="s">
        <v>6444</v>
      </c>
      <c r="J3068" s="3" t="str">
        <f>HYPERLINK("https://www.boe.es/gazeta/dias/1823/05/06/pdfs/GMD-1823-102.pdf#page=1","Abrir facsímil")</f>
        <v>Abrir facsímil</v>
      </c>
      <c r="K3068" s="3" t="s">
        <v>23</v>
      </c>
    </row>
    <row r="3069" spans="1:11" ht="42" customHeight="1">
      <c r="A3069" s="2" t="s">
        <v>6435</v>
      </c>
      <c r="B3069" s="2" t="s">
        <v>6435</v>
      </c>
      <c r="C3069" s="2" t="s">
        <v>17</v>
      </c>
      <c r="D3069" s="2" t="s">
        <v>18</v>
      </c>
      <c r="E3069" s="5">
        <v>-27991</v>
      </c>
      <c r="F3069" s="3" t="s">
        <v>328</v>
      </c>
      <c r="G3069" s="3" t="s">
        <v>59</v>
      </c>
      <c r="H3069" s="2" t="s">
        <v>21</v>
      </c>
      <c r="I3069" s="2" t="s">
        <v>6445</v>
      </c>
      <c r="J3069" s="3" t="str">
        <f>HYPERLINK("https://www.boe.es/gazeta/dias/1823/05/12/pdfs/GES-1823-32.pdf#page=6","Abrir facsímil")</f>
        <v>Abrir facsímil</v>
      </c>
      <c r="K3069" s="3" t="s">
        <v>23</v>
      </c>
    </row>
    <row r="3070" spans="1:11" ht="42" customHeight="1">
      <c r="A3070" s="2" t="s">
        <v>6435</v>
      </c>
      <c r="B3070" s="2" t="s">
        <v>6435</v>
      </c>
      <c r="C3070" s="2" t="s">
        <v>17</v>
      </c>
      <c r="D3070" s="2" t="s">
        <v>18</v>
      </c>
      <c r="E3070" s="5">
        <v>-27967</v>
      </c>
      <c r="F3070" s="3" t="s">
        <v>2493</v>
      </c>
      <c r="G3070" s="3" t="s">
        <v>48</v>
      </c>
      <c r="H3070" s="2" t="s">
        <v>21</v>
      </c>
      <c r="I3070" s="2" t="s">
        <v>6446</v>
      </c>
      <c r="J3070" s="3" t="str">
        <f>HYPERLINK("https://www.boe.es/gazeta/dias/1823/06/05/pdfs/GMD-1823-63.pdf#page=3","Abrir facsímil")</f>
        <v>Abrir facsímil</v>
      </c>
      <c r="K3070" s="3" t="s">
        <v>23</v>
      </c>
    </row>
    <row r="3071" spans="1:11" ht="42" customHeight="1">
      <c r="A3071" s="2" t="s">
        <v>6435</v>
      </c>
      <c r="B3071" s="2" t="s">
        <v>6435</v>
      </c>
      <c r="C3071" s="2" t="s">
        <v>17</v>
      </c>
      <c r="D3071" s="2" t="s">
        <v>18</v>
      </c>
      <c r="E3071" s="5">
        <v>-27931</v>
      </c>
      <c r="F3071" s="3" t="s">
        <v>1833</v>
      </c>
      <c r="G3071" s="3" t="s">
        <v>39</v>
      </c>
      <c r="H3071" s="2" t="s">
        <v>21</v>
      </c>
      <c r="I3071" s="2" t="s">
        <v>6447</v>
      </c>
      <c r="J3071" s="3" t="str">
        <f>HYPERLINK("https://www.boe.es/gazeta/dias/1823/07/11/pdfs/GES-1823-91.pdf#page=1","Abrir facsímil")</f>
        <v>Abrir facsímil</v>
      </c>
      <c r="K3071" s="3" t="s">
        <v>23</v>
      </c>
    </row>
    <row r="3072" spans="1:11" ht="42" customHeight="1">
      <c r="A3072" s="2" t="s">
        <v>6435</v>
      </c>
      <c r="B3072" s="2" t="s">
        <v>6435</v>
      </c>
      <c r="C3072" s="2" t="s">
        <v>17</v>
      </c>
      <c r="D3072" s="2" t="s">
        <v>18</v>
      </c>
      <c r="E3072" s="5">
        <v>-27920</v>
      </c>
      <c r="F3072" s="3" t="s">
        <v>1334</v>
      </c>
      <c r="G3072" s="3" t="s">
        <v>48</v>
      </c>
      <c r="H3072" s="2" t="s">
        <v>21</v>
      </c>
      <c r="I3072" s="2" t="s">
        <v>6448</v>
      </c>
      <c r="J3072" s="3" t="str">
        <f>HYPERLINK("https://www.boe.es/gazeta/dias/1823/07/22/pdfs/GMD-1823-443.pdf#page=3","Abrir facsímil")</f>
        <v>Abrir facsímil</v>
      </c>
      <c r="K3072" s="3" t="s">
        <v>23</v>
      </c>
    </row>
    <row r="3073" spans="1:11" ht="42" customHeight="1">
      <c r="A3073" s="2" t="s">
        <v>6435</v>
      </c>
      <c r="B3073" s="2" t="s">
        <v>6435</v>
      </c>
      <c r="C3073" s="2" t="s">
        <v>17</v>
      </c>
      <c r="D3073" s="2" t="s">
        <v>18</v>
      </c>
      <c r="E3073" s="5">
        <v>-27918</v>
      </c>
      <c r="F3073" s="3" t="s">
        <v>218</v>
      </c>
      <c r="G3073" s="3" t="s">
        <v>27</v>
      </c>
      <c r="H3073" s="2" t="s">
        <v>21</v>
      </c>
      <c r="I3073" s="2" t="s">
        <v>6449</v>
      </c>
      <c r="J3073" s="3" t="str">
        <f>HYPERLINK("https://www.boe.es/gazeta/dias/1823/07/24/pdfs/GMD-1823-463.pdf#page=2","Abrir facsímil")</f>
        <v>Abrir facsímil</v>
      </c>
      <c r="K3073" s="3" t="s">
        <v>23</v>
      </c>
    </row>
    <row r="3074" spans="1:11" ht="42" customHeight="1">
      <c r="A3074" s="2" t="s">
        <v>6435</v>
      </c>
      <c r="B3074" s="2" t="s">
        <v>6435</v>
      </c>
      <c r="C3074" s="2" t="s">
        <v>17</v>
      </c>
      <c r="D3074" s="2" t="s">
        <v>18</v>
      </c>
      <c r="E3074" s="5">
        <v>-27911</v>
      </c>
      <c r="F3074" s="3" t="s">
        <v>1393</v>
      </c>
      <c r="G3074" s="3" t="s">
        <v>39</v>
      </c>
      <c r="H3074" s="2" t="s">
        <v>21</v>
      </c>
      <c r="I3074" s="2" t="s">
        <v>6450</v>
      </c>
      <c r="J3074" s="3" t="str">
        <f>HYPERLINK("https://www.boe.es/gazeta/dias/1823/07/31/pdfs/GMD-1823-503.pdf#page=1","Abrir facsímil")</f>
        <v>Abrir facsímil</v>
      </c>
      <c r="K3074" s="3" t="s">
        <v>23</v>
      </c>
    </row>
    <row r="3075" spans="1:11" ht="42" customHeight="1">
      <c r="A3075" s="2" t="s">
        <v>6435</v>
      </c>
      <c r="B3075" s="2" t="s">
        <v>6435</v>
      </c>
      <c r="C3075" s="2" t="s">
        <v>17</v>
      </c>
      <c r="D3075" s="2" t="s">
        <v>18</v>
      </c>
      <c r="E3075" s="5">
        <v>-27890</v>
      </c>
      <c r="F3075" s="3" t="s">
        <v>1573</v>
      </c>
      <c r="G3075" s="3" t="s">
        <v>20</v>
      </c>
      <c r="H3075" s="2" t="s">
        <v>21</v>
      </c>
      <c r="I3075" s="2" t="s">
        <v>6451</v>
      </c>
      <c r="J3075" s="3" t="str">
        <f>HYPERLINK("https://www.boe.es/gazeta/dias/1823/08/21/pdfs/GMD-1823-623.pdf#page=4","Abrir facsímil")</f>
        <v>Abrir facsímil</v>
      </c>
      <c r="K3075" s="3" t="s">
        <v>23</v>
      </c>
    </row>
    <row r="3076" spans="1:11" ht="42" customHeight="1">
      <c r="A3076" s="2" t="s">
        <v>6452</v>
      </c>
      <c r="B3076" s="2" t="s">
        <v>6453</v>
      </c>
      <c r="C3076" s="2" t="s">
        <v>109</v>
      </c>
      <c r="D3076" s="2" t="s">
        <v>74</v>
      </c>
      <c r="E3076" s="5">
        <v>-27984</v>
      </c>
      <c r="F3076" s="3" t="s">
        <v>335</v>
      </c>
      <c r="G3076" s="3" t="s">
        <v>27</v>
      </c>
      <c r="H3076" s="2" t="s">
        <v>21</v>
      </c>
      <c r="I3076" s="2" t="s">
        <v>6454</v>
      </c>
      <c r="J3076" s="3" t="str">
        <f>HYPERLINK("https://www.boe.es/gazeta/dias/1823/05/19/pdfs/GES-1823-39.pdf#page=2","Abrir facsímil")</f>
        <v>Abrir facsímil</v>
      </c>
      <c r="K3076" s="3" t="s">
        <v>23</v>
      </c>
    </row>
    <row r="3077" spans="1:11" ht="42" customHeight="1">
      <c r="A3077" s="2" t="s">
        <v>6455</v>
      </c>
      <c r="B3077" s="2" t="s">
        <v>6455</v>
      </c>
      <c r="C3077" s="2" t="s">
        <v>79</v>
      </c>
      <c r="D3077" s="2" t="s">
        <v>74</v>
      </c>
      <c r="E3077" s="5">
        <v>-27937</v>
      </c>
      <c r="F3077" s="3" t="s">
        <v>730</v>
      </c>
      <c r="G3077" s="3" t="s">
        <v>39</v>
      </c>
      <c r="H3077" s="2" t="s">
        <v>21</v>
      </c>
      <c r="I3077" s="2" t="s">
        <v>6456</v>
      </c>
      <c r="J3077" s="3" t="str">
        <f>HYPERLINK("https://www.boe.es/gazeta/dias/1823/07/05/pdfs/GES-1823-85.pdf#page=1","Abrir facsímil")</f>
        <v>Abrir facsímil</v>
      </c>
      <c r="K3077" s="3" t="s">
        <v>23</v>
      </c>
    </row>
    <row r="3078" spans="1:11" ht="42" customHeight="1">
      <c r="A3078" s="2" t="s">
        <v>6457</v>
      </c>
      <c r="B3078" s="2" t="s">
        <v>6458</v>
      </c>
      <c r="C3078" s="2" t="s">
        <v>56</v>
      </c>
      <c r="D3078" s="2" t="s">
        <v>57</v>
      </c>
      <c r="E3078" s="5">
        <v>-27783</v>
      </c>
      <c r="F3078" s="3" t="s">
        <v>941</v>
      </c>
      <c r="G3078" s="3" t="s">
        <v>20</v>
      </c>
      <c r="H3078" s="2" t="s">
        <v>28</v>
      </c>
      <c r="I3078" s="2" t="s">
        <v>6459</v>
      </c>
      <c r="J3078" s="3" t="str">
        <f>HYPERLINK("https://www.boe.es/gazeta/dias/1823/12/06/pdfs/GMD-1823-1213.pdf#page=4","Abrir facsímil")</f>
        <v>Abrir facsímil</v>
      </c>
      <c r="K3078" s="3" t="s">
        <v>30</v>
      </c>
    </row>
    <row r="3079" spans="1:11" ht="42" customHeight="1">
      <c r="A3079" s="2" t="s">
        <v>6460</v>
      </c>
      <c r="B3079" s="2" t="s">
        <v>6461</v>
      </c>
      <c r="C3079" s="2" t="s">
        <v>17</v>
      </c>
      <c r="D3079" s="2" t="s">
        <v>18</v>
      </c>
      <c r="E3079" s="5">
        <v>-28061</v>
      </c>
      <c r="F3079" s="3" t="s">
        <v>704</v>
      </c>
      <c r="G3079" s="3" t="s">
        <v>39</v>
      </c>
      <c r="H3079" s="2" t="s">
        <v>28</v>
      </c>
      <c r="I3079" s="2" t="s">
        <v>6462</v>
      </c>
      <c r="J3079" s="3" t="str">
        <f>HYPERLINK("https://www.boe.es/gazeta/dias/1823/03/03/pdfs/GMD-1823-66.pdf#page=1","Abrir facsímil")</f>
        <v>Abrir facsímil</v>
      </c>
      <c r="K3079" s="3" t="s">
        <v>30</v>
      </c>
    </row>
    <row r="3080" spans="1:11" ht="42" customHeight="1">
      <c r="A3080" s="2" t="s">
        <v>6463</v>
      </c>
      <c r="B3080" s="2" t="s">
        <v>6464</v>
      </c>
      <c r="C3080" s="2" t="s">
        <v>109</v>
      </c>
      <c r="D3080" s="2" t="s">
        <v>74</v>
      </c>
      <c r="E3080" s="5">
        <v>-27980</v>
      </c>
      <c r="F3080" s="3" t="s">
        <v>1068</v>
      </c>
      <c r="G3080" s="3" t="s">
        <v>34</v>
      </c>
      <c r="H3080" s="2" t="s">
        <v>28</v>
      </c>
      <c r="I3080" s="2" t="s">
        <v>6465</v>
      </c>
      <c r="J3080" s="3" t="str">
        <f>HYPERLINK("https://www.boe.es/gazeta/dias/1823/05/23/pdfs/GES-1823-44.pdf#page=5","Abrir facsímil")</f>
        <v>Abrir facsímil</v>
      </c>
      <c r="K3080" s="3" t="s">
        <v>30</v>
      </c>
    </row>
    <row r="3081" spans="1:11" ht="42" customHeight="1">
      <c r="A3081" s="2" t="s">
        <v>6466</v>
      </c>
      <c r="B3081" s="2" t="s">
        <v>6467</v>
      </c>
      <c r="C3081" s="2" t="s">
        <v>17</v>
      </c>
      <c r="D3081" s="2" t="s">
        <v>18</v>
      </c>
      <c r="E3081" s="5">
        <v>-27834</v>
      </c>
      <c r="F3081" s="3" t="s">
        <v>188</v>
      </c>
      <c r="G3081" s="3" t="s">
        <v>27</v>
      </c>
      <c r="H3081" s="2" t="s">
        <v>28</v>
      </c>
      <c r="I3081" s="2" t="s">
        <v>6468</v>
      </c>
      <c r="J3081" s="3" t="str">
        <f>HYPERLINK("https://www.boe.es/gazeta/dias/1823/10/16/pdfs/GMD-1823-983.pdf#page=2","Abrir facsímil")</f>
        <v>Abrir facsímil</v>
      </c>
      <c r="K3081" s="3" t="s">
        <v>30</v>
      </c>
    </row>
    <row r="3082" spans="1:11" ht="42" customHeight="1">
      <c r="A3082" s="2" t="s">
        <v>6469</v>
      </c>
      <c r="B3082" s="2" t="s">
        <v>6470</v>
      </c>
      <c r="C3082" s="2" t="s">
        <v>56</v>
      </c>
      <c r="D3082" s="2" t="s">
        <v>57</v>
      </c>
      <c r="E3082" s="5">
        <v>-28002</v>
      </c>
      <c r="F3082" s="3" t="s">
        <v>315</v>
      </c>
      <c r="G3082" s="3" t="s">
        <v>34</v>
      </c>
      <c r="H3082" s="2" t="s">
        <v>28</v>
      </c>
      <c r="I3082" s="2" t="s">
        <v>6471</v>
      </c>
      <c r="J3082" s="3" t="str">
        <f>HYPERLINK("https://www.boe.es/gazeta/dias/1823/05/01/pdfs/GES-1823-21.pdf#page=5","Abrir facsímil")</f>
        <v>Abrir facsímil</v>
      </c>
      <c r="K3082" s="3" t="s">
        <v>30</v>
      </c>
    </row>
    <row r="3083" spans="1:11" ht="42" customHeight="1">
      <c r="A3083" s="2" t="s">
        <v>6469</v>
      </c>
      <c r="B3083" s="2" t="s">
        <v>6470</v>
      </c>
      <c r="C3083" s="2" t="s">
        <v>56</v>
      </c>
      <c r="D3083" s="2" t="s">
        <v>57</v>
      </c>
      <c r="E3083" s="5">
        <v>-27920</v>
      </c>
      <c r="F3083" s="3" t="s">
        <v>1334</v>
      </c>
      <c r="G3083" s="3" t="s">
        <v>59</v>
      </c>
      <c r="H3083" s="2" t="s">
        <v>28</v>
      </c>
      <c r="I3083" s="2" t="s">
        <v>6472</v>
      </c>
      <c r="J3083" s="3" t="str">
        <f>HYPERLINK("https://www.boe.es/gazeta/dias/1823/07/22/pdfs/GMD-1823-443.pdf#page=6","Abrir facsímil")</f>
        <v>Abrir facsímil</v>
      </c>
      <c r="K3083" s="3" t="s">
        <v>30</v>
      </c>
    </row>
    <row r="3084" spans="1:11" ht="42" customHeight="1">
      <c r="A3084" s="2" t="s">
        <v>6473</v>
      </c>
      <c r="B3084" s="2" t="s">
        <v>6474</v>
      </c>
      <c r="C3084" s="2" t="s">
        <v>17</v>
      </c>
      <c r="D3084" s="2" t="s">
        <v>18</v>
      </c>
      <c r="E3084" s="5">
        <v>-28015</v>
      </c>
      <c r="F3084" s="3" t="s">
        <v>985</v>
      </c>
      <c r="G3084" s="3" t="s">
        <v>20</v>
      </c>
      <c r="H3084" s="2" t="s">
        <v>28</v>
      </c>
      <c r="I3084" s="2" t="s">
        <v>6475</v>
      </c>
      <c r="J3084" s="3" t="str">
        <f>HYPERLINK("https://www.boe.es/gazeta/dias/1823/04/18/pdfs/GES-1823-8.pdf#page=4","Abrir facsímil")</f>
        <v>Abrir facsímil</v>
      </c>
      <c r="K3084" s="3" t="s">
        <v>30</v>
      </c>
    </row>
    <row r="3085" spans="1:11" ht="42" customHeight="1">
      <c r="A3085" s="2" t="s">
        <v>6476</v>
      </c>
      <c r="B3085" s="2" t="s">
        <v>6477</v>
      </c>
      <c r="C3085" s="2" t="s">
        <v>17</v>
      </c>
      <c r="D3085" s="2" t="s">
        <v>18</v>
      </c>
      <c r="E3085" s="5">
        <v>-28043</v>
      </c>
      <c r="F3085" s="3" t="s">
        <v>69</v>
      </c>
      <c r="G3085" s="3" t="s">
        <v>59</v>
      </c>
      <c r="H3085" s="2" t="s">
        <v>28</v>
      </c>
      <c r="I3085" s="2" t="s">
        <v>6478</v>
      </c>
      <c r="J3085" s="3" t="str">
        <f>HYPERLINK("https://www.boe.es/gazeta/dias/1823/03/21/pdfs/GMD-1823-84.pdf#page=6","Abrir facsímil")</f>
        <v>Abrir facsímil</v>
      </c>
      <c r="K3085" s="3" t="s">
        <v>30</v>
      </c>
    </row>
    <row r="3086" spans="1:11" ht="42" customHeight="1">
      <c r="A3086" s="2" t="s">
        <v>6479</v>
      </c>
      <c r="B3086" s="2" t="s">
        <v>6480</v>
      </c>
      <c r="C3086" s="2" t="s">
        <v>56</v>
      </c>
      <c r="D3086" s="2" t="s">
        <v>57</v>
      </c>
      <c r="E3086" s="5">
        <v>-28052</v>
      </c>
      <c r="F3086" s="3" t="s">
        <v>1025</v>
      </c>
      <c r="G3086" s="3" t="s">
        <v>59</v>
      </c>
      <c r="H3086" s="2" t="s">
        <v>28</v>
      </c>
      <c r="I3086" s="2" t="s">
        <v>6481</v>
      </c>
      <c r="J3086" s="3" t="str">
        <f>HYPERLINK("https://www.boe.es/gazeta/dias/1823/03/12/pdfs/GMD-1823-75.pdf#page=6","Abrir facsímil")</f>
        <v>Abrir facsímil</v>
      </c>
      <c r="K3086" s="3" t="s">
        <v>30</v>
      </c>
    </row>
    <row r="3087" spans="1:11" ht="42" customHeight="1">
      <c r="A3087" s="2" t="s">
        <v>6482</v>
      </c>
      <c r="B3087" s="2" t="s">
        <v>6483</v>
      </c>
      <c r="C3087" s="2" t="s">
        <v>79</v>
      </c>
      <c r="D3087" s="2" t="s">
        <v>74</v>
      </c>
      <c r="E3087" s="5">
        <v>-27884</v>
      </c>
      <c r="F3087" s="3" t="s">
        <v>61</v>
      </c>
      <c r="G3087" s="3" t="s">
        <v>48</v>
      </c>
      <c r="H3087" s="2" t="s">
        <v>28</v>
      </c>
      <c r="I3087" s="2" t="s">
        <v>6484</v>
      </c>
      <c r="J3087" s="3" t="str">
        <f>HYPERLINK("https://www.boe.es/gazeta/dias/1823/08/27/pdfs/GES-1823-140.pdf#page=3","Abrir facsímil")</f>
        <v>Abrir facsímil</v>
      </c>
      <c r="K3087" s="3" t="s">
        <v>30</v>
      </c>
    </row>
    <row r="3088" spans="1:11" ht="42" customHeight="1">
      <c r="A3088" s="2" t="s">
        <v>6485</v>
      </c>
      <c r="B3088" s="2" t="s">
        <v>6486</v>
      </c>
      <c r="C3088" s="2" t="s">
        <v>73</v>
      </c>
      <c r="D3088" s="2" t="s">
        <v>74</v>
      </c>
      <c r="E3088" s="5">
        <v>-27933</v>
      </c>
      <c r="F3088" s="3" t="s">
        <v>1079</v>
      </c>
      <c r="G3088" s="3" t="s">
        <v>39</v>
      </c>
      <c r="H3088" s="2" t="s">
        <v>28</v>
      </c>
      <c r="I3088" s="2" t="s">
        <v>6487</v>
      </c>
      <c r="J3088" s="3" t="str">
        <f>HYPERLINK("https://www.boe.es/gazeta/dias/1823/07/09/pdfs/GES-1823-89.pdf#page=1","Abrir facsímil")</f>
        <v>Abrir facsímil</v>
      </c>
      <c r="K3088" s="3" t="s">
        <v>30</v>
      </c>
    </row>
    <row r="3089" spans="1:11" ht="42" customHeight="1">
      <c r="A3089" s="2" t="s">
        <v>6488</v>
      </c>
      <c r="B3089" s="2" t="s">
        <v>6489</v>
      </c>
      <c r="C3089" s="2" t="s">
        <v>17</v>
      </c>
      <c r="D3089" s="2" t="s">
        <v>18</v>
      </c>
      <c r="E3089" s="5">
        <v>-28025</v>
      </c>
      <c r="F3089" s="3" t="s">
        <v>477</v>
      </c>
      <c r="G3089" s="3" t="s">
        <v>20</v>
      </c>
      <c r="H3089" s="2" t="s">
        <v>28</v>
      </c>
      <c r="I3089" s="2" t="s">
        <v>6490</v>
      </c>
      <c r="J3089" s="3" t="str">
        <f>HYPERLINK("https://www.boe.es/gazeta/dias/1823/04/08/pdfs/GMD-1823-103.pdf#page=4","Abrir facsímil")</f>
        <v>Abrir facsímil</v>
      </c>
      <c r="K3089" s="3" t="s">
        <v>30</v>
      </c>
    </row>
    <row r="3090" spans="1:11" ht="42" customHeight="1">
      <c r="A3090" s="2" t="s">
        <v>6491</v>
      </c>
      <c r="B3090" s="2" t="s">
        <v>6492</v>
      </c>
      <c r="C3090" s="2" t="s">
        <v>17</v>
      </c>
      <c r="D3090" s="2" t="s">
        <v>18</v>
      </c>
      <c r="E3090" s="5">
        <v>-28097</v>
      </c>
      <c r="F3090" s="3" t="s">
        <v>1368</v>
      </c>
      <c r="G3090" s="3" t="s">
        <v>20</v>
      </c>
      <c r="H3090" s="2" t="s">
        <v>28</v>
      </c>
      <c r="I3090" s="2" t="s">
        <v>6493</v>
      </c>
      <c r="J3090" s="3" t="str">
        <f>HYPERLINK("https://www.boe.es/gazeta/dias/1823/01/26/pdfs/GMD-1823-27.pdf#page=4","Abrir facsímil")</f>
        <v>Abrir facsímil</v>
      </c>
      <c r="K3090" s="3" t="s">
        <v>30</v>
      </c>
    </row>
    <row r="3091" spans="1:11" ht="42" customHeight="1">
      <c r="A3091" s="2" t="s">
        <v>6494</v>
      </c>
      <c r="B3091" s="2" t="s">
        <v>6494</v>
      </c>
      <c r="C3091" s="2" t="s">
        <v>17</v>
      </c>
      <c r="D3091" s="2" t="s">
        <v>18</v>
      </c>
      <c r="E3091" s="5">
        <v>-27969</v>
      </c>
      <c r="F3091" s="3" t="s">
        <v>204</v>
      </c>
      <c r="G3091" s="3" t="s">
        <v>27</v>
      </c>
      <c r="H3091" s="2" t="s">
        <v>21</v>
      </c>
      <c r="I3091" s="2" t="s">
        <v>6495</v>
      </c>
      <c r="J3091" s="3" t="str">
        <f>HYPERLINK("https://www.boe.es/gazeta/dias/1823/06/03/pdfs/GMD-1823-53.pdf#page=2","Abrir facsímil")</f>
        <v>Abrir facsímil</v>
      </c>
      <c r="K3091" s="3" t="s">
        <v>23</v>
      </c>
    </row>
    <row r="3092" spans="1:11" ht="42" customHeight="1">
      <c r="A3092" s="2" t="s">
        <v>6496</v>
      </c>
      <c r="B3092" s="2" t="s">
        <v>6496</v>
      </c>
      <c r="C3092" s="2" t="s">
        <v>17</v>
      </c>
      <c r="D3092" s="2" t="s">
        <v>18</v>
      </c>
      <c r="E3092" s="5">
        <v>-27960</v>
      </c>
      <c r="F3092" s="3" t="s">
        <v>682</v>
      </c>
      <c r="G3092" s="3" t="s">
        <v>3173</v>
      </c>
      <c r="H3092" s="2" t="s">
        <v>21</v>
      </c>
      <c r="I3092" s="2" t="s">
        <v>6497</v>
      </c>
      <c r="J3092" s="3" t="str">
        <f>HYPERLINK("https://www.boe.es/gazeta/dias/1823/06/12/pdfs/GMD-1823-123.pdf#page=4","Abrir facsímil")</f>
        <v>Abrir facsímil</v>
      </c>
      <c r="K3092" s="3" t="s">
        <v>23</v>
      </c>
    </row>
    <row r="3093" spans="1:11" ht="42" customHeight="1">
      <c r="A3093" s="2" t="s">
        <v>6498</v>
      </c>
      <c r="B3093" s="2" t="s">
        <v>6498</v>
      </c>
      <c r="C3093" s="2" t="s">
        <v>17</v>
      </c>
      <c r="D3093" s="2" t="s">
        <v>18</v>
      </c>
      <c r="E3093" s="5">
        <v>-27927</v>
      </c>
      <c r="F3093" s="3" t="s">
        <v>2409</v>
      </c>
      <c r="G3093" s="3" t="s">
        <v>20</v>
      </c>
      <c r="H3093" s="2" t="s">
        <v>21</v>
      </c>
      <c r="I3093" s="2" t="s">
        <v>6499</v>
      </c>
      <c r="J3093" s="3" t="str">
        <f>HYPERLINK("https://www.boe.es/gazeta/dias/1823/07/15/pdfs/GMD-1823-403.pdf#page=4","Abrir facsímil")</f>
        <v>Abrir facsímil</v>
      </c>
      <c r="K3093" s="3" t="s">
        <v>23</v>
      </c>
    </row>
    <row r="3094" spans="1:11" ht="42" customHeight="1">
      <c r="A3094" s="2" t="s">
        <v>6500</v>
      </c>
      <c r="B3094" s="2" t="s">
        <v>6500</v>
      </c>
      <c r="C3094" s="2" t="s">
        <v>17</v>
      </c>
      <c r="D3094" s="2" t="s">
        <v>18</v>
      </c>
      <c r="E3094" s="5">
        <v>-27904</v>
      </c>
      <c r="F3094" s="3" t="s">
        <v>1748</v>
      </c>
      <c r="G3094" s="3" t="s">
        <v>27</v>
      </c>
      <c r="H3094" s="2" t="s">
        <v>21</v>
      </c>
      <c r="I3094" s="2" t="s">
        <v>6501</v>
      </c>
      <c r="J3094" s="3" t="str">
        <f>HYPERLINK("https://www.boe.es/gazeta/dias/1823/08/07/pdfs/GES-1823-120.pdf#page=2","Abrir facsímil")</f>
        <v>Abrir facsímil</v>
      </c>
      <c r="K3094" s="3" t="s">
        <v>23</v>
      </c>
    </row>
    <row r="3095" spans="1:11" ht="42" customHeight="1">
      <c r="A3095" s="2" t="s">
        <v>6502</v>
      </c>
      <c r="B3095" s="2" t="s">
        <v>6502</v>
      </c>
      <c r="C3095" s="2" t="s">
        <v>17</v>
      </c>
      <c r="D3095" s="2" t="s">
        <v>18</v>
      </c>
      <c r="E3095" s="5">
        <v>-27885</v>
      </c>
      <c r="F3095" s="3" t="s">
        <v>6503</v>
      </c>
      <c r="G3095" s="3" t="s">
        <v>20</v>
      </c>
      <c r="H3095" s="2" t="s">
        <v>21</v>
      </c>
      <c r="I3095" s="2" t="s">
        <v>6504</v>
      </c>
      <c r="J3095" s="3" t="str">
        <f>HYPERLINK("https://www.boe.es/gazeta/dias/1823/08/26/pdfs/GES-1823-139.pdf#page=4","Abrir facsímil")</f>
        <v>Abrir facsímil</v>
      </c>
      <c r="K3095" s="3" t="s">
        <v>23</v>
      </c>
    </row>
    <row r="3096" spans="1:11" ht="42" customHeight="1">
      <c r="A3096" s="2" t="s">
        <v>6505</v>
      </c>
      <c r="B3096" s="2" t="s">
        <v>6506</v>
      </c>
      <c r="C3096" s="2" t="s">
        <v>79</v>
      </c>
      <c r="D3096" s="2" t="s">
        <v>74</v>
      </c>
      <c r="E3096" s="5">
        <v>-27915</v>
      </c>
      <c r="F3096" s="3" t="s">
        <v>524</v>
      </c>
      <c r="G3096" s="3" t="s">
        <v>20</v>
      </c>
      <c r="H3096" s="2" t="s">
        <v>21</v>
      </c>
      <c r="I3096" s="2" t="s">
        <v>6507</v>
      </c>
      <c r="J3096" s="3" t="str">
        <f>HYPERLINK("https://www.boe.es/gazeta/dias/1823/07/27/pdfs/GES-1823-108.pdf#page=4","Abrir facsímil")</f>
        <v>Abrir facsímil</v>
      </c>
      <c r="K3096" s="3" t="s">
        <v>23</v>
      </c>
    </row>
    <row r="3097" spans="1:11" ht="42" customHeight="1">
      <c r="A3097" s="2" t="s">
        <v>6508</v>
      </c>
      <c r="B3097" s="2" t="s">
        <v>6509</v>
      </c>
      <c r="C3097" s="2" t="s">
        <v>17</v>
      </c>
      <c r="D3097" s="2" t="s">
        <v>18</v>
      </c>
      <c r="E3097" s="5">
        <v>-28076</v>
      </c>
      <c r="F3097" s="3" t="s">
        <v>1638</v>
      </c>
      <c r="G3097" s="3" t="s">
        <v>34</v>
      </c>
      <c r="H3097" s="2" t="s">
        <v>28</v>
      </c>
      <c r="I3097" s="2" t="s">
        <v>6510</v>
      </c>
      <c r="J3097" s="3" t="str">
        <f>HYPERLINK("https://www.boe.es/gazeta/dias/1823/02/16/pdfs/GMD-1823-50.pdf#page=5","Abrir facsímil")</f>
        <v>Abrir facsímil</v>
      </c>
      <c r="K3097" s="3" t="s">
        <v>30</v>
      </c>
    </row>
    <row r="3098" spans="1:11" ht="42" customHeight="1">
      <c r="A3098" s="2" t="s">
        <v>6511</v>
      </c>
      <c r="B3098" s="2" t="s">
        <v>6512</v>
      </c>
      <c r="C3098" s="2" t="s">
        <v>17</v>
      </c>
      <c r="D3098" s="2" t="s">
        <v>18</v>
      </c>
      <c r="E3098" s="5">
        <v>-28076</v>
      </c>
      <c r="F3098" s="3" t="s">
        <v>1638</v>
      </c>
      <c r="G3098" s="3" t="s">
        <v>34</v>
      </c>
      <c r="H3098" s="2" t="s">
        <v>28</v>
      </c>
      <c r="I3098" s="2" t="s">
        <v>6513</v>
      </c>
      <c r="J3098" s="3" t="str">
        <f>HYPERLINK("https://www.boe.es/gazeta/dias/1823/02/16/pdfs/GMD-1823-50.pdf#page=5","Abrir facsímil")</f>
        <v>Abrir facsímil</v>
      </c>
      <c r="K3098" s="3" t="s">
        <v>30</v>
      </c>
    </row>
    <row r="3099" spans="1:11" ht="42" customHeight="1">
      <c r="A3099" s="2" t="s">
        <v>6514</v>
      </c>
      <c r="B3099" s="2" t="s">
        <v>6514</v>
      </c>
      <c r="C3099" s="2" t="s">
        <v>17</v>
      </c>
      <c r="D3099" s="2" t="s">
        <v>18</v>
      </c>
      <c r="E3099" s="5">
        <v>-28001</v>
      </c>
      <c r="F3099" s="3" t="s">
        <v>768</v>
      </c>
      <c r="G3099" s="3" t="s">
        <v>39</v>
      </c>
      <c r="H3099" s="2" t="s">
        <v>21</v>
      </c>
      <c r="I3099" s="2" t="s">
        <v>6515</v>
      </c>
      <c r="J3099" s="3" t="str">
        <f>HYPERLINK("https://www.boe.es/gazeta/dias/1823/05/02/pdfs/GES-1823-22.pdf#page=1","Abrir facsímil")</f>
        <v>Abrir facsímil</v>
      </c>
      <c r="K3099" s="3" t="s">
        <v>23</v>
      </c>
    </row>
    <row r="3100" spans="1:11" ht="42" customHeight="1">
      <c r="A3100" s="2" t="s">
        <v>6514</v>
      </c>
      <c r="B3100" s="2" t="s">
        <v>6514</v>
      </c>
      <c r="C3100" s="2" t="s">
        <v>17</v>
      </c>
      <c r="D3100" s="2" t="s">
        <v>18</v>
      </c>
      <c r="E3100" s="5">
        <v>-27997</v>
      </c>
      <c r="F3100" s="3" t="s">
        <v>937</v>
      </c>
      <c r="G3100" s="3" t="s">
        <v>39</v>
      </c>
      <c r="H3100" s="2" t="s">
        <v>21</v>
      </c>
      <c r="I3100" s="2" t="s">
        <v>6516</v>
      </c>
      <c r="J3100" s="3" t="str">
        <f>HYPERLINK("https://www.boe.es/gazeta/dias/1823/05/06/pdfs/GMD-1823-102.pdf#page=1","Abrir facsímil")</f>
        <v>Abrir facsímil</v>
      </c>
      <c r="K3100" s="3" t="s">
        <v>23</v>
      </c>
    </row>
    <row r="3101" spans="1:11" ht="42" customHeight="1">
      <c r="A3101" s="2" t="s">
        <v>6517</v>
      </c>
      <c r="B3101" s="2" t="s">
        <v>6518</v>
      </c>
      <c r="C3101" s="2" t="s">
        <v>17</v>
      </c>
      <c r="D3101" s="2" t="s">
        <v>18</v>
      </c>
      <c r="E3101" s="5">
        <v>-27839</v>
      </c>
      <c r="F3101" s="3" t="s">
        <v>263</v>
      </c>
      <c r="G3101" s="3" t="s">
        <v>48</v>
      </c>
      <c r="H3101" s="2" t="s">
        <v>21</v>
      </c>
      <c r="I3101" s="2" t="s">
        <v>6519</v>
      </c>
      <c r="J3101" s="3" t="str">
        <f>HYPERLINK("https://www.boe.es/gazeta/dias/1823/10/11/pdfs/GMD-1823-963.pdf#page=3","Abrir facsímil")</f>
        <v>Abrir facsímil</v>
      </c>
      <c r="K3101" s="3" t="s">
        <v>23</v>
      </c>
    </row>
    <row r="3102" spans="1:11" ht="42" customHeight="1">
      <c r="A3102" s="2" t="s">
        <v>6520</v>
      </c>
      <c r="B3102" s="2" t="s">
        <v>6521</v>
      </c>
      <c r="C3102" s="2" t="s">
        <v>293</v>
      </c>
      <c r="D3102" s="2" t="s">
        <v>74</v>
      </c>
      <c r="E3102" s="5">
        <v>-27889</v>
      </c>
      <c r="F3102" s="3" t="s">
        <v>1306</v>
      </c>
      <c r="G3102" s="3" t="s">
        <v>20</v>
      </c>
      <c r="H3102" s="2" t="s">
        <v>21</v>
      </c>
      <c r="I3102" s="2" t="s">
        <v>6522</v>
      </c>
      <c r="J3102" s="3" t="str">
        <f>HYPERLINK("https://www.boe.es/gazeta/dias/1823/08/22/pdfs/GES-1823-135.pdf#page=4","Abrir facsímil")</f>
        <v>Abrir facsímil</v>
      </c>
      <c r="K3102" s="3" t="s">
        <v>23</v>
      </c>
    </row>
    <row r="3103" spans="1:11" ht="42" customHeight="1">
      <c r="A3103" s="2" t="s">
        <v>6523</v>
      </c>
      <c r="B3103" s="2" t="s">
        <v>6523</v>
      </c>
      <c r="C3103" s="2" t="s">
        <v>17</v>
      </c>
      <c r="D3103" s="2" t="s">
        <v>117</v>
      </c>
      <c r="E3103" s="5">
        <v>-27873</v>
      </c>
      <c r="F3103" s="3" t="s">
        <v>1668</v>
      </c>
      <c r="G3103" s="3" t="s">
        <v>27</v>
      </c>
      <c r="H3103" s="2" t="s">
        <v>21</v>
      </c>
      <c r="I3103" s="2" t="s">
        <v>6524</v>
      </c>
      <c r="J3103" s="3" t="str">
        <f>HYPERLINK("https://www.boe.es/gazeta/dias/1823/09/07/pdfs/GMD-1823-72E.pdf#page=2","Abrir facsímil")</f>
        <v>Abrir facsímil</v>
      </c>
      <c r="K3103" s="3" t="s">
        <v>23</v>
      </c>
    </row>
    <row r="3104" spans="1:11" ht="42" customHeight="1">
      <c r="A3104" s="2" t="s">
        <v>6525</v>
      </c>
      <c r="B3104" s="2" t="s">
        <v>6526</v>
      </c>
      <c r="C3104" s="2" t="s">
        <v>109</v>
      </c>
      <c r="D3104" s="2" t="s">
        <v>74</v>
      </c>
      <c r="E3104" s="5">
        <v>-28101</v>
      </c>
      <c r="F3104" s="3" t="s">
        <v>1041</v>
      </c>
      <c r="G3104" s="3" t="s">
        <v>20</v>
      </c>
      <c r="H3104" s="2" t="s">
        <v>21</v>
      </c>
      <c r="I3104" s="2" t="s">
        <v>6527</v>
      </c>
      <c r="J3104" s="3" t="str">
        <f>HYPERLINK("https://www.boe.es/gazeta/dias/1823/01/22/pdfs/GMD-1823-23.pdf#page=4","Abrir facsímil")</f>
        <v>Abrir facsímil</v>
      </c>
      <c r="K3104" s="3" t="s">
        <v>23</v>
      </c>
    </row>
    <row r="3105" spans="1:11" ht="42" customHeight="1">
      <c r="A3105" s="2" t="s">
        <v>6528</v>
      </c>
      <c r="B3105" s="2" t="s">
        <v>6529</v>
      </c>
      <c r="C3105" s="2" t="s">
        <v>56</v>
      </c>
      <c r="D3105" s="2" t="s">
        <v>57</v>
      </c>
      <c r="E3105" s="5">
        <v>-28052</v>
      </c>
      <c r="F3105" s="3" t="s">
        <v>1025</v>
      </c>
      <c r="G3105" s="3" t="s">
        <v>27</v>
      </c>
      <c r="H3105" s="2" t="s">
        <v>21</v>
      </c>
      <c r="I3105" s="2" t="s">
        <v>6530</v>
      </c>
      <c r="J3105" s="3" t="str">
        <f>HYPERLINK("https://www.boe.es/gazeta/dias/1823/03/12/pdfs/GMD-1823-75.pdf#page=2","Abrir facsímil")</f>
        <v>Abrir facsímil</v>
      </c>
      <c r="K3105" s="3" t="s">
        <v>23</v>
      </c>
    </row>
    <row r="3106" spans="1:11" ht="42" customHeight="1">
      <c r="A3106" s="2" t="s">
        <v>6531</v>
      </c>
      <c r="B3106" s="2" t="s">
        <v>6532</v>
      </c>
      <c r="C3106" s="2" t="s">
        <v>84</v>
      </c>
      <c r="D3106" s="2" t="s">
        <v>74</v>
      </c>
      <c r="E3106" s="5">
        <v>-27874</v>
      </c>
      <c r="F3106" s="3" t="s">
        <v>122</v>
      </c>
      <c r="G3106" s="3" t="s">
        <v>6533</v>
      </c>
      <c r="H3106" s="2" t="s">
        <v>21</v>
      </c>
      <c r="I3106" s="2" t="s">
        <v>6534</v>
      </c>
      <c r="J3106" s="3" t="str">
        <f>HYPERLINK("https://www.boe.es/gazeta/dias/1823/09/06/pdfs/GMD-1823-713.pdf#page=4","Abrir facsímil")</f>
        <v>Abrir facsímil</v>
      </c>
      <c r="K3106" s="3" t="s">
        <v>23</v>
      </c>
    </row>
    <row r="3107" spans="1:11" ht="42" customHeight="1">
      <c r="A3107" s="2" t="s">
        <v>6531</v>
      </c>
      <c r="B3107" s="2" t="s">
        <v>6532</v>
      </c>
      <c r="C3107" s="2" t="s">
        <v>56</v>
      </c>
      <c r="D3107" s="2" t="s">
        <v>57</v>
      </c>
      <c r="E3107" s="5">
        <v>-27785</v>
      </c>
      <c r="F3107" s="3" t="s">
        <v>1397</v>
      </c>
      <c r="G3107" s="3" t="s">
        <v>39</v>
      </c>
      <c r="H3107" s="2" t="s">
        <v>21</v>
      </c>
      <c r="I3107" s="2" t="s">
        <v>6535</v>
      </c>
      <c r="J3107" s="3" t="str">
        <f>HYPERLINK("https://www.boe.es/gazeta/dias/1823/12/04/pdfs/GMD-1823-1203.pdf#page=1","Abrir facsímil")</f>
        <v>Abrir facsímil</v>
      </c>
      <c r="K3107" s="3" t="s">
        <v>23</v>
      </c>
    </row>
    <row r="3108" spans="1:11" ht="42" customHeight="1">
      <c r="A3108" s="2" t="s">
        <v>6536</v>
      </c>
      <c r="B3108" s="2" t="s">
        <v>6536</v>
      </c>
      <c r="C3108" s="2" t="s">
        <v>17</v>
      </c>
      <c r="D3108" s="2" t="s">
        <v>18</v>
      </c>
      <c r="E3108" s="5">
        <v>-27860</v>
      </c>
      <c r="F3108" s="3" t="s">
        <v>998</v>
      </c>
      <c r="G3108" s="3" t="s">
        <v>59</v>
      </c>
      <c r="H3108" s="2" t="s">
        <v>21</v>
      </c>
      <c r="I3108" s="2" t="s">
        <v>6537</v>
      </c>
      <c r="J3108" s="3" t="str">
        <f>HYPERLINK("https://www.boe.es/gazeta/dias/1823/09/20/pdfs/GMD-1823-813.pdf#page=6","Abrir facsímil")</f>
        <v>Abrir facsímil</v>
      </c>
      <c r="K3108" s="3" t="s">
        <v>23</v>
      </c>
    </row>
    <row r="3109" spans="1:11" ht="42" customHeight="1">
      <c r="A3109" s="2" t="s">
        <v>6538</v>
      </c>
      <c r="B3109" s="2" t="s">
        <v>6538</v>
      </c>
      <c r="C3109" s="2" t="s">
        <v>109</v>
      </c>
      <c r="D3109" s="2" t="s">
        <v>74</v>
      </c>
      <c r="E3109" s="5">
        <v>-28120</v>
      </c>
      <c r="F3109" s="3" t="s">
        <v>2772</v>
      </c>
      <c r="G3109" s="3" t="s">
        <v>3108</v>
      </c>
      <c r="H3109" s="2" t="s">
        <v>21</v>
      </c>
      <c r="I3109" s="2" t="s">
        <v>6539</v>
      </c>
      <c r="J3109" s="3" t="str">
        <f>HYPERLINK("https://www.boe.es/gazeta/dias/1823/01/03/pdfs/GMD-1823-3.pdf#page=3","Abrir facsímil")</f>
        <v>Abrir facsímil</v>
      </c>
      <c r="K3109" s="3" t="s">
        <v>23</v>
      </c>
    </row>
    <row r="3110" spans="1:11" ht="42" customHeight="1">
      <c r="A3110" s="2" t="s">
        <v>6540</v>
      </c>
      <c r="B3110" s="2" t="s">
        <v>6541</v>
      </c>
      <c r="C3110" s="2" t="s">
        <v>17</v>
      </c>
      <c r="D3110" s="2" t="s">
        <v>18</v>
      </c>
      <c r="E3110" s="5">
        <v>-27902</v>
      </c>
      <c r="F3110" s="3" t="s">
        <v>259</v>
      </c>
      <c r="G3110" s="3" t="s">
        <v>48</v>
      </c>
      <c r="H3110" s="2" t="s">
        <v>21</v>
      </c>
      <c r="I3110" s="2" t="s">
        <v>6542</v>
      </c>
      <c r="J3110" s="3" t="str">
        <f>HYPERLINK("https://www.boe.es/gazeta/dias/1823/08/09/pdfs/GMD-1823-563.pdf#page=3","Abrir facsímil")</f>
        <v>Abrir facsímil</v>
      </c>
      <c r="K3110" s="3" t="s">
        <v>23</v>
      </c>
    </row>
    <row r="3111" spans="1:11" ht="42" customHeight="1">
      <c r="A3111" s="2" t="s">
        <v>6543</v>
      </c>
      <c r="B3111" s="2" t="s">
        <v>6544</v>
      </c>
      <c r="C3111" s="2" t="s">
        <v>79</v>
      </c>
      <c r="D3111" s="2" t="s">
        <v>74</v>
      </c>
      <c r="E3111" s="5">
        <v>-28048</v>
      </c>
      <c r="F3111" s="3" t="s">
        <v>399</v>
      </c>
      <c r="G3111" s="3" t="s">
        <v>20</v>
      </c>
      <c r="H3111" s="2" t="s">
        <v>21</v>
      </c>
      <c r="I3111" s="2" t="s">
        <v>6545</v>
      </c>
      <c r="J3111" s="3" t="str">
        <f>HYPERLINK("https://www.boe.es/gazeta/dias/1823/03/16/pdfs/GMD-1823-79.pdf#page=4","Abrir facsímil")</f>
        <v>Abrir facsímil</v>
      </c>
      <c r="K3111" s="3" t="s">
        <v>23</v>
      </c>
    </row>
    <row r="3112" spans="1:11" ht="42" customHeight="1">
      <c r="A3112" s="2" t="s">
        <v>6546</v>
      </c>
      <c r="B3112" s="2" t="s">
        <v>6546</v>
      </c>
      <c r="C3112" s="2" t="s">
        <v>79</v>
      </c>
      <c r="D3112" s="2" t="s">
        <v>74</v>
      </c>
      <c r="E3112" s="5">
        <v>-28007</v>
      </c>
      <c r="F3112" s="3" t="s">
        <v>1190</v>
      </c>
      <c r="G3112" s="3" t="s">
        <v>39</v>
      </c>
      <c r="H3112" s="2" t="s">
        <v>21</v>
      </c>
      <c r="I3112" s="2" t="s">
        <v>6547</v>
      </c>
      <c r="J3112" s="3" t="str">
        <f>HYPERLINK("https://www.boe.es/gazeta/dias/1823/04/26/pdfs/GMD-1823-62.pdf#page=1","Abrir facsímil")</f>
        <v>Abrir facsímil</v>
      </c>
      <c r="K3112" s="3" t="s">
        <v>23</v>
      </c>
    </row>
    <row r="3113" spans="1:11" ht="42" customHeight="1">
      <c r="A3113" s="2" t="s">
        <v>6548</v>
      </c>
      <c r="B3113" s="2" t="s">
        <v>6548</v>
      </c>
      <c r="C3113" s="2" t="s">
        <v>17</v>
      </c>
      <c r="D3113" s="2" t="s">
        <v>18</v>
      </c>
      <c r="E3113" s="5">
        <v>-28092</v>
      </c>
      <c r="F3113" s="3" t="s">
        <v>105</v>
      </c>
      <c r="G3113" s="3" t="s">
        <v>59</v>
      </c>
      <c r="H3113" s="2" t="s">
        <v>21</v>
      </c>
      <c r="I3113" s="2" t="s">
        <v>6549</v>
      </c>
      <c r="J3113" s="3" t="str">
        <f>HYPERLINK("https://www.boe.es/gazeta/dias/1823/01/31/pdfs/GMD-1823-32.pdf#page=6","Abrir facsímil")</f>
        <v>Abrir facsímil</v>
      </c>
      <c r="K3113" s="3" t="s">
        <v>23</v>
      </c>
    </row>
    <row r="3114" spans="1:11" ht="42" customHeight="1">
      <c r="A3114" s="2" t="s">
        <v>6550</v>
      </c>
      <c r="B3114" s="2" t="s">
        <v>6551</v>
      </c>
      <c r="C3114" s="2" t="s">
        <v>17</v>
      </c>
      <c r="D3114" s="2" t="s">
        <v>18</v>
      </c>
      <c r="E3114" s="5">
        <v>-27999</v>
      </c>
      <c r="F3114" s="3" t="s">
        <v>97</v>
      </c>
      <c r="G3114" s="3" t="s">
        <v>1257</v>
      </c>
      <c r="H3114" s="2" t="s">
        <v>21</v>
      </c>
      <c r="I3114" s="2" t="s">
        <v>6552</v>
      </c>
      <c r="J3114" s="3" t="str">
        <f>HYPERLINK("https://www.boe.es/gazeta/dias/1823/05/04/pdfs/GES-1823-24.pdf#page=2","Abrir facsímil")</f>
        <v>Abrir facsímil</v>
      </c>
      <c r="K3114" s="3" t="s">
        <v>23</v>
      </c>
    </row>
    <row r="3115" spans="1:11" ht="42" customHeight="1">
      <c r="A3115" s="2" t="s">
        <v>6553</v>
      </c>
      <c r="B3115" s="2" t="s">
        <v>6553</v>
      </c>
      <c r="C3115" s="2" t="s">
        <v>17</v>
      </c>
      <c r="D3115" s="2" t="s">
        <v>117</v>
      </c>
      <c r="E3115" s="5">
        <v>-27960</v>
      </c>
      <c r="F3115" s="3" t="s">
        <v>6554</v>
      </c>
      <c r="G3115" s="3" t="s">
        <v>39</v>
      </c>
      <c r="H3115" s="2" t="s">
        <v>21</v>
      </c>
      <c r="I3115" s="2" t="s">
        <v>6555</v>
      </c>
      <c r="J3115" s="3" t="str">
        <f>HYPERLINK("https://www.boe.es/gazeta/dias/1823/06/12/pdfs/GMD-1823-133E.pdf#page=1","Abrir facsímil")</f>
        <v>Abrir facsímil</v>
      </c>
      <c r="K3115" s="3" t="s">
        <v>23</v>
      </c>
    </row>
    <row r="3116" spans="1:11" ht="42" customHeight="1">
      <c r="A3116" s="2" t="s">
        <v>6556</v>
      </c>
      <c r="B3116" s="2" t="s">
        <v>6557</v>
      </c>
      <c r="C3116" s="2" t="s">
        <v>17</v>
      </c>
      <c r="D3116" s="2" t="s">
        <v>18</v>
      </c>
      <c r="E3116" s="5">
        <v>-28015</v>
      </c>
      <c r="F3116" s="3" t="s">
        <v>985</v>
      </c>
      <c r="G3116" s="3" t="s">
        <v>20</v>
      </c>
      <c r="H3116" s="2" t="s">
        <v>21</v>
      </c>
      <c r="I3116" s="2" t="s">
        <v>6558</v>
      </c>
      <c r="J3116" s="3" t="str">
        <f>HYPERLINK("https://www.boe.es/gazeta/dias/1823/04/18/pdfs/GES-1823-8.pdf#page=4","Abrir facsímil")</f>
        <v>Abrir facsímil</v>
      </c>
      <c r="K3116" s="3" t="s">
        <v>23</v>
      </c>
    </row>
    <row r="3117" spans="1:11" ht="42" customHeight="1">
      <c r="A3117" s="2" t="s">
        <v>6559</v>
      </c>
      <c r="B3117" s="2" t="s">
        <v>6560</v>
      </c>
      <c r="C3117" s="2" t="s">
        <v>17</v>
      </c>
      <c r="D3117" s="2" t="s">
        <v>18</v>
      </c>
      <c r="E3117" s="5">
        <v>-28016</v>
      </c>
      <c r="F3117" s="3" t="s">
        <v>2259</v>
      </c>
      <c r="G3117" s="3" t="s">
        <v>20</v>
      </c>
      <c r="H3117" s="2" t="s">
        <v>21</v>
      </c>
      <c r="I3117" s="2" t="s">
        <v>6561</v>
      </c>
      <c r="J3117" s="3" t="str">
        <f>HYPERLINK("https://www.boe.es/gazeta/dias/1823/04/17/pdfs/GES-1823-7.pdf#page=4","Abrir facsímil")</f>
        <v>Abrir facsímil</v>
      </c>
      <c r="K3117" s="3" t="s">
        <v>23</v>
      </c>
    </row>
    <row r="3118" spans="1:11" ht="42" customHeight="1">
      <c r="A3118" s="2" t="s">
        <v>6562</v>
      </c>
      <c r="B3118" s="2" t="s">
        <v>6562</v>
      </c>
      <c r="C3118" s="2" t="s">
        <v>17</v>
      </c>
      <c r="D3118" s="2" t="s">
        <v>18</v>
      </c>
      <c r="E3118" s="5">
        <v>-27961</v>
      </c>
      <c r="F3118" s="3" t="s">
        <v>52</v>
      </c>
      <c r="G3118" s="3" t="s">
        <v>48</v>
      </c>
      <c r="H3118" s="2" t="s">
        <v>21</v>
      </c>
      <c r="I3118" s="2" t="s">
        <v>6563</v>
      </c>
      <c r="J3118" s="3" t="str">
        <f>HYPERLINK("https://www.boe.es/gazeta/dias/1823/06/11/pdfs/GES-1823-65.pdf#page=3","Abrir facsímil")</f>
        <v>Abrir facsímil</v>
      </c>
      <c r="K3118" s="3" t="s">
        <v>23</v>
      </c>
    </row>
    <row r="3119" spans="1:11" ht="42" customHeight="1">
      <c r="A3119" s="2" t="s">
        <v>6562</v>
      </c>
      <c r="B3119" s="2" t="s">
        <v>6562</v>
      </c>
      <c r="C3119" s="2" t="s">
        <v>17</v>
      </c>
      <c r="D3119" s="2" t="s">
        <v>18</v>
      </c>
      <c r="E3119" s="5">
        <v>-27931</v>
      </c>
      <c r="F3119" s="3" t="s">
        <v>1833</v>
      </c>
      <c r="G3119" s="3" t="s">
        <v>48</v>
      </c>
      <c r="H3119" s="2" t="s">
        <v>21</v>
      </c>
      <c r="I3119" s="2" t="s">
        <v>6564</v>
      </c>
      <c r="J3119" s="3" t="str">
        <f>HYPERLINK("https://www.boe.es/gazeta/dias/1823/07/11/pdfs/GES-1823-91.pdf#page=3","Abrir facsímil")</f>
        <v>Abrir facsímil</v>
      </c>
      <c r="K3119" s="3" t="s">
        <v>23</v>
      </c>
    </row>
    <row r="3120" spans="1:11" ht="42" customHeight="1">
      <c r="A3120" s="2" t="s">
        <v>6565</v>
      </c>
      <c r="B3120" s="2" t="s">
        <v>6566</v>
      </c>
      <c r="C3120" s="2" t="s">
        <v>293</v>
      </c>
      <c r="D3120" s="2" t="s">
        <v>74</v>
      </c>
      <c r="E3120" s="5">
        <v>-28118</v>
      </c>
      <c r="F3120" s="3" t="s">
        <v>252</v>
      </c>
      <c r="G3120" s="3" t="s">
        <v>59</v>
      </c>
      <c r="H3120" s="2" t="s">
        <v>21</v>
      </c>
      <c r="I3120" s="2" t="s">
        <v>6567</v>
      </c>
      <c r="J3120" s="3" t="str">
        <f>HYPERLINK("https://www.boe.es/gazeta/dias/1823/01/05/pdfs/GMD-1823-5.pdf#page=6","Abrir facsímil")</f>
        <v>Abrir facsímil</v>
      </c>
      <c r="K3120" s="3" t="s">
        <v>23</v>
      </c>
    </row>
    <row r="3121" spans="1:11" ht="42" customHeight="1">
      <c r="A3121" s="2" t="s">
        <v>6565</v>
      </c>
      <c r="B3121" s="2" t="s">
        <v>6566</v>
      </c>
      <c r="C3121" s="2" t="s">
        <v>109</v>
      </c>
      <c r="D3121" s="2" t="s">
        <v>74</v>
      </c>
      <c r="E3121" s="5">
        <v>-28104</v>
      </c>
      <c r="F3121" s="3" t="s">
        <v>114</v>
      </c>
      <c r="G3121" s="3" t="s">
        <v>48</v>
      </c>
      <c r="H3121" s="2" t="s">
        <v>21</v>
      </c>
      <c r="I3121" s="2" t="s">
        <v>6568</v>
      </c>
      <c r="J3121" s="3" t="str">
        <f>HYPERLINK("https://www.boe.es/gazeta/dias/1823/01/19/pdfs/GMD-1823-19.pdf#page=3","Abrir facsímil")</f>
        <v>Abrir facsímil</v>
      </c>
      <c r="K3121" s="3" t="s">
        <v>23</v>
      </c>
    </row>
    <row r="3122" spans="1:11" ht="42" customHeight="1">
      <c r="A3122" s="2" t="s">
        <v>6569</v>
      </c>
      <c r="B3122" s="2" t="s">
        <v>6570</v>
      </c>
      <c r="C3122" s="2" t="s">
        <v>56</v>
      </c>
      <c r="D3122" s="2" t="s">
        <v>57</v>
      </c>
      <c r="E3122" s="5">
        <v>-27964</v>
      </c>
      <c r="F3122" s="3" t="s">
        <v>58</v>
      </c>
      <c r="G3122" s="3" t="s">
        <v>59</v>
      </c>
      <c r="H3122" s="2" t="s">
        <v>21</v>
      </c>
      <c r="I3122" s="2" t="s">
        <v>6571</v>
      </c>
      <c r="J3122" s="3" t="str">
        <f>HYPERLINK("https://www.boe.es/gazeta/dias/1823/06/08/pdfs/GES-1823-62.pdf#page=6","Abrir facsímil")</f>
        <v>Abrir facsímil</v>
      </c>
      <c r="K3122" s="3" t="s">
        <v>23</v>
      </c>
    </row>
    <row r="3123" spans="1:11" ht="42" customHeight="1">
      <c r="A3123" s="2" t="s">
        <v>6572</v>
      </c>
      <c r="B3123" s="2" t="s">
        <v>6572</v>
      </c>
      <c r="C3123" s="2" t="s">
        <v>56</v>
      </c>
      <c r="D3123" s="2" t="s">
        <v>57</v>
      </c>
      <c r="E3123" s="5">
        <v>-28058</v>
      </c>
      <c r="F3123" s="3" t="s">
        <v>1282</v>
      </c>
      <c r="G3123" s="3" t="s">
        <v>39</v>
      </c>
      <c r="H3123" s="2" t="s">
        <v>21</v>
      </c>
      <c r="I3123" s="2" t="s">
        <v>6573</v>
      </c>
      <c r="J3123" s="3" t="str">
        <f>HYPERLINK("https://www.boe.es/gazeta/dias/1823/03/06/pdfs/GMD-1823-69.pdf#page=1","Abrir facsímil")</f>
        <v>Abrir facsímil</v>
      </c>
      <c r="K3123" s="3" t="s">
        <v>23</v>
      </c>
    </row>
    <row r="3124" spans="1:11" ht="42" customHeight="1">
      <c r="A3124" s="2" t="s">
        <v>6574</v>
      </c>
      <c r="B3124" s="2" t="s">
        <v>6575</v>
      </c>
      <c r="C3124" s="2" t="s">
        <v>84</v>
      </c>
      <c r="D3124" s="2" t="s">
        <v>74</v>
      </c>
      <c r="E3124" s="5">
        <v>-27860</v>
      </c>
      <c r="F3124" s="3" t="s">
        <v>744</v>
      </c>
      <c r="G3124" s="3" t="s">
        <v>20</v>
      </c>
      <c r="H3124" s="2" t="s">
        <v>21</v>
      </c>
      <c r="I3124" s="2" t="s">
        <v>6576</v>
      </c>
      <c r="J3124" s="3" t="str">
        <f>HYPERLINK("https://www.boe.es/gazeta/dias/1823/09/20/pdfs/GES-1823-164.pdf#page=4","Abrir facsímil")</f>
        <v>Abrir facsímil</v>
      </c>
      <c r="K3124" s="3" t="s">
        <v>23</v>
      </c>
    </row>
    <row r="3125" spans="1:11" ht="42" customHeight="1">
      <c r="A3125" s="2" t="s">
        <v>6577</v>
      </c>
      <c r="B3125" s="2" t="s">
        <v>6577</v>
      </c>
      <c r="C3125" s="2" t="s">
        <v>17</v>
      </c>
      <c r="D3125" s="2" t="s">
        <v>18</v>
      </c>
      <c r="E3125" s="5">
        <v>-27854</v>
      </c>
      <c r="F3125" s="3" t="s">
        <v>933</v>
      </c>
      <c r="G3125" s="3" t="s">
        <v>48</v>
      </c>
      <c r="H3125" s="2" t="s">
        <v>21</v>
      </c>
      <c r="I3125" s="2" t="s">
        <v>6578</v>
      </c>
      <c r="J3125" s="3" t="str">
        <f>HYPERLINK("https://www.boe.es/gazeta/dias/1823/09/26/pdfs/GES-1823-170.pdf#page=3","Abrir facsímil")</f>
        <v>Abrir facsímil</v>
      </c>
      <c r="K3125" s="3" t="s">
        <v>23</v>
      </c>
    </row>
    <row r="3126" spans="1:11" ht="42" customHeight="1">
      <c r="A3126" s="2" t="s">
        <v>6579</v>
      </c>
      <c r="B3126" s="2" t="s">
        <v>6579</v>
      </c>
      <c r="C3126" s="2" t="s">
        <v>17</v>
      </c>
      <c r="D3126" s="2" t="s">
        <v>18</v>
      </c>
      <c r="E3126" s="5">
        <v>-28043</v>
      </c>
      <c r="F3126" s="3" t="s">
        <v>69</v>
      </c>
      <c r="G3126" s="3" t="s">
        <v>27</v>
      </c>
      <c r="H3126" s="2" t="s">
        <v>21</v>
      </c>
      <c r="I3126" s="2" t="s">
        <v>6580</v>
      </c>
      <c r="J3126" s="3" t="str">
        <f>HYPERLINK("https://www.boe.es/gazeta/dias/1823/03/21/pdfs/GMD-1823-84.pdf#page=2","Abrir facsímil")</f>
        <v>Abrir facsímil</v>
      </c>
      <c r="K3126" s="3" t="s">
        <v>23</v>
      </c>
    </row>
    <row r="3127" spans="1:11" ht="42" customHeight="1">
      <c r="A3127" s="2" t="s">
        <v>6581</v>
      </c>
      <c r="B3127" s="2" t="s">
        <v>6581</v>
      </c>
      <c r="C3127" s="2" t="s">
        <v>56</v>
      </c>
      <c r="D3127" s="2" t="s">
        <v>57</v>
      </c>
      <c r="E3127" s="5">
        <v>-27834</v>
      </c>
      <c r="F3127" s="3" t="s">
        <v>188</v>
      </c>
      <c r="G3127" s="3" t="s">
        <v>39</v>
      </c>
      <c r="H3127" s="2" t="s">
        <v>21</v>
      </c>
      <c r="I3127" s="2" t="s">
        <v>6582</v>
      </c>
      <c r="J3127" s="3" t="str">
        <f>HYPERLINK("https://www.boe.es/gazeta/dias/1823/10/16/pdfs/GMD-1823-983.pdf#page=1","Abrir facsímil")</f>
        <v>Abrir facsímil</v>
      </c>
      <c r="K3127" s="3" t="s">
        <v>23</v>
      </c>
    </row>
    <row r="3128" spans="1:11" ht="42" customHeight="1">
      <c r="A3128" s="2" t="s">
        <v>6581</v>
      </c>
      <c r="B3128" s="2" t="s">
        <v>6581</v>
      </c>
      <c r="C3128" s="2" t="s">
        <v>56</v>
      </c>
      <c r="D3128" s="2" t="s">
        <v>57</v>
      </c>
      <c r="E3128" s="5">
        <v>-27832</v>
      </c>
      <c r="F3128" s="3" t="s">
        <v>1815</v>
      </c>
      <c r="G3128" s="3" t="s">
        <v>39</v>
      </c>
      <c r="H3128" s="2" t="s">
        <v>21</v>
      </c>
      <c r="I3128" s="2" t="s">
        <v>6583</v>
      </c>
      <c r="J3128" s="3" t="str">
        <f>HYPERLINK("https://www.boe.es/gazeta/dias/1823/10/18/pdfs/GMD-1823-993.pdf#page=1","Abrir facsímil")</f>
        <v>Abrir facsímil</v>
      </c>
      <c r="K3128" s="3" t="s">
        <v>23</v>
      </c>
    </row>
    <row r="3129" spans="1:11" ht="42" customHeight="1">
      <c r="A3129" s="2" t="s">
        <v>6584</v>
      </c>
      <c r="B3129" s="2" t="s">
        <v>6585</v>
      </c>
      <c r="C3129" s="2" t="s">
        <v>325</v>
      </c>
      <c r="D3129" s="2" t="s">
        <v>74</v>
      </c>
      <c r="E3129" s="5">
        <v>-27853</v>
      </c>
      <c r="F3129" s="3" t="s">
        <v>539</v>
      </c>
      <c r="G3129" s="3" t="s">
        <v>48</v>
      </c>
      <c r="H3129" s="2" t="s">
        <v>21</v>
      </c>
      <c r="I3129" s="2" t="s">
        <v>6586</v>
      </c>
      <c r="J3129" s="3" t="str">
        <f>HYPERLINK("https://www.boe.es/gazeta/dias/1823/09/27/pdfs/GMD-1823-863.pdf#page=3","Abrir facsímil")</f>
        <v>Abrir facsímil</v>
      </c>
      <c r="K3129" s="3" t="s">
        <v>23</v>
      </c>
    </row>
    <row r="3130" spans="1:11" ht="42" customHeight="1">
      <c r="A3130" s="2" t="s">
        <v>6587</v>
      </c>
      <c r="B3130" s="2" t="s">
        <v>6587</v>
      </c>
      <c r="C3130" s="2" t="s">
        <v>56</v>
      </c>
      <c r="D3130" s="2" t="s">
        <v>57</v>
      </c>
      <c r="E3130" s="5">
        <v>-28032</v>
      </c>
      <c r="F3130" s="3" t="s">
        <v>668</v>
      </c>
      <c r="G3130" s="3" t="s">
        <v>20</v>
      </c>
      <c r="H3130" s="2" t="s">
        <v>21</v>
      </c>
      <c r="I3130" s="2" t="s">
        <v>6588</v>
      </c>
      <c r="J3130" s="3" t="str">
        <f>HYPERLINK("https://www.boe.es/gazeta/dias/1823/04/01/pdfs/GMD-1823-95.pdf#page=4","Abrir facsímil")</f>
        <v>Abrir facsímil</v>
      </c>
      <c r="K3130" s="3" t="s">
        <v>23</v>
      </c>
    </row>
    <row r="3131" spans="1:11" ht="42" customHeight="1">
      <c r="A3131" s="2" t="s">
        <v>6589</v>
      </c>
      <c r="B3131" s="2" t="s">
        <v>6589</v>
      </c>
      <c r="C3131" s="2" t="s">
        <v>79</v>
      </c>
      <c r="D3131" s="2" t="s">
        <v>74</v>
      </c>
      <c r="E3131" s="5">
        <v>-27948</v>
      </c>
      <c r="F3131" s="3" t="s">
        <v>959</v>
      </c>
      <c r="G3131" s="3" t="s">
        <v>20</v>
      </c>
      <c r="H3131" s="2" t="s">
        <v>21</v>
      </c>
      <c r="I3131" s="2" t="s">
        <v>6590</v>
      </c>
      <c r="J3131" s="3" t="str">
        <f>HYPERLINK("https://www.boe.es/gazeta/dias/1823/06/24/pdfs/GES-1823-72.pdf#page=4","Abrir facsímil")</f>
        <v>Abrir facsímil</v>
      </c>
      <c r="K3131" s="3" t="s">
        <v>23</v>
      </c>
    </row>
    <row r="3132" spans="1:11" ht="42" customHeight="1">
      <c r="A3132" s="2" t="s">
        <v>6591</v>
      </c>
      <c r="B3132" s="2" t="s">
        <v>6592</v>
      </c>
      <c r="C3132" s="2" t="s">
        <v>73</v>
      </c>
      <c r="D3132" s="2" t="s">
        <v>74</v>
      </c>
      <c r="E3132" s="5">
        <v>-27879</v>
      </c>
      <c r="F3132" s="3" t="s">
        <v>638</v>
      </c>
      <c r="G3132" s="3" t="s">
        <v>20</v>
      </c>
      <c r="H3132" s="2" t="s">
        <v>21</v>
      </c>
      <c r="I3132" s="2" t="s">
        <v>6593</v>
      </c>
      <c r="J3132" s="3" t="str">
        <f>HYPERLINK("https://www.boe.es/gazeta/dias/1823/09/01/pdfs/GES-1823-145.pdf#page=4","Abrir facsímil")</f>
        <v>Abrir facsímil</v>
      </c>
      <c r="K3132" s="3" t="s">
        <v>23</v>
      </c>
    </row>
    <row r="3133" spans="1:11" ht="42" customHeight="1">
      <c r="A3133" s="2" t="s">
        <v>6594</v>
      </c>
      <c r="B3133" s="2" t="s">
        <v>6595</v>
      </c>
      <c r="C3133" s="2" t="s">
        <v>17</v>
      </c>
      <c r="D3133" s="2" t="s">
        <v>18</v>
      </c>
      <c r="E3133" s="5">
        <v>-27878</v>
      </c>
      <c r="F3133" s="3" t="s">
        <v>130</v>
      </c>
      <c r="G3133" s="3" t="s">
        <v>6596</v>
      </c>
      <c r="H3133" s="2" t="s">
        <v>21</v>
      </c>
      <c r="I3133" s="2" t="s">
        <v>6597</v>
      </c>
      <c r="J3133" s="3" t="str">
        <f>HYPERLINK("https://www.boe.es/gazeta/dias/1823/09/02/pdfs/GES-1823-146.pdf#page=4","Abrir facsímil")</f>
        <v>Abrir facsímil</v>
      </c>
      <c r="K3133" s="3" t="s">
        <v>23</v>
      </c>
    </row>
    <row r="3134" spans="1:11" ht="42" customHeight="1">
      <c r="A3134" s="2" t="s">
        <v>6598</v>
      </c>
      <c r="B3134" s="2" t="s">
        <v>6599</v>
      </c>
      <c r="C3134" s="2" t="s">
        <v>17</v>
      </c>
      <c r="D3134" s="2" t="s">
        <v>18</v>
      </c>
      <c r="E3134" s="5">
        <v>-27879</v>
      </c>
      <c r="F3134" s="3" t="s">
        <v>638</v>
      </c>
      <c r="G3134" s="3" t="s">
        <v>20</v>
      </c>
      <c r="H3134" s="2" t="s">
        <v>21</v>
      </c>
      <c r="I3134" s="2" t="s">
        <v>6600</v>
      </c>
      <c r="J3134" s="3" t="str">
        <f>HYPERLINK("https://www.boe.es/gazeta/dias/1823/09/01/pdfs/GES-1823-145.pdf#page=4","Abrir facsímil")</f>
        <v>Abrir facsímil</v>
      </c>
      <c r="K3134" s="3" t="s">
        <v>23</v>
      </c>
    </row>
    <row r="3135" spans="1:11" ht="42" customHeight="1">
      <c r="A3135" s="2" t="s">
        <v>6601</v>
      </c>
      <c r="B3135" s="2" t="s">
        <v>6602</v>
      </c>
      <c r="C3135" s="2" t="s">
        <v>17</v>
      </c>
      <c r="D3135" s="2" t="s">
        <v>18</v>
      </c>
      <c r="E3135" s="5">
        <v>-27970</v>
      </c>
      <c r="F3135" s="3" t="s">
        <v>1030</v>
      </c>
      <c r="G3135" s="3" t="s">
        <v>59</v>
      </c>
      <c r="H3135" s="2" t="s">
        <v>21</v>
      </c>
      <c r="I3135" s="2" t="s">
        <v>6603</v>
      </c>
      <c r="J3135" s="3" t="str">
        <f>HYPERLINK("https://www.boe.es/gazeta/dias/1823/06/02/pdfs/GES-1823-56.pdf#page=6","Abrir facsímil")</f>
        <v>Abrir facsímil</v>
      </c>
      <c r="K3135" s="3" t="s">
        <v>23</v>
      </c>
    </row>
    <row r="3136" spans="1:11" ht="42" customHeight="1">
      <c r="A3136" s="2" t="s">
        <v>6604</v>
      </c>
      <c r="B3136" s="2" t="s">
        <v>6604</v>
      </c>
      <c r="C3136" s="2" t="s">
        <v>17</v>
      </c>
      <c r="D3136" s="2" t="s">
        <v>18</v>
      </c>
      <c r="E3136" s="5">
        <v>-27944</v>
      </c>
      <c r="F3136" s="3" t="s">
        <v>658</v>
      </c>
      <c r="G3136" s="3" t="s">
        <v>39</v>
      </c>
      <c r="H3136" s="2" t="s">
        <v>21</v>
      </c>
      <c r="I3136" s="2" t="s">
        <v>6605</v>
      </c>
      <c r="J3136" s="3" t="str">
        <f>HYPERLINK("https://www.boe.es/gazeta/dias/1823/06/28/pdfs/GMD-1823-303.pdf#page=1","Abrir facsímil")</f>
        <v>Abrir facsímil</v>
      </c>
      <c r="K3136" s="3" t="s">
        <v>23</v>
      </c>
    </row>
    <row r="3137" spans="1:11" ht="42" customHeight="1">
      <c r="A3137" s="2" t="s">
        <v>6606</v>
      </c>
      <c r="B3137" s="2" t="s">
        <v>6606</v>
      </c>
      <c r="C3137" s="2" t="s">
        <v>17</v>
      </c>
      <c r="D3137" s="2" t="s">
        <v>18</v>
      </c>
      <c r="E3137" s="5">
        <v>-27996</v>
      </c>
      <c r="F3137" s="3" t="s">
        <v>695</v>
      </c>
      <c r="G3137" s="3" t="s">
        <v>20</v>
      </c>
      <c r="H3137" s="2" t="s">
        <v>21</v>
      </c>
      <c r="I3137" s="2" t="s">
        <v>6607</v>
      </c>
      <c r="J3137" s="3" t="str">
        <f>HYPERLINK("https://www.boe.es/gazeta/dias/1823/05/07/pdfs/GES-1823-27.pdf#page=4","Abrir facsímil")</f>
        <v>Abrir facsímil</v>
      </c>
      <c r="K3137" s="3" t="s">
        <v>23</v>
      </c>
    </row>
    <row r="3138" spans="1:11" ht="42" customHeight="1">
      <c r="A3138" s="2" t="s">
        <v>6608</v>
      </c>
      <c r="B3138" s="2" t="s">
        <v>6608</v>
      </c>
      <c r="C3138" s="2" t="s">
        <v>17</v>
      </c>
      <c r="D3138" s="2" t="s">
        <v>18</v>
      </c>
      <c r="E3138" s="5">
        <v>-27944</v>
      </c>
      <c r="F3138" s="3" t="s">
        <v>658</v>
      </c>
      <c r="G3138" s="3" t="s">
        <v>39</v>
      </c>
      <c r="H3138" s="2" t="s">
        <v>21</v>
      </c>
      <c r="I3138" s="2" t="s">
        <v>6609</v>
      </c>
      <c r="J3138" s="3" t="str">
        <f>HYPERLINK("https://www.boe.es/gazeta/dias/1823/06/28/pdfs/GMD-1823-303.pdf#page=1","Abrir facsímil")</f>
        <v>Abrir facsímil</v>
      </c>
      <c r="K3138" s="3" t="s">
        <v>23</v>
      </c>
    </row>
    <row r="3139" spans="1:11" ht="42" customHeight="1">
      <c r="A3139" s="2" t="s">
        <v>6610</v>
      </c>
      <c r="B3139" s="2" t="s">
        <v>6611</v>
      </c>
      <c r="C3139" s="2" t="s">
        <v>17</v>
      </c>
      <c r="D3139" s="2" t="s">
        <v>117</v>
      </c>
      <c r="E3139" s="5">
        <v>-27932</v>
      </c>
      <c r="F3139" s="3" t="s">
        <v>1947</v>
      </c>
      <c r="G3139" s="3" t="s">
        <v>39</v>
      </c>
      <c r="H3139" s="2" t="s">
        <v>21</v>
      </c>
      <c r="I3139" s="2" t="s">
        <v>6612</v>
      </c>
      <c r="J3139" s="3" t="str">
        <f>HYPERLINK("https://www.boe.es/gazeta/dias/1823/07/10/pdfs/GMD-1823-373E.pdf#page=1","Abrir facsímil")</f>
        <v>Abrir facsímil</v>
      </c>
      <c r="K3139" s="3" t="s">
        <v>23</v>
      </c>
    </row>
    <row r="3140" spans="1:11" ht="42" customHeight="1">
      <c r="A3140" s="2" t="s">
        <v>6613</v>
      </c>
      <c r="B3140" s="2" t="s">
        <v>6614</v>
      </c>
      <c r="C3140" s="2" t="s">
        <v>79</v>
      </c>
      <c r="D3140" s="2" t="s">
        <v>74</v>
      </c>
      <c r="E3140" s="5">
        <v>-28106</v>
      </c>
      <c r="F3140" s="3" t="s">
        <v>280</v>
      </c>
      <c r="G3140" s="3" t="s">
        <v>20</v>
      </c>
      <c r="H3140" s="2" t="s">
        <v>21</v>
      </c>
      <c r="I3140" s="2" t="s">
        <v>6615</v>
      </c>
      <c r="J3140" s="3" t="str">
        <f>HYPERLINK("https://www.boe.es/gazeta/dias/1823/01/17/pdfs/GMD-1823-17.pdf#page=4","Abrir facsímil")</f>
        <v>Abrir facsímil</v>
      </c>
      <c r="K3140" s="3" t="s">
        <v>23</v>
      </c>
    </row>
    <row r="3141" spans="1:11" ht="42" customHeight="1">
      <c r="A3141" s="2" t="s">
        <v>6613</v>
      </c>
      <c r="B3141" s="2" t="s">
        <v>6614</v>
      </c>
      <c r="C3141" s="2" t="s">
        <v>17</v>
      </c>
      <c r="D3141" s="2" t="s">
        <v>18</v>
      </c>
      <c r="E3141" s="5">
        <v>-28078</v>
      </c>
      <c r="F3141" s="3" t="s">
        <v>508</v>
      </c>
      <c r="G3141" s="3" t="s">
        <v>59</v>
      </c>
      <c r="H3141" s="2" t="s">
        <v>21</v>
      </c>
      <c r="I3141" s="2" t="s">
        <v>6616</v>
      </c>
      <c r="J3141" s="3" t="str">
        <f>HYPERLINK("https://www.boe.es/gazeta/dias/1823/02/14/pdfs/GMD-1823-48.pdf#page=6","Abrir facsímil")</f>
        <v>Abrir facsímil</v>
      </c>
      <c r="K3141" s="3" t="s">
        <v>23</v>
      </c>
    </row>
    <row r="3142" spans="1:11" ht="42" customHeight="1">
      <c r="A3142" s="2" t="s">
        <v>6613</v>
      </c>
      <c r="B3142" s="2" t="s">
        <v>6614</v>
      </c>
      <c r="C3142" s="2" t="s">
        <v>79</v>
      </c>
      <c r="D3142" s="2" t="s">
        <v>74</v>
      </c>
      <c r="E3142" s="5">
        <v>-28058</v>
      </c>
      <c r="F3142" s="3" t="s">
        <v>1282</v>
      </c>
      <c r="G3142" s="3" t="s">
        <v>59</v>
      </c>
      <c r="H3142" s="2" t="s">
        <v>21</v>
      </c>
      <c r="I3142" s="2" t="s">
        <v>6617</v>
      </c>
      <c r="J3142" s="3" t="str">
        <f>HYPERLINK("https://www.boe.es/gazeta/dias/1823/03/06/pdfs/GMD-1823-69.pdf#page=6","Abrir facsímil")</f>
        <v>Abrir facsímil</v>
      </c>
      <c r="K3142" s="3" t="s">
        <v>23</v>
      </c>
    </row>
    <row r="3143" spans="1:11" ht="42" customHeight="1">
      <c r="A3143" s="2" t="s">
        <v>6618</v>
      </c>
      <c r="B3143" s="2" t="s">
        <v>6619</v>
      </c>
      <c r="C3143" s="2" t="s">
        <v>17</v>
      </c>
      <c r="D3143" s="2" t="s">
        <v>18</v>
      </c>
      <c r="E3143" s="5">
        <v>-28066</v>
      </c>
      <c r="F3143" s="3" t="s">
        <v>19</v>
      </c>
      <c r="G3143" s="3" t="s">
        <v>20</v>
      </c>
      <c r="H3143" s="2" t="s">
        <v>21</v>
      </c>
      <c r="I3143" s="2" t="s">
        <v>6620</v>
      </c>
      <c r="J3143" s="3" t="str">
        <f>HYPERLINK("https://www.boe.es/gazeta/dias/1823/02/26/pdfs/GMD-1823-60.pdf#page=4","Abrir facsímil")</f>
        <v>Abrir facsímil</v>
      </c>
      <c r="K3143" s="3" t="s">
        <v>23</v>
      </c>
    </row>
    <row r="3144" spans="1:11" ht="42" customHeight="1">
      <c r="A3144" s="2" t="s">
        <v>6621</v>
      </c>
      <c r="B3144" s="2" t="s">
        <v>6621</v>
      </c>
      <c r="C3144" s="2" t="s">
        <v>17</v>
      </c>
      <c r="D3144" s="2" t="s">
        <v>18</v>
      </c>
      <c r="E3144" s="5">
        <v>-28080</v>
      </c>
      <c r="F3144" s="3" t="s">
        <v>1010</v>
      </c>
      <c r="G3144" s="3" t="s">
        <v>1382</v>
      </c>
      <c r="H3144" s="2" t="s">
        <v>21</v>
      </c>
      <c r="I3144" s="2" t="s">
        <v>6622</v>
      </c>
      <c r="J3144" s="3" t="str">
        <f>HYPERLINK("https://www.boe.es/gazeta/dias/1823/02/12/pdfs/GMD-1823-46.pdf#page=4","Abrir facsímil")</f>
        <v>Abrir facsímil</v>
      </c>
      <c r="K3144" s="3" t="s">
        <v>23</v>
      </c>
    </row>
    <row r="3145" spans="1:11" ht="42" customHeight="1">
      <c r="A3145" s="2" t="s">
        <v>6623</v>
      </c>
      <c r="B3145" s="2" t="s">
        <v>6623</v>
      </c>
      <c r="C3145" s="2" t="s">
        <v>17</v>
      </c>
      <c r="D3145" s="2" t="s">
        <v>117</v>
      </c>
      <c r="E3145" s="5">
        <v>-27932</v>
      </c>
      <c r="F3145" s="3" t="s">
        <v>1947</v>
      </c>
      <c r="G3145" s="3" t="s">
        <v>39</v>
      </c>
      <c r="H3145" s="2" t="s">
        <v>21</v>
      </c>
      <c r="I3145" s="2" t="s">
        <v>6624</v>
      </c>
      <c r="J3145" s="3" t="str">
        <f>HYPERLINK("https://www.boe.es/gazeta/dias/1823/07/10/pdfs/GMD-1823-373E.pdf#page=1","Abrir facsímil")</f>
        <v>Abrir facsímil</v>
      </c>
      <c r="K3145" s="3" t="s">
        <v>23</v>
      </c>
    </row>
    <row r="3146" spans="1:11" ht="42" customHeight="1">
      <c r="A3146" s="2" t="s">
        <v>6625</v>
      </c>
      <c r="B3146" s="2" t="s">
        <v>6626</v>
      </c>
      <c r="C3146" s="2" t="s">
        <v>17</v>
      </c>
      <c r="D3146" s="2" t="s">
        <v>18</v>
      </c>
      <c r="E3146" s="5">
        <v>-28097</v>
      </c>
      <c r="F3146" s="3" t="s">
        <v>1368</v>
      </c>
      <c r="G3146" s="3" t="s">
        <v>20</v>
      </c>
      <c r="H3146" s="2" t="s">
        <v>21</v>
      </c>
      <c r="I3146" s="2" t="s">
        <v>6627</v>
      </c>
      <c r="J3146" s="3" t="str">
        <f>HYPERLINK("https://www.boe.es/gazeta/dias/1823/01/26/pdfs/GMD-1823-27.pdf#page=4","Abrir facsímil")</f>
        <v>Abrir facsímil</v>
      </c>
      <c r="K3146" s="3" t="s">
        <v>23</v>
      </c>
    </row>
    <row r="3147" spans="1:11" ht="42" customHeight="1">
      <c r="A3147" s="2" t="s">
        <v>6628</v>
      </c>
      <c r="B3147" s="2" t="s">
        <v>6628</v>
      </c>
      <c r="C3147" s="2" t="s">
        <v>17</v>
      </c>
      <c r="D3147" s="2" t="s">
        <v>18</v>
      </c>
      <c r="E3147" s="5">
        <v>-28061</v>
      </c>
      <c r="F3147" s="3" t="s">
        <v>704</v>
      </c>
      <c r="G3147" s="3" t="s">
        <v>59</v>
      </c>
      <c r="H3147" s="2" t="s">
        <v>21</v>
      </c>
      <c r="I3147" s="2" t="s">
        <v>6629</v>
      </c>
      <c r="J3147" s="3" t="str">
        <f>HYPERLINK("https://www.boe.es/gazeta/dias/1823/03/03/pdfs/GMD-1823-66.pdf#page=6","Abrir facsímil")</f>
        <v>Abrir facsímil</v>
      </c>
      <c r="K3147" s="3" t="s">
        <v>23</v>
      </c>
    </row>
    <row r="3148" spans="1:11" ht="42" customHeight="1">
      <c r="A3148" s="2" t="s">
        <v>6630</v>
      </c>
      <c r="B3148" s="2" t="s">
        <v>6631</v>
      </c>
      <c r="C3148" s="2" t="s">
        <v>293</v>
      </c>
      <c r="D3148" s="2" t="s">
        <v>74</v>
      </c>
      <c r="E3148" s="5">
        <v>-27820</v>
      </c>
      <c r="F3148" s="3" t="s">
        <v>6283</v>
      </c>
      <c r="G3148" s="3" t="s">
        <v>20</v>
      </c>
      <c r="H3148" s="2" t="s">
        <v>21</v>
      </c>
      <c r="I3148" s="2" t="s">
        <v>6632</v>
      </c>
      <c r="J3148" s="3" t="str">
        <f>HYPERLINK("https://www.boe.es/gazeta/dias/1823/10/30/pdfs/GMD-1823-1043.pdf#page=4","Abrir facsímil")</f>
        <v>Abrir facsímil</v>
      </c>
      <c r="K3148" s="3" t="s">
        <v>23</v>
      </c>
    </row>
    <row r="3149" spans="1:11" ht="42" customHeight="1">
      <c r="A3149" s="2" t="s">
        <v>6633</v>
      </c>
      <c r="B3149" s="2" t="s">
        <v>6633</v>
      </c>
      <c r="C3149" s="2" t="s">
        <v>56</v>
      </c>
      <c r="D3149" s="2" t="s">
        <v>57</v>
      </c>
      <c r="E3149" s="5">
        <v>-28063</v>
      </c>
      <c r="F3149" s="3" t="s">
        <v>2493</v>
      </c>
      <c r="G3149" s="3" t="s">
        <v>48</v>
      </c>
      <c r="H3149" s="2" t="s">
        <v>21</v>
      </c>
      <c r="I3149" s="2" t="s">
        <v>6634</v>
      </c>
      <c r="J3149" s="3" t="str">
        <f>HYPERLINK("https://www.boe.es/gazeta/dias/1823/03/01/pdfs/GMD-1823-63.pdf#page=3","Abrir facsímil")</f>
        <v>Abrir facsímil</v>
      </c>
      <c r="K3149" s="3" t="s">
        <v>23</v>
      </c>
    </row>
    <row r="3150" spans="1:11" ht="42" customHeight="1">
      <c r="A3150" s="2" t="s">
        <v>6635</v>
      </c>
      <c r="B3150" s="2" t="s">
        <v>6635</v>
      </c>
      <c r="C3150" s="2" t="s">
        <v>56</v>
      </c>
      <c r="D3150" s="2" t="s">
        <v>57</v>
      </c>
      <c r="E3150" s="5">
        <v>-28063</v>
      </c>
      <c r="F3150" s="3" t="s">
        <v>2493</v>
      </c>
      <c r="G3150" s="3" t="s">
        <v>48</v>
      </c>
      <c r="H3150" s="2" t="s">
        <v>21</v>
      </c>
      <c r="I3150" s="2" t="s">
        <v>6636</v>
      </c>
      <c r="J3150" s="3" t="str">
        <f>HYPERLINK("https://www.boe.es/gazeta/dias/1823/03/01/pdfs/GMD-1823-63.pdf#page=3","Abrir facsímil")</f>
        <v>Abrir facsímil</v>
      </c>
      <c r="K3150" s="3" t="s">
        <v>23</v>
      </c>
    </row>
    <row r="3151" spans="1:11" ht="42" customHeight="1">
      <c r="A3151" s="2" t="s">
        <v>6635</v>
      </c>
      <c r="B3151" s="2" t="s">
        <v>6635</v>
      </c>
      <c r="C3151" s="2" t="s">
        <v>56</v>
      </c>
      <c r="D3151" s="2" t="s">
        <v>57</v>
      </c>
      <c r="E3151" s="5">
        <v>-28057</v>
      </c>
      <c r="F3151" s="3" t="s">
        <v>301</v>
      </c>
      <c r="G3151" s="3" t="s">
        <v>39</v>
      </c>
      <c r="H3151" s="2" t="s">
        <v>21</v>
      </c>
      <c r="I3151" s="2" t="s">
        <v>6637</v>
      </c>
      <c r="J3151" s="3" t="str">
        <f>HYPERLINK("https://www.boe.es/gazeta/dias/1823/03/07/pdfs/GMD-1823-70.pdf#page=1","Abrir facsímil")</f>
        <v>Abrir facsímil</v>
      </c>
      <c r="K3151" s="3" t="s">
        <v>23</v>
      </c>
    </row>
    <row r="3152" spans="1:11" ht="42" customHeight="1">
      <c r="A3152" s="2" t="s">
        <v>6635</v>
      </c>
      <c r="B3152" s="2" t="s">
        <v>6635</v>
      </c>
      <c r="C3152" s="2" t="s">
        <v>17</v>
      </c>
      <c r="D3152" s="2" t="s">
        <v>18</v>
      </c>
      <c r="E3152" s="5">
        <v>-27967</v>
      </c>
      <c r="F3152" s="3" t="s">
        <v>412</v>
      </c>
      <c r="G3152" s="3" t="s">
        <v>27</v>
      </c>
      <c r="H3152" s="2" t="s">
        <v>21</v>
      </c>
      <c r="I3152" s="2" t="s">
        <v>6638</v>
      </c>
      <c r="J3152" s="3" t="str">
        <f>HYPERLINK("https://www.boe.es/gazeta/dias/1823/06/05/pdfs/GES-1823-59.pdf#page=2","Abrir facsímil")</f>
        <v>Abrir facsímil</v>
      </c>
      <c r="K3152" s="3" t="s">
        <v>23</v>
      </c>
    </row>
    <row r="3153" spans="1:11" ht="42" customHeight="1">
      <c r="A3153" s="2" t="s">
        <v>6635</v>
      </c>
      <c r="B3153" s="2" t="s">
        <v>6635</v>
      </c>
      <c r="C3153" s="2" t="s">
        <v>17</v>
      </c>
      <c r="D3153" s="2" t="s">
        <v>18</v>
      </c>
      <c r="E3153" s="5">
        <v>-27963</v>
      </c>
      <c r="F3153" s="3" t="s">
        <v>344</v>
      </c>
      <c r="G3153" s="3" t="s">
        <v>20</v>
      </c>
      <c r="H3153" s="2" t="s">
        <v>21</v>
      </c>
      <c r="I3153" s="2" t="s">
        <v>6639</v>
      </c>
      <c r="J3153" s="3" t="str">
        <f>HYPERLINK("https://www.boe.es/gazeta/dias/1823/06/09/pdfs/GES-1823-63.pdf#page=4","Abrir facsímil")</f>
        <v>Abrir facsímil</v>
      </c>
      <c r="K3153" s="3" t="s">
        <v>23</v>
      </c>
    </row>
    <row r="3154" spans="1:11" ht="42" customHeight="1">
      <c r="A3154" s="2" t="s">
        <v>6640</v>
      </c>
      <c r="B3154" s="2" t="s">
        <v>6640</v>
      </c>
      <c r="C3154" s="2" t="s">
        <v>109</v>
      </c>
      <c r="D3154" s="2" t="s">
        <v>74</v>
      </c>
      <c r="E3154" s="5">
        <v>-28062</v>
      </c>
      <c r="F3154" s="3" t="s">
        <v>1357</v>
      </c>
      <c r="G3154" s="3" t="s">
        <v>39</v>
      </c>
      <c r="H3154" s="2" t="s">
        <v>21</v>
      </c>
      <c r="I3154" s="2" t="s">
        <v>6641</v>
      </c>
      <c r="J3154" s="3" t="str">
        <f>HYPERLINK("https://www.boe.es/gazeta/dias/1823/03/02/pdfs/GMD-1823-65.pdf#page=1","Abrir facsímil")</f>
        <v>Abrir facsímil</v>
      </c>
      <c r="K3154" s="3" t="s">
        <v>23</v>
      </c>
    </row>
    <row r="3155" spans="1:11" ht="42" customHeight="1">
      <c r="A3155" s="2" t="s">
        <v>6642</v>
      </c>
      <c r="B3155" s="2" t="s">
        <v>6643</v>
      </c>
      <c r="C3155" s="2" t="s">
        <v>56</v>
      </c>
      <c r="D3155" s="2" t="s">
        <v>57</v>
      </c>
      <c r="E3155" s="5">
        <v>-27847</v>
      </c>
      <c r="F3155" s="3" t="s">
        <v>6644</v>
      </c>
      <c r="G3155" s="3" t="s">
        <v>4933</v>
      </c>
      <c r="H3155" s="2" t="s">
        <v>21</v>
      </c>
      <c r="I3155" s="2" t="s">
        <v>6645</v>
      </c>
      <c r="J3155" s="3" t="str">
        <f>HYPERLINK("https://www.boe.es/gazeta/dias/1823/10/03/pdfs/E00001-00001.pdf#page=1","Abrir facsímil")</f>
        <v>Abrir facsímil</v>
      </c>
      <c r="K3155" s="3" t="s">
        <v>23</v>
      </c>
    </row>
    <row r="3156" spans="1:11" ht="42" customHeight="1">
      <c r="A3156" s="2" t="s">
        <v>6642</v>
      </c>
      <c r="B3156" s="2" t="s">
        <v>6643</v>
      </c>
      <c r="C3156" s="2" t="s">
        <v>17</v>
      </c>
      <c r="D3156" s="2" t="s">
        <v>18</v>
      </c>
      <c r="E3156" s="5">
        <v>-27839</v>
      </c>
      <c r="F3156" s="3" t="s">
        <v>263</v>
      </c>
      <c r="G3156" s="3" t="s">
        <v>39</v>
      </c>
      <c r="H3156" s="2" t="s">
        <v>21</v>
      </c>
      <c r="I3156" s="2" t="s">
        <v>6646</v>
      </c>
      <c r="J3156" s="3" t="str">
        <f>HYPERLINK("https://www.boe.es/gazeta/dias/1823/10/11/pdfs/GMD-1823-963.pdf#page=1","Abrir facsímil")</f>
        <v>Abrir facsímil</v>
      </c>
      <c r="K3156" s="3" t="s">
        <v>23</v>
      </c>
    </row>
    <row r="3157" spans="1:11" ht="42" customHeight="1">
      <c r="A3157" s="2" t="s">
        <v>6642</v>
      </c>
      <c r="B3157" s="2" t="s">
        <v>6643</v>
      </c>
      <c r="C3157" s="2" t="s">
        <v>17</v>
      </c>
      <c r="D3157" s="2" t="s">
        <v>18</v>
      </c>
      <c r="E3157" s="5">
        <v>-27792</v>
      </c>
      <c r="F3157" s="3" t="s">
        <v>611</v>
      </c>
      <c r="G3157" s="3" t="s">
        <v>39</v>
      </c>
      <c r="H3157" s="2" t="s">
        <v>21</v>
      </c>
      <c r="I3157" s="2" t="s">
        <v>6647</v>
      </c>
      <c r="J3157" s="3" t="str">
        <f>HYPERLINK("https://www.boe.es/gazeta/dias/1823/11/27/pdfs/GMD-1823-1173.pdf#page=1","Abrir facsímil")</f>
        <v>Abrir facsímil</v>
      </c>
      <c r="K3157" s="3" t="s">
        <v>23</v>
      </c>
    </row>
    <row r="3158" spans="1:11" ht="42" customHeight="1">
      <c r="A3158" s="2" t="s">
        <v>6648</v>
      </c>
      <c r="B3158" s="2" t="s">
        <v>6649</v>
      </c>
      <c r="C3158" s="2" t="s">
        <v>17</v>
      </c>
      <c r="D3158" s="2" t="s">
        <v>18</v>
      </c>
      <c r="E3158" s="5">
        <v>-28100</v>
      </c>
      <c r="F3158" s="3" t="s">
        <v>737</v>
      </c>
      <c r="G3158" s="3" t="s">
        <v>48</v>
      </c>
      <c r="H3158" s="2" t="s">
        <v>21</v>
      </c>
      <c r="I3158" s="2" t="s">
        <v>6650</v>
      </c>
      <c r="J3158" s="3" t="str">
        <f>HYPERLINK("https://www.boe.es/gazeta/dias/1823/01/23/pdfs/GMD-1823-24.pdf#page=3","Abrir facsímil")</f>
        <v>Abrir facsímil</v>
      </c>
      <c r="K3158" s="3" t="s">
        <v>23</v>
      </c>
    </row>
    <row r="3159" spans="1:11" ht="42" customHeight="1">
      <c r="A3159" s="2" t="s">
        <v>6651</v>
      </c>
      <c r="B3159" s="2" t="s">
        <v>6651</v>
      </c>
      <c r="C3159" s="2" t="s">
        <v>79</v>
      </c>
      <c r="D3159" s="2" t="s">
        <v>74</v>
      </c>
      <c r="E3159" s="5">
        <v>-28077</v>
      </c>
      <c r="F3159" s="3" t="s">
        <v>536</v>
      </c>
      <c r="G3159" s="3" t="s">
        <v>59</v>
      </c>
      <c r="H3159" s="2" t="s">
        <v>21</v>
      </c>
      <c r="I3159" s="2" t="s">
        <v>6652</v>
      </c>
      <c r="J3159" s="3" t="str">
        <f>HYPERLINK("https://www.boe.es/gazeta/dias/1823/02/15/pdfs/GMD-1823-49.pdf#page=6","Abrir facsímil")</f>
        <v>Abrir facsímil</v>
      </c>
      <c r="K3159" s="3" t="s">
        <v>23</v>
      </c>
    </row>
    <row r="3160" spans="1:11" ht="42" customHeight="1">
      <c r="A3160" s="2" t="s">
        <v>6653</v>
      </c>
      <c r="B3160" s="2" t="s">
        <v>6653</v>
      </c>
      <c r="C3160" s="2" t="s">
        <v>56</v>
      </c>
      <c r="D3160" s="2" t="s">
        <v>57</v>
      </c>
      <c r="E3160" s="5">
        <v>-27945</v>
      </c>
      <c r="F3160" s="3" t="s">
        <v>628</v>
      </c>
      <c r="G3160" s="3" t="s">
        <v>20</v>
      </c>
      <c r="H3160" s="2" t="s">
        <v>21</v>
      </c>
      <c r="I3160" s="2" t="s">
        <v>6654</v>
      </c>
      <c r="J3160" s="3" t="str">
        <f>HYPERLINK("https://www.boe.es/gazeta/dias/1823/06/27/pdfs/GES-1823-77.pdf#page=4","Abrir facsímil")</f>
        <v>Abrir facsímil</v>
      </c>
      <c r="K3160" s="3" t="s">
        <v>23</v>
      </c>
    </row>
    <row r="3161" spans="1:11" ht="42" customHeight="1">
      <c r="A3161" s="2" t="s">
        <v>6655</v>
      </c>
      <c r="B3161" s="2" t="s">
        <v>6656</v>
      </c>
      <c r="C3161" s="2" t="s">
        <v>17</v>
      </c>
      <c r="D3161" s="2" t="s">
        <v>18</v>
      </c>
      <c r="E3161" s="5">
        <v>-28058</v>
      </c>
      <c r="F3161" s="3" t="s">
        <v>1282</v>
      </c>
      <c r="G3161" s="3" t="s">
        <v>34</v>
      </c>
      <c r="H3161" s="2" t="s">
        <v>21</v>
      </c>
      <c r="I3161" s="2" t="s">
        <v>6657</v>
      </c>
      <c r="J3161" s="3" t="str">
        <f>HYPERLINK("https://www.boe.es/gazeta/dias/1823/03/06/pdfs/GMD-1823-69.pdf#page=5","Abrir facsímil")</f>
        <v>Abrir facsímil</v>
      </c>
      <c r="K3161" s="3" t="s">
        <v>23</v>
      </c>
    </row>
    <row r="3162" spans="1:11" ht="42" customHeight="1">
      <c r="A3162" s="2" t="s">
        <v>6658</v>
      </c>
      <c r="B3162" s="2" t="s">
        <v>6659</v>
      </c>
      <c r="C3162" s="2" t="s">
        <v>17</v>
      </c>
      <c r="D3162" s="2" t="s">
        <v>18</v>
      </c>
      <c r="E3162" s="5">
        <v>-28098</v>
      </c>
      <c r="F3162" s="3" t="s">
        <v>1101</v>
      </c>
      <c r="G3162" s="3" t="s">
        <v>20</v>
      </c>
      <c r="H3162" s="2" t="s">
        <v>21</v>
      </c>
      <c r="I3162" s="2" t="s">
        <v>6660</v>
      </c>
      <c r="J3162" s="3" t="str">
        <f>HYPERLINK("https://www.boe.es/gazeta/dias/1823/01/25/pdfs/GMD-1823-26.pdf#page=4","Abrir facsímil")</f>
        <v>Abrir facsímil</v>
      </c>
      <c r="K3162" s="3" t="s">
        <v>23</v>
      </c>
    </row>
    <row r="3163" spans="1:11" ht="42" customHeight="1">
      <c r="A3163" s="2" t="s">
        <v>6658</v>
      </c>
      <c r="B3163" s="2" t="s">
        <v>6659</v>
      </c>
      <c r="C3163" s="2" t="s">
        <v>17</v>
      </c>
      <c r="D3163" s="2" t="s">
        <v>18</v>
      </c>
      <c r="E3163" s="5">
        <v>-28085</v>
      </c>
      <c r="F3163" s="3" t="s">
        <v>458</v>
      </c>
      <c r="G3163" s="3" t="s">
        <v>48</v>
      </c>
      <c r="H3163" s="2" t="s">
        <v>21</v>
      </c>
      <c r="I3163" s="2" t="s">
        <v>6661</v>
      </c>
      <c r="J3163" s="3" t="str">
        <f>HYPERLINK("https://www.boe.es/gazeta/dias/1823/02/07/pdfs/GMD-1823-40.pdf#page=3","Abrir facsímil")</f>
        <v>Abrir facsímil</v>
      </c>
      <c r="K3163" s="3" t="s">
        <v>23</v>
      </c>
    </row>
    <row r="3164" spans="1:11" ht="42" customHeight="1">
      <c r="A3164" s="2" t="s">
        <v>6658</v>
      </c>
      <c r="B3164" s="2" t="s">
        <v>6659</v>
      </c>
      <c r="C3164" s="2" t="s">
        <v>56</v>
      </c>
      <c r="D3164" s="2" t="s">
        <v>57</v>
      </c>
      <c r="E3164" s="5">
        <v>-27941</v>
      </c>
      <c r="F3164" s="3" t="s">
        <v>527</v>
      </c>
      <c r="G3164" s="3" t="s">
        <v>27</v>
      </c>
      <c r="H3164" s="2" t="s">
        <v>21</v>
      </c>
      <c r="I3164" s="2" t="s">
        <v>6662</v>
      </c>
      <c r="J3164" s="3" t="str">
        <f>HYPERLINK("https://www.boe.es/gazeta/dias/1823/07/01/pdfs/GES-1823-81.pdf#page=2","Abrir facsímil")</f>
        <v>Abrir facsímil</v>
      </c>
      <c r="K3164" s="3" t="s">
        <v>23</v>
      </c>
    </row>
    <row r="3165" spans="1:11" ht="42" customHeight="1">
      <c r="A3165" s="2" t="s">
        <v>6658</v>
      </c>
      <c r="B3165" s="2" t="s">
        <v>6659</v>
      </c>
      <c r="C3165" s="2" t="s">
        <v>17</v>
      </c>
      <c r="D3165" s="2" t="s">
        <v>117</v>
      </c>
      <c r="E3165" s="5">
        <v>-27860</v>
      </c>
      <c r="F3165" s="3" t="s">
        <v>4855</v>
      </c>
      <c r="G3165" s="3" t="s">
        <v>39</v>
      </c>
      <c r="H3165" s="2" t="s">
        <v>21</v>
      </c>
      <c r="I3165" s="2" t="s">
        <v>6663</v>
      </c>
      <c r="J3165" s="3" t="str">
        <f>HYPERLINK("https://www.boe.es/gazeta/dias/1823/09/20/pdfs/GMD-1823-823E.pdf#page=1","Abrir facsímil")</f>
        <v>Abrir facsímil</v>
      </c>
      <c r="K3165" s="3" t="s">
        <v>23</v>
      </c>
    </row>
    <row r="3166" spans="1:11" ht="42" customHeight="1">
      <c r="A3166" s="2" t="s">
        <v>6658</v>
      </c>
      <c r="B3166" s="2" t="s">
        <v>6659</v>
      </c>
      <c r="C3166" s="2" t="s">
        <v>17</v>
      </c>
      <c r="D3166" s="2" t="s">
        <v>18</v>
      </c>
      <c r="E3166" s="5">
        <v>-27846</v>
      </c>
      <c r="F3166" s="3" t="s">
        <v>2535</v>
      </c>
      <c r="G3166" s="3" t="s">
        <v>39</v>
      </c>
      <c r="H3166" s="2" t="s">
        <v>21</v>
      </c>
      <c r="I3166" s="2" t="s">
        <v>6664</v>
      </c>
      <c r="J3166" s="3" t="str">
        <f>HYPERLINK("https://www.boe.es/gazeta/dias/1823/10/04/pdfs/GMD-1823-913.pdf#page=1","Abrir facsímil")</f>
        <v>Abrir facsímil</v>
      </c>
      <c r="K3166" s="3" t="s">
        <v>23</v>
      </c>
    </row>
    <row r="3167" spans="1:11" ht="42" customHeight="1">
      <c r="A3167" s="2" t="s">
        <v>6658</v>
      </c>
      <c r="B3167" s="2" t="s">
        <v>6659</v>
      </c>
      <c r="C3167" s="2" t="s">
        <v>17</v>
      </c>
      <c r="D3167" s="2" t="s">
        <v>18</v>
      </c>
      <c r="E3167" s="5">
        <v>-27843</v>
      </c>
      <c r="F3167" s="3" t="s">
        <v>790</v>
      </c>
      <c r="G3167" s="3" t="s">
        <v>27</v>
      </c>
      <c r="H3167" s="2" t="s">
        <v>21</v>
      </c>
      <c r="I3167" s="2" t="s">
        <v>6665</v>
      </c>
      <c r="J3167" s="3" t="str">
        <f>HYPERLINK("https://www.boe.es/gazeta/dias/1823/10/07/pdfs/GMD-1823-933.pdf#page=2","Abrir facsímil")</f>
        <v>Abrir facsímil</v>
      </c>
      <c r="K3167" s="3" t="s">
        <v>23</v>
      </c>
    </row>
    <row r="3168" spans="1:11" ht="42" customHeight="1">
      <c r="A3168" s="2" t="s">
        <v>6658</v>
      </c>
      <c r="B3168" s="2" t="s">
        <v>6659</v>
      </c>
      <c r="C3168" s="2" t="s">
        <v>17</v>
      </c>
      <c r="D3168" s="2" t="s">
        <v>117</v>
      </c>
      <c r="E3168" s="5">
        <v>-27843</v>
      </c>
      <c r="F3168" s="3" t="s">
        <v>3692</v>
      </c>
      <c r="G3168" s="3" t="s">
        <v>39</v>
      </c>
      <c r="H3168" s="2" t="s">
        <v>21</v>
      </c>
      <c r="I3168" s="2" t="s">
        <v>6666</v>
      </c>
      <c r="J3168" s="3" t="str">
        <f>HYPERLINK("https://www.boe.es/gazeta/dias/1823/10/07/pdfs/GMD-1823-943E.pdf#page=1","Abrir facsímil")</f>
        <v>Abrir facsímil</v>
      </c>
      <c r="K3168" s="3" t="s">
        <v>23</v>
      </c>
    </row>
    <row r="3169" spans="1:11" ht="42" customHeight="1">
      <c r="A3169" s="2" t="s">
        <v>6658</v>
      </c>
      <c r="B3169" s="2" t="s">
        <v>6659</v>
      </c>
      <c r="C3169" s="2" t="s">
        <v>17</v>
      </c>
      <c r="D3169" s="2" t="s">
        <v>18</v>
      </c>
      <c r="E3169" s="5">
        <v>-27841</v>
      </c>
      <c r="F3169" s="3" t="s">
        <v>721</v>
      </c>
      <c r="G3169" s="3" t="s">
        <v>39</v>
      </c>
      <c r="H3169" s="2" t="s">
        <v>21</v>
      </c>
      <c r="I3169" s="2" t="s">
        <v>6667</v>
      </c>
      <c r="J3169" s="3" t="str">
        <f>HYPERLINK("https://www.boe.es/gazeta/dias/1823/10/09/pdfs/GMD-1823-953.pdf#page=1","Abrir facsímil")</f>
        <v>Abrir facsímil</v>
      </c>
      <c r="K3169" s="3" t="s">
        <v>23</v>
      </c>
    </row>
    <row r="3170" spans="1:11" ht="42" customHeight="1">
      <c r="A3170" s="2" t="s">
        <v>6658</v>
      </c>
      <c r="B3170" s="2" t="s">
        <v>6659</v>
      </c>
      <c r="C3170" s="2" t="s">
        <v>17</v>
      </c>
      <c r="D3170" s="2" t="s">
        <v>18</v>
      </c>
      <c r="E3170" s="5">
        <v>-27829</v>
      </c>
      <c r="F3170" s="3" t="s">
        <v>228</v>
      </c>
      <c r="G3170" s="3" t="s">
        <v>39</v>
      </c>
      <c r="H3170" s="2" t="s">
        <v>21</v>
      </c>
      <c r="I3170" s="2" t="s">
        <v>6668</v>
      </c>
      <c r="J3170" s="3" t="str">
        <f>HYPERLINK("https://www.boe.es/gazeta/dias/1823/10/21/pdfs/GMD-1823-1003.pdf#page=1","Abrir facsímil")</f>
        <v>Abrir facsímil</v>
      </c>
      <c r="K3170" s="3" t="s">
        <v>23</v>
      </c>
    </row>
    <row r="3171" spans="1:11" ht="42" customHeight="1">
      <c r="A3171" s="2" t="s">
        <v>6658</v>
      </c>
      <c r="B3171" s="2" t="s">
        <v>6659</v>
      </c>
      <c r="C3171" s="2" t="s">
        <v>17</v>
      </c>
      <c r="D3171" s="2" t="s">
        <v>18</v>
      </c>
      <c r="E3171" s="5">
        <v>-27827</v>
      </c>
      <c r="F3171" s="3" t="s">
        <v>531</v>
      </c>
      <c r="G3171" s="3" t="s">
        <v>39</v>
      </c>
      <c r="H3171" s="2" t="s">
        <v>21</v>
      </c>
      <c r="I3171" s="2" t="s">
        <v>6669</v>
      </c>
      <c r="J3171" s="3" t="str">
        <f>HYPERLINK("https://www.boe.es/gazeta/dias/1823/10/23/pdfs/GMD-1823-1013.pdf#page=1","Abrir facsímil")</f>
        <v>Abrir facsímil</v>
      </c>
      <c r="K3171" s="3" t="s">
        <v>23</v>
      </c>
    </row>
    <row r="3172" spans="1:11" ht="42" customHeight="1">
      <c r="A3172" s="2" t="s">
        <v>6658</v>
      </c>
      <c r="B3172" s="2" t="s">
        <v>6659</v>
      </c>
      <c r="C3172" s="2" t="s">
        <v>17</v>
      </c>
      <c r="D3172" s="2" t="s">
        <v>18</v>
      </c>
      <c r="E3172" s="5">
        <v>-27804</v>
      </c>
      <c r="F3172" s="3" t="s">
        <v>836</v>
      </c>
      <c r="G3172" s="3" t="s">
        <v>39</v>
      </c>
      <c r="H3172" s="2" t="s">
        <v>21</v>
      </c>
      <c r="I3172" s="2" t="s">
        <v>6670</v>
      </c>
      <c r="J3172" s="3" t="str">
        <f>HYPERLINK("https://www.boe.es/gazeta/dias/1823/11/15/pdfs/GMD-1823-1123.pdf#page=1","Abrir facsímil")</f>
        <v>Abrir facsímil</v>
      </c>
      <c r="K3172" s="3" t="s">
        <v>23</v>
      </c>
    </row>
    <row r="3173" spans="1:11" ht="42" customHeight="1">
      <c r="A3173" s="2" t="s">
        <v>6658</v>
      </c>
      <c r="B3173" s="2" t="s">
        <v>6659</v>
      </c>
      <c r="C3173" s="2" t="s">
        <v>17</v>
      </c>
      <c r="D3173" s="2" t="s">
        <v>18</v>
      </c>
      <c r="E3173" s="5">
        <v>-27797</v>
      </c>
      <c r="F3173" s="3" t="s">
        <v>3409</v>
      </c>
      <c r="G3173" s="3" t="s">
        <v>20</v>
      </c>
      <c r="H3173" s="2" t="s">
        <v>21</v>
      </c>
      <c r="I3173" s="2" t="s">
        <v>6671</v>
      </c>
      <c r="J3173" s="3" t="str">
        <f>HYPERLINK("https://www.boe.es/gazeta/dias/1823/11/22/pdfs/GMD-1823-1153.pdf#page=4","Abrir facsímil")</f>
        <v>Abrir facsímil</v>
      </c>
      <c r="K3173" s="3" t="s">
        <v>23</v>
      </c>
    </row>
    <row r="3174" spans="1:11" ht="42" customHeight="1">
      <c r="A3174" s="2" t="s">
        <v>6658</v>
      </c>
      <c r="B3174" s="2" t="s">
        <v>6659</v>
      </c>
      <c r="C3174" s="2" t="s">
        <v>17</v>
      </c>
      <c r="D3174" s="2" t="s">
        <v>18</v>
      </c>
      <c r="E3174" s="5">
        <v>-27794</v>
      </c>
      <c r="F3174" s="3" t="s">
        <v>747</v>
      </c>
      <c r="G3174" s="3" t="s">
        <v>48</v>
      </c>
      <c r="H3174" s="2" t="s">
        <v>21</v>
      </c>
      <c r="I3174" s="2" t="s">
        <v>6672</v>
      </c>
      <c r="J3174" s="3" t="str">
        <f>HYPERLINK("https://www.boe.es/gazeta/dias/1823/11/25/pdfs/GMD-1823-1163.pdf#page=3","Abrir facsímil")</f>
        <v>Abrir facsímil</v>
      </c>
      <c r="K3174" s="3" t="s">
        <v>23</v>
      </c>
    </row>
    <row r="3175" spans="1:11" ht="42" customHeight="1">
      <c r="A3175" s="2" t="s">
        <v>6658</v>
      </c>
      <c r="B3175" s="2" t="s">
        <v>6659</v>
      </c>
      <c r="C3175" s="2" t="s">
        <v>17</v>
      </c>
      <c r="D3175" s="2" t="s">
        <v>18</v>
      </c>
      <c r="E3175" s="5">
        <v>-27787</v>
      </c>
      <c r="F3175" s="3" t="s">
        <v>865</v>
      </c>
      <c r="G3175" s="3" t="s">
        <v>39</v>
      </c>
      <c r="H3175" s="2" t="s">
        <v>21</v>
      </c>
      <c r="I3175" s="2" t="s">
        <v>6673</v>
      </c>
      <c r="J3175" s="3" t="str">
        <f>HYPERLINK("https://www.boe.es/gazeta/dias/1823/12/02/pdfs/GMD-1823-1193.pdf#page=1","Abrir facsímil")</f>
        <v>Abrir facsímil</v>
      </c>
      <c r="K3175" s="3" t="s">
        <v>23</v>
      </c>
    </row>
    <row r="3176" spans="1:11" ht="42" customHeight="1">
      <c r="A3176" s="2" t="s">
        <v>6658</v>
      </c>
      <c r="B3176" s="2" t="s">
        <v>6659</v>
      </c>
      <c r="C3176" s="2" t="s">
        <v>17</v>
      </c>
      <c r="D3176" s="2" t="s">
        <v>18</v>
      </c>
      <c r="E3176" s="5">
        <v>-27759</v>
      </c>
      <c r="F3176" s="3" t="s">
        <v>415</v>
      </c>
      <c r="G3176" s="3" t="s">
        <v>39</v>
      </c>
      <c r="H3176" s="2" t="s">
        <v>21</v>
      </c>
      <c r="I3176" s="2" t="s">
        <v>6674</v>
      </c>
      <c r="J3176" s="3" t="str">
        <f>HYPERLINK("https://www.boe.es/gazeta/dias/1823/12/30/pdfs/GMD-1823-1313.pdf#page=1","Abrir facsímil")</f>
        <v>Abrir facsímil</v>
      </c>
      <c r="K3176" s="3" t="s">
        <v>23</v>
      </c>
    </row>
    <row r="3177" spans="1:11" ht="42" customHeight="1">
      <c r="A3177" s="2" t="s">
        <v>6675</v>
      </c>
      <c r="B3177" s="2" t="s">
        <v>6676</v>
      </c>
      <c r="C3177" s="2" t="s">
        <v>17</v>
      </c>
      <c r="D3177" s="2" t="s">
        <v>18</v>
      </c>
      <c r="E3177" s="5">
        <v>-27860</v>
      </c>
      <c r="F3177" s="3" t="s">
        <v>998</v>
      </c>
      <c r="G3177" s="3" t="s">
        <v>39</v>
      </c>
      <c r="H3177" s="2" t="s">
        <v>21</v>
      </c>
      <c r="I3177" s="2" t="s">
        <v>6677</v>
      </c>
      <c r="J3177" s="3" t="str">
        <f>HYPERLINK("https://www.boe.es/gazeta/dias/1823/09/20/pdfs/GMD-1823-813.pdf#page=1","Abrir facsímil")</f>
        <v>Abrir facsímil</v>
      </c>
      <c r="K3177" s="3" t="s">
        <v>23</v>
      </c>
    </row>
    <row r="3178" spans="1:11" ht="42" customHeight="1">
      <c r="A3178" s="2" t="s">
        <v>6678</v>
      </c>
      <c r="B3178" s="2" t="s">
        <v>6678</v>
      </c>
      <c r="C3178" s="2" t="s">
        <v>79</v>
      </c>
      <c r="D3178" s="2" t="s">
        <v>74</v>
      </c>
      <c r="E3178" s="5">
        <v>-27949</v>
      </c>
      <c r="F3178" s="3" t="s">
        <v>1162</v>
      </c>
      <c r="G3178" s="3" t="s">
        <v>27</v>
      </c>
      <c r="H3178" s="2" t="s">
        <v>21</v>
      </c>
      <c r="I3178" s="2" t="s">
        <v>6679</v>
      </c>
      <c r="J3178" s="3" t="str">
        <f>HYPERLINK("https://www.boe.es/gazeta/dias/1823/06/23/pdfs/GES-1823-71.pdf#page=2","Abrir facsímil")</f>
        <v>Abrir facsímil</v>
      </c>
      <c r="K3178" s="3" t="s">
        <v>23</v>
      </c>
    </row>
    <row r="3179" spans="1:11" ht="42" customHeight="1">
      <c r="A3179" s="2" t="s">
        <v>6680</v>
      </c>
      <c r="B3179" s="2" t="s">
        <v>6680</v>
      </c>
      <c r="C3179" s="2" t="s">
        <v>17</v>
      </c>
      <c r="D3179" s="2" t="s">
        <v>18</v>
      </c>
      <c r="E3179" s="5">
        <v>-28048</v>
      </c>
      <c r="F3179" s="3" t="s">
        <v>399</v>
      </c>
      <c r="G3179" s="3" t="s">
        <v>59</v>
      </c>
      <c r="H3179" s="2" t="s">
        <v>21</v>
      </c>
      <c r="I3179" s="2" t="s">
        <v>6681</v>
      </c>
      <c r="J3179" s="3" t="str">
        <f>HYPERLINK("https://www.boe.es/gazeta/dias/1823/03/16/pdfs/GMD-1823-79.pdf#page=6","Abrir facsímil")</f>
        <v>Abrir facsímil</v>
      </c>
      <c r="K3179" s="3" t="s">
        <v>23</v>
      </c>
    </row>
    <row r="3180" spans="1:11" ht="42" customHeight="1">
      <c r="A3180" s="2" t="s">
        <v>6680</v>
      </c>
      <c r="B3180" s="2" t="s">
        <v>6680</v>
      </c>
      <c r="C3180" s="2" t="s">
        <v>17</v>
      </c>
      <c r="D3180" s="2" t="s">
        <v>18</v>
      </c>
      <c r="E3180" s="5">
        <v>-27982</v>
      </c>
      <c r="F3180" s="3" t="s">
        <v>340</v>
      </c>
      <c r="G3180" s="3" t="s">
        <v>59</v>
      </c>
      <c r="H3180" s="2" t="s">
        <v>21</v>
      </c>
      <c r="I3180" s="2" t="s">
        <v>6682</v>
      </c>
      <c r="J3180" s="3" t="str">
        <f>HYPERLINK("https://www.boe.es/gazeta/dias/1823/05/21/pdfs/GES-1823-42.pdf#page=6","Abrir facsímil")</f>
        <v>Abrir facsímil</v>
      </c>
      <c r="K3180" s="3" t="s">
        <v>23</v>
      </c>
    </row>
    <row r="3181" spans="1:11" ht="42" customHeight="1">
      <c r="A3181" s="2" t="s">
        <v>6680</v>
      </c>
      <c r="B3181" s="2" t="s">
        <v>6680</v>
      </c>
      <c r="C3181" s="2" t="s">
        <v>17</v>
      </c>
      <c r="D3181" s="2" t="s">
        <v>18</v>
      </c>
      <c r="E3181" s="5">
        <v>-27948</v>
      </c>
      <c r="F3181" s="3" t="s">
        <v>959</v>
      </c>
      <c r="G3181" s="3" t="s">
        <v>27</v>
      </c>
      <c r="H3181" s="2" t="s">
        <v>21</v>
      </c>
      <c r="I3181" s="2" t="s">
        <v>6683</v>
      </c>
      <c r="J3181" s="3" t="str">
        <f>HYPERLINK("https://www.boe.es/gazeta/dias/1823/06/24/pdfs/GES-1823-72.pdf#page=2","Abrir facsímil")</f>
        <v>Abrir facsímil</v>
      </c>
      <c r="K3181" s="3" t="s">
        <v>23</v>
      </c>
    </row>
    <row r="3182" spans="1:11" ht="42" customHeight="1">
      <c r="A3182" s="2" t="s">
        <v>6684</v>
      </c>
      <c r="B3182" s="2" t="s">
        <v>6684</v>
      </c>
      <c r="C3182" s="2" t="s">
        <v>56</v>
      </c>
      <c r="D3182" s="2" t="s">
        <v>57</v>
      </c>
      <c r="E3182" s="5">
        <v>-27966</v>
      </c>
      <c r="F3182" s="3" t="s">
        <v>675</v>
      </c>
      <c r="G3182" s="3" t="s">
        <v>48</v>
      </c>
      <c r="H3182" s="2" t="s">
        <v>21</v>
      </c>
      <c r="I3182" s="2" t="s">
        <v>6685</v>
      </c>
      <c r="J3182" s="3" t="str">
        <f>HYPERLINK("https://www.boe.es/gazeta/dias/1823/06/06/pdfs/GES-1823-60.pdf#page=3","Abrir facsímil")</f>
        <v>Abrir facsímil</v>
      </c>
      <c r="K3182" s="3" t="s">
        <v>23</v>
      </c>
    </row>
    <row r="3183" spans="1:11" ht="42" customHeight="1">
      <c r="A3183" s="2" t="s">
        <v>6686</v>
      </c>
      <c r="B3183" s="2" t="s">
        <v>6687</v>
      </c>
      <c r="C3183" s="2" t="s">
        <v>17</v>
      </c>
      <c r="D3183" s="2" t="s">
        <v>18</v>
      </c>
      <c r="E3183" s="5">
        <v>-28017</v>
      </c>
      <c r="F3183" s="3" t="s">
        <v>2912</v>
      </c>
      <c r="G3183" s="3" t="s">
        <v>20</v>
      </c>
      <c r="H3183" s="2" t="s">
        <v>21</v>
      </c>
      <c r="I3183" s="2" t="s">
        <v>6688</v>
      </c>
      <c r="J3183" s="3" t="str">
        <f>HYPERLINK("https://www.boe.es/gazeta/dias/1823/04/16/pdfs/GES-1823-6.pdf#page=4","Abrir facsímil")</f>
        <v>Abrir facsímil</v>
      </c>
      <c r="K3183" s="3" t="s">
        <v>23</v>
      </c>
    </row>
    <row r="3184" spans="1:11" ht="42" customHeight="1">
      <c r="A3184" s="2" t="s">
        <v>6689</v>
      </c>
      <c r="B3184" s="2" t="s">
        <v>6689</v>
      </c>
      <c r="C3184" s="2" t="s">
        <v>79</v>
      </c>
      <c r="D3184" s="2" t="s">
        <v>74</v>
      </c>
      <c r="E3184" s="5">
        <v>-27923</v>
      </c>
      <c r="F3184" s="3" t="s">
        <v>1225</v>
      </c>
      <c r="G3184" s="3" t="s">
        <v>34</v>
      </c>
      <c r="H3184" s="2" t="s">
        <v>21</v>
      </c>
      <c r="I3184" s="2" t="s">
        <v>6690</v>
      </c>
      <c r="J3184" s="3" t="str">
        <f>HYPERLINK("https://www.boe.es/gazeta/dias/1823/07/19/pdfs/GMD-1823-433.pdf#page=5","Abrir facsímil")</f>
        <v>Abrir facsímil</v>
      </c>
      <c r="K3184" s="3" t="s">
        <v>23</v>
      </c>
    </row>
    <row r="3185" spans="1:11" ht="42" customHeight="1">
      <c r="A3185" s="2" t="s">
        <v>6691</v>
      </c>
      <c r="B3185" s="2" t="s">
        <v>6692</v>
      </c>
      <c r="C3185" s="2" t="s">
        <v>79</v>
      </c>
      <c r="D3185" s="2" t="s">
        <v>74</v>
      </c>
      <c r="E3185" s="5">
        <v>-27890</v>
      </c>
      <c r="F3185" s="3" t="s">
        <v>1573</v>
      </c>
      <c r="G3185" s="3" t="s">
        <v>20</v>
      </c>
      <c r="H3185" s="2" t="s">
        <v>21</v>
      </c>
      <c r="I3185" s="2" t="s">
        <v>6693</v>
      </c>
      <c r="J3185" s="3" t="str">
        <f>HYPERLINK("https://www.boe.es/gazeta/dias/1823/08/21/pdfs/GMD-1823-623.pdf#page=4","Abrir facsímil")</f>
        <v>Abrir facsímil</v>
      </c>
      <c r="K3185" s="3" t="s">
        <v>23</v>
      </c>
    </row>
    <row r="3186" spans="1:11" ht="42" customHeight="1">
      <c r="A3186" s="2" t="s">
        <v>6694</v>
      </c>
      <c r="B3186" s="2" t="s">
        <v>6695</v>
      </c>
      <c r="C3186" s="2" t="s">
        <v>17</v>
      </c>
      <c r="D3186" s="2" t="s">
        <v>18</v>
      </c>
      <c r="E3186" s="5">
        <v>-27906</v>
      </c>
      <c r="F3186" s="3" t="s">
        <v>241</v>
      </c>
      <c r="G3186" s="3" t="s">
        <v>59</v>
      </c>
      <c r="H3186" s="2" t="s">
        <v>21</v>
      </c>
      <c r="I3186" s="2" t="s">
        <v>6696</v>
      </c>
      <c r="J3186" s="3" t="str">
        <f>HYPERLINK("https://www.boe.es/gazeta/dias/1823/08/05/pdfs/GES-1823-117.pdf#page=6","Abrir facsímil")</f>
        <v>Abrir facsímil</v>
      </c>
      <c r="K3186" s="3" t="s">
        <v>23</v>
      </c>
    </row>
    <row r="3187" spans="1:11" ht="42" customHeight="1">
      <c r="A3187" s="2" t="s">
        <v>6697</v>
      </c>
      <c r="B3187" s="2" t="s">
        <v>6698</v>
      </c>
      <c r="C3187" s="2" t="s">
        <v>109</v>
      </c>
      <c r="D3187" s="2" t="s">
        <v>74</v>
      </c>
      <c r="E3187" s="5">
        <v>-27921</v>
      </c>
      <c r="F3187" s="3" t="s">
        <v>356</v>
      </c>
      <c r="G3187" s="3" t="s">
        <v>27</v>
      </c>
      <c r="H3187" s="2" t="s">
        <v>21</v>
      </c>
      <c r="I3187" s="2" t="s">
        <v>6699</v>
      </c>
      <c r="J3187" s="3" t="str">
        <f>HYPERLINK("https://www.boe.es/gazeta/dias/1823/07/21/pdfs/GES-1823-102.pdf#page=2","Abrir facsímil")</f>
        <v>Abrir facsímil</v>
      </c>
      <c r="K3187" s="3" t="s">
        <v>23</v>
      </c>
    </row>
    <row r="3188" spans="1:11" ht="42" customHeight="1">
      <c r="A3188" s="2" t="s">
        <v>6700</v>
      </c>
      <c r="B3188" s="2" t="s">
        <v>6701</v>
      </c>
      <c r="C3188" s="2" t="s">
        <v>109</v>
      </c>
      <c r="D3188" s="2" t="s">
        <v>74</v>
      </c>
      <c r="E3188" s="5">
        <v>-28110</v>
      </c>
      <c r="F3188" s="3" t="s">
        <v>249</v>
      </c>
      <c r="G3188" s="3" t="s">
        <v>39</v>
      </c>
      <c r="H3188" s="2" t="s">
        <v>21</v>
      </c>
      <c r="I3188" s="2" t="s">
        <v>6702</v>
      </c>
      <c r="J3188" s="3" t="str">
        <f>HYPERLINK("https://www.boe.es/gazeta/dias/1823/01/13/pdfs/GMD-1823-13.pdf#page=1","Abrir facsímil")</f>
        <v>Abrir facsímil</v>
      </c>
      <c r="K3188" s="3" t="s">
        <v>23</v>
      </c>
    </row>
    <row r="3189" spans="1:11" ht="42" customHeight="1">
      <c r="A3189" s="2" t="s">
        <v>6700</v>
      </c>
      <c r="B3189" s="2" t="s">
        <v>6701</v>
      </c>
      <c r="C3189" s="2" t="s">
        <v>17</v>
      </c>
      <c r="D3189" s="2" t="s">
        <v>18</v>
      </c>
      <c r="E3189" s="5">
        <v>-28001</v>
      </c>
      <c r="F3189" s="3" t="s">
        <v>768</v>
      </c>
      <c r="G3189" s="3" t="s">
        <v>2756</v>
      </c>
      <c r="H3189" s="2" t="s">
        <v>21</v>
      </c>
      <c r="I3189" s="2" t="s">
        <v>6703</v>
      </c>
      <c r="J3189" s="3" t="str">
        <f>HYPERLINK("https://www.boe.es/gazeta/dias/1823/05/02/pdfs/GES-1823-22.pdf#page=6","Abrir facsímil")</f>
        <v>Abrir facsímil</v>
      </c>
      <c r="K3189" s="3" t="s">
        <v>23</v>
      </c>
    </row>
    <row r="3190" spans="1:11" ht="42" customHeight="1">
      <c r="A3190" s="2" t="s">
        <v>6704</v>
      </c>
      <c r="B3190" s="2" t="s">
        <v>6705</v>
      </c>
      <c r="C3190" s="2" t="s">
        <v>17</v>
      </c>
      <c r="D3190" s="2" t="s">
        <v>18</v>
      </c>
      <c r="E3190" s="5">
        <v>-28101</v>
      </c>
      <c r="F3190" s="3" t="s">
        <v>1041</v>
      </c>
      <c r="G3190" s="3" t="s">
        <v>20</v>
      </c>
      <c r="H3190" s="2" t="s">
        <v>28</v>
      </c>
      <c r="I3190" s="2" t="s">
        <v>6706</v>
      </c>
      <c r="J3190" s="3" t="str">
        <f>HYPERLINK("https://www.boe.es/gazeta/dias/1823/01/22/pdfs/GMD-1823-23.pdf#page=4","Abrir facsímil")</f>
        <v>Abrir facsímil</v>
      </c>
      <c r="K3190" s="3" t="s">
        <v>30</v>
      </c>
    </row>
    <row r="3191" spans="1:11" ht="42" customHeight="1">
      <c r="A3191" s="2" t="s">
        <v>6707</v>
      </c>
      <c r="B3191" s="2" t="s">
        <v>6708</v>
      </c>
      <c r="C3191" s="2" t="s">
        <v>17</v>
      </c>
      <c r="D3191" s="2" t="s">
        <v>18</v>
      </c>
      <c r="E3191" s="5">
        <v>-27978</v>
      </c>
      <c r="F3191" s="3" t="s">
        <v>342</v>
      </c>
      <c r="G3191" s="3" t="s">
        <v>27</v>
      </c>
      <c r="H3191" s="2" t="s">
        <v>21</v>
      </c>
      <c r="I3191" s="2" t="s">
        <v>6709</v>
      </c>
      <c r="J3191" s="3" t="str">
        <f>HYPERLINK("https://www.boe.es/gazeta/dias/1823/05/25/pdfs/GES-1823-46.pdf#page=2","Abrir facsímil")</f>
        <v>Abrir facsímil</v>
      </c>
      <c r="K3191" s="3" t="s">
        <v>23</v>
      </c>
    </row>
    <row r="3192" spans="1:11" ht="42" customHeight="1">
      <c r="A3192" s="2" t="s">
        <v>6710</v>
      </c>
      <c r="B3192" s="2" t="s">
        <v>6711</v>
      </c>
      <c r="C3192" s="2" t="s">
        <v>17</v>
      </c>
      <c r="D3192" s="2" t="s">
        <v>18</v>
      </c>
      <c r="E3192" s="5">
        <v>-27967</v>
      </c>
      <c r="F3192" s="3" t="s">
        <v>412</v>
      </c>
      <c r="G3192" s="3" t="s">
        <v>27</v>
      </c>
      <c r="H3192" s="2" t="s">
        <v>28</v>
      </c>
      <c r="I3192" s="2" t="s">
        <v>6712</v>
      </c>
      <c r="J3192" s="3" t="str">
        <f>HYPERLINK("https://www.boe.es/gazeta/dias/1823/06/05/pdfs/GES-1823-59.pdf#page=2","Abrir facsímil")</f>
        <v>Abrir facsímil</v>
      </c>
      <c r="K3192" s="3" t="s">
        <v>30</v>
      </c>
    </row>
    <row r="3193" spans="1:11" ht="42" customHeight="1">
      <c r="A3193" s="2" t="s">
        <v>6713</v>
      </c>
      <c r="B3193" s="2" t="s">
        <v>6714</v>
      </c>
      <c r="C3193" s="2" t="s">
        <v>17</v>
      </c>
      <c r="D3193" s="2" t="s">
        <v>18</v>
      </c>
      <c r="E3193" s="5">
        <v>-27955</v>
      </c>
      <c r="F3193" s="3" t="s">
        <v>3015</v>
      </c>
      <c r="G3193" s="3" t="s">
        <v>48</v>
      </c>
      <c r="H3193" s="2" t="s">
        <v>21</v>
      </c>
      <c r="I3193" s="2" t="s">
        <v>6715</v>
      </c>
      <c r="J3193" s="3" t="str">
        <f>HYPERLINK("https://www.boe.es/gazeta/dias/1823/06/17/pdfs/GMD-1823-183.pdf#page=3","Abrir facsímil")</f>
        <v>Abrir facsímil</v>
      </c>
      <c r="K3193" s="3" t="s">
        <v>23</v>
      </c>
    </row>
    <row r="3194" spans="1:11" ht="42" customHeight="1">
      <c r="A3194" s="2" t="s">
        <v>6716</v>
      </c>
      <c r="B3194" s="2" t="s">
        <v>6717</v>
      </c>
      <c r="C3194" s="2" t="s">
        <v>17</v>
      </c>
      <c r="D3194" s="2" t="s">
        <v>18</v>
      </c>
      <c r="E3194" s="5">
        <v>-28091</v>
      </c>
      <c r="F3194" s="3" t="s">
        <v>1047</v>
      </c>
      <c r="G3194" s="3" t="s">
        <v>59</v>
      </c>
      <c r="H3194" s="2" t="s">
        <v>21</v>
      </c>
      <c r="I3194" s="2" t="s">
        <v>6718</v>
      </c>
      <c r="J3194" s="3" t="str">
        <f>HYPERLINK("https://www.boe.es/gazeta/dias/1823/02/01/pdfs/GMD-1823-34.pdf#page=6","Abrir facsímil")</f>
        <v>Abrir facsímil</v>
      </c>
      <c r="K3194" s="3" t="s">
        <v>23</v>
      </c>
    </row>
    <row r="3195" spans="1:11" ht="42" customHeight="1">
      <c r="A3195" s="2" t="s">
        <v>6719</v>
      </c>
      <c r="B3195" s="2" t="s">
        <v>6719</v>
      </c>
      <c r="C3195" s="2" t="s">
        <v>17</v>
      </c>
      <c r="D3195" s="2" t="s">
        <v>18</v>
      </c>
      <c r="E3195" s="5">
        <v>-28081</v>
      </c>
      <c r="F3195" s="3" t="s">
        <v>170</v>
      </c>
      <c r="G3195" s="3" t="s">
        <v>20</v>
      </c>
      <c r="H3195" s="2" t="s">
        <v>21</v>
      </c>
      <c r="I3195" s="2" t="s">
        <v>6720</v>
      </c>
      <c r="J3195" s="3" t="str">
        <f>HYPERLINK("https://www.boe.es/gazeta/dias/1823/02/11/pdfs/GMD-1823-45.pdf#page=4","Abrir facsímil")</f>
        <v>Abrir facsímil</v>
      </c>
      <c r="K3195" s="3" t="s">
        <v>23</v>
      </c>
    </row>
    <row r="3196" spans="1:11" ht="42" customHeight="1">
      <c r="A3196" s="2" t="s">
        <v>6721</v>
      </c>
      <c r="B3196" s="2" t="s">
        <v>6721</v>
      </c>
      <c r="C3196" s="2" t="s">
        <v>79</v>
      </c>
      <c r="D3196" s="2" t="s">
        <v>74</v>
      </c>
      <c r="E3196" s="5">
        <v>-27970</v>
      </c>
      <c r="F3196" s="3" t="s">
        <v>1030</v>
      </c>
      <c r="G3196" s="3" t="s">
        <v>27</v>
      </c>
      <c r="H3196" s="2" t="s">
        <v>21</v>
      </c>
      <c r="I3196" s="2" t="s">
        <v>6722</v>
      </c>
      <c r="J3196" s="3" t="str">
        <f>HYPERLINK("https://www.boe.es/gazeta/dias/1823/06/02/pdfs/GES-1823-56.pdf#page=2","Abrir facsímil")</f>
        <v>Abrir facsímil</v>
      </c>
      <c r="K3196" s="3" t="s">
        <v>23</v>
      </c>
    </row>
    <row r="3197" spans="1:11" ht="42" customHeight="1">
      <c r="A3197" s="2" t="s">
        <v>6723</v>
      </c>
      <c r="B3197" s="2" t="s">
        <v>6723</v>
      </c>
      <c r="C3197" s="2" t="s">
        <v>56</v>
      </c>
      <c r="D3197" s="2" t="s">
        <v>57</v>
      </c>
      <c r="E3197" s="5">
        <v>-27934</v>
      </c>
      <c r="F3197" s="3" t="s">
        <v>634</v>
      </c>
      <c r="G3197" s="3" t="s">
        <v>59</v>
      </c>
      <c r="H3197" s="2" t="s">
        <v>21</v>
      </c>
      <c r="I3197" s="2" t="s">
        <v>6724</v>
      </c>
      <c r="J3197" s="3" t="str">
        <f>HYPERLINK("https://www.boe.es/gazeta/dias/1823/07/08/pdfs/GMD-1823-353.pdf#page=6","Abrir facsímil")</f>
        <v>Abrir facsímil</v>
      </c>
      <c r="K3197" s="3" t="s">
        <v>23</v>
      </c>
    </row>
    <row r="3198" spans="1:11" ht="42" customHeight="1">
      <c r="A3198" s="2" t="s">
        <v>6723</v>
      </c>
      <c r="B3198" s="2" t="s">
        <v>6723</v>
      </c>
      <c r="C3198" s="2" t="s">
        <v>17</v>
      </c>
      <c r="D3198" s="2" t="s">
        <v>18</v>
      </c>
      <c r="E3198" s="5">
        <v>-27930</v>
      </c>
      <c r="F3198" s="3" t="s">
        <v>2334</v>
      </c>
      <c r="G3198" s="3" t="s">
        <v>20</v>
      </c>
      <c r="H3198" s="2" t="s">
        <v>21</v>
      </c>
      <c r="I3198" s="2" t="s">
        <v>6725</v>
      </c>
      <c r="J3198" s="3" t="str">
        <f>HYPERLINK("https://www.boe.es/gazeta/dias/1823/07/12/pdfs/GES-1823-92.pdf#page=4","Abrir facsímil")</f>
        <v>Abrir facsímil</v>
      </c>
      <c r="K3198" s="3" t="s">
        <v>23</v>
      </c>
    </row>
    <row r="3199" spans="1:11" ht="42" customHeight="1">
      <c r="A3199" s="2" t="s">
        <v>6726</v>
      </c>
      <c r="B3199" s="2" t="s">
        <v>6726</v>
      </c>
      <c r="C3199" s="2" t="s">
        <v>79</v>
      </c>
      <c r="D3199" s="2" t="s">
        <v>74</v>
      </c>
      <c r="E3199" s="5">
        <v>-27891</v>
      </c>
      <c r="F3199" s="3" t="s">
        <v>825</v>
      </c>
      <c r="G3199" s="3" t="s">
        <v>20</v>
      </c>
      <c r="H3199" s="2" t="s">
        <v>21</v>
      </c>
      <c r="I3199" s="2" t="s">
        <v>6727</v>
      </c>
      <c r="J3199" s="3" t="str">
        <f>HYPERLINK("https://www.boe.es/gazeta/dias/1823/08/20/pdfs/GES-1823-133.pdf#page=4","Abrir facsímil")</f>
        <v>Abrir facsímil</v>
      </c>
      <c r="K3199" s="3" t="s">
        <v>23</v>
      </c>
    </row>
    <row r="3200" spans="1:11" ht="42" customHeight="1">
      <c r="A3200" s="2" t="s">
        <v>6728</v>
      </c>
      <c r="B3200" s="2" t="s">
        <v>6728</v>
      </c>
      <c r="C3200" s="2" t="s">
        <v>17</v>
      </c>
      <c r="D3200" s="2" t="s">
        <v>18</v>
      </c>
      <c r="E3200" s="5">
        <v>-28109</v>
      </c>
      <c r="F3200" s="3" t="s">
        <v>889</v>
      </c>
      <c r="G3200" s="3" t="s">
        <v>20</v>
      </c>
      <c r="H3200" s="2" t="s">
        <v>21</v>
      </c>
      <c r="I3200" s="2" t="s">
        <v>6729</v>
      </c>
      <c r="J3200" s="3" t="str">
        <f>HYPERLINK("https://www.boe.es/gazeta/dias/1823/01/14/pdfs/GMD-1823-14.pdf#page=4","Abrir facsímil")</f>
        <v>Abrir facsímil</v>
      </c>
      <c r="K3200" s="3" t="s">
        <v>23</v>
      </c>
    </row>
    <row r="3201" spans="1:11" ht="42" customHeight="1">
      <c r="A3201" s="2" t="s">
        <v>6728</v>
      </c>
      <c r="B3201" s="2" t="s">
        <v>6728</v>
      </c>
      <c r="C3201" s="2" t="s">
        <v>17</v>
      </c>
      <c r="D3201" s="2" t="s">
        <v>18</v>
      </c>
      <c r="E3201" s="5">
        <v>-28026</v>
      </c>
      <c r="F3201" s="3" t="s">
        <v>937</v>
      </c>
      <c r="G3201" s="3" t="s">
        <v>5269</v>
      </c>
      <c r="H3201" s="2" t="s">
        <v>21</v>
      </c>
      <c r="I3201" s="2" t="s">
        <v>6730</v>
      </c>
      <c r="J3201" s="3" t="str">
        <f>HYPERLINK("https://www.boe.es/gazeta/dias/1823/04/07/pdfs/GMD-1823-102.pdf#page=4","Abrir facsímil")</f>
        <v>Abrir facsímil</v>
      </c>
      <c r="K3201" s="3" t="s">
        <v>23</v>
      </c>
    </row>
    <row r="3202" spans="1:11" ht="42" customHeight="1">
      <c r="A3202" s="2" t="s">
        <v>6728</v>
      </c>
      <c r="B3202" s="2" t="s">
        <v>6728</v>
      </c>
      <c r="C3202" s="2" t="s">
        <v>79</v>
      </c>
      <c r="D3202" s="2" t="s">
        <v>74</v>
      </c>
      <c r="E3202" s="5">
        <v>-27989</v>
      </c>
      <c r="F3202" s="3" t="s">
        <v>1134</v>
      </c>
      <c r="G3202" s="3" t="s">
        <v>27</v>
      </c>
      <c r="H3202" s="2" t="s">
        <v>21</v>
      </c>
      <c r="I3202" s="2" t="s">
        <v>6731</v>
      </c>
      <c r="J3202" s="3" t="str">
        <f>HYPERLINK("https://www.boe.es/gazeta/dias/1823/05/14/pdfs/GES-1823-34.pdf#page=2","Abrir facsímil")</f>
        <v>Abrir facsímil</v>
      </c>
      <c r="K3202" s="3" t="s">
        <v>23</v>
      </c>
    </row>
    <row r="3203" spans="1:11" ht="42" customHeight="1">
      <c r="A3203" s="2" t="s">
        <v>6728</v>
      </c>
      <c r="B3203" s="2" t="s">
        <v>6728</v>
      </c>
      <c r="C3203" s="2" t="s">
        <v>17</v>
      </c>
      <c r="D3203" s="2" t="s">
        <v>18</v>
      </c>
      <c r="E3203" s="5">
        <v>-27901</v>
      </c>
      <c r="F3203" s="3" t="s">
        <v>840</v>
      </c>
      <c r="G3203" s="3" t="s">
        <v>20</v>
      </c>
      <c r="H3203" s="2" t="s">
        <v>21</v>
      </c>
      <c r="I3203" s="2" t="s">
        <v>6732</v>
      </c>
      <c r="J3203" s="3" t="str">
        <f>HYPERLINK("https://www.boe.es/gazeta/dias/1823/08/10/pdfs/GES-1823-123.pdf#page=4","Abrir facsímil")</f>
        <v>Abrir facsímil</v>
      </c>
      <c r="K3203" s="3" t="s">
        <v>23</v>
      </c>
    </row>
    <row r="3204" spans="1:11" ht="42" customHeight="1">
      <c r="A3204" s="2" t="s">
        <v>6728</v>
      </c>
      <c r="B3204" s="2" t="s">
        <v>6728</v>
      </c>
      <c r="C3204" s="2" t="s">
        <v>17</v>
      </c>
      <c r="D3204" s="2" t="s">
        <v>18</v>
      </c>
      <c r="E3204" s="5">
        <v>-27892</v>
      </c>
      <c r="F3204" s="3" t="s">
        <v>1571</v>
      </c>
      <c r="G3204" s="3" t="s">
        <v>48</v>
      </c>
      <c r="H3204" s="2" t="s">
        <v>21</v>
      </c>
      <c r="I3204" s="2" t="s">
        <v>6733</v>
      </c>
      <c r="J3204" s="3" t="str">
        <f>HYPERLINK("https://www.boe.es/gazeta/dias/1823/08/19/pdfs/GMD-1823-613.pdf#page=3","Abrir facsímil")</f>
        <v>Abrir facsímil</v>
      </c>
      <c r="K3204" s="3" t="s">
        <v>23</v>
      </c>
    </row>
    <row r="3205" spans="1:11" ht="42" customHeight="1">
      <c r="A3205" s="2" t="s">
        <v>6728</v>
      </c>
      <c r="B3205" s="2" t="s">
        <v>6728</v>
      </c>
      <c r="C3205" s="2" t="s">
        <v>73</v>
      </c>
      <c r="D3205" s="2" t="s">
        <v>74</v>
      </c>
      <c r="E3205" s="5">
        <v>-27879</v>
      </c>
      <c r="F3205" s="3" t="s">
        <v>638</v>
      </c>
      <c r="G3205" s="3" t="s">
        <v>20</v>
      </c>
      <c r="H3205" s="2" t="s">
        <v>21</v>
      </c>
      <c r="I3205" s="2" t="s">
        <v>6734</v>
      </c>
      <c r="J3205" s="3" t="str">
        <f>HYPERLINK("https://www.boe.es/gazeta/dias/1823/09/01/pdfs/GES-1823-145.pdf#page=4","Abrir facsímil")</f>
        <v>Abrir facsímil</v>
      </c>
      <c r="K3205" s="3" t="s">
        <v>23</v>
      </c>
    </row>
    <row r="3206" spans="1:11" ht="42" customHeight="1">
      <c r="A3206" s="2" t="s">
        <v>6728</v>
      </c>
      <c r="B3206" s="2" t="s">
        <v>6728</v>
      </c>
      <c r="C3206" s="2" t="s">
        <v>17</v>
      </c>
      <c r="D3206" s="2" t="s">
        <v>18</v>
      </c>
      <c r="E3206" s="5">
        <v>-27853</v>
      </c>
      <c r="F3206" s="3" t="s">
        <v>2626</v>
      </c>
      <c r="G3206" s="3" t="s">
        <v>20</v>
      </c>
      <c r="H3206" s="2" t="s">
        <v>21</v>
      </c>
      <c r="I3206" s="2" t="s">
        <v>6735</v>
      </c>
      <c r="J3206" s="3" t="str">
        <f>HYPERLINK("https://www.boe.es/gazeta/dias/1823/09/27/pdfs/GES-1823-171.pdf#page=4","Abrir facsímil")</f>
        <v>Abrir facsímil</v>
      </c>
      <c r="K3206" s="3" t="s">
        <v>23</v>
      </c>
    </row>
    <row r="3207" spans="1:11" ht="42" customHeight="1">
      <c r="A3207" s="2" t="s">
        <v>6728</v>
      </c>
      <c r="B3207" s="2" t="s">
        <v>6728</v>
      </c>
      <c r="C3207" s="2" t="s">
        <v>79</v>
      </c>
      <c r="D3207" s="2" t="s">
        <v>74</v>
      </c>
      <c r="E3207" s="5">
        <v>-27801</v>
      </c>
      <c r="F3207" s="3" t="s">
        <v>800</v>
      </c>
      <c r="G3207" s="3" t="s">
        <v>20</v>
      </c>
      <c r="H3207" s="2" t="s">
        <v>21</v>
      </c>
      <c r="I3207" s="2" t="s">
        <v>6736</v>
      </c>
      <c r="J3207" s="3" t="str">
        <f>HYPERLINK("https://www.boe.es/gazeta/dias/1823/11/18/pdfs/GMD-1823-1133.pdf#page=4","Abrir facsímil")</f>
        <v>Abrir facsímil</v>
      </c>
      <c r="K3207" s="3" t="s">
        <v>23</v>
      </c>
    </row>
    <row r="3208" spans="1:11" ht="42" customHeight="1">
      <c r="A3208" s="2" t="s">
        <v>6737</v>
      </c>
      <c r="B3208" s="2" t="s">
        <v>6737</v>
      </c>
      <c r="C3208" s="2" t="s">
        <v>56</v>
      </c>
      <c r="D3208" s="2" t="s">
        <v>57</v>
      </c>
      <c r="E3208" s="5">
        <v>-28104</v>
      </c>
      <c r="F3208" s="3" t="s">
        <v>114</v>
      </c>
      <c r="G3208" s="3" t="s">
        <v>27</v>
      </c>
      <c r="H3208" s="2" t="s">
        <v>21</v>
      </c>
      <c r="I3208" s="2" t="s">
        <v>6738</v>
      </c>
      <c r="J3208" s="3" t="str">
        <f>HYPERLINK("https://www.boe.es/gazeta/dias/1823/01/19/pdfs/GMD-1823-19.pdf#page=2","Abrir facsímil")</f>
        <v>Abrir facsímil</v>
      </c>
      <c r="K3208" s="3" t="s">
        <v>23</v>
      </c>
    </row>
    <row r="3209" spans="1:11" ht="42" customHeight="1">
      <c r="A3209" s="2" t="s">
        <v>6737</v>
      </c>
      <c r="B3209" s="2" t="s">
        <v>6737</v>
      </c>
      <c r="C3209" s="2" t="s">
        <v>17</v>
      </c>
      <c r="D3209" s="2" t="s">
        <v>18</v>
      </c>
      <c r="E3209" s="5">
        <v>-28082</v>
      </c>
      <c r="F3209" s="3" t="s">
        <v>468</v>
      </c>
      <c r="G3209" s="3" t="s">
        <v>20</v>
      </c>
      <c r="H3209" s="2" t="s">
        <v>21</v>
      </c>
      <c r="I3209" s="2" t="s">
        <v>6739</v>
      </c>
      <c r="J3209" s="3" t="str">
        <f>HYPERLINK("https://www.boe.es/gazeta/dias/1823/02/10/pdfs/GMD-1823-44.pdf#page=4","Abrir facsímil")</f>
        <v>Abrir facsímil</v>
      </c>
      <c r="K3209" s="3" t="s">
        <v>23</v>
      </c>
    </row>
    <row r="3210" spans="1:11" ht="42" customHeight="1">
      <c r="A3210" s="2" t="s">
        <v>6737</v>
      </c>
      <c r="B3210" s="2" t="s">
        <v>6737</v>
      </c>
      <c r="C3210" s="2" t="s">
        <v>79</v>
      </c>
      <c r="D3210" s="2" t="s">
        <v>74</v>
      </c>
      <c r="E3210" s="5">
        <v>-28071</v>
      </c>
      <c r="F3210" s="3" t="s">
        <v>587</v>
      </c>
      <c r="G3210" s="3" t="s">
        <v>27</v>
      </c>
      <c r="H3210" s="2" t="s">
        <v>21</v>
      </c>
      <c r="I3210" s="2" t="s">
        <v>6740</v>
      </c>
      <c r="J3210" s="3" t="str">
        <f>HYPERLINK("https://www.boe.es/gazeta/dias/1823/02/21/pdfs/GMD-1823-55.pdf#page=2","Abrir facsímil")</f>
        <v>Abrir facsímil</v>
      </c>
      <c r="K3210" s="3" t="s">
        <v>23</v>
      </c>
    </row>
    <row r="3211" spans="1:11" ht="42" customHeight="1">
      <c r="A3211" s="2" t="s">
        <v>6737</v>
      </c>
      <c r="B3211" s="2" t="s">
        <v>6737</v>
      </c>
      <c r="C3211" s="2" t="s">
        <v>109</v>
      </c>
      <c r="D3211" s="2" t="s">
        <v>74</v>
      </c>
      <c r="E3211" s="5">
        <v>-27998</v>
      </c>
      <c r="F3211" s="3" t="s">
        <v>1058</v>
      </c>
      <c r="G3211" s="3" t="s">
        <v>34</v>
      </c>
      <c r="H3211" s="2" t="s">
        <v>21</v>
      </c>
      <c r="I3211" s="2" t="s">
        <v>6741</v>
      </c>
      <c r="J3211" s="3" t="str">
        <f>HYPERLINK("https://www.boe.es/gazeta/dias/1823/05/05/pdfs/GES-1823-25.pdf#page=5","Abrir facsímil")</f>
        <v>Abrir facsímil</v>
      </c>
      <c r="K3211" s="3" t="s">
        <v>23</v>
      </c>
    </row>
    <row r="3212" spans="1:11" ht="42" customHeight="1">
      <c r="A3212" s="2" t="s">
        <v>6737</v>
      </c>
      <c r="B3212" s="2" t="s">
        <v>6737</v>
      </c>
      <c r="C3212" s="2" t="s">
        <v>56</v>
      </c>
      <c r="D3212" s="2" t="s">
        <v>57</v>
      </c>
      <c r="E3212" s="5">
        <v>-27997</v>
      </c>
      <c r="F3212" s="3" t="s">
        <v>317</v>
      </c>
      <c r="G3212" s="3" t="s">
        <v>318</v>
      </c>
      <c r="H3212" s="2" t="s">
        <v>21</v>
      </c>
      <c r="I3212" s="2" t="s">
        <v>6742</v>
      </c>
      <c r="J3212" s="3" t="str">
        <f>HYPERLINK("https://www.boe.es/gazeta/dias/1823/05/06/pdfs/GES-1823-26.pdf#page=3","Abrir facsímil")</f>
        <v>Abrir facsímil</v>
      </c>
      <c r="K3212" s="3" t="s">
        <v>23</v>
      </c>
    </row>
    <row r="3213" spans="1:11" ht="42" customHeight="1">
      <c r="A3213" s="2" t="s">
        <v>6737</v>
      </c>
      <c r="B3213" s="2" t="s">
        <v>6737</v>
      </c>
      <c r="C3213" s="2" t="s">
        <v>79</v>
      </c>
      <c r="D3213" s="2" t="s">
        <v>74</v>
      </c>
      <c r="E3213" s="5">
        <v>-27987</v>
      </c>
      <c r="F3213" s="3" t="s">
        <v>332</v>
      </c>
      <c r="G3213" s="3" t="s">
        <v>48</v>
      </c>
      <c r="H3213" s="2" t="s">
        <v>21</v>
      </c>
      <c r="I3213" s="2" t="s">
        <v>6743</v>
      </c>
      <c r="J3213" s="3" t="str">
        <f>HYPERLINK("https://www.boe.es/gazeta/dias/1823/05/16/pdfs/GES-1823-36.pdf#page=3","Abrir facsímil")</f>
        <v>Abrir facsímil</v>
      </c>
      <c r="K3213" s="3" t="s">
        <v>23</v>
      </c>
    </row>
    <row r="3214" spans="1:11" ht="42" customHeight="1">
      <c r="A3214" s="2" t="s">
        <v>6737</v>
      </c>
      <c r="B3214" s="2" t="s">
        <v>6737</v>
      </c>
      <c r="C3214" s="2" t="s">
        <v>109</v>
      </c>
      <c r="D3214" s="2" t="s">
        <v>74</v>
      </c>
      <c r="E3214" s="5">
        <v>-27985</v>
      </c>
      <c r="F3214" s="3" t="s">
        <v>951</v>
      </c>
      <c r="G3214" s="3" t="s">
        <v>39</v>
      </c>
      <c r="H3214" s="2" t="s">
        <v>21</v>
      </c>
      <c r="I3214" s="2" t="s">
        <v>6744</v>
      </c>
      <c r="J3214" s="3" t="str">
        <f>HYPERLINK("https://www.boe.es/gazeta/dias/1823/05/18/pdfs/GES-1823-38.pdf#page=1","Abrir facsímil")</f>
        <v>Abrir facsímil</v>
      </c>
      <c r="K3214" s="3" t="s">
        <v>23</v>
      </c>
    </row>
    <row r="3215" spans="1:11" ht="42" customHeight="1">
      <c r="A3215" s="2" t="s">
        <v>6737</v>
      </c>
      <c r="B3215" s="2" t="s">
        <v>6737</v>
      </c>
      <c r="C3215" s="2" t="s">
        <v>84</v>
      </c>
      <c r="D3215" s="2" t="s">
        <v>74</v>
      </c>
      <c r="E3215" s="5">
        <v>-27984</v>
      </c>
      <c r="F3215" s="3" t="s">
        <v>335</v>
      </c>
      <c r="G3215" s="3" t="s">
        <v>48</v>
      </c>
      <c r="H3215" s="2" t="s">
        <v>21</v>
      </c>
      <c r="I3215" s="2" t="s">
        <v>6745</v>
      </c>
      <c r="J3215" s="3" t="str">
        <f>HYPERLINK("https://www.boe.es/gazeta/dias/1823/05/19/pdfs/GES-1823-39.pdf#page=3","Abrir facsímil")</f>
        <v>Abrir facsímil</v>
      </c>
      <c r="K3215" s="3" t="s">
        <v>23</v>
      </c>
    </row>
    <row r="3216" spans="1:11" ht="42" customHeight="1">
      <c r="A3216" s="2" t="s">
        <v>6737</v>
      </c>
      <c r="B3216" s="2" t="s">
        <v>6737</v>
      </c>
      <c r="C3216" s="2" t="s">
        <v>109</v>
      </c>
      <c r="D3216" s="2" t="s">
        <v>74</v>
      </c>
      <c r="E3216" s="5">
        <v>-27984</v>
      </c>
      <c r="F3216" s="3" t="s">
        <v>335</v>
      </c>
      <c r="G3216" s="3" t="s">
        <v>20</v>
      </c>
      <c r="H3216" s="2" t="s">
        <v>21</v>
      </c>
      <c r="I3216" s="2" t="s">
        <v>6746</v>
      </c>
      <c r="J3216" s="3" t="str">
        <f>HYPERLINK("https://www.boe.es/gazeta/dias/1823/05/19/pdfs/GES-1823-39.pdf#page=4","Abrir facsímil")</f>
        <v>Abrir facsímil</v>
      </c>
      <c r="K3216" s="3" t="s">
        <v>23</v>
      </c>
    </row>
    <row r="3217" spans="1:11" ht="42" customHeight="1">
      <c r="A3217" s="2" t="s">
        <v>6737</v>
      </c>
      <c r="B3217" s="2" t="s">
        <v>6737</v>
      </c>
      <c r="C3217" s="2" t="s">
        <v>73</v>
      </c>
      <c r="D3217" s="2" t="s">
        <v>74</v>
      </c>
      <c r="E3217" s="5">
        <v>-27970</v>
      </c>
      <c r="F3217" s="3" t="s">
        <v>1030</v>
      </c>
      <c r="G3217" s="3" t="s">
        <v>27</v>
      </c>
      <c r="H3217" s="2" t="s">
        <v>21</v>
      </c>
      <c r="I3217" s="2" t="s">
        <v>6747</v>
      </c>
      <c r="J3217" s="3" t="str">
        <f>HYPERLINK("https://www.boe.es/gazeta/dias/1823/06/02/pdfs/GES-1823-56.pdf#page=2","Abrir facsímil")</f>
        <v>Abrir facsímil</v>
      </c>
      <c r="K3217" s="3" t="s">
        <v>23</v>
      </c>
    </row>
    <row r="3218" spans="1:11" ht="42" customHeight="1">
      <c r="A3218" s="2" t="s">
        <v>6748</v>
      </c>
      <c r="B3218" s="2" t="s">
        <v>6749</v>
      </c>
      <c r="C3218" s="2" t="s">
        <v>79</v>
      </c>
      <c r="D3218" s="2" t="s">
        <v>74</v>
      </c>
      <c r="E3218" s="5">
        <v>-27901</v>
      </c>
      <c r="F3218" s="3" t="s">
        <v>840</v>
      </c>
      <c r="G3218" s="3" t="s">
        <v>20</v>
      </c>
      <c r="H3218" s="2" t="s">
        <v>21</v>
      </c>
      <c r="I3218" s="2" t="s">
        <v>6750</v>
      </c>
      <c r="J3218" s="3" t="str">
        <f>HYPERLINK("https://www.boe.es/gazeta/dias/1823/08/10/pdfs/GES-1823-123.pdf#page=4","Abrir facsímil")</f>
        <v>Abrir facsímil</v>
      </c>
      <c r="K3218" s="3" t="s">
        <v>23</v>
      </c>
    </row>
    <row r="3219" spans="1:11" ht="42" customHeight="1">
      <c r="A3219" s="2" t="s">
        <v>6748</v>
      </c>
      <c r="B3219" s="2" t="s">
        <v>6749</v>
      </c>
      <c r="C3219" s="2" t="s">
        <v>17</v>
      </c>
      <c r="D3219" s="2" t="s">
        <v>18</v>
      </c>
      <c r="E3219" s="5">
        <v>-27891</v>
      </c>
      <c r="F3219" s="3" t="s">
        <v>825</v>
      </c>
      <c r="G3219" s="3" t="s">
        <v>20</v>
      </c>
      <c r="H3219" s="2" t="s">
        <v>21</v>
      </c>
      <c r="I3219" s="2" t="s">
        <v>6751</v>
      </c>
      <c r="J3219" s="3" t="str">
        <f>HYPERLINK("https://www.boe.es/gazeta/dias/1823/08/20/pdfs/GES-1823-133.pdf#page=4","Abrir facsímil")</f>
        <v>Abrir facsímil</v>
      </c>
      <c r="K3219" s="3" t="s">
        <v>23</v>
      </c>
    </row>
    <row r="3220" spans="1:11" ht="42" customHeight="1">
      <c r="A3220" s="2" t="s">
        <v>6748</v>
      </c>
      <c r="B3220" s="2" t="s">
        <v>6749</v>
      </c>
      <c r="C3220" s="2" t="s">
        <v>56</v>
      </c>
      <c r="D3220" s="2" t="s">
        <v>57</v>
      </c>
      <c r="E3220" s="5">
        <v>-27879</v>
      </c>
      <c r="F3220" s="3" t="s">
        <v>638</v>
      </c>
      <c r="G3220" s="3" t="s">
        <v>20</v>
      </c>
      <c r="H3220" s="2" t="s">
        <v>21</v>
      </c>
      <c r="I3220" s="2" t="s">
        <v>6752</v>
      </c>
      <c r="J3220" s="3" t="str">
        <f>HYPERLINK("https://www.boe.es/gazeta/dias/1823/09/01/pdfs/GES-1823-145.pdf#page=4","Abrir facsímil")</f>
        <v>Abrir facsímil</v>
      </c>
      <c r="K3220" s="3" t="s">
        <v>23</v>
      </c>
    </row>
    <row r="3221" spans="1:11" ht="42" customHeight="1">
      <c r="A3221" s="2" t="s">
        <v>6753</v>
      </c>
      <c r="B3221" s="2" t="s">
        <v>6754</v>
      </c>
      <c r="C3221" s="2" t="s">
        <v>293</v>
      </c>
      <c r="D3221" s="2" t="s">
        <v>74</v>
      </c>
      <c r="E3221" s="5">
        <v>-28048</v>
      </c>
      <c r="F3221" s="3" t="s">
        <v>399</v>
      </c>
      <c r="G3221" s="3" t="s">
        <v>59</v>
      </c>
      <c r="H3221" s="2" t="s">
        <v>21</v>
      </c>
      <c r="I3221" s="2" t="s">
        <v>6755</v>
      </c>
      <c r="J3221" s="3" t="str">
        <f>HYPERLINK("https://www.boe.es/gazeta/dias/1823/03/16/pdfs/GMD-1823-79.pdf#page=6","Abrir facsímil")</f>
        <v>Abrir facsímil</v>
      </c>
      <c r="K3221" s="3" t="s">
        <v>23</v>
      </c>
    </row>
    <row r="3222" spans="1:11" ht="42" customHeight="1">
      <c r="A3222" s="2" t="s">
        <v>6756</v>
      </c>
      <c r="B3222" s="2" t="s">
        <v>6757</v>
      </c>
      <c r="C3222" s="2" t="s">
        <v>17</v>
      </c>
      <c r="D3222" s="2" t="s">
        <v>18</v>
      </c>
      <c r="E3222" s="5">
        <v>-28095</v>
      </c>
      <c r="F3222" s="3" t="s">
        <v>1770</v>
      </c>
      <c r="G3222" s="3" t="s">
        <v>20</v>
      </c>
      <c r="H3222" s="2" t="s">
        <v>21</v>
      </c>
      <c r="I3222" s="2" t="s">
        <v>6758</v>
      </c>
      <c r="J3222" s="3" t="str">
        <f>HYPERLINK("https://www.boe.es/gazeta/dias/1823/01/28/pdfs/GMD-1823-29.pdf#page=4","Abrir facsímil")</f>
        <v>Abrir facsímil</v>
      </c>
      <c r="K3222" s="3" t="s">
        <v>23</v>
      </c>
    </row>
    <row r="3223" spans="1:11" ht="42" customHeight="1">
      <c r="A3223" s="2" t="s">
        <v>6759</v>
      </c>
      <c r="B3223" s="2" t="s">
        <v>6760</v>
      </c>
      <c r="C3223" s="2" t="s">
        <v>79</v>
      </c>
      <c r="D3223" s="2" t="s">
        <v>74</v>
      </c>
      <c r="E3223" s="5">
        <v>-27972</v>
      </c>
      <c r="F3223" s="3" t="s">
        <v>429</v>
      </c>
      <c r="G3223" s="3" t="s">
        <v>48</v>
      </c>
      <c r="H3223" s="2" t="s">
        <v>21</v>
      </c>
      <c r="I3223" s="2" t="s">
        <v>6761</v>
      </c>
      <c r="J3223" s="3" t="str">
        <f>HYPERLINK("https://www.boe.es/gazeta/dias/1823/05/31/pdfs/GES-1823-54.pdf#page=3","Abrir facsímil")</f>
        <v>Abrir facsímil</v>
      </c>
      <c r="K3223" s="3" t="s">
        <v>23</v>
      </c>
    </row>
    <row r="3224" spans="1:11" ht="42" customHeight="1">
      <c r="A3224" s="2" t="s">
        <v>6762</v>
      </c>
      <c r="B3224" s="2" t="s">
        <v>6763</v>
      </c>
      <c r="C3224" s="2" t="s">
        <v>109</v>
      </c>
      <c r="D3224" s="2" t="s">
        <v>74</v>
      </c>
      <c r="E3224" s="5">
        <v>-27941</v>
      </c>
      <c r="F3224" s="3" t="s">
        <v>527</v>
      </c>
      <c r="G3224" s="3" t="s">
        <v>20</v>
      </c>
      <c r="H3224" s="2" t="s">
        <v>21</v>
      </c>
      <c r="I3224" s="2" t="s">
        <v>6764</v>
      </c>
      <c r="J3224" s="3" t="str">
        <f>HYPERLINK("https://www.boe.es/gazeta/dias/1823/07/01/pdfs/GES-1823-81.pdf#page=4","Abrir facsímil")</f>
        <v>Abrir facsímil</v>
      </c>
      <c r="K3224" s="3" t="s">
        <v>23</v>
      </c>
    </row>
    <row r="3225" spans="1:11" ht="42" customHeight="1">
      <c r="A3225" s="2" t="s">
        <v>6765</v>
      </c>
      <c r="B3225" s="2" t="s">
        <v>6765</v>
      </c>
      <c r="C3225" s="2" t="s">
        <v>79</v>
      </c>
      <c r="D3225" s="2" t="s">
        <v>74</v>
      </c>
      <c r="E3225" s="5">
        <v>-28035</v>
      </c>
      <c r="F3225" s="3" t="s">
        <v>138</v>
      </c>
      <c r="G3225" s="3" t="s">
        <v>48</v>
      </c>
      <c r="H3225" s="2" t="s">
        <v>21</v>
      </c>
      <c r="I3225" s="2" t="s">
        <v>6766</v>
      </c>
      <c r="J3225" s="3" t="str">
        <f>HYPERLINK("https://www.boe.es/gazeta/dias/1823/03/29/pdfs/GMD-1823-92.pdf#page=3","Abrir facsímil")</f>
        <v>Abrir facsímil</v>
      </c>
      <c r="K3225" s="3" t="s">
        <v>23</v>
      </c>
    </row>
    <row r="3226" spans="1:11" ht="42" customHeight="1">
      <c r="A3226" s="2" t="s">
        <v>6767</v>
      </c>
      <c r="B3226" s="2" t="s">
        <v>6768</v>
      </c>
      <c r="C3226" s="2" t="s">
        <v>17</v>
      </c>
      <c r="D3226" s="2" t="s">
        <v>18</v>
      </c>
      <c r="E3226" s="5">
        <v>-27895</v>
      </c>
      <c r="F3226" s="3" t="s">
        <v>734</v>
      </c>
      <c r="G3226" s="3" t="s">
        <v>20</v>
      </c>
      <c r="H3226" s="2" t="s">
        <v>21</v>
      </c>
      <c r="I3226" s="2" t="s">
        <v>6769</v>
      </c>
      <c r="J3226" s="3" t="str">
        <f>HYPERLINK("https://www.boe.es/gazeta/dias/1823/08/16/pdfs/GES-1823-129.pdf#page=4","Abrir facsímil")</f>
        <v>Abrir facsímil</v>
      </c>
      <c r="K3226" s="3" t="s">
        <v>23</v>
      </c>
    </row>
    <row r="3227" spans="1:11" ht="42" customHeight="1">
      <c r="A3227" s="2" t="s">
        <v>6770</v>
      </c>
      <c r="B3227" s="2" t="s">
        <v>6770</v>
      </c>
      <c r="C3227" s="2" t="s">
        <v>17</v>
      </c>
      <c r="D3227" s="2" t="s">
        <v>18</v>
      </c>
      <c r="E3227" s="5">
        <v>-28025</v>
      </c>
      <c r="F3227" s="3" t="s">
        <v>477</v>
      </c>
      <c r="G3227" s="3" t="s">
        <v>48</v>
      </c>
      <c r="H3227" s="2" t="s">
        <v>21</v>
      </c>
      <c r="I3227" s="2" t="s">
        <v>6771</v>
      </c>
      <c r="J3227" s="3" t="str">
        <f>HYPERLINK("https://www.boe.es/gazeta/dias/1823/04/08/pdfs/GMD-1823-103.pdf#page=3","Abrir facsímil")</f>
        <v>Abrir facsímil</v>
      </c>
      <c r="K3227" s="3" t="s">
        <v>23</v>
      </c>
    </row>
    <row r="3228" spans="1:11" ht="42" customHeight="1">
      <c r="A3228" s="2" t="s">
        <v>6770</v>
      </c>
      <c r="B3228" s="2" t="s">
        <v>6770</v>
      </c>
      <c r="C3228" s="2" t="s">
        <v>17</v>
      </c>
      <c r="D3228" s="2" t="s">
        <v>18</v>
      </c>
      <c r="E3228" s="5">
        <v>-28021</v>
      </c>
      <c r="F3228" s="3" t="s">
        <v>2669</v>
      </c>
      <c r="G3228" s="3" t="s">
        <v>48</v>
      </c>
      <c r="H3228" s="2" t="s">
        <v>21</v>
      </c>
      <c r="I3228" s="2" t="s">
        <v>6772</v>
      </c>
      <c r="J3228" s="3" t="str">
        <f>HYPERLINK("https://www.boe.es/gazeta/dias/1823/04/12/pdfs/GES-1823-2.pdf#page=3","Abrir facsímil")</f>
        <v>Abrir facsímil</v>
      </c>
      <c r="K3228" s="3" t="s">
        <v>23</v>
      </c>
    </row>
    <row r="3229" spans="1:11" ht="42" customHeight="1">
      <c r="A3229" s="2" t="s">
        <v>6773</v>
      </c>
      <c r="B3229" s="2" t="s">
        <v>6773</v>
      </c>
      <c r="C3229" s="2" t="s">
        <v>56</v>
      </c>
      <c r="D3229" s="2" t="s">
        <v>57</v>
      </c>
      <c r="E3229" s="5">
        <v>-28061</v>
      </c>
      <c r="F3229" s="3" t="s">
        <v>704</v>
      </c>
      <c r="G3229" s="3" t="s">
        <v>39</v>
      </c>
      <c r="H3229" s="2" t="s">
        <v>21</v>
      </c>
      <c r="I3229" s="2" t="s">
        <v>6774</v>
      </c>
      <c r="J3229" s="3" t="str">
        <f>HYPERLINK("https://www.boe.es/gazeta/dias/1823/03/03/pdfs/GMD-1823-66.pdf#page=1","Abrir facsímil")</f>
        <v>Abrir facsímil</v>
      </c>
      <c r="K3229" s="3" t="s">
        <v>23</v>
      </c>
    </row>
    <row r="3230" spans="1:11" ht="42" customHeight="1">
      <c r="A3230" s="2" t="s">
        <v>6775</v>
      </c>
      <c r="B3230" s="2" t="s">
        <v>6775</v>
      </c>
      <c r="C3230" s="2" t="s">
        <v>56</v>
      </c>
      <c r="D3230" s="2" t="s">
        <v>57</v>
      </c>
      <c r="E3230" s="5">
        <v>-27968</v>
      </c>
      <c r="F3230" s="3" t="s">
        <v>1160</v>
      </c>
      <c r="G3230" s="3" t="s">
        <v>39</v>
      </c>
      <c r="H3230" s="2" t="s">
        <v>21</v>
      </c>
      <c r="I3230" s="2" t="s">
        <v>6776</v>
      </c>
      <c r="J3230" s="3" t="str">
        <f>HYPERLINK("https://www.boe.es/gazeta/dias/1823/06/04/pdfs/GES-1823-58.pdf#page=1","Abrir facsímil")</f>
        <v>Abrir facsímil</v>
      </c>
      <c r="K3230" s="3" t="s">
        <v>23</v>
      </c>
    </row>
    <row r="3231" spans="1:11" ht="42" customHeight="1">
      <c r="A3231" s="2" t="s">
        <v>6777</v>
      </c>
      <c r="B3231" s="2" t="s">
        <v>6777</v>
      </c>
      <c r="C3231" s="2" t="s">
        <v>17</v>
      </c>
      <c r="D3231" s="2" t="s">
        <v>18</v>
      </c>
      <c r="E3231" s="5">
        <v>-28121</v>
      </c>
      <c r="F3231" s="3" t="s">
        <v>575</v>
      </c>
      <c r="G3231" s="3" t="s">
        <v>576</v>
      </c>
      <c r="H3231" s="2" t="s">
        <v>21</v>
      </c>
      <c r="I3231" s="2" t="s">
        <v>6778</v>
      </c>
      <c r="J3231" s="3" t="str">
        <f>HYPERLINK("https://www.boe.es/gazeta/dias/1823/01/02/pdfs/GMD-1823-2.pdf#page=2","Abrir facsímil")</f>
        <v>Abrir facsímil</v>
      </c>
      <c r="K3231" s="3" t="s">
        <v>23</v>
      </c>
    </row>
    <row r="3232" spans="1:11" ht="42" customHeight="1">
      <c r="A3232" s="2" t="s">
        <v>6777</v>
      </c>
      <c r="B3232" s="2" t="s">
        <v>6777</v>
      </c>
      <c r="C3232" s="2" t="s">
        <v>79</v>
      </c>
      <c r="D3232" s="2" t="s">
        <v>74</v>
      </c>
      <c r="E3232" s="5">
        <v>-28117</v>
      </c>
      <c r="F3232" s="3" t="s">
        <v>271</v>
      </c>
      <c r="G3232" s="3" t="s">
        <v>48</v>
      </c>
      <c r="H3232" s="2" t="s">
        <v>21</v>
      </c>
      <c r="I3232" s="2" t="s">
        <v>6779</v>
      </c>
      <c r="J3232" s="3" t="str">
        <f>HYPERLINK("https://www.boe.es/gazeta/dias/1823/01/06/pdfs/GMD-1823-6.pdf#page=3","Abrir facsímil")</f>
        <v>Abrir facsímil</v>
      </c>
      <c r="K3232" s="3" t="s">
        <v>23</v>
      </c>
    </row>
    <row r="3233" spans="1:11" ht="42" customHeight="1">
      <c r="A3233" s="2" t="s">
        <v>6777</v>
      </c>
      <c r="B3233" s="2" t="s">
        <v>6777</v>
      </c>
      <c r="C3233" s="2" t="s">
        <v>56</v>
      </c>
      <c r="D3233" s="2" t="s">
        <v>57</v>
      </c>
      <c r="E3233" s="5">
        <v>-28111</v>
      </c>
      <c r="F3233" s="3" t="s">
        <v>275</v>
      </c>
      <c r="G3233" s="3" t="s">
        <v>276</v>
      </c>
      <c r="H3233" s="2" t="s">
        <v>21</v>
      </c>
      <c r="I3233" s="2" t="s">
        <v>6780</v>
      </c>
      <c r="J3233" s="3" t="str">
        <f>HYPERLINK("https://www.boe.es/gazeta/dias/1823/01/12/pdfs/GMD-1823-12.pdf#page=7","Abrir facsímil")</f>
        <v>Abrir facsímil</v>
      </c>
      <c r="K3233" s="3" t="s">
        <v>23</v>
      </c>
    </row>
    <row r="3234" spans="1:11" ht="42" customHeight="1">
      <c r="A3234" s="2" t="s">
        <v>6777</v>
      </c>
      <c r="B3234" s="2" t="s">
        <v>6777</v>
      </c>
      <c r="C3234" s="2" t="s">
        <v>17</v>
      </c>
      <c r="D3234" s="2" t="s">
        <v>18</v>
      </c>
      <c r="E3234" s="5">
        <v>-28101</v>
      </c>
      <c r="F3234" s="3" t="s">
        <v>1041</v>
      </c>
      <c r="G3234" s="3" t="s">
        <v>48</v>
      </c>
      <c r="H3234" s="2" t="s">
        <v>21</v>
      </c>
      <c r="I3234" s="2" t="s">
        <v>6781</v>
      </c>
      <c r="J3234" s="3" t="str">
        <f>HYPERLINK("https://www.boe.es/gazeta/dias/1823/01/22/pdfs/GMD-1823-23.pdf#page=3","Abrir facsímil")</f>
        <v>Abrir facsímil</v>
      </c>
      <c r="K3234" s="3" t="s">
        <v>23</v>
      </c>
    </row>
    <row r="3235" spans="1:11" ht="42" customHeight="1">
      <c r="A3235" s="2" t="s">
        <v>6777</v>
      </c>
      <c r="B3235" s="2" t="s">
        <v>6777</v>
      </c>
      <c r="C3235" s="2" t="s">
        <v>17</v>
      </c>
      <c r="D3235" s="2" t="s">
        <v>18</v>
      </c>
      <c r="E3235" s="5">
        <v>-28081</v>
      </c>
      <c r="F3235" s="3" t="s">
        <v>170</v>
      </c>
      <c r="G3235" s="3" t="s">
        <v>48</v>
      </c>
      <c r="H3235" s="2" t="s">
        <v>21</v>
      </c>
      <c r="I3235" s="2" t="s">
        <v>6782</v>
      </c>
      <c r="J3235" s="3" t="str">
        <f>HYPERLINK("https://www.boe.es/gazeta/dias/1823/02/11/pdfs/GMD-1823-45.pdf#page=3","Abrir facsímil")</f>
        <v>Abrir facsímil</v>
      </c>
      <c r="K3235" s="3" t="s">
        <v>23</v>
      </c>
    </row>
    <row r="3236" spans="1:11" ht="42" customHeight="1">
      <c r="A3236" s="2" t="s">
        <v>6777</v>
      </c>
      <c r="B3236" s="2" t="s">
        <v>6777</v>
      </c>
      <c r="C3236" s="2" t="s">
        <v>17</v>
      </c>
      <c r="D3236" s="2" t="s">
        <v>18</v>
      </c>
      <c r="E3236" s="5">
        <v>-28076</v>
      </c>
      <c r="F3236" s="3" t="s">
        <v>1638</v>
      </c>
      <c r="G3236" s="3" t="s">
        <v>20</v>
      </c>
      <c r="H3236" s="2" t="s">
        <v>21</v>
      </c>
      <c r="I3236" s="2" t="s">
        <v>6783</v>
      </c>
      <c r="J3236" s="3" t="str">
        <f>HYPERLINK("https://www.boe.es/gazeta/dias/1823/02/16/pdfs/GMD-1823-50.pdf#page=4","Abrir facsímil")</f>
        <v>Abrir facsímil</v>
      </c>
      <c r="K3236" s="3" t="s">
        <v>23</v>
      </c>
    </row>
    <row r="3237" spans="1:11" ht="42" customHeight="1">
      <c r="A3237" s="2" t="s">
        <v>6777</v>
      </c>
      <c r="B3237" s="2" t="s">
        <v>6777</v>
      </c>
      <c r="C3237" s="2" t="s">
        <v>17</v>
      </c>
      <c r="D3237" s="2" t="s">
        <v>18</v>
      </c>
      <c r="E3237" s="5">
        <v>-28075</v>
      </c>
      <c r="F3237" s="3" t="s">
        <v>2327</v>
      </c>
      <c r="G3237" s="3" t="s">
        <v>48</v>
      </c>
      <c r="H3237" s="2" t="s">
        <v>21</v>
      </c>
      <c r="I3237" s="2" t="s">
        <v>6784</v>
      </c>
      <c r="J3237" s="3" t="str">
        <f>HYPERLINK("https://www.boe.es/gazeta/dias/1823/02/17/pdfs/GMD-1823-51.pdf#page=3","Abrir facsímil")</f>
        <v>Abrir facsímil</v>
      </c>
      <c r="K3237" s="3" t="s">
        <v>23</v>
      </c>
    </row>
    <row r="3238" spans="1:11" ht="42" customHeight="1">
      <c r="A3238" s="2" t="s">
        <v>6777</v>
      </c>
      <c r="B3238" s="2" t="s">
        <v>6777</v>
      </c>
      <c r="C3238" s="2" t="s">
        <v>84</v>
      </c>
      <c r="D3238" s="2" t="s">
        <v>74</v>
      </c>
      <c r="E3238" s="5">
        <v>-28066</v>
      </c>
      <c r="F3238" s="3" t="s">
        <v>19</v>
      </c>
      <c r="G3238" s="3" t="s">
        <v>48</v>
      </c>
      <c r="H3238" s="2" t="s">
        <v>21</v>
      </c>
      <c r="I3238" s="2" t="s">
        <v>6785</v>
      </c>
      <c r="J3238" s="3" t="str">
        <f>HYPERLINK("https://www.boe.es/gazeta/dias/1823/02/26/pdfs/GMD-1823-60.pdf#page=3","Abrir facsímil")</f>
        <v>Abrir facsímil</v>
      </c>
      <c r="K3238" s="3" t="s">
        <v>23</v>
      </c>
    </row>
    <row r="3239" spans="1:11" ht="42" customHeight="1">
      <c r="A3239" s="2" t="s">
        <v>6777</v>
      </c>
      <c r="B3239" s="2" t="s">
        <v>6777</v>
      </c>
      <c r="C3239" s="2" t="s">
        <v>79</v>
      </c>
      <c r="D3239" s="2" t="s">
        <v>74</v>
      </c>
      <c r="E3239" s="5">
        <v>-28057</v>
      </c>
      <c r="F3239" s="3" t="s">
        <v>301</v>
      </c>
      <c r="G3239" s="3" t="s">
        <v>20</v>
      </c>
      <c r="H3239" s="2" t="s">
        <v>21</v>
      </c>
      <c r="I3239" s="2" t="s">
        <v>6786</v>
      </c>
      <c r="J3239" s="3" t="str">
        <f>HYPERLINK("https://www.boe.es/gazeta/dias/1823/03/07/pdfs/GMD-1823-70.pdf#page=4","Abrir facsímil")</f>
        <v>Abrir facsímil</v>
      </c>
      <c r="K3239" s="3" t="s">
        <v>23</v>
      </c>
    </row>
    <row r="3240" spans="1:11" ht="42" customHeight="1">
      <c r="A3240" s="2" t="s">
        <v>6777</v>
      </c>
      <c r="B3240" s="2" t="s">
        <v>6777</v>
      </c>
      <c r="C3240" s="2" t="s">
        <v>56</v>
      </c>
      <c r="D3240" s="2" t="s">
        <v>57</v>
      </c>
      <c r="E3240" s="5">
        <v>-28054</v>
      </c>
      <c r="F3240" s="3" t="s">
        <v>1292</v>
      </c>
      <c r="G3240" s="3" t="s">
        <v>48</v>
      </c>
      <c r="H3240" s="2" t="s">
        <v>21</v>
      </c>
      <c r="I3240" s="2" t="s">
        <v>6787</v>
      </c>
      <c r="J3240" s="3" t="str">
        <f>HYPERLINK("https://www.boe.es/gazeta/dias/1823/03/10/pdfs/GMD-1823-73.pdf#page=3","Abrir facsímil")</f>
        <v>Abrir facsímil</v>
      </c>
      <c r="K3240" s="3" t="s">
        <v>23</v>
      </c>
    </row>
    <row r="3241" spans="1:11" ht="42" customHeight="1">
      <c r="A3241" s="2" t="s">
        <v>6777</v>
      </c>
      <c r="B3241" s="2" t="s">
        <v>6777</v>
      </c>
      <c r="C3241" s="2" t="s">
        <v>79</v>
      </c>
      <c r="D3241" s="2" t="s">
        <v>74</v>
      </c>
      <c r="E3241" s="5">
        <v>-28052</v>
      </c>
      <c r="F3241" s="3" t="s">
        <v>1025</v>
      </c>
      <c r="G3241" s="3" t="s">
        <v>34</v>
      </c>
      <c r="H3241" s="2" t="s">
        <v>21</v>
      </c>
      <c r="I3241" s="2" t="s">
        <v>6788</v>
      </c>
      <c r="J3241" s="3" t="str">
        <f>HYPERLINK("https://www.boe.es/gazeta/dias/1823/03/12/pdfs/GMD-1823-75.pdf#page=5","Abrir facsímil")</f>
        <v>Abrir facsímil</v>
      </c>
      <c r="K3241" s="3" t="s">
        <v>23</v>
      </c>
    </row>
    <row r="3242" spans="1:11" ht="42" customHeight="1">
      <c r="A3242" s="2" t="s">
        <v>6777</v>
      </c>
      <c r="B3242" s="2" t="s">
        <v>6777</v>
      </c>
      <c r="C3242" s="2" t="s">
        <v>79</v>
      </c>
      <c r="D3242" s="2" t="s">
        <v>74</v>
      </c>
      <c r="E3242" s="5">
        <v>-28050</v>
      </c>
      <c r="F3242" s="3" t="s">
        <v>473</v>
      </c>
      <c r="G3242" s="3" t="s">
        <v>20</v>
      </c>
      <c r="H3242" s="2" t="s">
        <v>21</v>
      </c>
      <c r="I3242" s="2" t="s">
        <v>6789</v>
      </c>
      <c r="J3242" s="3" t="str">
        <f>HYPERLINK("https://www.boe.es/gazeta/dias/1823/03/14/pdfs/GMD-1823-77.pdf#page=4","Abrir facsímil")</f>
        <v>Abrir facsímil</v>
      </c>
      <c r="K3242" s="3" t="s">
        <v>23</v>
      </c>
    </row>
    <row r="3243" spans="1:11" ht="42" customHeight="1">
      <c r="A3243" s="2" t="s">
        <v>6777</v>
      </c>
      <c r="B3243" s="2" t="s">
        <v>6777</v>
      </c>
      <c r="C3243" s="2" t="s">
        <v>79</v>
      </c>
      <c r="D3243" s="2" t="s">
        <v>74</v>
      </c>
      <c r="E3243" s="5">
        <v>-28006</v>
      </c>
      <c r="F3243" s="3" t="s">
        <v>183</v>
      </c>
      <c r="G3243" s="3" t="s">
        <v>34</v>
      </c>
      <c r="H3243" s="2" t="s">
        <v>21</v>
      </c>
      <c r="I3243" s="2" t="s">
        <v>6790</v>
      </c>
      <c r="J3243" s="3" t="str">
        <f>HYPERLINK("https://www.boe.es/gazeta/dias/1823/04/27/pdfs/GES-1823-17.pdf#page=5","Abrir facsímil")</f>
        <v>Abrir facsímil</v>
      </c>
      <c r="K3243" s="3" t="s">
        <v>23</v>
      </c>
    </row>
    <row r="3244" spans="1:11" ht="42" customHeight="1">
      <c r="A3244" s="2" t="s">
        <v>6777</v>
      </c>
      <c r="B3244" s="2" t="s">
        <v>6777</v>
      </c>
      <c r="C3244" s="2" t="s">
        <v>109</v>
      </c>
      <c r="D3244" s="2" t="s">
        <v>74</v>
      </c>
      <c r="E3244" s="5">
        <v>-27988</v>
      </c>
      <c r="F3244" s="3" t="s">
        <v>2022</v>
      </c>
      <c r="G3244" s="3" t="s">
        <v>27</v>
      </c>
      <c r="H3244" s="2" t="s">
        <v>21</v>
      </c>
      <c r="I3244" s="2" t="s">
        <v>6791</v>
      </c>
      <c r="J3244" s="3" t="str">
        <f>HYPERLINK("https://www.boe.es/gazeta/dias/1823/05/15/pdfs/GMD-1823-142.pdf#page=2","Abrir facsímil")</f>
        <v>Abrir facsímil</v>
      </c>
      <c r="K3244" s="3" t="s">
        <v>23</v>
      </c>
    </row>
    <row r="3245" spans="1:11" ht="42" customHeight="1">
      <c r="A3245" s="2" t="s">
        <v>6777</v>
      </c>
      <c r="B3245" s="2" t="s">
        <v>6777</v>
      </c>
      <c r="C3245" s="2" t="s">
        <v>79</v>
      </c>
      <c r="D3245" s="2" t="s">
        <v>74</v>
      </c>
      <c r="E3245" s="5">
        <v>-27983</v>
      </c>
      <c r="F3245" s="3" t="s">
        <v>337</v>
      </c>
      <c r="G3245" s="3" t="s">
        <v>20</v>
      </c>
      <c r="H3245" s="2" t="s">
        <v>21</v>
      </c>
      <c r="I3245" s="2" t="s">
        <v>6792</v>
      </c>
      <c r="J3245" s="3" t="str">
        <f>HYPERLINK("https://www.boe.es/gazeta/dias/1823/05/20/pdfs/GES-1823-40.pdf#page=4","Abrir facsímil")</f>
        <v>Abrir facsímil</v>
      </c>
      <c r="K3245" s="3" t="s">
        <v>23</v>
      </c>
    </row>
    <row r="3246" spans="1:11" ht="42" customHeight="1">
      <c r="A3246" s="2" t="s">
        <v>6777</v>
      </c>
      <c r="B3246" s="2" t="s">
        <v>6777</v>
      </c>
      <c r="C3246" s="2" t="s">
        <v>56</v>
      </c>
      <c r="D3246" s="2" t="s">
        <v>57</v>
      </c>
      <c r="E3246" s="5">
        <v>-27971</v>
      </c>
      <c r="F3246" s="3" t="s">
        <v>4211</v>
      </c>
      <c r="G3246" s="3" t="s">
        <v>39</v>
      </c>
      <c r="H3246" s="2" t="s">
        <v>21</v>
      </c>
      <c r="I3246" s="2" t="s">
        <v>6793</v>
      </c>
      <c r="J3246" s="3" t="str">
        <f>HYPERLINK("https://www.boe.es/gazeta/dias/1823/06/01/pdfs/GES-1823-55.pdf#page=1","Abrir facsímil")</f>
        <v>Abrir facsímil</v>
      </c>
      <c r="K3246" s="3" t="s">
        <v>23</v>
      </c>
    </row>
    <row r="3247" spans="1:11" ht="42" customHeight="1">
      <c r="A3247" s="2" t="s">
        <v>6777</v>
      </c>
      <c r="B3247" s="2" t="s">
        <v>6777</v>
      </c>
      <c r="C3247" s="2" t="s">
        <v>109</v>
      </c>
      <c r="D3247" s="2" t="s">
        <v>74</v>
      </c>
      <c r="E3247" s="5">
        <v>-27970</v>
      </c>
      <c r="F3247" s="3" t="s">
        <v>1030</v>
      </c>
      <c r="G3247" s="3" t="s">
        <v>34</v>
      </c>
      <c r="H3247" s="2" t="s">
        <v>21</v>
      </c>
      <c r="I3247" s="2" t="s">
        <v>6794</v>
      </c>
      <c r="J3247" s="3" t="str">
        <f>HYPERLINK("https://www.boe.es/gazeta/dias/1823/06/02/pdfs/GES-1823-56.pdf#page=5","Abrir facsímil")</f>
        <v>Abrir facsímil</v>
      </c>
      <c r="K3247" s="3" t="s">
        <v>23</v>
      </c>
    </row>
    <row r="3248" spans="1:11" ht="42" customHeight="1">
      <c r="A3248" s="2" t="s">
        <v>6777</v>
      </c>
      <c r="B3248" s="2" t="s">
        <v>6777</v>
      </c>
      <c r="C3248" s="2" t="s">
        <v>56</v>
      </c>
      <c r="D3248" s="2" t="s">
        <v>57</v>
      </c>
      <c r="E3248" s="5">
        <v>-27966</v>
      </c>
      <c r="F3248" s="3" t="s">
        <v>675</v>
      </c>
      <c r="G3248" s="3" t="s">
        <v>48</v>
      </c>
      <c r="H3248" s="2" t="s">
        <v>21</v>
      </c>
      <c r="I3248" s="2" t="s">
        <v>6795</v>
      </c>
      <c r="J3248" s="3" t="str">
        <f>HYPERLINK("https://www.boe.es/gazeta/dias/1823/06/06/pdfs/GES-1823-60.pdf#page=3","Abrir facsímil")</f>
        <v>Abrir facsímil</v>
      </c>
      <c r="K3248" s="3" t="s">
        <v>23</v>
      </c>
    </row>
    <row r="3249" spans="1:11" ht="42" customHeight="1">
      <c r="A3249" s="2" t="s">
        <v>6777</v>
      </c>
      <c r="B3249" s="2" t="s">
        <v>6777</v>
      </c>
      <c r="C3249" s="2" t="s">
        <v>79</v>
      </c>
      <c r="D3249" s="2" t="s">
        <v>74</v>
      </c>
      <c r="E3249" s="5">
        <v>-27920</v>
      </c>
      <c r="F3249" s="3" t="s">
        <v>358</v>
      </c>
      <c r="G3249" s="3" t="s">
        <v>27</v>
      </c>
      <c r="H3249" s="2" t="s">
        <v>21</v>
      </c>
      <c r="I3249" s="2" t="s">
        <v>6796</v>
      </c>
      <c r="J3249" s="3" t="str">
        <f>HYPERLINK("https://www.boe.es/gazeta/dias/1823/07/22/pdfs/GES-1823-103.pdf#page=2","Abrir facsímil")</f>
        <v>Abrir facsímil</v>
      </c>
      <c r="K3249" s="3" t="s">
        <v>23</v>
      </c>
    </row>
    <row r="3250" spans="1:11" ht="42" customHeight="1">
      <c r="A3250" s="2" t="s">
        <v>6777</v>
      </c>
      <c r="B3250" s="2" t="s">
        <v>6777</v>
      </c>
      <c r="C3250" s="2" t="s">
        <v>73</v>
      </c>
      <c r="D3250" s="2" t="s">
        <v>74</v>
      </c>
      <c r="E3250" s="5">
        <v>-27918</v>
      </c>
      <c r="F3250" s="3" t="s">
        <v>3181</v>
      </c>
      <c r="G3250" s="3" t="s">
        <v>39</v>
      </c>
      <c r="H3250" s="2" t="s">
        <v>21</v>
      </c>
      <c r="I3250" s="2" t="s">
        <v>6797</v>
      </c>
      <c r="J3250" s="3" t="str">
        <f>HYPERLINK("https://www.boe.es/gazeta/dias/1823/07/24/pdfs/GES-1823-105.pdf#page=1","Abrir facsímil")</f>
        <v>Abrir facsímil</v>
      </c>
      <c r="K3250" s="3" t="s">
        <v>23</v>
      </c>
    </row>
    <row r="3251" spans="1:11" ht="42" customHeight="1">
      <c r="A3251" s="2" t="s">
        <v>6777</v>
      </c>
      <c r="B3251" s="2" t="s">
        <v>6777</v>
      </c>
      <c r="C3251" s="2" t="s">
        <v>79</v>
      </c>
      <c r="D3251" s="2" t="s">
        <v>74</v>
      </c>
      <c r="E3251" s="5">
        <v>-27918</v>
      </c>
      <c r="F3251" s="3" t="s">
        <v>3181</v>
      </c>
      <c r="G3251" s="3" t="s">
        <v>27</v>
      </c>
      <c r="H3251" s="2" t="s">
        <v>21</v>
      </c>
      <c r="I3251" s="2" t="s">
        <v>6798</v>
      </c>
      <c r="J3251" s="3" t="str">
        <f>HYPERLINK("https://www.boe.es/gazeta/dias/1823/07/24/pdfs/GES-1823-105.pdf#page=2","Abrir facsímil")</f>
        <v>Abrir facsímil</v>
      </c>
      <c r="K3251" s="3" t="s">
        <v>23</v>
      </c>
    </row>
    <row r="3252" spans="1:11" ht="42" customHeight="1">
      <c r="A3252" s="2" t="s">
        <v>6777</v>
      </c>
      <c r="B3252" s="2" t="s">
        <v>6777</v>
      </c>
      <c r="C3252" s="2" t="s">
        <v>293</v>
      </c>
      <c r="D3252" s="2" t="s">
        <v>74</v>
      </c>
      <c r="E3252" s="5">
        <v>-27913</v>
      </c>
      <c r="F3252" s="3" t="s">
        <v>821</v>
      </c>
      <c r="G3252" s="3" t="s">
        <v>39</v>
      </c>
      <c r="H3252" s="2" t="s">
        <v>21</v>
      </c>
      <c r="I3252" s="2" t="s">
        <v>6799</v>
      </c>
      <c r="J3252" s="3" t="str">
        <f>HYPERLINK("https://www.boe.es/gazeta/dias/1823/07/29/pdfs/GES-1823-110.pdf#page=1","Abrir facsímil")</f>
        <v>Abrir facsímil</v>
      </c>
      <c r="K3252" s="3" t="s">
        <v>23</v>
      </c>
    </row>
    <row r="3253" spans="1:11" ht="42" customHeight="1">
      <c r="A3253" s="2" t="s">
        <v>6777</v>
      </c>
      <c r="B3253" s="2" t="s">
        <v>6777</v>
      </c>
      <c r="C3253" s="2" t="s">
        <v>109</v>
      </c>
      <c r="D3253" s="2" t="s">
        <v>74</v>
      </c>
      <c r="E3253" s="5">
        <v>-27906</v>
      </c>
      <c r="F3253" s="3" t="s">
        <v>241</v>
      </c>
      <c r="G3253" s="3" t="s">
        <v>39</v>
      </c>
      <c r="H3253" s="2" t="s">
        <v>21</v>
      </c>
      <c r="I3253" s="2" t="s">
        <v>6800</v>
      </c>
      <c r="J3253" s="3" t="str">
        <f>HYPERLINK("https://www.boe.es/gazeta/dias/1823/08/05/pdfs/GES-1823-117.pdf#page=1","Abrir facsímil")</f>
        <v>Abrir facsímil</v>
      </c>
      <c r="K3253" s="3" t="s">
        <v>23</v>
      </c>
    </row>
    <row r="3254" spans="1:11" ht="42" customHeight="1">
      <c r="A3254" s="2" t="s">
        <v>6777</v>
      </c>
      <c r="B3254" s="2" t="s">
        <v>6777</v>
      </c>
      <c r="C3254" s="2" t="s">
        <v>17</v>
      </c>
      <c r="D3254" s="2" t="s">
        <v>18</v>
      </c>
      <c r="E3254" s="5">
        <v>-27884</v>
      </c>
      <c r="F3254" s="3" t="s">
        <v>61</v>
      </c>
      <c r="G3254" s="3" t="s">
        <v>27</v>
      </c>
      <c r="H3254" s="2" t="s">
        <v>21</v>
      </c>
      <c r="I3254" s="2" t="s">
        <v>6801</v>
      </c>
      <c r="J3254" s="3" t="str">
        <f>HYPERLINK("https://www.boe.es/gazeta/dias/1823/08/27/pdfs/GES-1823-140.pdf#page=2","Abrir facsímil")</f>
        <v>Abrir facsímil</v>
      </c>
      <c r="K3254" s="3" t="s">
        <v>23</v>
      </c>
    </row>
    <row r="3255" spans="1:11" ht="42" customHeight="1">
      <c r="A3255" s="2" t="s">
        <v>6777</v>
      </c>
      <c r="B3255" s="2" t="s">
        <v>6777</v>
      </c>
      <c r="C3255" s="2" t="s">
        <v>56</v>
      </c>
      <c r="D3255" s="2" t="s">
        <v>57</v>
      </c>
      <c r="E3255" s="5">
        <v>-27873</v>
      </c>
      <c r="F3255" s="3" t="s">
        <v>160</v>
      </c>
      <c r="G3255" s="3" t="s">
        <v>27</v>
      </c>
      <c r="H3255" s="2" t="s">
        <v>21</v>
      </c>
      <c r="I3255" s="2" t="s">
        <v>6802</v>
      </c>
      <c r="J3255" s="3" t="str">
        <f>HYPERLINK("https://www.boe.es/gazeta/dias/1823/09/07/pdfs/GES-1823-151.pdf#page=2","Abrir facsímil")</f>
        <v>Abrir facsímil</v>
      </c>
      <c r="K3255" s="3" t="s">
        <v>23</v>
      </c>
    </row>
    <row r="3256" spans="1:11" ht="42" customHeight="1">
      <c r="A3256" s="2" t="s">
        <v>6777</v>
      </c>
      <c r="B3256" s="2" t="s">
        <v>6777</v>
      </c>
      <c r="C3256" s="2" t="s">
        <v>56</v>
      </c>
      <c r="D3256" s="2" t="s">
        <v>57</v>
      </c>
      <c r="E3256" s="5">
        <v>-27857</v>
      </c>
      <c r="F3256" s="3" t="s">
        <v>378</v>
      </c>
      <c r="G3256" s="3" t="s">
        <v>34</v>
      </c>
      <c r="H3256" s="2" t="s">
        <v>21</v>
      </c>
      <c r="I3256" s="2" t="s">
        <v>6803</v>
      </c>
      <c r="J3256" s="3" t="str">
        <f>HYPERLINK("https://www.boe.es/gazeta/dias/1823/09/23/pdfs/GMD-1823-833.pdf#page=5","Abrir facsímil")</f>
        <v>Abrir facsímil</v>
      </c>
      <c r="K3256" s="3" t="s">
        <v>23</v>
      </c>
    </row>
    <row r="3257" spans="1:11" ht="42" customHeight="1">
      <c r="A3257" s="2" t="s">
        <v>6777</v>
      </c>
      <c r="B3257" s="2" t="s">
        <v>6777</v>
      </c>
      <c r="C3257" s="2" t="s">
        <v>109</v>
      </c>
      <c r="D3257" s="2" t="s">
        <v>74</v>
      </c>
      <c r="E3257" s="5">
        <v>-27853</v>
      </c>
      <c r="F3257" s="3" t="s">
        <v>539</v>
      </c>
      <c r="G3257" s="3" t="s">
        <v>20</v>
      </c>
      <c r="H3257" s="2" t="s">
        <v>21</v>
      </c>
      <c r="I3257" s="2" t="s">
        <v>6804</v>
      </c>
      <c r="J3257" s="3" t="str">
        <f>HYPERLINK("https://www.boe.es/gazeta/dias/1823/09/27/pdfs/GMD-1823-863.pdf#page=4","Abrir facsímil")</f>
        <v>Abrir facsímil</v>
      </c>
      <c r="K3257" s="3" t="s">
        <v>23</v>
      </c>
    </row>
    <row r="3258" spans="1:11" ht="42" customHeight="1">
      <c r="A3258" s="2" t="s">
        <v>6777</v>
      </c>
      <c r="B3258" s="2" t="s">
        <v>6777</v>
      </c>
      <c r="C3258" s="2" t="s">
        <v>17</v>
      </c>
      <c r="D3258" s="2" t="s">
        <v>18</v>
      </c>
      <c r="E3258" s="5">
        <v>-27827</v>
      </c>
      <c r="F3258" s="3" t="s">
        <v>531</v>
      </c>
      <c r="G3258" s="3" t="s">
        <v>27</v>
      </c>
      <c r="H3258" s="2" t="s">
        <v>21</v>
      </c>
      <c r="I3258" s="2" t="s">
        <v>6805</v>
      </c>
      <c r="J3258" s="3" t="str">
        <f>HYPERLINK("https://www.boe.es/gazeta/dias/1823/10/23/pdfs/GMD-1823-1013.pdf#page=2","Abrir facsímil")</f>
        <v>Abrir facsímil</v>
      </c>
      <c r="K3258" s="3" t="s">
        <v>23</v>
      </c>
    </row>
    <row r="3259" spans="1:11" ht="42" customHeight="1">
      <c r="A3259" s="2" t="s">
        <v>6806</v>
      </c>
      <c r="B3259" s="2" t="s">
        <v>6807</v>
      </c>
      <c r="C3259" s="2" t="s">
        <v>17</v>
      </c>
      <c r="D3259" s="2" t="s">
        <v>18</v>
      </c>
      <c r="E3259" s="5">
        <v>-27982</v>
      </c>
      <c r="F3259" s="3" t="s">
        <v>340</v>
      </c>
      <c r="G3259" s="3" t="s">
        <v>59</v>
      </c>
      <c r="H3259" s="2" t="s">
        <v>21</v>
      </c>
      <c r="I3259" s="2" t="s">
        <v>6808</v>
      </c>
      <c r="J3259" s="3" t="str">
        <f>HYPERLINK("https://www.boe.es/gazeta/dias/1823/05/21/pdfs/GES-1823-42.pdf#page=6","Abrir facsímil")</f>
        <v>Abrir facsímil</v>
      </c>
      <c r="K3259" s="3" t="s">
        <v>23</v>
      </c>
    </row>
    <row r="3260" spans="1:11" ht="42" customHeight="1">
      <c r="A3260" s="2" t="s">
        <v>6809</v>
      </c>
      <c r="B3260" s="2" t="s">
        <v>6810</v>
      </c>
      <c r="C3260" s="2" t="s">
        <v>109</v>
      </c>
      <c r="D3260" s="2" t="s">
        <v>74</v>
      </c>
      <c r="E3260" s="5">
        <v>-27995</v>
      </c>
      <c r="F3260" s="3" t="s">
        <v>326</v>
      </c>
      <c r="G3260" s="3" t="s">
        <v>39</v>
      </c>
      <c r="H3260" s="2" t="s">
        <v>21</v>
      </c>
      <c r="I3260" s="2" t="s">
        <v>6811</v>
      </c>
      <c r="J3260" s="3" t="str">
        <f>HYPERLINK("https://www.boe.es/gazeta/dias/1823/05/08/pdfs/GMD-1823-112.pdf#page=1","Abrir facsímil")</f>
        <v>Abrir facsímil</v>
      </c>
      <c r="K3260" s="3" t="s">
        <v>23</v>
      </c>
    </row>
    <row r="3261" spans="1:11" ht="42" customHeight="1">
      <c r="A3261" s="2" t="s">
        <v>6812</v>
      </c>
      <c r="B3261" s="2" t="s">
        <v>6813</v>
      </c>
      <c r="C3261" s="2" t="s">
        <v>56</v>
      </c>
      <c r="D3261" s="2" t="s">
        <v>57</v>
      </c>
      <c r="E3261" s="5">
        <v>-28030</v>
      </c>
      <c r="F3261" s="3" t="s">
        <v>145</v>
      </c>
      <c r="G3261" s="3" t="s">
        <v>20</v>
      </c>
      <c r="H3261" s="2" t="s">
        <v>21</v>
      </c>
      <c r="I3261" s="2" t="s">
        <v>6814</v>
      </c>
      <c r="J3261" s="3" t="str">
        <f>HYPERLINK("https://www.boe.es/gazeta/dias/1823/04/03/pdfs/GMD-1823-97.pdf#page=4","Abrir facsímil")</f>
        <v>Abrir facsímil</v>
      </c>
      <c r="K3261" s="3" t="s">
        <v>23</v>
      </c>
    </row>
    <row r="3262" spans="1:11" ht="42" customHeight="1">
      <c r="A3262" s="2" t="s">
        <v>6815</v>
      </c>
      <c r="B3262" s="2" t="s">
        <v>6815</v>
      </c>
      <c r="C3262" s="2" t="s">
        <v>56</v>
      </c>
      <c r="D3262" s="2" t="s">
        <v>57</v>
      </c>
      <c r="E3262" s="5">
        <v>-27933</v>
      </c>
      <c r="F3262" s="3" t="s">
        <v>1079</v>
      </c>
      <c r="G3262" s="3" t="s">
        <v>48</v>
      </c>
      <c r="H3262" s="2" t="s">
        <v>21</v>
      </c>
      <c r="I3262" s="2" t="s">
        <v>6816</v>
      </c>
      <c r="J3262" s="3" t="str">
        <f>HYPERLINK("https://www.boe.es/gazeta/dias/1823/07/09/pdfs/GES-1823-89.pdf#page=3","Abrir facsímil")</f>
        <v>Abrir facsímil</v>
      </c>
      <c r="K3262" s="3" t="s">
        <v>23</v>
      </c>
    </row>
    <row r="3263" spans="1:11" ht="42" customHeight="1">
      <c r="A3263" s="2" t="s">
        <v>6815</v>
      </c>
      <c r="B3263" s="2" t="s">
        <v>6815</v>
      </c>
      <c r="C3263" s="2" t="s">
        <v>56</v>
      </c>
      <c r="D3263" s="2" t="s">
        <v>57</v>
      </c>
      <c r="E3263" s="5">
        <v>-27874</v>
      </c>
      <c r="F3263" s="3" t="s">
        <v>1410</v>
      </c>
      <c r="G3263" s="3" t="s">
        <v>20</v>
      </c>
      <c r="H3263" s="2" t="s">
        <v>21</v>
      </c>
      <c r="I3263" s="2" t="s">
        <v>6817</v>
      </c>
      <c r="J3263" s="3" t="str">
        <f>HYPERLINK("https://www.boe.es/gazeta/dias/1823/09/06/pdfs/GES-1823-150.pdf#page=4","Abrir facsímil")</f>
        <v>Abrir facsímil</v>
      </c>
      <c r="K3263" s="3" t="s">
        <v>23</v>
      </c>
    </row>
    <row r="3264" spans="1:11" ht="42" customHeight="1">
      <c r="A3264" s="2" t="s">
        <v>6818</v>
      </c>
      <c r="B3264" s="2" t="s">
        <v>6819</v>
      </c>
      <c r="C3264" s="2" t="s">
        <v>56</v>
      </c>
      <c r="D3264" s="2" t="s">
        <v>57</v>
      </c>
      <c r="E3264" s="5">
        <v>-28030</v>
      </c>
      <c r="F3264" s="3" t="s">
        <v>145</v>
      </c>
      <c r="G3264" s="3" t="s">
        <v>39</v>
      </c>
      <c r="H3264" s="2" t="s">
        <v>21</v>
      </c>
      <c r="I3264" s="2" t="s">
        <v>6820</v>
      </c>
      <c r="J3264" s="3" t="str">
        <f>HYPERLINK("https://www.boe.es/gazeta/dias/1823/04/03/pdfs/GMD-1823-97.pdf#page=1","Abrir facsímil")</f>
        <v>Abrir facsímil</v>
      </c>
      <c r="K3264" s="3" t="s">
        <v>23</v>
      </c>
    </row>
    <row r="3265" spans="1:11" ht="42" customHeight="1">
      <c r="A3265" s="2" t="s">
        <v>6821</v>
      </c>
      <c r="B3265" s="2" t="s">
        <v>6821</v>
      </c>
      <c r="C3265" s="2" t="s">
        <v>17</v>
      </c>
      <c r="D3265" s="2" t="s">
        <v>18</v>
      </c>
      <c r="E3265" s="5">
        <v>-27960</v>
      </c>
      <c r="F3265" s="3" t="s">
        <v>682</v>
      </c>
      <c r="G3265" s="3" t="s">
        <v>815</v>
      </c>
      <c r="H3265" s="2" t="s">
        <v>21</v>
      </c>
      <c r="I3265" s="2" t="s">
        <v>6822</v>
      </c>
      <c r="J3265" s="3" t="str">
        <f>HYPERLINK("https://www.boe.es/gazeta/dias/1823/06/12/pdfs/GMD-1823-123.pdf#page=6","Abrir facsímil")</f>
        <v>Abrir facsímil</v>
      </c>
      <c r="K3265" s="3" t="s">
        <v>23</v>
      </c>
    </row>
    <row r="3266" spans="1:11" ht="42" customHeight="1">
      <c r="A3266" s="2" t="s">
        <v>6823</v>
      </c>
      <c r="B3266" s="2" t="s">
        <v>6824</v>
      </c>
      <c r="C3266" s="2" t="s">
        <v>17</v>
      </c>
      <c r="D3266" s="2" t="s">
        <v>18</v>
      </c>
      <c r="E3266" s="5">
        <v>-28072</v>
      </c>
      <c r="F3266" s="3" t="s">
        <v>4439</v>
      </c>
      <c r="G3266" s="3" t="s">
        <v>20</v>
      </c>
      <c r="H3266" s="2" t="s">
        <v>21</v>
      </c>
      <c r="I3266" s="2" t="s">
        <v>6825</v>
      </c>
      <c r="J3266" s="3" t="str">
        <f>HYPERLINK("https://www.boe.es/gazeta/dias/1823/02/20/pdfs/GMD-1823-54.pdf#page=4","Abrir facsímil")</f>
        <v>Abrir facsímil</v>
      </c>
      <c r="K3266" s="3" t="s">
        <v>23</v>
      </c>
    </row>
    <row r="3267" spans="1:11" ht="42" customHeight="1">
      <c r="A3267" s="2" t="s">
        <v>6826</v>
      </c>
      <c r="B3267" s="2" t="s">
        <v>6826</v>
      </c>
      <c r="C3267" s="2" t="s">
        <v>79</v>
      </c>
      <c r="D3267" s="2" t="s">
        <v>74</v>
      </c>
      <c r="E3267" s="5">
        <v>-28048</v>
      </c>
      <c r="F3267" s="3" t="s">
        <v>399</v>
      </c>
      <c r="G3267" s="3" t="s">
        <v>20</v>
      </c>
      <c r="H3267" s="2" t="s">
        <v>21</v>
      </c>
      <c r="I3267" s="2" t="s">
        <v>6827</v>
      </c>
      <c r="J3267" s="3" t="str">
        <f>HYPERLINK("https://www.boe.es/gazeta/dias/1823/03/16/pdfs/GMD-1823-79.pdf#page=4","Abrir facsímil")</f>
        <v>Abrir facsímil</v>
      </c>
      <c r="K3267" s="3" t="s">
        <v>23</v>
      </c>
    </row>
    <row r="3268" spans="1:11" ht="42" customHeight="1">
      <c r="A3268" s="2" t="s">
        <v>6828</v>
      </c>
      <c r="B3268" s="2" t="s">
        <v>6829</v>
      </c>
      <c r="C3268" s="2" t="s">
        <v>17</v>
      </c>
      <c r="D3268" s="2" t="s">
        <v>18</v>
      </c>
      <c r="E3268" s="5">
        <v>-28048</v>
      </c>
      <c r="F3268" s="3" t="s">
        <v>399</v>
      </c>
      <c r="G3268" s="3" t="s">
        <v>59</v>
      </c>
      <c r="H3268" s="2" t="s">
        <v>21</v>
      </c>
      <c r="I3268" s="2" t="s">
        <v>6830</v>
      </c>
      <c r="J3268" s="3" t="str">
        <f>HYPERLINK("https://www.boe.es/gazeta/dias/1823/03/16/pdfs/GMD-1823-79.pdf#page=6","Abrir facsímil")</f>
        <v>Abrir facsímil</v>
      </c>
      <c r="K3268" s="3" t="s">
        <v>23</v>
      </c>
    </row>
    <row r="3269" spans="1:11" ht="42" customHeight="1">
      <c r="A3269" s="2" t="s">
        <v>6831</v>
      </c>
      <c r="B3269" s="2" t="s">
        <v>6832</v>
      </c>
      <c r="C3269" s="2" t="s">
        <v>56</v>
      </c>
      <c r="D3269" s="2" t="s">
        <v>57</v>
      </c>
      <c r="E3269" s="5">
        <v>-27878</v>
      </c>
      <c r="F3269" s="3" t="s">
        <v>1581</v>
      </c>
      <c r="G3269" s="3" t="s">
        <v>39</v>
      </c>
      <c r="H3269" s="2" t="s">
        <v>21</v>
      </c>
      <c r="I3269" s="2" t="s">
        <v>6833</v>
      </c>
      <c r="J3269" s="3" t="str">
        <f>HYPERLINK("https://www.boe.es/gazeta/dias/1823/09/02/pdfs/GMD-1823-683.pdf#page=1","Abrir facsímil")</f>
        <v>Abrir facsímil</v>
      </c>
      <c r="K3269" s="3" t="s">
        <v>23</v>
      </c>
    </row>
    <row r="3270" spans="1:11" ht="42" customHeight="1">
      <c r="A3270" s="2" t="s">
        <v>6834</v>
      </c>
      <c r="B3270" s="2" t="s">
        <v>6834</v>
      </c>
      <c r="C3270" s="2" t="s">
        <v>17</v>
      </c>
      <c r="D3270" s="2" t="s">
        <v>18</v>
      </c>
      <c r="E3270" s="5">
        <v>-28031</v>
      </c>
      <c r="F3270" s="3" t="s">
        <v>1211</v>
      </c>
      <c r="G3270" s="3" t="s">
        <v>48</v>
      </c>
      <c r="H3270" s="2" t="s">
        <v>21</v>
      </c>
      <c r="I3270" s="2" t="s">
        <v>6835</v>
      </c>
      <c r="J3270" s="3" t="str">
        <f>HYPERLINK("https://www.boe.es/gazeta/dias/1823/04/02/pdfs/GMD-1823-96.pdf#page=3","Abrir facsímil")</f>
        <v>Abrir facsímil</v>
      </c>
      <c r="K3270" s="3" t="s">
        <v>23</v>
      </c>
    </row>
    <row r="3271" spans="1:11" ht="42" customHeight="1">
      <c r="A3271" s="2" t="s">
        <v>6836</v>
      </c>
      <c r="B3271" s="2" t="s">
        <v>6836</v>
      </c>
      <c r="C3271" s="2" t="s">
        <v>17</v>
      </c>
      <c r="D3271" s="2" t="s">
        <v>18</v>
      </c>
      <c r="E3271" s="5">
        <v>-27904</v>
      </c>
      <c r="F3271" s="3" t="s">
        <v>1227</v>
      </c>
      <c r="G3271" s="3" t="s">
        <v>48</v>
      </c>
      <c r="H3271" s="2" t="s">
        <v>21</v>
      </c>
      <c r="I3271" s="2" t="s">
        <v>6837</v>
      </c>
      <c r="J3271" s="3" t="str">
        <f>HYPERLINK("https://www.boe.es/gazeta/dias/1823/08/07/pdfs/GMD-1823-543.pdf#page=3","Abrir facsímil")</f>
        <v>Abrir facsímil</v>
      </c>
      <c r="K3271" s="3" t="s">
        <v>23</v>
      </c>
    </row>
    <row r="3272" spans="1:11" ht="42" customHeight="1">
      <c r="A3272" s="2" t="s">
        <v>6838</v>
      </c>
      <c r="B3272" s="2" t="s">
        <v>6838</v>
      </c>
      <c r="C3272" s="2" t="s">
        <v>17</v>
      </c>
      <c r="D3272" s="2" t="s">
        <v>18</v>
      </c>
      <c r="E3272" s="5">
        <v>-28101</v>
      </c>
      <c r="F3272" s="3" t="s">
        <v>1041</v>
      </c>
      <c r="G3272" s="3" t="s">
        <v>27</v>
      </c>
      <c r="H3272" s="2" t="s">
        <v>21</v>
      </c>
      <c r="I3272" s="2" t="s">
        <v>6839</v>
      </c>
      <c r="J3272" s="3" t="str">
        <f>HYPERLINK("https://www.boe.es/gazeta/dias/1823/01/22/pdfs/GMD-1823-23.pdf#page=2","Abrir facsímil")</f>
        <v>Abrir facsímil</v>
      </c>
      <c r="K3272" s="3" t="s">
        <v>23</v>
      </c>
    </row>
    <row r="3273" spans="1:11" ht="42" customHeight="1">
      <c r="A3273" s="2" t="s">
        <v>6838</v>
      </c>
      <c r="B3273" s="2" t="s">
        <v>6838</v>
      </c>
      <c r="C3273" s="2" t="s">
        <v>17</v>
      </c>
      <c r="D3273" s="2" t="s">
        <v>18</v>
      </c>
      <c r="E3273" s="5">
        <v>-28018</v>
      </c>
      <c r="F3273" s="3" t="s">
        <v>2613</v>
      </c>
      <c r="G3273" s="3" t="s">
        <v>4093</v>
      </c>
      <c r="H3273" s="2" t="s">
        <v>21</v>
      </c>
      <c r="I3273" s="2" t="s">
        <v>6840</v>
      </c>
      <c r="J3273" s="3" t="str">
        <f>HYPERLINK("https://www.boe.es/gazeta/dias/1823/04/15/pdfs/GES-1823-5.pdf#page=6","Abrir facsímil")</f>
        <v>Abrir facsímil</v>
      </c>
      <c r="K3273" s="3" t="s">
        <v>23</v>
      </c>
    </row>
    <row r="3274" spans="1:11" ht="42" customHeight="1">
      <c r="A3274" s="2" t="s">
        <v>6841</v>
      </c>
      <c r="B3274" s="2" t="s">
        <v>6841</v>
      </c>
      <c r="C3274" s="2" t="s">
        <v>17</v>
      </c>
      <c r="D3274" s="2" t="s">
        <v>18</v>
      </c>
      <c r="E3274" s="5">
        <v>-28007</v>
      </c>
      <c r="F3274" s="3" t="s">
        <v>1190</v>
      </c>
      <c r="G3274" s="3" t="s">
        <v>20</v>
      </c>
      <c r="H3274" s="2" t="s">
        <v>21</v>
      </c>
      <c r="I3274" s="2" t="s">
        <v>6842</v>
      </c>
      <c r="J3274" s="3" t="str">
        <f>HYPERLINK("https://www.boe.es/gazeta/dias/1823/04/26/pdfs/GMD-1823-62.pdf#page=4","Abrir facsímil")</f>
        <v>Abrir facsímil</v>
      </c>
      <c r="K3274" s="3" t="s">
        <v>23</v>
      </c>
    </row>
    <row r="3275" spans="1:11" ht="42" customHeight="1">
      <c r="A3275" s="2" t="s">
        <v>6843</v>
      </c>
      <c r="B3275" s="2" t="s">
        <v>6843</v>
      </c>
      <c r="C3275" s="2" t="s">
        <v>17</v>
      </c>
      <c r="D3275" s="2" t="s">
        <v>18</v>
      </c>
      <c r="E3275" s="5">
        <v>-28004</v>
      </c>
      <c r="F3275" s="3" t="s">
        <v>33</v>
      </c>
      <c r="G3275" s="3" t="s">
        <v>2827</v>
      </c>
      <c r="H3275" s="2" t="s">
        <v>21</v>
      </c>
      <c r="I3275" s="2" t="s">
        <v>6844</v>
      </c>
      <c r="J3275" s="3" t="str">
        <f>HYPERLINK("https://www.boe.es/gazeta/dias/1823/04/29/pdfs/GES-1823-19.pdf#page=6","Abrir facsímil")</f>
        <v>Abrir facsímil</v>
      </c>
      <c r="K3275" s="3" t="s">
        <v>23</v>
      </c>
    </row>
    <row r="3276" spans="1:11" ht="42" customHeight="1">
      <c r="A3276" s="2" t="s">
        <v>6845</v>
      </c>
      <c r="B3276" s="2" t="s">
        <v>6845</v>
      </c>
      <c r="C3276" s="2" t="s">
        <v>79</v>
      </c>
      <c r="D3276" s="2" t="s">
        <v>74</v>
      </c>
      <c r="E3276" s="5">
        <v>-27827</v>
      </c>
      <c r="F3276" s="3" t="s">
        <v>531</v>
      </c>
      <c r="G3276" s="3" t="s">
        <v>48</v>
      </c>
      <c r="H3276" s="2" t="s">
        <v>21</v>
      </c>
      <c r="I3276" s="2" t="s">
        <v>6846</v>
      </c>
      <c r="J3276" s="3" t="str">
        <f>HYPERLINK("https://www.boe.es/gazeta/dias/1823/10/23/pdfs/GMD-1823-1013.pdf#page=3","Abrir facsímil")</f>
        <v>Abrir facsímil</v>
      </c>
      <c r="K3276" s="3" t="s">
        <v>23</v>
      </c>
    </row>
    <row r="3277" spans="1:11" ht="42" customHeight="1">
      <c r="A3277" s="2" t="s">
        <v>6847</v>
      </c>
      <c r="B3277" s="2" t="s">
        <v>6847</v>
      </c>
      <c r="C3277" s="2" t="s">
        <v>17</v>
      </c>
      <c r="D3277" s="2" t="s">
        <v>18</v>
      </c>
      <c r="E3277" s="5">
        <v>-28074</v>
      </c>
      <c r="F3277" s="3" t="s">
        <v>212</v>
      </c>
      <c r="G3277" s="3" t="s">
        <v>39</v>
      </c>
      <c r="H3277" s="2" t="s">
        <v>21</v>
      </c>
      <c r="I3277" s="2" t="s">
        <v>6848</v>
      </c>
      <c r="J3277" s="3" t="str">
        <f>HYPERLINK("https://www.boe.es/gazeta/dias/1823/02/18/pdfs/GMD-1823-52.pdf#page=1","Abrir facsímil")</f>
        <v>Abrir facsímil</v>
      </c>
      <c r="K3277" s="3" t="s">
        <v>23</v>
      </c>
    </row>
    <row r="3278" spans="1:11" ht="42" customHeight="1">
      <c r="A3278" s="2" t="s">
        <v>6849</v>
      </c>
      <c r="B3278" s="2" t="s">
        <v>6849</v>
      </c>
      <c r="C3278" s="2" t="s">
        <v>17</v>
      </c>
      <c r="D3278" s="2" t="s">
        <v>117</v>
      </c>
      <c r="E3278" s="5">
        <v>-27873</v>
      </c>
      <c r="F3278" s="3" t="s">
        <v>1668</v>
      </c>
      <c r="G3278" s="3" t="s">
        <v>3173</v>
      </c>
      <c r="H3278" s="2" t="s">
        <v>21</v>
      </c>
      <c r="I3278" s="2" t="s">
        <v>6850</v>
      </c>
      <c r="J3278" s="3" t="str">
        <f>HYPERLINK("https://www.boe.es/gazeta/dias/1823/09/07/pdfs/GMD-1823-72E.pdf#page=1","Abrir facsímil")</f>
        <v>Abrir facsímil</v>
      </c>
      <c r="K3278" s="3" t="s">
        <v>23</v>
      </c>
    </row>
    <row r="3279" spans="1:11" ht="42" customHeight="1">
      <c r="A3279" s="2" t="s">
        <v>6851</v>
      </c>
      <c r="B3279" s="2" t="s">
        <v>6852</v>
      </c>
      <c r="C3279" s="2" t="s">
        <v>17</v>
      </c>
      <c r="D3279" s="2" t="s">
        <v>18</v>
      </c>
      <c r="E3279" s="5">
        <v>-28048</v>
      </c>
      <c r="F3279" s="3" t="s">
        <v>399</v>
      </c>
      <c r="G3279" s="3" t="s">
        <v>20</v>
      </c>
      <c r="H3279" s="2" t="s">
        <v>21</v>
      </c>
      <c r="I3279" s="2" t="s">
        <v>6853</v>
      </c>
      <c r="J3279" s="3" t="str">
        <f>HYPERLINK("https://www.boe.es/gazeta/dias/1823/03/16/pdfs/GMD-1823-79.pdf#page=4","Abrir facsímil")</f>
        <v>Abrir facsímil</v>
      </c>
      <c r="K3279" s="3" t="s">
        <v>23</v>
      </c>
    </row>
    <row r="3280" spans="1:11" ht="42" customHeight="1">
      <c r="A3280" s="2" t="s">
        <v>6854</v>
      </c>
      <c r="B3280" s="2" t="s">
        <v>6855</v>
      </c>
      <c r="C3280" s="2" t="s">
        <v>56</v>
      </c>
      <c r="D3280" s="2" t="s">
        <v>57</v>
      </c>
      <c r="E3280" s="5">
        <v>-28048</v>
      </c>
      <c r="F3280" s="3" t="s">
        <v>399</v>
      </c>
      <c r="G3280" s="3" t="s">
        <v>34</v>
      </c>
      <c r="H3280" s="2" t="s">
        <v>21</v>
      </c>
      <c r="I3280" s="2" t="s">
        <v>6856</v>
      </c>
      <c r="J3280" s="3" t="str">
        <f>HYPERLINK("https://www.boe.es/gazeta/dias/1823/03/16/pdfs/GMD-1823-79.pdf#page=5","Abrir facsímil")</f>
        <v>Abrir facsímil</v>
      </c>
      <c r="K3280" s="3" t="s">
        <v>23</v>
      </c>
    </row>
    <row r="3281" spans="1:11" ht="42" customHeight="1">
      <c r="A3281" s="2" t="s">
        <v>6857</v>
      </c>
      <c r="B3281" s="2" t="s">
        <v>6857</v>
      </c>
      <c r="C3281" s="2" t="s">
        <v>79</v>
      </c>
      <c r="D3281" s="2" t="s">
        <v>74</v>
      </c>
      <c r="E3281" s="5">
        <v>-28040</v>
      </c>
      <c r="F3281" s="3" t="s">
        <v>2971</v>
      </c>
      <c r="G3281" s="3" t="s">
        <v>48</v>
      </c>
      <c r="H3281" s="2" t="s">
        <v>21</v>
      </c>
      <c r="I3281" s="2" t="s">
        <v>6858</v>
      </c>
      <c r="J3281" s="3" t="str">
        <f>HYPERLINK("https://www.boe.es/gazeta/dias/1823/03/24/pdfs/GMD-1823-87.pdf#page=3","Abrir facsímil")</f>
        <v>Abrir facsímil</v>
      </c>
      <c r="K3281" s="3" t="s">
        <v>23</v>
      </c>
    </row>
    <row r="3282" spans="1:11" ht="42" customHeight="1">
      <c r="A3282" s="2" t="s">
        <v>6859</v>
      </c>
      <c r="B3282" s="2" t="s">
        <v>6860</v>
      </c>
      <c r="C3282" s="2" t="s">
        <v>17</v>
      </c>
      <c r="D3282" s="2" t="s">
        <v>18</v>
      </c>
      <c r="E3282" s="5">
        <v>-27910</v>
      </c>
      <c r="F3282" s="3" t="s">
        <v>38</v>
      </c>
      <c r="G3282" s="3" t="s">
        <v>39</v>
      </c>
      <c r="H3282" s="2" t="s">
        <v>21</v>
      </c>
      <c r="I3282" s="2" t="s">
        <v>6861</v>
      </c>
      <c r="J3282" s="3" t="str">
        <f>HYPERLINK("https://www.boe.es/gazeta/dias/1823/08/01/pdfs/GES-1823-113.pdf#page=1","Abrir facsímil")</f>
        <v>Abrir facsímil</v>
      </c>
      <c r="K3282" s="3" t="s">
        <v>23</v>
      </c>
    </row>
    <row r="3283" spans="1:11" ht="42" customHeight="1">
      <c r="A3283" s="2" t="s">
        <v>6862</v>
      </c>
      <c r="B3283" s="2" t="s">
        <v>6863</v>
      </c>
      <c r="C3283" s="2" t="s">
        <v>79</v>
      </c>
      <c r="D3283" s="2" t="s">
        <v>74</v>
      </c>
      <c r="E3283" s="5">
        <v>-28048</v>
      </c>
      <c r="F3283" s="3" t="s">
        <v>399</v>
      </c>
      <c r="G3283" s="3" t="s">
        <v>20</v>
      </c>
      <c r="H3283" s="2" t="s">
        <v>21</v>
      </c>
      <c r="I3283" s="2" t="s">
        <v>6864</v>
      </c>
      <c r="J3283" s="3" t="str">
        <f>HYPERLINK("https://www.boe.es/gazeta/dias/1823/03/16/pdfs/GMD-1823-79.pdf#page=4","Abrir facsímil")</f>
        <v>Abrir facsímil</v>
      </c>
      <c r="K3283" s="3" t="s">
        <v>23</v>
      </c>
    </row>
    <row r="3284" spans="1:11" ht="42" customHeight="1">
      <c r="A3284" s="2" t="s">
        <v>6865</v>
      </c>
      <c r="B3284" s="2" t="s">
        <v>6865</v>
      </c>
      <c r="C3284" s="2" t="s">
        <v>109</v>
      </c>
      <c r="D3284" s="2" t="s">
        <v>74</v>
      </c>
      <c r="E3284" s="5">
        <v>-28122</v>
      </c>
      <c r="F3284" s="3" t="s">
        <v>269</v>
      </c>
      <c r="G3284" s="3" t="s">
        <v>39</v>
      </c>
      <c r="H3284" s="2" t="s">
        <v>21</v>
      </c>
      <c r="I3284" s="2" t="s">
        <v>6866</v>
      </c>
      <c r="J3284" s="3" t="str">
        <f>HYPERLINK("https://www.boe.es/gazeta/dias/1823/01/01/pdfs/GMD-1823-1.pdf#page=1","Abrir facsímil")</f>
        <v>Abrir facsímil</v>
      </c>
      <c r="K3284" s="3" t="s">
        <v>23</v>
      </c>
    </row>
    <row r="3285" spans="1:11" ht="42" customHeight="1">
      <c r="A3285" s="2" t="s">
        <v>6865</v>
      </c>
      <c r="B3285" s="2" t="s">
        <v>6865</v>
      </c>
      <c r="C3285" s="2" t="s">
        <v>17</v>
      </c>
      <c r="D3285" s="2" t="s">
        <v>18</v>
      </c>
      <c r="E3285" s="5">
        <v>-28105</v>
      </c>
      <c r="F3285" s="3" t="s">
        <v>502</v>
      </c>
      <c r="G3285" s="3" t="s">
        <v>27</v>
      </c>
      <c r="H3285" s="2" t="s">
        <v>21</v>
      </c>
      <c r="I3285" s="2" t="s">
        <v>6867</v>
      </c>
      <c r="J3285" s="3" t="str">
        <f>HYPERLINK("https://www.boe.es/gazeta/dias/1823/01/18/pdfs/GMD-1823-18.pdf#page=2","Abrir facsímil")</f>
        <v>Abrir facsímil</v>
      </c>
      <c r="K3285" s="3" t="s">
        <v>23</v>
      </c>
    </row>
    <row r="3286" spans="1:11" ht="42" customHeight="1">
      <c r="A3286" s="2" t="s">
        <v>6865</v>
      </c>
      <c r="B3286" s="2" t="s">
        <v>6865</v>
      </c>
      <c r="C3286" s="2" t="s">
        <v>56</v>
      </c>
      <c r="D3286" s="2" t="s">
        <v>57</v>
      </c>
      <c r="E3286" s="5">
        <v>-28057</v>
      </c>
      <c r="F3286" s="3" t="s">
        <v>301</v>
      </c>
      <c r="G3286" s="3" t="s">
        <v>20</v>
      </c>
      <c r="H3286" s="2" t="s">
        <v>21</v>
      </c>
      <c r="I3286" s="2" t="s">
        <v>6868</v>
      </c>
      <c r="J3286" s="3" t="str">
        <f>HYPERLINK("https://www.boe.es/gazeta/dias/1823/03/07/pdfs/GMD-1823-70.pdf#page=4","Abrir facsímil")</f>
        <v>Abrir facsímil</v>
      </c>
      <c r="K3286" s="3" t="s">
        <v>23</v>
      </c>
    </row>
    <row r="3287" spans="1:11" ht="42" customHeight="1">
      <c r="A3287" s="2" t="s">
        <v>6865</v>
      </c>
      <c r="B3287" s="2" t="s">
        <v>6865</v>
      </c>
      <c r="C3287" s="2" t="s">
        <v>17</v>
      </c>
      <c r="D3287" s="2" t="s">
        <v>18</v>
      </c>
      <c r="E3287" s="5">
        <v>-27986</v>
      </c>
      <c r="F3287" s="3" t="s">
        <v>75</v>
      </c>
      <c r="G3287" s="3" t="s">
        <v>27</v>
      </c>
      <c r="H3287" s="2" t="s">
        <v>21</v>
      </c>
      <c r="I3287" s="2" t="s">
        <v>6869</v>
      </c>
      <c r="J3287" s="3" t="str">
        <f>HYPERLINK("https://www.boe.es/gazeta/dias/1823/05/17/pdfs/GES-1823-37.pdf#page=2","Abrir facsímil")</f>
        <v>Abrir facsímil</v>
      </c>
      <c r="K3287" s="3" t="s">
        <v>23</v>
      </c>
    </row>
    <row r="3288" spans="1:11" ht="42" customHeight="1">
      <c r="A3288" s="2" t="s">
        <v>6870</v>
      </c>
      <c r="B3288" s="2" t="s">
        <v>6871</v>
      </c>
      <c r="C3288" s="2" t="s">
        <v>17</v>
      </c>
      <c r="D3288" s="2" t="s">
        <v>18</v>
      </c>
      <c r="E3288" s="5">
        <v>-27943</v>
      </c>
      <c r="F3288" s="3" t="s">
        <v>346</v>
      </c>
      <c r="G3288" s="3" t="s">
        <v>20</v>
      </c>
      <c r="H3288" s="2" t="s">
        <v>21</v>
      </c>
      <c r="I3288" s="2" t="s">
        <v>6872</v>
      </c>
      <c r="J3288" s="3" t="str">
        <f>HYPERLINK("https://www.boe.es/gazeta/dias/1823/06/29/pdfs/GES-1823-79.pdf#page=4","Abrir facsímil")</f>
        <v>Abrir facsímil</v>
      </c>
      <c r="K3288" s="3" t="s">
        <v>23</v>
      </c>
    </row>
    <row r="3289" spans="1:11" ht="42" customHeight="1">
      <c r="A3289" s="2" t="s">
        <v>6873</v>
      </c>
      <c r="B3289" s="2" t="s">
        <v>6874</v>
      </c>
      <c r="C3289" s="2" t="s">
        <v>17</v>
      </c>
      <c r="D3289" s="2" t="s">
        <v>18</v>
      </c>
      <c r="E3289" s="5">
        <v>-28056</v>
      </c>
      <c r="F3289" s="3" t="s">
        <v>572</v>
      </c>
      <c r="G3289" s="3" t="s">
        <v>59</v>
      </c>
      <c r="H3289" s="2" t="s">
        <v>21</v>
      </c>
      <c r="I3289" s="2" t="s">
        <v>6875</v>
      </c>
      <c r="J3289" s="3" t="str">
        <f>HYPERLINK("https://www.boe.es/gazeta/dias/1823/03/08/pdfs/GMD-1823-71.pdf#page=6","Abrir facsímil")</f>
        <v>Abrir facsímil</v>
      </c>
      <c r="K3289" s="3" t="s">
        <v>23</v>
      </c>
    </row>
    <row r="3290" spans="1:11" ht="42" customHeight="1">
      <c r="A3290" s="2" t="s">
        <v>6876</v>
      </c>
      <c r="B3290" s="2" t="s">
        <v>6876</v>
      </c>
      <c r="C3290" s="2" t="s">
        <v>17</v>
      </c>
      <c r="D3290" s="2" t="s">
        <v>18</v>
      </c>
      <c r="E3290" s="5">
        <v>-27997</v>
      </c>
      <c r="F3290" s="3" t="s">
        <v>317</v>
      </c>
      <c r="G3290" s="3" t="s">
        <v>39</v>
      </c>
      <c r="H3290" s="2" t="s">
        <v>21</v>
      </c>
      <c r="I3290" s="2" t="s">
        <v>6877</v>
      </c>
      <c r="J3290" s="3" t="str">
        <f>HYPERLINK("https://www.boe.es/gazeta/dias/1823/05/06/pdfs/GES-1823-26.pdf#page=1","Abrir facsímil")</f>
        <v>Abrir facsímil</v>
      </c>
      <c r="K3290" s="3" t="s">
        <v>23</v>
      </c>
    </row>
    <row r="3291" spans="1:11" ht="42" customHeight="1">
      <c r="A3291" s="2" t="s">
        <v>6876</v>
      </c>
      <c r="B3291" s="2" t="s">
        <v>6876</v>
      </c>
      <c r="C3291" s="2" t="s">
        <v>17</v>
      </c>
      <c r="D3291" s="2" t="s">
        <v>18</v>
      </c>
      <c r="E3291" s="5">
        <v>-27981</v>
      </c>
      <c r="F3291" s="3" t="s">
        <v>1521</v>
      </c>
      <c r="G3291" s="3" t="s">
        <v>48</v>
      </c>
      <c r="H3291" s="2" t="s">
        <v>21</v>
      </c>
      <c r="I3291" s="2" t="s">
        <v>6878</v>
      </c>
      <c r="J3291" s="3" t="str">
        <f>HYPERLINK("https://www.boe.es/gazeta/dias/1823/05/22/pdfs/GES-1823-43.pdf#page=3","Abrir facsímil")</f>
        <v>Abrir facsímil</v>
      </c>
      <c r="K3291" s="3" t="s">
        <v>23</v>
      </c>
    </row>
    <row r="3292" spans="1:11" ht="42" customHeight="1">
      <c r="A3292" s="2" t="s">
        <v>6879</v>
      </c>
      <c r="B3292" s="2" t="s">
        <v>6880</v>
      </c>
      <c r="C3292" s="2" t="s">
        <v>17</v>
      </c>
      <c r="D3292" s="2" t="s">
        <v>18</v>
      </c>
      <c r="E3292" s="5">
        <v>-28016</v>
      </c>
      <c r="F3292" s="3" t="s">
        <v>287</v>
      </c>
      <c r="G3292" s="3" t="s">
        <v>3416</v>
      </c>
      <c r="H3292" s="2" t="s">
        <v>21</v>
      </c>
      <c r="I3292" s="2" t="s">
        <v>6881</v>
      </c>
      <c r="J3292" s="3" t="str">
        <f>HYPERLINK("https://www.boe.es/gazeta/dias/1823/04/17/pdfs/GMD-1823-22.pdf#page=4","Abrir facsímil")</f>
        <v>Abrir facsímil</v>
      </c>
      <c r="K3292" s="3" t="s">
        <v>23</v>
      </c>
    </row>
    <row r="3293" spans="1:11" ht="42" customHeight="1">
      <c r="A3293" s="2" t="s">
        <v>6882</v>
      </c>
      <c r="B3293" s="2" t="s">
        <v>6882</v>
      </c>
      <c r="C3293" s="2" t="s">
        <v>17</v>
      </c>
      <c r="D3293" s="2" t="s">
        <v>18</v>
      </c>
      <c r="E3293" s="5">
        <v>-27897</v>
      </c>
      <c r="F3293" s="3" t="s">
        <v>5962</v>
      </c>
      <c r="G3293" s="3" t="s">
        <v>5269</v>
      </c>
      <c r="H3293" s="2" t="s">
        <v>21</v>
      </c>
      <c r="I3293" s="2" t="s">
        <v>6883</v>
      </c>
      <c r="J3293" s="3" t="str">
        <f>HYPERLINK("https://www.boe.es/gazeta/dias/1823/08/14/pdfs/GES-1823-127.pdf#page=2","Abrir facsímil")</f>
        <v>Abrir facsímil</v>
      </c>
      <c r="K3293" s="3" t="s">
        <v>23</v>
      </c>
    </row>
    <row r="3294" spans="1:11" ht="42" customHeight="1">
      <c r="A3294" s="2" t="s">
        <v>6882</v>
      </c>
      <c r="B3294" s="2" t="s">
        <v>6882</v>
      </c>
      <c r="C3294" s="2" t="s">
        <v>17</v>
      </c>
      <c r="D3294" s="2" t="s">
        <v>18</v>
      </c>
      <c r="E3294" s="5">
        <v>-27891</v>
      </c>
      <c r="F3294" s="3" t="s">
        <v>825</v>
      </c>
      <c r="G3294" s="3" t="s">
        <v>20</v>
      </c>
      <c r="H3294" s="2" t="s">
        <v>21</v>
      </c>
      <c r="I3294" s="2" t="s">
        <v>6884</v>
      </c>
      <c r="J3294" s="3" t="str">
        <f>HYPERLINK("https://www.boe.es/gazeta/dias/1823/08/20/pdfs/GES-1823-133.pdf#page=4","Abrir facsímil")</f>
        <v>Abrir facsímil</v>
      </c>
      <c r="K3294" s="3" t="s">
        <v>23</v>
      </c>
    </row>
    <row r="3295" spans="1:11" ht="42" customHeight="1">
      <c r="A3295" s="2" t="s">
        <v>6885</v>
      </c>
      <c r="B3295" s="2" t="s">
        <v>6885</v>
      </c>
      <c r="C3295" s="2" t="s">
        <v>56</v>
      </c>
      <c r="D3295" s="2" t="s">
        <v>57</v>
      </c>
      <c r="E3295" s="5">
        <v>-28037</v>
      </c>
      <c r="F3295" s="3" t="s">
        <v>192</v>
      </c>
      <c r="G3295" s="3" t="s">
        <v>20</v>
      </c>
      <c r="H3295" s="2" t="s">
        <v>21</v>
      </c>
      <c r="I3295" s="2" t="s">
        <v>6886</v>
      </c>
      <c r="J3295" s="3" t="str">
        <f>HYPERLINK("https://www.boe.es/gazeta/dias/1823/03/27/pdfs/GMD-1823-90.pdf#page=4","Abrir facsímil")</f>
        <v>Abrir facsímil</v>
      </c>
      <c r="K3295" s="3" t="s">
        <v>23</v>
      </c>
    </row>
    <row r="3296" spans="1:11" ht="42" customHeight="1">
      <c r="A3296" s="2" t="s">
        <v>6887</v>
      </c>
      <c r="B3296" s="2" t="s">
        <v>6887</v>
      </c>
      <c r="C3296" s="2" t="s">
        <v>17</v>
      </c>
      <c r="D3296" s="2" t="s">
        <v>18</v>
      </c>
      <c r="E3296" s="5">
        <v>-28078</v>
      </c>
      <c r="F3296" s="3" t="s">
        <v>508</v>
      </c>
      <c r="G3296" s="3" t="s">
        <v>59</v>
      </c>
      <c r="H3296" s="2" t="s">
        <v>21</v>
      </c>
      <c r="I3296" s="2" t="s">
        <v>6888</v>
      </c>
      <c r="J3296" s="3" t="str">
        <f>HYPERLINK("https://www.boe.es/gazeta/dias/1823/02/14/pdfs/GMD-1823-48.pdf#page=6","Abrir facsímil")</f>
        <v>Abrir facsímil</v>
      </c>
      <c r="K3296" s="3" t="s">
        <v>23</v>
      </c>
    </row>
    <row r="3297" spans="1:11" ht="42" customHeight="1">
      <c r="A3297" s="2" t="s">
        <v>6887</v>
      </c>
      <c r="B3297" s="2" t="s">
        <v>6887</v>
      </c>
      <c r="C3297" s="2" t="s">
        <v>17</v>
      </c>
      <c r="D3297" s="2" t="s">
        <v>18</v>
      </c>
      <c r="E3297" s="5">
        <v>-28050</v>
      </c>
      <c r="F3297" s="3" t="s">
        <v>473</v>
      </c>
      <c r="G3297" s="3" t="s">
        <v>27</v>
      </c>
      <c r="H3297" s="2" t="s">
        <v>21</v>
      </c>
      <c r="I3297" s="2" t="s">
        <v>6889</v>
      </c>
      <c r="J3297" s="3" t="str">
        <f>HYPERLINK("https://www.boe.es/gazeta/dias/1823/03/14/pdfs/GMD-1823-77.pdf#page=2","Abrir facsímil")</f>
        <v>Abrir facsímil</v>
      </c>
      <c r="K3297" s="3" t="s">
        <v>23</v>
      </c>
    </row>
    <row r="3298" spans="1:11" ht="42" customHeight="1">
      <c r="A3298" s="2" t="s">
        <v>6887</v>
      </c>
      <c r="B3298" s="2" t="s">
        <v>6887</v>
      </c>
      <c r="C3298" s="2" t="s">
        <v>17</v>
      </c>
      <c r="D3298" s="2" t="s">
        <v>18</v>
      </c>
      <c r="E3298" s="5">
        <v>-28038</v>
      </c>
      <c r="F3298" s="3" t="s">
        <v>2379</v>
      </c>
      <c r="G3298" s="3" t="s">
        <v>20</v>
      </c>
      <c r="H3298" s="2" t="s">
        <v>21</v>
      </c>
      <c r="I3298" s="2" t="s">
        <v>6890</v>
      </c>
      <c r="J3298" s="3" t="str">
        <f>HYPERLINK("https://www.boe.es/gazeta/dias/1823/03/26/pdfs/GMD-1823-89.pdf#page=4","Abrir facsímil")</f>
        <v>Abrir facsímil</v>
      </c>
      <c r="K3298" s="3" t="s">
        <v>23</v>
      </c>
    </row>
    <row r="3299" spans="1:11" ht="42" customHeight="1">
      <c r="A3299" s="2" t="s">
        <v>6887</v>
      </c>
      <c r="B3299" s="2" t="s">
        <v>6887</v>
      </c>
      <c r="C3299" s="2" t="s">
        <v>79</v>
      </c>
      <c r="D3299" s="2" t="s">
        <v>74</v>
      </c>
      <c r="E3299" s="5">
        <v>-28032</v>
      </c>
      <c r="F3299" s="3" t="s">
        <v>668</v>
      </c>
      <c r="G3299" s="3" t="s">
        <v>20</v>
      </c>
      <c r="H3299" s="2" t="s">
        <v>21</v>
      </c>
      <c r="I3299" s="2" t="s">
        <v>6891</v>
      </c>
      <c r="J3299" s="3" t="str">
        <f>HYPERLINK("https://www.boe.es/gazeta/dias/1823/04/01/pdfs/GMD-1823-95.pdf#page=4","Abrir facsímil")</f>
        <v>Abrir facsímil</v>
      </c>
      <c r="K3299" s="3" t="s">
        <v>23</v>
      </c>
    </row>
    <row r="3300" spans="1:11" ht="42" customHeight="1">
      <c r="A3300" s="2" t="s">
        <v>6887</v>
      </c>
      <c r="B3300" s="2" t="s">
        <v>6887</v>
      </c>
      <c r="C3300" s="2" t="s">
        <v>79</v>
      </c>
      <c r="D3300" s="2" t="s">
        <v>74</v>
      </c>
      <c r="E3300" s="5">
        <v>-28030</v>
      </c>
      <c r="F3300" s="3" t="s">
        <v>145</v>
      </c>
      <c r="G3300" s="3" t="s">
        <v>20</v>
      </c>
      <c r="H3300" s="2" t="s">
        <v>21</v>
      </c>
      <c r="I3300" s="2" t="s">
        <v>6892</v>
      </c>
      <c r="J3300" s="3" t="str">
        <f>HYPERLINK("https://www.boe.es/gazeta/dias/1823/04/03/pdfs/GMD-1823-97.pdf#page=4","Abrir facsímil")</f>
        <v>Abrir facsímil</v>
      </c>
      <c r="K3300" s="3" t="s">
        <v>23</v>
      </c>
    </row>
    <row r="3301" spans="1:11" ht="42" customHeight="1">
      <c r="A3301" s="2" t="s">
        <v>6887</v>
      </c>
      <c r="B3301" s="2" t="s">
        <v>6887</v>
      </c>
      <c r="C3301" s="2" t="s">
        <v>109</v>
      </c>
      <c r="D3301" s="2" t="s">
        <v>74</v>
      </c>
      <c r="E3301" s="5">
        <v>-27906</v>
      </c>
      <c r="F3301" s="3" t="s">
        <v>241</v>
      </c>
      <c r="G3301" s="3" t="s">
        <v>2212</v>
      </c>
      <c r="H3301" s="2" t="s">
        <v>21</v>
      </c>
      <c r="I3301" s="2" t="s">
        <v>6893</v>
      </c>
      <c r="J3301" s="3" t="str">
        <f>HYPERLINK("https://www.boe.es/gazeta/dias/1823/08/05/pdfs/GES-1823-117.pdf#page=2","Abrir facsímil")</f>
        <v>Abrir facsímil</v>
      </c>
      <c r="K3301" s="3" t="s">
        <v>23</v>
      </c>
    </row>
    <row r="3302" spans="1:11" ht="42" customHeight="1">
      <c r="A3302" s="2" t="s">
        <v>6887</v>
      </c>
      <c r="B3302" s="2" t="s">
        <v>6887</v>
      </c>
      <c r="C3302" s="2" t="s">
        <v>17</v>
      </c>
      <c r="D3302" s="2" t="s">
        <v>18</v>
      </c>
      <c r="E3302" s="5">
        <v>-27879</v>
      </c>
      <c r="F3302" s="3" t="s">
        <v>638</v>
      </c>
      <c r="G3302" s="3" t="s">
        <v>20</v>
      </c>
      <c r="H3302" s="2" t="s">
        <v>21</v>
      </c>
      <c r="I3302" s="2" t="s">
        <v>6894</v>
      </c>
      <c r="J3302" s="3" t="str">
        <f>HYPERLINK("https://www.boe.es/gazeta/dias/1823/09/01/pdfs/GES-1823-145.pdf#page=4","Abrir facsímil")</f>
        <v>Abrir facsímil</v>
      </c>
      <c r="K3302" s="3" t="s">
        <v>23</v>
      </c>
    </row>
    <row r="3303" spans="1:11" ht="42" customHeight="1">
      <c r="A3303" s="2" t="s">
        <v>6887</v>
      </c>
      <c r="B3303" s="2" t="s">
        <v>6887</v>
      </c>
      <c r="C3303" s="2" t="s">
        <v>17</v>
      </c>
      <c r="D3303" s="2" t="s">
        <v>18</v>
      </c>
      <c r="E3303" s="5">
        <v>-27848</v>
      </c>
      <c r="F3303" s="3" t="s">
        <v>2665</v>
      </c>
      <c r="G3303" s="3" t="s">
        <v>27</v>
      </c>
      <c r="H3303" s="2" t="s">
        <v>21</v>
      </c>
      <c r="I3303" s="2" t="s">
        <v>6895</v>
      </c>
      <c r="J3303" s="3" t="str">
        <f>HYPERLINK("https://www.boe.es/gazeta/dias/1823/10/02/pdfs/GMD-1823-893.pdf#page=2","Abrir facsímil")</f>
        <v>Abrir facsímil</v>
      </c>
      <c r="K3303" s="3" t="s">
        <v>23</v>
      </c>
    </row>
    <row r="3304" spans="1:11" ht="42" customHeight="1">
      <c r="A3304" s="2" t="s">
        <v>6887</v>
      </c>
      <c r="B3304" s="2" t="s">
        <v>6887</v>
      </c>
      <c r="C3304" s="2" t="s">
        <v>293</v>
      </c>
      <c r="D3304" s="2" t="s">
        <v>74</v>
      </c>
      <c r="E3304" s="5">
        <v>-27811</v>
      </c>
      <c r="F3304" s="3" t="s">
        <v>834</v>
      </c>
      <c r="G3304" s="3" t="s">
        <v>20</v>
      </c>
      <c r="H3304" s="2" t="s">
        <v>21</v>
      </c>
      <c r="I3304" s="2" t="s">
        <v>6896</v>
      </c>
      <c r="J3304" s="3" t="str">
        <f>HYPERLINK("https://www.boe.es/gazeta/dias/1823/11/08/pdfs/GMD-1823-1083.pdf#page=4","Abrir facsímil")</f>
        <v>Abrir facsímil</v>
      </c>
      <c r="K3304" s="3" t="s">
        <v>23</v>
      </c>
    </row>
    <row r="3305" spans="1:11" ht="42" customHeight="1">
      <c r="A3305" s="2" t="s">
        <v>6897</v>
      </c>
      <c r="B3305" s="2" t="s">
        <v>6898</v>
      </c>
      <c r="C3305" s="2" t="s">
        <v>17</v>
      </c>
      <c r="D3305" s="2" t="s">
        <v>18</v>
      </c>
      <c r="E3305" s="5">
        <v>-27895</v>
      </c>
      <c r="F3305" s="3" t="s">
        <v>5642</v>
      </c>
      <c r="G3305" s="3" t="s">
        <v>20</v>
      </c>
      <c r="H3305" s="2" t="s">
        <v>21</v>
      </c>
      <c r="I3305" s="2" t="s">
        <v>6899</v>
      </c>
      <c r="J3305" s="3" t="str">
        <f>HYPERLINK("https://www.boe.es/gazeta/dias/1823/08/16/pdfs/GMD-1823-603.pdf#page=4","Abrir facsímil")</f>
        <v>Abrir facsímil</v>
      </c>
      <c r="K3305" s="3" t="s">
        <v>23</v>
      </c>
    </row>
    <row r="3306" spans="1:11" ht="42" customHeight="1">
      <c r="A3306" s="2" t="s">
        <v>6900</v>
      </c>
      <c r="B3306" s="2" t="s">
        <v>6900</v>
      </c>
      <c r="C3306" s="2" t="s">
        <v>17</v>
      </c>
      <c r="D3306" s="2" t="s">
        <v>18</v>
      </c>
      <c r="E3306" s="5">
        <v>-28102</v>
      </c>
      <c r="F3306" s="3" t="s">
        <v>287</v>
      </c>
      <c r="G3306" s="3" t="s">
        <v>27</v>
      </c>
      <c r="H3306" s="2" t="s">
        <v>21</v>
      </c>
      <c r="I3306" s="2" t="s">
        <v>6901</v>
      </c>
      <c r="J3306" s="3" t="str">
        <f>HYPERLINK("https://www.boe.es/gazeta/dias/1823/01/21/pdfs/GMD-1823-22.pdf#page=2","Abrir facsímil")</f>
        <v>Abrir facsímil</v>
      </c>
      <c r="K3306" s="3" t="s">
        <v>23</v>
      </c>
    </row>
    <row r="3307" spans="1:11" ht="42" customHeight="1">
      <c r="A3307" s="2" t="s">
        <v>6902</v>
      </c>
      <c r="B3307" s="2" t="s">
        <v>6903</v>
      </c>
      <c r="C3307" s="2" t="s">
        <v>56</v>
      </c>
      <c r="D3307" s="2" t="s">
        <v>57</v>
      </c>
      <c r="E3307" s="5">
        <v>-28037</v>
      </c>
      <c r="F3307" s="3" t="s">
        <v>192</v>
      </c>
      <c r="G3307" s="3" t="s">
        <v>20</v>
      </c>
      <c r="H3307" s="2" t="s">
        <v>21</v>
      </c>
      <c r="I3307" s="2" t="s">
        <v>6904</v>
      </c>
      <c r="J3307" s="3" t="str">
        <f>HYPERLINK("https://www.boe.es/gazeta/dias/1823/03/27/pdfs/GMD-1823-90.pdf#page=4","Abrir facsímil")</f>
        <v>Abrir facsímil</v>
      </c>
      <c r="K3307" s="3" t="s">
        <v>23</v>
      </c>
    </row>
    <row r="3308" spans="1:11" ht="42" customHeight="1">
      <c r="A3308" s="2" t="s">
        <v>6902</v>
      </c>
      <c r="B3308" s="2" t="s">
        <v>6903</v>
      </c>
      <c r="C3308" s="2" t="s">
        <v>17</v>
      </c>
      <c r="D3308" s="2" t="s">
        <v>18</v>
      </c>
      <c r="E3308" s="5">
        <v>-28000</v>
      </c>
      <c r="F3308" s="3" t="s">
        <v>1118</v>
      </c>
      <c r="G3308" s="3" t="s">
        <v>59</v>
      </c>
      <c r="H3308" s="2" t="s">
        <v>21</v>
      </c>
      <c r="I3308" s="2" t="s">
        <v>6905</v>
      </c>
      <c r="J3308" s="3" t="str">
        <f>HYPERLINK("https://www.boe.es/gazeta/dias/1823/05/03/pdfs/GES-1823-23.pdf#page=6","Abrir facsímil")</f>
        <v>Abrir facsímil</v>
      </c>
      <c r="K3308" s="3" t="s">
        <v>23</v>
      </c>
    </row>
    <row r="3309" spans="1:11" ht="42" customHeight="1">
      <c r="A3309" s="2" t="s">
        <v>6906</v>
      </c>
      <c r="B3309" s="2" t="s">
        <v>6907</v>
      </c>
      <c r="C3309" s="2" t="s">
        <v>17</v>
      </c>
      <c r="D3309" s="2" t="s">
        <v>18</v>
      </c>
      <c r="E3309" s="5">
        <v>-27919</v>
      </c>
      <c r="F3309" s="3" t="s">
        <v>361</v>
      </c>
      <c r="G3309" s="3" t="s">
        <v>20</v>
      </c>
      <c r="H3309" s="2" t="s">
        <v>21</v>
      </c>
      <c r="I3309" s="2" t="s">
        <v>6908</v>
      </c>
      <c r="J3309" s="3" t="str">
        <f>HYPERLINK("https://www.boe.es/gazeta/dias/1823/07/23/pdfs/GES-1823-104.pdf#page=4","Abrir facsímil")</f>
        <v>Abrir facsímil</v>
      </c>
      <c r="K3309" s="3" t="s">
        <v>23</v>
      </c>
    </row>
    <row r="3310" spans="1:11" ht="42" customHeight="1">
      <c r="A3310" s="2" t="s">
        <v>6909</v>
      </c>
      <c r="B3310" s="2" t="s">
        <v>6910</v>
      </c>
      <c r="C3310" s="2" t="s">
        <v>17</v>
      </c>
      <c r="D3310" s="2" t="s">
        <v>18</v>
      </c>
      <c r="E3310" s="5">
        <v>-28037</v>
      </c>
      <c r="F3310" s="3" t="s">
        <v>192</v>
      </c>
      <c r="G3310" s="3" t="s">
        <v>48</v>
      </c>
      <c r="H3310" s="2" t="s">
        <v>21</v>
      </c>
      <c r="I3310" s="2" t="s">
        <v>6911</v>
      </c>
      <c r="J3310" s="3" t="str">
        <f>HYPERLINK("https://www.boe.es/gazeta/dias/1823/03/27/pdfs/GMD-1823-90.pdf#page=3","Abrir facsímil")</f>
        <v>Abrir facsímil</v>
      </c>
      <c r="K3310" s="3" t="s">
        <v>23</v>
      </c>
    </row>
    <row r="3311" spans="1:11" ht="42" customHeight="1">
      <c r="A3311" s="2" t="s">
        <v>6912</v>
      </c>
      <c r="B3311" s="2" t="s">
        <v>6913</v>
      </c>
      <c r="C3311" s="2" t="s">
        <v>79</v>
      </c>
      <c r="D3311" s="2" t="s">
        <v>74</v>
      </c>
      <c r="E3311" s="5">
        <v>-27969</v>
      </c>
      <c r="F3311" s="3" t="s">
        <v>855</v>
      </c>
      <c r="G3311" s="3" t="s">
        <v>39</v>
      </c>
      <c r="H3311" s="2" t="s">
        <v>21</v>
      </c>
      <c r="I3311" s="2" t="s">
        <v>6914</v>
      </c>
      <c r="J3311" s="3" t="str">
        <f>HYPERLINK("https://www.boe.es/gazeta/dias/1823/06/03/pdfs/GES-1823-57.pdf#page=1","Abrir facsímil")</f>
        <v>Abrir facsímil</v>
      </c>
      <c r="K3311" s="3" t="s">
        <v>23</v>
      </c>
    </row>
    <row r="3312" spans="1:11" ht="42" customHeight="1">
      <c r="A3312" s="2" t="s">
        <v>6915</v>
      </c>
      <c r="B3312" s="2" t="s">
        <v>6916</v>
      </c>
      <c r="C3312" s="2" t="s">
        <v>17</v>
      </c>
      <c r="D3312" s="2" t="s">
        <v>18</v>
      </c>
      <c r="E3312" s="5">
        <v>-27996</v>
      </c>
      <c r="F3312" s="3" t="s">
        <v>695</v>
      </c>
      <c r="G3312" s="3" t="s">
        <v>20</v>
      </c>
      <c r="H3312" s="2" t="s">
        <v>21</v>
      </c>
      <c r="I3312" s="2" t="s">
        <v>6917</v>
      </c>
      <c r="J3312" s="3" t="str">
        <f>HYPERLINK("https://www.boe.es/gazeta/dias/1823/05/07/pdfs/GES-1823-27.pdf#page=4","Abrir facsímil")</f>
        <v>Abrir facsímil</v>
      </c>
      <c r="K3312" s="3" t="s">
        <v>23</v>
      </c>
    </row>
    <row r="3313" spans="1:11" ht="42" customHeight="1">
      <c r="A3313" s="2" t="s">
        <v>6918</v>
      </c>
      <c r="B3313" s="2" t="s">
        <v>6919</v>
      </c>
      <c r="C3313" s="2" t="s">
        <v>17</v>
      </c>
      <c r="D3313" s="2" t="s">
        <v>18</v>
      </c>
      <c r="E3313" s="5">
        <v>-28105</v>
      </c>
      <c r="F3313" s="3" t="s">
        <v>502</v>
      </c>
      <c r="G3313" s="3" t="s">
        <v>27</v>
      </c>
      <c r="H3313" s="2" t="s">
        <v>21</v>
      </c>
      <c r="I3313" s="2" t="s">
        <v>6920</v>
      </c>
      <c r="J3313" s="3" t="str">
        <f>HYPERLINK("https://www.boe.es/gazeta/dias/1823/01/18/pdfs/GMD-1823-18.pdf#page=2","Abrir facsímil")</f>
        <v>Abrir facsímil</v>
      </c>
      <c r="K3313" s="3" t="s">
        <v>23</v>
      </c>
    </row>
    <row r="3314" spans="1:11" ht="42" customHeight="1">
      <c r="A3314" s="2" t="s">
        <v>6921</v>
      </c>
      <c r="B3314" s="2" t="s">
        <v>6922</v>
      </c>
      <c r="C3314" s="2" t="s">
        <v>17</v>
      </c>
      <c r="D3314" s="2" t="s">
        <v>18</v>
      </c>
      <c r="E3314" s="5">
        <v>-28063</v>
      </c>
      <c r="F3314" s="3" t="s">
        <v>2493</v>
      </c>
      <c r="G3314" s="3" t="s">
        <v>20</v>
      </c>
      <c r="H3314" s="2" t="s">
        <v>21</v>
      </c>
      <c r="I3314" s="2" t="s">
        <v>6923</v>
      </c>
      <c r="J3314" s="3" t="str">
        <f>HYPERLINK("https://www.boe.es/gazeta/dias/1823/03/01/pdfs/GMD-1823-63.pdf#page=4","Abrir facsímil")</f>
        <v>Abrir facsímil</v>
      </c>
      <c r="K3314" s="3" t="s">
        <v>23</v>
      </c>
    </row>
    <row r="3315" spans="1:11" ht="42" customHeight="1">
      <c r="A3315" s="2" t="s">
        <v>6921</v>
      </c>
      <c r="B3315" s="2" t="s">
        <v>6922</v>
      </c>
      <c r="C3315" s="2" t="s">
        <v>17</v>
      </c>
      <c r="D3315" s="2" t="s">
        <v>18</v>
      </c>
      <c r="E3315" s="5">
        <v>-28053</v>
      </c>
      <c r="F3315" s="3" t="s">
        <v>303</v>
      </c>
      <c r="G3315" s="3" t="s">
        <v>20</v>
      </c>
      <c r="H3315" s="2" t="s">
        <v>21</v>
      </c>
      <c r="I3315" s="2" t="s">
        <v>6924</v>
      </c>
      <c r="J3315" s="3" t="str">
        <f>HYPERLINK("https://www.boe.es/gazeta/dias/1823/03/11/pdfs/GMD-1823-74.pdf#page=4","Abrir facsímil")</f>
        <v>Abrir facsímil</v>
      </c>
      <c r="K3315" s="3" t="s">
        <v>23</v>
      </c>
    </row>
    <row r="3316" spans="1:11" ht="42" customHeight="1">
      <c r="A3316" s="2" t="s">
        <v>6925</v>
      </c>
      <c r="B3316" s="2" t="s">
        <v>6925</v>
      </c>
      <c r="C3316" s="2" t="s">
        <v>17</v>
      </c>
      <c r="D3316" s="2" t="s">
        <v>18</v>
      </c>
      <c r="E3316" s="5">
        <v>-28066</v>
      </c>
      <c r="F3316" s="3" t="s">
        <v>19</v>
      </c>
      <c r="G3316" s="3" t="s">
        <v>20</v>
      </c>
      <c r="H3316" s="2" t="s">
        <v>21</v>
      </c>
      <c r="I3316" s="2" t="s">
        <v>6926</v>
      </c>
      <c r="J3316" s="3" t="str">
        <f>HYPERLINK("https://www.boe.es/gazeta/dias/1823/02/26/pdfs/GMD-1823-60.pdf#page=4","Abrir facsímil")</f>
        <v>Abrir facsímil</v>
      </c>
      <c r="K3316" s="3" t="s">
        <v>23</v>
      </c>
    </row>
    <row r="3317" spans="1:11" ht="42" customHeight="1">
      <c r="A3317" s="2" t="s">
        <v>6927</v>
      </c>
      <c r="B3317" s="2" t="s">
        <v>6927</v>
      </c>
      <c r="C3317" s="2" t="s">
        <v>17</v>
      </c>
      <c r="D3317" s="2" t="s">
        <v>18</v>
      </c>
      <c r="E3317" s="5">
        <v>-28077</v>
      </c>
      <c r="F3317" s="3" t="s">
        <v>536</v>
      </c>
      <c r="G3317" s="3" t="s">
        <v>59</v>
      </c>
      <c r="H3317" s="2" t="s">
        <v>21</v>
      </c>
      <c r="I3317" s="2" t="s">
        <v>6928</v>
      </c>
      <c r="J3317" s="3" t="str">
        <f>HYPERLINK("https://www.boe.es/gazeta/dias/1823/02/15/pdfs/GMD-1823-49.pdf#page=6","Abrir facsímil")</f>
        <v>Abrir facsímil</v>
      </c>
      <c r="K3317" s="3" t="s">
        <v>23</v>
      </c>
    </row>
    <row r="3318" spans="1:11" ht="42" customHeight="1">
      <c r="A3318" s="2" t="s">
        <v>6927</v>
      </c>
      <c r="B3318" s="2" t="s">
        <v>6927</v>
      </c>
      <c r="C3318" s="2" t="s">
        <v>17</v>
      </c>
      <c r="D3318" s="2" t="s">
        <v>18</v>
      </c>
      <c r="E3318" s="5">
        <v>-27918</v>
      </c>
      <c r="F3318" s="3" t="s">
        <v>218</v>
      </c>
      <c r="G3318" s="3" t="s">
        <v>20</v>
      </c>
      <c r="H3318" s="2" t="s">
        <v>21</v>
      </c>
      <c r="I3318" s="2" t="s">
        <v>6929</v>
      </c>
      <c r="J3318" s="3" t="str">
        <f>HYPERLINK("https://www.boe.es/gazeta/dias/1823/07/24/pdfs/GMD-1823-463.pdf#page=4","Abrir facsímil")</f>
        <v>Abrir facsímil</v>
      </c>
      <c r="K3318" s="3" t="s">
        <v>23</v>
      </c>
    </row>
    <row r="3319" spans="1:11" ht="42" customHeight="1">
      <c r="A3319" s="2" t="s">
        <v>6930</v>
      </c>
      <c r="B3319" s="2" t="s">
        <v>6930</v>
      </c>
      <c r="C3319" s="2" t="s">
        <v>79</v>
      </c>
      <c r="D3319" s="2" t="s">
        <v>74</v>
      </c>
      <c r="E3319" s="5">
        <v>-28118</v>
      </c>
      <c r="F3319" s="3" t="s">
        <v>252</v>
      </c>
      <c r="G3319" s="3" t="s">
        <v>59</v>
      </c>
      <c r="H3319" s="2" t="s">
        <v>21</v>
      </c>
      <c r="I3319" s="2" t="s">
        <v>6931</v>
      </c>
      <c r="J3319" s="3" t="str">
        <f>HYPERLINK("https://www.boe.es/gazeta/dias/1823/01/05/pdfs/GMD-1823-5.pdf#page=6","Abrir facsímil")</f>
        <v>Abrir facsímil</v>
      </c>
      <c r="K3319" s="3" t="s">
        <v>23</v>
      </c>
    </row>
    <row r="3320" spans="1:11" ht="42" customHeight="1">
      <c r="A3320" s="2" t="s">
        <v>6930</v>
      </c>
      <c r="B3320" s="2" t="s">
        <v>6930</v>
      </c>
      <c r="C3320" s="2" t="s">
        <v>17</v>
      </c>
      <c r="D3320" s="2" t="s">
        <v>18</v>
      </c>
      <c r="E3320" s="5">
        <v>-28104</v>
      </c>
      <c r="F3320" s="3" t="s">
        <v>114</v>
      </c>
      <c r="G3320" s="3" t="s">
        <v>34</v>
      </c>
      <c r="H3320" s="2" t="s">
        <v>21</v>
      </c>
      <c r="I3320" s="2" t="s">
        <v>6932</v>
      </c>
      <c r="J3320" s="3" t="str">
        <f>HYPERLINK("https://www.boe.es/gazeta/dias/1823/01/19/pdfs/GMD-1823-19.pdf#page=5","Abrir facsímil")</f>
        <v>Abrir facsímil</v>
      </c>
      <c r="K3320" s="3" t="s">
        <v>23</v>
      </c>
    </row>
    <row r="3321" spans="1:11" ht="42" customHeight="1">
      <c r="A3321" s="2" t="s">
        <v>6930</v>
      </c>
      <c r="B3321" s="2" t="s">
        <v>6930</v>
      </c>
      <c r="C3321" s="2" t="s">
        <v>17</v>
      </c>
      <c r="D3321" s="2" t="s">
        <v>18</v>
      </c>
      <c r="E3321" s="5">
        <v>-28102</v>
      </c>
      <c r="F3321" s="3" t="s">
        <v>287</v>
      </c>
      <c r="G3321" s="3" t="s">
        <v>20</v>
      </c>
      <c r="H3321" s="2" t="s">
        <v>21</v>
      </c>
      <c r="I3321" s="2" t="s">
        <v>6933</v>
      </c>
      <c r="J3321" s="3" t="str">
        <f>HYPERLINK("https://www.boe.es/gazeta/dias/1823/01/21/pdfs/GMD-1823-22.pdf#page=4","Abrir facsímil")</f>
        <v>Abrir facsímil</v>
      </c>
      <c r="K3321" s="3" t="s">
        <v>23</v>
      </c>
    </row>
    <row r="3322" spans="1:11" ht="42" customHeight="1">
      <c r="A3322" s="2" t="s">
        <v>6930</v>
      </c>
      <c r="B3322" s="2" t="s">
        <v>6930</v>
      </c>
      <c r="C3322" s="2" t="s">
        <v>17</v>
      </c>
      <c r="D3322" s="2" t="s">
        <v>18</v>
      </c>
      <c r="E3322" s="5">
        <v>-28090</v>
      </c>
      <c r="F3322" s="3" t="s">
        <v>174</v>
      </c>
      <c r="G3322" s="3" t="s">
        <v>20</v>
      </c>
      <c r="H3322" s="2" t="s">
        <v>21</v>
      </c>
      <c r="I3322" s="2" t="s">
        <v>6934</v>
      </c>
      <c r="J3322" s="3" t="str">
        <f>HYPERLINK("https://www.boe.es/gazeta/dias/1823/02/02/pdfs/GMD-1823-35.pdf#page=4","Abrir facsímil")</f>
        <v>Abrir facsímil</v>
      </c>
      <c r="K3322" s="3" t="s">
        <v>23</v>
      </c>
    </row>
    <row r="3323" spans="1:11" ht="42" customHeight="1">
      <c r="A3323" s="2" t="s">
        <v>6930</v>
      </c>
      <c r="B3323" s="2" t="s">
        <v>6930</v>
      </c>
      <c r="C3323" s="2" t="s">
        <v>17</v>
      </c>
      <c r="D3323" s="2" t="s">
        <v>18</v>
      </c>
      <c r="E3323" s="5">
        <v>-28068</v>
      </c>
      <c r="F3323" s="3" t="s">
        <v>1325</v>
      </c>
      <c r="G3323" s="3" t="s">
        <v>20</v>
      </c>
      <c r="H3323" s="2" t="s">
        <v>21</v>
      </c>
      <c r="I3323" s="2" t="s">
        <v>6935</v>
      </c>
      <c r="J3323" s="3" t="str">
        <f>HYPERLINK("https://www.boe.es/gazeta/dias/1823/02/24/pdfs/GMD-1823-58.pdf#page=4","Abrir facsímil")</f>
        <v>Abrir facsímil</v>
      </c>
      <c r="K3323" s="3" t="s">
        <v>23</v>
      </c>
    </row>
    <row r="3324" spans="1:11" ht="42" customHeight="1">
      <c r="A3324" s="2" t="s">
        <v>6930</v>
      </c>
      <c r="B3324" s="2" t="s">
        <v>6930</v>
      </c>
      <c r="C3324" s="2" t="s">
        <v>17</v>
      </c>
      <c r="D3324" s="2" t="s">
        <v>18</v>
      </c>
      <c r="E3324" s="5">
        <v>-28050</v>
      </c>
      <c r="F3324" s="3" t="s">
        <v>473</v>
      </c>
      <c r="G3324" s="3" t="s">
        <v>59</v>
      </c>
      <c r="H3324" s="2" t="s">
        <v>21</v>
      </c>
      <c r="I3324" s="2" t="s">
        <v>6936</v>
      </c>
      <c r="J3324" s="3" t="str">
        <f>HYPERLINK("https://www.boe.es/gazeta/dias/1823/03/14/pdfs/GMD-1823-77.pdf#page=6","Abrir facsímil")</f>
        <v>Abrir facsímil</v>
      </c>
      <c r="K3324" s="3" t="s">
        <v>23</v>
      </c>
    </row>
    <row r="3325" spans="1:11" ht="42" customHeight="1">
      <c r="A3325" s="2" t="s">
        <v>6930</v>
      </c>
      <c r="B3325" s="2" t="s">
        <v>6930</v>
      </c>
      <c r="C3325" s="2" t="s">
        <v>17</v>
      </c>
      <c r="D3325" s="2" t="s">
        <v>18</v>
      </c>
      <c r="E3325" s="5">
        <v>-28034</v>
      </c>
      <c r="F3325" s="3" t="s">
        <v>6937</v>
      </c>
      <c r="G3325" s="3" t="s">
        <v>20</v>
      </c>
      <c r="H3325" s="2" t="s">
        <v>21</v>
      </c>
      <c r="I3325" s="2" t="s">
        <v>6938</v>
      </c>
      <c r="J3325" s="3" t="str">
        <f>HYPERLINK("https://www.boe.es/gazeta/dias/1823/03/30/pdfs/GMD-1823-93.pdf#page=4","Abrir facsímil")</f>
        <v>Abrir facsímil</v>
      </c>
      <c r="K3325" s="3" t="s">
        <v>23</v>
      </c>
    </row>
    <row r="3326" spans="1:11" ht="42" customHeight="1">
      <c r="A3326" s="2" t="s">
        <v>6930</v>
      </c>
      <c r="B3326" s="2" t="s">
        <v>6930</v>
      </c>
      <c r="C3326" s="2" t="s">
        <v>17</v>
      </c>
      <c r="D3326" s="2" t="s">
        <v>18</v>
      </c>
      <c r="E3326" s="5">
        <v>-28033</v>
      </c>
      <c r="F3326" s="3" t="s">
        <v>1372</v>
      </c>
      <c r="G3326" s="3" t="s">
        <v>27</v>
      </c>
      <c r="H3326" s="2" t="s">
        <v>21</v>
      </c>
      <c r="I3326" s="2" t="s">
        <v>6939</v>
      </c>
      <c r="J3326" s="3" t="str">
        <f>HYPERLINK("https://www.boe.es/gazeta/dias/1823/03/31/pdfs/GMD-1823-94.pdf#page=2","Abrir facsímil")</f>
        <v>Abrir facsímil</v>
      </c>
      <c r="K3326" s="3" t="s">
        <v>23</v>
      </c>
    </row>
    <row r="3327" spans="1:11" ht="42" customHeight="1">
      <c r="A3327" s="2" t="s">
        <v>6930</v>
      </c>
      <c r="B3327" s="2" t="s">
        <v>6930</v>
      </c>
      <c r="C3327" s="2" t="s">
        <v>17</v>
      </c>
      <c r="D3327" s="2" t="s">
        <v>18</v>
      </c>
      <c r="E3327" s="5">
        <v>-28025</v>
      </c>
      <c r="F3327" s="3" t="s">
        <v>477</v>
      </c>
      <c r="G3327" s="3" t="s">
        <v>27</v>
      </c>
      <c r="H3327" s="2" t="s">
        <v>21</v>
      </c>
      <c r="I3327" s="2" t="s">
        <v>6940</v>
      </c>
      <c r="J3327" s="3" t="str">
        <f>HYPERLINK("https://www.boe.es/gazeta/dias/1823/04/08/pdfs/GMD-1823-103.pdf#page=2","Abrir facsímil")</f>
        <v>Abrir facsímil</v>
      </c>
      <c r="K3327" s="3" t="s">
        <v>23</v>
      </c>
    </row>
    <row r="3328" spans="1:11" ht="42" customHeight="1">
      <c r="A3328" s="2" t="s">
        <v>6930</v>
      </c>
      <c r="B3328" s="2" t="s">
        <v>6930</v>
      </c>
      <c r="C3328" s="2" t="s">
        <v>17</v>
      </c>
      <c r="D3328" s="2" t="s">
        <v>18</v>
      </c>
      <c r="E3328" s="5">
        <v>-28018</v>
      </c>
      <c r="F3328" s="3" t="s">
        <v>2613</v>
      </c>
      <c r="G3328" s="3" t="s">
        <v>4093</v>
      </c>
      <c r="H3328" s="2" t="s">
        <v>21</v>
      </c>
      <c r="I3328" s="2" t="s">
        <v>6941</v>
      </c>
      <c r="J3328" s="3" t="str">
        <f>HYPERLINK("https://www.boe.es/gazeta/dias/1823/04/15/pdfs/GES-1823-5.pdf#page=6","Abrir facsímil")</f>
        <v>Abrir facsímil</v>
      </c>
      <c r="K3328" s="3" t="s">
        <v>23</v>
      </c>
    </row>
    <row r="3329" spans="1:11" ht="42" customHeight="1">
      <c r="A3329" s="2" t="s">
        <v>6930</v>
      </c>
      <c r="B3329" s="2" t="s">
        <v>6930</v>
      </c>
      <c r="C3329" s="2" t="s">
        <v>17</v>
      </c>
      <c r="D3329" s="2" t="s">
        <v>18</v>
      </c>
      <c r="E3329" s="5">
        <v>-28015</v>
      </c>
      <c r="F3329" s="3" t="s">
        <v>985</v>
      </c>
      <c r="G3329" s="3" t="s">
        <v>20</v>
      </c>
      <c r="H3329" s="2" t="s">
        <v>21</v>
      </c>
      <c r="I3329" s="2" t="s">
        <v>6942</v>
      </c>
      <c r="J3329" s="3" t="str">
        <f>HYPERLINK("https://www.boe.es/gazeta/dias/1823/04/18/pdfs/GES-1823-8.pdf#page=4","Abrir facsímil")</f>
        <v>Abrir facsímil</v>
      </c>
      <c r="K3329" s="3" t="s">
        <v>23</v>
      </c>
    </row>
    <row r="3330" spans="1:11" ht="42" customHeight="1">
      <c r="A3330" s="2" t="s">
        <v>6930</v>
      </c>
      <c r="B3330" s="2" t="s">
        <v>6930</v>
      </c>
      <c r="C3330" s="2" t="s">
        <v>17</v>
      </c>
      <c r="D3330" s="2" t="s">
        <v>18</v>
      </c>
      <c r="E3330" s="5">
        <v>-28007</v>
      </c>
      <c r="F3330" s="3" t="s">
        <v>1190</v>
      </c>
      <c r="G3330" s="3" t="s">
        <v>20</v>
      </c>
      <c r="H3330" s="2" t="s">
        <v>21</v>
      </c>
      <c r="I3330" s="2" t="s">
        <v>6943</v>
      </c>
      <c r="J3330" s="3" t="str">
        <f>HYPERLINK("https://www.boe.es/gazeta/dias/1823/04/26/pdfs/GMD-1823-62.pdf#page=4","Abrir facsímil")</f>
        <v>Abrir facsímil</v>
      </c>
      <c r="K3330" s="3" t="s">
        <v>23</v>
      </c>
    </row>
    <row r="3331" spans="1:11" ht="42" customHeight="1">
      <c r="A3331" s="2" t="s">
        <v>6930</v>
      </c>
      <c r="B3331" s="2" t="s">
        <v>6930</v>
      </c>
      <c r="C3331" s="2" t="s">
        <v>17</v>
      </c>
      <c r="D3331" s="2" t="s">
        <v>18</v>
      </c>
      <c r="E3331" s="5">
        <v>-28004</v>
      </c>
      <c r="F3331" s="3" t="s">
        <v>33</v>
      </c>
      <c r="G3331" s="3" t="s">
        <v>2827</v>
      </c>
      <c r="H3331" s="2" t="s">
        <v>21</v>
      </c>
      <c r="I3331" s="2" t="s">
        <v>6944</v>
      </c>
      <c r="J3331" s="3" t="str">
        <f>HYPERLINK("https://www.boe.es/gazeta/dias/1823/04/29/pdfs/GES-1823-19.pdf#page=6","Abrir facsímil")</f>
        <v>Abrir facsímil</v>
      </c>
      <c r="K3331" s="3" t="s">
        <v>23</v>
      </c>
    </row>
    <row r="3332" spans="1:11" ht="42" customHeight="1">
      <c r="A3332" s="2" t="s">
        <v>6930</v>
      </c>
      <c r="B3332" s="2" t="s">
        <v>6930</v>
      </c>
      <c r="C3332" s="2" t="s">
        <v>17</v>
      </c>
      <c r="D3332" s="2" t="s">
        <v>18</v>
      </c>
      <c r="E3332" s="5">
        <v>-28002</v>
      </c>
      <c r="F3332" s="3" t="s">
        <v>315</v>
      </c>
      <c r="G3332" s="3" t="s">
        <v>1116</v>
      </c>
      <c r="H3332" s="2" t="s">
        <v>21</v>
      </c>
      <c r="I3332" s="2" t="s">
        <v>6945</v>
      </c>
      <c r="J3332" s="3" t="str">
        <f>HYPERLINK("https://www.boe.es/gazeta/dias/1823/05/01/pdfs/GES-1823-21.pdf#page=4","Abrir facsímil")</f>
        <v>Abrir facsímil</v>
      </c>
      <c r="K3332" s="3" t="s">
        <v>23</v>
      </c>
    </row>
    <row r="3333" spans="1:11" ht="42" customHeight="1">
      <c r="A3333" s="2" t="s">
        <v>6930</v>
      </c>
      <c r="B3333" s="2" t="s">
        <v>6930</v>
      </c>
      <c r="C3333" s="2" t="s">
        <v>17</v>
      </c>
      <c r="D3333" s="2" t="s">
        <v>18</v>
      </c>
      <c r="E3333" s="5">
        <v>-27991</v>
      </c>
      <c r="F3333" s="3" t="s">
        <v>328</v>
      </c>
      <c r="G3333" s="3" t="s">
        <v>34</v>
      </c>
      <c r="H3333" s="2" t="s">
        <v>21</v>
      </c>
      <c r="I3333" s="2" t="s">
        <v>6946</v>
      </c>
      <c r="J3333" s="3" t="str">
        <f>HYPERLINK("https://www.boe.es/gazeta/dias/1823/05/12/pdfs/GES-1823-32.pdf#page=5","Abrir facsímil")</f>
        <v>Abrir facsímil</v>
      </c>
      <c r="K3333" s="3" t="s">
        <v>23</v>
      </c>
    </row>
    <row r="3334" spans="1:11" ht="42" customHeight="1">
      <c r="A3334" s="2" t="s">
        <v>6930</v>
      </c>
      <c r="B3334" s="2" t="s">
        <v>6930</v>
      </c>
      <c r="C3334" s="2" t="s">
        <v>17</v>
      </c>
      <c r="D3334" s="2" t="s">
        <v>18</v>
      </c>
      <c r="E3334" s="5">
        <v>-27987</v>
      </c>
      <c r="F3334" s="3" t="s">
        <v>332</v>
      </c>
      <c r="G3334" s="3" t="s">
        <v>39</v>
      </c>
      <c r="H3334" s="2" t="s">
        <v>21</v>
      </c>
      <c r="I3334" s="2" t="s">
        <v>6947</v>
      </c>
      <c r="J3334" s="3" t="str">
        <f>HYPERLINK("https://www.boe.es/gazeta/dias/1823/05/16/pdfs/GES-1823-36.pdf#page=1","Abrir facsímil")</f>
        <v>Abrir facsímil</v>
      </c>
      <c r="K3334" s="3" t="s">
        <v>23</v>
      </c>
    </row>
    <row r="3335" spans="1:11" ht="42" customHeight="1">
      <c r="A3335" s="2" t="s">
        <v>6930</v>
      </c>
      <c r="B3335" s="2" t="s">
        <v>6930</v>
      </c>
      <c r="C3335" s="2" t="s">
        <v>109</v>
      </c>
      <c r="D3335" s="2" t="s">
        <v>74</v>
      </c>
      <c r="E3335" s="5">
        <v>-27969</v>
      </c>
      <c r="F3335" s="3" t="s">
        <v>204</v>
      </c>
      <c r="G3335" s="3" t="s">
        <v>27</v>
      </c>
      <c r="H3335" s="2" t="s">
        <v>21</v>
      </c>
      <c r="I3335" s="2" t="s">
        <v>6948</v>
      </c>
      <c r="J3335" s="3" t="str">
        <f>HYPERLINK("https://www.boe.es/gazeta/dias/1823/06/03/pdfs/GMD-1823-53.pdf#page=2","Abrir facsímil")</f>
        <v>Abrir facsímil</v>
      </c>
      <c r="K3335" s="3" t="s">
        <v>23</v>
      </c>
    </row>
    <row r="3336" spans="1:11" ht="42" customHeight="1">
      <c r="A3336" s="2" t="s">
        <v>6930</v>
      </c>
      <c r="B3336" s="2" t="s">
        <v>6930</v>
      </c>
      <c r="C3336" s="2" t="s">
        <v>17</v>
      </c>
      <c r="D3336" s="2" t="s">
        <v>18</v>
      </c>
      <c r="E3336" s="5">
        <v>-27967</v>
      </c>
      <c r="F3336" s="3" t="s">
        <v>412</v>
      </c>
      <c r="G3336" s="3" t="s">
        <v>59</v>
      </c>
      <c r="H3336" s="2" t="s">
        <v>21</v>
      </c>
      <c r="I3336" s="2" t="s">
        <v>6949</v>
      </c>
      <c r="J3336" s="3" t="str">
        <f>HYPERLINK("https://www.boe.es/gazeta/dias/1823/06/05/pdfs/GES-1823-59.pdf#page=6","Abrir facsímil")</f>
        <v>Abrir facsímil</v>
      </c>
      <c r="K3336" s="3" t="s">
        <v>23</v>
      </c>
    </row>
    <row r="3337" spans="1:11" ht="42" customHeight="1">
      <c r="A3337" s="2" t="s">
        <v>6930</v>
      </c>
      <c r="B3337" s="2" t="s">
        <v>6930</v>
      </c>
      <c r="C3337" s="2" t="s">
        <v>109</v>
      </c>
      <c r="D3337" s="2" t="s">
        <v>74</v>
      </c>
      <c r="E3337" s="5">
        <v>-27951</v>
      </c>
      <c r="F3337" s="3" t="s">
        <v>4670</v>
      </c>
      <c r="G3337" s="3" t="s">
        <v>39</v>
      </c>
      <c r="H3337" s="2" t="s">
        <v>21</v>
      </c>
      <c r="I3337" s="2" t="s">
        <v>6950</v>
      </c>
      <c r="J3337" s="3" t="str">
        <f>HYPERLINK("https://www.boe.es/gazeta/dias/1823/06/21/pdfs/GMD-1823-223.pdf#page=1","Abrir facsímil")</f>
        <v>Abrir facsímil</v>
      </c>
      <c r="K3337" s="3" t="s">
        <v>23</v>
      </c>
    </row>
    <row r="3338" spans="1:11" ht="42" customHeight="1">
      <c r="A3338" s="2" t="s">
        <v>6930</v>
      </c>
      <c r="B3338" s="2" t="s">
        <v>6930</v>
      </c>
      <c r="C3338" s="2" t="s">
        <v>56</v>
      </c>
      <c r="D3338" s="2" t="s">
        <v>57</v>
      </c>
      <c r="E3338" s="5">
        <v>-27938</v>
      </c>
      <c r="F3338" s="3" t="s">
        <v>101</v>
      </c>
      <c r="G3338" s="3" t="s">
        <v>27</v>
      </c>
      <c r="H3338" s="2" t="s">
        <v>21</v>
      </c>
      <c r="I3338" s="2" t="s">
        <v>6951</v>
      </c>
      <c r="J3338" s="3" t="str">
        <f>HYPERLINK("https://www.boe.es/gazeta/dias/1823/07/04/pdfs/GES-1823-84.pdf#page=2","Abrir facsímil")</f>
        <v>Abrir facsímil</v>
      </c>
      <c r="K3338" s="3" t="s">
        <v>23</v>
      </c>
    </row>
    <row r="3339" spans="1:11" ht="42" customHeight="1">
      <c r="A3339" s="2" t="s">
        <v>6930</v>
      </c>
      <c r="B3339" s="2" t="s">
        <v>6930</v>
      </c>
      <c r="C3339" s="2" t="s">
        <v>17</v>
      </c>
      <c r="D3339" s="2" t="s">
        <v>18</v>
      </c>
      <c r="E3339" s="5">
        <v>-27925</v>
      </c>
      <c r="F3339" s="3" t="s">
        <v>1744</v>
      </c>
      <c r="G3339" s="3" t="s">
        <v>39</v>
      </c>
      <c r="H3339" s="2" t="s">
        <v>21</v>
      </c>
      <c r="I3339" s="2" t="s">
        <v>6952</v>
      </c>
      <c r="J3339" s="3" t="str">
        <f>HYPERLINK("https://www.boe.es/gazeta/dias/1823/07/17/pdfs/GMD-1823-413.pdf#page=1","Abrir facsímil")</f>
        <v>Abrir facsímil</v>
      </c>
      <c r="K3339" s="3" t="s">
        <v>23</v>
      </c>
    </row>
    <row r="3340" spans="1:11" ht="42" customHeight="1">
      <c r="A3340" s="2" t="s">
        <v>6930</v>
      </c>
      <c r="B3340" s="2" t="s">
        <v>6930</v>
      </c>
      <c r="C3340" s="2" t="s">
        <v>79</v>
      </c>
      <c r="D3340" s="2" t="s">
        <v>74</v>
      </c>
      <c r="E3340" s="5">
        <v>-27923</v>
      </c>
      <c r="F3340" s="3" t="s">
        <v>1225</v>
      </c>
      <c r="G3340" s="3" t="s">
        <v>27</v>
      </c>
      <c r="H3340" s="2" t="s">
        <v>21</v>
      </c>
      <c r="I3340" s="2" t="s">
        <v>6953</v>
      </c>
      <c r="J3340" s="3" t="str">
        <f>HYPERLINK("https://www.boe.es/gazeta/dias/1823/07/19/pdfs/GMD-1823-433.pdf#page=2","Abrir facsímil")</f>
        <v>Abrir facsímil</v>
      </c>
      <c r="K3340" s="3" t="s">
        <v>23</v>
      </c>
    </row>
    <row r="3341" spans="1:11" ht="42" customHeight="1">
      <c r="A3341" s="2" t="s">
        <v>6930</v>
      </c>
      <c r="B3341" s="2" t="s">
        <v>6930</v>
      </c>
      <c r="C3341" s="2" t="s">
        <v>56</v>
      </c>
      <c r="D3341" s="2" t="s">
        <v>57</v>
      </c>
      <c r="E3341" s="5">
        <v>-27920</v>
      </c>
      <c r="F3341" s="3" t="s">
        <v>1334</v>
      </c>
      <c r="G3341" s="3" t="s">
        <v>27</v>
      </c>
      <c r="H3341" s="2" t="s">
        <v>21</v>
      </c>
      <c r="I3341" s="2" t="s">
        <v>6954</v>
      </c>
      <c r="J3341" s="3" t="str">
        <f>HYPERLINK("https://www.boe.es/gazeta/dias/1823/07/22/pdfs/GMD-1823-443.pdf#page=2","Abrir facsímil")</f>
        <v>Abrir facsímil</v>
      </c>
      <c r="K3341" s="3" t="s">
        <v>23</v>
      </c>
    </row>
    <row r="3342" spans="1:11" ht="42" customHeight="1">
      <c r="A3342" s="2" t="s">
        <v>6930</v>
      </c>
      <c r="B3342" s="2" t="s">
        <v>6930</v>
      </c>
      <c r="C3342" s="2" t="s">
        <v>17</v>
      </c>
      <c r="D3342" s="2" t="s">
        <v>18</v>
      </c>
      <c r="E3342" s="5">
        <v>-27920</v>
      </c>
      <c r="F3342" s="3" t="s">
        <v>1334</v>
      </c>
      <c r="G3342" s="3" t="s">
        <v>20</v>
      </c>
      <c r="H3342" s="2" t="s">
        <v>21</v>
      </c>
      <c r="I3342" s="2" t="s">
        <v>6955</v>
      </c>
      <c r="J3342" s="3" t="str">
        <f>HYPERLINK("https://www.boe.es/gazeta/dias/1823/07/22/pdfs/GMD-1823-443.pdf#page=4","Abrir facsímil")</f>
        <v>Abrir facsímil</v>
      </c>
      <c r="K3342" s="3" t="s">
        <v>23</v>
      </c>
    </row>
    <row r="3343" spans="1:11" ht="42" customHeight="1">
      <c r="A3343" s="2" t="s">
        <v>6930</v>
      </c>
      <c r="B3343" s="2" t="s">
        <v>6930</v>
      </c>
      <c r="C3343" s="2" t="s">
        <v>109</v>
      </c>
      <c r="D3343" s="2" t="s">
        <v>74</v>
      </c>
      <c r="E3343" s="5">
        <v>-27916</v>
      </c>
      <c r="F3343" s="3" t="s">
        <v>772</v>
      </c>
      <c r="G3343" s="3" t="s">
        <v>4611</v>
      </c>
      <c r="H3343" s="2" t="s">
        <v>21</v>
      </c>
      <c r="I3343" s="2" t="s">
        <v>6956</v>
      </c>
      <c r="J3343" s="3" t="str">
        <f>HYPERLINK("https://www.boe.es/gazeta/dias/1823/07/26/pdfs/GES-1823-107.pdf#page=3","Abrir facsímil")</f>
        <v>Abrir facsímil</v>
      </c>
      <c r="K3343" s="3" t="s">
        <v>23</v>
      </c>
    </row>
    <row r="3344" spans="1:11" ht="42" customHeight="1">
      <c r="A3344" s="2" t="s">
        <v>6930</v>
      </c>
      <c r="B3344" s="2" t="s">
        <v>6930</v>
      </c>
      <c r="C3344" s="2" t="s">
        <v>17</v>
      </c>
      <c r="D3344" s="2" t="s">
        <v>18</v>
      </c>
      <c r="E3344" s="5">
        <v>-27916</v>
      </c>
      <c r="F3344" s="3" t="s">
        <v>1558</v>
      </c>
      <c r="G3344" s="3" t="s">
        <v>20</v>
      </c>
      <c r="H3344" s="2" t="s">
        <v>21</v>
      </c>
      <c r="I3344" s="2" t="s">
        <v>6957</v>
      </c>
      <c r="J3344" s="3" t="str">
        <f>HYPERLINK("https://www.boe.es/gazeta/dias/1823/07/26/pdfs/GMD-1823-473.pdf#page=4","Abrir facsímil")</f>
        <v>Abrir facsímil</v>
      </c>
      <c r="K3344" s="3" t="s">
        <v>23</v>
      </c>
    </row>
    <row r="3345" spans="1:11" ht="42" customHeight="1">
      <c r="A3345" s="2" t="s">
        <v>6930</v>
      </c>
      <c r="B3345" s="2" t="s">
        <v>6930</v>
      </c>
      <c r="C3345" s="2" t="s">
        <v>17</v>
      </c>
      <c r="D3345" s="2" t="s">
        <v>18</v>
      </c>
      <c r="E3345" s="5">
        <v>-27911</v>
      </c>
      <c r="F3345" s="3" t="s">
        <v>368</v>
      </c>
      <c r="G3345" s="3" t="s">
        <v>39</v>
      </c>
      <c r="H3345" s="2" t="s">
        <v>21</v>
      </c>
      <c r="I3345" s="2" t="s">
        <v>6958</v>
      </c>
      <c r="J3345" s="3" t="str">
        <f>HYPERLINK("https://www.boe.es/gazeta/dias/1823/07/31/pdfs/GES-1823-112.pdf#page=1","Abrir facsímil")</f>
        <v>Abrir facsímil</v>
      </c>
      <c r="K3345" s="3" t="s">
        <v>23</v>
      </c>
    </row>
    <row r="3346" spans="1:11" ht="42" customHeight="1">
      <c r="A3346" s="2" t="s">
        <v>6930</v>
      </c>
      <c r="B3346" s="2" t="s">
        <v>6930</v>
      </c>
      <c r="C3346" s="2" t="s">
        <v>56</v>
      </c>
      <c r="D3346" s="2" t="s">
        <v>57</v>
      </c>
      <c r="E3346" s="5">
        <v>-27909</v>
      </c>
      <c r="F3346" s="3" t="s">
        <v>1525</v>
      </c>
      <c r="G3346" s="3" t="s">
        <v>27</v>
      </c>
      <c r="H3346" s="2" t="s">
        <v>21</v>
      </c>
      <c r="I3346" s="2" t="s">
        <v>6959</v>
      </c>
      <c r="J3346" s="3" t="str">
        <f>HYPERLINK("https://www.boe.es/gazeta/dias/1823/08/02/pdfs/GMD-1823-513.pdf#page=2","Abrir facsímil")</f>
        <v>Abrir facsímil</v>
      </c>
      <c r="K3346" s="3" t="s">
        <v>23</v>
      </c>
    </row>
    <row r="3347" spans="1:11" ht="42" customHeight="1">
      <c r="A3347" s="2" t="s">
        <v>6930</v>
      </c>
      <c r="B3347" s="2" t="s">
        <v>6930</v>
      </c>
      <c r="C3347" s="2" t="s">
        <v>17</v>
      </c>
      <c r="D3347" s="2" t="s">
        <v>18</v>
      </c>
      <c r="E3347" s="5">
        <v>-27904</v>
      </c>
      <c r="F3347" s="3" t="s">
        <v>1227</v>
      </c>
      <c r="G3347" s="3" t="s">
        <v>34</v>
      </c>
      <c r="H3347" s="2" t="s">
        <v>21</v>
      </c>
      <c r="I3347" s="2" t="s">
        <v>6960</v>
      </c>
      <c r="J3347" s="3" t="str">
        <f>HYPERLINK("https://www.boe.es/gazeta/dias/1823/08/07/pdfs/GMD-1823-543.pdf#page=5","Abrir facsímil")</f>
        <v>Abrir facsímil</v>
      </c>
      <c r="K3347" s="3" t="s">
        <v>23</v>
      </c>
    </row>
    <row r="3348" spans="1:11" ht="42" customHeight="1">
      <c r="A3348" s="2" t="s">
        <v>6930</v>
      </c>
      <c r="B3348" s="2" t="s">
        <v>6930</v>
      </c>
      <c r="C3348" s="2" t="s">
        <v>17</v>
      </c>
      <c r="D3348" s="2" t="s">
        <v>117</v>
      </c>
      <c r="E3348" s="5">
        <v>-27886</v>
      </c>
      <c r="F3348" s="3" t="s">
        <v>2388</v>
      </c>
      <c r="G3348" s="3" t="s">
        <v>39</v>
      </c>
      <c r="H3348" s="2" t="s">
        <v>21</v>
      </c>
      <c r="I3348" s="2" t="s">
        <v>6961</v>
      </c>
      <c r="J3348" s="3" t="str">
        <f>HYPERLINK("https://www.boe.es/gazeta/dias/1823/08/25/pdfs/GMD-1823-643E.pdf#page=1","Abrir facsímil")</f>
        <v>Abrir facsímil</v>
      </c>
      <c r="K3348" s="3" t="s">
        <v>23</v>
      </c>
    </row>
    <row r="3349" spans="1:11" ht="42" customHeight="1">
      <c r="A3349" s="2" t="s">
        <v>6930</v>
      </c>
      <c r="B3349" s="2" t="s">
        <v>6930</v>
      </c>
      <c r="C3349" s="2" t="s">
        <v>17</v>
      </c>
      <c r="D3349" s="2" t="s">
        <v>18</v>
      </c>
      <c r="E3349" s="5">
        <v>-27884</v>
      </c>
      <c r="F3349" s="3" t="s">
        <v>61</v>
      </c>
      <c r="G3349" s="3" t="s">
        <v>48</v>
      </c>
      <c r="H3349" s="2" t="s">
        <v>21</v>
      </c>
      <c r="I3349" s="2" t="s">
        <v>6962</v>
      </c>
      <c r="J3349" s="3" t="str">
        <f>HYPERLINK("https://www.boe.es/gazeta/dias/1823/08/27/pdfs/GES-1823-140.pdf#page=3","Abrir facsímil")</f>
        <v>Abrir facsímil</v>
      </c>
      <c r="K3349" s="3" t="s">
        <v>23</v>
      </c>
    </row>
    <row r="3350" spans="1:11" ht="42" customHeight="1">
      <c r="A3350" s="2" t="s">
        <v>6930</v>
      </c>
      <c r="B3350" s="2" t="s">
        <v>6930</v>
      </c>
      <c r="C3350" s="2" t="s">
        <v>1477</v>
      </c>
      <c r="D3350" s="2" t="s">
        <v>57</v>
      </c>
      <c r="E3350" s="5">
        <v>-27883</v>
      </c>
      <c r="F3350" s="3" t="s">
        <v>2838</v>
      </c>
      <c r="G3350" s="3" t="s">
        <v>39</v>
      </c>
      <c r="H3350" s="2" t="s">
        <v>21</v>
      </c>
      <c r="I3350" s="2" t="s">
        <v>6963</v>
      </c>
      <c r="J3350" s="3" t="str">
        <f>HYPERLINK("https://www.boe.es/gazeta/dias/1823/08/28/pdfs/GES-1823-141.pdf#page=1","Abrir facsímil")</f>
        <v>Abrir facsímil</v>
      </c>
      <c r="K3350" s="3" t="s">
        <v>23</v>
      </c>
    </row>
    <row r="3351" spans="1:11" ht="42" customHeight="1">
      <c r="A3351" s="2" t="s">
        <v>6930</v>
      </c>
      <c r="B3351" s="2" t="s">
        <v>6930</v>
      </c>
      <c r="C3351" s="2" t="s">
        <v>17</v>
      </c>
      <c r="D3351" s="2" t="s">
        <v>18</v>
      </c>
      <c r="E3351" s="5">
        <v>-27881</v>
      </c>
      <c r="F3351" s="3" t="s">
        <v>725</v>
      </c>
      <c r="G3351" s="3" t="s">
        <v>39</v>
      </c>
      <c r="H3351" s="2" t="s">
        <v>21</v>
      </c>
      <c r="I3351" s="2" t="s">
        <v>6964</v>
      </c>
      <c r="J3351" s="3" t="str">
        <f>HYPERLINK("https://www.boe.es/gazeta/dias/1823/08/30/pdfs/GMD-1823-673.pdf#page=1","Abrir facsímil")</f>
        <v>Abrir facsímil</v>
      </c>
      <c r="K3351" s="3" t="s">
        <v>23</v>
      </c>
    </row>
    <row r="3352" spans="1:11" ht="42" customHeight="1">
      <c r="A3352" s="2" t="s">
        <v>6930</v>
      </c>
      <c r="B3352" s="2" t="s">
        <v>6930</v>
      </c>
      <c r="C3352" s="2" t="s">
        <v>17</v>
      </c>
      <c r="D3352" s="2" t="s">
        <v>18</v>
      </c>
      <c r="E3352" s="5">
        <v>-27878</v>
      </c>
      <c r="F3352" s="3" t="s">
        <v>1581</v>
      </c>
      <c r="G3352" s="3" t="s">
        <v>39</v>
      </c>
      <c r="H3352" s="2" t="s">
        <v>21</v>
      </c>
      <c r="I3352" s="2" t="s">
        <v>6965</v>
      </c>
      <c r="J3352" s="3" t="str">
        <f>HYPERLINK("https://www.boe.es/gazeta/dias/1823/09/02/pdfs/GMD-1823-683.pdf#page=1","Abrir facsímil")</f>
        <v>Abrir facsímil</v>
      </c>
      <c r="K3352" s="3" t="s">
        <v>23</v>
      </c>
    </row>
    <row r="3353" spans="1:11" ht="42" customHeight="1">
      <c r="A3353" s="2" t="s">
        <v>6930</v>
      </c>
      <c r="B3353" s="2" t="s">
        <v>6930</v>
      </c>
      <c r="C3353" s="2" t="s">
        <v>17</v>
      </c>
      <c r="D3353" s="2" t="s">
        <v>18</v>
      </c>
      <c r="E3353" s="5">
        <v>-27874</v>
      </c>
      <c r="F3353" s="3" t="s">
        <v>1410</v>
      </c>
      <c r="G3353" s="3" t="s">
        <v>27</v>
      </c>
      <c r="H3353" s="2" t="s">
        <v>21</v>
      </c>
      <c r="I3353" s="2" t="s">
        <v>6966</v>
      </c>
      <c r="J3353" s="3" t="str">
        <f>HYPERLINK("https://www.boe.es/gazeta/dias/1823/09/06/pdfs/GES-1823-150.pdf#page=2","Abrir facsímil")</f>
        <v>Abrir facsímil</v>
      </c>
      <c r="K3353" s="3" t="s">
        <v>23</v>
      </c>
    </row>
    <row r="3354" spans="1:11" ht="42" customHeight="1">
      <c r="A3354" s="2" t="s">
        <v>6930</v>
      </c>
      <c r="B3354" s="2" t="s">
        <v>6930</v>
      </c>
      <c r="C3354" s="2" t="s">
        <v>79</v>
      </c>
      <c r="D3354" s="2" t="s">
        <v>74</v>
      </c>
      <c r="E3354" s="5">
        <v>-27874</v>
      </c>
      <c r="F3354" s="3" t="s">
        <v>122</v>
      </c>
      <c r="G3354" s="3" t="s">
        <v>6533</v>
      </c>
      <c r="H3354" s="2" t="s">
        <v>21</v>
      </c>
      <c r="I3354" s="2" t="s">
        <v>6967</v>
      </c>
      <c r="J3354" s="3" t="str">
        <f>HYPERLINK("https://www.boe.es/gazeta/dias/1823/09/06/pdfs/GMD-1823-713.pdf#page=4","Abrir facsímil")</f>
        <v>Abrir facsímil</v>
      </c>
      <c r="K3354" s="3" t="s">
        <v>23</v>
      </c>
    </row>
    <row r="3355" spans="1:11" ht="42" customHeight="1">
      <c r="A3355" s="2" t="s">
        <v>6930</v>
      </c>
      <c r="B3355" s="2" t="s">
        <v>6930</v>
      </c>
      <c r="C3355" s="2" t="s">
        <v>79</v>
      </c>
      <c r="D3355" s="2" t="s">
        <v>74</v>
      </c>
      <c r="E3355" s="5">
        <v>-27864</v>
      </c>
      <c r="F3355" s="3" t="s">
        <v>395</v>
      </c>
      <c r="G3355" s="3" t="s">
        <v>20</v>
      </c>
      <c r="H3355" s="2" t="s">
        <v>21</v>
      </c>
      <c r="I3355" s="2" t="s">
        <v>6968</v>
      </c>
      <c r="J3355" s="3" t="str">
        <f>HYPERLINK("https://www.boe.es/gazeta/dias/1823/09/16/pdfs/GMD-1823-783.pdf#page=4","Abrir facsímil")</f>
        <v>Abrir facsímil</v>
      </c>
      <c r="K3355" s="3" t="s">
        <v>23</v>
      </c>
    </row>
    <row r="3356" spans="1:11" ht="42" customHeight="1">
      <c r="A3356" s="2" t="s">
        <v>6930</v>
      </c>
      <c r="B3356" s="2" t="s">
        <v>6930</v>
      </c>
      <c r="C3356" s="2" t="s">
        <v>17</v>
      </c>
      <c r="D3356" s="2" t="s">
        <v>18</v>
      </c>
      <c r="E3356" s="5">
        <v>-27863</v>
      </c>
      <c r="F3356" s="3" t="s">
        <v>651</v>
      </c>
      <c r="G3356" s="3" t="s">
        <v>27</v>
      </c>
      <c r="H3356" s="2" t="s">
        <v>21</v>
      </c>
      <c r="I3356" s="2" t="s">
        <v>6969</v>
      </c>
      <c r="J3356" s="3" t="str">
        <f>HYPERLINK("https://www.boe.es/gazeta/dias/1823/09/17/pdfs/GES-1823-161.pdf#page=2","Abrir facsímil")</f>
        <v>Abrir facsímil</v>
      </c>
      <c r="K3356" s="3" t="s">
        <v>23</v>
      </c>
    </row>
    <row r="3357" spans="1:11" ht="42" customHeight="1">
      <c r="A3357" s="2" t="s">
        <v>6930</v>
      </c>
      <c r="B3357" s="2" t="s">
        <v>6930</v>
      </c>
      <c r="C3357" s="2" t="s">
        <v>17</v>
      </c>
      <c r="D3357" s="2" t="s">
        <v>18</v>
      </c>
      <c r="E3357" s="5">
        <v>-27861</v>
      </c>
      <c r="F3357" s="3" t="s">
        <v>425</v>
      </c>
      <c r="G3357" s="3" t="s">
        <v>27</v>
      </c>
      <c r="H3357" s="2" t="s">
        <v>21</v>
      </c>
      <c r="I3357" s="2" t="s">
        <v>6970</v>
      </c>
      <c r="J3357" s="3" t="str">
        <f>HYPERLINK("https://www.boe.es/gazeta/dias/1823/09/19/pdfs/GES-1823-163.pdf#page=2","Abrir facsímil")</f>
        <v>Abrir facsímil</v>
      </c>
      <c r="K3357" s="3" t="s">
        <v>23</v>
      </c>
    </row>
    <row r="3358" spans="1:11" ht="42" customHeight="1">
      <c r="A3358" s="2" t="s">
        <v>6930</v>
      </c>
      <c r="B3358" s="2" t="s">
        <v>6930</v>
      </c>
      <c r="C3358" s="2" t="s">
        <v>17</v>
      </c>
      <c r="D3358" s="2" t="s">
        <v>18</v>
      </c>
      <c r="E3358" s="5">
        <v>-27847</v>
      </c>
      <c r="F3358" s="3" t="s">
        <v>6247</v>
      </c>
      <c r="G3358" s="3" t="s">
        <v>39</v>
      </c>
      <c r="H3358" s="2" t="s">
        <v>21</v>
      </c>
      <c r="I3358" s="2" t="s">
        <v>6971</v>
      </c>
      <c r="J3358" s="3" t="str">
        <f>HYPERLINK("https://www.boe.es/gazeta/dias/1823/10/03/pdfs/GES-1823-177.pdf#page=1","Abrir facsímil")</f>
        <v>Abrir facsímil</v>
      </c>
      <c r="K3358" s="3" t="s">
        <v>23</v>
      </c>
    </row>
    <row r="3359" spans="1:11" ht="42" customHeight="1">
      <c r="A3359" s="2" t="s">
        <v>6930</v>
      </c>
      <c r="B3359" s="2" t="s">
        <v>6930</v>
      </c>
      <c r="C3359" s="2" t="s">
        <v>17</v>
      </c>
      <c r="D3359" s="2" t="s">
        <v>18</v>
      </c>
      <c r="E3359" s="5">
        <v>-27808</v>
      </c>
      <c r="F3359" s="3" t="s">
        <v>1602</v>
      </c>
      <c r="G3359" s="3" t="s">
        <v>48</v>
      </c>
      <c r="H3359" s="2" t="s">
        <v>21</v>
      </c>
      <c r="I3359" s="2" t="s">
        <v>6972</v>
      </c>
      <c r="J3359" s="3" t="str">
        <f>HYPERLINK("https://www.boe.es/gazeta/dias/1823/11/11/pdfs/GMD-1823-1103.pdf#page=3","Abrir facsímil")</f>
        <v>Abrir facsímil</v>
      </c>
      <c r="K3359" s="3" t="s">
        <v>23</v>
      </c>
    </row>
    <row r="3360" spans="1:11" ht="42" customHeight="1">
      <c r="A3360" s="2" t="s">
        <v>6930</v>
      </c>
      <c r="B3360" s="2" t="s">
        <v>6930</v>
      </c>
      <c r="C3360" s="2" t="s">
        <v>293</v>
      </c>
      <c r="D3360" s="2" t="s">
        <v>74</v>
      </c>
      <c r="E3360" s="5">
        <v>-27787</v>
      </c>
      <c r="F3360" s="3" t="s">
        <v>865</v>
      </c>
      <c r="G3360" s="3" t="s">
        <v>39</v>
      </c>
      <c r="H3360" s="2" t="s">
        <v>21</v>
      </c>
      <c r="I3360" s="2" t="s">
        <v>6973</v>
      </c>
      <c r="J3360" s="3" t="str">
        <f>HYPERLINK("https://www.boe.es/gazeta/dias/1823/12/02/pdfs/GMD-1823-1193.pdf#page=1","Abrir facsímil")</f>
        <v>Abrir facsímil</v>
      </c>
      <c r="K3360" s="3" t="s">
        <v>23</v>
      </c>
    </row>
    <row r="3361" spans="1:11" ht="42" customHeight="1">
      <c r="A3361" s="2" t="s">
        <v>6930</v>
      </c>
      <c r="B3361" s="2" t="s">
        <v>6930</v>
      </c>
      <c r="C3361" s="2" t="s">
        <v>109</v>
      </c>
      <c r="D3361" s="2" t="s">
        <v>74</v>
      </c>
      <c r="E3361" s="5">
        <v>-27773</v>
      </c>
      <c r="F3361" s="3" t="s">
        <v>513</v>
      </c>
      <c r="G3361" s="3" t="s">
        <v>48</v>
      </c>
      <c r="H3361" s="2" t="s">
        <v>21</v>
      </c>
      <c r="I3361" s="2" t="s">
        <v>6974</v>
      </c>
      <c r="J3361" s="3" t="str">
        <f>HYPERLINK("https://www.boe.es/gazeta/dias/1823/12/16/pdfs/GMD-1823-1253.pdf#page=3","Abrir facsímil")</f>
        <v>Abrir facsímil</v>
      </c>
      <c r="K3361" s="3" t="s">
        <v>23</v>
      </c>
    </row>
    <row r="3362" spans="1:11" ht="42" customHeight="1">
      <c r="A3362" s="2" t="s">
        <v>6975</v>
      </c>
      <c r="B3362" s="2" t="s">
        <v>6975</v>
      </c>
      <c r="C3362" s="2" t="s">
        <v>17</v>
      </c>
      <c r="D3362" s="2" t="s">
        <v>18</v>
      </c>
      <c r="E3362" s="5">
        <v>-28074</v>
      </c>
      <c r="F3362" s="3" t="s">
        <v>212</v>
      </c>
      <c r="G3362" s="3" t="s">
        <v>39</v>
      </c>
      <c r="H3362" s="2" t="s">
        <v>21</v>
      </c>
      <c r="I3362" s="2" t="s">
        <v>6976</v>
      </c>
      <c r="J3362" s="3" t="str">
        <f>HYPERLINK("https://www.boe.es/gazeta/dias/1823/02/18/pdfs/GMD-1823-52.pdf#page=1","Abrir facsímil")</f>
        <v>Abrir facsímil</v>
      </c>
      <c r="K3362" s="3" t="s">
        <v>23</v>
      </c>
    </row>
    <row r="3363" spans="1:11" ht="42" customHeight="1">
      <c r="A3363" s="2" t="s">
        <v>6977</v>
      </c>
      <c r="B3363" s="2" t="s">
        <v>6977</v>
      </c>
      <c r="C3363" s="2" t="s">
        <v>17</v>
      </c>
      <c r="D3363" s="2" t="s">
        <v>18</v>
      </c>
      <c r="E3363" s="5">
        <v>-28077</v>
      </c>
      <c r="F3363" s="3" t="s">
        <v>536</v>
      </c>
      <c r="G3363" s="3" t="s">
        <v>59</v>
      </c>
      <c r="H3363" s="2" t="s">
        <v>21</v>
      </c>
      <c r="I3363" s="2" t="s">
        <v>6978</v>
      </c>
      <c r="J3363" s="3" t="str">
        <f>HYPERLINK("https://www.boe.es/gazeta/dias/1823/02/15/pdfs/GMD-1823-49.pdf#page=6","Abrir facsímil")</f>
        <v>Abrir facsímil</v>
      </c>
      <c r="K3363" s="3" t="s">
        <v>23</v>
      </c>
    </row>
    <row r="3364" spans="1:11" ht="42" customHeight="1">
      <c r="A3364" s="2" t="s">
        <v>6977</v>
      </c>
      <c r="B3364" s="2" t="s">
        <v>6977</v>
      </c>
      <c r="C3364" s="2" t="s">
        <v>79</v>
      </c>
      <c r="D3364" s="2" t="s">
        <v>74</v>
      </c>
      <c r="E3364" s="5">
        <v>-27953</v>
      </c>
      <c r="F3364" s="3" t="s">
        <v>1543</v>
      </c>
      <c r="G3364" s="3" t="s">
        <v>48</v>
      </c>
      <c r="H3364" s="2" t="s">
        <v>21</v>
      </c>
      <c r="I3364" s="2" t="s">
        <v>6979</v>
      </c>
      <c r="J3364" s="3" t="str">
        <f>HYPERLINK("https://www.boe.es/gazeta/dias/1823/06/19/pdfs/GMD-1823-193.pdf#page=3","Abrir facsímil")</f>
        <v>Abrir facsímil</v>
      </c>
      <c r="K3364" s="3" t="s">
        <v>23</v>
      </c>
    </row>
    <row r="3365" spans="1:11" ht="42" customHeight="1">
      <c r="A3365" s="2" t="s">
        <v>6977</v>
      </c>
      <c r="B3365" s="2" t="s">
        <v>6977</v>
      </c>
      <c r="C3365" s="2" t="s">
        <v>17</v>
      </c>
      <c r="D3365" s="2" t="s">
        <v>18</v>
      </c>
      <c r="E3365" s="5">
        <v>-27944</v>
      </c>
      <c r="F3365" s="3" t="s">
        <v>658</v>
      </c>
      <c r="G3365" s="3" t="s">
        <v>34</v>
      </c>
      <c r="H3365" s="2" t="s">
        <v>21</v>
      </c>
      <c r="I3365" s="2" t="s">
        <v>6980</v>
      </c>
      <c r="J3365" s="3" t="str">
        <f>HYPERLINK("https://www.boe.es/gazeta/dias/1823/06/28/pdfs/GMD-1823-303.pdf#page=5","Abrir facsímil")</f>
        <v>Abrir facsímil</v>
      </c>
      <c r="K3365" s="3" t="s">
        <v>23</v>
      </c>
    </row>
    <row r="3366" spans="1:11" ht="42" customHeight="1">
      <c r="A3366" s="2" t="s">
        <v>6981</v>
      </c>
      <c r="B3366" s="2" t="s">
        <v>6982</v>
      </c>
      <c r="C3366" s="2" t="s">
        <v>17</v>
      </c>
      <c r="D3366" s="2" t="s">
        <v>18</v>
      </c>
      <c r="E3366" s="5">
        <v>-28028</v>
      </c>
      <c r="F3366" s="3" t="s">
        <v>893</v>
      </c>
      <c r="G3366" s="3" t="s">
        <v>20</v>
      </c>
      <c r="H3366" s="2" t="s">
        <v>21</v>
      </c>
      <c r="I3366" s="2" t="s">
        <v>6983</v>
      </c>
      <c r="J3366" s="3" t="str">
        <f>HYPERLINK("https://www.boe.es/gazeta/dias/1823/04/05/pdfs/GMD-1823-99.pdf#page=4","Abrir facsímil")</f>
        <v>Abrir facsímil</v>
      </c>
      <c r="K3366" s="3" t="s">
        <v>23</v>
      </c>
    </row>
    <row r="3367" spans="1:11" ht="42" customHeight="1">
      <c r="A3367" s="2" t="s">
        <v>6984</v>
      </c>
      <c r="B3367" s="2" t="s">
        <v>6985</v>
      </c>
      <c r="C3367" s="2" t="s">
        <v>17</v>
      </c>
      <c r="D3367" s="2" t="s">
        <v>18</v>
      </c>
      <c r="E3367" s="5">
        <v>-28025</v>
      </c>
      <c r="F3367" s="3" t="s">
        <v>477</v>
      </c>
      <c r="G3367" s="3" t="s">
        <v>20</v>
      </c>
      <c r="H3367" s="2" t="s">
        <v>21</v>
      </c>
      <c r="I3367" s="2" t="s">
        <v>6986</v>
      </c>
      <c r="J3367" s="3" t="str">
        <f>HYPERLINK("https://www.boe.es/gazeta/dias/1823/04/08/pdfs/GMD-1823-103.pdf#page=4","Abrir facsímil")</f>
        <v>Abrir facsímil</v>
      </c>
      <c r="K3367" s="3" t="s">
        <v>23</v>
      </c>
    </row>
    <row r="3368" spans="1:11" ht="42" customHeight="1">
      <c r="A3368" s="2" t="s">
        <v>6987</v>
      </c>
      <c r="B3368" s="2" t="s">
        <v>6988</v>
      </c>
      <c r="C3368" s="2" t="s">
        <v>56</v>
      </c>
      <c r="D3368" s="2" t="s">
        <v>57</v>
      </c>
      <c r="E3368" s="5">
        <v>-28024</v>
      </c>
      <c r="F3368" s="3" t="s">
        <v>1659</v>
      </c>
      <c r="G3368" s="3" t="s">
        <v>48</v>
      </c>
      <c r="H3368" s="2" t="s">
        <v>21</v>
      </c>
      <c r="I3368" s="2" t="s">
        <v>6989</v>
      </c>
      <c r="J3368" s="3" t="str">
        <f>HYPERLINK("https://www.boe.es/gazeta/dias/1823/04/09/pdfs/GMD-1823-104.pdf#page=3","Abrir facsímil")</f>
        <v>Abrir facsímil</v>
      </c>
      <c r="K3368" s="3" t="s">
        <v>23</v>
      </c>
    </row>
    <row r="3369" spans="1:11" ht="42" customHeight="1">
      <c r="A3369" s="2" t="s">
        <v>6990</v>
      </c>
      <c r="B3369" s="2" t="s">
        <v>6991</v>
      </c>
      <c r="C3369" s="2" t="s">
        <v>109</v>
      </c>
      <c r="D3369" s="2" t="s">
        <v>74</v>
      </c>
      <c r="E3369" s="5">
        <v>-27984</v>
      </c>
      <c r="F3369" s="3" t="s">
        <v>335</v>
      </c>
      <c r="G3369" s="3" t="s">
        <v>27</v>
      </c>
      <c r="H3369" s="2" t="s">
        <v>21</v>
      </c>
      <c r="I3369" s="2" t="s">
        <v>6992</v>
      </c>
      <c r="J3369" s="3" t="str">
        <f>HYPERLINK("https://www.boe.es/gazeta/dias/1823/05/19/pdfs/GES-1823-39.pdf#page=2","Abrir facsímil")</f>
        <v>Abrir facsímil</v>
      </c>
      <c r="K3369" s="3" t="s">
        <v>23</v>
      </c>
    </row>
    <row r="3370" spans="1:11" ht="42" customHeight="1">
      <c r="A3370" s="2" t="s">
        <v>6993</v>
      </c>
      <c r="B3370" s="2" t="s">
        <v>6994</v>
      </c>
      <c r="C3370" s="2" t="s">
        <v>17</v>
      </c>
      <c r="D3370" s="2" t="s">
        <v>18</v>
      </c>
      <c r="E3370" s="5">
        <v>-27972</v>
      </c>
      <c r="F3370" s="3" t="s">
        <v>1515</v>
      </c>
      <c r="G3370" s="3" t="s">
        <v>3416</v>
      </c>
      <c r="H3370" s="2" t="s">
        <v>28</v>
      </c>
      <c r="I3370" s="2" t="s">
        <v>6995</v>
      </c>
      <c r="J3370" s="3" t="str">
        <f>HYPERLINK("https://www.boe.es/gazeta/dias/1823/05/31/pdfs/GMD-1823-33.pdf#page=4","Abrir facsímil")</f>
        <v>Abrir facsímil</v>
      </c>
      <c r="K3370" s="3" t="s">
        <v>30</v>
      </c>
    </row>
    <row r="3371" spans="1:11" ht="42" customHeight="1">
      <c r="A3371" s="2" t="s">
        <v>6996</v>
      </c>
      <c r="B3371" s="2" t="s">
        <v>6996</v>
      </c>
      <c r="C3371" s="2" t="s">
        <v>17</v>
      </c>
      <c r="D3371" s="2" t="s">
        <v>18</v>
      </c>
      <c r="E3371" s="5">
        <v>-27991</v>
      </c>
      <c r="F3371" s="3" t="s">
        <v>328</v>
      </c>
      <c r="G3371" s="3" t="s">
        <v>59</v>
      </c>
      <c r="H3371" s="2" t="s">
        <v>21</v>
      </c>
      <c r="I3371" s="2" t="s">
        <v>6997</v>
      </c>
      <c r="J3371" s="3" t="str">
        <f>HYPERLINK("https://www.boe.es/gazeta/dias/1823/05/12/pdfs/GES-1823-32.pdf#page=6","Abrir facsímil")</f>
        <v>Abrir facsímil</v>
      </c>
      <c r="K3371" s="3" t="s">
        <v>23</v>
      </c>
    </row>
    <row r="3372" spans="1:11" ht="42" customHeight="1">
      <c r="A3372" s="2" t="s">
        <v>6998</v>
      </c>
      <c r="B3372" s="2" t="s">
        <v>6998</v>
      </c>
      <c r="C3372" s="2" t="s">
        <v>17</v>
      </c>
      <c r="D3372" s="2" t="s">
        <v>18</v>
      </c>
      <c r="E3372" s="5">
        <v>-27901</v>
      </c>
      <c r="F3372" s="3" t="s">
        <v>840</v>
      </c>
      <c r="G3372" s="3" t="s">
        <v>27</v>
      </c>
      <c r="H3372" s="2" t="s">
        <v>21</v>
      </c>
      <c r="I3372" s="2" t="s">
        <v>6999</v>
      </c>
      <c r="J3372" s="3" t="str">
        <f>HYPERLINK("https://www.boe.es/gazeta/dias/1823/08/10/pdfs/GES-1823-123.pdf#page=2","Abrir facsímil")</f>
        <v>Abrir facsímil</v>
      </c>
      <c r="K3372" s="3" t="s">
        <v>23</v>
      </c>
    </row>
    <row r="3373" spans="1:11" ht="42" customHeight="1">
      <c r="A3373" s="2" t="s">
        <v>7000</v>
      </c>
      <c r="B3373" s="2" t="s">
        <v>7000</v>
      </c>
      <c r="C3373" s="2" t="s">
        <v>17</v>
      </c>
      <c r="D3373" s="2" t="s">
        <v>18</v>
      </c>
      <c r="E3373" s="5">
        <v>-28035</v>
      </c>
      <c r="F3373" s="3" t="s">
        <v>138</v>
      </c>
      <c r="G3373" s="3" t="s">
        <v>27</v>
      </c>
      <c r="H3373" s="2" t="s">
        <v>21</v>
      </c>
      <c r="I3373" s="2" t="s">
        <v>7001</v>
      </c>
      <c r="J3373" s="3" t="str">
        <f>HYPERLINK("https://www.boe.es/gazeta/dias/1823/03/29/pdfs/GMD-1823-92.pdf#page=2","Abrir facsímil")</f>
        <v>Abrir facsímil</v>
      </c>
      <c r="K3373" s="3" t="s">
        <v>23</v>
      </c>
    </row>
    <row r="3374" spans="1:11" ht="42" customHeight="1">
      <c r="A3374" s="2" t="s">
        <v>7000</v>
      </c>
      <c r="B3374" s="2" t="s">
        <v>7000</v>
      </c>
      <c r="C3374" s="2" t="s">
        <v>17</v>
      </c>
      <c r="D3374" s="2" t="s">
        <v>18</v>
      </c>
      <c r="E3374" s="5">
        <v>-27997</v>
      </c>
      <c r="F3374" s="3" t="s">
        <v>937</v>
      </c>
      <c r="G3374" s="3" t="s">
        <v>39</v>
      </c>
      <c r="H3374" s="2" t="s">
        <v>21</v>
      </c>
      <c r="I3374" s="2" t="s">
        <v>7002</v>
      </c>
      <c r="J3374" s="3" t="str">
        <f>HYPERLINK("https://www.boe.es/gazeta/dias/1823/05/06/pdfs/GMD-1823-102.pdf#page=1","Abrir facsímil")</f>
        <v>Abrir facsímil</v>
      </c>
      <c r="K3374" s="3" t="s">
        <v>23</v>
      </c>
    </row>
    <row r="3375" spans="1:11" ht="42" customHeight="1">
      <c r="A3375" s="2" t="s">
        <v>7000</v>
      </c>
      <c r="B3375" s="2" t="s">
        <v>7000</v>
      </c>
      <c r="C3375" s="2" t="s">
        <v>17</v>
      </c>
      <c r="D3375" s="2" t="s">
        <v>18</v>
      </c>
      <c r="E3375" s="5">
        <v>-27960</v>
      </c>
      <c r="F3375" s="3" t="s">
        <v>682</v>
      </c>
      <c r="G3375" s="3" t="s">
        <v>3173</v>
      </c>
      <c r="H3375" s="2" t="s">
        <v>21</v>
      </c>
      <c r="I3375" s="2" t="s">
        <v>7003</v>
      </c>
      <c r="J3375" s="3" t="str">
        <f>HYPERLINK("https://www.boe.es/gazeta/dias/1823/06/12/pdfs/GMD-1823-123.pdf#page=4","Abrir facsímil")</f>
        <v>Abrir facsímil</v>
      </c>
      <c r="K3375" s="3" t="s">
        <v>23</v>
      </c>
    </row>
    <row r="3376" spans="1:11" ht="42" customHeight="1">
      <c r="A3376" s="2" t="s">
        <v>7000</v>
      </c>
      <c r="B3376" s="2" t="s">
        <v>7000</v>
      </c>
      <c r="C3376" s="2" t="s">
        <v>17</v>
      </c>
      <c r="D3376" s="2" t="s">
        <v>18</v>
      </c>
      <c r="E3376" s="5">
        <v>-27939</v>
      </c>
      <c r="F3376" s="3" t="s">
        <v>1403</v>
      </c>
      <c r="G3376" s="3" t="s">
        <v>5889</v>
      </c>
      <c r="H3376" s="2" t="s">
        <v>21</v>
      </c>
      <c r="I3376" s="2" t="s">
        <v>7004</v>
      </c>
      <c r="J3376" s="3" t="str">
        <f>HYPERLINK("https://www.boe.es/gazeta/dias/1823/07/03/pdfs/GMD-1823-333.pdf#page=5","Abrir facsímil")</f>
        <v>Abrir facsímil</v>
      </c>
      <c r="K3376" s="3" t="s">
        <v>23</v>
      </c>
    </row>
    <row r="3377" spans="1:11" ht="42" customHeight="1">
      <c r="A3377" s="2" t="s">
        <v>7000</v>
      </c>
      <c r="B3377" s="2" t="s">
        <v>7000</v>
      </c>
      <c r="C3377" s="2" t="s">
        <v>79</v>
      </c>
      <c r="D3377" s="2" t="s">
        <v>74</v>
      </c>
      <c r="E3377" s="5">
        <v>-27920</v>
      </c>
      <c r="F3377" s="3" t="s">
        <v>1334</v>
      </c>
      <c r="G3377" s="3" t="s">
        <v>48</v>
      </c>
      <c r="H3377" s="2" t="s">
        <v>21</v>
      </c>
      <c r="I3377" s="2" t="s">
        <v>7005</v>
      </c>
      <c r="J3377" s="3" t="str">
        <f>HYPERLINK("https://www.boe.es/gazeta/dias/1823/07/22/pdfs/GMD-1823-443.pdf#page=3","Abrir facsímil")</f>
        <v>Abrir facsímil</v>
      </c>
      <c r="K3377" s="3" t="s">
        <v>23</v>
      </c>
    </row>
    <row r="3378" spans="1:11" ht="42" customHeight="1">
      <c r="A3378" s="2" t="s">
        <v>7000</v>
      </c>
      <c r="B3378" s="2" t="s">
        <v>7000</v>
      </c>
      <c r="C3378" s="2" t="s">
        <v>17</v>
      </c>
      <c r="D3378" s="2" t="s">
        <v>18</v>
      </c>
      <c r="E3378" s="5">
        <v>-27897</v>
      </c>
      <c r="F3378" s="3" t="s">
        <v>5962</v>
      </c>
      <c r="G3378" s="3" t="s">
        <v>5269</v>
      </c>
      <c r="H3378" s="2" t="s">
        <v>21</v>
      </c>
      <c r="I3378" s="2" t="s">
        <v>7006</v>
      </c>
      <c r="J3378" s="3" t="str">
        <f>HYPERLINK("https://www.boe.es/gazeta/dias/1823/08/14/pdfs/GES-1823-127.pdf#page=2","Abrir facsímil")</f>
        <v>Abrir facsímil</v>
      </c>
      <c r="K3378" s="3" t="s">
        <v>23</v>
      </c>
    </row>
    <row r="3379" spans="1:11" ht="42" customHeight="1">
      <c r="A3379" s="2" t="s">
        <v>7000</v>
      </c>
      <c r="B3379" s="2" t="s">
        <v>7000</v>
      </c>
      <c r="C3379" s="2" t="s">
        <v>17</v>
      </c>
      <c r="D3379" s="2" t="s">
        <v>18</v>
      </c>
      <c r="E3379" s="5">
        <v>-27883</v>
      </c>
      <c r="F3379" s="3" t="s">
        <v>2318</v>
      </c>
      <c r="G3379" s="3" t="s">
        <v>27</v>
      </c>
      <c r="H3379" s="2" t="s">
        <v>21</v>
      </c>
      <c r="I3379" s="2" t="s">
        <v>7007</v>
      </c>
      <c r="J3379" s="3" t="str">
        <f>HYPERLINK("https://www.boe.es/gazeta/dias/1823/08/28/pdfs/GMD-1823-663.pdf#page=2","Abrir facsímil")</f>
        <v>Abrir facsímil</v>
      </c>
      <c r="K3379" s="3" t="s">
        <v>23</v>
      </c>
    </row>
    <row r="3380" spans="1:11" ht="42" customHeight="1">
      <c r="A3380" s="2" t="s">
        <v>7000</v>
      </c>
      <c r="B3380" s="2" t="s">
        <v>7000</v>
      </c>
      <c r="C3380" s="2" t="s">
        <v>17</v>
      </c>
      <c r="D3380" s="2" t="s">
        <v>18</v>
      </c>
      <c r="E3380" s="5">
        <v>-27883</v>
      </c>
      <c r="F3380" s="3" t="s">
        <v>2318</v>
      </c>
      <c r="G3380" s="3" t="s">
        <v>48</v>
      </c>
      <c r="H3380" s="2" t="s">
        <v>21</v>
      </c>
      <c r="I3380" s="2" t="s">
        <v>7008</v>
      </c>
      <c r="J3380" s="3" t="str">
        <f>HYPERLINK("https://www.boe.es/gazeta/dias/1823/08/28/pdfs/GMD-1823-663.pdf#page=3","Abrir facsímil")</f>
        <v>Abrir facsímil</v>
      </c>
      <c r="K3380" s="3" t="s">
        <v>23</v>
      </c>
    </row>
    <row r="3381" spans="1:11" ht="42" customHeight="1">
      <c r="A3381" s="2" t="s">
        <v>7000</v>
      </c>
      <c r="B3381" s="2" t="s">
        <v>7000</v>
      </c>
      <c r="C3381" s="2" t="s">
        <v>17</v>
      </c>
      <c r="D3381" s="2" t="s">
        <v>18</v>
      </c>
      <c r="E3381" s="5">
        <v>-27879</v>
      </c>
      <c r="F3381" s="3" t="s">
        <v>638</v>
      </c>
      <c r="G3381" s="3" t="s">
        <v>39</v>
      </c>
      <c r="H3381" s="2" t="s">
        <v>21</v>
      </c>
      <c r="I3381" s="2" t="s">
        <v>7009</v>
      </c>
      <c r="J3381" s="3" t="str">
        <f>HYPERLINK("https://www.boe.es/gazeta/dias/1823/09/01/pdfs/GES-1823-145.pdf#page=1","Abrir facsímil")</f>
        <v>Abrir facsímil</v>
      </c>
      <c r="K3381" s="3" t="s">
        <v>23</v>
      </c>
    </row>
    <row r="3382" spans="1:11" ht="42" customHeight="1">
      <c r="A3382" s="2" t="s">
        <v>7010</v>
      </c>
      <c r="B3382" s="2" t="s">
        <v>7010</v>
      </c>
      <c r="C3382" s="2" t="s">
        <v>17</v>
      </c>
      <c r="D3382" s="2" t="s">
        <v>18</v>
      </c>
      <c r="E3382" s="5">
        <v>-27849</v>
      </c>
      <c r="F3382" s="3" t="s">
        <v>7011</v>
      </c>
      <c r="G3382" s="3" t="s">
        <v>27</v>
      </c>
      <c r="H3382" s="2" t="s">
        <v>21</v>
      </c>
      <c r="I3382" s="2" t="s">
        <v>7012</v>
      </c>
      <c r="J3382" s="3" t="str">
        <f>HYPERLINK("https://www.boe.es/gazeta/dias/1823/10/01/pdfs/GES-1823-175.pdf#page=2","Abrir facsímil")</f>
        <v>Abrir facsímil</v>
      </c>
      <c r="K3382" s="3" t="s">
        <v>23</v>
      </c>
    </row>
    <row r="3383" spans="1:11" ht="42" customHeight="1">
      <c r="A3383" s="2" t="s">
        <v>7013</v>
      </c>
      <c r="B3383" s="2" t="s">
        <v>7013</v>
      </c>
      <c r="C3383" s="2" t="s">
        <v>17</v>
      </c>
      <c r="D3383" s="2" t="s">
        <v>18</v>
      </c>
      <c r="E3383" s="5">
        <v>-27856</v>
      </c>
      <c r="F3383" s="3" t="s">
        <v>4859</v>
      </c>
      <c r="G3383" s="3" t="s">
        <v>39</v>
      </c>
      <c r="H3383" s="2" t="s">
        <v>21</v>
      </c>
      <c r="I3383" s="2" t="s">
        <v>7014</v>
      </c>
      <c r="J3383" s="3" t="str">
        <f>HYPERLINK("https://www.boe.es/gazeta/dias/1823/09/24/pdfs/GES-1823-168.pdf#page=1","Abrir facsímil")</f>
        <v>Abrir facsímil</v>
      </c>
      <c r="K3383" s="3" t="s">
        <v>23</v>
      </c>
    </row>
    <row r="3384" spans="1:11" ht="42" customHeight="1">
      <c r="A3384" s="2" t="s">
        <v>7015</v>
      </c>
      <c r="B3384" s="2" t="s">
        <v>7016</v>
      </c>
      <c r="C3384" s="2" t="s">
        <v>109</v>
      </c>
      <c r="D3384" s="2" t="s">
        <v>74</v>
      </c>
      <c r="E3384" s="5">
        <v>-27982</v>
      </c>
      <c r="F3384" s="3" t="s">
        <v>340</v>
      </c>
      <c r="G3384" s="3" t="s">
        <v>39</v>
      </c>
      <c r="H3384" s="2" t="s">
        <v>21</v>
      </c>
      <c r="I3384" s="2" t="s">
        <v>7017</v>
      </c>
      <c r="J3384" s="3" t="str">
        <f>HYPERLINK("https://www.boe.es/gazeta/dias/1823/05/21/pdfs/GES-1823-42.pdf#page=1","Abrir facsímil")</f>
        <v>Abrir facsímil</v>
      </c>
      <c r="K3384" s="3" t="s">
        <v>23</v>
      </c>
    </row>
    <row r="3385" spans="1:11" ht="42" customHeight="1">
      <c r="A3385" s="2" t="s">
        <v>7018</v>
      </c>
      <c r="B3385" s="2" t="s">
        <v>7018</v>
      </c>
      <c r="C3385" s="2" t="s">
        <v>17</v>
      </c>
      <c r="D3385" s="2" t="s">
        <v>18</v>
      </c>
      <c r="E3385" s="5">
        <v>-27960</v>
      </c>
      <c r="F3385" s="3" t="s">
        <v>682</v>
      </c>
      <c r="G3385" s="3" t="s">
        <v>3173</v>
      </c>
      <c r="H3385" s="2" t="s">
        <v>21</v>
      </c>
      <c r="I3385" s="2" t="s">
        <v>7019</v>
      </c>
      <c r="J3385" s="3" t="str">
        <f>HYPERLINK("https://www.boe.es/gazeta/dias/1823/06/12/pdfs/GMD-1823-123.pdf#page=4","Abrir facsímil")</f>
        <v>Abrir facsímil</v>
      </c>
      <c r="K3385" s="3" t="s">
        <v>23</v>
      </c>
    </row>
    <row r="3386" spans="1:11" ht="42" customHeight="1">
      <c r="A3386" s="2" t="s">
        <v>7020</v>
      </c>
      <c r="B3386" s="2" t="s">
        <v>7020</v>
      </c>
      <c r="C3386" s="2" t="s">
        <v>17</v>
      </c>
      <c r="D3386" s="2" t="s">
        <v>18</v>
      </c>
      <c r="E3386" s="5">
        <v>-27889</v>
      </c>
      <c r="F3386" s="3" t="s">
        <v>1306</v>
      </c>
      <c r="G3386" s="3" t="s">
        <v>39</v>
      </c>
      <c r="H3386" s="2" t="s">
        <v>21</v>
      </c>
      <c r="I3386" s="2" t="s">
        <v>7021</v>
      </c>
      <c r="J3386" s="3" t="str">
        <f>HYPERLINK("https://www.boe.es/gazeta/dias/1823/08/22/pdfs/GES-1823-135.pdf#page=1","Abrir facsímil")</f>
        <v>Abrir facsímil</v>
      </c>
      <c r="K3386" s="3" t="s">
        <v>23</v>
      </c>
    </row>
    <row r="3387" spans="1:11" ht="42" customHeight="1">
      <c r="A3387" s="2" t="s">
        <v>7022</v>
      </c>
      <c r="B3387" s="2" t="s">
        <v>7023</v>
      </c>
      <c r="C3387" s="2" t="s">
        <v>17</v>
      </c>
      <c r="D3387" s="2" t="s">
        <v>18</v>
      </c>
      <c r="E3387" s="5">
        <v>-27991</v>
      </c>
      <c r="F3387" s="3" t="s">
        <v>328</v>
      </c>
      <c r="G3387" s="3" t="s">
        <v>34</v>
      </c>
      <c r="H3387" s="2" t="s">
        <v>21</v>
      </c>
      <c r="I3387" s="2" t="s">
        <v>7024</v>
      </c>
      <c r="J3387" s="3" t="str">
        <f>HYPERLINK("https://www.boe.es/gazeta/dias/1823/05/12/pdfs/GES-1823-32.pdf#page=5","Abrir facsímil")</f>
        <v>Abrir facsímil</v>
      </c>
      <c r="K3387" s="3" t="s">
        <v>23</v>
      </c>
    </row>
    <row r="3388" spans="1:11" ht="42" customHeight="1">
      <c r="A3388" s="2" t="s">
        <v>7025</v>
      </c>
      <c r="B3388" s="2" t="s">
        <v>7026</v>
      </c>
      <c r="C3388" s="2" t="s">
        <v>17</v>
      </c>
      <c r="D3388" s="2" t="s">
        <v>18</v>
      </c>
      <c r="E3388" s="5">
        <v>-27993</v>
      </c>
      <c r="F3388" s="3" t="s">
        <v>977</v>
      </c>
      <c r="G3388" s="3" t="s">
        <v>978</v>
      </c>
      <c r="H3388" s="2" t="s">
        <v>21</v>
      </c>
      <c r="I3388" s="2" t="s">
        <v>7027</v>
      </c>
      <c r="J3388" s="3" t="str">
        <f>HYPERLINK("https://www.boe.es/gazeta/dias/1823/05/10/pdfs/GES-1823-30.pdf#page=4","Abrir facsímil")</f>
        <v>Abrir facsímil</v>
      </c>
      <c r="K3388" s="3" t="s">
        <v>23</v>
      </c>
    </row>
    <row r="3389" spans="1:11" ht="42" customHeight="1">
      <c r="A3389" s="2" t="s">
        <v>7028</v>
      </c>
      <c r="B3389" s="2" t="s">
        <v>7028</v>
      </c>
      <c r="C3389" s="2" t="s">
        <v>1477</v>
      </c>
      <c r="D3389" s="2" t="s">
        <v>57</v>
      </c>
      <c r="E3389" s="5">
        <v>-27934</v>
      </c>
      <c r="F3389" s="3" t="s">
        <v>634</v>
      </c>
      <c r="G3389" s="3" t="s">
        <v>59</v>
      </c>
      <c r="H3389" s="2" t="s">
        <v>21</v>
      </c>
      <c r="I3389" s="2" t="s">
        <v>7029</v>
      </c>
      <c r="J3389" s="3" t="str">
        <f>HYPERLINK("https://www.boe.es/gazeta/dias/1823/07/08/pdfs/GMD-1823-353.pdf#page=6","Abrir facsímil")</f>
        <v>Abrir facsímil</v>
      </c>
      <c r="K3389" s="3" t="s">
        <v>23</v>
      </c>
    </row>
    <row r="3390" spans="1:11" ht="42" customHeight="1">
      <c r="A3390" s="2" t="s">
        <v>7028</v>
      </c>
      <c r="B3390" s="2" t="s">
        <v>7028</v>
      </c>
      <c r="C3390" s="2" t="s">
        <v>17</v>
      </c>
      <c r="D3390" s="2" t="s">
        <v>18</v>
      </c>
      <c r="E3390" s="5">
        <v>-27813</v>
      </c>
      <c r="F3390" s="3" t="s">
        <v>1600</v>
      </c>
      <c r="G3390" s="3" t="s">
        <v>20</v>
      </c>
      <c r="H3390" s="2" t="s">
        <v>21</v>
      </c>
      <c r="I3390" s="2" t="s">
        <v>7030</v>
      </c>
      <c r="J3390" s="3" t="str">
        <f>HYPERLINK("https://www.boe.es/gazeta/dias/1823/11/06/pdfs/GMD-1823-1073.pdf#page=4","Abrir facsímil")</f>
        <v>Abrir facsímil</v>
      </c>
      <c r="K3390" s="3" t="s">
        <v>23</v>
      </c>
    </row>
    <row r="3391" spans="1:11" ht="42" customHeight="1">
      <c r="A3391" s="2" t="s">
        <v>7031</v>
      </c>
      <c r="B3391" s="2" t="s">
        <v>7032</v>
      </c>
      <c r="C3391" s="2" t="s">
        <v>17</v>
      </c>
      <c r="D3391" s="2" t="s">
        <v>18</v>
      </c>
      <c r="E3391" s="5">
        <v>-27766</v>
      </c>
      <c r="F3391" s="3" t="s">
        <v>3450</v>
      </c>
      <c r="G3391" s="3" t="s">
        <v>48</v>
      </c>
      <c r="H3391" s="2" t="s">
        <v>21</v>
      </c>
      <c r="I3391" s="2" t="s">
        <v>7033</v>
      </c>
      <c r="J3391" s="3" t="str">
        <f>HYPERLINK("https://www.boe.es/gazeta/dias/1823/12/23/pdfs/GMD-1823-1283.pdf#page=3","Abrir facsímil")</f>
        <v>Abrir facsímil</v>
      </c>
      <c r="K3391" s="3" t="s">
        <v>23</v>
      </c>
    </row>
    <row r="3392" spans="1:11" ht="42" customHeight="1">
      <c r="A3392" s="2" t="s">
        <v>7034</v>
      </c>
      <c r="B3392" s="2" t="s">
        <v>7034</v>
      </c>
      <c r="C3392" s="2" t="s">
        <v>293</v>
      </c>
      <c r="D3392" s="2" t="s">
        <v>74</v>
      </c>
      <c r="E3392" s="5">
        <v>-27920</v>
      </c>
      <c r="F3392" s="3" t="s">
        <v>1334</v>
      </c>
      <c r="G3392" s="3" t="s">
        <v>276</v>
      </c>
      <c r="H3392" s="2" t="s">
        <v>21</v>
      </c>
      <c r="I3392" s="2" t="s">
        <v>7035</v>
      </c>
      <c r="J3392" s="3" t="str">
        <f>HYPERLINK("https://www.boe.es/gazeta/dias/1823/07/22/pdfs/GMD-1823-443.pdf#page=7","Abrir facsímil")</f>
        <v>Abrir facsímil</v>
      </c>
      <c r="K3392" s="3" t="s">
        <v>23</v>
      </c>
    </row>
    <row r="3393" spans="1:11" ht="42" customHeight="1">
      <c r="A3393" s="2" t="s">
        <v>7036</v>
      </c>
      <c r="B3393" s="2" t="s">
        <v>7037</v>
      </c>
      <c r="C3393" s="2" t="s">
        <v>17</v>
      </c>
      <c r="D3393" s="2" t="s">
        <v>18</v>
      </c>
      <c r="E3393" s="5">
        <v>-27885</v>
      </c>
      <c r="F3393" s="3" t="s">
        <v>6503</v>
      </c>
      <c r="G3393" s="3" t="s">
        <v>48</v>
      </c>
      <c r="H3393" s="2" t="s">
        <v>21</v>
      </c>
      <c r="I3393" s="2" t="s">
        <v>7038</v>
      </c>
      <c r="J3393" s="3" t="str">
        <f>HYPERLINK("https://www.boe.es/gazeta/dias/1823/08/26/pdfs/GES-1823-139.pdf#page=3","Abrir facsímil")</f>
        <v>Abrir facsímil</v>
      </c>
      <c r="K3393" s="3" t="s">
        <v>23</v>
      </c>
    </row>
    <row r="3394" spans="1:11" ht="42" customHeight="1">
      <c r="A3394" s="2" t="s">
        <v>7039</v>
      </c>
      <c r="B3394" s="2" t="s">
        <v>7039</v>
      </c>
      <c r="C3394" s="2" t="s">
        <v>56</v>
      </c>
      <c r="D3394" s="2" t="s">
        <v>57</v>
      </c>
      <c r="E3394" s="5">
        <v>-27913</v>
      </c>
      <c r="F3394" s="3" t="s">
        <v>829</v>
      </c>
      <c r="G3394" s="3" t="s">
        <v>715</v>
      </c>
      <c r="H3394" s="2" t="s">
        <v>21</v>
      </c>
      <c r="I3394" s="2" t="s">
        <v>7040</v>
      </c>
      <c r="J3394" s="3" t="str">
        <f>HYPERLINK("https://www.boe.es/gazeta/dias/1823/07/29/pdfs/GMD-1823-483.pdf#page=8","Abrir facsímil")</f>
        <v>Abrir facsímil</v>
      </c>
      <c r="K3394" s="3" t="s">
        <v>23</v>
      </c>
    </row>
    <row r="3395" spans="1:11" ht="42" customHeight="1">
      <c r="A3395" s="2" t="s">
        <v>7041</v>
      </c>
      <c r="B3395" s="2" t="s">
        <v>7041</v>
      </c>
      <c r="C3395" s="2" t="s">
        <v>17</v>
      </c>
      <c r="D3395" s="2" t="s">
        <v>18</v>
      </c>
      <c r="E3395" s="5">
        <v>-27996</v>
      </c>
      <c r="F3395" s="3" t="s">
        <v>695</v>
      </c>
      <c r="G3395" s="3" t="s">
        <v>20</v>
      </c>
      <c r="H3395" s="2" t="s">
        <v>21</v>
      </c>
      <c r="I3395" s="2" t="s">
        <v>7042</v>
      </c>
      <c r="J3395" s="3" t="str">
        <f>HYPERLINK("https://www.boe.es/gazeta/dias/1823/05/07/pdfs/GES-1823-27.pdf#page=4","Abrir facsímil")</f>
        <v>Abrir facsímil</v>
      </c>
      <c r="K3395" s="3" t="s">
        <v>23</v>
      </c>
    </row>
    <row r="3396" spans="1:11" ht="42" customHeight="1">
      <c r="A3396" s="2" t="s">
        <v>7043</v>
      </c>
      <c r="B3396" s="2" t="s">
        <v>7043</v>
      </c>
      <c r="C3396" s="2" t="s">
        <v>17</v>
      </c>
      <c r="D3396" s="2" t="s">
        <v>18</v>
      </c>
      <c r="E3396" s="5">
        <v>-28116</v>
      </c>
      <c r="F3396" s="3" t="s">
        <v>134</v>
      </c>
      <c r="G3396" s="3" t="s">
        <v>39</v>
      </c>
      <c r="H3396" s="2" t="s">
        <v>21</v>
      </c>
      <c r="I3396" s="2" t="s">
        <v>7044</v>
      </c>
      <c r="J3396" s="3" t="str">
        <f>HYPERLINK("https://www.boe.es/gazeta/dias/1823/01/07/pdfs/GMD-1823-7.pdf#page=1","Abrir facsímil")</f>
        <v>Abrir facsímil</v>
      </c>
      <c r="K3396" s="3" t="s">
        <v>23</v>
      </c>
    </row>
    <row r="3397" spans="1:11" ht="42" customHeight="1">
      <c r="A3397" s="2" t="s">
        <v>7045</v>
      </c>
      <c r="B3397" s="2" t="s">
        <v>7046</v>
      </c>
      <c r="C3397" s="2" t="s">
        <v>17</v>
      </c>
      <c r="D3397" s="2" t="s">
        <v>18</v>
      </c>
      <c r="E3397" s="5">
        <v>-27964</v>
      </c>
      <c r="F3397" s="3" t="s">
        <v>58</v>
      </c>
      <c r="G3397" s="3" t="s">
        <v>34</v>
      </c>
      <c r="H3397" s="2" t="s">
        <v>21</v>
      </c>
      <c r="I3397" s="2" t="s">
        <v>7047</v>
      </c>
      <c r="J3397" s="3" t="str">
        <f>HYPERLINK("https://www.boe.es/gazeta/dias/1823/06/08/pdfs/GES-1823-62.pdf#page=5","Abrir facsímil")</f>
        <v>Abrir facsímil</v>
      </c>
      <c r="K3397" s="3" t="s">
        <v>23</v>
      </c>
    </row>
    <row r="3398" spans="1:11" ht="42" customHeight="1">
      <c r="A3398" s="2" t="s">
        <v>7048</v>
      </c>
      <c r="B3398" s="2" t="s">
        <v>7049</v>
      </c>
      <c r="C3398" s="2" t="s">
        <v>79</v>
      </c>
      <c r="D3398" s="2" t="s">
        <v>74</v>
      </c>
      <c r="E3398" s="5">
        <v>-28076</v>
      </c>
      <c r="F3398" s="3" t="s">
        <v>1638</v>
      </c>
      <c r="G3398" s="3" t="s">
        <v>20</v>
      </c>
      <c r="H3398" s="2" t="s">
        <v>21</v>
      </c>
      <c r="I3398" s="2" t="s">
        <v>7050</v>
      </c>
      <c r="J3398" s="3" t="str">
        <f>HYPERLINK("https://www.boe.es/gazeta/dias/1823/02/16/pdfs/GMD-1823-50.pdf#page=4","Abrir facsímil")</f>
        <v>Abrir facsímil</v>
      </c>
      <c r="K3398" s="3" t="s">
        <v>23</v>
      </c>
    </row>
    <row r="3399" spans="1:11" ht="42" customHeight="1">
      <c r="A3399" s="2" t="s">
        <v>7051</v>
      </c>
      <c r="B3399" s="2" t="s">
        <v>7051</v>
      </c>
      <c r="C3399" s="2" t="s">
        <v>17</v>
      </c>
      <c r="D3399" s="2" t="s">
        <v>18</v>
      </c>
      <c r="E3399" s="5">
        <v>-28074</v>
      </c>
      <c r="F3399" s="3" t="s">
        <v>212</v>
      </c>
      <c r="G3399" s="3" t="s">
        <v>39</v>
      </c>
      <c r="H3399" s="2" t="s">
        <v>21</v>
      </c>
      <c r="I3399" s="2" t="s">
        <v>7052</v>
      </c>
      <c r="J3399" s="3" t="str">
        <f>HYPERLINK("https://www.boe.es/gazeta/dias/1823/02/18/pdfs/GMD-1823-52.pdf#page=1","Abrir facsímil")</f>
        <v>Abrir facsímil</v>
      </c>
      <c r="K3399" s="3" t="s">
        <v>23</v>
      </c>
    </row>
    <row r="3400" spans="1:11" ht="42" customHeight="1">
      <c r="A3400" s="2" t="s">
        <v>7051</v>
      </c>
      <c r="B3400" s="2" t="s">
        <v>7051</v>
      </c>
      <c r="C3400" s="2" t="s">
        <v>17</v>
      </c>
      <c r="D3400" s="2" t="s">
        <v>18</v>
      </c>
      <c r="E3400" s="5">
        <v>-27904</v>
      </c>
      <c r="F3400" s="3" t="s">
        <v>1227</v>
      </c>
      <c r="G3400" s="3" t="s">
        <v>20</v>
      </c>
      <c r="H3400" s="2" t="s">
        <v>21</v>
      </c>
      <c r="I3400" s="2" t="s">
        <v>7053</v>
      </c>
      <c r="J3400" s="3" t="str">
        <f>HYPERLINK("https://www.boe.es/gazeta/dias/1823/08/07/pdfs/GMD-1823-543.pdf#page=4","Abrir facsímil")</f>
        <v>Abrir facsímil</v>
      </c>
      <c r="K3400" s="3" t="s">
        <v>23</v>
      </c>
    </row>
    <row r="3401" spans="1:11" ht="42" customHeight="1">
      <c r="A3401" s="2" t="s">
        <v>7054</v>
      </c>
      <c r="B3401" s="2" t="s">
        <v>7055</v>
      </c>
      <c r="C3401" s="2" t="s">
        <v>17</v>
      </c>
      <c r="D3401" s="2" t="s">
        <v>18</v>
      </c>
      <c r="E3401" s="5">
        <v>-27906</v>
      </c>
      <c r="F3401" s="3" t="s">
        <v>1527</v>
      </c>
      <c r="G3401" s="3" t="s">
        <v>20</v>
      </c>
      <c r="H3401" s="2" t="s">
        <v>21</v>
      </c>
      <c r="I3401" s="2" t="s">
        <v>7056</v>
      </c>
      <c r="J3401" s="3" t="str">
        <f>HYPERLINK("https://www.boe.es/gazeta/dias/1823/08/05/pdfs/GMD-1823-533.pdf#page=4","Abrir facsímil")</f>
        <v>Abrir facsímil</v>
      </c>
      <c r="K3401" s="3" t="s">
        <v>23</v>
      </c>
    </row>
    <row r="3402" spans="1:11" ht="42" customHeight="1">
      <c r="A3402" s="2" t="s">
        <v>7057</v>
      </c>
      <c r="B3402" s="2" t="s">
        <v>7058</v>
      </c>
      <c r="C3402" s="2" t="s">
        <v>17</v>
      </c>
      <c r="D3402" s="2" t="s">
        <v>18</v>
      </c>
      <c r="E3402" s="5">
        <v>-27811</v>
      </c>
      <c r="F3402" s="3" t="s">
        <v>834</v>
      </c>
      <c r="G3402" s="3" t="s">
        <v>48</v>
      </c>
      <c r="H3402" s="2" t="s">
        <v>21</v>
      </c>
      <c r="I3402" s="2" t="s">
        <v>7059</v>
      </c>
      <c r="J3402" s="3" t="str">
        <f>HYPERLINK("https://www.boe.es/gazeta/dias/1823/11/08/pdfs/GMD-1823-1083.pdf#page=3","Abrir facsímil")</f>
        <v>Abrir facsímil</v>
      </c>
      <c r="K3402" s="3" t="s">
        <v>23</v>
      </c>
    </row>
    <row r="3403" spans="1:11" ht="42" customHeight="1">
      <c r="A3403" s="2" t="s">
        <v>7060</v>
      </c>
      <c r="B3403" s="2" t="s">
        <v>7061</v>
      </c>
      <c r="C3403" s="2" t="s">
        <v>17</v>
      </c>
      <c r="D3403" s="2" t="s">
        <v>18</v>
      </c>
      <c r="E3403" s="5">
        <v>-27850</v>
      </c>
      <c r="F3403" s="3" t="s">
        <v>910</v>
      </c>
      <c r="G3403" s="3" t="s">
        <v>48</v>
      </c>
      <c r="H3403" s="2" t="s">
        <v>21</v>
      </c>
      <c r="I3403" s="2" t="s">
        <v>7062</v>
      </c>
      <c r="J3403" s="3" t="str">
        <f>HYPERLINK("https://www.boe.es/gazeta/dias/1823/09/30/pdfs/GMD-1823-873.pdf#page=3","Abrir facsímil")</f>
        <v>Abrir facsímil</v>
      </c>
      <c r="K3403" s="3" t="s">
        <v>23</v>
      </c>
    </row>
    <row r="3404" spans="1:11" ht="42" customHeight="1">
      <c r="A3404" s="2" t="s">
        <v>7063</v>
      </c>
      <c r="B3404" s="2" t="s">
        <v>7063</v>
      </c>
      <c r="C3404" s="2" t="s">
        <v>17</v>
      </c>
      <c r="D3404" s="2" t="s">
        <v>18</v>
      </c>
      <c r="E3404" s="5">
        <v>-28094</v>
      </c>
      <c r="F3404" s="3" t="s">
        <v>93</v>
      </c>
      <c r="G3404" s="3" t="s">
        <v>48</v>
      </c>
      <c r="H3404" s="2" t="s">
        <v>21</v>
      </c>
      <c r="I3404" s="2" t="s">
        <v>7064</v>
      </c>
      <c r="J3404" s="3" t="str">
        <f>HYPERLINK("https://www.boe.es/gazeta/dias/1823/01/29/pdfs/GMD-1823-30.pdf#page=3","Abrir facsímil")</f>
        <v>Abrir facsímil</v>
      </c>
      <c r="K3404" s="3" t="s">
        <v>23</v>
      </c>
    </row>
    <row r="3405" spans="1:11" ht="42" customHeight="1">
      <c r="A3405" s="2" t="s">
        <v>7065</v>
      </c>
      <c r="B3405" s="2" t="s">
        <v>7065</v>
      </c>
      <c r="C3405" s="2" t="s">
        <v>17</v>
      </c>
      <c r="D3405" s="2" t="s">
        <v>18</v>
      </c>
      <c r="E3405" s="5">
        <v>-27864</v>
      </c>
      <c r="F3405" s="3" t="s">
        <v>1301</v>
      </c>
      <c r="G3405" s="3" t="s">
        <v>48</v>
      </c>
      <c r="H3405" s="2" t="s">
        <v>21</v>
      </c>
      <c r="I3405" s="2" t="s">
        <v>7066</v>
      </c>
      <c r="J3405" s="3" t="str">
        <f>HYPERLINK("https://www.boe.es/gazeta/dias/1823/09/16/pdfs/GES-1823-160.pdf#page=3","Abrir facsímil")</f>
        <v>Abrir facsímil</v>
      </c>
      <c r="K3405" s="3" t="s">
        <v>23</v>
      </c>
    </row>
    <row r="3406" spans="1:11" ht="42" customHeight="1">
      <c r="A3406" s="2" t="s">
        <v>7067</v>
      </c>
      <c r="B3406" s="2" t="s">
        <v>7067</v>
      </c>
      <c r="C3406" s="2" t="s">
        <v>79</v>
      </c>
      <c r="D3406" s="2" t="s">
        <v>74</v>
      </c>
      <c r="E3406" s="5">
        <v>-27864</v>
      </c>
      <c r="F3406" s="3" t="s">
        <v>395</v>
      </c>
      <c r="G3406" s="3" t="s">
        <v>48</v>
      </c>
      <c r="H3406" s="2" t="s">
        <v>21</v>
      </c>
      <c r="I3406" s="2" t="s">
        <v>7068</v>
      </c>
      <c r="J3406" s="3" t="str">
        <f>HYPERLINK("https://www.boe.es/gazeta/dias/1823/09/16/pdfs/GMD-1823-783.pdf#page=3","Abrir facsímil")</f>
        <v>Abrir facsímil</v>
      </c>
      <c r="K3406" s="3" t="s">
        <v>23</v>
      </c>
    </row>
    <row r="3407" spans="1:11" ht="42" customHeight="1">
      <c r="A3407" s="2" t="s">
        <v>7069</v>
      </c>
      <c r="B3407" s="2" t="s">
        <v>7069</v>
      </c>
      <c r="C3407" s="2" t="s">
        <v>17</v>
      </c>
      <c r="D3407" s="2" t="s">
        <v>18</v>
      </c>
      <c r="E3407" s="5">
        <v>-27937</v>
      </c>
      <c r="F3407" s="3" t="s">
        <v>730</v>
      </c>
      <c r="G3407" s="3" t="s">
        <v>27</v>
      </c>
      <c r="H3407" s="2" t="s">
        <v>21</v>
      </c>
      <c r="I3407" s="2" t="s">
        <v>7070</v>
      </c>
      <c r="J3407" s="3" t="str">
        <f>HYPERLINK("https://www.boe.es/gazeta/dias/1823/07/05/pdfs/GES-1823-85.pdf#page=2","Abrir facsímil")</f>
        <v>Abrir facsímil</v>
      </c>
      <c r="K3407" s="3" t="s">
        <v>23</v>
      </c>
    </row>
    <row r="3408" spans="1:11" ht="42" customHeight="1">
      <c r="A3408" s="2" t="s">
        <v>7069</v>
      </c>
      <c r="B3408" s="2" t="s">
        <v>7069</v>
      </c>
      <c r="C3408" s="2" t="s">
        <v>109</v>
      </c>
      <c r="D3408" s="2" t="s">
        <v>74</v>
      </c>
      <c r="E3408" s="5">
        <v>-27937</v>
      </c>
      <c r="F3408" s="3" t="s">
        <v>897</v>
      </c>
      <c r="G3408" s="3" t="s">
        <v>39</v>
      </c>
      <c r="H3408" s="2" t="s">
        <v>21</v>
      </c>
      <c r="I3408" s="2" t="s">
        <v>7071</v>
      </c>
      <c r="J3408" s="3" t="str">
        <f>HYPERLINK("https://www.boe.es/gazeta/dias/1823/07/05/pdfs/GMD-1823-343.pdf#page=1","Abrir facsímil")</f>
        <v>Abrir facsímil</v>
      </c>
      <c r="K3408" s="3" t="s">
        <v>23</v>
      </c>
    </row>
    <row r="3409" spans="1:11" ht="42" customHeight="1">
      <c r="A3409" s="2" t="s">
        <v>7069</v>
      </c>
      <c r="B3409" s="2" t="s">
        <v>7069</v>
      </c>
      <c r="C3409" s="2" t="s">
        <v>17</v>
      </c>
      <c r="D3409" s="2" t="s">
        <v>18</v>
      </c>
      <c r="E3409" s="5">
        <v>-27934</v>
      </c>
      <c r="F3409" s="3" t="s">
        <v>634</v>
      </c>
      <c r="G3409" s="3" t="s">
        <v>27</v>
      </c>
      <c r="H3409" s="2" t="s">
        <v>21</v>
      </c>
      <c r="I3409" s="2" t="s">
        <v>7072</v>
      </c>
      <c r="J3409" s="3" t="str">
        <f>HYPERLINK("https://www.boe.es/gazeta/dias/1823/07/08/pdfs/GMD-1823-353.pdf#page=2","Abrir facsímil")</f>
        <v>Abrir facsímil</v>
      </c>
      <c r="K3409" s="3" t="s">
        <v>23</v>
      </c>
    </row>
    <row r="3410" spans="1:11" ht="42" customHeight="1">
      <c r="A3410" s="2" t="s">
        <v>7073</v>
      </c>
      <c r="B3410" s="2" t="s">
        <v>7073</v>
      </c>
      <c r="C3410" s="2" t="s">
        <v>17</v>
      </c>
      <c r="D3410" s="2" t="s">
        <v>18</v>
      </c>
      <c r="E3410" s="5">
        <v>-27934</v>
      </c>
      <c r="F3410" s="3" t="s">
        <v>634</v>
      </c>
      <c r="G3410" s="3" t="s">
        <v>20</v>
      </c>
      <c r="H3410" s="2" t="s">
        <v>21</v>
      </c>
      <c r="I3410" s="2" t="s">
        <v>7074</v>
      </c>
      <c r="J3410" s="3" t="str">
        <f>HYPERLINK("https://www.boe.es/gazeta/dias/1823/07/08/pdfs/GMD-1823-353.pdf#page=4","Abrir facsímil")</f>
        <v>Abrir facsímil</v>
      </c>
      <c r="K3410" s="3" t="s">
        <v>23</v>
      </c>
    </row>
    <row r="3411" spans="1:11" ht="42" customHeight="1">
      <c r="A3411" s="2" t="s">
        <v>7069</v>
      </c>
      <c r="B3411" s="2" t="s">
        <v>7069</v>
      </c>
      <c r="C3411" s="2" t="s">
        <v>79</v>
      </c>
      <c r="D3411" s="2" t="s">
        <v>74</v>
      </c>
      <c r="E3411" s="5">
        <v>-27920</v>
      </c>
      <c r="F3411" s="3" t="s">
        <v>1334</v>
      </c>
      <c r="G3411" s="3" t="s">
        <v>20</v>
      </c>
      <c r="H3411" s="2" t="s">
        <v>21</v>
      </c>
      <c r="I3411" s="2" t="s">
        <v>7075</v>
      </c>
      <c r="J3411" s="3" t="str">
        <f>HYPERLINK("https://www.boe.es/gazeta/dias/1823/07/22/pdfs/GMD-1823-443.pdf#page=4","Abrir facsímil")</f>
        <v>Abrir facsímil</v>
      </c>
      <c r="K3411" s="3" t="s">
        <v>23</v>
      </c>
    </row>
    <row r="3412" spans="1:11" ht="42" customHeight="1">
      <c r="A3412" s="2" t="s">
        <v>7069</v>
      </c>
      <c r="B3412" s="2" t="s">
        <v>7069</v>
      </c>
      <c r="C3412" s="2" t="s">
        <v>17</v>
      </c>
      <c r="D3412" s="2" t="s">
        <v>18</v>
      </c>
      <c r="E3412" s="5">
        <v>-27918</v>
      </c>
      <c r="F3412" s="3" t="s">
        <v>218</v>
      </c>
      <c r="G3412" s="3" t="s">
        <v>48</v>
      </c>
      <c r="H3412" s="2" t="s">
        <v>21</v>
      </c>
      <c r="I3412" s="2" t="s">
        <v>7076</v>
      </c>
      <c r="J3412" s="3" t="str">
        <f>HYPERLINK("https://www.boe.es/gazeta/dias/1823/07/24/pdfs/GMD-1823-463.pdf#page=3","Abrir facsímil")</f>
        <v>Abrir facsímil</v>
      </c>
      <c r="K3412" s="3" t="s">
        <v>23</v>
      </c>
    </row>
    <row r="3413" spans="1:11" ht="42" customHeight="1">
      <c r="A3413" s="2" t="s">
        <v>7069</v>
      </c>
      <c r="B3413" s="2" t="s">
        <v>7069</v>
      </c>
      <c r="C3413" s="2" t="s">
        <v>17</v>
      </c>
      <c r="D3413" s="2" t="s">
        <v>117</v>
      </c>
      <c r="E3413" s="5">
        <v>-27873</v>
      </c>
      <c r="F3413" s="3" t="s">
        <v>1668</v>
      </c>
      <c r="G3413" s="3" t="s">
        <v>3173</v>
      </c>
      <c r="H3413" s="2" t="s">
        <v>21</v>
      </c>
      <c r="I3413" s="2" t="s">
        <v>7077</v>
      </c>
      <c r="J3413" s="3" t="str">
        <f>HYPERLINK("https://www.boe.es/gazeta/dias/1823/09/07/pdfs/GMD-1823-72E.pdf#page=1","Abrir facsímil")</f>
        <v>Abrir facsímil</v>
      </c>
      <c r="K3413" s="3" t="s">
        <v>23</v>
      </c>
    </row>
    <row r="3414" spans="1:11" ht="42" customHeight="1">
      <c r="A3414" s="2" t="s">
        <v>7069</v>
      </c>
      <c r="B3414" s="2" t="s">
        <v>7069</v>
      </c>
      <c r="C3414" s="2" t="s">
        <v>17</v>
      </c>
      <c r="D3414" s="2" t="s">
        <v>117</v>
      </c>
      <c r="E3414" s="5">
        <v>-27873</v>
      </c>
      <c r="F3414" s="3" t="s">
        <v>1668</v>
      </c>
      <c r="G3414" s="3" t="s">
        <v>27</v>
      </c>
      <c r="H3414" s="2" t="s">
        <v>21</v>
      </c>
      <c r="I3414" s="2" t="s">
        <v>7078</v>
      </c>
      <c r="J3414" s="3" t="str">
        <f>HYPERLINK("https://www.boe.es/gazeta/dias/1823/09/07/pdfs/GMD-1823-72E.pdf#page=2","Abrir facsímil")</f>
        <v>Abrir facsímil</v>
      </c>
      <c r="K3414" s="3" t="s">
        <v>23</v>
      </c>
    </row>
    <row r="3415" spans="1:11" ht="42" customHeight="1">
      <c r="A3415" s="2" t="s">
        <v>7069</v>
      </c>
      <c r="B3415" s="2" t="s">
        <v>7069</v>
      </c>
      <c r="C3415" s="2" t="s">
        <v>56</v>
      </c>
      <c r="D3415" s="2" t="s">
        <v>57</v>
      </c>
      <c r="E3415" s="5">
        <v>-27871</v>
      </c>
      <c r="F3415" s="3" t="s">
        <v>1330</v>
      </c>
      <c r="G3415" s="3" t="s">
        <v>20</v>
      </c>
      <c r="H3415" s="2" t="s">
        <v>21</v>
      </c>
      <c r="I3415" s="2" t="s">
        <v>7079</v>
      </c>
      <c r="J3415" s="3" t="str">
        <f>HYPERLINK("https://www.boe.es/gazeta/dias/1823/09/09/pdfs/GMD-1823-733.pdf#page=4","Abrir facsímil")</f>
        <v>Abrir facsímil</v>
      </c>
      <c r="K3415" s="3" t="s">
        <v>23</v>
      </c>
    </row>
    <row r="3416" spans="1:11" ht="42" customHeight="1">
      <c r="A3416" s="2" t="s">
        <v>7069</v>
      </c>
      <c r="B3416" s="2" t="s">
        <v>7069</v>
      </c>
      <c r="C3416" s="2" t="s">
        <v>17</v>
      </c>
      <c r="D3416" s="2" t="s">
        <v>117</v>
      </c>
      <c r="E3416" s="5">
        <v>-27871</v>
      </c>
      <c r="F3416" s="3" t="s">
        <v>7080</v>
      </c>
      <c r="G3416" s="3" t="s">
        <v>39</v>
      </c>
      <c r="H3416" s="2" t="s">
        <v>21</v>
      </c>
      <c r="I3416" s="2" t="s">
        <v>7081</v>
      </c>
      <c r="J3416" s="3" t="str">
        <f>HYPERLINK("https://www.boe.es/gazeta/dias/1823/09/09/pdfs/GMD-1823-743E.pdf#page=1","Abrir facsímil")</f>
        <v>Abrir facsímil</v>
      </c>
      <c r="K3416" s="3" t="s">
        <v>23</v>
      </c>
    </row>
    <row r="3417" spans="1:11" ht="42" customHeight="1">
      <c r="A3417" s="2" t="s">
        <v>7069</v>
      </c>
      <c r="B3417" s="2" t="s">
        <v>7069</v>
      </c>
      <c r="C3417" s="2" t="s">
        <v>17</v>
      </c>
      <c r="D3417" s="2" t="s">
        <v>117</v>
      </c>
      <c r="E3417" s="5">
        <v>-27849</v>
      </c>
      <c r="F3417" s="3" t="s">
        <v>7082</v>
      </c>
      <c r="G3417" s="3" t="s">
        <v>39</v>
      </c>
      <c r="H3417" s="2" t="s">
        <v>21</v>
      </c>
      <c r="I3417" s="2" t="s">
        <v>7083</v>
      </c>
      <c r="J3417" s="3" t="str">
        <f>HYPERLINK("https://www.boe.es/gazeta/dias/1823/10/01/pdfs/GMD-1823-883E.pdf#page=1","Abrir facsímil")</f>
        <v>Abrir facsímil</v>
      </c>
      <c r="K3417" s="3" t="s">
        <v>23</v>
      </c>
    </row>
    <row r="3418" spans="1:11" ht="42" customHeight="1">
      <c r="A3418" s="2" t="s">
        <v>7069</v>
      </c>
      <c r="B3418" s="2" t="s">
        <v>7069</v>
      </c>
      <c r="C3418" s="2" t="s">
        <v>56</v>
      </c>
      <c r="D3418" s="2" t="s">
        <v>57</v>
      </c>
      <c r="E3418" s="5">
        <v>-27829</v>
      </c>
      <c r="F3418" s="3" t="s">
        <v>228</v>
      </c>
      <c r="G3418" s="3" t="s">
        <v>20</v>
      </c>
      <c r="H3418" s="2" t="s">
        <v>21</v>
      </c>
      <c r="I3418" s="2" t="s">
        <v>7084</v>
      </c>
      <c r="J3418" s="3" t="str">
        <f>HYPERLINK("https://www.boe.es/gazeta/dias/1823/10/21/pdfs/GMD-1823-1003.pdf#page=4","Abrir facsímil")</f>
        <v>Abrir facsímil</v>
      </c>
      <c r="K3418" s="3" t="s">
        <v>23</v>
      </c>
    </row>
    <row r="3419" spans="1:11" ht="42" customHeight="1">
      <c r="A3419" s="2" t="s">
        <v>7069</v>
      </c>
      <c r="B3419" s="2" t="s">
        <v>7069</v>
      </c>
      <c r="C3419" s="2" t="s">
        <v>56</v>
      </c>
      <c r="D3419" s="2" t="s">
        <v>57</v>
      </c>
      <c r="E3419" s="5">
        <v>-27808</v>
      </c>
      <c r="F3419" s="3" t="s">
        <v>1602</v>
      </c>
      <c r="G3419" s="3" t="s">
        <v>39</v>
      </c>
      <c r="H3419" s="2" t="s">
        <v>21</v>
      </c>
      <c r="I3419" s="2" t="s">
        <v>7085</v>
      </c>
      <c r="J3419" s="3" t="str">
        <f>HYPERLINK("https://www.boe.es/gazeta/dias/1823/11/11/pdfs/GMD-1823-1103.pdf#page=1","Abrir facsímil")</f>
        <v>Abrir facsímil</v>
      </c>
      <c r="K3419" s="3" t="s">
        <v>23</v>
      </c>
    </row>
    <row r="3420" spans="1:11" ht="42" customHeight="1">
      <c r="A3420" s="2" t="s">
        <v>7069</v>
      </c>
      <c r="B3420" s="2" t="s">
        <v>7069</v>
      </c>
      <c r="C3420" s="2" t="s">
        <v>17</v>
      </c>
      <c r="D3420" s="2" t="s">
        <v>18</v>
      </c>
      <c r="E3420" s="5">
        <v>-27785</v>
      </c>
      <c r="F3420" s="3" t="s">
        <v>1397</v>
      </c>
      <c r="G3420" s="3" t="s">
        <v>27</v>
      </c>
      <c r="H3420" s="2" t="s">
        <v>21</v>
      </c>
      <c r="I3420" s="2" t="s">
        <v>7086</v>
      </c>
      <c r="J3420" s="3" t="str">
        <f>HYPERLINK("https://www.boe.es/gazeta/dias/1823/12/04/pdfs/GMD-1823-1203.pdf#page=2","Abrir facsímil")</f>
        <v>Abrir facsímil</v>
      </c>
      <c r="K3420" s="3" t="s">
        <v>23</v>
      </c>
    </row>
    <row r="3421" spans="1:11" ht="42" customHeight="1">
      <c r="A3421" s="2" t="s">
        <v>7069</v>
      </c>
      <c r="B3421" s="2" t="s">
        <v>7069</v>
      </c>
      <c r="C3421" s="2" t="s">
        <v>73</v>
      </c>
      <c r="D3421" s="2" t="s">
        <v>74</v>
      </c>
      <c r="E3421" s="5">
        <v>-27778</v>
      </c>
      <c r="F3421" s="3" t="s">
        <v>1343</v>
      </c>
      <c r="G3421" s="3" t="s">
        <v>20</v>
      </c>
      <c r="H3421" s="2" t="s">
        <v>21</v>
      </c>
      <c r="I3421" s="2" t="s">
        <v>7087</v>
      </c>
      <c r="J3421" s="3" t="str">
        <f>HYPERLINK("https://www.boe.es/gazeta/dias/1823/12/11/pdfs/GMD-1823-1233.pdf#page=4","Abrir facsímil")</f>
        <v>Abrir facsímil</v>
      </c>
      <c r="K3421" s="3" t="s">
        <v>23</v>
      </c>
    </row>
    <row r="3422" spans="1:11" ht="42" customHeight="1">
      <c r="A3422" s="2" t="s">
        <v>7069</v>
      </c>
      <c r="B3422" s="2" t="s">
        <v>7069</v>
      </c>
      <c r="C3422" s="2" t="s">
        <v>56</v>
      </c>
      <c r="D3422" s="2" t="s">
        <v>57</v>
      </c>
      <c r="E3422" s="5">
        <v>-27769</v>
      </c>
      <c r="F3422" s="3" t="s">
        <v>2743</v>
      </c>
      <c r="G3422" s="3" t="s">
        <v>27</v>
      </c>
      <c r="H3422" s="2" t="s">
        <v>21</v>
      </c>
      <c r="I3422" s="2" t="s">
        <v>7088</v>
      </c>
      <c r="J3422" s="3" t="str">
        <f>HYPERLINK("https://www.boe.es/gazeta/dias/1823/12/20/pdfs/GMD-1823-1273.pdf#page=2","Abrir facsímil")</f>
        <v>Abrir facsímil</v>
      </c>
      <c r="K3422" s="3" t="s">
        <v>23</v>
      </c>
    </row>
    <row r="3423" spans="1:11" ht="42" customHeight="1">
      <c r="A3423" s="2" t="s">
        <v>7089</v>
      </c>
      <c r="B3423" s="2" t="s">
        <v>7090</v>
      </c>
      <c r="C3423" s="2" t="s">
        <v>17</v>
      </c>
      <c r="D3423" s="2" t="s">
        <v>18</v>
      </c>
      <c r="E3423" s="5">
        <v>-27820</v>
      </c>
      <c r="F3423" s="3" t="s">
        <v>6283</v>
      </c>
      <c r="G3423" s="3" t="s">
        <v>20</v>
      </c>
      <c r="H3423" s="2" t="s">
        <v>21</v>
      </c>
      <c r="I3423" s="2" t="s">
        <v>7091</v>
      </c>
      <c r="J3423" s="3" t="str">
        <f>HYPERLINK("https://www.boe.es/gazeta/dias/1823/10/30/pdfs/GMD-1823-1043.pdf#page=4","Abrir facsímil")</f>
        <v>Abrir facsímil</v>
      </c>
      <c r="K3423" s="3" t="s">
        <v>23</v>
      </c>
    </row>
    <row r="3424" spans="1:11" ht="42" customHeight="1">
      <c r="A3424" s="2" t="s">
        <v>7092</v>
      </c>
      <c r="B3424" s="2" t="s">
        <v>7093</v>
      </c>
      <c r="C3424" s="2" t="s">
        <v>17</v>
      </c>
      <c r="D3424" s="2" t="s">
        <v>117</v>
      </c>
      <c r="E3424" s="5">
        <v>-27849</v>
      </c>
      <c r="F3424" s="3" t="s">
        <v>7082</v>
      </c>
      <c r="G3424" s="3" t="s">
        <v>39</v>
      </c>
      <c r="H3424" s="2" t="s">
        <v>21</v>
      </c>
      <c r="I3424" s="2" t="s">
        <v>7094</v>
      </c>
      <c r="J3424" s="3" t="str">
        <f>HYPERLINK("https://www.boe.es/gazeta/dias/1823/10/01/pdfs/GMD-1823-883E.pdf#page=1","Abrir facsímil")</f>
        <v>Abrir facsímil</v>
      </c>
      <c r="K3424" s="3" t="s">
        <v>23</v>
      </c>
    </row>
    <row r="3425" spans="1:11" ht="42" customHeight="1">
      <c r="A3425" s="2" t="s">
        <v>7095</v>
      </c>
      <c r="B3425" s="2" t="s">
        <v>7096</v>
      </c>
      <c r="C3425" s="2" t="s">
        <v>17</v>
      </c>
      <c r="D3425" s="2" t="s">
        <v>18</v>
      </c>
      <c r="E3425" s="5">
        <v>-27920</v>
      </c>
      <c r="F3425" s="3" t="s">
        <v>1334</v>
      </c>
      <c r="G3425" s="3" t="s">
        <v>27</v>
      </c>
      <c r="H3425" s="2" t="s">
        <v>21</v>
      </c>
      <c r="I3425" s="2" t="s">
        <v>7097</v>
      </c>
      <c r="J3425" s="3" t="str">
        <f>HYPERLINK("https://www.boe.es/gazeta/dias/1823/07/22/pdfs/GMD-1823-443.pdf#page=2","Abrir facsímil")</f>
        <v>Abrir facsímil</v>
      </c>
      <c r="K3425" s="3" t="s">
        <v>23</v>
      </c>
    </row>
    <row r="3426" spans="1:11" ht="42" customHeight="1">
      <c r="A3426" s="2" t="s">
        <v>7098</v>
      </c>
      <c r="B3426" s="2" t="s">
        <v>7098</v>
      </c>
      <c r="C3426" s="2" t="s">
        <v>79</v>
      </c>
      <c r="D3426" s="2" t="s">
        <v>74</v>
      </c>
      <c r="E3426" s="5">
        <v>-27860</v>
      </c>
      <c r="F3426" s="3" t="s">
        <v>998</v>
      </c>
      <c r="G3426" s="3" t="s">
        <v>20</v>
      </c>
      <c r="H3426" s="2" t="s">
        <v>21</v>
      </c>
      <c r="I3426" s="2" t="s">
        <v>7099</v>
      </c>
      <c r="J3426" s="3" t="str">
        <f>HYPERLINK("https://www.boe.es/gazeta/dias/1823/09/20/pdfs/GMD-1823-813.pdf#page=4","Abrir facsímil")</f>
        <v>Abrir facsímil</v>
      </c>
      <c r="K3426" s="3" t="s">
        <v>23</v>
      </c>
    </row>
    <row r="3427" spans="1:11" ht="42" customHeight="1">
      <c r="A3427" s="2" t="s">
        <v>7100</v>
      </c>
      <c r="B3427" s="2" t="s">
        <v>7101</v>
      </c>
      <c r="C3427" s="2" t="s">
        <v>17</v>
      </c>
      <c r="D3427" s="2" t="s">
        <v>18</v>
      </c>
      <c r="E3427" s="5">
        <v>-28021</v>
      </c>
      <c r="F3427" s="3" t="s">
        <v>2669</v>
      </c>
      <c r="G3427" s="3" t="s">
        <v>27</v>
      </c>
      <c r="H3427" s="2" t="s">
        <v>21</v>
      </c>
      <c r="I3427" s="2" t="s">
        <v>7102</v>
      </c>
      <c r="J3427" s="3" t="str">
        <f>HYPERLINK("https://www.boe.es/gazeta/dias/1823/04/12/pdfs/GES-1823-2.pdf#page=2","Abrir facsímil")</f>
        <v>Abrir facsímil</v>
      </c>
      <c r="K3427" s="3" t="s">
        <v>23</v>
      </c>
    </row>
    <row r="3428" spans="1:11" ht="42" customHeight="1">
      <c r="A3428" s="2" t="s">
        <v>7103</v>
      </c>
      <c r="B3428" s="2" t="s">
        <v>7104</v>
      </c>
      <c r="C3428" s="2" t="s">
        <v>17</v>
      </c>
      <c r="D3428" s="2" t="s">
        <v>18</v>
      </c>
      <c r="E3428" s="5">
        <v>-28017</v>
      </c>
      <c r="F3428" s="3" t="s">
        <v>2912</v>
      </c>
      <c r="G3428" s="3" t="s">
        <v>20</v>
      </c>
      <c r="H3428" s="2" t="s">
        <v>21</v>
      </c>
      <c r="I3428" s="2" t="s">
        <v>7105</v>
      </c>
      <c r="J3428" s="3" t="str">
        <f>HYPERLINK("https://www.boe.es/gazeta/dias/1823/04/16/pdfs/GES-1823-6.pdf#page=4","Abrir facsímil")</f>
        <v>Abrir facsímil</v>
      </c>
      <c r="K3428" s="3" t="s">
        <v>23</v>
      </c>
    </row>
    <row r="3429" spans="1:11" ht="42" customHeight="1">
      <c r="A3429" s="2" t="s">
        <v>7103</v>
      </c>
      <c r="B3429" s="2" t="s">
        <v>7104</v>
      </c>
      <c r="C3429" s="2" t="s">
        <v>17</v>
      </c>
      <c r="D3429" s="2" t="s">
        <v>18</v>
      </c>
      <c r="E3429" s="5">
        <v>-27997</v>
      </c>
      <c r="F3429" s="3" t="s">
        <v>317</v>
      </c>
      <c r="G3429" s="3" t="s">
        <v>20</v>
      </c>
      <c r="H3429" s="2" t="s">
        <v>21</v>
      </c>
      <c r="I3429" s="2" t="s">
        <v>7106</v>
      </c>
      <c r="J3429" s="3" t="str">
        <f>HYPERLINK("https://www.boe.es/gazeta/dias/1823/05/06/pdfs/GES-1823-26.pdf#page=4","Abrir facsímil")</f>
        <v>Abrir facsímil</v>
      </c>
      <c r="K3429" s="3" t="s">
        <v>23</v>
      </c>
    </row>
    <row r="3430" spans="1:11" ht="42" customHeight="1">
      <c r="A3430" s="2" t="s">
        <v>7103</v>
      </c>
      <c r="B3430" s="2" t="s">
        <v>7104</v>
      </c>
      <c r="C3430" s="2" t="s">
        <v>17</v>
      </c>
      <c r="D3430" s="2" t="s">
        <v>18</v>
      </c>
      <c r="E3430" s="5">
        <v>-27990</v>
      </c>
      <c r="F3430" s="3" t="s">
        <v>1132</v>
      </c>
      <c r="G3430" s="3" t="s">
        <v>20</v>
      </c>
      <c r="H3430" s="2" t="s">
        <v>21</v>
      </c>
      <c r="I3430" s="2" t="s">
        <v>7107</v>
      </c>
      <c r="J3430" s="3" t="str">
        <f>HYPERLINK("https://www.boe.es/gazeta/dias/1823/05/13/pdfs/GES-1823-33.pdf#page=4","Abrir facsímil")</f>
        <v>Abrir facsímil</v>
      </c>
      <c r="K3430" s="3" t="s">
        <v>23</v>
      </c>
    </row>
    <row r="3431" spans="1:11" ht="42" customHeight="1">
      <c r="A3431" s="2" t="s">
        <v>7103</v>
      </c>
      <c r="B3431" s="2" t="s">
        <v>7104</v>
      </c>
      <c r="C3431" s="2" t="s">
        <v>17</v>
      </c>
      <c r="D3431" s="2" t="s">
        <v>18</v>
      </c>
      <c r="E3431" s="5">
        <v>-27988</v>
      </c>
      <c r="F3431" s="3" t="s">
        <v>692</v>
      </c>
      <c r="G3431" s="3" t="s">
        <v>48</v>
      </c>
      <c r="H3431" s="2" t="s">
        <v>21</v>
      </c>
      <c r="I3431" s="2" t="s">
        <v>7108</v>
      </c>
      <c r="J3431" s="3" t="str">
        <f>HYPERLINK("https://www.boe.es/gazeta/dias/1823/05/15/pdfs/GES-1823-35.pdf#page=3","Abrir facsímil")</f>
        <v>Abrir facsímil</v>
      </c>
      <c r="K3431" s="3" t="s">
        <v>23</v>
      </c>
    </row>
    <row r="3432" spans="1:11" ht="42" customHeight="1">
      <c r="A3432" s="2" t="s">
        <v>7109</v>
      </c>
      <c r="B3432" s="2" t="s">
        <v>7110</v>
      </c>
      <c r="C3432" s="2" t="s">
        <v>17</v>
      </c>
      <c r="D3432" s="2" t="s">
        <v>18</v>
      </c>
      <c r="E3432" s="5">
        <v>-27981</v>
      </c>
      <c r="F3432" s="3" t="s">
        <v>1521</v>
      </c>
      <c r="G3432" s="3" t="s">
        <v>48</v>
      </c>
      <c r="H3432" s="2" t="s">
        <v>21</v>
      </c>
      <c r="I3432" s="2" t="s">
        <v>7111</v>
      </c>
      <c r="J3432" s="3" t="str">
        <f>HYPERLINK("https://www.boe.es/gazeta/dias/1823/05/22/pdfs/GES-1823-43.pdf#page=3","Abrir facsímil")</f>
        <v>Abrir facsímil</v>
      </c>
      <c r="K3432" s="3" t="s">
        <v>23</v>
      </c>
    </row>
    <row r="3433" spans="1:11" ht="42" customHeight="1">
      <c r="A3433" s="2" t="s">
        <v>7109</v>
      </c>
      <c r="B3433" s="2" t="s">
        <v>7110</v>
      </c>
      <c r="C3433" s="2" t="s">
        <v>17</v>
      </c>
      <c r="D3433" s="2" t="s">
        <v>18</v>
      </c>
      <c r="E3433" s="5">
        <v>-27976</v>
      </c>
      <c r="F3433" s="3" t="s">
        <v>1156</v>
      </c>
      <c r="G3433" s="3" t="s">
        <v>7112</v>
      </c>
      <c r="H3433" s="2" t="s">
        <v>21</v>
      </c>
      <c r="I3433" s="2" t="s">
        <v>7113</v>
      </c>
      <c r="J3433" s="3" t="str">
        <f>HYPERLINK("https://www.boe.es/gazeta/dias/1823/05/27/pdfs/GES-1823-49.pdf#page=6","Abrir facsímil")</f>
        <v>Abrir facsímil</v>
      </c>
      <c r="K3433" s="3" t="s">
        <v>23</v>
      </c>
    </row>
    <row r="3434" spans="1:11" ht="42" customHeight="1">
      <c r="A3434" s="2" t="s">
        <v>7114</v>
      </c>
      <c r="B3434" s="2" t="s">
        <v>7115</v>
      </c>
      <c r="C3434" s="2" t="s">
        <v>17</v>
      </c>
      <c r="D3434" s="2" t="s">
        <v>18</v>
      </c>
      <c r="E3434" s="5">
        <v>-27910</v>
      </c>
      <c r="F3434" s="3" t="s">
        <v>38</v>
      </c>
      <c r="G3434" s="3" t="s">
        <v>39</v>
      </c>
      <c r="H3434" s="2" t="s">
        <v>21</v>
      </c>
      <c r="I3434" s="2" t="s">
        <v>7116</v>
      </c>
      <c r="J3434" s="3" t="str">
        <f>HYPERLINK("https://www.boe.es/gazeta/dias/1823/08/01/pdfs/GES-1823-113.pdf#page=1","Abrir facsímil")</f>
        <v>Abrir facsímil</v>
      </c>
      <c r="K3434" s="3" t="s">
        <v>23</v>
      </c>
    </row>
    <row r="3435" spans="1:11" ht="42" customHeight="1">
      <c r="A3435" s="2" t="s">
        <v>7117</v>
      </c>
      <c r="B3435" s="2" t="s">
        <v>7118</v>
      </c>
      <c r="C3435" s="2" t="s">
        <v>79</v>
      </c>
      <c r="D3435" s="2" t="s">
        <v>74</v>
      </c>
      <c r="E3435" s="5">
        <v>-27759</v>
      </c>
      <c r="F3435" s="3" t="s">
        <v>415</v>
      </c>
      <c r="G3435" s="3" t="s">
        <v>20</v>
      </c>
      <c r="H3435" s="2" t="s">
        <v>21</v>
      </c>
      <c r="I3435" s="2" t="s">
        <v>7119</v>
      </c>
      <c r="J3435" s="3" t="str">
        <f>HYPERLINK("https://www.boe.es/gazeta/dias/1823/12/30/pdfs/GMD-1823-1313.pdf#page=4","Abrir facsímil")</f>
        <v>Abrir facsímil</v>
      </c>
      <c r="K3435" s="3" t="s">
        <v>23</v>
      </c>
    </row>
    <row r="3436" spans="1:11" ht="42" customHeight="1">
      <c r="A3436" s="2" t="s">
        <v>7120</v>
      </c>
      <c r="B3436" s="2" t="s">
        <v>7121</v>
      </c>
      <c r="C3436" s="2" t="s">
        <v>17</v>
      </c>
      <c r="D3436" s="2" t="s">
        <v>18</v>
      </c>
      <c r="E3436" s="5">
        <v>-27783</v>
      </c>
      <c r="F3436" s="3" t="s">
        <v>941</v>
      </c>
      <c r="G3436" s="3" t="s">
        <v>20</v>
      </c>
      <c r="H3436" s="2" t="s">
        <v>21</v>
      </c>
      <c r="I3436" s="2" t="s">
        <v>7122</v>
      </c>
      <c r="J3436" s="3" t="str">
        <f>HYPERLINK("https://www.boe.es/gazeta/dias/1823/12/06/pdfs/GMD-1823-1213.pdf#page=4","Abrir facsímil")</f>
        <v>Abrir facsímil</v>
      </c>
      <c r="K3436" s="3" t="s">
        <v>23</v>
      </c>
    </row>
    <row r="3437" spans="1:11" ht="42" customHeight="1">
      <c r="A3437" s="2" t="s">
        <v>7123</v>
      </c>
      <c r="B3437" s="2" t="s">
        <v>7123</v>
      </c>
      <c r="C3437" s="2" t="s">
        <v>56</v>
      </c>
      <c r="D3437" s="2" t="s">
        <v>57</v>
      </c>
      <c r="E3437" s="5">
        <v>-28045</v>
      </c>
      <c r="F3437" s="3" t="s">
        <v>245</v>
      </c>
      <c r="G3437" s="3" t="s">
        <v>39</v>
      </c>
      <c r="H3437" s="2" t="s">
        <v>21</v>
      </c>
      <c r="I3437" s="2" t="s">
        <v>7124</v>
      </c>
      <c r="J3437" s="3" t="str">
        <f>HYPERLINK("https://www.boe.es/gazeta/dias/1823/03/19/pdfs/GMD-1823-82.pdf#page=1","Abrir facsímil")</f>
        <v>Abrir facsímil</v>
      </c>
      <c r="K3437" s="3" t="s">
        <v>23</v>
      </c>
    </row>
    <row r="3438" spans="1:11" ht="42" customHeight="1">
      <c r="A3438" s="2" t="s">
        <v>7125</v>
      </c>
      <c r="B3438" s="2" t="s">
        <v>7125</v>
      </c>
      <c r="C3438" s="2" t="s">
        <v>17</v>
      </c>
      <c r="D3438" s="2" t="s">
        <v>18</v>
      </c>
      <c r="E3438" s="5">
        <v>-28032</v>
      </c>
      <c r="F3438" s="3" t="s">
        <v>668</v>
      </c>
      <c r="G3438" s="3" t="s">
        <v>27</v>
      </c>
      <c r="H3438" s="2" t="s">
        <v>21</v>
      </c>
      <c r="I3438" s="2" t="s">
        <v>7126</v>
      </c>
      <c r="J3438" s="3" t="str">
        <f>HYPERLINK("https://www.boe.es/gazeta/dias/1823/04/01/pdfs/GMD-1823-95.pdf#page=2","Abrir facsímil")</f>
        <v>Abrir facsímil</v>
      </c>
      <c r="K3438" s="3" t="s">
        <v>23</v>
      </c>
    </row>
    <row r="3439" spans="1:11" ht="42" customHeight="1">
      <c r="A3439" s="2" t="s">
        <v>7127</v>
      </c>
      <c r="B3439" s="2" t="s">
        <v>7127</v>
      </c>
      <c r="C3439" s="2" t="s">
        <v>17</v>
      </c>
      <c r="D3439" s="2" t="s">
        <v>18</v>
      </c>
      <c r="E3439" s="5">
        <v>-27867</v>
      </c>
      <c r="F3439" s="3" t="s">
        <v>1585</v>
      </c>
      <c r="G3439" s="3" t="s">
        <v>39</v>
      </c>
      <c r="H3439" s="2" t="s">
        <v>21</v>
      </c>
      <c r="I3439" s="2" t="s">
        <v>7128</v>
      </c>
      <c r="J3439" s="3" t="str">
        <f>HYPERLINK("https://www.boe.es/gazeta/dias/1823/09/13/pdfs/GMD-1823-773.pdf#page=1","Abrir facsímil")</f>
        <v>Abrir facsímil</v>
      </c>
      <c r="K3439" s="3" t="s">
        <v>23</v>
      </c>
    </row>
    <row r="3440" spans="1:11" ht="42" customHeight="1">
      <c r="A3440" s="2" t="s">
        <v>7129</v>
      </c>
      <c r="B3440" s="2" t="s">
        <v>7129</v>
      </c>
      <c r="C3440" s="2" t="s">
        <v>17</v>
      </c>
      <c r="D3440" s="2" t="s">
        <v>18</v>
      </c>
      <c r="E3440" s="5">
        <v>-27918</v>
      </c>
      <c r="F3440" s="3" t="s">
        <v>218</v>
      </c>
      <c r="G3440" s="3" t="s">
        <v>20</v>
      </c>
      <c r="H3440" s="2" t="s">
        <v>21</v>
      </c>
      <c r="I3440" s="2" t="s">
        <v>7130</v>
      </c>
      <c r="J3440" s="3" t="str">
        <f>HYPERLINK("https://www.boe.es/gazeta/dias/1823/07/24/pdfs/GMD-1823-463.pdf#page=4","Abrir facsímil")</f>
        <v>Abrir facsímil</v>
      </c>
      <c r="K3440" s="3" t="s">
        <v>23</v>
      </c>
    </row>
    <row r="3441" spans="1:11" ht="42" customHeight="1">
      <c r="A3441" s="2" t="s">
        <v>7131</v>
      </c>
      <c r="B3441" s="2" t="s">
        <v>7131</v>
      </c>
      <c r="C3441" s="2" t="s">
        <v>17</v>
      </c>
      <c r="D3441" s="2" t="s">
        <v>18</v>
      </c>
      <c r="E3441" s="5">
        <v>-27960</v>
      </c>
      <c r="F3441" s="3" t="s">
        <v>682</v>
      </c>
      <c r="G3441" s="3" t="s">
        <v>815</v>
      </c>
      <c r="H3441" s="2" t="s">
        <v>21</v>
      </c>
      <c r="I3441" s="2" t="s">
        <v>7132</v>
      </c>
      <c r="J3441" s="3" t="str">
        <f>HYPERLINK("https://www.boe.es/gazeta/dias/1823/06/12/pdfs/GMD-1823-123.pdf#page=6","Abrir facsímil")</f>
        <v>Abrir facsímil</v>
      </c>
      <c r="K3441" s="3" t="s">
        <v>23</v>
      </c>
    </row>
    <row r="3442" spans="1:11" ht="42" customHeight="1">
      <c r="A3442" s="2" t="s">
        <v>7133</v>
      </c>
      <c r="B3442" s="2" t="s">
        <v>7133</v>
      </c>
      <c r="C3442" s="2" t="s">
        <v>17</v>
      </c>
      <c r="D3442" s="2" t="s">
        <v>18</v>
      </c>
      <c r="E3442" s="5">
        <v>-28006</v>
      </c>
      <c r="F3442" s="3" t="s">
        <v>183</v>
      </c>
      <c r="G3442" s="3" t="s">
        <v>39</v>
      </c>
      <c r="H3442" s="2" t="s">
        <v>21</v>
      </c>
      <c r="I3442" s="2" t="s">
        <v>7134</v>
      </c>
      <c r="J3442" s="3" t="str">
        <f>HYPERLINK("https://www.boe.es/gazeta/dias/1823/04/27/pdfs/GES-1823-17.pdf#page=1","Abrir facsímil")</f>
        <v>Abrir facsímil</v>
      </c>
      <c r="K3442" s="3" t="s">
        <v>23</v>
      </c>
    </row>
    <row r="3443" spans="1:11" ht="42" customHeight="1">
      <c r="A3443" s="2" t="s">
        <v>7135</v>
      </c>
      <c r="B3443" s="2" t="s">
        <v>7136</v>
      </c>
      <c r="C3443" s="2" t="s">
        <v>17</v>
      </c>
      <c r="D3443" s="2" t="s">
        <v>18</v>
      </c>
      <c r="E3443" s="5">
        <v>-27839</v>
      </c>
      <c r="F3443" s="3" t="s">
        <v>263</v>
      </c>
      <c r="G3443" s="3" t="s">
        <v>39</v>
      </c>
      <c r="H3443" s="2" t="s">
        <v>21</v>
      </c>
      <c r="I3443" s="2" t="s">
        <v>7137</v>
      </c>
      <c r="J3443" s="3" t="str">
        <f>HYPERLINK("https://www.boe.es/gazeta/dias/1823/10/11/pdfs/GMD-1823-963.pdf#page=1","Abrir facsímil")</f>
        <v>Abrir facsímil</v>
      </c>
      <c r="K3443" s="3" t="s">
        <v>23</v>
      </c>
    </row>
    <row r="3444" spans="1:11" ht="42" customHeight="1">
      <c r="A3444" s="2" t="s">
        <v>7138</v>
      </c>
      <c r="B3444" s="2" t="s">
        <v>7138</v>
      </c>
      <c r="C3444" s="2" t="s">
        <v>17</v>
      </c>
      <c r="D3444" s="2" t="s">
        <v>18</v>
      </c>
      <c r="E3444" s="5">
        <v>-28040</v>
      </c>
      <c r="F3444" s="3" t="s">
        <v>2971</v>
      </c>
      <c r="G3444" s="3" t="s">
        <v>48</v>
      </c>
      <c r="H3444" s="2" t="s">
        <v>21</v>
      </c>
      <c r="I3444" s="2" t="s">
        <v>7139</v>
      </c>
      <c r="J3444" s="3" t="str">
        <f>HYPERLINK("https://www.boe.es/gazeta/dias/1823/03/24/pdfs/GMD-1823-87.pdf#page=3","Abrir facsímil")</f>
        <v>Abrir facsímil</v>
      </c>
      <c r="K3444" s="3" t="s">
        <v>23</v>
      </c>
    </row>
    <row r="3445" spans="1:11" ht="42" customHeight="1">
      <c r="A3445" s="2" t="s">
        <v>7140</v>
      </c>
      <c r="B3445" s="2" t="s">
        <v>7141</v>
      </c>
      <c r="C3445" s="2" t="s">
        <v>109</v>
      </c>
      <c r="D3445" s="2" t="s">
        <v>74</v>
      </c>
      <c r="E3445" s="5">
        <v>-28107</v>
      </c>
      <c r="F3445" s="3" t="s">
        <v>278</v>
      </c>
      <c r="G3445" s="3" t="s">
        <v>20</v>
      </c>
      <c r="H3445" s="2" t="s">
        <v>21</v>
      </c>
      <c r="I3445" s="2" t="s">
        <v>7142</v>
      </c>
      <c r="J3445" s="3" t="str">
        <f>HYPERLINK("https://www.boe.es/gazeta/dias/1823/01/16/pdfs/GMD-1823-16.pdf#page=4","Abrir facsímil")</f>
        <v>Abrir facsímil</v>
      </c>
      <c r="K3445" s="3" t="s">
        <v>23</v>
      </c>
    </row>
    <row r="3446" spans="1:11" ht="42" customHeight="1">
      <c r="A3446" s="2" t="s">
        <v>7143</v>
      </c>
      <c r="B3446" s="2" t="s">
        <v>7144</v>
      </c>
      <c r="C3446" s="2" t="s">
        <v>56</v>
      </c>
      <c r="D3446" s="2" t="s">
        <v>57</v>
      </c>
      <c r="E3446" s="5">
        <v>-28083</v>
      </c>
      <c r="F3446" s="3" t="s">
        <v>291</v>
      </c>
      <c r="G3446" s="3" t="s">
        <v>59</v>
      </c>
      <c r="H3446" s="2" t="s">
        <v>21</v>
      </c>
      <c r="I3446" s="2" t="s">
        <v>7145</v>
      </c>
      <c r="J3446" s="3" t="str">
        <f>HYPERLINK("https://www.boe.es/gazeta/dias/1823/02/09/pdfs/GMD-1823-43.pdf#page=6","Abrir facsímil")</f>
        <v>Abrir facsímil</v>
      </c>
      <c r="K3446" s="3" t="s">
        <v>23</v>
      </c>
    </row>
    <row r="3447" spans="1:11" ht="42" customHeight="1">
      <c r="A3447" s="2" t="s">
        <v>7146</v>
      </c>
      <c r="B3447" s="2" t="s">
        <v>7146</v>
      </c>
      <c r="C3447" s="2" t="s">
        <v>79</v>
      </c>
      <c r="D3447" s="2" t="s">
        <v>74</v>
      </c>
      <c r="E3447" s="5">
        <v>-27883</v>
      </c>
      <c r="F3447" s="3" t="s">
        <v>2318</v>
      </c>
      <c r="G3447" s="3" t="s">
        <v>39</v>
      </c>
      <c r="H3447" s="2" t="s">
        <v>21</v>
      </c>
      <c r="I3447" s="2" t="s">
        <v>7147</v>
      </c>
      <c r="J3447" s="3" t="str">
        <f>HYPERLINK("https://www.boe.es/gazeta/dias/1823/08/28/pdfs/GMD-1823-663.pdf#page=1","Abrir facsímil")</f>
        <v>Abrir facsímil</v>
      </c>
      <c r="K3447" s="3" t="s">
        <v>23</v>
      </c>
    </row>
    <row r="3448" spans="1:11" ht="42" customHeight="1">
      <c r="A3448" s="2" t="s">
        <v>7148</v>
      </c>
      <c r="B3448" s="2" t="s">
        <v>7148</v>
      </c>
      <c r="C3448" s="2" t="s">
        <v>109</v>
      </c>
      <c r="D3448" s="2" t="s">
        <v>74</v>
      </c>
      <c r="E3448" s="5">
        <v>-27925</v>
      </c>
      <c r="F3448" s="3" t="s">
        <v>1744</v>
      </c>
      <c r="G3448" s="3" t="s">
        <v>20</v>
      </c>
      <c r="H3448" s="2" t="s">
        <v>21</v>
      </c>
      <c r="I3448" s="2" t="s">
        <v>7149</v>
      </c>
      <c r="J3448" s="3" t="str">
        <f>HYPERLINK("https://www.boe.es/gazeta/dias/1823/07/17/pdfs/GMD-1823-413.pdf#page=4","Abrir facsímil")</f>
        <v>Abrir facsímil</v>
      </c>
      <c r="K3448" s="3" t="s">
        <v>23</v>
      </c>
    </row>
    <row r="3449" spans="1:11" ht="42" customHeight="1">
      <c r="A3449" s="2" t="s">
        <v>7150</v>
      </c>
      <c r="B3449" s="2" t="s">
        <v>7150</v>
      </c>
      <c r="C3449" s="2" t="s">
        <v>109</v>
      </c>
      <c r="D3449" s="2" t="s">
        <v>74</v>
      </c>
      <c r="E3449" s="5">
        <v>-27931</v>
      </c>
      <c r="F3449" s="3" t="s">
        <v>1833</v>
      </c>
      <c r="G3449" s="3" t="s">
        <v>48</v>
      </c>
      <c r="H3449" s="2" t="s">
        <v>21</v>
      </c>
      <c r="I3449" s="2" t="s">
        <v>7151</v>
      </c>
      <c r="J3449" s="3" t="str">
        <f>HYPERLINK("https://www.boe.es/gazeta/dias/1823/07/11/pdfs/GES-1823-91.pdf#page=3","Abrir facsímil")</f>
        <v>Abrir facsímil</v>
      </c>
      <c r="K3449" s="3" t="s">
        <v>23</v>
      </c>
    </row>
    <row r="3450" spans="1:11" ht="42" customHeight="1">
      <c r="A3450" s="2" t="s">
        <v>7152</v>
      </c>
      <c r="B3450" s="2" t="s">
        <v>7152</v>
      </c>
      <c r="C3450" s="2" t="s">
        <v>17</v>
      </c>
      <c r="D3450" s="2" t="s">
        <v>18</v>
      </c>
      <c r="E3450" s="5">
        <v>-27985</v>
      </c>
      <c r="F3450" s="3" t="s">
        <v>951</v>
      </c>
      <c r="G3450" s="3" t="s">
        <v>39</v>
      </c>
      <c r="H3450" s="2" t="s">
        <v>21</v>
      </c>
      <c r="I3450" s="2" t="s">
        <v>7153</v>
      </c>
      <c r="J3450" s="3" t="str">
        <f>HYPERLINK("https://www.boe.es/gazeta/dias/1823/05/18/pdfs/GES-1823-38.pdf#page=1","Abrir facsímil")</f>
        <v>Abrir facsímil</v>
      </c>
      <c r="K3450" s="3" t="s">
        <v>23</v>
      </c>
    </row>
    <row r="3451" spans="1:11" ht="42" customHeight="1">
      <c r="A3451" s="2" t="s">
        <v>7154</v>
      </c>
      <c r="B3451" s="2" t="s">
        <v>7155</v>
      </c>
      <c r="C3451" s="2" t="s">
        <v>17</v>
      </c>
      <c r="D3451" s="2" t="s">
        <v>18</v>
      </c>
      <c r="E3451" s="5">
        <v>-27909</v>
      </c>
      <c r="F3451" s="3" t="s">
        <v>1525</v>
      </c>
      <c r="G3451" s="3" t="s">
        <v>48</v>
      </c>
      <c r="H3451" s="2" t="s">
        <v>21</v>
      </c>
      <c r="I3451" s="2" t="s">
        <v>7156</v>
      </c>
      <c r="J3451" s="3" t="str">
        <f>HYPERLINK("https://www.boe.es/gazeta/dias/1823/08/02/pdfs/GMD-1823-513.pdf#page=3","Abrir facsímil")</f>
        <v>Abrir facsímil</v>
      </c>
      <c r="K3451" s="3" t="s">
        <v>23</v>
      </c>
    </row>
    <row r="3452" spans="1:11" ht="42" customHeight="1">
      <c r="A3452" s="2" t="s">
        <v>7157</v>
      </c>
      <c r="B3452" s="2" t="s">
        <v>7158</v>
      </c>
      <c r="C3452" s="2" t="s">
        <v>17</v>
      </c>
      <c r="D3452" s="2" t="s">
        <v>18</v>
      </c>
      <c r="E3452" s="5">
        <v>-28038</v>
      </c>
      <c r="F3452" s="3" t="s">
        <v>2379</v>
      </c>
      <c r="G3452" s="3" t="s">
        <v>20</v>
      </c>
      <c r="H3452" s="2" t="s">
        <v>21</v>
      </c>
      <c r="I3452" s="2" t="s">
        <v>7159</v>
      </c>
      <c r="J3452" s="3" t="str">
        <f>HYPERLINK("https://www.boe.es/gazeta/dias/1823/03/26/pdfs/GMD-1823-89.pdf#page=4","Abrir facsímil")</f>
        <v>Abrir facsímil</v>
      </c>
      <c r="K3452" s="3" t="s">
        <v>23</v>
      </c>
    </row>
    <row r="3453" spans="1:11" ht="42" customHeight="1">
      <c r="A3453" s="2" t="s">
        <v>7160</v>
      </c>
      <c r="B3453" s="2" t="s">
        <v>7161</v>
      </c>
      <c r="C3453" s="2" t="s">
        <v>17</v>
      </c>
      <c r="D3453" s="2" t="s">
        <v>18</v>
      </c>
      <c r="E3453" s="5">
        <v>-27778</v>
      </c>
      <c r="F3453" s="3" t="s">
        <v>1343</v>
      </c>
      <c r="G3453" s="3" t="s">
        <v>27</v>
      </c>
      <c r="H3453" s="2" t="s">
        <v>21</v>
      </c>
      <c r="I3453" s="2" t="s">
        <v>7162</v>
      </c>
      <c r="J3453" s="3" t="str">
        <f>HYPERLINK("https://www.boe.es/gazeta/dias/1823/12/11/pdfs/GMD-1823-1233.pdf#page=2","Abrir facsímil")</f>
        <v>Abrir facsímil</v>
      </c>
      <c r="K3453" s="3" t="s">
        <v>23</v>
      </c>
    </row>
    <row r="3454" spans="1:11" ht="42" customHeight="1">
      <c r="A3454" s="2" t="s">
        <v>7163</v>
      </c>
      <c r="B3454" s="2" t="s">
        <v>7164</v>
      </c>
      <c r="C3454" s="2" t="s">
        <v>84</v>
      </c>
      <c r="D3454" s="2" t="s">
        <v>74</v>
      </c>
      <c r="E3454" s="5">
        <v>-27787</v>
      </c>
      <c r="F3454" s="3" t="s">
        <v>865</v>
      </c>
      <c r="G3454" s="3" t="s">
        <v>39</v>
      </c>
      <c r="H3454" s="2" t="s">
        <v>21</v>
      </c>
      <c r="I3454" s="2" t="s">
        <v>7165</v>
      </c>
      <c r="J3454" s="3" t="str">
        <f>HYPERLINK("https://www.boe.es/gazeta/dias/1823/12/02/pdfs/GMD-1823-1193.pdf#page=1","Abrir facsímil")</f>
        <v>Abrir facsímil</v>
      </c>
      <c r="K3454" s="3" t="s">
        <v>23</v>
      </c>
    </row>
    <row r="3455" spans="1:11" ht="42" customHeight="1">
      <c r="A3455" s="2" t="s">
        <v>7166</v>
      </c>
      <c r="B3455" s="2" t="s">
        <v>7167</v>
      </c>
      <c r="C3455" s="2" t="s">
        <v>17</v>
      </c>
      <c r="D3455" s="2" t="s">
        <v>18</v>
      </c>
      <c r="E3455" s="5">
        <v>-28017</v>
      </c>
      <c r="F3455" s="3" t="s">
        <v>2912</v>
      </c>
      <c r="G3455" s="3" t="s">
        <v>39</v>
      </c>
      <c r="H3455" s="2" t="s">
        <v>21</v>
      </c>
      <c r="I3455" s="2" t="s">
        <v>7168</v>
      </c>
      <c r="J3455" s="3" t="str">
        <f>HYPERLINK("https://www.boe.es/gazeta/dias/1823/04/16/pdfs/GES-1823-6.pdf#page=1","Abrir facsímil")</f>
        <v>Abrir facsímil</v>
      </c>
      <c r="K3455" s="3" t="s">
        <v>23</v>
      </c>
    </row>
    <row r="3456" spans="1:11" ht="42" customHeight="1">
      <c r="A3456" s="2" t="s">
        <v>7169</v>
      </c>
      <c r="B3456" s="2" t="s">
        <v>7170</v>
      </c>
      <c r="C3456" s="2" t="s">
        <v>17</v>
      </c>
      <c r="D3456" s="2" t="s">
        <v>18</v>
      </c>
      <c r="E3456" s="5">
        <v>-28058</v>
      </c>
      <c r="F3456" s="3" t="s">
        <v>1282</v>
      </c>
      <c r="G3456" s="3" t="s">
        <v>59</v>
      </c>
      <c r="H3456" s="2" t="s">
        <v>21</v>
      </c>
      <c r="I3456" s="2" t="s">
        <v>7171</v>
      </c>
      <c r="J3456" s="3" t="str">
        <f>HYPERLINK("https://www.boe.es/gazeta/dias/1823/03/06/pdfs/GMD-1823-69.pdf#page=6","Abrir facsímil")</f>
        <v>Abrir facsímil</v>
      </c>
      <c r="K3456" s="3" t="s">
        <v>23</v>
      </c>
    </row>
    <row r="3457" spans="1:11" ht="42" customHeight="1">
      <c r="A3457" s="2" t="s">
        <v>7172</v>
      </c>
      <c r="B3457" s="2" t="s">
        <v>7172</v>
      </c>
      <c r="C3457" s="2" t="s">
        <v>17</v>
      </c>
      <c r="D3457" s="2" t="s">
        <v>18</v>
      </c>
      <c r="E3457" s="5">
        <v>-28009</v>
      </c>
      <c r="F3457" s="3" t="s">
        <v>212</v>
      </c>
      <c r="G3457" s="3" t="s">
        <v>48</v>
      </c>
      <c r="H3457" s="2" t="s">
        <v>21</v>
      </c>
      <c r="I3457" s="2" t="s">
        <v>7173</v>
      </c>
      <c r="J3457" s="3" t="str">
        <f>HYPERLINK("https://www.boe.es/gazeta/dias/1823/04/24/pdfs/GMD-1823-52.pdf#page=3","Abrir facsímil")</f>
        <v>Abrir facsímil</v>
      </c>
      <c r="K3457" s="3" t="s">
        <v>23</v>
      </c>
    </row>
    <row r="3458" spans="1:11" ht="42" customHeight="1">
      <c r="A3458" s="2" t="s">
        <v>7174</v>
      </c>
      <c r="B3458" s="2" t="s">
        <v>7174</v>
      </c>
      <c r="C3458" s="2" t="s">
        <v>17</v>
      </c>
      <c r="D3458" s="2" t="s">
        <v>18</v>
      </c>
      <c r="E3458" s="5">
        <v>-28091</v>
      </c>
      <c r="F3458" s="3" t="s">
        <v>1047</v>
      </c>
      <c r="G3458" s="3" t="s">
        <v>27</v>
      </c>
      <c r="H3458" s="2" t="s">
        <v>21</v>
      </c>
      <c r="I3458" s="2" t="s">
        <v>7175</v>
      </c>
      <c r="J3458" s="3" t="str">
        <f>HYPERLINK("https://www.boe.es/gazeta/dias/1823/02/01/pdfs/GMD-1823-34.pdf#page=2","Abrir facsímil")</f>
        <v>Abrir facsímil</v>
      </c>
      <c r="K3458" s="3" t="s">
        <v>23</v>
      </c>
    </row>
    <row r="3459" spans="1:11" ht="42" customHeight="1">
      <c r="A3459" s="2" t="s">
        <v>7174</v>
      </c>
      <c r="B3459" s="2" t="s">
        <v>7174</v>
      </c>
      <c r="C3459" s="2" t="s">
        <v>17</v>
      </c>
      <c r="D3459" s="2" t="s">
        <v>18</v>
      </c>
      <c r="E3459" s="5">
        <v>-28037</v>
      </c>
      <c r="F3459" s="3" t="s">
        <v>192</v>
      </c>
      <c r="G3459" s="3" t="s">
        <v>20</v>
      </c>
      <c r="H3459" s="2" t="s">
        <v>21</v>
      </c>
      <c r="I3459" s="2" t="s">
        <v>7176</v>
      </c>
      <c r="J3459" s="3" t="str">
        <f>HYPERLINK("https://www.boe.es/gazeta/dias/1823/03/27/pdfs/GMD-1823-90.pdf#page=4","Abrir facsímil")</f>
        <v>Abrir facsímil</v>
      </c>
      <c r="K3459" s="3" t="s">
        <v>23</v>
      </c>
    </row>
    <row r="3460" spans="1:11" ht="42" customHeight="1">
      <c r="A3460" s="2" t="s">
        <v>7174</v>
      </c>
      <c r="B3460" s="2" t="s">
        <v>7174</v>
      </c>
      <c r="C3460" s="2" t="s">
        <v>17</v>
      </c>
      <c r="D3460" s="2" t="s">
        <v>18</v>
      </c>
      <c r="E3460" s="5">
        <v>-28036</v>
      </c>
      <c r="F3460" s="3" t="s">
        <v>2216</v>
      </c>
      <c r="G3460" s="3" t="s">
        <v>20</v>
      </c>
      <c r="H3460" s="2" t="s">
        <v>21</v>
      </c>
      <c r="I3460" s="2" t="s">
        <v>7177</v>
      </c>
      <c r="J3460" s="3" t="str">
        <f>HYPERLINK("https://www.boe.es/gazeta/dias/1823/03/28/pdfs/GMD-1823-91.pdf#page=4","Abrir facsímil")</f>
        <v>Abrir facsímil</v>
      </c>
      <c r="K3460" s="3" t="s">
        <v>23</v>
      </c>
    </row>
    <row r="3461" spans="1:11" ht="42" customHeight="1">
      <c r="A3461" s="2" t="s">
        <v>7174</v>
      </c>
      <c r="B3461" s="2" t="s">
        <v>7174</v>
      </c>
      <c r="C3461" s="2" t="s">
        <v>17</v>
      </c>
      <c r="D3461" s="2" t="s">
        <v>18</v>
      </c>
      <c r="E3461" s="5">
        <v>-28035</v>
      </c>
      <c r="F3461" s="3" t="s">
        <v>138</v>
      </c>
      <c r="G3461" s="3" t="s">
        <v>20</v>
      </c>
      <c r="H3461" s="2" t="s">
        <v>21</v>
      </c>
      <c r="I3461" s="2" t="s">
        <v>7178</v>
      </c>
      <c r="J3461" s="3" t="str">
        <f>HYPERLINK("https://www.boe.es/gazeta/dias/1823/03/29/pdfs/GMD-1823-92.pdf#page=4","Abrir facsímil")</f>
        <v>Abrir facsímil</v>
      </c>
      <c r="K3461" s="3" t="s">
        <v>23</v>
      </c>
    </row>
    <row r="3462" spans="1:11" ht="42" customHeight="1">
      <c r="A3462" s="2" t="s">
        <v>7174</v>
      </c>
      <c r="B3462" s="2" t="s">
        <v>7174</v>
      </c>
      <c r="C3462" s="2" t="s">
        <v>17</v>
      </c>
      <c r="D3462" s="2" t="s">
        <v>18</v>
      </c>
      <c r="E3462" s="5">
        <v>-28033</v>
      </c>
      <c r="F3462" s="3" t="s">
        <v>1372</v>
      </c>
      <c r="G3462" s="3" t="s">
        <v>20</v>
      </c>
      <c r="H3462" s="2" t="s">
        <v>21</v>
      </c>
      <c r="I3462" s="2" t="s">
        <v>7179</v>
      </c>
      <c r="J3462" s="3" t="str">
        <f>HYPERLINK("https://www.boe.es/gazeta/dias/1823/03/31/pdfs/GMD-1823-94.pdf#page=4","Abrir facsímil")</f>
        <v>Abrir facsímil</v>
      </c>
      <c r="K3462" s="3" t="s">
        <v>23</v>
      </c>
    </row>
    <row r="3463" spans="1:11" ht="42" customHeight="1">
      <c r="A3463" s="2" t="s">
        <v>7174</v>
      </c>
      <c r="B3463" s="2" t="s">
        <v>7174</v>
      </c>
      <c r="C3463" s="2" t="s">
        <v>17</v>
      </c>
      <c r="D3463" s="2" t="s">
        <v>18</v>
      </c>
      <c r="E3463" s="5">
        <v>-28015</v>
      </c>
      <c r="F3463" s="3" t="s">
        <v>985</v>
      </c>
      <c r="G3463" s="3" t="s">
        <v>27</v>
      </c>
      <c r="H3463" s="2" t="s">
        <v>21</v>
      </c>
      <c r="I3463" s="2" t="s">
        <v>7180</v>
      </c>
      <c r="J3463" s="3" t="str">
        <f>HYPERLINK("https://www.boe.es/gazeta/dias/1823/04/18/pdfs/GES-1823-8.pdf#page=2","Abrir facsímil")</f>
        <v>Abrir facsímil</v>
      </c>
      <c r="K3463" s="3" t="s">
        <v>23</v>
      </c>
    </row>
    <row r="3464" spans="1:11" ht="42" customHeight="1">
      <c r="A3464" s="2" t="s">
        <v>7181</v>
      </c>
      <c r="B3464" s="2" t="s">
        <v>7182</v>
      </c>
      <c r="C3464" s="2" t="s">
        <v>17</v>
      </c>
      <c r="D3464" s="2" t="s">
        <v>18</v>
      </c>
      <c r="E3464" s="5">
        <v>-28035</v>
      </c>
      <c r="F3464" s="3" t="s">
        <v>138</v>
      </c>
      <c r="G3464" s="3" t="s">
        <v>20</v>
      </c>
      <c r="H3464" s="2" t="s">
        <v>21</v>
      </c>
      <c r="I3464" s="2" t="s">
        <v>7183</v>
      </c>
      <c r="J3464" s="3" t="str">
        <f>HYPERLINK("https://www.boe.es/gazeta/dias/1823/03/29/pdfs/GMD-1823-92.pdf#page=4","Abrir facsímil")</f>
        <v>Abrir facsímil</v>
      </c>
      <c r="K3464" s="3" t="s">
        <v>23</v>
      </c>
    </row>
    <row r="3465" spans="1:11" ht="42" customHeight="1">
      <c r="A3465" s="2" t="s">
        <v>7184</v>
      </c>
      <c r="B3465" s="2" t="s">
        <v>7185</v>
      </c>
      <c r="C3465" s="2" t="s">
        <v>17</v>
      </c>
      <c r="D3465" s="2" t="s">
        <v>18</v>
      </c>
      <c r="E3465" s="5">
        <v>-27939</v>
      </c>
      <c r="F3465" s="3" t="s">
        <v>1403</v>
      </c>
      <c r="G3465" s="3" t="s">
        <v>715</v>
      </c>
      <c r="H3465" s="2" t="s">
        <v>21</v>
      </c>
      <c r="I3465" s="2" t="s">
        <v>7186</v>
      </c>
      <c r="J3465" s="3" t="str">
        <f>HYPERLINK("https://www.boe.es/gazeta/dias/1823/07/03/pdfs/GMD-1823-333.pdf#page=8","Abrir facsímil")</f>
        <v>Abrir facsímil</v>
      </c>
      <c r="K3465" s="3" t="s">
        <v>23</v>
      </c>
    </row>
    <row r="3466" spans="1:11" ht="42" customHeight="1">
      <c r="A3466" s="2" t="s">
        <v>7187</v>
      </c>
      <c r="B3466" s="2" t="s">
        <v>7188</v>
      </c>
      <c r="C3466" s="2" t="s">
        <v>17</v>
      </c>
      <c r="D3466" s="2" t="s">
        <v>18</v>
      </c>
      <c r="E3466" s="5">
        <v>-28086</v>
      </c>
      <c r="F3466" s="3" t="s">
        <v>289</v>
      </c>
      <c r="G3466" s="3" t="s">
        <v>20</v>
      </c>
      <c r="H3466" s="2" t="s">
        <v>21</v>
      </c>
      <c r="I3466" s="2" t="s">
        <v>7189</v>
      </c>
      <c r="J3466" s="3" t="str">
        <f>HYPERLINK("https://www.boe.es/gazeta/dias/1823/02/06/pdfs/GMD-1823-39.pdf#page=4","Abrir facsímil")</f>
        <v>Abrir facsímil</v>
      </c>
      <c r="K3466" s="3" t="s">
        <v>23</v>
      </c>
    </row>
    <row r="3467" spans="1:11" ht="42" customHeight="1">
      <c r="A3467" s="2" t="s">
        <v>7190</v>
      </c>
      <c r="B3467" s="2" t="s">
        <v>7190</v>
      </c>
      <c r="C3467" s="2" t="s">
        <v>17</v>
      </c>
      <c r="D3467" s="2" t="s">
        <v>18</v>
      </c>
      <c r="E3467" s="5">
        <v>-28091</v>
      </c>
      <c r="F3467" s="3" t="s">
        <v>1047</v>
      </c>
      <c r="G3467" s="3" t="s">
        <v>39</v>
      </c>
      <c r="H3467" s="2" t="s">
        <v>21</v>
      </c>
      <c r="I3467" s="2" t="s">
        <v>7191</v>
      </c>
      <c r="J3467" s="3" t="str">
        <f>HYPERLINK("https://www.boe.es/gazeta/dias/1823/02/01/pdfs/GMD-1823-34.pdf#page=1","Abrir facsímil")</f>
        <v>Abrir facsímil</v>
      </c>
      <c r="K3467" s="3" t="s">
        <v>23</v>
      </c>
    </row>
    <row r="3468" spans="1:11" ht="42" customHeight="1">
      <c r="A3468" s="2" t="s">
        <v>7192</v>
      </c>
      <c r="B3468" s="2" t="s">
        <v>7193</v>
      </c>
      <c r="C3468" s="2" t="s">
        <v>17</v>
      </c>
      <c r="D3468" s="2" t="s">
        <v>18</v>
      </c>
      <c r="E3468" s="5">
        <v>-28063</v>
      </c>
      <c r="F3468" s="3" t="s">
        <v>2493</v>
      </c>
      <c r="G3468" s="3" t="s">
        <v>20</v>
      </c>
      <c r="H3468" s="2" t="s">
        <v>21</v>
      </c>
      <c r="I3468" s="2" t="s">
        <v>7194</v>
      </c>
      <c r="J3468" s="3" t="str">
        <f>HYPERLINK("https://www.boe.es/gazeta/dias/1823/03/01/pdfs/GMD-1823-63.pdf#page=4","Abrir facsímil")</f>
        <v>Abrir facsímil</v>
      </c>
      <c r="K3468" s="3" t="s">
        <v>23</v>
      </c>
    </row>
    <row r="3469" spans="1:11" ht="42" customHeight="1">
      <c r="A3469" s="2" t="s">
        <v>7195</v>
      </c>
      <c r="B3469" s="2" t="s">
        <v>7195</v>
      </c>
      <c r="C3469" s="2" t="s">
        <v>17</v>
      </c>
      <c r="D3469" s="2" t="s">
        <v>18</v>
      </c>
      <c r="E3469" s="5">
        <v>-28071</v>
      </c>
      <c r="F3469" s="3" t="s">
        <v>587</v>
      </c>
      <c r="G3469" s="3" t="s">
        <v>48</v>
      </c>
      <c r="H3469" s="2" t="s">
        <v>21</v>
      </c>
      <c r="I3469" s="2" t="s">
        <v>7196</v>
      </c>
      <c r="J3469" s="3" t="str">
        <f>HYPERLINK("https://www.boe.es/gazeta/dias/1823/02/21/pdfs/GMD-1823-55.pdf#page=3","Abrir facsímil")</f>
        <v>Abrir facsímil</v>
      </c>
      <c r="K3469" s="3" t="s">
        <v>23</v>
      </c>
    </row>
    <row r="3470" spans="1:11" ht="42" customHeight="1">
      <c r="A3470" s="2" t="s">
        <v>7197</v>
      </c>
      <c r="B3470" s="2" t="s">
        <v>7198</v>
      </c>
      <c r="C3470" s="2" t="s">
        <v>17</v>
      </c>
      <c r="D3470" s="2" t="s">
        <v>18</v>
      </c>
      <c r="E3470" s="5">
        <v>-27759</v>
      </c>
      <c r="F3470" s="3" t="s">
        <v>415</v>
      </c>
      <c r="G3470" s="3" t="s">
        <v>48</v>
      </c>
      <c r="H3470" s="2" t="s">
        <v>21</v>
      </c>
      <c r="I3470" s="2" t="s">
        <v>7199</v>
      </c>
      <c r="J3470" s="3" t="str">
        <f>HYPERLINK("https://www.boe.es/gazeta/dias/1823/12/30/pdfs/GMD-1823-1313.pdf#page=3","Abrir facsímil")</f>
        <v>Abrir facsímil</v>
      </c>
      <c r="K3470" s="3" t="s">
        <v>23</v>
      </c>
    </row>
    <row r="3471" spans="1:11" ht="42" customHeight="1">
      <c r="A3471" s="2" t="s">
        <v>7200</v>
      </c>
      <c r="B3471" s="2" t="s">
        <v>7201</v>
      </c>
      <c r="C3471" s="2" t="s">
        <v>17</v>
      </c>
      <c r="D3471" s="2" t="s">
        <v>18</v>
      </c>
      <c r="E3471" s="5">
        <v>-28046</v>
      </c>
      <c r="F3471" s="3" t="s">
        <v>85</v>
      </c>
      <c r="G3471" s="3" t="s">
        <v>20</v>
      </c>
      <c r="H3471" s="2" t="s">
        <v>21</v>
      </c>
      <c r="I3471" s="2" t="s">
        <v>7202</v>
      </c>
      <c r="J3471" s="3" t="str">
        <f>HYPERLINK("https://www.boe.es/gazeta/dias/1823/03/18/pdfs/GMD-1823-81.pdf#page=4","Abrir facsímil")</f>
        <v>Abrir facsímil</v>
      </c>
      <c r="K3471" s="3" t="s">
        <v>23</v>
      </c>
    </row>
    <row r="3472" spans="1:11" ht="42" customHeight="1">
      <c r="A3472" s="2" t="s">
        <v>7203</v>
      </c>
      <c r="B3472" s="2" t="s">
        <v>7203</v>
      </c>
      <c r="C3472" s="2" t="s">
        <v>17</v>
      </c>
      <c r="D3472" s="2" t="s">
        <v>18</v>
      </c>
      <c r="E3472" s="5">
        <v>-27868</v>
      </c>
      <c r="F3472" s="3" t="s">
        <v>2166</v>
      </c>
      <c r="G3472" s="3" t="s">
        <v>39</v>
      </c>
      <c r="H3472" s="2" t="s">
        <v>21</v>
      </c>
      <c r="I3472" s="2" t="s">
        <v>7204</v>
      </c>
      <c r="J3472" s="3" t="str">
        <f>HYPERLINK("https://www.boe.es/gazeta/dias/1823/09/12/pdfs/GES-1823-156.pdf#page=1","Abrir facsímil")</f>
        <v>Abrir facsímil</v>
      </c>
      <c r="K3472" s="3" t="s">
        <v>23</v>
      </c>
    </row>
    <row r="3473" spans="1:11" ht="42" customHeight="1">
      <c r="A3473" s="2" t="s">
        <v>7205</v>
      </c>
      <c r="B3473" s="2" t="s">
        <v>7206</v>
      </c>
      <c r="C3473" s="2" t="s">
        <v>56</v>
      </c>
      <c r="D3473" s="2" t="s">
        <v>57</v>
      </c>
      <c r="E3473" s="5">
        <v>-27967</v>
      </c>
      <c r="F3473" s="3" t="s">
        <v>412</v>
      </c>
      <c r="G3473" s="3" t="s">
        <v>27</v>
      </c>
      <c r="H3473" s="2" t="s">
        <v>21</v>
      </c>
      <c r="I3473" s="2" t="s">
        <v>7207</v>
      </c>
      <c r="J3473" s="3" t="str">
        <f>HYPERLINK("https://www.boe.es/gazeta/dias/1823/06/05/pdfs/GES-1823-59.pdf#page=2","Abrir facsímil")</f>
        <v>Abrir facsímil</v>
      </c>
      <c r="K3473" s="3" t="s">
        <v>23</v>
      </c>
    </row>
    <row r="3474" spans="1:11" ht="42" customHeight="1">
      <c r="A3474" s="2" t="s">
        <v>7208</v>
      </c>
      <c r="B3474" s="2" t="s">
        <v>7209</v>
      </c>
      <c r="C3474" s="2" t="s">
        <v>17</v>
      </c>
      <c r="D3474" s="2" t="s">
        <v>18</v>
      </c>
      <c r="E3474" s="5">
        <v>-27868</v>
      </c>
      <c r="F3474" s="3" t="s">
        <v>2166</v>
      </c>
      <c r="G3474" s="3" t="s">
        <v>39</v>
      </c>
      <c r="H3474" s="2" t="s">
        <v>21</v>
      </c>
      <c r="I3474" s="2" t="s">
        <v>7210</v>
      </c>
      <c r="J3474" s="3" t="str">
        <f>HYPERLINK("https://www.boe.es/gazeta/dias/1823/09/12/pdfs/GES-1823-156.pdf#page=1","Abrir facsímil")</f>
        <v>Abrir facsímil</v>
      </c>
      <c r="K3474" s="3" t="s">
        <v>23</v>
      </c>
    </row>
    <row r="3475" spans="1:11" ht="42" customHeight="1">
      <c r="A3475" s="2" t="s">
        <v>7211</v>
      </c>
      <c r="B3475" s="2" t="s">
        <v>7212</v>
      </c>
      <c r="C3475" s="2" t="s">
        <v>17</v>
      </c>
      <c r="D3475" s="2" t="s">
        <v>18</v>
      </c>
      <c r="E3475" s="5">
        <v>-27861</v>
      </c>
      <c r="F3475" s="3" t="s">
        <v>425</v>
      </c>
      <c r="G3475" s="3" t="s">
        <v>39</v>
      </c>
      <c r="H3475" s="2" t="s">
        <v>21</v>
      </c>
      <c r="I3475" s="2" t="s">
        <v>7213</v>
      </c>
      <c r="J3475" s="3" t="str">
        <f>HYPERLINK("https://www.boe.es/gazeta/dias/1823/09/19/pdfs/GES-1823-163.pdf#page=1","Abrir facsímil")</f>
        <v>Abrir facsímil</v>
      </c>
      <c r="K3475" s="3" t="s">
        <v>23</v>
      </c>
    </row>
    <row r="3476" spans="1:11" ht="42" customHeight="1">
      <c r="A3476" s="2" t="s">
        <v>7214</v>
      </c>
      <c r="B3476" s="2" t="s">
        <v>7215</v>
      </c>
      <c r="C3476" s="2" t="s">
        <v>17</v>
      </c>
      <c r="D3476" s="2" t="s">
        <v>18</v>
      </c>
      <c r="E3476" s="5">
        <v>-28080</v>
      </c>
      <c r="F3476" s="3" t="s">
        <v>1010</v>
      </c>
      <c r="G3476" s="3" t="s">
        <v>1382</v>
      </c>
      <c r="H3476" s="2" t="s">
        <v>21</v>
      </c>
      <c r="I3476" s="2" t="s">
        <v>7216</v>
      </c>
      <c r="J3476" s="3" t="str">
        <f>HYPERLINK("https://www.boe.es/gazeta/dias/1823/02/12/pdfs/GMD-1823-46.pdf#page=4","Abrir facsímil")</f>
        <v>Abrir facsímil</v>
      </c>
      <c r="K3476" s="3" t="s">
        <v>23</v>
      </c>
    </row>
    <row r="3477" spans="1:11" ht="42" customHeight="1">
      <c r="A3477" s="2" t="s">
        <v>7217</v>
      </c>
      <c r="B3477" s="2" t="s">
        <v>7218</v>
      </c>
      <c r="C3477" s="2" t="s">
        <v>17</v>
      </c>
      <c r="D3477" s="2" t="s">
        <v>18</v>
      </c>
      <c r="E3477" s="5">
        <v>-28042</v>
      </c>
      <c r="F3477" s="3" t="s">
        <v>1218</v>
      </c>
      <c r="G3477" s="3" t="s">
        <v>20</v>
      </c>
      <c r="H3477" s="2" t="s">
        <v>21</v>
      </c>
      <c r="I3477" s="2" t="s">
        <v>7219</v>
      </c>
      <c r="J3477" s="3" t="str">
        <f>HYPERLINK("https://www.boe.es/gazeta/dias/1823/03/22/pdfs/GMD-1823-85.pdf#page=4","Abrir facsímil")</f>
        <v>Abrir facsímil</v>
      </c>
      <c r="K3477" s="3" t="s">
        <v>23</v>
      </c>
    </row>
    <row r="3478" spans="1:11" ht="42" customHeight="1">
      <c r="A3478" s="2" t="s">
        <v>7220</v>
      </c>
      <c r="B3478" s="2" t="s">
        <v>7220</v>
      </c>
      <c r="C3478" s="2" t="s">
        <v>17</v>
      </c>
      <c r="D3478" s="2" t="s">
        <v>18</v>
      </c>
      <c r="E3478" s="5">
        <v>-28000</v>
      </c>
      <c r="F3478" s="3" t="s">
        <v>1118</v>
      </c>
      <c r="G3478" s="3" t="s">
        <v>59</v>
      </c>
      <c r="H3478" s="2" t="s">
        <v>21</v>
      </c>
      <c r="I3478" s="2" t="s">
        <v>7221</v>
      </c>
      <c r="J3478" s="3" t="str">
        <f>HYPERLINK("https://www.boe.es/gazeta/dias/1823/05/03/pdfs/GES-1823-23.pdf#page=6","Abrir facsímil")</f>
        <v>Abrir facsímil</v>
      </c>
      <c r="K3478" s="3" t="s">
        <v>23</v>
      </c>
    </row>
    <row r="3479" spans="1:11" ht="42" customHeight="1">
      <c r="A3479" s="2" t="s">
        <v>7222</v>
      </c>
      <c r="B3479" s="2" t="s">
        <v>7222</v>
      </c>
      <c r="C3479" s="2" t="s">
        <v>17</v>
      </c>
      <c r="D3479" s="2" t="s">
        <v>18</v>
      </c>
      <c r="E3479" s="5">
        <v>-27994</v>
      </c>
      <c r="F3479" s="3" t="s">
        <v>714</v>
      </c>
      <c r="G3479" s="3" t="s">
        <v>276</v>
      </c>
      <c r="H3479" s="2" t="s">
        <v>21</v>
      </c>
      <c r="I3479" s="2" t="s">
        <v>7223</v>
      </c>
      <c r="J3479" s="3" t="str">
        <f>HYPERLINK("https://www.boe.es/gazeta/dias/1823/05/09/pdfs/GES-1823-29.pdf#page=7","Abrir facsímil")</f>
        <v>Abrir facsímil</v>
      </c>
      <c r="K3479" s="3" t="s">
        <v>23</v>
      </c>
    </row>
    <row r="3480" spans="1:11" ht="42" customHeight="1">
      <c r="A3480" s="2" t="s">
        <v>7224</v>
      </c>
      <c r="B3480" s="2" t="s">
        <v>7224</v>
      </c>
      <c r="C3480" s="2" t="s">
        <v>17</v>
      </c>
      <c r="D3480" s="2" t="s">
        <v>18</v>
      </c>
      <c r="E3480" s="5">
        <v>-28032</v>
      </c>
      <c r="F3480" s="3" t="s">
        <v>668</v>
      </c>
      <c r="G3480" s="3" t="s">
        <v>20</v>
      </c>
      <c r="H3480" s="2" t="s">
        <v>21</v>
      </c>
      <c r="I3480" s="2" t="s">
        <v>7225</v>
      </c>
      <c r="J3480" s="3" t="str">
        <f>HYPERLINK("https://www.boe.es/gazeta/dias/1823/04/01/pdfs/GMD-1823-95.pdf#page=4","Abrir facsímil")</f>
        <v>Abrir facsímil</v>
      </c>
      <c r="K3480" s="3" t="s">
        <v>23</v>
      </c>
    </row>
    <row r="3481" spans="1:11" ht="42" customHeight="1">
      <c r="A3481" s="2" t="s">
        <v>7226</v>
      </c>
      <c r="B3481" s="2" t="s">
        <v>7226</v>
      </c>
      <c r="C3481" s="2" t="s">
        <v>17</v>
      </c>
      <c r="D3481" s="2" t="s">
        <v>18</v>
      </c>
      <c r="E3481" s="5">
        <v>-28015</v>
      </c>
      <c r="F3481" s="3" t="s">
        <v>985</v>
      </c>
      <c r="G3481" s="3" t="s">
        <v>27</v>
      </c>
      <c r="H3481" s="2" t="s">
        <v>21</v>
      </c>
      <c r="I3481" s="2" t="s">
        <v>7227</v>
      </c>
      <c r="J3481" s="3" t="str">
        <f>HYPERLINK("https://www.boe.es/gazeta/dias/1823/04/18/pdfs/GES-1823-8.pdf#page=2","Abrir facsímil")</f>
        <v>Abrir facsímil</v>
      </c>
      <c r="K3481" s="3" t="s">
        <v>23</v>
      </c>
    </row>
    <row r="3482" spans="1:11" ht="42" customHeight="1">
      <c r="A3482" s="2" t="s">
        <v>7228</v>
      </c>
      <c r="B3482" s="2" t="s">
        <v>7228</v>
      </c>
      <c r="C3482" s="2" t="s">
        <v>56</v>
      </c>
      <c r="D3482" s="2" t="s">
        <v>57</v>
      </c>
      <c r="E3482" s="5">
        <v>-27968</v>
      </c>
      <c r="F3482" s="3" t="s">
        <v>1160</v>
      </c>
      <c r="G3482" s="3" t="s">
        <v>27</v>
      </c>
      <c r="H3482" s="2" t="s">
        <v>21</v>
      </c>
      <c r="I3482" s="2" t="s">
        <v>7229</v>
      </c>
      <c r="J3482" s="3" t="str">
        <f>HYPERLINK("https://www.boe.es/gazeta/dias/1823/06/04/pdfs/GES-1823-58.pdf#page=2","Abrir facsímil")</f>
        <v>Abrir facsímil</v>
      </c>
      <c r="K3482" s="3" t="s">
        <v>23</v>
      </c>
    </row>
    <row r="3483" spans="1:11" ht="42" customHeight="1">
      <c r="A3483" s="2" t="s">
        <v>7230</v>
      </c>
      <c r="B3483" s="2" t="s">
        <v>7230</v>
      </c>
      <c r="C3483" s="2" t="s">
        <v>17</v>
      </c>
      <c r="D3483" s="2" t="s">
        <v>18</v>
      </c>
      <c r="E3483" s="5">
        <v>-27918</v>
      </c>
      <c r="F3483" s="3" t="s">
        <v>218</v>
      </c>
      <c r="G3483" s="3" t="s">
        <v>48</v>
      </c>
      <c r="H3483" s="2" t="s">
        <v>21</v>
      </c>
      <c r="I3483" s="2" t="s">
        <v>7231</v>
      </c>
      <c r="J3483" s="3" t="str">
        <f>HYPERLINK("https://www.boe.es/gazeta/dias/1823/07/24/pdfs/GMD-1823-463.pdf#page=3","Abrir facsímil")</f>
        <v>Abrir facsímil</v>
      </c>
      <c r="K3483" s="3" t="s">
        <v>23</v>
      </c>
    </row>
    <row r="3484" spans="1:11" ht="42" customHeight="1">
      <c r="A3484" s="2" t="s">
        <v>7232</v>
      </c>
      <c r="B3484" s="2" t="s">
        <v>7233</v>
      </c>
      <c r="C3484" s="2" t="s">
        <v>17</v>
      </c>
      <c r="D3484" s="2" t="s">
        <v>18</v>
      </c>
      <c r="E3484" s="5">
        <v>-27849</v>
      </c>
      <c r="F3484" s="3" t="s">
        <v>7011</v>
      </c>
      <c r="G3484" s="3" t="s">
        <v>39</v>
      </c>
      <c r="H3484" s="2" t="s">
        <v>21</v>
      </c>
      <c r="I3484" s="2" t="s">
        <v>7234</v>
      </c>
      <c r="J3484" s="3" t="str">
        <f>HYPERLINK("https://www.boe.es/gazeta/dias/1823/10/01/pdfs/GES-1823-175.pdf#page=1","Abrir facsímil")</f>
        <v>Abrir facsímil</v>
      </c>
      <c r="K3484" s="3" t="s">
        <v>23</v>
      </c>
    </row>
    <row r="3485" spans="1:11" ht="42" customHeight="1">
      <c r="A3485" s="2" t="s">
        <v>7235</v>
      </c>
      <c r="B3485" s="2" t="s">
        <v>7236</v>
      </c>
      <c r="C3485" s="2" t="s">
        <v>109</v>
      </c>
      <c r="D3485" s="2" t="s">
        <v>74</v>
      </c>
      <c r="E3485" s="5">
        <v>-27913</v>
      </c>
      <c r="F3485" s="3" t="s">
        <v>821</v>
      </c>
      <c r="G3485" s="3" t="s">
        <v>1204</v>
      </c>
      <c r="H3485" s="2" t="s">
        <v>21</v>
      </c>
      <c r="I3485" s="2" t="s">
        <v>7237</v>
      </c>
      <c r="J3485" s="3" t="str">
        <f>HYPERLINK("https://www.boe.es/gazeta/dias/1823/07/29/pdfs/GES-1823-110.pdf#page=2","Abrir facsímil")</f>
        <v>Abrir facsímil</v>
      </c>
      <c r="K3485" s="3" t="s">
        <v>23</v>
      </c>
    </row>
    <row r="3486" spans="1:11" ht="42" customHeight="1">
      <c r="A3486" s="2" t="s">
        <v>7238</v>
      </c>
      <c r="B3486" s="2" t="s">
        <v>7239</v>
      </c>
      <c r="C3486" s="2" t="s">
        <v>109</v>
      </c>
      <c r="D3486" s="2" t="s">
        <v>74</v>
      </c>
      <c r="E3486" s="5">
        <v>-27982</v>
      </c>
      <c r="F3486" s="3" t="s">
        <v>340</v>
      </c>
      <c r="G3486" s="3" t="s">
        <v>48</v>
      </c>
      <c r="H3486" s="2" t="s">
        <v>21</v>
      </c>
      <c r="I3486" s="2" t="s">
        <v>7240</v>
      </c>
      <c r="J3486" s="3" t="str">
        <f>HYPERLINK("https://www.boe.es/gazeta/dias/1823/05/21/pdfs/GES-1823-42.pdf#page=3","Abrir facsímil")</f>
        <v>Abrir facsímil</v>
      </c>
      <c r="K3486" s="3" t="s">
        <v>23</v>
      </c>
    </row>
    <row r="3487" spans="1:11" ht="42" customHeight="1">
      <c r="A3487" s="2" t="s">
        <v>7241</v>
      </c>
      <c r="B3487" s="2" t="s">
        <v>7241</v>
      </c>
      <c r="C3487" s="2" t="s">
        <v>73</v>
      </c>
      <c r="D3487" s="2" t="s">
        <v>74</v>
      </c>
      <c r="E3487" s="5">
        <v>-27923</v>
      </c>
      <c r="F3487" s="3" t="s">
        <v>354</v>
      </c>
      <c r="G3487" s="3" t="s">
        <v>27</v>
      </c>
      <c r="H3487" s="2" t="s">
        <v>21</v>
      </c>
      <c r="I3487" s="2" t="s">
        <v>7242</v>
      </c>
      <c r="J3487" s="3" t="str">
        <f>HYPERLINK("https://www.boe.es/gazeta/dias/1823/07/19/pdfs/GES-1823-100.pdf#page=2","Abrir facsímil")</f>
        <v>Abrir facsímil</v>
      </c>
      <c r="K3487" s="3" t="s">
        <v>23</v>
      </c>
    </row>
    <row r="3488" spans="1:11" ht="42" customHeight="1">
      <c r="A3488" s="2" t="s">
        <v>7243</v>
      </c>
      <c r="B3488" s="2" t="s">
        <v>7244</v>
      </c>
      <c r="C3488" s="2" t="s">
        <v>84</v>
      </c>
      <c r="D3488" s="2" t="s">
        <v>74</v>
      </c>
      <c r="E3488" s="5">
        <v>-27907</v>
      </c>
      <c r="F3488" s="3" t="s">
        <v>370</v>
      </c>
      <c r="G3488" s="3" t="s">
        <v>20</v>
      </c>
      <c r="H3488" s="2" t="s">
        <v>21</v>
      </c>
      <c r="I3488" s="2" t="s">
        <v>7245</v>
      </c>
      <c r="J3488" s="3" t="str">
        <f>HYPERLINK("https://www.boe.es/gazeta/dias/1823/08/04/pdfs/GES-1823-116.pdf#page=4","Abrir facsímil")</f>
        <v>Abrir facsímil</v>
      </c>
      <c r="K3488" s="3" t="s">
        <v>23</v>
      </c>
    </row>
    <row r="3489" spans="1:11" ht="42" customHeight="1">
      <c r="A3489" s="2" t="s">
        <v>7246</v>
      </c>
      <c r="B3489" s="2" t="s">
        <v>7247</v>
      </c>
      <c r="C3489" s="2" t="s">
        <v>17</v>
      </c>
      <c r="D3489" s="2" t="s">
        <v>18</v>
      </c>
      <c r="E3489" s="5">
        <v>-28015</v>
      </c>
      <c r="F3489" s="3" t="s">
        <v>985</v>
      </c>
      <c r="G3489" s="3" t="s">
        <v>20</v>
      </c>
      <c r="H3489" s="2" t="s">
        <v>21</v>
      </c>
      <c r="I3489" s="2" t="s">
        <v>7248</v>
      </c>
      <c r="J3489" s="3" t="str">
        <f>HYPERLINK("https://www.boe.es/gazeta/dias/1823/04/18/pdfs/GES-1823-8.pdf#page=4","Abrir facsímil")</f>
        <v>Abrir facsímil</v>
      </c>
      <c r="K3489" s="3" t="s">
        <v>23</v>
      </c>
    </row>
    <row r="3490" spans="1:11" ht="42" customHeight="1">
      <c r="A3490" s="2" t="s">
        <v>7249</v>
      </c>
      <c r="B3490" s="2" t="s">
        <v>7250</v>
      </c>
      <c r="C3490" s="2" t="s">
        <v>109</v>
      </c>
      <c r="D3490" s="2" t="s">
        <v>74</v>
      </c>
      <c r="E3490" s="5">
        <v>-27899</v>
      </c>
      <c r="F3490" s="3" t="s">
        <v>215</v>
      </c>
      <c r="G3490" s="3" t="s">
        <v>27</v>
      </c>
      <c r="H3490" s="2" t="s">
        <v>21</v>
      </c>
      <c r="I3490" s="2" t="s">
        <v>7251</v>
      </c>
      <c r="J3490" s="3" t="str">
        <f>HYPERLINK("https://www.boe.es/gazeta/dias/1823/08/12/pdfs/GMD-1823-583.pdf#page=2","Abrir facsímil")</f>
        <v>Abrir facsímil</v>
      </c>
      <c r="K3490" s="3" t="s">
        <v>23</v>
      </c>
    </row>
    <row r="3491" spans="1:11" ht="42" customHeight="1">
      <c r="A3491" s="2" t="s">
        <v>7252</v>
      </c>
      <c r="B3491" s="2" t="s">
        <v>7253</v>
      </c>
      <c r="C3491" s="2" t="s">
        <v>84</v>
      </c>
      <c r="D3491" s="2" t="s">
        <v>74</v>
      </c>
      <c r="E3491" s="5">
        <v>-28085</v>
      </c>
      <c r="F3491" s="3" t="s">
        <v>458</v>
      </c>
      <c r="G3491" s="3" t="s">
        <v>59</v>
      </c>
      <c r="H3491" s="2" t="s">
        <v>21</v>
      </c>
      <c r="I3491" s="2" t="s">
        <v>7254</v>
      </c>
      <c r="J3491" s="3" t="str">
        <f>HYPERLINK("https://www.boe.es/gazeta/dias/1823/02/07/pdfs/GMD-1823-40.pdf#page=6","Abrir facsímil")</f>
        <v>Abrir facsímil</v>
      </c>
      <c r="K3491" s="3" t="s">
        <v>23</v>
      </c>
    </row>
    <row r="3492" spans="1:11" ht="42" customHeight="1">
      <c r="A3492" s="2" t="s">
        <v>7255</v>
      </c>
      <c r="B3492" s="2" t="s">
        <v>7255</v>
      </c>
      <c r="C3492" s="2" t="s">
        <v>84</v>
      </c>
      <c r="D3492" s="2" t="s">
        <v>74</v>
      </c>
      <c r="E3492" s="5">
        <v>-27871</v>
      </c>
      <c r="F3492" s="3" t="s">
        <v>1330</v>
      </c>
      <c r="G3492" s="3" t="s">
        <v>39</v>
      </c>
      <c r="H3492" s="2" t="s">
        <v>21</v>
      </c>
      <c r="I3492" s="2" t="s">
        <v>7256</v>
      </c>
      <c r="J3492" s="3" t="str">
        <f>HYPERLINK("https://www.boe.es/gazeta/dias/1823/09/09/pdfs/GMD-1823-733.pdf#page=1","Abrir facsímil")</f>
        <v>Abrir facsímil</v>
      </c>
      <c r="K3492" s="3" t="s">
        <v>23</v>
      </c>
    </row>
    <row r="3493" spans="1:11" ht="42" customHeight="1">
      <c r="A3493" s="2" t="s">
        <v>7257</v>
      </c>
      <c r="B3493" s="2" t="s">
        <v>7257</v>
      </c>
      <c r="C3493" s="2" t="s">
        <v>56</v>
      </c>
      <c r="D3493" s="2" t="s">
        <v>57</v>
      </c>
      <c r="E3493" s="5">
        <v>-28117</v>
      </c>
      <c r="F3493" s="3" t="s">
        <v>271</v>
      </c>
      <c r="G3493" s="3" t="s">
        <v>20</v>
      </c>
      <c r="H3493" s="2" t="s">
        <v>21</v>
      </c>
      <c r="I3493" s="2" t="s">
        <v>7258</v>
      </c>
      <c r="J3493" s="3" t="str">
        <f>HYPERLINK("https://www.boe.es/gazeta/dias/1823/01/06/pdfs/GMD-1823-6.pdf#page=4","Abrir facsímil")</f>
        <v>Abrir facsímil</v>
      </c>
      <c r="K3493" s="3" t="s">
        <v>23</v>
      </c>
    </row>
    <row r="3494" spans="1:11" ht="42" customHeight="1">
      <c r="A3494" s="2" t="s">
        <v>7257</v>
      </c>
      <c r="B3494" s="2" t="s">
        <v>7257</v>
      </c>
      <c r="C3494" s="2" t="s">
        <v>56</v>
      </c>
      <c r="D3494" s="2" t="s">
        <v>57</v>
      </c>
      <c r="E3494" s="5">
        <v>-27968</v>
      </c>
      <c r="F3494" s="3" t="s">
        <v>1160</v>
      </c>
      <c r="G3494" s="3" t="s">
        <v>27</v>
      </c>
      <c r="H3494" s="2" t="s">
        <v>21</v>
      </c>
      <c r="I3494" s="2" t="s">
        <v>7259</v>
      </c>
      <c r="J3494" s="3" t="str">
        <f>HYPERLINK("https://www.boe.es/gazeta/dias/1823/06/04/pdfs/GES-1823-58.pdf#page=2","Abrir facsímil")</f>
        <v>Abrir facsímil</v>
      </c>
      <c r="K3494" s="3" t="s">
        <v>23</v>
      </c>
    </row>
    <row r="3495" spans="1:11" ht="42" customHeight="1">
      <c r="A3495" s="2" t="s">
        <v>7257</v>
      </c>
      <c r="B3495" s="2" t="s">
        <v>7257</v>
      </c>
      <c r="C3495" s="2" t="s">
        <v>73</v>
      </c>
      <c r="D3495" s="2" t="s">
        <v>74</v>
      </c>
      <c r="E3495" s="5">
        <v>-27943</v>
      </c>
      <c r="F3495" s="3" t="s">
        <v>346</v>
      </c>
      <c r="G3495" s="3" t="s">
        <v>27</v>
      </c>
      <c r="H3495" s="2" t="s">
        <v>21</v>
      </c>
      <c r="I3495" s="2" t="s">
        <v>7260</v>
      </c>
      <c r="J3495" s="3" t="str">
        <f>HYPERLINK("https://www.boe.es/gazeta/dias/1823/06/29/pdfs/GES-1823-79.pdf#page=2","Abrir facsímil")</f>
        <v>Abrir facsímil</v>
      </c>
      <c r="K3495" s="3" t="s">
        <v>23</v>
      </c>
    </row>
    <row r="3496" spans="1:11" ht="42" customHeight="1">
      <c r="A3496" s="2" t="s">
        <v>7261</v>
      </c>
      <c r="B3496" s="2" t="s">
        <v>7261</v>
      </c>
      <c r="C3496" s="2" t="s">
        <v>56</v>
      </c>
      <c r="D3496" s="2" t="s">
        <v>57</v>
      </c>
      <c r="E3496" s="5">
        <v>-27922</v>
      </c>
      <c r="F3496" s="3" t="s">
        <v>1959</v>
      </c>
      <c r="G3496" s="3" t="s">
        <v>27</v>
      </c>
      <c r="H3496" s="2" t="s">
        <v>21</v>
      </c>
      <c r="I3496" s="2" t="s">
        <v>7262</v>
      </c>
      <c r="J3496" s="3" t="str">
        <f>HYPERLINK("https://www.boe.es/gazeta/dias/1823/07/20/pdfs/GES-1823-101.pdf#page=2","Abrir facsímil")</f>
        <v>Abrir facsímil</v>
      </c>
      <c r="K3496" s="3" t="s">
        <v>23</v>
      </c>
    </row>
    <row r="3497" spans="1:11" ht="42" customHeight="1">
      <c r="A3497" s="2" t="s">
        <v>7263</v>
      </c>
      <c r="B3497" s="2" t="s">
        <v>7264</v>
      </c>
      <c r="C3497" s="2" t="s">
        <v>79</v>
      </c>
      <c r="D3497" s="2" t="s">
        <v>74</v>
      </c>
      <c r="E3497" s="5">
        <v>-27903</v>
      </c>
      <c r="F3497" s="3" t="s">
        <v>110</v>
      </c>
      <c r="G3497" s="3" t="s">
        <v>39</v>
      </c>
      <c r="H3497" s="2" t="s">
        <v>21</v>
      </c>
      <c r="I3497" s="2" t="s">
        <v>7265</v>
      </c>
      <c r="J3497" s="3" t="str">
        <f>HYPERLINK("https://www.boe.es/gazeta/dias/1823/08/08/pdfs/GES-1823-121.pdf#page=1","Abrir facsímil")</f>
        <v>Abrir facsímil</v>
      </c>
      <c r="K3497" s="3" t="s">
        <v>23</v>
      </c>
    </row>
    <row r="3498" spans="1:11" ht="42" customHeight="1">
      <c r="A3498" s="2" t="s">
        <v>7266</v>
      </c>
      <c r="B3498" s="2" t="s">
        <v>7267</v>
      </c>
      <c r="C3498" s="2" t="s">
        <v>109</v>
      </c>
      <c r="D3498" s="2" t="s">
        <v>74</v>
      </c>
      <c r="E3498" s="5">
        <v>-28037</v>
      </c>
      <c r="F3498" s="3" t="s">
        <v>192</v>
      </c>
      <c r="G3498" s="3" t="s">
        <v>48</v>
      </c>
      <c r="H3498" s="2" t="s">
        <v>21</v>
      </c>
      <c r="I3498" s="2" t="s">
        <v>7268</v>
      </c>
      <c r="J3498" s="3" t="str">
        <f>HYPERLINK("https://www.boe.es/gazeta/dias/1823/03/27/pdfs/GMD-1823-90.pdf#page=3","Abrir facsímil")</f>
        <v>Abrir facsímil</v>
      </c>
      <c r="K3498" s="3" t="s">
        <v>23</v>
      </c>
    </row>
    <row r="3499" spans="1:11" ht="42" customHeight="1">
      <c r="A3499" s="2" t="s">
        <v>7269</v>
      </c>
      <c r="B3499" s="2" t="s">
        <v>7270</v>
      </c>
      <c r="C3499" s="2" t="s">
        <v>17</v>
      </c>
      <c r="D3499" s="2" t="s">
        <v>18</v>
      </c>
      <c r="E3499" s="5">
        <v>-28104</v>
      </c>
      <c r="F3499" s="3" t="s">
        <v>114</v>
      </c>
      <c r="G3499" s="3" t="s">
        <v>34</v>
      </c>
      <c r="H3499" s="2" t="s">
        <v>21</v>
      </c>
      <c r="I3499" s="2" t="s">
        <v>7271</v>
      </c>
      <c r="J3499" s="3" t="str">
        <f>HYPERLINK("https://www.boe.es/gazeta/dias/1823/01/19/pdfs/GMD-1823-19.pdf#page=5","Abrir facsímil")</f>
        <v>Abrir facsímil</v>
      </c>
      <c r="K3499" s="3" t="s">
        <v>23</v>
      </c>
    </row>
    <row r="3500" spans="1:11" ht="42" customHeight="1">
      <c r="A3500" s="2" t="s">
        <v>7272</v>
      </c>
      <c r="B3500" s="2" t="s">
        <v>7273</v>
      </c>
      <c r="C3500" s="2" t="s">
        <v>17</v>
      </c>
      <c r="D3500" s="2" t="s">
        <v>18</v>
      </c>
      <c r="E3500" s="5">
        <v>-28102</v>
      </c>
      <c r="F3500" s="3" t="s">
        <v>287</v>
      </c>
      <c r="G3500" s="3" t="s">
        <v>20</v>
      </c>
      <c r="H3500" s="2" t="s">
        <v>21</v>
      </c>
      <c r="I3500" s="2" t="s">
        <v>7274</v>
      </c>
      <c r="J3500" s="3" t="str">
        <f>HYPERLINK("https://www.boe.es/gazeta/dias/1823/01/21/pdfs/GMD-1823-22.pdf#page=4","Abrir facsímil")</f>
        <v>Abrir facsímil</v>
      </c>
      <c r="K3500" s="3" t="s">
        <v>23</v>
      </c>
    </row>
    <row r="3501" spans="1:11" ht="42" customHeight="1">
      <c r="A3501" s="2" t="s">
        <v>7272</v>
      </c>
      <c r="B3501" s="2" t="s">
        <v>7273</v>
      </c>
      <c r="C3501" s="2" t="s">
        <v>17</v>
      </c>
      <c r="D3501" s="2" t="s">
        <v>18</v>
      </c>
      <c r="E3501" s="5">
        <v>-28080</v>
      </c>
      <c r="F3501" s="3" t="s">
        <v>1010</v>
      </c>
      <c r="G3501" s="3" t="s">
        <v>1382</v>
      </c>
      <c r="H3501" s="2" t="s">
        <v>21</v>
      </c>
      <c r="I3501" s="2" t="s">
        <v>7275</v>
      </c>
      <c r="J3501" s="3" t="str">
        <f>HYPERLINK("https://www.boe.es/gazeta/dias/1823/02/12/pdfs/GMD-1823-46.pdf#page=4","Abrir facsímil")</f>
        <v>Abrir facsímil</v>
      </c>
      <c r="K3501" s="3" t="s">
        <v>23</v>
      </c>
    </row>
    <row r="3502" spans="1:11" ht="42" customHeight="1">
      <c r="A3502" s="2" t="s">
        <v>7272</v>
      </c>
      <c r="B3502" s="2" t="s">
        <v>7273</v>
      </c>
      <c r="C3502" s="2" t="s">
        <v>79</v>
      </c>
      <c r="D3502" s="2" t="s">
        <v>74</v>
      </c>
      <c r="E3502" s="5">
        <v>-28071</v>
      </c>
      <c r="F3502" s="3" t="s">
        <v>587</v>
      </c>
      <c r="G3502" s="3" t="s">
        <v>20</v>
      </c>
      <c r="H3502" s="2" t="s">
        <v>21</v>
      </c>
      <c r="I3502" s="2" t="s">
        <v>7276</v>
      </c>
      <c r="J3502" s="3" t="str">
        <f>HYPERLINK("https://www.boe.es/gazeta/dias/1823/02/21/pdfs/GMD-1823-55.pdf#page=4","Abrir facsímil")</f>
        <v>Abrir facsímil</v>
      </c>
      <c r="K3502" s="3" t="s">
        <v>23</v>
      </c>
    </row>
    <row r="3503" spans="1:11" ht="42" customHeight="1">
      <c r="A3503" s="2" t="s">
        <v>7272</v>
      </c>
      <c r="B3503" s="2" t="s">
        <v>7273</v>
      </c>
      <c r="C3503" s="2" t="s">
        <v>17</v>
      </c>
      <c r="D3503" s="2" t="s">
        <v>18</v>
      </c>
      <c r="E3503" s="5">
        <v>-28070</v>
      </c>
      <c r="F3503" s="3" t="s">
        <v>972</v>
      </c>
      <c r="G3503" s="3" t="s">
        <v>20</v>
      </c>
      <c r="H3503" s="2" t="s">
        <v>21</v>
      </c>
      <c r="I3503" s="2" t="s">
        <v>7277</v>
      </c>
      <c r="J3503" s="3" t="str">
        <f>HYPERLINK("https://www.boe.es/gazeta/dias/1823/02/22/pdfs/GMD-1823-56.pdf#page=4","Abrir facsímil")</f>
        <v>Abrir facsímil</v>
      </c>
      <c r="K3503" s="3" t="s">
        <v>23</v>
      </c>
    </row>
    <row r="3504" spans="1:11" ht="42" customHeight="1">
      <c r="A3504" s="2" t="s">
        <v>7272</v>
      </c>
      <c r="B3504" s="2" t="s">
        <v>7273</v>
      </c>
      <c r="C3504" s="2" t="s">
        <v>17</v>
      </c>
      <c r="D3504" s="2" t="s">
        <v>18</v>
      </c>
      <c r="E3504" s="5">
        <v>-28063</v>
      </c>
      <c r="F3504" s="3" t="s">
        <v>2493</v>
      </c>
      <c r="G3504" s="3" t="s">
        <v>20</v>
      </c>
      <c r="H3504" s="2" t="s">
        <v>21</v>
      </c>
      <c r="I3504" s="2" t="s">
        <v>7278</v>
      </c>
      <c r="J3504" s="3" t="str">
        <f>HYPERLINK("https://www.boe.es/gazeta/dias/1823/03/01/pdfs/GMD-1823-63.pdf#page=4","Abrir facsímil")</f>
        <v>Abrir facsímil</v>
      </c>
      <c r="K3504" s="3" t="s">
        <v>23</v>
      </c>
    </row>
    <row r="3505" spans="1:11" ht="42" customHeight="1">
      <c r="A3505" s="2" t="s">
        <v>7272</v>
      </c>
      <c r="B3505" s="2" t="s">
        <v>7273</v>
      </c>
      <c r="C3505" s="2" t="s">
        <v>79</v>
      </c>
      <c r="D3505" s="2" t="s">
        <v>74</v>
      </c>
      <c r="E3505" s="5">
        <v>-28058</v>
      </c>
      <c r="F3505" s="3" t="s">
        <v>1282</v>
      </c>
      <c r="G3505" s="3" t="s">
        <v>34</v>
      </c>
      <c r="H3505" s="2" t="s">
        <v>21</v>
      </c>
      <c r="I3505" s="2" t="s">
        <v>7279</v>
      </c>
      <c r="J3505" s="3" t="str">
        <f>HYPERLINK("https://www.boe.es/gazeta/dias/1823/03/06/pdfs/GMD-1823-69.pdf#page=5","Abrir facsímil")</f>
        <v>Abrir facsímil</v>
      </c>
      <c r="K3505" s="3" t="s">
        <v>23</v>
      </c>
    </row>
    <row r="3506" spans="1:11" ht="42" customHeight="1">
      <c r="A3506" s="2" t="s">
        <v>7280</v>
      </c>
      <c r="B3506" s="2" t="s">
        <v>7281</v>
      </c>
      <c r="C3506" s="2" t="s">
        <v>17</v>
      </c>
      <c r="D3506" s="2" t="s">
        <v>18</v>
      </c>
      <c r="E3506" s="5">
        <v>-27969</v>
      </c>
      <c r="F3506" s="3" t="s">
        <v>204</v>
      </c>
      <c r="G3506" s="3" t="s">
        <v>39</v>
      </c>
      <c r="H3506" s="2" t="s">
        <v>21</v>
      </c>
      <c r="I3506" s="2" t="s">
        <v>7282</v>
      </c>
      <c r="J3506" s="3" t="str">
        <f>HYPERLINK("https://www.boe.es/gazeta/dias/1823/06/03/pdfs/GMD-1823-53.pdf#page=1","Abrir facsímil")</f>
        <v>Abrir facsímil</v>
      </c>
      <c r="K3506" s="3" t="s">
        <v>23</v>
      </c>
    </row>
    <row r="3507" spans="1:11" ht="42" customHeight="1">
      <c r="A3507" s="2" t="s">
        <v>7283</v>
      </c>
      <c r="B3507" s="2" t="s">
        <v>7284</v>
      </c>
      <c r="C3507" s="2" t="s">
        <v>17</v>
      </c>
      <c r="D3507" s="2" t="s">
        <v>18</v>
      </c>
      <c r="E3507" s="5">
        <v>-27778</v>
      </c>
      <c r="F3507" s="3" t="s">
        <v>1343</v>
      </c>
      <c r="G3507" s="3" t="s">
        <v>27</v>
      </c>
      <c r="H3507" s="2" t="s">
        <v>21</v>
      </c>
      <c r="I3507" s="2" t="s">
        <v>7285</v>
      </c>
      <c r="J3507" s="3" t="str">
        <f>HYPERLINK("https://www.boe.es/gazeta/dias/1823/12/11/pdfs/GMD-1823-1233.pdf#page=2","Abrir facsímil")</f>
        <v>Abrir facsímil</v>
      </c>
      <c r="K3507" s="3" t="s">
        <v>23</v>
      </c>
    </row>
    <row r="3508" spans="1:11" ht="42" customHeight="1">
      <c r="A3508" s="2" t="s">
        <v>7286</v>
      </c>
      <c r="B3508" s="2" t="s">
        <v>7287</v>
      </c>
      <c r="C3508" s="2" t="s">
        <v>17</v>
      </c>
      <c r="D3508" s="2" t="s">
        <v>18</v>
      </c>
      <c r="E3508" s="5">
        <v>-27878</v>
      </c>
      <c r="F3508" s="3" t="s">
        <v>1581</v>
      </c>
      <c r="G3508" s="3" t="s">
        <v>20</v>
      </c>
      <c r="H3508" s="2" t="s">
        <v>21</v>
      </c>
      <c r="I3508" s="2" t="s">
        <v>7288</v>
      </c>
      <c r="J3508" s="3" t="str">
        <f>HYPERLINK("https://www.boe.es/gazeta/dias/1823/09/02/pdfs/GMD-1823-683.pdf#page=4","Abrir facsímil")</f>
        <v>Abrir facsímil</v>
      </c>
      <c r="K3508" s="3" t="s">
        <v>23</v>
      </c>
    </row>
    <row r="3509" spans="1:11" ht="42" customHeight="1">
      <c r="A3509" s="2" t="s">
        <v>7289</v>
      </c>
      <c r="B3509" s="2" t="s">
        <v>7289</v>
      </c>
      <c r="C3509" s="2" t="s">
        <v>109</v>
      </c>
      <c r="D3509" s="2" t="s">
        <v>74</v>
      </c>
      <c r="E3509" s="5">
        <v>-27972</v>
      </c>
      <c r="F3509" s="3" t="s">
        <v>1515</v>
      </c>
      <c r="G3509" s="3" t="s">
        <v>48</v>
      </c>
      <c r="H3509" s="2" t="s">
        <v>21</v>
      </c>
      <c r="I3509" s="2" t="s">
        <v>7290</v>
      </c>
      <c r="J3509" s="3" t="str">
        <f>HYPERLINK("https://www.boe.es/gazeta/dias/1823/05/31/pdfs/GMD-1823-33.pdf#page=3","Abrir facsímil")</f>
        <v>Abrir facsímil</v>
      </c>
      <c r="K3509" s="3" t="s">
        <v>23</v>
      </c>
    </row>
    <row r="3510" spans="1:11" ht="42" customHeight="1">
      <c r="A3510" s="2" t="s">
        <v>7291</v>
      </c>
      <c r="B3510" s="2" t="s">
        <v>7292</v>
      </c>
      <c r="C3510" s="2" t="s">
        <v>79</v>
      </c>
      <c r="D3510" s="2" t="s">
        <v>74</v>
      </c>
      <c r="E3510" s="5">
        <v>-27964</v>
      </c>
      <c r="F3510" s="3" t="s">
        <v>58</v>
      </c>
      <c r="G3510" s="3" t="s">
        <v>34</v>
      </c>
      <c r="H3510" s="2" t="s">
        <v>21</v>
      </c>
      <c r="I3510" s="2" t="s">
        <v>7293</v>
      </c>
      <c r="J3510" s="3" t="str">
        <f>HYPERLINK("https://www.boe.es/gazeta/dias/1823/06/08/pdfs/GES-1823-62.pdf#page=5","Abrir facsímil")</f>
        <v>Abrir facsímil</v>
      </c>
      <c r="K3510" s="3" t="s">
        <v>23</v>
      </c>
    </row>
    <row r="3511" spans="1:11" ht="42" customHeight="1">
      <c r="A3511" s="2" t="s">
        <v>7294</v>
      </c>
      <c r="B3511" s="2" t="s">
        <v>7295</v>
      </c>
      <c r="C3511" s="2" t="s">
        <v>79</v>
      </c>
      <c r="D3511" s="2" t="s">
        <v>74</v>
      </c>
      <c r="E3511" s="5">
        <v>-28032</v>
      </c>
      <c r="F3511" s="3" t="s">
        <v>668</v>
      </c>
      <c r="G3511" s="3" t="s">
        <v>39</v>
      </c>
      <c r="H3511" s="2" t="s">
        <v>21</v>
      </c>
      <c r="I3511" s="2" t="s">
        <v>7296</v>
      </c>
      <c r="J3511" s="3" t="str">
        <f>HYPERLINK("https://www.boe.es/gazeta/dias/1823/04/01/pdfs/GMD-1823-95.pdf#page=1","Abrir facsímil")</f>
        <v>Abrir facsímil</v>
      </c>
      <c r="K3511" s="3" t="s">
        <v>23</v>
      </c>
    </row>
    <row r="3512" spans="1:11" ht="42" customHeight="1">
      <c r="A3512" s="2" t="s">
        <v>7297</v>
      </c>
      <c r="B3512" s="2" t="s">
        <v>7298</v>
      </c>
      <c r="C3512" s="2" t="s">
        <v>79</v>
      </c>
      <c r="D3512" s="2" t="s">
        <v>74</v>
      </c>
      <c r="E3512" s="5">
        <v>-27927</v>
      </c>
      <c r="F3512" s="3" t="s">
        <v>1426</v>
      </c>
      <c r="G3512" s="3" t="s">
        <v>20</v>
      </c>
      <c r="H3512" s="2" t="s">
        <v>21</v>
      </c>
      <c r="I3512" s="2" t="s">
        <v>7299</v>
      </c>
      <c r="J3512" s="3" t="str">
        <f>HYPERLINK("https://www.boe.es/gazeta/dias/1823/07/15/pdfs/GES-1823-95.pdf#page=4","Abrir facsímil")</f>
        <v>Abrir facsímil</v>
      </c>
      <c r="K3512" s="3" t="s">
        <v>23</v>
      </c>
    </row>
    <row r="3513" spans="1:11" ht="42" customHeight="1">
      <c r="A3513" s="2" t="s">
        <v>7300</v>
      </c>
      <c r="B3513" s="2" t="s">
        <v>7301</v>
      </c>
      <c r="C3513" s="2" t="s">
        <v>109</v>
      </c>
      <c r="D3513" s="2" t="s">
        <v>74</v>
      </c>
      <c r="E3513" s="5">
        <v>-27972</v>
      </c>
      <c r="F3513" s="3" t="s">
        <v>1515</v>
      </c>
      <c r="G3513" s="3" t="s">
        <v>48</v>
      </c>
      <c r="H3513" s="2" t="s">
        <v>21</v>
      </c>
      <c r="I3513" s="2" t="s">
        <v>7302</v>
      </c>
      <c r="J3513" s="3" t="str">
        <f>HYPERLINK("https://www.boe.es/gazeta/dias/1823/05/31/pdfs/GMD-1823-33.pdf#page=3","Abrir facsímil")</f>
        <v>Abrir facsímil</v>
      </c>
      <c r="K3513" s="3" t="s">
        <v>23</v>
      </c>
    </row>
    <row r="3514" spans="1:11" ht="42" customHeight="1">
      <c r="A3514" s="2" t="s">
        <v>7303</v>
      </c>
      <c r="B3514" s="2" t="s">
        <v>7304</v>
      </c>
      <c r="C3514" s="2" t="s">
        <v>109</v>
      </c>
      <c r="D3514" s="2" t="s">
        <v>74</v>
      </c>
      <c r="E3514" s="5">
        <v>-27972</v>
      </c>
      <c r="F3514" s="3" t="s">
        <v>1515</v>
      </c>
      <c r="G3514" s="3" t="s">
        <v>48</v>
      </c>
      <c r="H3514" s="2" t="s">
        <v>21</v>
      </c>
      <c r="I3514" s="2" t="s">
        <v>7305</v>
      </c>
      <c r="J3514" s="3" t="str">
        <f>HYPERLINK("https://www.boe.es/gazeta/dias/1823/05/31/pdfs/GMD-1823-33.pdf#page=3","Abrir facsímil")</f>
        <v>Abrir facsímil</v>
      </c>
      <c r="K3514" s="3" t="s">
        <v>23</v>
      </c>
    </row>
    <row r="3515" spans="1:11" ht="42" customHeight="1">
      <c r="A3515" s="2" t="s">
        <v>7306</v>
      </c>
      <c r="B3515" s="2" t="s">
        <v>7307</v>
      </c>
      <c r="C3515" s="2" t="s">
        <v>17</v>
      </c>
      <c r="D3515" s="2" t="s">
        <v>18</v>
      </c>
      <c r="E3515" s="5">
        <v>-27964</v>
      </c>
      <c r="F3515" s="3" t="s">
        <v>58</v>
      </c>
      <c r="G3515" s="3" t="s">
        <v>34</v>
      </c>
      <c r="H3515" s="2" t="s">
        <v>21</v>
      </c>
      <c r="I3515" s="2" t="s">
        <v>7308</v>
      </c>
      <c r="J3515" s="3" t="str">
        <f>HYPERLINK("https://www.boe.es/gazeta/dias/1823/06/08/pdfs/GES-1823-62.pdf#page=5","Abrir facsímil")</f>
        <v>Abrir facsímil</v>
      </c>
      <c r="K3515" s="3" t="s">
        <v>23</v>
      </c>
    </row>
    <row r="3516" spans="1:11" ht="42" customHeight="1">
      <c r="A3516" s="2" t="s">
        <v>7309</v>
      </c>
      <c r="B3516" s="2" t="s">
        <v>7309</v>
      </c>
      <c r="C3516" s="2" t="s">
        <v>17</v>
      </c>
      <c r="D3516" s="2" t="s">
        <v>18</v>
      </c>
      <c r="E3516" s="5">
        <v>-28045</v>
      </c>
      <c r="F3516" s="3" t="s">
        <v>245</v>
      </c>
      <c r="G3516" s="3" t="s">
        <v>39</v>
      </c>
      <c r="H3516" s="2" t="s">
        <v>21</v>
      </c>
      <c r="I3516" s="2" t="s">
        <v>7310</v>
      </c>
      <c r="J3516" s="3" t="str">
        <f>HYPERLINK("https://www.boe.es/gazeta/dias/1823/03/19/pdfs/GMD-1823-82.pdf#page=1","Abrir facsímil")</f>
        <v>Abrir facsímil</v>
      </c>
      <c r="K3516" s="3" t="s">
        <v>23</v>
      </c>
    </row>
    <row r="3517" spans="1:11" ht="42" customHeight="1">
      <c r="A3517" s="2" t="s">
        <v>7311</v>
      </c>
      <c r="B3517" s="2" t="s">
        <v>7311</v>
      </c>
      <c r="C3517" s="2" t="s">
        <v>17</v>
      </c>
      <c r="D3517" s="2" t="s">
        <v>18</v>
      </c>
      <c r="E3517" s="5">
        <v>-27944</v>
      </c>
      <c r="F3517" s="3" t="s">
        <v>658</v>
      </c>
      <c r="G3517" s="3" t="s">
        <v>27</v>
      </c>
      <c r="H3517" s="2" t="s">
        <v>21</v>
      </c>
      <c r="I3517" s="2" t="s">
        <v>7312</v>
      </c>
      <c r="J3517" s="3" t="str">
        <f>HYPERLINK("https://www.boe.es/gazeta/dias/1823/06/28/pdfs/GMD-1823-303.pdf#page=2","Abrir facsímil")</f>
        <v>Abrir facsímil</v>
      </c>
      <c r="K3517" s="3" t="s">
        <v>23</v>
      </c>
    </row>
    <row r="3518" spans="1:11" ht="42" customHeight="1">
      <c r="A3518" s="2" t="s">
        <v>7313</v>
      </c>
      <c r="B3518" s="2" t="s">
        <v>7313</v>
      </c>
      <c r="C3518" s="2" t="s">
        <v>56</v>
      </c>
      <c r="D3518" s="2" t="s">
        <v>57</v>
      </c>
      <c r="E3518" s="5">
        <v>-27969</v>
      </c>
      <c r="F3518" s="3" t="s">
        <v>855</v>
      </c>
      <c r="G3518" s="3" t="s">
        <v>20</v>
      </c>
      <c r="H3518" s="2" t="s">
        <v>21</v>
      </c>
      <c r="I3518" s="2" t="s">
        <v>7314</v>
      </c>
      <c r="J3518" s="3" t="str">
        <f>HYPERLINK("https://www.boe.es/gazeta/dias/1823/06/03/pdfs/GES-1823-57.pdf#page=4","Abrir facsímil")</f>
        <v>Abrir facsímil</v>
      </c>
      <c r="K3518" s="3" t="s">
        <v>23</v>
      </c>
    </row>
    <row r="3519" spans="1:11" ht="42" customHeight="1">
      <c r="A3519" s="2" t="s">
        <v>7315</v>
      </c>
      <c r="B3519" s="2" t="s">
        <v>7315</v>
      </c>
      <c r="C3519" s="2" t="s">
        <v>17</v>
      </c>
      <c r="D3519" s="2" t="s">
        <v>18</v>
      </c>
      <c r="E3519" s="5">
        <v>-27869</v>
      </c>
      <c r="F3519" s="3" t="s">
        <v>520</v>
      </c>
      <c r="G3519" s="3" t="s">
        <v>27</v>
      </c>
      <c r="H3519" s="2" t="s">
        <v>21</v>
      </c>
      <c r="I3519" s="2" t="s">
        <v>7316</v>
      </c>
      <c r="J3519" s="3" t="str">
        <f>HYPERLINK("https://www.boe.es/gazeta/dias/1823/09/11/pdfs/GMD-1823-753.pdf#page=2","Abrir facsímil")</f>
        <v>Abrir facsímil</v>
      </c>
      <c r="K3519" s="3" t="s">
        <v>23</v>
      </c>
    </row>
    <row r="3520" spans="1:11" ht="42" customHeight="1">
      <c r="A3520" s="2" t="s">
        <v>7317</v>
      </c>
      <c r="B3520" s="2" t="s">
        <v>7318</v>
      </c>
      <c r="C3520" s="2" t="s">
        <v>17</v>
      </c>
      <c r="D3520" s="2" t="s">
        <v>18</v>
      </c>
      <c r="E3520" s="5">
        <v>-28114</v>
      </c>
      <c r="F3520" s="3" t="s">
        <v>153</v>
      </c>
      <c r="G3520" s="3" t="s">
        <v>48</v>
      </c>
      <c r="H3520" s="2" t="s">
        <v>21</v>
      </c>
      <c r="I3520" s="2" t="s">
        <v>7319</v>
      </c>
      <c r="J3520" s="3" t="str">
        <f>HYPERLINK("https://www.boe.es/gazeta/dias/1823/01/09/pdfs/GMD-1823-9.pdf#page=3","Abrir facsímil")</f>
        <v>Abrir facsímil</v>
      </c>
      <c r="K3520" s="3" t="s">
        <v>23</v>
      </c>
    </row>
    <row r="3521" spans="1:11" ht="42" customHeight="1">
      <c r="A3521" s="2" t="s">
        <v>7320</v>
      </c>
      <c r="B3521" s="2" t="s">
        <v>7320</v>
      </c>
      <c r="C3521" s="2" t="s">
        <v>17</v>
      </c>
      <c r="D3521" s="2" t="s">
        <v>18</v>
      </c>
      <c r="E3521" s="5">
        <v>-27982</v>
      </c>
      <c r="F3521" s="3" t="s">
        <v>340</v>
      </c>
      <c r="G3521" s="3" t="s">
        <v>590</v>
      </c>
      <c r="H3521" s="2" t="s">
        <v>21</v>
      </c>
      <c r="I3521" s="2" t="s">
        <v>7321</v>
      </c>
      <c r="J3521" s="3" t="str">
        <f>HYPERLINK("https://www.boe.es/gazeta/dias/1823/05/21/pdfs/GES-1823-42.pdf#page=5","Abrir facsímil")</f>
        <v>Abrir facsímil</v>
      </c>
      <c r="K3521" s="3" t="s">
        <v>23</v>
      </c>
    </row>
    <row r="3522" spans="1:11" ht="42" customHeight="1">
      <c r="A3522" s="2" t="s">
        <v>7322</v>
      </c>
      <c r="B3522" s="2" t="s">
        <v>7323</v>
      </c>
      <c r="C3522" s="2" t="s">
        <v>17</v>
      </c>
      <c r="D3522" s="2" t="s">
        <v>18</v>
      </c>
      <c r="E3522" s="5">
        <v>-27881</v>
      </c>
      <c r="F3522" s="3" t="s">
        <v>725</v>
      </c>
      <c r="G3522" s="3" t="s">
        <v>39</v>
      </c>
      <c r="H3522" s="2" t="s">
        <v>21</v>
      </c>
      <c r="I3522" s="2" t="s">
        <v>7324</v>
      </c>
      <c r="J3522" s="3" t="str">
        <f>HYPERLINK("https://www.boe.es/gazeta/dias/1823/08/30/pdfs/GMD-1823-673.pdf#page=1","Abrir facsímil")</f>
        <v>Abrir facsímil</v>
      </c>
      <c r="K3522" s="3" t="s">
        <v>23</v>
      </c>
    </row>
    <row r="3523" spans="1:11" ht="42" customHeight="1">
      <c r="A3523" s="2" t="s">
        <v>7325</v>
      </c>
      <c r="B3523" s="2" t="s">
        <v>7326</v>
      </c>
      <c r="C3523" s="2" t="s">
        <v>79</v>
      </c>
      <c r="D3523" s="2" t="s">
        <v>74</v>
      </c>
      <c r="E3523" s="5">
        <v>-27903</v>
      </c>
      <c r="F3523" s="3" t="s">
        <v>110</v>
      </c>
      <c r="G3523" s="3" t="s">
        <v>39</v>
      </c>
      <c r="H3523" s="2" t="s">
        <v>21</v>
      </c>
      <c r="I3523" s="2" t="s">
        <v>7327</v>
      </c>
      <c r="J3523" s="3" t="str">
        <f>HYPERLINK("https://www.boe.es/gazeta/dias/1823/08/08/pdfs/GES-1823-121.pdf#page=1","Abrir facsímil")</f>
        <v>Abrir facsímil</v>
      </c>
      <c r="K3523" s="3" t="s">
        <v>23</v>
      </c>
    </row>
    <row r="3524" spans="1:11" ht="42" customHeight="1">
      <c r="A3524" s="2" t="s">
        <v>7328</v>
      </c>
      <c r="B3524" s="2" t="s">
        <v>7329</v>
      </c>
      <c r="C3524" s="2" t="s">
        <v>17</v>
      </c>
      <c r="D3524" s="2" t="s">
        <v>18</v>
      </c>
      <c r="E3524" s="5">
        <v>-27986</v>
      </c>
      <c r="F3524" s="3" t="s">
        <v>75</v>
      </c>
      <c r="G3524" s="3" t="s">
        <v>34</v>
      </c>
      <c r="H3524" s="2" t="s">
        <v>21</v>
      </c>
      <c r="I3524" s="2" t="s">
        <v>7330</v>
      </c>
      <c r="J3524" s="3" t="str">
        <f>HYPERLINK("https://www.boe.es/gazeta/dias/1823/05/17/pdfs/GES-1823-37.pdf#page=5","Abrir facsímil")</f>
        <v>Abrir facsímil</v>
      </c>
      <c r="K3524" s="3" t="s">
        <v>23</v>
      </c>
    </row>
    <row r="3525" spans="1:11" ht="42" customHeight="1">
      <c r="A3525" s="2" t="s">
        <v>7331</v>
      </c>
      <c r="B3525" s="2" t="s">
        <v>7331</v>
      </c>
      <c r="C3525" s="2" t="s">
        <v>17</v>
      </c>
      <c r="D3525" s="2" t="s">
        <v>18</v>
      </c>
      <c r="E3525" s="5">
        <v>-28018</v>
      </c>
      <c r="F3525" s="3" t="s">
        <v>2613</v>
      </c>
      <c r="G3525" s="3" t="s">
        <v>34</v>
      </c>
      <c r="H3525" s="2" t="s">
        <v>21</v>
      </c>
      <c r="I3525" s="2" t="s">
        <v>7332</v>
      </c>
      <c r="J3525" s="3" t="str">
        <f>HYPERLINK("https://www.boe.es/gazeta/dias/1823/04/15/pdfs/GES-1823-5.pdf#page=5","Abrir facsímil")</f>
        <v>Abrir facsímil</v>
      </c>
      <c r="K3525" s="3" t="s">
        <v>23</v>
      </c>
    </row>
    <row r="3526" spans="1:11" ht="42" customHeight="1">
      <c r="A3526" s="2" t="s">
        <v>7333</v>
      </c>
      <c r="B3526" s="2" t="s">
        <v>7334</v>
      </c>
      <c r="C3526" s="2" t="s">
        <v>79</v>
      </c>
      <c r="D3526" s="2" t="s">
        <v>74</v>
      </c>
      <c r="E3526" s="5">
        <v>-27978</v>
      </c>
      <c r="F3526" s="3" t="s">
        <v>342</v>
      </c>
      <c r="G3526" s="3" t="s">
        <v>59</v>
      </c>
      <c r="H3526" s="2" t="s">
        <v>21</v>
      </c>
      <c r="I3526" s="2" t="s">
        <v>7335</v>
      </c>
      <c r="J3526" s="3" t="str">
        <f>HYPERLINK("https://www.boe.es/gazeta/dias/1823/05/25/pdfs/GES-1823-46.pdf#page=6","Abrir facsímil")</f>
        <v>Abrir facsímil</v>
      </c>
      <c r="K3526" s="3" t="s">
        <v>23</v>
      </c>
    </row>
    <row r="3527" spans="1:11" ht="42" customHeight="1">
      <c r="A3527" s="2" t="s">
        <v>7336</v>
      </c>
      <c r="B3527" s="2" t="s">
        <v>7337</v>
      </c>
      <c r="C3527" s="2" t="s">
        <v>17</v>
      </c>
      <c r="D3527" s="2" t="s">
        <v>18</v>
      </c>
      <c r="E3527" s="5">
        <v>-28093</v>
      </c>
      <c r="F3527" s="3" t="s">
        <v>1044</v>
      </c>
      <c r="G3527" s="3" t="s">
        <v>59</v>
      </c>
      <c r="H3527" s="2" t="s">
        <v>21</v>
      </c>
      <c r="I3527" s="2" t="s">
        <v>7338</v>
      </c>
      <c r="J3527" s="3" t="str">
        <f>HYPERLINK("https://www.boe.es/gazeta/dias/1823/01/30/pdfs/GMD-1823-31.pdf#page=6","Abrir facsímil")</f>
        <v>Abrir facsímil</v>
      </c>
      <c r="K3527" s="3" t="s">
        <v>23</v>
      </c>
    </row>
    <row r="3528" spans="1:11" ht="42" customHeight="1">
      <c r="A3528" s="2" t="s">
        <v>7339</v>
      </c>
      <c r="B3528" s="2" t="s">
        <v>7340</v>
      </c>
      <c r="C3528" s="2" t="s">
        <v>109</v>
      </c>
      <c r="D3528" s="2" t="s">
        <v>74</v>
      </c>
      <c r="E3528" s="5">
        <v>-27881</v>
      </c>
      <c r="F3528" s="3" t="s">
        <v>485</v>
      </c>
      <c r="G3528" s="3" t="s">
        <v>20</v>
      </c>
      <c r="H3528" s="2" t="s">
        <v>21</v>
      </c>
      <c r="I3528" s="2" t="s">
        <v>7341</v>
      </c>
      <c r="J3528" s="3" t="str">
        <f>HYPERLINK("https://www.boe.es/gazeta/dias/1823/08/30/pdfs/GES-1823-143.pdf#page=4","Abrir facsímil")</f>
        <v>Abrir facsímil</v>
      </c>
      <c r="K3528" s="3" t="s">
        <v>23</v>
      </c>
    </row>
    <row r="3529" spans="1:11" ht="42" customHeight="1">
      <c r="A3529" s="2" t="s">
        <v>7342</v>
      </c>
      <c r="B3529" s="2" t="s">
        <v>7342</v>
      </c>
      <c r="C3529" s="2" t="s">
        <v>56</v>
      </c>
      <c r="D3529" s="2" t="s">
        <v>57</v>
      </c>
      <c r="E3529" s="5">
        <v>-28081</v>
      </c>
      <c r="F3529" s="3" t="s">
        <v>170</v>
      </c>
      <c r="G3529" s="3" t="s">
        <v>48</v>
      </c>
      <c r="H3529" s="2" t="s">
        <v>21</v>
      </c>
      <c r="I3529" s="2" t="s">
        <v>7343</v>
      </c>
      <c r="J3529" s="3" t="str">
        <f>HYPERLINK("https://www.boe.es/gazeta/dias/1823/02/11/pdfs/GMD-1823-45.pdf#page=3","Abrir facsímil")</f>
        <v>Abrir facsímil</v>
      </c>
      <c r="K3529" s="3" t="s">
        <v>23</v>
      </c>
    </row>
    <row r="3530" spans="1:11" ht="42" customHeight="1">
      <c r="A3530" s="2" t="s">
        <v>7344</v>
      </c>
      <c r="B3530" s="2" t="s">
        <v>7344</v>
      </c>
      <c r="C3530" s="2" t="s">
        <v>79</v>
      </c>
      <c r="D3530" s="2" t="s">
        <v>74</v>
      </c>
      <c r="E3530" s="5">
        <v>-28117</v>
      </c>
      <c r="F3530" s="3" t="s">
        <v>271</v>
      </c>
      <c r="G3530" s="3" t="s">
        <v>48</v>
      </c>
      <c r="H3530" s="2" t="s">
        <v>21</v>
      </c>
      <c r="I3530" s="2" t="s">
        <v>7345</v>
      </c>
      <c r="J3530" s="3" t="str">
        <f>HYPERLINK("https://www.boe.es/gazeta/dias/1823/01/06/pdfs/GMD-1823-6.pdf#page=3","Abrir facsímil")</f>
        <v>Abrir facsímil</v>
      </c>
      <c r="K3530" s="3" t="s">
        <v>23</v>
      </c>
    </row>
    <row r="3531" spans="1:11" ht="42" customHeight="1">
      <c r="A3531" s="2" t="s">
        <v>7344</v>
      </c>
      <c r="B3531" s="2" t="s">
        <v>7344</v>
      </c>
      <c r="C3531" s="2" t="s">
        <v>17</v>
      </c>
      <c r="D3531" s="2" t="s">
        <v>18</v>
      </c>
      <c r="E3531" s="5">
        <v>-28111</v>
      </c>
      <c r="F3531" s="3" t="s">
        <v>275</v>
      </c>
      <c r="G3531" s="3" t="s">
        <v>276</v>
      </c>
      <c r="H3531" s="2" t="s">
        <v>21</v>
      </c>
      <c r="I3531" s="2" t="s">
        <v>7346</v>
      </c>
      <c r="J3531" s="3" t="str">
        <f>HYPERLINK("https://www.boe.es/gazeta/dias/1823/01/12/pdfs/GMD-1823-12.pdf#page=7","Abrir facsímil")</f>
        <v>Abrir facsímil</v>
      </c>
      <c r="K3531" s="3" t="s">
        <v>23</v>
      </c>
    </row>
    <row r="3532" spans="1:11" ht="42" customHeight="1">
      <c r="A3532" s="2" t="s">
        <v>7344</v>
      </c>
      <c r="B3532" s="2" t="s">
        <v>7344</v>
      </c>
      <c r="C3532" s="2" t="s">
        <v>79</v>
      </c>
      <c r="D3532" s="2" t="s">
        <v>74</v>
      </c>
      <c r="E3532" s="5">
        <v>-28090</v>
      </c>
      <c r="F3532" s="3" t="s">
        <v>174</v>
      </c>
      <c r="G3532" s="3" t="s">
        <v>48</v>
      </c>
      <c r="H3532" s="2" t="s">
        <v>21</v>
      </c>
      <c r="I3532" s="2" t="s">
        <v>7347</v>
      </c>
      <c r="J3532" s="3" t="str">
        <f>HYPERLINK("https://www.boe.es/gazeta/dias/1823/02/02/pdfs/GMD-1823-35.pdf#page=3","Abrir facsímil")</f>
        <v>Abrir facsímil</v>
      </c>
      <c r="K3532" s="3" t="s">
        <v>23</v>
      </c>
    </row>
    <row r="3533" spans="1:11" ht="42" customHeight="1">
      <c r="A3533" s="2" t="s">
        <v>7344</v>
      </c>
      <c r="B3533" s="2" t="s">
        <v>7344</v>
      </c>
      <c r="C3533" s="2" t="s">
        <v>79</v>
      </c>
      <c r="D3533" s="2" t="s">
        <v>74</v>
      </c>
      <c r="E3533" s="5">
        <v>-28077</v>
      </c>
      <c r="F3533" s="3" t="s">
        <v>536</v>
      </c>
      <c r="G3533" s="3" t="s">
        <v>34</v>
      </c>
      <c r="H3533" s="2" t="s">
        <v>21</v>
      </c>
      <c r="I3533" s="2" t="s">
        <v>7348</v>
      </c>
      <c r="J3533" s="3" t="str">
        <f>HYPERLINK("https://www.boe.es/gazeta/dias/1823/02/15/pdfs/GMD-1823-49.pdf#page=5","Abrir facsímil")</f>
        <v>Abrir facsímil</v>
      </c>
      <c r="K3533" s="3" t="s">
        <v>23</v>
      </c>
    </row>
    <row r="3534" spans="1:11" ht="42" customHeight="1">
      <c r="A3534" s="2" t="s">
        <v>7344</v>
      </c>
      <c r="B3534" s="2" t="s">
        <v>7344</v>
      </c>
      <c r="C3534" s="2" t="s">
        <v>17</v>
      </c>
      <c r="D3534" s="2" t="s">
        <v>18</v>
      </c>
      <c r="E3534" s="5">
        <v>-28076</v>
      </c>
      <c r="F3534" s="3" t="s">
        <v>1638</v>
      </c>
      <c r="G3534" s="3" t="s">
        <v>20</v>
      </c>
      <c r="H3534" s="2" t="s">
        <v>21</v>
      </c>
      <c r="I3534" s="2" t="s">
        <v>7349</v>
      </c>
      <c r="J3534" s="3" t="str">
        <f>HYPERLINK("https://www.boe.es/gazeta/dias/1823/02/16/pdfs/GMD-1823-50.pdf#page=4","Abrir facsímil")</f>
        <v>Abrir facsímil</v>
      </c>
      <c r="K3534" s="3" t="s">
        <v>23</v>
      </c>
    </row>
    <row r="3535" spans="1:11" ht="42" customHeight="1">
      <c r="A3535" s="2" t="s">
        <v>7344</v>
      </c>
      <c r="B3535" s="2" t="s">
        <v>7344</v>
      </c>
      <c r="C3535" s="2" t="s">
        <v>17</v>
      </c>
      <c r="D3535" s="2" t="s">
        <v>18</v>
      </c>
      <c r="E3535" s="5">
        <v>-28061</v>
      </c>
      <c r="F3535" s="3" t="s">
        <v>704</v>
      </c>
      <c r="G3535" s="3" t="s">
        <v>39</v>
      </c>
      <c r="H3535" s="2" t="s">
        <v>21</v>
      </c>
      <c r="I3535" s="2" t="s">
        <v>7350</v>
      </c>
      <c r="J3535" s="3" t="str">
        <f>HYPERLINK("https://www.boe.es/gazeta/dias/1823/03/03/pdfs/GMD-1823-66.pdf#page=1","Abrir facsímil")</f>
        <v>Abrir facsímil</v>
      </c>
      <c r="K3535" s="3" t="s">
        <v>23</v>
      </c>
    </row>
    <row r="3536" spans="1:11" ht="42" customHeight="1">
      <c r="A3536" s="2" t="s">
        <v>7344</v>
      </c>
      <c r="B3536" s="2" t="s">
        <v>7344</v>
      </c>
      <c r="C3536" s="2" t="s">
        <v>56</v>
      </c>
      <c r="D3536" s="2" t="s">
        <v>57</v>
      </c>
      <c r="E3536" s="5">
        <v>-28057</v>
      </c>
      <c r="F3536" s="3" t="s">
        <v>301</v>
      </c>
      <c r="G3536" s="3" t="s">
        <v>20</v>
      </c>
      <c r="H3536" s="2" t="s">
        <v>21</v>
      </c>
      <c r="I3536" s="2" t="s">
        <v>7351</v>
      </c>
      <c r="J3536" s="3" t="str">
        <f>HYPERLINK("https://www.boe.es/gazeta/dias/1823/03/07/pdfs/GMD-1823-70.pdf#page=4","Abrir facsímil")</f>
        <v>Abrir facsímil</v>
      </c>
      <c r="K3536" s="3" t="s">
        <v>23</v>
      </c>
    </row>
    <row r="3537" spans="1:11" ht="42" customHeight="1">
      <c r="A3537" s="2" t="s">
        <v>7344</v>
      </c>
      <c r="B3537" s="2" t="s">
        <v>7344</v>
      </c>
      <c r="C3537" s="2" t="s">
        <v>73</v>
      </c>
      <c r="D3537" s="2" t="s">
        <v>74</v>
      </c>
      <c r="E3537" s="5">
        <v>-28053</v>
      </c>
      <c r="F3537" s="3" t="s">
        <v>303</v>
      </c>
      <c r="G3537" s="3" t="s">
        <v>48</v>
      </c>
      <c r="H3537" s="2" t="s">
        <v>21</v>
      </c>
      <c r="I3537" s="2" t="s">
        <v>7352</v>
      </c>
      <c r="J3537" s="3" t="str">
        <f>HYPERLINK("https://www.boe.es/gazeta/dias/1823/03/11/pdfs/GMD-1823-74.pdf#page=3","Abrir facsímil")</f>
        <v>Abrir facsímil</v>
      </c>
      <c r="K3537" s="3" t="s">
        <v>23</v>
      </c>
    </row>
    <row r="3538" spans="1:11" ht="42" customHeight="1">
      <c r="A3538" s="2" t="s">
        <v>7344</v>
      </c>
      <c r="B3538" s="2" t="s">
        <v>7344</v>
      </c>
      <c r="C3538" s="2" t="s">
        <v>56</v>
      </c>
      <c r="D3538" s="2" t="s">
        <v>57</v>
      </c>
      <c r="E3538" s="5">
        <v>-28001</v>
      </c>
      <c r="F3538" s="3" t="s">
        <v>768</v>
      </c>
      <c r="G3538" s="3" t="s">
        <v>34</v>
      </c>
      <c r="H3538" s="2" t="s">
        <v>21</v>
      </c>
      <c r="I3538" s="2" t="s">
        <v>7353</v>
      </c>
      <c r="J3538" s="3" t="str">
        <f>HYPERLINK("https://www.boe.es/gazeta/dias/1823/05/02/pdfs/GES-1823-22.pdf#page=5","Abrir facsímil")</f>
        <v>Abrir facsímil</v>
      </c>
      <c r="K3538" s="3" t="s">
        <v>23</v>
      </c>
    </row>
    <row r="3539" spans="1:11" ht="42" customHeight="1">
      <c r="A3539" s="2" t="s">
        <v>7344</v>
      </c>
      <c r="B3539" s="2" t="s">
        <v>7344</v>
      </c>
      <c r="C3539" s="2" t="s">
        <v>84</v>
      </c>
      <c r="D3539" s="2" t="s">
        <v>74</v>
      </c>
      <c r="E3539" s="5">
        <v>-27983</v>
      </c>
      <c r="F3539" s="3" t="s">
        <v>337</v>
      </c>
      <c r="G3539" s="3" t="s">
        <v>20</v>
      </c>
      <c r="H3539" s="2" t="s">
        <v>21</v>
      </c>
      <c r="I3539" s="2" t="s">
        <v>7354</v>
      </c>
      <c r="J3539" s="3" t="str">
        <f>HYPERLINK("https://www.boe.es/gazeta/dias/1823/05/20/pdfs/GES-1823-40.pdf#page=4","Abrir facsímil")</f>
        <v>Abrir facsímil</v>
      </c>
      <c r="K3539" s="3" t="s">
        <v>23</v>
      </c>
    </row>
    <row r="3540" spans="1:11" ht="42" customHeight="1">
      <c r="A3540" s="2" t="s">
        <v>7344</v>
      </c>
      <c r="B3540" s="2" t="s">
        <v>7344</v>
      </c>
      <c r="C3540" s="2" t="s">
        <v>79</v>
      </c>
      <c r="D3540" s="2" t="s">
        <v>74</v>
      </c>
      <c r="E3540" s="5">
        <v>-27976</v>
      </c>
      <c r="F3540" s="3" t="s">
        <v>1156</v>
      </c>
      <c r="G3540" s="3" t="s">
        <v>39</v>
      </c>
      <c r="H3540" s="2" t="s">
        <v>21</v>
      </c>
      <c r="I3540" s="2" t="s">
        <v>7355</v>
      </c>
      <c r="J3540" s="3" t="str">
        <f>HYPERLINK("https://www.boe.es/gazeta/dias/1823/05/27/pdfs/GES-1823-49.pdf#page=1","Abrir facsímil")</f>
        <v>Abrir facsímil</v>
      </c>
      <c r="K3540" s="3" t="s">
        <v>23</v>
      </c>
    </row>
    <row r="3541" spans="1:11" ht="42" customHeight="1">
      <c r="A3541" s="2" t="s">
        <v>7344</v>
      </c>
      <c r="B3541" s="2" t="s">
        <v>7344</v>
      </c>
      <c r="C3541" s="2" t="s">
        <v>293</v>
      </c>
      <c r="D3541" s="2" t="s">
        <v>74</v>
      </c>
      <c r="E3541" s="5">
        <v>-27972</v>
      </c>
      <c r="F3541" s="3" t="s">
        <v>429</v>
      </c>
      <c r="G3541" s="3" t="s">
        <v>39</v>
      </c>
      <c r="H3541" s="2" t="s">
        <v>21</v>
      </c>
      <c r="I3541" s="2" t="s">
        <v>7356</v>
      </c>
      <c r="J3541" s="3" t="str">
        <f>HYPERLINK("https://www.boe.es/gazeta/dias/1823/05/31/pdfs/GES-1823-54.pdf#page=1","Abrir facsímil")</f>
        <v>Abrir facsímil</v>
      </c>
      <c r="K3541" s="3" t="s">
        <v>23</v>
      </c>
    </row>
    <row r="3542" spans="1:11" ht="42" customHeight="1">
      <c r="A3542" s="2" t="s">
        <v>7344</v>
      </c>
      <c r="B3542" s="2" t="s">
        <v>7344</v>
      </c>
      <c r="C3542" s="2" t="s">
        <v>73</v>
      </c>
      <c r="D3542" s="2" t="s">
        <v>74</v>
      </c>
      <c r="E3542" s="5">
        <v>-27970</v>
      </c>
      <c r="F3542" s="3" t="s">
        <v>1030</v>
      </c>
      <c r="G3542" s="3" t="s">
        <v>27</v>
      </c>
      <c r="H3542" s="2" t="s">
        <v>21</v>
      </c>
      <c r="I3542" s="2" t="s">
        <v>7357</v>
      </c>
      <c r="J3542" s="3" t="str">
        <f>HYPERLINK("https://www.boe.es/gazeta/dias/1823/06/02/pdfs/GES-1823-56.pdf#page=2","Abrir facsímil")</f>
        <v>Abrir facsímil</v>
      </c>
      <c r="K3542" s="3" t="s">
        <v>23</v>
      </c>
    </row>
    <row r="3543" spans="1:11" ht="42" customHeight="1">
      <c r="A3543" s="2" t="s">
        <v>7344</v>
      </c>
      <c r="B3543" s="2" t="s">
        <v>7344</v>
      </c>
      <c r="C3543" s="2" t="s">
        <v>56</v>
      </c>
      <c r="D3543" s="2" t="s">
        <v>57</v>
      </c>
      <c r="E3543" s="5">
        <v>-27935</v>
      </c>
      <c r="F3543" s="3" t="s">
        <v>350</v>
      </c>
      <c r="G3543" s="3" t="s">
        <v>39</v>
      </c>
      <c r="H3543" s="2" t="s">
        <v>21</v>
      </c>
      <c r="I3543" s="2" t="s">
        <v>7358</v>
      </c>
      <c r="J3543" s="3" t="str">
        <f>HYPERLINK("https://www.boe.es/gazeta/dias/1823/07/07/pdfs/GES-1823-87.pdf#page=1","Abrir facsímil")</f>
        <v>Abrir facsímil</v>
      </c>
      <c r="K3543" s="3" t="s">
        <v>23</v>
      </c>
    </row>
    <row r="3544" spans="1:11" ht="42" customHeight="1">
      <c r="A3544" s="2" t="s">
        <v>7344</v>
      </c>
      <c r="B3544" s="2" t="s">
        <v>7344</v>
      </c>
      <c r="C3544" s="2" t="s">
        <v>109</v>
      </c>
      <c r="D3544" s="2" t="s">
        <v>74</v>
      </c>
      <c r="E3544" s="5">
        <v>-27923</v>
      </c>
      <c r="F3544" s="3" t="s">
        <v>354</v>
      </c>
      <c r="G3544" s="3" t="s">
        <v>39</v>
      </c>
      <c r="H3544" s="2" t="s">
        <v>21</v>
      </c>
      <c r="I3544" s="2" t="s">
        <v>7359</v>
      </c>
      <c r="J3544" s="3" t="str">
        <f>HYPERLINK("https://www.boe.es/gazeta/dias/1823/07/19/pdfs/GES-1823-100.pdf#page=1","Abrir facsímil")</f>
        <v>Abrir facsímil</v>
      </c>
      <c r="K3544" s="3" t="s">
        <v>23</v>
      </c>
    </row>
    <row r="3545" spans="1:11" ht="42" customHeight="1">
      <c r="A3545" s="2" t="s">
        <v>7344</v>
      </c>
      <c r="B3545" s="2" t="s">
        <v>7344</v>
      </c>
      <c r="C3545" s="2" t="s">
        <v>73</v>
      </c>
      <c r="D3545" s="2" t="s">
        <v>74</v>
      </c>
      <c r="E3545" s="5">
        <v>-27915</v>
      </c>
      <c r="F3545" s="3" t="s">
        <v>524</v>
      </c>
      <c r="G3545" s="3" t="s">
        <v>39</v>
      </c>
      <c r="H3545" s="2" t="s">
        <v>21</v>
      </c>
      <c r="I3545" s="2" t="s">
        <v>7360</v>
      </c>
      <c r="J3545" s="3" t="str">
        <f>HYPERLINK("https://www.boe.es/gazeta/dias/1823/07/27/pdfs/GES-1823-108.pdf#page=1","Abrir facsímil")</f>
        <v>Abrir facsímil</v>
      </c>
      <c r="K3545" s="3" t="s">
        <v>23</v>
      </c>
    </row>
    <row r="3546" spans="1:11" ht="42" customHeight="1">
      <c r="A3546" s="2" t="s">
        <v>7344</v>
      </c>
      <c r="B3546" s="2" t="s">
        <v>7344</v>
      </c>
      <c r="C3546" s="2" t="s">
        <v>79</v>
      </c>
      <c r="D3546" s="2" t="s">
        <v>74</v>
      </c>
      <c r="E3546" s="5">
        <v>-27913</v>
      </c>
      <c r="F3546" s="3" t="s">
        <v>821</v>
      </c>
      <c r="G3546" s="3" t="s">
        <v>1204</v>
      </c>
      <c r="H3546" s="2" t="s">
        <v>21</v>
      </c>
      <c r="I3546" s="2" t="s">
        <v>7361</v>
      </c>
      <c r="J3546" s="3" t="str">
        <f>HYPERLINK("https://www.boe.es/gazeta/dias/1823/07/29/pdfs/GES-1823-110.pdf#page=2","Abrir facsímil")</f>
        <v>Abrir facsímil</v>
      </c>
      <c r="K3546" s="3" t="s">
        <v>23</v>
      </c>
    </row>
    <row r="3547" spans="1:11" ht="42" customHeight="1">
      <c r="A3547" s="2" t="s">
        <v>7344</v>
      </c>
      <c r="B3547" s="2" t="s">
        <v>7344</v>
      </c>
      <c r="C3547" s="2" t="s">
        <v>79</v>
      </c>
      <c r="D3547" s="2" t="s">
        <v>74</v>
      </c>
      <c r="E3547" s="5">
        <v>-27913</v>
      </c>
      <c r="F3547" s="3" t="s">
        <v>821</v>
      </c>
      <c r="G3547" s="3" t="s">
        <v>39</v>
      </c>
      <c r="H3547" s="2" t="s">
        <v>21</v>
      </c>
      <c r="I3547" s="2" t="s">
        <v>7362</v>
      </c>
      <c r="J3547" s="3" t="str">
        <f>HYPERLINK("https://www.boe.es/gazeta/dias/1823/07/29/pdfs/GES-1823-110.pdf#page=1","Abrir facsímil")</f>
        <v>Abrir facsímil</v>
      </c>
      <c r="K3547" s="3" t="s">
        <v>23</v>
      </c>
    </row>
    <row r="3548" spans="1:11" ht="42" customHeight="1">
      <c r="A3548" s="2" t="s">
        <v>7344</v>
      </c>
      <c r="B3548" s="2" t="s">
        <v>7344</v>
      </c>
      <c r="C3548" s="2" t="s">
        <v>56</v>
      </c>
      <c r="D3548" s="2" t="s">
        <v>57</v>
      </c>
      <c r="E3548" s="5">
        <v>-27911</v>
      </c>
      <c r="F3548" s="3" t="s">
        <v>368</v>
      </c>
      <c r="G3548" s="3" t="s">
        <v>48</v>
      </c>
      <c r="H3548" s="2" t="s">
        <v>21</v>
      </c>
      <c r="I3548" s="2" t="s">
        <v>7363</v>
      </c>
      <c r="J3548" s="3" t="str">
        <f>HYPERLINK("https://www.boe.es/gazeta/dias/1823/07/31/pdfs/GES-1823-112.pdf#page=3","Abrir facsímil")</f>
        <v>Abrir facsímil</v>
      </c>
      <c r="K3548" s="3" t="s">
        <v>23</v>
      </c>
    </row>
    <row r="3549" spans="1:11" ht="42" customHeight="1">
      <c r="A3549" s="2" t="s">
        <v>7344</v>
      </c>
      <c r="B3549" s="2" t="s">
        <v>7344</v>
      </c>
      <c r="C3549" s="2" t="s">
        <v>56</v>
      </c>
      <c r="D3549" s="2" t="s">
        <v>57</v>
      </c>
      <c r="E3549" s="5">
        <v>-27910</v>
      </c>
      <c r="F3549" s="3" t="s">
        <v>38</v>
      </c>
      <c r="G3549" s="3" t="s">
        <v>20</v>
      </c>
      <c r="H3549" s="2" t="s">
        <v>21</v>
      </c>
      <c r="I3549" s="2" t="s">
        <v>7364</v>
      </c>
      <c r="J3549" s="3" t="str">
        <f>HYPERLINK("https://www.boe.es/gazeta/dias/1823/08/01/pdfs/GES-1823-113.pdf#page=4","Abrir facsímil")</f>
        <v>Abrir facsímil</v>
      </c>
      <c r="K3549" s="3" t="s">
        <v>23</v>
      </c>
    </row>
    <row r="3550" spans="1:11" ht="42" customHeight="1">
      <c r="A3550" s="2" t="s">
        <v>7344</v>
      </c>
      <c r="B3550" s="2" t="s">
        <v>7344</v>
      </c>
      <c r="C3550" s="2" t="s">
        <v>17</v>
      </c>
      <c r="D3550" s="2" t="s">
        <v>18</v>
      </c>
      <c r="E3550" s="5">
        <v>-27909</v>
      </c>
      <c r="F3550" s="3" t="s">
        <v>948</v>
      </c>
      <c r="G3550" s="3" t="s">
        <v>20</v>
      </c>
      <c r="H3550" s="2" t="s">
        <v>21</v>
      </c>
      <c r="I3550" s="2" t="s">
        <v>7365</v>
      </c>
      <c r="J3550" s="3" t="str">
        <f>HYPERLINK("https://www.boe.es/gazeta/dias/1823/08/02/pdfs/GES-1823-114.pdf#page=4","Abrir facsímil")</f>
        <v>Abrir facsímil</v>
      </c>
      <c r="K3550" s="3" t="s">
        <v>23</v>
      </c>
    </row>
    <row r="3551" spans="1:11" ht="42" customHeight="1">
      <c r="A3551" s="2" t="s">
        <v>7344</v>
      </c>
      <c r="B3551" s="2" t="s">
        <v>7344</v>
      </c>
      <c r="C3551" s="2" t="s">
        <v>109</v>
      </c>
      <c r="D3551" s="2" t="s">
        <v>74</v>
      </c>
      <c r="E3551" s="5">
        <v>-27908</v>
      </c>
      <c r="F3551" s="3" t="s">
        <v>80</v>
      </c>
      <c r="G3551" s="3" t="s">
        <v>27</v>
      </c>
      <c r="H3551" s="2" t="s">
        <v>21</v>
      </c>
      <c r="I3551" s="2" t="s">
        <v>7366</v>
      </c>
      <c r="J3551" s="3" t="str">
        <f>HYPERLINK("https://www.boe.es/gazeta/dias/1823/08/03/pdfs/GES-1823-115.pdf#page=2","Abrir facsímil")</f>
        <v>Abrir facsímil</v>
      </c>
      <c r="K3551" s="3" t="s">
        <v>23</v>
      </c>
    </row>
    <row r="3552" spans="1:11" ht="42" customHeight="1">
      <c r="A3552" s="2" t="s">
        <v>7344</v>
      </c>
      <c r="B3552" s="2" t="s">
        <v>7344</v>
      </c>
      <c r="C3552" s="2" t="s">
        <v>109</v>
      </c>
      <c r="D3552" s="2" t="s">
        <v>74</v>
      </c>
      <c r="E3552" s="5">
        <v>-27873</v>
      </c>
      <c r="F3552" s="3" t="s">
        <v>160</v>
      </c>
      <c r="G3552" s="3" t="s">
        <v>27</v>
      </c>
      <c r="H3552" s="2" t="s">
        <v>21</v>
      </c>
      <c r="I3552" s="2" t="s">
        <v>7367</v>
      </c>
      <c r="J3552" s="3" t="str">
        <f>HYPERLINK("https://www.boe.es/gazeta/dias/1823/09/07/pdfs/GES-1823-151.pdf#page=2","Abrir facsímil")</f>
        <v>Abrir facsímil</v>
      </c>
      <c r="K3552" s="3" t="s">
        <v>23</v>
      </c>
    </row>
    <row r="3553" spans="1:11" ht="42" customHeight="1">
      <c r="A3553" s="2" t="s">
        <v>7344</v>
      </c>
      <c r="B3553" s="2" t="s">
        <v>7344</v>
      </c>
      <c r="C3553" s="2" t="s">
        <v>79</v>
      </c>
      <c r="D3553" s="2" t="s">
        <v>74</v>
      </c>
      <c r="E3553" s="5">
        <v>-27872</v>
      </c>
      <c r="F3553" s="3" t="s">
        <v>374</v>
      </c>
      <c r="G3553" s="3" t="s">
        <v>48</v>
      </c>
      <c r="H3553" s="2" t="s">
        <v>21</v>
      </c>
      <c r="I3553" s="2" t="s">
        <v>7368</v>
      </c>
      <c r="J3553" s="3" t="str">
        <f>HYPERLINK("https://www.boe.es/gazeta/dias/1823/09/08/pdfs/GES-1823-152.pdf#page=3","Abrir facsímil")</f>
        <v>Abrir facsímil</v>
      </c>
      <c r="K3553" s="3" t="s">
        <v>23</v>
      </c>
    </row>
    <row r="3554" spans="1:11" ht="42" customHeight="1">
      <c r="A3554" s="2" t="s">
        <v>7344</v>
      </c>
      <c r="B3554" s="2" t="s">
        <v>7344</v>
      </c>
      <c r="C3554" s="2" t="s">
        <v>325</v>
      </c>
      <c r="D3554" s="2" t="s">
        <v>74</v>
      </c>
      <c r="E3554" s="5">
        <v>-27855</v>
      </c>
      <c r="F3554" s="3" t="s">
        <v>380</v>
      </c>
      <c r="G3554" s="3" t="s">
        <v>20</v>
      </c>
      <c r="H3554" s="2" t="s">
        <v>21</v>
      </c>
      <c r="I3554" s="2" t="s">
        <v>7369</v>
      </c>
      <c r="J3554" s="3" t="str">
        <f>HYPERLINK("https://www.boe.es/gazeta/dias/1823/09/25/pdfs/GMD-1823-853.pdf#page=4","Abrir facsímil")</f>
        <v>Abrir facsímil</v>
      </c>
      <c r="K3554" s="3" t="s">
        <v>23</v>
      </c>
    </row>
    <row r="3555" spans="1:11" ht="42" customHeight="1">
      <c r="A3555" s="2" t="s">
        <v>7370</v>
      </c>
      <c r="B3555" s="2" t="s">
        <v>7370</v>
      </c>
      <c r="C3555" s="2" t="s">
        <v>79</v>
      </c>
      <c r="D3555" s="2" t="s">
        <v>74</v>
      </c>
      <c r="E3555" s="5">
        <v>-27928</v>
      </c>
      <c r="F3555" s="3" t="s">
        <v>1316</v>
      </c>
      <c r="G3555" s="3" t="s">
        <v>3173</v>
      </c>
      <c r="H3555" s="2" t="s">
        <v>21</v>
      </c>
      <c r="I3555" s="2" t="s">
        <v>7371</v>
      </c>
      <c r="J3555" s="3" t="str">
        <f>HYPERLINK("https://www.boe.es/gazeta/dias/1823/07/14/pdfs/GES-1823-94.pdf#page=1","Abrir facsímil")</f>
        <v>Abrir facsímil</v>
      </c>
      <c r="K3555" s="3" t="s">
        <v>23</v>
      </c>
    </row>
    <row r="3556" spans="1:11" ht="42" customHeight="1">
      <c r="A3556" s="2" t="s">
        <v>7372</v>
      </c>
      <c r="B3556" s="2" t="s">
        <v>7372</v>
      </c>
      <c r="C3556" s="2" t="s">
        <v>17</v>
      </c>
      <c r="D3556" s="2" t="s">
        <v>18</v>
      </c>
      <c r="E3556" s="5">
        <v>-27904</v>
      </c>
      <c r="F3556" s="3" t="s">
        <v>1227</v>
      </c>
      <c r="G3556" s="3" t="s">
        <v>59</v>
      </c>
      <c r="H3556" s="2" t="s">
        <v>21</v>
      </c>
      <c r="I3556" s="2" t="s">
        <v>7373</v>
      </c>
      <c r="J3556" s="3" t="str">
        <f>HYPERLINK("https://www.boe.es/gazeta/dias/1823/08/07/pdfs/GMD-1823-543.pdf#page=6","Abrir facsímil")</f>
        <v>Abrir facsímil</v>
      </c>
      <c r="K3556" s="3" t="s">
        <v>23</v>
      </c>
    </row>
    <row r="3557" spans="1:11" ht="42" customHeight="1">
      <c r="A3557" s="2" t="s">
        <v>7374</v>
      </c>
      <c r="B3557" s="2" t="s">
        <v>7375</v>
      </c>
      <c r="C3557" s="2" t="s">
        <v>17</v>
      </c>
      <c r="D3557" s="2" t="s">
        <v>18</v>
      </c>
      <c r="E3557" s="5">
        <v>-27862</v>
      </c>
      <c r="F3557" s="3" t="s">
        <v>1530</v>
      </c>
      <c r="G3557" s="3" t="s">
        <v>39</v>
      </c>
      <c r="H3557" s="2" t="s">
        <v>21</v>
      </c>
      <c r="I3557" s="2" t="s">
        <v>7376</v>
      </c>
      <c r="J3557" s="3" t="str">
        <f>HYPERLINK("https://www.boe.es/gazeta/dias/1823/09/18/pdfs/GMD-1823-803.pdf#page=1","Abrir facsímil")</f>
        <v>Abrir facsímil</v>
      </c>
      <c r="K3557" s="3" t="s">
        <v>23</v>
      </c>
    </row>
    <row r="3558" spans="1:11" ht="42" customHeight="1">
      <c r="A3558" s="2" t="s">
        <v>7377</v>
      </c>
      <c r="B3558" s="2" t="s">
        <v>7378</v>
      </c>
      <c r="C3558" s="2" t="s">
        <v>17</v>
      </c>
      <c r="D3558" s="2" t="s">
        <v>18</v>
      </c>
      <c r="E3558" s="5">
        <v>-27925</v>
      </c>
      <c r="F3558" s="3" t="s">
        <v>1744</v>
      </c>
      <c r="G3558" s="3" t="s">
        <v>39</v>
      </c>
      <c r="H3558" s="2" t="s">
        <v>21</v>
      </c>
      <c r="I3558" s="2" t="s">
        <v>7379</v>
      </c>
      <c r="J3558" s="3" t="str">
        <f>HYPERLINK("https://www.boe.es/gazeta/dias/1823/07/17/pdfs/GMD-1823-413.pdf#page=1","Abrir facsímil")</f>
        <v>Abrir facsímil</v>
      </c>
      <c r="K3558" s="3" t="s">
        <v>23</v>
      </c>
    </row>
    <row r="3559" spans="1:11" ht="42" customHeight="1">
      <c r="A3559" s="2" t="s">
        <v>7380</v>
      </c>
      <c r="B3559" s="2" t="s">
        <v>7380</v>
      </c>
      <c r="C3559" s="2" t="s">
        <v>56</v>
      </c>
      <c r="D3559" s="2" t="s">
        <v>57</v>
      </c>
      <c r="E3559" s="5">
        <v>-28081</v>
      </c>
      <c r="F3559" s="3" t="s">
        <v>170</v>
      </c>
      <c r="G3559" s="3" t="s">
        <v>48</v>
      </c>
      <c r="H3559" s="2" t="s">
        <v>21</v>
      </c>
      <c r="I3559" s="2" t="s">
        <v>7381</v>
      </c>
      <c r="J3559" s="3" t="str">
        <f>HYPERLINK("https://www.boe.es/gazeta/dias/1823/02/11/pdfs/GMD-1823-45.pdf#page=3","Abrir facsímil")</f>
        <v>Abrir facsímil</v>
      </c>
      <c r="K3559" s="3" t="s">
        <v>23</v>
      </c>
    </row>
    <row r="3560" spans="1:11" ht="42" customHeight="1">
      <c r="A3560" s="2" t="s">
        <v>7382</v>
      </c>
      <c r="B3560" s="2" t="s">
        <v>7383</v>
      </c>
      <c r="C3560" s="2" t="s">
        <v>17</v>
      </c>
      <c r="D3560" s="2" t="s">
        <v>18</v>
      </c>
      <c r="E3560" s="5">
        <v>-28081</v>
      </c>
      <c r="F3560" s="3" t="s">
        <v>170</v>
      </c>
      <c r="G3560" s="3" t="s">
        <v>48</v>
      </c>
      <c r="H3560" s="2" t="s">
        <v>21</v>
      </c>
      <c r="I3560" s="2" t="s">
        <v>7384</v>
      </c>
      <c r="J3560" s="3" t="str">
        <f>HYPERLINK("https://www.boe.es/gazeta/dias/1823/02/11/pdfs/GMD-1823-45.pdf#page=3","Abrir facsímil")</f>
        <v>Abrir facsímil</v>
      </c>
      <c r="K3560" s="3" t="s">
        <v>23</v>
      </c>
    </row>
    <row r="3561" spans="1:11" ht="42" customHeight="1">
      <c r="A3561" s="2" t="s">
        <v>7385</v>
      </c>
      <c r="B3561" s="2" t="s">
        <v>7386</v>
      </c>
      <c r="C3561" s="2" t="s">
        <v>17</v>
      </c>
      <c r="D3561" s="2" t="s">
        <v>18</v>
      </c>
      <c r="E3561" s="5">
        <v>-27969</v>
      </c>
      <c r="F3561" s="3" t="s">
        <v>204</v>
      </c>
      <c r="G3561" s="3" t="s">
        <v>39</v>
      </c>
      <c r="H3561" s="2" t="s">
        <v>21</v>
      </c>
      <c r="I3561" s="2" t="s">
        <v>7387</v>
      </c>
      <c r="J3561" s="3" t="str">
        <f>HYPERLINK("https://www.boe.es/gazeta/dias/1823/06/03/pdfs/GMD-1823-53.pdf#page=1","Abrir facsímil")</f>
        <v>Abrir facsímil</v>
      </c>
      <c r="K3561" s="3" t="s">
        <v>23</v>
      </c>
    </row>
    <row r="3562" spans="1:11" ht="42" customHeight="1">
      <c r="A3562" s="2" t="s">
        <v>7388</v>
      </c>
      <c r="B3562" s="2" t="s">
        <v>7389</v>
      </c>
      <c r="C3562" s="2" t="s">
        <v>17</v>
      </c>
      <c r="D3562" s="2" t="s">
        <v>18</v>
      </c>
      <c r="E3562" s="5">
        <v>-27982</v>
      </c>
      <c r="F3562" s="3" t="s">
        <v>340</v>
      </c>
      <c r="G3562" s="3" t="s">
        <v>59</v>
      </c>
      <c r="H3562" s="2" t="s">
        <v>21</v>
      </c>
      <c r="I3562" s="2" t="s">
        <v>7390</v>
      </c>
      <c r="J3562" s="3" t="str">
        <f>HYPERLINK("https://www.boe.es/gazeta/dias/1823/05/21/pdfs/GES-1823-42.pdf#page=6","Abrir facsímil")</f>
        <v>Abrir facsímil</v>
      </c>
      <c r="K3562" s="3" t="s">
        <v>23</v>
      </c>
    </row>
    <row r="3563" spans="1:11" ht="42" customHeight="1">
      <c r="A3563" s="2" t="s">
        <v>7391</v>
      </c>
      <c r="B3563" s="2" t="s">
        <v>7392</v>
      </c>
      <c r="C3563" s="2" t="s">
        <v>73</v>
      </c>
      <c r="D3563" s="2" t="s">
        <v>74</v>
      </c>
      <c r="E3563" s="5">
        <v>-27778</v>
      </c>
      <c r="F3563" s="3" t="s">
        <v>1343</v>
      </c>
      <c r="G3563" s="3" t="s">
        <v>20</v>
      </c>
      <c r="H3563" s="2" t="s">
        <v>21</v>
      </c>
      <c r="I3563" s="2" t="s">
        <v>7393</v>
      </c>
      <c r="J3563" s="3" t="str">
        <f>HYPERLINK("https://www.boe.es/gazeta/dias/1823/12/11/pdfs/GMD-1823-1233.pdf#page=4","Abrir facsímil")</f>
        <v>Abrir facsímil</v>
      </c>
      <c r="K3563" s="3" t="s">
        <v>23</v>
      </c>
    </row>
    <row r="3564" spans="1:11" ht="42" customHeight="1">
      <c r="A3564" s="2" t="s">
        <v>7394</v>
      </c>
      <c r="B3564" s="2" t="s">
        <v>7394</v>
      </c>
      <c r="C3564" s="2" t="s">
        <v>79</v>
      </c>
      <c r="D3564" s="2" t="s">
        <v>74</v>
      </c>
      <c r="E3564" s="5">
        <v>-27778</v>
      </c>
      <c r="F3564" s="3" t="s">
        <v>1343</v>
      </c>
      <c r="G3564" s="3" t="s">
        <v>20</v>
      </c>
      <c r="H3564" s="2" t="s">
        <v>21</v>
      </c>
      <c r="I3564" s="2" t="s">
        <v>7395</v>
      </c>
      <c r="J3564" s="3" t="str">
        <f>HYPERLINK("https://www.boe.es/gazeta/dias/1823/12/11/pdfs/GMD-1823-1233.pdf#page=4","Abrir facsímil")</f>
        <v>Abrir facsímil</v>
      </c>
      <c r="K3564" s="3" t="s">
        <v>23</v>
      </c>
    </row>
    <row r="3565" spans="1:11" ht="42" customHeight="1">
      <c r="A3565" s="2" t="s">
        <v>7396</v>
      </c>
      <c r="B3565" s="2" t="s">
        <v>7397</v>
      </c>
      <c r="C3565" s="2" t="s">
        <v>17</v>
      </c>
      <c r="D3565" s="2" t="s">
        <v>18</v>
      </c>
      <c r="E3565" s="5">
        <v>-28066</v>
      </c>
      <c r="F3565" s="3" t="s">
        <v>19</v>
      </c>
      <c r="G3565" s="3" t="s">
        <v>20</v>
      </c>
      <c r="H3565" s="2" t="s">
        <v>21</v>
      </c>
      <c r="I3565" s="2" t="s">
        <v>7398</v>
      </c>
      <c r="J3565" s="3" t="str">
        <f>HYPERLINK("https://www.boe.es/gazeta/dias/1823/02/26/pdfs/GMD-1823-60.pdf#page=4","Abrir facsímil")</f>
        <v>Abrir facsímil</v>
      </c>
      <c r="K3565" s="3" t="s">
        <v>23</v>
      </c>
    </row>
    <row r="3566" spans="1:11" ht="42" customHeight="1">
      <c r="A3566" s="2" t="s">
        <v>7399</v>
      </c>
      <c r="B3566" s="2" t="s">
        <v>7400</v>
      </c>
      <c r="C3566" s="2" t="s">
        <v>73</v>
      </c>
      <c r="D3566" s="2" t="s">
        <v>74</v>
      </c>
      <c r="E3566" s="5">
        <v>-28031</v>
      </c>
      <c r="F3566" s="3" t="s">
        <v>1211</v>
      </c>
      <c r="G3566" s="3" t="s">
        <v>20</v>
      </c>
      <c r="H3566" s="2" t="s">
        <v>21</v>
      </c>
      <c r="I3566" s="2" t="s">
        <v>7401</v>
      </c>
      <c r="J3566" s="3" t="str">
        <f>HYPERLINK("https://www.boe.es/gazeta/dias/1823/04/02/pdfs/GMD-1823-96.pdf#page=4","Abrir facsímil")</f>
        <v>Abrir facsímil</v>
      </c>
      <c r="K3566" s="3" t="s">
        <v>23</v>
      </c>
    </row>
    <row r="3567" spans="1:11" ht="42" customHeight="1">
      <c r="A3567" s="2" t="s">
        <v>7402</v>
      </c>
      <c r="B3567" s="2" t="s">
        <v>7402</v>
      </c>
      <c r="C3567" s="2" t="s">
        <v>17</v>
      </c>
      <c r="D3567" s="2" t="s">
        <v>117</v>
      </c>
      <c r="E3567" s="5">
        <v>-28103</v>
      </c>
      <c r="F3567" s="3" t="s">
        <v>7403</v>
      </c>
      <c r="G3567" s="3" t="s">
        <v>39</v>
      </c>
      <c r="H3567" s="2" t="s">
        <v>21</v>
      </c>
      <c r="I3567" s="2" t="s">
        <v>7404</v>
      </c>
      <c r="J3567" s="3" t="str">
        <f>HYPERLINK("https://www.boe.es/gazeta/dias/1823/01/20/pdfs/GMD-1823-21E.pdf#page=1","Abrir facsímil")</f>
        <v>Abrir facsímil</v>
      </c>
      <c r="K3567" s="3" t="s">
        <v>23</v>
      </c>
    </row>
    <row r="3568" spans="1:11" ht="42" customHeight="1">
      <c r="A3568" s="2" t="s">
        <v>7402</v>
      </c>
      <c r="B3568" s="2" t="s">
        <v>7402</v>
      </c>
      <c r="C3568" s="2" t="s">
        <v>17</v>
      </c>
      <c r="D3568" s="2" t="s">
        <v>18</v>
      </c>
      <c r="E3568" s="5">
        <v>-28100</v>
      </c>
      <c r="F3568" s="3" t="s">
        <v>737</v>
      </c>
      <c r="G3568" s="3" t="s">
        <v>20</v>
      </c>
      <c r="H3568" s="2" t="s">
        <v>21</v>
      </c>
      <c r="I3568" s="2" t="s">
        <v>7405</v>
      </c>
      <c r="J3568" s="3" t="str">
        <f>HYPERLINK("https://www.boe.es/gazeta/dias/1823/01/23/pdfs/GMD-1823-24.pdf#page=4","Abrir facsímil")</f>
        <v>Abrir facsímil</v>
      </c>
      <c r="K3568" s="3" t="s">
        <v>23</v>
      </c>
    </row>
    <row r="3569" spans="1:11" ht="42" customHeight="1">
      <c r="A3569" s="2" t="s">
        <v>7402</v>
      </c>
      <c r="B3569" s="2" t="s">
        <v>7402</v>
      </c>
      <c r="C3569" s="2" t="s">
        <v>17</v>
      </c>
      <c r="D3569" s="2" t="s">
        <v>18</v>
      </c>
      <c r="E3569" s="5">
        <v>-28096</v>
      </c>
      <c r="F3569" s="3" t="s">
        <v>534</v>
      </c>
      <c r="G3569" s="3" t="s">
        <v>48</v>
      </c>
      <c r="H3569" s="2" t="s">
        <v>21</v>
      </c>
      <c r="I3569" s="2" t="s">
        <v>7406</v>
      </c>
      <c r="J3569" s="3" t="str">
        <f>HYPERLINK("https://www.boe.es/gazeta/dias/1823/01/27/pdfs/GMD-1823-28.pdf#page=3","Abrir facsímil")</f>
        <v>Abrir facsímil</v>
      </c>
      <c r="K3569" s="3" t="s">
        <v>23</v>
      </c>
    </row>
    <row r="3570" spans="1:11" ht="42" customHeight="1">
      <c r="A3570" s="2" t="s">
        <v>7402</v>
      </c>
      <c r="B3570" s="2" t="s">
        <v>7402</v>
      </c>
      <c r="C3570" s="2" t="s">
        <v>17</v>
      </c>
      <c r="D3570" s="2" t="s">
        <v>18</v>
      </c>
      <c r="E3570" s="5">
        <v>-28091</v>
      </c>
      <c r="F3570" s="3" t="s">
        <v>1047</v>
      </c>
      <c r="G3570" s="3" t="s">
        <v>34</v>
      </c>
      <c r="H3570" s="2" t="s">
        <v>21</v>
      </c>
      <c r="I3570" s="2" t="s">
        <v>7407</v>
      </c>
      <c r="J3570" s="3" t="str">
        <f>HYPERLINK("https://www.boe.es/gazeta/dias/1823/02/01/pdfs/GMD-1823-34.pdf#page=5","Abrir facsímil")</f>
        <v>Abrir facsímil</v>
      </c>
      <c r="K3570" s="3" t="s">
        <v>23</v>
      </c>
    </row>
    <row r="3571" spans="1:11" ht="42" customHeight="1">
      <c r="A3571" s="2" t="s">
        <v>7402</v>
      </c>
      <c r="B3571" s="2" t="s">
        <v>7402</v>
      </c>
      <c r="C3571" s="2" t="s">
        <v>17</v>
      </c>
      <c r="D3571" s="2" t="s">
        <v>18</v>
      </c>
      <c r="E3571" s="5">
        <v>-28076</v>
      </c>
      <c r="F3571" s="3" t="s">
        <v>1638</v>
      </c>
      <c r="G3571" s="3" t="s">
        <v>20</v>
      </c>
      <c r="H3571" s="2" t="s">
        <v>21</v>
      </c>
      <c r="I3571" s="2" t="s">
        <v>7408</v>
      </c>
      <c r="J3571" s="3" t="str">
        <f>HYPERLINK("https://www.boe.es/gazeta/dias/1823/02/16/pdfs/GMD-1823-50.pdf#page=4","Abrir facsímil")</f>
        <v>Abrir facsímil</v>
      </c>
      <c r="K3571" s="3" t="s">
        <v>23</v>
      </c>
    </row>
    <row r="3572" spans="1:11" ht="42" customHeight="1">
      <c r="A3572" s="2" t="s">
        <v>7402</v>
      </c>
      <c r="B3572" s="2" t="s">
        <v>7402</v>
      </c>
      <c r="C3572" s="2" t="s">
        <v>17</v>
      </c>
      <c r="D3572" s="2" t="s">
        <v>18</v>
      </c>
      <c r="E3572" s="5">
        <v>-28076</v>
      </c>
      <c r="F3572" s="3" t="s">
        <v>1638</v>
      </c>
      <c r="G3572" s="3" t="s">
        <v>34</v>
      </c>
      <c r="H3572" s="2" t="s">
        <v>21</v>
      </c>
      <c r="I3572" s="2" t="s">
        <v>7409</v>
      </c>
      <c r="J3572" s="3" t="str">
        <f>HYPERLINK("https://www.boe.es/gazeta/dias/1823/02/16/pdfs/GMD-1823-50.pdf#page=5","Abrir facsímil")</f>
        <v>Abrir facsímil</v>
      </c>
      <c r="K3572" s="3" t="s">
        <v>23</v>
      </c>
    </row>
    <row r="3573" spans="1:11" ht="42" customHeight="1">
      <c r="A3573" s="2" t="s">
        <v>7402</v>
      </c>
      <c r="B3573" s="2" t="s">
        <v>7402</v>
      </c>
      <c r="C3573" s="2" t="s">
        <v>17</v>
      </c>
      <c r="D3573" s="2" t="s">
        <v>18</v>
      </c>
      <c r="E3573" s="5">
        <v>-28021</v>
      </c>
      <c r="F3573" s="3" t="s">
        <v>1054</v>
      </c>
      <c r="G3573" s="3" t="s">
        <v>1055</v>
      </c>
      <c r="H3573" s="2" t="s">
        <v>21</v>
      </c>
      <c r="I3573" s="2" t="s">
        <v>7410</v>
      </c>
      <c r="J3573" s="3" t="str">
        <f>HYPERLINK("https://www.boe.es/gazeta/dias/1823/04/12/pdfs/GMD-1823-107.pdf#page=4","Abrir facsímil")</f>
        <v>Abrir facsímil</v>
      </c>
      <c r="K3573" s="3" t="s">
        <v>23</v>
      </c>
    </row>
    <row r="3574" spans="1:11" ht="42" customHeight="1">
      <c r="A3574" s="2" t="s">
        <v>7402</v>
      </c>
      <c r="B3574" s="2" t="s">
        <v>7402</v>
      </c>
      <c r="C3574" s="2" t="s">
        <v>17</v>
      </c>
      <c r="D3574" s="2" t="s">
        <v>18</v>
      </c>
      <c r="E3574" s="5">
        <v>-27987</v>
      </c>
      <c r="F3574" s="3" t="s">
        <v>332</v>
      </c>
      <c r="G3574" s="3" t="s">
        <v>20</v>
      </c>
      <c r="H3574" s="2" t="s">
        <v>21</v>
      </c>
      <c r="I3574" s="2" t="s">
        <v>7411</v>
      </c>
      <c r="J3574" s="3" t="str">
        <f>HYPERLINK("https://www.boe.es/gazeta/dias/1823/05/16/pdfs/GES-1823-36.pdf#page=4","Abrir facsímil")</f>
        <v>Abrir facsímil</v>
      </c>
      <c r="K3574" s="3" t="s">
        <v>23</v>
      </c>
    </row>
    <row r="3575" spans="1:11" ht="42" customHeight="1">
      <c r="A3575" s="2" t="s">
        <v>7402</v>
      </c>
      <c r="B3575" s="2" t="s">
        <v>7402</v>
      </c>
      <c r="C3575" s="2" t="s">
        <v>17</v>
      </c>
      <c r="D3575" s="2" t="s">
        <v>18</v>
      </c>
      <c r="E3575" s="5">
        <v>-27918</v>
      </c>
      <c r="F3575" s="3" t="s">
        <v>218</v>
      </c>
      <c r="G3575" s="3" t="s">
        <v>34</v>
      </c>
      <c r="H3575" s="2" t="s">
        <v>21</v>
      </c>
      <c r="I3575" s="2" t="s">
        <v>7412</v>
      </c>
      <c r="J3575" s="3" t="str">
        <f>HYPERLINK("https://www.boe.es/gazeta/dias/1823/07/24/pdfs/GMD-1823-463.pdf#page=5","Abrir facsímil")</f>
        <v>Abrir facsímil</v>
      </c>
      <c r="K3575" s="3" t="s">
        <v>23</v>
      </c>
    </row>
    <row r="3576" spans="1:11" ht="42" customHeight="1">
      <c r="A3576" s="2" t="s">
        <v>7413</v>
      </c>
      <c r="B3576" s="2" t="s">
        <v>7414</v>
      </c>
      <c r="C3576" s="2" t="s">
        <v>17</v>
      </c>
      <c r="D3576" s="2" t="s">
        <v>18</v>
      </c>
      <c r="E3576" s="5">
        <v>-27991</v>
      </c>
      <c r="F3576" s="3" t="s">
        <v>328</v>
      </c>
      <c r="G3576" s="3" t="s">
        <v>27</v>
      </c>
      <c r="H3576" s="2" t="s">
        <v>21</v>
      </c>
      <c r="I3576" s="2" t="s">
        <v>7415</v>
      </c>
      <c r="J3576" s="3" t="str">
        <f>HYPERLINK("https://www.boe.es/gazeta/dias/1823/05/12/pdfs/GES-1823-32.pdf#page=2","Abrir facsímil")</f>
        <v>Abrir facsímil</v>
      </c>
      <c r="K3576" s="3" t="s">
        <v>23</v>
      </c>
    </row>
    <row r="3577" spans="1:11" ht="42" customHeight="1">
      <c r="A3577" s="2" t="s">
        <v>7416</v>
      </c>
      <c r="B3577" s="2" t="s">
        <v>7416</v>
      </c>
      <c r="C3577" s="2" t="s">
        <v>17</v>
      </c>
      <c r="D3577" s="2" t="s">
        <v>18</v>
      </c>
      <c r="E3577" s="5">
        <v>-28111</v>
      </c>
      <c r="F3577" s="3" t="s">
        <v>275</v>
      </c>
      <c r="G3577" s="3" t="s">
        <v>7417</v>
      </c>
      <c r="H3577" s="2" t="s">
        <v>21</v>
      </c>
      <c r="I3577" s="2" t="s">
        <v>7418</v>
      </c>
      <c r="J3577" s="3" t="str">
        <f>HYPERLINK("https://www.boe.es/gazeta/dias/1823/01/12/pdfs/GMD-1823-12.pdf#page=8","Abrir facsímil")</f>
        <v>Abrir facsímil</v>
      </c>
      <c r="K3577" s="3" t="s">
        <v>23</v>
      </c>
    </row>
    <row r="3578" spans="1:11" ht="42" customHeight="1">
      <c r="A3578" s="2" t="s">
        <v>7419</v>
      </c>
      <c r="B3578" s="2" t="s">
        <v>7419</v>
      </c>
      <c r="C3578" s="2" t="s">
        <v>17</v>
      </c>
      <c r="D3578" s="2" t="s">
        <v>18</v>
      </c>
      <c r="E3578" s="5">
        <v>-27920</v>
      </c>
      <c r="F3578" s="3" t="s">
        <v>1334</v>
      </c>
      <c r="G3578" s="3" t="s">
        <v>48</v>
      </c>
      <c r="H3578" s="2" t="s">
        <v>21</v>
      </c>
      <c r="I3578" s="2" t="s">
        <v>7420</v>
      </c>
      <c r="J3578" s="3" t="str">
        <f>HYPERLINK("https://www.boe.es/gazeta/dias/1823/07/22/pdfs/GMD-1823-443.pdf#page=3","Abrir facsímil")</f>
        <v>Abrir facsímil</v>
      </c>
      <c r="K3578" s="3" t="s">
        <v>23</v>
      </c>
    </row>
    <row r="3579" spans="1:11" ht="42" customHeight="1">
      <c r="A3579" s="2" t="s">
        <v>7421</v>
      </c>
      <c r="B3579" s="2" t="s">
        <v>7422</v>
      </c>
      <c r="C3579" s="2" t="s">
        <v>109</v>
      </c>
      <c r="D3579" s="2" t="s">
        <v>74</v>
      </c>
      <c r="E3579" s="5">
        <v>-27901</v>
      </c>
      <c r="F3579" s="3" t="s">
        <v>840</v>
      </c>
      <c r="G3579" s="3" t="s">
        <v>20</v>
      </c>
      <c r="H3579" s="2" t="s">
        <v>21</v>
      </c>
      <c r="I3579" s="2" t="s">
        <v>7423</v>
      </c>
      <c r="J3579" s="3" t="str">
        <f>HYPERLINK("https://www.boe.es/gazeta/dias/1823/08/10/pdfs/GES-1823-123.pdf#page=4","Abrir facsímil")</f>
        <v>Abrir facsímil</v>
      </c>
      <c r="K3579" s="3" t="s">
        <v>23</v>
      </c>
    </row>
    <row r="3580" spans="1:11" ht="42" customHeight="1">
      <c r="A3580" s="2" t="s">
        <v>7424</v>
      </c>
      <c r="B3580" s="2" t="s">
        <v>7425</v>
      </c>
      <c r="C3580" s="2" t="s">
        <v>17</v>
      </c>
      <c r="D3580" s="2" t="s">
        <v>18</v>
      </c>
      <c r="E3580" s="5">
        <v>-28000</v>
      </c>
      <c r="F3580" s="3" t="s">
        <v>1118</v>
      </c>
      <c r="G3580" s="3" t="s">
        <v>59</v>
      </c>
      <c r="H3580" s="2" t="s">
        <v>21</v>
      </c>
      <c r="I3580" s="2" t="s">
        <v>7426</v>
      </c>
      <c r="J3580" s="3" t="str">
        <f>HYPERLINK("https://www.boe.es/gazeta/dias/1823/05/03/pdfs/GES-1823-23.pdf#page=6","Abrir facsímil")</f>
        <v>Abrir facsímil</v>
      </c>
      <c r="K3580" s="3" t="s">
        <v>23</v>
      </c>
    </row>
    <row r="3581" spans="1:11" ht="42" customHeight="1">
      <c r="A3581" s="2" t="s">
        <v>7427</v>
      </c>
      <c r="B3581" s="2" t="s">
        <v>7428</v>
      </c>
      <c r="C3581" s="2" t="s">
        <v>56</v>
      </c>
      <c r="D3581" s="2" t="s">
        <v>57</v>
      </c>
      <c r="E3581" s="5">
        <v>-27938</v>
      </c>
      <c r="F3581" s="3" t="s">
        <v>101</v>
      </c>
      <c r="G3581" s="3" t="s">
        <v>48</v>
      </c>
      <c r="H3581" s="2" t="s">
        <v>21</v>
      </c>
      <c r="I3581" s="2" t="s">
        <v>7429</v>
      </c>
      <c r="J3581" s="3" t="str">
        <f>HYPERLINK("https://www.boe.es/gazeta/dias/1823/07/04/pdfs/GES-1823-84.pdf#page=3","Abrir facsímil")</f>
        <v>Abrir facsímil</v>
      </c>
      <c r="K3581" s="3" t="s">
        <v>23</v>
      </c>
    </row>
    <row r="3582" spans="1:11" ht="42" customHeight="1">
      <c r="A3582" s="2" t="s">
        <v>7430</v>
      </c>
      <c r="B3582" s="2" t="s">
        <v>7431</v>
      </c>
      <c r="C3582" s="2" t="s">
        <v>109</v>
      </c>
      <c r="D3582" s="2" t="s">
        <v>74</v>
      </c>
      <c r="E3582" s="5">
        <v>-28037</v>
      </c>
      <c r="F3582" s="3" t="s">
        <v>192</v>
      </c>
      <c r="G3582" s="3" t="s">
        <v>20</v>
      </c>
      <c r="H3582" s="2" t="s">
        <v>21</v>
      </c>
      <c r="I3582" s="2" t="s">
        <v>7432</v>
      </c>
      <c r="J3582" s="3" t="str">
        <f>HYPERLINK("https://www.boe.es/gazeta/dias/1823/03/27/pdfs/GMD-1823-90.pdf#page=4","Abrir facsímil")</f>
        <v>Abrir facsímil</v>
      </c>
      <c r="K3582" s="3" t="s">
        <v>23</v>
      </c>
    </row>
    <row r="3583" spans="1:11" ht="42" customHeight="1">
      <c r="A3583" s="2" t="s">
        <v>7433</v>
      </c>
      <c r="B3583" s="2" t="s">
        <v>7434</v>
      </c>
      <c r="C3583" s="2" t="s">
        <v>17</v>
      </c>
      <c r="D3583" s="2" t="s">
        <v>18</v>
      </c>
      <c r="E3583" s="5">
        <v>-28041</v>
      </c>
      <c r="F3583" s="3" t="s">
        <v>873</v>
      </c>
      <c r="G3583" s="3" t="s">
        <v>366</v>
      </c>
      <c r="H3583" s="2" t="s">
        <v>21</v>
      </c>
      <c r="I3583" s="2" t="s">
        <v>7435</v>
      </c>
      <c r="J3583" s="3" t="str">
        <f>HYPERLINK("https://www.boe.es/gazeta/dias/1823/03/23/pdfs/GMD-1823-86.pdf#page=4","Abrir facsímil")</f>
        <v>Abrir facsímil</v>
      </c>
      <c r="K3583" s="3" t="s">
        <v>23</v>
      </c>
    </row>
    <row r="3584" spans="1:11" ht="42" customHeight="1">
      <c r="A3584" s="2" t="s">
        <v>7436</v>
      </c>
      <c r="B3584" s="2" t="s">
        <v>7437</v>
      </c>
      <c r="C3584" s="2" t="s">
        <v>17</v>
      </c>
      <c r="D3584" s="2" t="s">
        <v>18</v>
      </c>
      <c r="E3584" s="5">
        <v>-27920</v>
      </c>
      <c r="F3584" s="3" t="s">
        <v>1334</v>
      </c>
      <c r="G3584" s="3" t="s">
        <v>48</v>
      </c>
      <c r="H3584" s="2" t="s">
        <v>21</v>
      </c>
      <c r="I3584" s="2" t="s">
        <v>7438</v>
      </c>
      <c r="J3584" s="3" t="str">
        <f>HYPERLINK("https://www.boe.es/gazeta/dias/1823/07/22/pdfs/GMD-1823-443.pdf#page=3","Abrir facsímil")</f>
        <v>Abrir facsímil</v>
      </c>
      <c r="K3584" s="3" t="s">
        <v>23</v>
      </c>
    </row>
    <row r="3585" spans="1:11" ht="42" customHeight="1">
      <c r="A3585" s="2" t="s">
        <v>7439</v>
      </c>
      <c r="B3585" s="2" t="s">
        <v>7440</v>
      </c>
      <c r="C3585" s="2" t="s">
        <v>17</v>
      </c>
      <c r="D3585" s="2" t="s">
        <v>18</v>
      </c>
      <c r="E3585" s="5">
        <v>-27972</v>
      </c>
      <c r="F3585" s="3" t="s">
        <v>1515</v>
      </c>
      <c r="G3585" s="3" t="s">
        <v>27</v>
      </c>
      <c r="H3585" s="2" t="s">
        <v>21</v>
      </c>
      <c r="I3585" s="2" t="s">
        <v>7441</v>
      </c>
      <c r="J3585" s="3" t="str">
        <f>HYPERLINK("https://www.boe.es/gazeta/dias/1823/05/31/pdfs/GMD-1823-33.pdf#page=2","Abrir facsímil")</f>
        <v>Abrir facsímil</v>
      </c>
      <c r="K3585" s="3" t="s">
        <v>23</v>
      </c>
    </row>
    <row r="3586" spans="1:11" ht="42" customHeight="1">
      <c r="A3586" s="2" t="s">
        <v>7439</v>
      </c>
      <c r="B3586" s="2" t="s">
        <v>7440</v>
      </c>
      <c r="C3586" s="2" t="s">
        <v>17</v>
      </c>
      <c r="D3586" s="2" t="s">
        <v>18</v>
      </c>
      <c r="E3586" s="5">
        <v>-27969</v>
      </c>
      <c r="F3586" s="3" t="s">
        <v>204</v>
      </c>
      <c r="G3586" s="3" t="s">
        <v>39</v>
      </c>
      <c r="H3586" s="2" t="s">
        <v>21</v>
      </c>
      <c r="I3586" s="2" t="s">
        <v>7442</v>
      </c>
      <c r="J3586" s="3" t="str">
        <f>HYPERLINK("https://www.boe.es/gazeta/dias/1823/06/03/pdfs/GMD-1823-53.pdf#page=1","Abrir facsímil")</f>
        <v>Abrir facsímil</v>
      </c>
      <c r="K3586" s="3" t="s">
        <v>23</v>
      </c>
    </row>
    <row r="3587" spans="1:11" ht="42" customHeight="1">
      <c r="A3587" s="2" t="s">
        <v>7443</v>
      </c>
      <c r="B3587" s="2" t="s">
        <v>7444</v>
      </c>
      <c r="C3587" s="2" t="s">
        <v>17</v>
      </c>
      <c r="D3587" s="2" t="s">
        <v>18</v>
      </c>
      <c r="E3587" s="5">
        <v>-27891</v>
      </c>
      <c r="F3587" s="3" t="s">
        <v>825</v>
      </c>
      <c r="G3587" s="3" t="s">
        <v>20</v>
      </c>
      <c r="H3587" s="2" t="s">
        <v>21</v>
      </c>
      <c r="I3587" s="2" t="s">
        <v>7445</v>
      </c>
      <c r="J3587" s="3" t="str">
        <f>HYPERLINK("https://www.boe.es/gazeta/dias/1823/08/20/pdfs/GES-1823-133.pdf#page=4","Abrir facsímil")</f>
        <v>Abrir facsímil</v>
      </c>
      <c r="K3587" s="3" t="s">
        <v>23</v>
      </c>
    </row>
    <row r="3588" spans="1:11" ht="42" customHeight="1">
      <c r="A3588" s="2" t="s">
        <v>7443</v>
      </c>
      <c r="B3588" s="2" t="s">
        <v>7444</v>
      </c>
      <c r="C3588" s="2" t="s">
        <v>17</v>
      </c>
      <c r="D3588" s="2" t="s">
        <v>18</v>
      </c>
      <c r="E3588" s="5">
        <v>-27879</v>
      </c>
      <c r="F3588" s="3" t="s">
        <v>638</v>
      </c>
      <c r="G3588" s="3" t="s">
        <v>20</v>
      </c>
      <c r="H3588" s="2" t="s">
        <v>21</v>
      </c>
      <c r="I3588" s="2" t="s">
        <v>7446</v>
      </c>
      <c r="J3588" s="3" t="str">
        <f>HYPERLINK("https://www.boe.es/gazeta/dias/1823/09/01/pdfs/GES-1823-145.pdf#page=4","Abrir facsímil")</f>
        <v>Abrir facsímil</v>
      </c>
      <c r="K3588" s="3" t="s">
        <v>23</v>
      </c>
    </row>
    <row r="3589" spans="1:11" ht="42" customHeight="1">
      <c r="A3589" s="2" t="s">
        <v>7447</v>
      </c>
      <c r="B3589" s="2" t="s">
        <v>7448</v>
      </c>
      <c r="C3589" s="2" t="s">
        <v>79</v>
      </c>
      <c r="D3589" s="2" t="s">
        <v>74</v>
      </c>
      <c r="E3589" s="5">
        <v>-27980</v>
      </c>
      <c r="F3589" s="3" t="s">
        <v>1068</v>
      </c>
      <c r="G3589" s="3" t="s">
        <v>39</v>
      </c>
      <c r="H3589" s="2" t="s">
        <v>21</v>
      </c>
      <c r="I3589" s="2" t="s">
        <v>7449</v>
      </c>
      <c r="J3589" s="3" t="str">
        <f>HYPERLINK("https://www.boe.es/gazeta/dias/1823/05/23/pdfs/GES-1823-44.pdf#page=1","Abrir facsímil")</f>
        <v>Abrir facsímil</v>
      </c>
      <c r="K3589" s="3" t="s">
        <v>23</v>
      </c>
    </row>
    <row r="3590" spans="1:11" ht="42" customHeight="1">
      <c r="A3590" s="2" t="s">
        <v>7450</v>
      </c>
      <c r="B3590" s="2" t="s">
        <v>7450</v>
      </c>
      <c r="C3590" s="2" t="s">
        <v>293</v>
      </c>
      <c r="D3590" s="2" t="s">
        <v>74</v>
      </c>
      <c r="E3590" s="5">
        <v>-28030</v>
      </c>
      <c r="F3590" s="3" t="s">
        <v>145</v>
      </c>
      <c r="G3590" s="3" t="s">
        <v>20</v>
      </c>
      <c r="H3590" s="2" t="s">
        <v>21</v>
      </c>
      <c r="I3590" s="2" t="s">
        <v>7451</v>
      </c>
      <c r="J3590" s="3" t="str">
        <f>HYPERLINK("https://www.boe.es/gazeta/dias/1823/04/03/pdfs/GMD-1823-97.pdf#page=4","Abrir facsímil")</f>
        <v>Abrir facsímil</v>
      </c>
      <c r="K3590" s="3" t="s">
        <v>23</v>
      </c>
    </row>
    <row r="3591" spans="1:11" ht="42" customHeight="1">
      <c r="A3591" s="2" t="s">
        <v>7450</v>
      </c>
      <c r="B3591" s="2" t="s">
        <v>7450</v>
      </c>
      <c r="C3591" s="2" t="s">
        <v>17</v>
      </c>
      <c r="D3591" s="2" t="s">
        <v>18</v>
      </c>
      <c r="E3591" s="5">
        <v>-27971</v>
      </c>
      <c r="F3591" s="3" t="s">
        <v>4211</v>
      </c>
      <c r="G3591" s="3" t="s">
        <v>34</v>
      </c>
      <c r="H3591" s="2" t="s">
        <v>21</v>
      </c>
      <c r="I3591" s="2" t="s">
        <v>7452</v>
      </c>
      <c r="J3591" s="3" t="str">
        <f>HYPERLINK("https://www.boe.es/gazeta/dias/1823/06/01/pdfs/GES-1823-55.pdf#page=5","Abrir facsímil")</f>
        <v>Abrir facsímil</v>
      </c>
      <c r="K3591" s="3" t="s">
        <v>23</v>
      </c>
    </row>
    <row r="3592" spans="1:11" ht="42" customHeight="1">
      <c r="A3592" s="2" t="s">
        <v>7453</v>
      </c>
      <c r="B3592" s="2" t="s">
        <v>7453</v>
      </c>
      <c r="C3592" s="2" t="s">
        <v>17</v>
      </c>
      <c r="D3592" s="2" t="s">
        <v>18</v>
      </c>
      <c r="E3592" s="5">
        <v>-27961</v>
      </c>
      <c r="F3592" s="3" t="s">
        <v>52</v>
      </c>
      <c r="G3592" s="3" t="s">
        <v>48</v>
      </c>
      <c r="H3592" s="2" t="s">
        <v>21</v>
      </c>
      <c r="I3592" s="2" t="s">
        <v>7454</v>
      </c>
      <c r="J3592" s="3" t="str">
        <f>HYPERLINK("https://www.boe.es/gazeta/dias/1823/06/11/pdfs/GES-1823-65.pdf#page=3","Abrir facsímil")</f>
        <v>Abrir facsímil</v>
      </c>
      <c r="K3592" s="3" t="s">
        <v>23</v>
      </c>
    </row>
    <row r="3593" spans="1:11" ht="42" customHeight="1">
      <c r="A3593" s="2" t="s">
        <v>7455</v>
      </c>
      <c r="B3593" s="2" t="s">
        <v>7455</v>
      </c>
      <c r="C3593" s="2" t="s">
        <v>17</v>
      </c>
      <c r="D3593" s="2" t="s">
        <v>18</v>
      </c>
      <c r="E3593" s="5">
        <v>-27904</v>
      </c>
      <c r="F3593" s="3" t="s">
        <v>1227</v>
      </c>
      <c r="G3593" s="3" t="s">
        <v>20</v>
      </c>
      <c r="H3593" s="2" t="s">
        <v>21</v>
      </c>
      <c r="I3593" s="2" t="s">
        <v>7456</v>
      </c>
      <c r="J3593" s="3" t="str">
        <f>HYPERLINK("https://www.boe.es/gazeta/dias/1823/08/07/pdfs/GMD-1823-543.pdf#page=4","Abrir facsímil")</f>
        <v>Abrir facsímil</v>
      </c>
      <c r="K3593" s="3" t="s">
        <v>23</v>
      </c>
    </row>
    <row r="3594" spans="1:11" ht="42" customHeight="1">
      <c r="A3594" s="2" t="s">
        <v>7457</v>
      </c>
      <c r="B3594" s="2" t="s">
        <v>7458</v>
      </c>
      <c r="C3594" s="2" t="s">
        <v>17</v>
      </c>
      <c r="D3594" s="2" t="s">
        <v>18</v>
      </c>
      <c r="E3594" s="5">
        <v>-27874</v>
      </c>
      <c r="F3594" s="3" t="s">
        <v>1410</v>
      </c>
      <c r="G3594" s="3" t="s">
        <v>48</v>
      </c>
      <c r="H3594" s="2" t="s">
        <v>21</v>
      </c>
      <c r="I3594" s="2" t="s">
        <v>7459</v>
      </c>
      <c r="J3594" s="3" t="str">
        <f>HYPERLINK("https://www.boe.es/gazeta/dias/1823/09/06/pdfs/GES-1823-150.pdf#page=3","Abrir facsímil")</f>
        <v>Abrir facsímil</v>
      </c>
      <c r="K3594" s="3" t="s">
        <v>23</v>
      </c>
    </row>
    <row r="3595" spans="1:11" ht="42" customHeight="1">
      <c r="A3595" s="2" t="s">
        <v>7460</v>
      </c>
      <c r="B3595" s="2" t="s">
        <v>7460</v>
      </c>
      <c r="C3595" s="2" t="s">
        <v>17</v>
      </c>
      <c r="D3595" s="2" t="s">
        <v>18</v>
      </c>
      <c r="E3595" s="5">
        <v>-27918</v>
      </c>
      <c r="F3595" s="3" t="s">
        <v>218</v>
      </c>
      <c r="G3595" s="3" t="s">
        <v>48</v>
      </c>
      <c r="H3595" s="2" t="s">
        <v>21</v>
      </c>
      <c r="I3595" s="2" t="s">
        <v>7461</v>
      </c>
      <c r="J3595" s="3" t="str">
        <f>HYPERLINK("https://www.boe.es/gazeta/dias/1823/07/24/pdfs/GMD-1823-463.pdf#page=3","Abrir facsímil")</f>
        <v>Abrir facsímil</v>
      </c>
      <c r="K3595" s="3" t="s">
        <v>23</v>
      </c>
    </row>
    <row r="3596" spans="1:11" ht="42" customHeight="1">
      <c r="A3596" s="2" t="s">
        <v>7462</v>
      </c>
      <c r="B3596" s="2" t="s">
        <v>7463</v>
      </c>
      <c r="C3596" s="2" t="s">
        <v>17</v>
      </c>
      <c r="D3596" s="2" t="s">
        <v>18</v>
      </c>
      <c r="E3596" s="5">
        <v>-28001</v>
      </c>
      <c r="F3596" s="3" t="s">
        <v>768</v>
      </c>
      <c r="G3596" s="3" t="s">
        <v>34</v>
      </c>
      <c r="H3596" s="2" t="s">
        <v>21</v>
      </c>
      <c r="I3596" s="2" t="s">
        <v>7464</v>
      </c>
      <c r="J3596" s="3" t="str">
        <f>HYPERLINK("https://www.boe.es/gazeta/dias/1823/05/02/pdfs/GES-1823-22.pdf#page=5","Abrir facsímil")</f>
        <v>Abrir facsímil</v>
      </c>
      <c r="K3596" s="3" t="s">
        <v>23</v>
      </c>
    </row>
    <row r="3597" spans="1:11" ht="42" customHeight="1">
      <c r="A3597" s="2" t="s">
        <v>7465</v>
      </c>
      <c r="B3597" s="2" t="s">
        <v>7465</v>
      </c>
      <c r="C3597" s="2" t="s">
        <v>17</v>
      </c>
      <c r="D3597" s="2" t="s">
        <v>18</v>
      </c>
      <c r="E3597" s="5">
        <v>-28080</v>
      </c>
      <c r="F3597" s="3" t="s">
        <v>1010</v>
      </c>
      <c r="G3597" s="3" t="s">
        <v>27</v>
      </c>
      <c r="H3597" s="2" t="s">
        <v>21</v>
      </c>
      <c r="I3597" s="2" t="s">
        <v>7466</v>
      </c>
      <c r="J3597" s="3" t="str">
        <f>HYPERLINK("https://www.boe.es/gazeta/dias/1823/02/12/pdfs/GMD-1823-46.pdf#page=2","Abrir facsímil")</f>
        <v>Abrir facsímil</v>
      </c>
      <c r="K3597" s="3" t="s">
        <v>23</v>
      </c>
    </row>
    <row r="3598" spans="1:11" ht="42" customHeight="1">
      <c r="A3598" s="2" t="s">
        <v>7467</v>
      </c>
      <c r="B3598" s="2" t="s">
        <v>7468</v>
      </c>
      <c r="C3598" s="2" t="s">
        <v>17</v>
      </c>
      <c r="D3598" s="2" t="s">
        <v>18</v>
      </c>
      <c r="E3598" s="5">
        <v>-27843</v>
      </c>
      <c r="F3598" s="3" t="s">
        <v>790</v>
      </c>
      <c r="G3598" s="3" t="s">
        <v>27</v>
      </c>
      <c r="H3598" s="2" t="s">
        <v>21</v>
      </c>
      <c r="I3598" s="2" t="s">
        <v>7469</v>
      </c>
      <c r="J3598" s="3" t="str">
        <f>HYPERLINK("https://www.boe.es/gazeta/dias/1823/10/07/pdfs/GMD-1823-933.pdf#page=2","Abrir facsímil")</f>
        <v>Abrir facsímil</v>
      </c>
      <c r="K3598" s="3" t="s">
        <v>23</v>
      </c>
    </row>
    <row r="3599" spans="1:11" ht="42" customHeight="1">
      <c r="A3599" s="2" t="s">
        <v>7470</v>
      </c>
      <c r="B3599" s="2" t="s">
        <v>7470</v>
      </c>
      <c r="C3599" s="2" t="s">
        <v>17</v>
      </c>
      <c r="D3599" s="2" t="s">
        <v>18</v>
      </c>
      <c r="E3599" s="5">
        <v>-27923</v>
      </c>
      <c r="F3599" s="3" t="s">
        <v>1225</v>
      </c>
      <c r="G3599" s="3" t="s">
        <v>48</v>
      </c>
      <c r="H3599" s="2" t="s">
        <v>21</v>
      </c>
      <c r="I3599" s="2" t="s">
        <v>7471</v>
      </c>
      <c r="J3599" s="3" t="str">
        <f>HYPERLINK("https://www.boe.es/gazeta/dias/1823/07/19/pdfs/GMD-1823-433.pdf#page=3","Abrir facsímil")</f>
        <v>Abrir facsímil</v>
      </c>
      <c r="K3599" s="3" t="s">
        <v>23</v>
      </c>
    </row>
    <row r="3600" spans="1:11" ht="42" customHeight="1">
      <c r="A3600" s="2" t="s">
        <v>7472</v>
      </c>
      <c r="B3600" s="2" t="s">
        <v>7472</v>
      </c>
      <c r="C3600" s="2" t="s">
        <v>17</v>
      </c>
      <c r="D3600" s="2" t="s">
        <v>18</v>
      </c>
      <c r="E3600" s="5">
        <v>-27916</v>
      </c>
      <c r="F3600" s="3" t="s">
        <v>1558</v>
      </c>
      <c r="G3600" s="3" t="s">
        <v>20</v>
      </c>
      <c r="H3600" s="2" t="s">
        <v>21</v>
      </c>
      <c r="I3600" s="2" t="s">
        <v>7473</v>
      </c>
      <c r="J3600" s="3" t="str">
        <f>HYPERLINK("https://www.boe.es/gazeta/dias/1823/07/26/pdfs/GMD-1823-473.pdf#page=4","Abrir facsímil")</f>
        <v>Abrir facsímil</v>
      </c>
      <c r="K3600" s="3" t="s">
        <v>23</v>
      </c>
    </row>
    <row r="3601" spans="1:11" ht="42" customHeight="1">
      <c r="A3601" s="2" t="s">
        <v>7474</v>
      </c>
      <c r="B3601" s="2" t="s">
        <v>7474</v>
      </c>
      <c r="C3601" s="2" t="s">
        <v>17</v>
      </c>
      <c r="D3601" s="2" t="s">
        <v>18</v>
      </c>
      <c r="E3601" s="5">
        <v>-28065</v>
      </c>
      <c r="F3601" s="3" t="s">
        <v>686</v>
      </c>
      <c r="G3601" s="3" t="s">
        <v>39</v>
      </c>
      <c r="H3601" s="2" t="s">
        <v>21</v>
      </c>
      <c r="I3601" s="2" t="s">
        <v>7475</v>
      </c>
      <c r="J3601" s="3" t="str">
        <f>HYPERLINK("https://www.boe.es/gazeta/dias/1823/02/27/pdfs/GMD-1823-61.pdf#page=1","Abrir facsímil")</f>
        <v>Abrir facsímil</v>
      </c>
      <c r="K3601" s="3" t="s">
        <v>23</v>
      </c>
    </row>
    <row r="3602" spans="1:11" ht="42" customHeight="1">
      <c r="A3602" s="2" t="s">
        <v>7476</v>
      </c>
      <c r="B3602" s="2" t="s">
        <v>7476</v>
      </c>
      <c r="C3602" s="2" t="s">
        <v>56</v>
      </c>
      <c r="D3602" s="2" t="s">
        <v>57</v>
      </c>
      <c r="E3602" s="5">
        <v>-27990</v>
      </c>
      <c r="F3602" s="3" t="s">
        <v>1132</v>
      </c>
      <c r="G3602" s="3" t="s">
        <v>27</v>
      </c>
      <c r="H3602" s="2" t="s">
        <v>21</v>
      </c>
      <c r="I3602" s="2" t="s">
        <v>7477</v>
      </c>
      <c r="J3602" s="3" t="str">
        <f>HYPERLINK("https://www.boe.es/gazeta/dias/1823/05/13/pdfs/GES-1823-33.pdf#page=2","Abrir facsímil")</f>
        <v>Abrir facsímil</v>
      </c>
      <c r="K3602" s="3" t="s">
        <v>23</v>
      </c>
    </row>
    <row r="3603" spans="1:11" ht="42" customHeight="1">
      <c r="A3603" s="2" t="s">
        <v>7478</v>
      </c>
      <c r="B3603" s="2" t="s">
        <v>7478</v>
      </c>
      <c r="C3603" s="2" t="s">
        <v>79</v>
      </c>
      <c r="D3603" s="2" t="s">
        <v>74</v>
      </c>
      <c r="E3603" s="5">
        <v>-27952</v>
      </c>
      <c r="F3603" s="3" t="s">
        <v>929</v>
      </c>
      <c r="G3603" s="3" t="s">
        <v>27</v>
      </c>
      <c r="H3603" s="2" t="s">
        <v>21</v>
      </c>
      <c r="I3603" s="2" t="s">
        <v>7479</v>
      </c>
      <c r="J3603" s="3" t="str">
        <f>HYPERLINK("https://www.boe.es/gazeta/dias/1823/06/20/pdfs/GES-1823-68.pdf#page=2","Abrir facsímil")</f>
        <v>Abrir facsímil</v>
      </c>
      <c r="K3603" s="3" t="s">
        <v>23</v>
      </c>
    </row>
    <row r="3604" spans="1:11" ht="42" customHeight="1">
      <c r="A3604" s="2" t="s">
        <v>7480</v>
      </c>
      <c r="B3604" s="2" t="s">
        <v>7480</v>
      </c>
      <c r="C3604" s="2" t="s">
        <v>79</v>
      </c>
      <c r="D3604" s="2" t="s">
        <v>74</v>
      </c>
      <c r="E3604" s="5">
        <v>-28045</v>
      </c>
      <c r="F3604" s="3" t="s">
        <v>245</v>
      </c>
      <c r="G3604" s="3" t="s">
        <v>48</v>
      </c>
      <c r="H3604" s="2" t="s">
        <v>21</v>
      </c>
      <c r="I3604" s="2" t="s">
        <v>7481</v>
      </c>
      <c r="J3604" s="3" t="str">
        <f>HYPERLINK("https://www.boe.es/gazeta/dias/1823/03/19/pdfs/GMD-1823-82.pdf#page=3","Abrir facsímil")</f>
        <v>Abrir facsímil</v>
      </c>
      <c r="K3604" s="3" t="s">
        <v>23</v>
      </c>
    </row>
    <row r="3605" spans="1:11" ht="42" customHeight="1">
      <c r="A3605" s="2" t="s">
        <v>7482</v>
      </c>
      <c r="B3605" s="2" t="s">
        <v>7482</v>
      </c>
      <c r="C3605" s="2" t="s">
        <v>17</v>
      </c>
      <c r="D3605" s="2" t="s">
        <v>18</v>
      </c>
      <c r="E3605" s="5">
        <v>-27960</v>
      </c>
      <c r="F3605" s="3" t="s">
        <v>741</v>
      </c>
      <c r="G3605" s="3" t="s">
        <v>39</v>
      </c>
      <c r="H3605" s="2" t="s">
        <v>21</v>
      </c>
      <c r="I3605" s="2" t="s">
        <v>7483</v>
      </c>
      <c r="J3605" s="3" t="str">
        <f>HYPERLINK("https://www.boe.es/gazeta/dias/1823/06/12/pdfs/GES-1823-66.pdf#page=1","Abrir facsímil")</f>
        <v>Abrir facsímil</v>
      </c>
      <c r="K3605" s="3" t="s">
        <v>23</v>
      </c>
    </row>
    <row r="3606" spans="1:11" ht="42" customHeight="1">
      <c r="A3606" s="2" t="s">
        <v>7484</v>
      </c>
      <c r="B3606" s="2" t="s">
        <v>7484</v>
      </c>
      <c r="C3606" s="2" t="s">
        <v>73</v>
      </c>
      <c r="D3606" s="2" t="s">
        <v>74</v>
      </c>
      <c r="E3606" s="5">
        <v>-27904</v>
      </c>
      <c r="F3606" s="3" t="s">
        <v>1227</v>
      </c>
      <c r="G3606" s="3" t="s">
        <v>48</v>
      </c>
      <c r="H3606" s="2" t="s">
        <v>21</v>
      </c>
      <c r="I3606" s="2" t="s">
        <v>7485</v>
      </c>
      <c r="J3606" s="3" t="str">
        <f>HYPERLINK("https://www.boe.es/gazeta/dias/1823/08/07/pdfs/GMD-1823-543.pdf#page=3","Abrir facsímil")</f>
        <v>Abrir facsímil</v>
      </c>
      <c r="K3606" s="3" t="s">
        <v>23</v>
      </c>
    </row>
    <row r="3607" spans="1:11" ht="42" customHeight="1">
      <c r="A3607" s="2" t="s">
        <v>7486</v>
      </c>
      <c r="B3607" s="2" t="s">
        <v>7487</v>
      </c>
      <c r="C3607" s="2" t="s">
        <v>17</v>
      </c>
      <c r="D3607" s="2" t="s">
        <v>18</v>
      </c>
      <c r="E3607" s="5">
        <v>-27958</v>
      </c>
      <c r="F3607" s="3" t="s">
        <v>2203</v>
      </c>
      <c r="G3607" s="3" t="s">
        <v>48</v>
      </c>
      <c r="H3607" s="2" t="s">
        <v>21</v>
      </c>
      <c r="I3607" s="2" t="s">
        <v>7488</v>
      </c>
      <c r="J3607" s="3" t="str">
        <f>HYPERLINK("https://www.boe.es/gazeta/dias/1823/06/14/pdfs/GMD-1823-153.pdf#page=3","Abrir facsímil")</f>
        <v>Abrir facsímil</v>
      </c>
      <c r="K3607" s="3" t="s">
        <v>23</v>
      </c>
    </row>
    <row r="3608" spans="1:11" ht="42" customHeight="1">
      <c r="A3608" s="2" t="s">
        <v>7489</v>
      </c>
      <c r="B3608" s="2" t="s">
        <v>7490</v>
      </c>
      <c r="C3608" s="2" t="s">
        <v>17</v>
      </c>
      <c r="D3608" s="2" t="s">
        <v>117</v>
      </c>
      <c r="E3608" s="5">
        <v>-27970</v>
      </c>
      <c r="F3608" s="3" t="s">
        <v>1699</v>
      </c>
      <c r="G3608" s="3" t="s">
        <v>39</v>
      </c>
      <c r="H3608" s="2" t="s">
        <v>21</v>
      </c>
      <c r="I3608" s="2" t="s">
        <v>7491</v>
      </c>
      <c r="J3608" s="3" t="str">
        <f>HYPERLINK("https://www.boe.es/gazeta/dias/1823/06/02/pdfs/GMD-1823-43E.pdf#page=1","Abrir facsímil")</f>
        <v>Abrir facsímil</v>
      </c>
      <c r="K3608" s="3" t="s">
        <v>23</v>
      </c>
    </row>
    <row r="3609" spans="1:11" ht="42" customHeight="1">
      <c r="A3609" s="2" t="s">
        <v>7492</v>
      </c>
      <c r="B3609" s="2" t="s">
        <v>7492</v>
      </c>
      <c r="C3609" s="2" t="s">
        <v>17</v>
      </c>
      <c r="D3609" s="2" t="s">
        <v>18</v>
      </c>
      <c r="E3609" s="5">
        <v>-27958</v>
      </c>
      <c r="F3609" s="3" t="s">
        <v>2203</v>
      </c>
      <c r="G3609" s="3" t="s">
        <v>27</v>
      </c>
      <c r="H3609" s="2" t="s">
        <v>21</v>
      </c>
      <c r="I3609" s="2" t="s">
        <v>7493</v>
      </c>
      <c r="J3609" s="3" t="str">
        <f>HYPERLINK("https://www.boe.es/gazeta/dias/1823/06/14/pdfs/GMD-1823-153.pdf#page=2","Abrir facsímil")</f>
        <v>Abrir facsímil</v>
      </c>
      <c r="K3609" s="3" t="s">
        <v>23</v>
      </c>
    </row>
    <row r="3610" spans="1:11" ht="42" customHeight="1">
      <c r="A3610" s="2" t="s">
        <v>7494</v>
      </c>
      <c r="B3610" s="2" t="s">
        <v>7494</v>
      </c>
      <c r="C3610" s="2" t="s">
        <v>17</v>
      </c>
      <c r="D3610" s="2" t="s">
        <v>18</v>
      </c>
      <c r="E3610" s="5">
        <v>-28010</v>
      </c>
      <c r="F3610" s="3" t="s">
        <v>808</v>
      </c>
      <c r="G3610" s="3" t="s">
        <v>27</v>
      </c>
      <c r="H3610" s="2" t="s">
        <v>21</v>
      </c>
      <c r="I3610" s="2" t="s">
        <v>7495</v>
      </c>
      <c r="J3610" s="3" t="str">
        <f>HYPERLINK("https://www.boe.es/gazeta/dias/1823/04/23/pdfs/GES-1823-13.pdf#page=2","Abrir facsímil")</f>
        <v>Abrir facsímil</v>
      </c>
      <c r="K3610" s="3" t="s">
        <v>23</v>
      </c>
    </row>
    <row r="3611" spans="1:11" ht="42" customHeight="1">
      <c r="A3611" s="2" t="s">
        <v>7496</v>
      </c>
      <c r="B3611" s="2" t="s">
        <v>7497</v>
      </c>
      <c r="C3611" s="2" t="s">
        <v>79</v>
      </c>
      <c r="D3611" s="2" t="s">
        <v>74</v>
      </c>
      <c r="E3611" s="5">
        <v>-27825</v>
      </c>
      <c r="F3611" s="3" t="s">
        <v>2503</v>
      </c>
      <c r="G3611" s="3" t="s">
        <v>48</v>
      </c>
      <c r="H3611" s="2" t="s">
        <v>21</v>
      </c>
      <c r="I3611" s="2" t="s">
        <v>7498</v>
      </c>
      <c r="J3611" s="3" t="str">
        <f>HYPERLINK("https://www.boe.es/gazeta/dias/1823/10/25/pdfs/GMD-1823-1023.pdf#page=3","Abrir facsímil")</f>
        <v>Abrir facsímil</v>
      </c>
      <c r="K3611" s="3" t="s">
        <v>23</v>
      </c>
    </row>
    <row r="3612" spans="1:11" ht="42" customHeight="1">
      <c r="A3612" s="2" t="s">
        <v>7499</v>
      </c>
      <c r="B3612" s="2" t="s">
        <v>7500</v>
      </c>
      <c r="C3612" s="2" t="s">
        <v>84</v>
      </c>
      <c r="D3612" s="2" t="s">
        <v>74</v>
      </c>
      <c r="E3612" s="5">
        <v>-27787</v>
      </c>
      <c r="F3612" s="3" t="s">
        <v>865</v>
      </c>
      <c r="G3612" s="3" t="s">
        <v>39</v>
      </c>
      <c r="H3612" s="2" t="s">
        <v>21</v>
      </c>
      <c r="I3612" s="2" t="s">
        <v>7501</v>
      </c>
      <c r="J3612" s="3" t="str">
        <f>HYPERLINK("https://www.boe.es/gazeta/dias/1823/12/02/pdfs/GMD-1823-1193.pdf#page=1","Abrir facsímil")</f>
        <v>Abrir facsímil</v>
      </c>
      <c r="K3612" s="3" t="s">
        <v>23</v>
      </c>
    </row>
    <row r="3613" spans="1:11" ht="42" customHeight="1">
      <c r="A3613" s="2" t="s">
        <v>7502</v>
      </c>
      <c r="B3613" s="2" t="s">
        <v>7502</v>
      </c>
      <c r="C3613" s="2" t="s">
        <v>17</v>
      </c>
      <c r="D3613" s="2" t="s">
        <v>18</v>
      </c>
      <c r="E3613" s="5">
        <v>-28026</v>
      </c>
      <c r="F3613" s="3" t="s">
        <v>937</v>
      </c>
      <c r="G3613" s="3" t="s">
        <v>5928</v>
      </c>
      <c r="H3613" s="2" t="s">
        <v>21</v>
      </c>
      <c r="I3613" s="2" t="s">
        <v>7503</v>
      </c>
      <c r="J3613" s="3" t="str">
        <f>HYPERLINK("https://www.boe.es/gazeta/dias/1823/04/07/pdfs/GMD-1823-102.pdf#page=2","Abrir facsímil")</f>
        <v>Abrir facsímil</v>
      </c>
      <c r="K3613" s="3" t="s">
        <v>23</v>
      </c>
    </row>
    <row r="3614" spans="1:11" ht="42" customHeight="1">
      <c r="A3614" s="2" t="s">
        <v>7502</v>
      </c>
      <c r="B3614" s="2" t="s">
        <v>7502</v>
      </c>
      <c r="C3614" s="2" t="s">
        <v>56</v>
      </c>
      <c r="D3614" s="2" t="s">
        <v>57</v>
      </c>
      <c r="E3614" s="5">
        <v>-28020</v>
      </c>
      <c r="F3614" s="3" t="s">
        <v>448</v>
      </c>
      <c r="G3614" s="3" t="s">
        <v>5628</v>
      </c>
      <c r="H3614" s="2" t="s">
        <v>21</v>
      </c>
      <c r="I3614" s="2" t="s">
        <v>7504</v>
      </c>
      <c r="J3614" s="3" t="str">
        <f>HYPERLINK("https://www.boe.es/gazeta/dias/1823/04/13/pdfs/GES-1823-3.pdf#page=2","Abrir facsímil")</f>
        <v>Abrir facsímil</v>
      </c>
      <c r="K3614" s="3" t="s">
        <v>23</v>
      </c>
    </row>
    <row r="3615" spans="1:11" ht="42" customHeight="1">
      <c r="A3615" s="2" t="s">
        <v>7502</v>
      </c>
      <c r="B3615" s="2" t="s">
        <v>7502</v>
      </c>
      <c r="C3615" s="2" t="s">
        <v>73</v>
      </c>
      <c r="D3615" s="2" t="s">
        <v>74</v>
      </c>
      <c r="E3615" s="5">
        <v>-27983</v>
      </c>
      <c r="F3615" s="3" t="s">
        <v>337</v>
      </c>
      <c r="G3615" s="3" t="s">
        <v>34</v>
      </c>
      <c r="H3615" s="2" t="s">
        <v>21</v>
      </c>
      <c r="I3615" s="2" t="s">
        <v>7505</v>
      </c>
      <c r="J3615" s="3" t="str">
        <f>HYPERLINK("https://www.boe.es/gazeta/dias/1823/05/20/pdfs/GES-1823-40.pdf#page=5","Abrir facsímil")</f>
        <v>Abrir facsímil</v>
      </c>
      <c r="K3615" s="3" t="s">
        <v>23</v>
      </c>
    </row>
    <row r="3616" spans="1:11" ht="42" customHeight="1">
      <c r="A3616" s="2" t="s">
        <v>7506</v>
      </c>
      <c r="B3616" s="2" t="s">
        <v>7507</v>
      </c>
      <c r="C3616" s="2" t="s">
        <v>17</v>
      </c>
      <c r="D3616" s="2" t="s">
        <v>18</v>
      </c>
      <c r="E3616" s="5">
        <v>-27916</v>
      </c>
      <c r="F3616" s="3" t="s">
        <v>772</v>
      </c>
      <c r="G3616" s="3" t="s">
        <v>39</v>
      </c>
      <c r="H3616" s="2" t="s">
        <v>21</v>
      </c>
      <c r="I3616" s="2" t="s">
        <v>7508</v>
      </c>
      <c r="J3616" s="3" t="str">
        <f>HYPERLINK("https://www.boe.es/gazeta/dias/1823/07/26/pdfs/GES-1823-107.pdf#page=1","Abrir facsímil")</f>
        <v>Abrir facsímil</v>
      </c>
      <c r="K3616" s="3" t="s">
        <v>23</v>
      </c>
    </row>
    <row r="3617" spans="1:11" ht="42" customHeight="1">
      <c r="A3617" s="2" t="s">
        <v>7506</v>
      </c>
      <c r="B3617" s="2" t="s">
        <v>7507</v>
      </c>
      <c r="C3617" s="2" t="s">
        <v>56</v>
      </c>
      <c r="D3617" s="2" t="s">
        <v>57</v>
      </c>
      <c r="E3617" s="5">
        <v>-27783</v>
      </c>
      <c r="F3617" s="3" t="s">
        <v>941</v>
      </c>
      <c r="G3617" s="3" t="s">
        <v>27</v>
      </c>
      <c r="H3617" s="2" t="s">
        <v>21</v>
      </c>
      <c r="I3617" s="2" t="s">
        <v>7509</v>
      </c>
      <c r="J3617" s="3" t="str">
        <f>HYPERLINK("https://www.boe.es/gazeta/dias/1823/12/06/pdfs/GMD-1823-1213.pdf#page=2","Abrir facsímil")</f>
        <v>Abrir facsímil</v>
      </c>
      <c r="K3617" s="3" t="s">
        <v>23</v>
      </c>
    </row>
    <row r="3618" spans="1:11" ht="42" customHeight="1">
      <c r="A3618" s="2" t="s">
        <v>7510</v>
      </c>
      <c r="B3618" s="2" t="s">
        <v>7511</v>
      </c>
      <c r="C3618" s="2" t="s">
        <v>56</v>
      </c>
      <c r="D3618" s="2" t="s">
        <v>57</v>
      </c>
      <c r="E3618" s="5">
        <v>-27972</v>
      </c>
      <c r="F3618" s="3" t="s">
        <v>1515</v>
      </c>
      <c r="G3618" s="3" t="s">
        <v>39</v>
      </c>
      <c r="H3618" s="2" t="s">
        <v>21</v>
      </c>
      <c r="I3618" s="2" t="s">
        <v>7512</v>
      </c>
      <c r="J3618" s="3" t="str">
        <f>HYPERLINK("https://www.boe.es/gazeta/dias/1823/05/31/pdfs/GMD-1823-33.pdf#page=1","Abrir facsímil")</f>
        <v>Abrir facsímil</v>
      </c>
      <c r="K3618" s="3" t="s">
        <v>23</v>
      </c>
    </row>
    <row r="3619" spans="1:11" ht="42" customHeight="1">
      <c r="A3619" s="2" t="s">
        <v>7510</v>
      </c>
      <c r="B3619" s="2" t="s">
        <v>7511</v>
      </c>
      <c r="C3619" s="2" t="s">
        <v>109</v>
      </c>
      <c r="D3619" s="2" t="s">
        <v>74</v>
      </c>
      <c r="E3619" s="5">
        <v>-27972</v>
      </c>
      <c r="F3619" s="3" t="s">
        <v>1515</v>
      </c>
      <c r="G3619" s="3" t="s">
        <v>48</v>
      </c>
      <c r="H3619" s="2" t="s">
        <v>21</v>
      </c>
      <c r="I3619" s="2" t="s">
        <v>7513</v>
      </c>
      <c r="J3619" s="3" t="str">
        <f>HYPERLINK("https://www.boe.es/gazeta/dias/1823/05/31/pdfs/GMD-1823-33.pdf#page=3","Abrir facsímil")</f>
        <v>Abrir facsímil</v>
      </c>
      <c r="K3619" s="3" t="s">
        <v>23</v>
      </c>
    </row>
    <row r="3620" spans="1:11" ht="42" customHeight="1">
      <c r="A3620" s="2" t="s">
        <v>7510</v>
      </c>
      <c r="B3620" s="2" t="s">
        <v>7511</v>
      </c>
      <c r="C3620" s="2" t="s">
        <v>17</v>
      </c>
      <c r="D3620" s="2" t="s">
        <v>18</v>
      </c>
      <c r="E3620" s="5">
        <v>-27969</v>
      </c>
      <c r="F3620" s="3" t="s">
        <v>204</v>
      </c>
      <c r="G3620" s="3" t="s">
        <v>39</v>
      </c>
      <c r="H3620" s="2" t="s">
        <v>21</v>
      </c>
      <c r="I3620" s="2" t="s">
        <v>7514</v>
      </c>
      <c r="J3620" s="3" t="str">
        <f>HYPERLINK("https://www.boe.es/gazeta/dias/1823/06/03/pdfs/GMD-1823-53.pdf#page=1","Abrir facsímil")</f>
        <v>Abrir facsímil</v>
      </c>
      <c r="K3620" s="3" t="s">
        <v>23</v>
      </c>
    </row>
    <row r="3621" spans="1:11" ht="42" customHeight="1">
      <c r="A3621" s="2" t="s">
        <v>7510</v>
      </c>
      <c r="B3621" s="2" t="s">
        <v>7511</v>
      </c>
      <c r="C3621" s="2" t="s">
        <v>84</v>
      </c>
      <c r="D3621" s="2" t="s">
        <v>74</v>
      </c>
      <c r="E3621" s="5">
        <v>-27967</v>
      </c>
      <c r="F3621" s="3" t="s">
        <v>2493</v>
      </c>
      <c r="G3621" s="3" t="s">
        <v>39</v>
      </c>
      <c r="H3621" s="2" t="s">
        <v>21</v>
      </c>
      <c r="I3621" s="2" t="s">
        <v>7515</v>
      </c>
      <c r="J3621" s="3" t="str">
        <f>HYPERLINK("https://www.boe.es/gazeta/dias/1823/06/05/pdfs/GMD-1823-63.pdf#page=1","Abrir facsímil")</f>
        <v>Abrir facsímil</v>
      </c>
      <c r="K3621" s="3" t="s">
        <v>23</v>
      </c>
    </row>
    <row r="3622" spans="1:11" ht="42" customHeight="1">
      <c r="A3622" s="2" t="s">
        <v>7510</v>
      </c>
      <c r="B3622" s="2" t="s">
        <v>7511</v>
      </c>
      <c r="C3622" s="2" t="s">
        <v>17</v>
      </c>
      <c r="D3622" s="2" t="s">
        <v>18</v>
      </c>
      <c r="E3622" s="5">
        <v>-27918</v>
      </c>
      <c r="F3622" s="3" t="s">
        <v>218</v>
      </c>
      <c r="G3622" s="3" t="s">
        <v>39</v>
      </c>
      <c r="H3622" s="2" t="s">
        <v>21</v>
      </c>
      <c r="I3622" s="2" t="s">
        <v>7516</v>
      </c>
      <c r="J3622" s="3" t="str">
        <f>HYPERLINK("https://www.boe.es/gazeta/dias/1823/07/24/pdfs/GMD-1823-463.pdf#page=1","Abrir facsímil")</f>
        <v>Abrir facsímil</v>
      </c>
      <c r="K3622" s="3" t="s">
        <v>23</v>
      </c>
    </row>
    <row r="3623" spans="1:11" ht="42" customHeight="1">
      <c r="A3623" s="2" t="s">
        <v>7510</v>
      </c>
      <c r="B3623" s="2" t="s">
        <v>7511</v>
      </c>
      <c r="C3623" s="2" t="s">
        <v>56</v>
      </c>
      <c r="D3623" s="2" t="s">
        <v>57</v>
      </c>
      <c r="E3623" s="5">
        <v>-27785</v>
      </c>
      <c r="F3623" s="3" t="s">
        <v>1397</v>
      </c>
      <c r="G3623" s="3" t="s">
        <v>39</v>
      </c>
      <c r="H3623" s="2" t="s">
        <v>21</v>
      </c>
      <c r="I3623" s="2" t="s">
        <v>7517</v>
      </c>
      <c r="J3623" s="3" t="str">
        <f>HYPERLINK("https://www.boe.es/gazeta/dias/1823/12/04/pdfs/GMD-1823-1203.pdf#page=1","Abrir facsímil")</f>
        <v>Abrir facsímil</v>
      </c>
      <c r="K3623" s="3" t="s">
        <v>23</v>
      </c>
    </row>
    <row r="3624" spans="1:11" ht="42" customHeight="1">
      <c r="A3624" s="2" t="s">
        <v>7510</v>
      </c>
      <c r="B3624" s="2" t="s">
        <v>7511</v>
      </c>
      <c r="C3624" s="2" t="s">
        <v>56</v>
      </c>
      <c r="D3624" s="2" t="s">
        <v>57</v>
      </c>
      <c r="E3624" s="5">
        <v>-27785</v>
      </c>
      <c r="F3624" s="3" t="s">
        <v>1397</v>
      </c>
      <c r="G3624" s="3" t="s">
        <v>20</v>
      </c>
      <c r="H3624" s="2" t="s">
        <v>21</v>
      </c>
      <c r="I3624" s="2" t="s">
        <v>7518</v>
      </c>
      <c r="J3624" s="3" t="str">
        <f>HYPERLINK("https://www.boe.es/gazeta/dias/1823/12/04/pdfs/GMD-1823-1203.pdf#page=4","Abrir facsímil")</f>
        <v>Abrir facsímil</v>
      </c>
      <c r="K3624" s="3" t="s">
        <v>23</v>
      </c>
    </row>
    <row r="3625" spans="1:11" ht="42" customHeight="1">
      <c r="A3625" s="2" t="s">
        <v>7519</v>
      </c>
      <c r="B3625" s="2" t="s">
        <v>7520</v>
      </c>
      <c r="C3625" s="2" t="s">
        <v>17</v>
      </c>
      <c r="D3625" s="2" t="s">
        <v>18</v>
      </c>
      <c r="E3625" s="5">
        <v>-27799</v>
      </c>
      <c r="F3625" s="3" t="s">
        <v>3388</v>
      </c>
      <c r="G3625" s="3" t="s">
        <v>39</v>
      </c>
      <c r="H3625" s="2" t="s">
        <v>21</v>
      </c>
      <c r="I3625" s="2" t="s">
        <v>7521</v>
      </c>
      <c r="J3625" s="3" t="str">
        <f>HYPERLINK("https://www.boe.es/gazeta/dias/1823/11/20/pdfs/GMD-1823-1143.pdf#page=1","Abrir facsímil")</f>
        <v>Abrir facsímil</v>
      </c>
      <c r="K3625" s="3" t="s">
        <v>23</v>
      </c>
    </row>
    <row r="3626" spans="1:11" ht="42" customHeight="1">
      <c r="A3626" s="2" t="s">
        <v>7522</v>
      </c>
      <c r="B3626" s="2" t="s">
        <v>7523</v>
      </c>
      <c r="C3626" s="2" t="s">
        <v>17</v>
      </c>
      <c r="D3626" s="2" t="s">
        <v>18</v>
      </c>
      <c r="E3626" s="5">
        <v>-27897</v>
      </c>
      <c r="F3626" s="3" t="s">
        <v>1569</v>
      </c>
      <c r="G3626" s="3" t="s">
        <v>20</v>
      </c>
      <c r="H3626" s="2" t="s">
        <v>21</v>
      </c>
      <c r="I3626" s="2" t="s">
        <v>7524</v>
      </c>
      <c r="J3626" s="3" t="str">
        <f>HYPERLINK("https://www.boe.es/gazeta/dias/1823/08/14/pdfs/GMD-1823-593.pdf#page=4","Abrir facsímil")</f>
        <v>Abrir facsímil</v>
      </c>
      <c r="K3626" s="3" t="s">
        <v>23</v>
      </c>
    </row>
    <row r="3627" spans="1:11" ht="42" customHeight="1">
      <c r="A3627" s="2" t="s">
        <v>7525</v>
      </c>
      <c r="B3627" s="2" t="s">
        <v>7526</v>
      </c>
      <c r="C3627" s="2" t="s">
        <v>17</v>
      </c>
      <c r="D3627" s="2" t="s">
        <v>18</v>
      </c>
      <c r="E3627" s="5">
        <v>-28036</v>
      </c>
      <c r="F3627" s="3" t="s">
        <v>2216</v>
      </c>
      <c r="G3627" s="3" t="s">
        <v>20</v>
      </c>
      <c r="H3627" s="2" t="s">
        <v>21</v>
      </c>
      <c r="I3627" s="2" t="s">
        <v>7527</v>
      </c>
      <c r="J3627" s="3" t="str">
        <f>HYPERLINK("https://www.boe.es/gazeta/dias/1823/03/28/pdfs/GMD-1823-91.pdf#page=4","Abrir facsímil")</f>
        <v>Abrir facsímil</v>
      </c>
      <c r="K3627" s="3" t="s">
        <v>23</v>
      </c>
    </row>
    <row r="3628" spans="1:11" ht="42" customHeight="1">
      <c r="A3628" s="2" t="s">
        <v>7528</v>
      </c>
      <c r="B3628" s="2" t="s">
        <v>7529</v>
      </c>
      <c r="C3628" s="2" t="s">
        <v>109</v>
      </c>
      <c r="D3628" s="2" t="s">
        <v>74</v>
      </c>
      <c r="E3628" s="5">
        <v>-28037</v>
      </c>
      <c r="F3628" s="3" t="s">
        <v>192</v>
      </c>
      <c r="G3628" s="3" t="s">
        <v>20</v>
      </c>
      <c r="H3628" s="2" t="s">
        <v>21</v>
      </c>
      <c r="I3628" s="2" t="s">
        <v>7530</v>
      </c>
      <c r="J3628" s="3" t="str">
        <f>HYPERLINK("https://www.boe.es/gazeta/dias/1823/03/27/pdfs/GMD-1823-90.pdf#page=4","Abrir facsímil")</f>
        <v>Abrir facsímil</v>
      </c>
      <c r="K3628" s="3" t="s">
        <v>23</v>
      </c>
    </row>
    <row r="3629" spans="1:11" ht="42" customHeight="1">
      <c r="A3629" s="2" t="s">
        <v>7531</v>
      </c>
      <c r="B3629" s="2" t="s">
        <v>7532</v>
      </c>
      <c r="C3629" s="2" t="s">
        <v>17</v>
      </c>
      <c r="D3629" s="2" t="s">
        <v>18</v>
      </c>
      <c r="E3629" s="5">
        <v>-28038</v>
      </c>
      <c r="F3629" s="3" t="s">
        <v>2379</v>
      </c>
      <c r="G3629" s="3" t="s">
        <v>20</v>
      </c>
      <c r="H3629" s="2" t="s">
        <v>21</v>
      </c>
      <c r="I3629" s="2" t="s">
        <v>7533</v>
      </c>
      <c r="J3629" s="3" t="str">
        <f>HYPERLINK("https://www.boe.es/gazeta/dias/1823/03/26/pdfs/GMD-1823-89.pdf#page=4","Abrir facsímil")</f>
        <v>Abrir facsímil</v>
      </c>
      <c r="K3629" s="3" t="s">
        <v>23</v>
      </c>
    </row>
    <row r="3630" spans="1:11" ht="42" customHeight="1">
      <c r="A3630" s="2" t="s">
        <v>7531</v>
      </c>
      <c r="B3630" s="2" t="s">
        <v>7532</v>
      </c>
      <c r="C3630" s="2" t="s">
        <v>17</v>
      </c>
      <c r="D3630" s="2" t="s">
        <v>18</v>
      </c>
      <c r="E3630" s="5">
        <v>-28033</v>
      </c>
      <c r="F3630" s="3" t="s">
        <v>1372</v>
      </c>
      <c r="G3630" s="3" t="s">
        <v>20</v>
      </c>
      <c r="H3630" s="2" t="s">
        <v>21</v>
      </c>
      <c r="I3630" s="2" t="s">
        <v>7534</v>
      </c>
      <c r="J3630" s="3" t="str">
        <f>HYPERLINK("https://www.boe.es/gazeta/dias/1823/03/31/pdfs/GMD-1823-94.pdf#page=4","Abrir facsímil")</f>
        <v>Abrir facsímil</v>
      </c>
      <c r="K3630" s="3" t="s">
        <v>23</v>
      </c>
    </row>
    <row r="3631" spans="1:11" ht="42" customHeight="1">
      <c r="A3631" s="2" t="s">
        <v>7531</v>
      </c>
      <c r="B3631" s="2" t="s">
        <v>7532</v>
      </c>
      <c r="C3631" s="2" t="s">
        <v>17</v>
      </c>
      <c r="D3631" s="2" t="s">
        <v>18</v>
      </c>
      <c r="E3631" s="5">
        <v>-28032</v>
      </c>
      <c r="F3631" s="3" t="s">
        <v>668</v>
      </c>
      <c r="G3631" s="3" t="s">
        <v>20</v>
      </c>
      <c r="H3631" s="2" t="s">
        <v>21</v>
      </c>
      <c r="I3631" s="2" t="s">
        <v>7535</v>
      </c>
      <c r="J3631" s="3" t="str">
        <f>HYPERLINK("https://www.boe.es/gazeta/dias/1823/04/01/pdfs/GMD-1823-95.pdf#page=4","Abrir facsímil")</f>
        <v>Abrir facsímil</v>
      </c>
      <c r="K3631" s="3" t="s">
        <v>23</v>
      </c>
    </row>
    <row r="3632" spans="1:11" ht="42" customHeight="1">
      <c r="A3632" s="2" t="s">
        <v>7531</v>
      </c>
      <c r="B3632" s="2" t="s">
        <v>7532</v>
      </c>
      <c r="C3632" s="2" t="s">
        <v>79</v>
      </c>
      <c r="D3632" s="2" t="s">
        <v>74</v>
      </c>
      <c r="E3632" s="5">
        <v>-28030</v>
      </c>
      <c r="F3632" s="3" t="s">
        <v>145</v>
      </c>
      <c r="G3632" s="3" t="s">
        <v>20</v>
      </c>
      <c r="H3632" s="2" t="s">
        <v>21</v>
      </c>
      <c r="I3632" s="2" t="s">
        <v>7536</v>
      </c>
      <c r="J3632" s="3" t="str">
        <f>HYPERLINK("https://www.boe.es/gazeta/dias/1823/04/03/pdfs/GMD-1823-97.pdf#page=4","Abrir facsímil")</f>
        <v>Abrir facsímil</v>
      </c>
      <c r="K3632" s="3" t="s">
        <v>23</v>
      </c>
    </row>
    <row r="3633" spans="1:11" ht="42" customHeight="1">
      <c r="A3633" s="2" t="s">
        <v>7537</v>
      </c>
      <c r="B3633" s="2" t="s">
        <v>7537</v>
      </c>
      <c r="C3633" s="2" t="s">
        <v>79</v>
      </c>
      <c r="D3633" s="2" t="s">
        <v>74</v>
      </c>
      <c r="E3633" s="5">
        <v>-27939</v>
      </c>
      <c r="F3633" s="3" t="s">
        <v>1403</v>
      </c>
      <c r="G3633" s="3" t="s">
        <v>48</v>
      </c>
      <c r="H3633" s="2" t="s">
        <v>21</v>
      </c>
      <c r="I3633" s="2" t="s">
        <v>7538</v>
      </c>
      <c r="J3633" s="3" t="str">
        <f>HYPERLINK("https://www.boe.es/gazeta/dias/1823/07/03/pdfs/GMD-1823-333.pdf#page=3","Abrir facsímil")</f>
        <v>Abrir facsímil</v>
      </c>
      <c r="K3633" s="3" t="s">
        <v>23</v>
      </c>
    </row>
    <row r="3634" spans="1:11" ht="42" customHeight="1">
      <c r="A3634" s="2" t="s">
        <v>7537</v>
      </c>
      <c r="B3634" s="2" t="s">
        <v>7537</v>
      </c>
      <c r="C3634" s="2" t="s">
        <v>56</v>
      </c>
      <c r="D3634" s="2" t="s">
        <v>57</v>
      </c>
      <c r="E3634" s="5">
        <v>-27931</v>
      </c>
      <c r="F3634" s="3" t="s">
        <v>1833</v>
      </c>
      <c r="G3634" s="3" t="s">
        <v>48</v>
      </c>
      <c r="H3634" s="2" t="s">
        <v>21</v>
      </c>
      <c r="I3634" s="2" t="s">
        <v>7539</v>
      </c>
      <c r="J3634" s="3" t="str">
        <f>HYPERLINK("https://www.boe.es/gazeta/dias/1823/07/11/pdfs/GES-1823-91.pdf#page=3","Abrir facsímil")</f>
        <v>Abrir facsímil</v>
      </c>
      <c r="K3634" s="3" t="s">
        <v>23</v>
      </c>
    </row>
    <row r="3635" spans="1:11" ht="42" customHeight="1">
      <c r="A3635" s="2" t="s">
        <v>7540</v>
      </c>
      <c r="B3635" s="2" t="s">
        <v>7540</v>
      </c>
      <c r="C3635" s="2" t="s">
        <v>17</v>
      </c>
      <c r="D3635" s="2" t="s">
        <v>18</v>
      </c>
      <c r="E3635" s="5">
        <v>-27945</v>
      </c>
      <c r="F3635" s="3" t="s">
        <v>628</v>
      </c>
      <c r="G3635" s="3" t="s">
        <v>20</v>
      </c>
      <c r="H3635" s="2" t="s">
        <v>21</v>
      </c>
      <c r="I3635" s="2" t="s">
        <v>7541</v>
      </c>
      <c r="J3635" s="3" t="str">
        <f>HYPERLINK("https://www.boe.es/gazeta/dias/1823/06/27/pdfs/GES-1823-77.pdf#page=4","Abrir facsímil")</f>
        <v>Abrir facsímil</v>
      </c>
      <c r="K3635" s="3" t="s">
        <v>23</v>
      </c>
    </row>
    <row r="3636" spans="1:11" ht="42" customHeight="1">
      <c r="A3636" s="2" t="s">
        <v>7542</v>
      </c>
      <c r="B3636" s="2" t="s">
        <v>7543</v>
      </c>
      <c r="C3636" s="2" t="s">
        <v>17</v>
      </c>
      <c r="D3636" s="2" t="s">
        <v>18</v>
      </c>
      <c r="E3636" s="5">
        <v>-27848</v>
      </c>
      <c r="F3636" s="3" t="s">
        <v>2665</v>
      </c>
      <c r="G3636" s="3" t="s">
        <v>27</v>
      </c>
      <c r="H3636" s="2" t="s">
        <v>21</v>
      </c>
      <c r="I3636" s="2" t="s">
        <v>7544</v>
      </c>
      <c r="J3636" s="3" t="str">
        <f>HYPERLINK("https://www.boe.es/gazeta/dias/1823/10/02/pdfs/GMD-1823-893.pdf#page=2","Abrir facsímil")</f>
        <v>Abrir facsímil</v>
      </c>
      <c r="K3636" s="3" t="s">
        <v>23</v>
      </c>
    </row>
    <row r="3637" spans="1:11" ht="42" customHeight="1">
      <c r="A3637" s="2" t="s">
        <v>7545</v>
      </c>
      <c r="B3637" s="2" t="s">
        <v>7546</v>
      </c>
      <c r="C3637" s="2" t="s">
        <v>56</v>
      </c>
      <c r="D3637" s="2" t="s">
        <v>57</v>
      </c>
      <c r="E3637" s="5">
        <v>-27925</v>
      </c>
      <c r="F3637" s="3" t="s">
        <v>1744</v>
      </c>
      <c r="G3637" s="3" t="s">
        <v>48</v>
      </c>
      <c r="H3637" s="2" t="s">
        <v>28</v>
      </c>
      <c r="I3637" s="2" t="s">
        <v>7547</v>
      </c>
      <c r="J3637" s="3" t="str">
        <f>HYPERLINK("https://www.boe.es/gazeta/dias/1823/07/17/pdfs/GMD-1823-413.pdf#page=3","Abrir facsímil")</f>
        <v>Abrir facsímil</v>
      </c>
      <c r="K3637" s="3" t="s">
        <v>30</v>
      </c>
    </row>
    <row r="3638" spans="1:11" ht="42" customHeight="1">
      <c r="A3638" s="2" t="s">
        <v>7548</v>
      </c>
      <c r="B3638" s="2" t="s">
        <v>7549</v>
      </c>
      <c r="C3638" s="2" t="s">
        <v>56</v>
      </c>
      <c r="D3638" s="2" t="s">
        <v>57</v>
      </c>
      <c r="E3638" s="5">
        <v>-27847</v>
      </c>
      <c r="F3638" s="3" t="s">
        <v>6644</v>
      </c>
      <c r="G3638" s="3" t="s">
        <v>4933</v>
      </c>
      <c r="H3638" s="2" t="s">
        <v>21</v>
      </c>
      <c r="I3638" s="2" t="s">
        <v>7550</v>
      </c>
      <c r="J3638" s="3" t="str">
        <f>HYPERLINK("https://www.boe.es/gazeta/dias/1823/10/03/pdfs/E00001-00001.pdf#page=1","Abrir facsímil")</f>
        <v>Abrir facsímil</v>
      </c>
      <c r="K3638" s="3" t="s">
        <v>23</v>
      </c>
    </row>
    <row r="3639" spans="1:11" ht="42" customHeight="1">
      <c r="A3639" s="2" t="s">
        <v>7551</v>
      </c>
      <c r="B3639" s="2" t="s">
        <v>7551</v>
      </c>
      <c r="C3639" s="2" t="s">
        <v>56</v>
      </c>
      <c r="D3639" s="2" t="s">
        <v>57</v>
      </c>
      <c r="E3639" s="5">
        <v>-27968</v>
      </c>
      <c r="F3639" s="3" t="s">
        <v>1160</v>
      </c>
      <c r="G3639" s="3" t="s">
        <v>276</v>
      </c>
      <c r="H3639" s="2" t="s">
        <v>21</v>
      </c>
      <c r="I3639" s="2" t="s">
        <v>7552</v>
      </c>
      <c r="J3639" s="3" t="str">
        <f>HYPERLINK("https://www.boe.es/gazeta/dias/1823/06/04/pdfs/GES-1823-58.pdf#page=7","Abrir facsímil")</f>
        <v>Abrir facsímil</v>
      </c>
      <c r="K3639" s="3" t="s">
        <v>23</v>
      </c>
    </row>
    <row r="3640" spans="1:11" ht="42" customHeight="1">
      <c r="A3640" s="2" t="s">
        <v>7553</v>
      </c>
      <c r="B3640" s="2" t="s">
        <v>7554</v>
      </c>
      <c r="C3640" s="2" t="s">
        <v>17</v>
      </c>
      <c r="D3640" s="2" t="s">
        <v>18</v>
      </c>
      <c r="E3640" s="5">
        <v>-27890</v>
      </c>
      <c r="F3640" s="3" t="s">
        <v>1573</v>
      </c>
      <c r="G3640" s="3" t="s">
        <v>39</v>
      </c>
      <c r="H3640" s="2" t="s">
        <v>21</v>
      </c>
      <c r="I3640" s="2" t="s">
        <v>7555</v>
      </c>
      <c r="J3640" s="3" t="str">
        <f>HYPERLINK("https://www.boe.es/gazeta/dias/1823/08/21/pdfs/GMD-1823-623.pdf#page=1","Abrir facsímil")</f>
        <v>Abrir facsímil</v>
      </c>
      <c r="K3640" s="3" t="s">
        <v>23</v>
      </c>
    </row>
    <row r="3641" spans="1:11" ht="42" customHeight="1">
      <c r="A3641" s="2" t="s">
        <v>7556</v>
      </c>
      <c r="B3641" s="2" t="s">
        <v>7557</v>
      </c>
      <c r="C3641" s="2" t="s">
        <v>73</v>
      </c>
      <c r="D3641" s="2" t="s">
        <v>74</v>
      </c>
      <c r="E3641" s="5">
        <v>-27878</v>
      </c>
      <c r="F3641" s="3" t="s">
        <v>1581</v>
      </c>
      <c r="G3641" s="3" t="s">
        <v>59</v>
      </c>
      <c r="H3641" s="2" t="s">
        <v>21</v>
      </c>
      <c r="I3641" s="2" t="s">
        <v>7558</v>
      </c>
      <c r="J3641" s="3" t="str">
        <f>HYPERLINK("https://www.boe.es/gazeta/dias/1823/09/02/pdfs/GMD-1823-683.pdf#page=6","Abrir facsímil")</f>
        <v>Abrir facsímil</v>
      </c>
      <c r="K3641" s="3" t="s">
        <v>23</v>
      </c>
    </row>
    <row r="3642" spans="1:11" ht="42" customHeight="1">
      <c r="A3642" s="2" t="s">
        <v>7559</v>
      </c>
      <c r="B3642" s="2" t="s">
        <v>7560</v>
      </c>
      <c r="C3642" s="2" t="s">
        <v>17</v>
      </c>
      <c r="D3642" s="2" t="s">
        <v>18</v>
      </c>
      <c r="E3642" s="5">
        <v>-27932</v>
      </c>
      <c r="F3642" s="3" t="s">
        <v>707</v>
      </c>
      <c r="G3642" s="3" t="s">
        <v>27</v>
      </c>
      <c r="H3642" s="2" t="s">
        <v>21</v>
      </c>
      <c r="I3642" s="2" t="s">
        <v>7561</v>
      </c>
      <c r="J3642" s="3" t="str">
        <f>HYPERLINK("https://www.boe.es/gazeta/dias/1823/07/10/pdfs/GES-1823-90.pdf#page=2","Abrir facsímil")</f>
        <v>Abrir facsímil</v>
      </c>
      <c r="K3642" s="3" t="s">
        <v>23</v>
      </c>
    </row>
    <row r="3643" spans="1:11" ht="42" customHeight="1">
      <c r="A3643" s="2" t="s">
        <v>7562</v>
      </c>
      <c r="B3643" s="2" t="s">
        <v>7563</v>
      </c>
      <c r="C3643" s="2" t="s">
        <v>17</v>
      </c>
      <c r="D3643" s="2" t="s">
        <v>18</v>
      </c>
      <c r="E3643" s="5">
        <v>-27932</v>
      </c>
      <c r="F3643" s="3" t="s">
        <v>707</v>
      </c>
      <c r="G3643" s="3" t="s">
        <v>27</v>
      </c>
      <c r="H3643" s="2" t="s">
        <v>21</v>
      </c>
      <c r="I3643" s="2" t="s">
        <v>7564</v>
      </c>
      <c r="J3643" s="3" t="str">
        <f>HYPERLINK("https://www.boe.es/gazeta/dias/1823/07/10/pdfs/GES-1823-90.pdf#page=2","Abrir facsímil")</f>
        <v>Abrir facsímil</v>
      </c>
      <c r="K3643" s="3" t="s">
        <v>23</v>
      </c>
    </row>
    <row r="3644" spans="1:11" ht="42" customHeight="1">
      <c r="A3644" s="2" t="s">
        <v>7565</v>
      </c>
      <c r="B3644" s="2" t="s">
        <v>7566</v>
      </c>
      <c r="C3644" s="2" t="s">
        <v>17</v>
      </c>
      <c r="D3644" s="2" t="s">
        <v>117</v>
      </c>
      <c r="E3644" s="5">
        <v>-27975</v>
      </c>
      <c r="F3644" s="3" t="s">
        <v>1922</v>
      </c>
      <c r="G3644" s="3" t="s">
        <v>39</v>
      </c>
      <c r="H3644" s="2" t="s">
        <v>21</v>
      </c>
      <c r="I3644" s="2" t="s">
        <v>7567</v>
      </c>
      <c r="J3644" s="3" t="str">
        <f>HYPERLINK("https://www.boe.es/gazeta/dias/1823/05/28/pdfs/GES-1823-51E.pdf#page=1","Abrir facsímil")</f>
        <v>Abrir facsímil</v>
      </c>
      <c r="K3644" s="3" t="s">
        <v>23</v>
      </c>
    </row>
    <row r="3645" spans="1:11" ht="42" customHeight="1">
      <c r="A3645" s="2" t="s">
        <v>7568</v>
      </c>
      <c r="B3645" s="2" t="s">
        <v>7569</v>
      </c>
      <c r="C3645" s="2" t="s">
        <v>109</v>
      </c>
      <c r="D3645" s="2" t="s">
        <v>74</v>
      </c>
      <c r="E3645" s="5">
        <v>-27797</v>
      </c>
      <c r="F3645" s="3" t="s">
        <v>3409</v>
      </c>
      <c r="G3645" s="3" t="s">
        <v>7570</v>
      </c>
      <c r="H3645" s="2" t="s">
        <v>21</v>
      </c>
      <c r="I3645" s="2" t="s">
        <v>7571</v>
      </c>
      <c r="J3645" s="3" t="str">
        <f>HYPERLINK("https://www.boe.es/gazeta/dias/1823/11/22/pdfs/GMD-1823-1153.pdf#page=2","Abrir facsímil")</f>
        <v>Abrir facsímil</v>
      </c>
      <c r="K3645" s="3" t="s">
        <v>23</v>
      </c>
    </row>
    <row r="3646" spans="1:11" ht="42" customHeight="1">
      <c r="A3646" s="2" t="s">
        <v>7568</v>
      </c>
      <c r="B3646" s="2" t="s">
        <v>7569</v>
      </c>
      <c r="C3646" s="2" t="s">
        <v>84</v>
      </c>
      <c r="D3646" s="2" t="s">
        <v>74</v>
      </c>
      <c r="E3646" s="5">
        <v>-27787</v>
      </c>
      <c r="F3646" s="3" t="s">
        <v>865</v>
      </c>
      <c r="G3646" s="3" t="s">
        <v>39</v>
      </c>
      <c r="H3646" s="2" t="s">
        <v>21</v>
      </c>
      <c r="I3646" s="2" t="s">
        <v>7572</v>
      </c>
      <c r="J3646" s="3" t="str">
        <f>HYPERLINK("https://www.boe.es/gazeta/dias/1823/12/02/pdfs/GMD-1823-1193.pdf#page=1","Abrir facsímil")</f>
        <v>Abrir facsímil</v>
      </c>
      <c r="K3646" s="3" t="s">
        <v>23</v>
      </c>
    </row>
    <row r="3647" spans="1:11" ht="42" customHeight="1">
      <c r="A3647" s="2" t="s">
        <v>7573</v>
      </c>
      <c r="B3647" s="2" t="s">
        <v>7574</v>
      </c>
      <c r="C3647" s="2" t="s">
        <v>17</v>
      </c>
      <c r="D3647" s="2" t="s">
        <v>18</v>
      </c>
      <c r="E3647" s="5">
        <v>-27897</v>
      </c>
      <c r="F3647" s="3" t="s">
        <v>1569</v>
      </c>
      <c r="G3647" s="3" t="s">
        <v>20</v>
      </c>
      <c r="H3647" s="2" t="s">
        <v>21</v>
      </c>
      <c r="I3647" s="2" t="s">
        <v>7575</v>
      </c>
      <c r="J3647" s="3" t="str">
        <f>HYPERLINK("https://www.boe.es/gazeta/dias/1823/08/14/pdfs/GMD-1823-593.pdf#page=4","Abrir facsímil")</f>
        <v>Abrir facsímil</v>
      </c>
      <c r="K3647" s="3" t="s">
        <v>23</v>
      </c>
    </row>
    <row r="3648" spans="1:11" ht="42" customHeight="1">
      <c r="A3648" s="2" t="s">
        <v>7576</v>
      </c>
      <c r="B3648" s="2" t="s">
        <v>7577</v>
      </c>
      <c r="C3648" s="2" t="s">
        <v>79</v>
      </c>
      <c r="D3648" s="2" t="s">
        <v>74</v>
      </c>
      <c r="E3648" s="5">
        <v>-28037</v>
      </c>
      <c r="F3648" s="3" t="s">
        <v>192</v>
      </c>
      <c r="G3648" s="3" t="s">
        <v>48</v>
      </c>
      <c r="H3648" s="2" t="s">
        <v>21</v>
      </c>
      <c r="I3648" s="2" t="s">
        <v>7578</v>
      </c>
      <c r="J3648" s="3" t="str">
        <f>HYPERLINK("https://www.boe.es/gazeta/dias/1823/03/27/pdfs/GMD-1823-90.pdf#page=3","Abrir facsímil")</f>
        <v>Abrir facsímil</v>
      </c>
      <c r="K3648" s="3" t="s">
        <v>23</v>
      </c>
    </row>
    <row r="3649" spans="1:11" ht="42" customHeight="1">
      <c r="A3649" s="2" t="s">
        <v>7576</v>
      </c>
      <c r="B3649" s="2" t="s">
        <v>7577</v>
      </c>
      <c r="C3649" s="2" t="s">
        <v>79</v>
      </c>
      <c r="D3649" s="2" t="s">
        <v>74</v>
      </c>
      <c r="E3649" s="5">
        <v>-28000</v>
      </c>
      <c r="F3649" s="3" t="s">
        <v>138</v>
      </c>
      <c r="G3649" s="3" t="s">
        <v>20</v>
      </c>
      <c r="H3649" s="2" t="s">
        <v>21</v>
      </c>
      <c r="I3649" s="2" t="s">
        <v>7579</v>
      </c>
      <c r="J3649" s="3" t="str">
        <f>HYPERLINK("https://www.boe.es/gazeta/dias/1823/05/03/pdfs/GMD-1823-92.pdf#page=4","Abrir facsímil")</f>
        <v>Abrir facsímil</v>
      </c>
      <c r="K3649" s="3" t="s">
        <v>23</v>
      </c>
    </row>
    <row r="3650" spans="1:11" ht="42" customHeight="1">
      <c r="A3650" s="2" t="s">
        <v>7580</v>
      </c>
      <c r="B3650" s="2" t="s">
        <v>7581</v>
      </c>
      <c r="C3650" s="2" t="s">
        <v>79</v>
      </c>
      <c r="D3650" s="2" t="s">
        <v>74</v>
      </c>
      <c r="E3650" s="5">
        <v>-27965</v>
      </c>
      <c r="F3650" s="3" t="s">
        <v>208</v>
      </c>
      <c r="G3650" s="3" t="s">
        <v>27</v>
      </c>
      <c r="H3650" s="2" t="s">
        <v>28</v>
      </c>
      <c r="I3650" s="2" t="s">
        <v>7582</v>
      </c>
      <c r="J3650" s="3" t="str">
        <f>HYPERLINK("https://www.boe.es/gazeta/dias/1823/06/07/pdfs/GES-1823-61.pdf#page=2","Abrir facsímil")</f>
        <v>Abrir facsímil</v>
      </c>
      <c r="K3650" s="3" t="s">
        <v>30</v>
      </c>
    </row>
    <row r="3651" spans="1:11" ht="42" customHeight="1">
      <c r="A3651" s="2" t="s">
        <v>7583</v>
      </c>
      <c r="B3651" s="2" t="s">
        <v>7584</v>
      </c>
      <c r="C3651" s="2" t="s">
        <v>56</v>
      </c>
      <c r="D3651" s="2" t="s">
        <v>57</v>
      </c>
      <c r="E3651" s="5">
        <v>-27879</v>
      </c>
      <c r="F3651" s="3" t="s">
        <v>638</v>
      </c>
      <c r="G3651" s="3" t="s">
        <v>27</v>
      </c>
      <c r="H3651" s="2" t="s">
        <v>21</v>
      </c>
      <c r="I3651" s="2" t="s">
        <v>7585</v>
      </c>
      <c r="J3651" s="3" t="str">
        <f>HYPERLINK("https://www.boe.es/gazeta/dias/1823/09/01/pdfs/GES-1823-145.pdf#page=2","Abrir facsímil")</f>
        <v>Abrir facsímil</v>
      </c>
      <c r="K3651" s="3" t="s">
        <v>23</v>
      </c>
    </row>
    <row r="3652" spans="1:11" ht="42" customHeight="1">
      <c r="A3652" s="2" t="s">
        <v>7586</v>
      </c>
      <c r="B3652" s="2" t="s">
        <v>7586</v>
      </c>
      <c r="C3652" s="2" t="s">
        <v>79</v>
      </c>
      <c r="D3652" s="2" t="s">
        <v>74</v>
      </c>
      <c r="E3652" s="5">
        <v>-27935</v>
      </c>
      <c r="F3652" s="3" t="s">
        <v>350</v>
      </c>
      <c r="G3652" s="3" t="s">
        <v>39</v>
      </c>
      <c r="H3652" s="2" t="s">
        <v>21</v>
      </c>
      <c r="I3652" s="2" t="s">
        <v>7587</v>
      </c>
      <c r="J3652" s="3" t="str">
        <f>HYPERLINK("https://www.boe.es/gazeta/dias/1823/07/07/pdfs/GES-1823-87.pdf#page=1","Abrir facsímil")</f>
        <v>Abrir facsímil</v>
      </c>
      <c r="K3652" s="3" t="s">
        <v>23</v>
      </c>
    </row>
    <row r="3653" spans="1:11" ht="42" customHeight="1">
      <c r="A3653" s="2" t="s">
        <v>7588</v>
      </c>
      <c r="B3653" s="2" t="s">
        <v>7588</v>
      </c>
      <c r="C3653" s="2" t="s">
        <v>109</v>
      </c>
      <c r="D3653" s="2" t="s">
        <v>74</v>
      </c>
      <c r="E3653" s="5">
        <v>-28107</v>
      </c>
      <c r="F3653" s="3" t="s">
        <v>278</v>
      </c>
      <c r="G3653" s="3" t="s">
        <v>20</v>
      </c>
      <c r="H3653" s="2" t="s">
        <v>21</v>
      </c>
      <c r="I3653" s="2" t="s">
        <v>7589</v>
      </c>
      <c r="J3653" s="3" t="str">
        <f>HYPERLINK("https://www.boe.es/gazeta/dias/1823/01/16/pdfs/GMD-1823-16.pdf#page=4","Abrir facsímil")</f>
        <v>Abrir facsímil</v>
      </c>
      <c r="K3653" s="3" t="s">
        <v>23</v>
      </c>
    </row>
    <row r="3654" spans="1:11" ht="42" customHeight="1">
      <c r="A3654" s="2" t="s">
        <v>7590</v>
      </c>
      <c r="B3654" s="2" t="s">
        <v>7590</v>
      </c>
      <c r="C3654" s="2" t="s">
        <v>79</v>
      </c>
      <c r="D3654" s="2" t="s">
        <v>74</v>
      </c>
      <c r="E3654" s="5">
        <v>-28078</v>
      </c>
      <c r="F3654" s="3" t="s">
        <v>508</v>
      </c>
      <c r="G3654" s="3" t="s">
        <v>39</v>
      </c>
      <c r="H3654" s="2" t="s">
        <v>21</v>
      </c>
      <c r="I3654" s="2" t="s">
        <v>7591</v>
      </c>
      <c r="J3654" s="3" t="str">
        <f>HYPERLINK("https://www.boe.es/gazeta/dias/1823/02/14/pdfs/GMD-1823-48.pdf#page=1","Abrir facsímil")</f>
        <v>Abrir facsímil</v>
      </c>
      <c r="K3654" s="3" t="s">
        <v>23</v>
      </c>
    </row>
    <row r="3655" spans="1:11" ht="42" customHeight="1">
      <c r="A3655" s="2" t="s">
        <v>7592</v>
      </c>
      <c r="B3655" s="2" t="s">
        <v>7593</v>
      </c>
      <c r="C3655" s="2" t="s">
        <v>79</v>
      </c>
      <c r="D3655" s="2" t="s">
        <v>74</v>
      </c>
      <c r="E3655" s="5">
        <v>-27801</v>
      </c>
      <c r="F3655" s="3" t="s">
        <v>800</v>
      </c>
      <c r="G3655" s="3" t="s">
        <v>20</v>
      </c>
      <c r="H3655" s="2" t="s">
        <v>21</v>
      </c>
      <c r="I3655" s="2" t="s">
        <v>7594</v>
      </c>
      <c r="J3655" s="3" t="str">
        <f>HYPERLINK("https://www.boe.es/gazeta/dias/1823/11/18/pdfs/GMD-1823-1133.pdf#page=4","Abrir facsímil")</f>
        <v>Abrir facsímil</v>
      </c>
      <c r="K3655" s="3" t="s">
        <v>23</v>
      </c>
    </row>
    <row r="3656" spans="1:11" ht="42" customHeight="1">
      <c r="A3656" s="2" t="s">
        <v>7595</v>
      </c>
      <c r="B3656" s="2" t="s">
        <v>7595</v>
      </c>
      <c r="C3656" s="2" t="s">
        <v>17</v>
      </c>
      <c r="D3656" s="2" t="s">
        <v>18</v>
      </c>
      <c r="E3656" s="5">
        <v>-28104</v>
      </c>
      <c r="F3656" s="3" t="s">
        <v>114</v>
      </c>
      <c r="G3656" s="3" t="s">
        <v>39</v>
      </c>
      <c r="H3656" s="2" t="s">
        <v>21</v>
      </c>
      <c r="I3656" s="2" t="s">
        <v>7596</v>
      </c>
      <c r="J3656" s="3" t="str">
        <f>HYPERLINK("https://www.boe.es/gazeta/dias/1823/01/19/pdfs/GMD-1823-19.pdf#page=1","Abrir facsímil")</f>
        <v>Abrir facsímil</v>
      </c>
      <c r="K3656" s="3" t="s">
        <v>23</v>
      </c>
    </row>
    <row r="3657" spans="1:11" ht="42" customHeight="1">
      <c r="A3657" s="2" t="s">
        <v>7595</v>
      </c>
      <c r="B3657" s="2" t="s">
        <v>7595</v>
      </c>
      <c r="C3657" s="2" t="s">
        <v>17</v>
      </c>
      <c r="D3657" s="2" t="s">
        <v>18</v>
      </c>
      <c r="E3657" s="5">
        <v>-28103</v>
      </c>
      <c r="F3657" s="3" t="s">
        <v>285</v>
      </c>
      <c r="G3657" s="3" t="s">
        <v>27</v>
      </c>
      <c r="H3657" s="2" t="s">
        <v>21</v>
      </c>
      <c r="I3657" s="2" t="s">
        <v>7597</v>
      </c>
      <c r="J3657" s="3" t="str">
        <f>HYPERLINK("https://www.boe.es/gazeta/dias/1823/01/20/pdfs/GMD-1823-20.pdf#page=2","Abrir facsímil")</f>
        <v>Abrir facsímil</v>
      </c>
      <c r="K3657" s="3" t="s">
        <v>23</v>
      </c>
    </row>
    <row r="3658" spans="1:11" ht="42" customHeight="1">
      <c r="A3658" s="2" t="s">
        <v>7595</v>
      </c>
      <c r="B3658" s="2" t="s">
        <v>7595</v>
      </c>
      <c r="C3658" s="2" t="s">
        <v>73</v>
      </c>
      <c r="D3658" s="2" t="s">
        <v>74</v>
      </c>
      <c r="E3658" s="5">
        <v>-28097</v>
      </c>
      <c r="F3658" s="3" t="s">
        <v>1368</v>
      </c>
      <c r="G3658" s="3" t="s">
        <v>27</v>
      </c>
      <c r="H3658" s="2" t="s">
        <v>21</v>
      </c>
      <c r="I3658" s="2" t="s">
        <v>7598</v>
      </c>
      <c r="J3658" s="3" t="str">
        <f>HYPERLINK("https://www.boe.es/gazeta/dias/1823/01/26/pdfs/GMD-1823-27.pdf#page=2","Abrir facsímil")</f>
        <v>Abrir facsímil</v>
      </c>
      <c r="K3658" s="3" t="s">
        <v>23</v>
      </c>
    </row>
    <row r="3659" spans="1:11" ht="42" customHeight="1">
      <c r="A3659" s="2" t="s">
        <v>7595</v>
      </c>
      <c r="B3659" s="2" t="s">
        <v>7595</v>
      </c>
      <c r="C3659" s="2" t="s">
        <v>79</v>
      </c>
      <c r="D3659" s="2" t="s">
        <v>74</v>
      </c>
      <c r="E3659" s="5">
        <v>-28091</v>
      </c>
      <c r="F3659" s="3" t="s">
        <v>1047</v>
      </c>
      <c r="G3659" s="3" t="s">
        <v>27</v>
      </c>
      <c r="H3659" s="2" t="s">
        <v>21</v>
      </c>
      <c r="I3659" s="2" t="s">
        <v>7599</v>
      </c>
      <c r="J3659" s="3" t="str">
        <f>HYPERLINK("https://www.boe.es/gazeta/dias/1823/02/01/pdfs/GMD-1823-34.pdf#page=2","Abrir facsímil")</f>
        <v>Abrir facsímil</v>
      </c>
      <c r="K3659" s="3" t="s">
        <v>23</v>
      </c>
    </row>
    <row r="3660" spans="1:11" ht="42" customHeight="1">
      <c r="A3660" s="2" t="s">
        <v>7595</v>
      </c>
      <c r="B3660" s="2" t="s">
        <v>7595</v>
      </c>
      <c r="C3660" s="2" t="s">
        <v>17</v>
      </c>
      <c r="D3660" s="2" t="s">
        <v>18</v>
      </c>
      <c r="E3660" s="5">
        <v>-27980</v>
      </c>
      <c r="F3660" s="3" t="s">
        <v>1068</v>
      </c>
      <c r="G3660" s="3" t="s">
        <v>39</v>
      </c>
      <c r="H3660" s="2" t="s">
        <v>21</v>
      </c>
      <c r="I3660" s="2" t="s">
        <v>7600</v>
      </c>
      <c r="J3660" s="3" t="str">
        <f>HYPERLINK("https://www.boe.es/gazeta/dias/1823/05/23/pdfs/GES-1823-44.pdf#page=1","Abrir facsímil")</f>
        <v>Abrir facsímil</v>
      </c>
      <c r="K3660" s="3" t="s">
        <v>23</v>
      </c>
    </row>
    <row r="3661" spans="1:11" ht="42" customHeight="1">
      <c r="A3661" s="2" t="s">
        <v>7595</v>
      </c>
      <c r="B3661" s="2" t="s">
        <v>7595</v>
      </c>
      <c r="C3661" s="2" t="s">
        <v>56</v>
      </c>
      <c r="D3661" s="2" t="s">
        <v>57</v>
      </c>
      <c r="E3661" s="5">
        <v>-27965</v>
      </c>
      <c r="F3661" s="3" t="s">
        <v>208</v>
      </c>
      <c r="G3661" s="3" t="s">
        <v>48</v>
      </c>
      <c r="H3661" s="2" t="s">
        <v>21</v>
      </c>
      <c r="I3661" s="2" t="s">
        <v>7601</v>
      </c>
      <c r="J3661" s="3" t="str">
        <f>HYPERLINK("https://www.boe.es/gazeta/dias/1823/06/07/pdfs/GES-1823-61.pdf#page=3","Abrir facsímil")</f>
        <v>Abrir facsímil</v>
      </c>
      <c r="K3661" s="3" t="s">
        <v>23</v>
      </c>
    </row>
    <row r="3662" spans="1:11" ht="42" customHeight="1">
      <c r="A3662" s="2" t="s">
        <v>7595</v>
      </c>
      <c r="B3662" s="2" t="s">
        <v>7595</v>
      </c>
      <c r="C3662" s="2" t="s">
        <v>79</v>
      </c>
      <c r="D3662" s="2" t="s">
        <v>74</v>
      </c>
      <c r="E3662" s="5">
        <v>-27926</v>
      </c>
      <c r="F3662" s="3" t="s">
        <v>2158</v>
      </c>
      <c r="G3662" s="3" t="s">
        <v>39</v>
      </c>
      <c r="H3662" s="2" t="s">
        <v>21</v>
      </c>
      <c r="I3662" s="2" t="s">
        <v>7602</v>
      </c>
      <c r="J3662" s="3" t="str">
        <f>HYPERLINK("https://www.boe.es/gazeta/dias/1823/07/16/pdfs/GES-1823-96.pdf#page=1","Abrir facsímil")</f>
        <v>Abrir facsímil</v>
      </c>
      <c r="K3662" s="3" t="s">
        <v>23</v>
      </c>
    </row>
    <row r="3663" spans="1:11" ht="42" customHeight="1">
      <c r="A3663" s="2" t="s">
        <v>7595</v>
      </c>
      <c r="B3663" s="2" t="s">
        <v>7595</v>
      </c>
      <c r="C3663" s="2" t="s">
        <v>109</v>
      </c>
      <c r="D3663" s="2" t="s">
        <v>74</v>
      </c>
      <c r="E3663" s="5">
        <v>-27870</v>
      </c>
      <c r="F3663" s="3" t="s">
        <v>376</v>
      </c>
      <c r="G3663" s="3" t="s">
        <v>27</v>
      </c>
      <c r="H3663" s="2" t="s">
        <v>21</v>
      </c>
      <c r="I3663" s="2" t="s">
        <v>7603</v>
      </c>
      <c r="J3663" s="3" t="str">
        <f>HYPERLINK("https://www.boe.es/gazeta/dias/1823/09/10/pdfs/GES-1823-154.pdf#page=2","Abrir facsímil")</f>
        <v>Abrir facsímil</v>
      </c>
      <c r="K3663" s="3" t="s">
        <v>23</v>
      </c>
    </row>
    <row r="3664" spans="1:11" ht="42" customHeight="1">
      <c r="A3664" s="2" t="s">
        <v>7604</v>
      </c>
      <c r="B3664" s="2" t="s">
        <v>7605</v>
      </c>
      <c r="C3664" s="2" t="s">
        <v>17</v>
      </c>
      <c r="D3664" s="2" t="s">
        <v>18</v>
      </c>
      <c r="E3664" s="5">
        <v>-27999</v>
      </c>
      <c r="F3664" s="3" t="s">
        <v>97</v>
      </c>
      <c r="G3664" s="3" t="s">
        <v>1257</v>
      </c>
      <c r="H3664" s="2" t="s">
        <v>21</v>
      </c>
      <c r="I3664" s="2" t="s">
        <v>7606</v>
      </c>
      <c r="J3664" s="3" t="str">
        <f>HYPERLINK("https://www.boe.es/gazeta/dias/1823/05/04/pdfs/GES-1823-24.pdf#page=2","Abrir facsímil")</f>
        <v>Abrir facsímil</v>
      </c>
      <c r="K3664" s="3" t="s">
        <v>23</v>
      </c>
    </row>
    <row r="3665" spans="1:11" ht="42" customHeight="1">
      <c r="A3665" s="2" t="s">
        <v>7607</v>
      </c>
      <c r="B3665" s="2" t="s">
        <v>7607</v>
      </c>
      <c r="C3665" s="2" t="s">
        <v>17</v>
      </c>
      <c r="D3665" s="2" t="s">
        <v>18</v>
      </c>
      <c r="E3665" s="5">
        <v>-27878</v>
      </c>
      <c r="F3665" s="3" t="s">
        <v>1581</v>
      </c>
      <c r="G3665" s="3" t="s">
        <v>48</v>
      </c>
      <c r="H3665" s="2" t="s">
        <v>21</v>
      </c>
      <c r="I3665" s="2" t="s">
        <v>7608</v>
      </c>
      <c r="J3665" s="3" t="str">
        <f>HYPERLINK("https://www.boe.es/gazeta/dias/1823/09/02/pdfs/GMD-1823-683.pdf#page=3","Abrir facsímil")</f>
        <v>Abrir facsímil</v>
      </c>
      <c r="K3665" s="3" t="s">
        <v>23</v>
      </c>
    </row>
    <row r="3666" spans="1:11" ht="42" customHeight="1">
      <c r="A3666" s="2" t="s">
        <v>7609</v>
      </c>
      <c r="B3666" s="2" t="s">
        <v>7610</v>
      </c>
      <c r="C3666" s="2" t="s">
        <v>56</v>
      </c>
      <c r="D3666" s="2" t="s">
        <v>57</v>
      </c>
      <c r="E3666" s="5">
        <v>-27813</v>
      </c>
      <c r="F3666" s="3" t="s">
        <v>1600</v>
      </c>
      <c r="G3666" s="3" t="s">
        <v>48</v>
      </c>
      <c r="H3666" s="2" t="s">
        <v>21</v>
      </c>
      <c r="I3666" s="2" t="s">
        <v>7611</v>
      </c>
      <c r="J3666" s="3" t="str">
        <f>HYPERLINK("https://www.boe.es/gazeta/dias/1823/11/06/pdfs/GMD-1823-1073.pdf#page=3","Abrir facsímil")</f>
        <v>Abrir facsímil</v>
      </c>
      <c r="K3666" s="3" t="s">
        <v>23</v>
      </c>
    </row>
    <row r="3667" spans="1:11" ht="42" customHeight="1">
      <c r="A3667" s="2" t="s">
        <v>7612</v>
      </c>
      <c r="B3667" s="2" t="s">
        <v>7613</v>
      </c>
      <c r="C3667" s="2" t="s">
        <v>73</v>
      </c>
      <c r="D3667" s="2" t="s">
        <v>74</v>
      </c>
      <c r="E3667" s="5">
        <v>-28037</v>
      </c>
      <c r="F3667" s="3" t="s">
        <v>192</v>
      </c>
      <c r="G3667" s="3" t="s">
        <v>48</v>
      </c>
      <c r="H3667" s="2" t="s">
        <v>21</v>
      </c>
      <c r="I3667" s="2" t="s">
        <v>7614</v>
      </c>
      <c r="J3667" s="3" t="str">
        <f>HYPERLINK("https://www.boe.es/gazeta/dias/1823/03/27/pdfs/GMD-1823-90.pdf#page=3","Abrir facsímil")</f>
        <v>Abrir facsímil</v>
      </c>
      <c r="K3667" s="3" t="s">
        <v>23</v>
      </c>
    </row>
    <row r="3668" spans="1:11" ht="42" customHeight="1">
      <c r="A3668" s="2" t="s">
        <v>7615</v>
      </c>
      <c r="B3668" s="2" t="s">
        <v>7615</v>
      </c>
      <c r="C3668" s="2" t="s">
        <v>17</v>
      </c>
      <c r="D3668" s="2" t="s">
        <v>18</v>
      </c>
      <c r="E3668" s="5">
        <v>-28074</v>
      </c>
      <c r="F3668" s="3" t="s">
        <v>212</v>
      </c>
      <c r="G3668" s="3" t="s">
        <v>39</v>
      </c>
      <c r="H3668" s="2" t="s">
        <v>21</v>
      </c>
      <c r="I3668" s="2" t="s">
        <v>7616</v>
      </c>
      <c r="J3668" s="3" t="str">
        <f>HYPERLINK("https://www.boe.es/gazeta/dias/1823/02/18/pdfs/GMD-1823-52.pdf#page=1","Abrir facsímil")</f>
        <v>Abrir facsímil</v>
      </c>
      <c r="K3668" s="3" t="s">
        <v>23</v>
      </c>
    </row>
    <row r="3669" spans="1:11" ht="42" customHeight="1">
      <c r="A3669" s="2" t="s">
        <v>7615</v>
      </c>
      <c r="B3669" s="2" t="s">
        <v>7615</v>
      </c>
      <c r="C3669" s="2" t="s">
        <v>79</v>
      </c>
      <c r="D3669" s="2" t="s">
        <v>74</v>
      </c>
      <c r="E3669" s="5">
        <v>-28056</v>
      </c>
      <c r="F3669" s="3" t="s">
        <v>572</v>
      </c>
      <c r="G3669" s="3" t="s">
        <v>48</v>
      </c>
      <c r="H3669" s="2" t="s">
        <v>21</v>
      </c>
      <c r="I3669" s="2" t="s">
        <v>7617</v>
      </c>
      <c r="J3669" s="3" t="str">
        <f>HYPERLINK("https://www.boe.es/gazeta/dias/1823/03/08/pdfs/GMD-1823-71.pdf#page=3","Abrir facsímil")</f>
        <v>Abrir facsímil</v>
      </c>
      <c r="K3669" s="3" t="s">
        <v>23</v>
      </c>
    </row>
    <row r="3670" spans="1:11" ht="42" customHeight="1">
      <c r="A3670" s="2" t="s">
        <v>7615</v>
      </c>
      <c r="B3670" s="2" t="s">
        <v>7615</v>
      </c>
      <c r="C3670" s="2" t="s">
        <v>79</v>
      </c>
      <c r="D3670" s="2" t="s">
        <v>74</v>
      </c>
      <c r="E3670" s="5">
        <v>-28054</v>
      </c>
      <c r="F3670" s="3" t="s">
        <v>1292</v>
      </c>
      <c r="G3670" s="3" t="s">
        <v>48</v>
      </c>
      <c r="H3670" s="2" t="s">
        <v>21</v>
      </c>
      <c r="I3670" s="2" t="s">
        <v>7618</v>
      </c>
      <c r="J3670" s="3" t="str">
        <f>HYPERLINK("https://www.boe.es/gazeta/dias/1823/03/10/pdfs/GMD-1823-73.pdf#page=3","Abrir facsímil")</f>
        <v>Abrir facsímil</v>
      </c>
      <c r="K3670" s="3" t="s">
        <v>23</v>
      </c>
    </row>
    <row r="3671" spans="1:11" ht="42" customHeight="1">
      <c r="A3671" s="2" t="s">
        <v>7615</v>
      </c>
      <c r="B3671" s="2" t="s">
        <v>7615</v>
      </c>
      <c r="C3671" s="2" t="s">
        <v>79</v>
      </c>
      <c r="D3671" s="2" t="s">
        <v>74</v>
      </c>
      <c r="E3671" s="5">
        <v>-27964</v>
      </c>
      <c r="F3671" s="3" t="s">
        <v>58</v>
      </c>
      <c r="G3671" s="3" t="s">
        <v>27</v>
      </c>
      <c r="H3671" s="2" t="s">
        <v>21</v>
      </c>
      <c r="I3671" s="2" t="s">
        <v>7619</v>
      </c>
      <c r="J3671" s="3" t="str">
        <f>HYPERLINK("https://www.boe.es/gazeta/dias/1823/06/08/pdfs/GES-1823-62.pdf#page=2","Abrir facsímil")</f>
        <v>Abrir facsímil</v>
      </c>
      <c r="K3671" s="3" t="s">
        <v>23</v>
      </c>
    </row>
    <row r="3672" spans="1:11" ht="42" customHeight="1">
      <c r="A3672" s="2" t="s">
        <v>7615</v>
      </c>
      <c r="B3672" s="2" t="s">
        <v>7615</v>
      </c>
      <c r="C3672" s="2" t="s">
        <v>56</v>
      </c>
      <c r="D3672" s="2" t="s">
        <v>57</v>
      </c>
      <c r="E3672" s="5">
        <v>-27938</v>
      </c>
      <c r="F3672" s="3" t="s">
        <v>101</v>
      </c>
      <c r="G3672" s="3" t="s">
        <v>48</v>
      </c>
      <c r="H3672" s="2" t="s">
        <v>21</v>
      </c>
      <c r="I3672" s="2" t="s">
        <v>7620</v>
      </c>
      <c r="J3672" s="3" t="str">
        <f>HYPERLINK("https://www.boe.es/gazeta/dias/1823/07/04/pdfs/GES-1823-84.pdf#page=3","Abrir facsímil")</f>
        <v>Abrir facsímil</v>
      </c>
      <c r="K3672" s="3" t="s">
        <v>23</v>
      </c>
    </row>
    <row r="3673" spans="1:11" ht="42" customHeight="1">
      <c r="A3673" s="2" t="s">
        <v>7621</v>
      </c>
      <c r="B3673" s="2" t="s">
        <v>7622</v>
      </c>
      <c r="C3673" s="2" t="s">
        <v>17</v>
      </c>
      <c r="D3673" s="2" t="s">
        <v>18</v>
      </c>
      <c r="E3673" s="5">
        <v>-28038</v>
      </c>
      <c r="F3673" s="3" t="s">
        <v>2379</v>
      </c>
      <c r="G3673" s="3" t="s">
        <v>20</v>
      </c>
      <c r="H3673" s="2" t="s">
        <v>28</v>
      </c>
      <c r="I3673" s="2" t="s">
        <v>7623</v>
      </c>
      <c r="J3673" s="3" t="str">
        <f>HYPERLINK("https://www.boe.es/gazeta/dias/1823/03/26/pdfs/GMD-1823-89.pdf#page=4","Abrir facsímil")</f>
        <v>Abrir facsímil</v>
      </c>
      <c r="K3673" s="3" t="s">
        <v>30</v>
      </c>
    </row>
    <row r="3674" spans="1:11" ht="42" customHeight="1">
      <c r="A3674" s="2" t="s">
        <v>7624</v>
      </c>
      <c r="B3674" s="2" t="s">
        <v>7625</v>
      </c>
      <c r="C3674" s="2" t="s">
        <v>17</v>
      </c>
      <c r="D3674" s="2" t="s">
        <v>18</v>
      </c>
      <c r="E3674" s="5">
        <v>-28017</v>
      </c>
      <c r="F3674" s="3" t="s">
        <v>2912</v>
      </c>
      <c r="G3674" s="3" t="s">
        <v>39</v>
      </c>
      <c r="H3674" s="2" t="s">
        <v>21</v>
      </c>
      <c r="I3674" s="2" t="s">
        <v>7626</v>
      </c>
      <c r="J3674" s="3" t="str">
        <f>HYPERLINK("https://www.boe.es/gazeta/dias/1823/04/16/pdfs/GES-1823-6.pdf#page=1","Abrir facsímil")</f>
        <v>Abrir facsímil</v>
      </c>
      <c r="K3674" s="3" t="s">
        <v>23</v>
      </c>
    </row>
    <row r="3675" spans="1:11" ht="42" customHeight="1">
      <c r="A3675" s="2" t="s">
        <v>7627</v>
      </c>
      <c r="B3675" s="2" t="s">
        <v>7628</v>
      </c>
      <c r="C3675" s="2" t="s">
        <v>17</v>
      </c>
      <c r="D3675" s="2" t="s">
        <v>18</v>
      </c>
      <c r="E3675" s="5">
        <v>-28042</v>
      </c>
      <c r="F3675" s="3" t="s">
        <v>1218</v>
      </c>
      <c r="G3675" s="3" t="s">
        <v>20</v>
      </c>
      <c r="H3675" s="2" t="s">
        <v>21</v>
      </c>
      <c r="I3675" s="2" t="s">
        <v>7629</v>
      </c>
      <c r="J3675" s="3" t="str">
        <f>HYPERLINK("https://www.boe.es/gazeta/dias/1823/03/22/pdfs/GMD-1823-85.pdf#page=4","Abrir facsímil")</f>
        <v>Abrir facsímil</v>
      </c>
      <c r="K3675" s="3" t="s">
        <v>23</v>
      </c>
    </row>
    <row r="3676" spans="1:11" ht="42" customHeight="1">
      <c r="A3676" s="2" t="s">
        <v>7630</v>
      </c>
      <c r="B3676" s="2" t="s">
        <v>7631</v>
      </c>
      <c r="C3676" s="2" t="s">
        <v>17</v>
      </c>
      <c r="D3676" s="2" t="s">
        <v>18</v>
      </c>
      <c r="E3676" s="5">
        <v>-27867</v>
      </c>
      <c r="F3676" s="3" t="s">
        <v>569</v>
      </c>
      <c r="G3676" s="3" t="s">
        <v>27</v>
      </c>
      <c r="H3676" s="2" t="s">
        <v>21</v>
      </c>
      <c r="I3676" s="2" t="s">
        <v>7632</v>
      </c>
      <c r="J3676" s="3" t="str">
        <f>HYPERLINK("https://www.boe.es/gazeta/dias/1823/09/13/pdfs/GES-1823-157.pdf#page=2","Abrir facsímil")</f>
        <v>Abrir facsímil</v>
      </c>
      <c r="K3676" s="3" t="s">
        <v>23</v>
      </c>
    </row>
    <row r="3677" spans="1:11" ht="42" customHeight="1">
      <c r="A3677" s="2" t="s">
        <v>7633</v>
      </c>
      <c r="B3677" s="2" t="s">
        <v>7633</v>
      </c>
      <c r="C3677" s="2" t="s">
        <v>17</v>
      </c>
      <c r="D3677" s="2" t="s">
        <v>18</v>
      </c>
      <c r="E3677" s="5">
        <v>-27992</v>
      </c>
      <c r="F3677" s="3" t="s">
        <v>565</v>
      </c>
      <c r="G3677" s="3" t="s">
        <v>39</v>
      </c>
      <c r="H3677" s="2" t="s">
        <v>21</v>
      </c>
      <c r="I3677" s="2" t="s">
        <v>7634</v>
      </c>
      <c r="J3677" s="3" t="str">
        <f>HYPERLINK("https://www.boe.es/gazeta/dias/1823/05/11/pdfs/GES-1823-31.pdf#page=1","Abrir facsímil")</f>
        <v>Abrir facsímil</v>
      </c>
      <c r="K3677" s="3" t="s">
        <v>23</v>
      </c>
    </row>
    <row r="3678" spans="1:11" ht="42" customHeight="1">
      <c r="A3678" s="2" t="s">
        <v>7635</v>
      </c>
      <c r="B3678" s="2" t="s">
        <v>7635</v>
      </c>
      <c r="C3678" s="2" t="s">
        <v>17</v>
      </c>
      <c r="D3678" s="2" t="s">
        <v>18</v>
      </c>
      <c r="E3678" s="5">
        <v>-27861</v>
      </c>
      <c r="F3678" s="3" t="s">
        <v>425</v>
      </c>
      <c r="G3678" s="3" t="s">
        <v>39</v>
      </c>
      <c r="H3678" s="2" t="s">
        <v>21</v>
      </c>
      <c r="I3678" s="2" t="s">
        <v>7636</v>
      </c>
      <c r="J3678" s="3" t="str">
        <f>HYPERLINK("https://www.boe.es/gazeta/dias/1823/09/19/pdfs/GES-1823-163.pdf#page=1","Abrir facsímil")</f>
        <v>Abrir facsímil</v>
      </c>
      <c r="K3678" s="3" t="s">
        <v>23</v>
      </c>
    </row>
    <row r="3679" spans="1:11" ht="42" customHeight="1">
      <c r="A3679" s="2" t="s">
        <v>7637</v>
      </c>
      <c r="B3679" s="2" t="s">
        <v>7638</v>
      </c>
      <c r="C3679" s="2" t="s">
        <v>17</v>
      </c>
      <c r="D3679" s="2" t="s">
        <v>18</v>
      </c>
      <c r="E3679" s="5">
        <v>-27863</v>
      </c>
      <c r="F3679" s="3" t="s">
        <v>651</v>
      </c>
      <c r="G3679" s="3" t="s">
        <v>27</v>
      </c>
      <c r="H3679" s="2" t="s">
        <v>21</v>
      </c>
      <c r="I3679" s="2" t="s">
        <v>7639</v>
      </c>
      <c r="J3679" s="3" t="str">
        <f>HYPERLINK("https://www.boe.es/gazeta/dias/1823/09/17/pdfs/GES-1823-161.pdf#page=2","Abrir facsímil")</f>
        <v>Abrir facsímil</v>
      </c>
      <c r="K3679" s="3" t="s">
        <v>23</v>
      </c>
    </row>
    <row r="3680" spans="1:11" ht="42" customHeight="1">
      <c r="A3680" s="2" t="s">
        <v>7640</v>
      </c>
      <c r="B3680" s="2" t="s">
        <v>7640</v>
      </c>
      <c r="C3680" s="2" t="s">
        <v>79</v>
      </c>
      <c r="D3680" s="2" t="s">
        <v>74</v>
      </c>
      <c r="E3680" s="5">
        <v>-27923</v>
      </c>
      <c r="F3680" s="3" t="s">
        <v>1225</v>
      </c>
      <c r="G3680" s="3" t="s">
        <v>34</v>
      </c>
      <c r="H3680" s="2" t="s">
        <v>21</v>
      </c>
      <c r="I3680" s="2" t="s">
        <v>7641</v>
      </c>
      <c r="J3680" s="3" t="str">
        <f>HYPERLINK("https://www.boe.es/gazeta/dias/1823/07/19/pdfs/GMD-1823-433.pdf#page=5","Abrir facsímil")</f>
        <v>Abrir facsímil</v>
      </c>
      <c r="K3680" s="3" t="s">
        <v>23</v>
      </c>
    </row>
    <row r="3681" spans="1:11" ht="42" customHeight="1">
      <c r="A3681" s="2" t="s">
        <v>7640</v>
      </c>
      <c r="B3681" s="2" t="s">
        <v>7640</v>
      </c>
      <c r="C3681" s="2" t="s">
        <v>79</v>
      </c>
      <c r="D3681" s="2" t="s">
        <v>74</v>
      </c>
      <c r="E3681" s="5">
        <v>-27920</v>
      </c>
      <c r="F3681" s="3" t="s">
        <v>1334</v>
      </c>
      <c r="G3681" s="3" t="s">
        <v>59</v>
      </c>
      <c r="H3681" s="2" t="s">
        <v>21</v>
      </c>
      <c r="I3681" s="2" t="s">
        <v>7642</v>
      </c>
      <c r="J3681" s="3" t="str">
        <f>HYPERLINK("https://www.boe.es/gazeta/dias/1823/07/22/pdfs/GMD-1823-443.pdf#page=6","Abrir facsímil")</f>
        <v>Abrir facsímil</v>
      </c>
      <c r="K3681" s="3" t="s">
        <v>23</v>
      </c>
    </row>
    <row r="3682" spans="1:11" ht="42" customHeight="1">
      <c r="A3682" s="2" t="s">
        <v>7643</v>
      </c>
      <c r="B3682" s="2" t="s">
        <v>7644</v>
      </c>
      <c r="C3682" s="2" t="s">
        <v>17</v>
      </c>
      <c r="D3682" s="2" t="s">
        <v>18</v>
      </c>
      <c r="E3682" s="5">
        <v>-28061</v>
      </c>
      <c r="F3682" s="3" t="s">
        <v>704</v>
      </c>
      <c r="G3682" s="3" t="s">
        <v>59</v>
      </c>
      <c r="H3682" s="2" t="s">
        <v>21</v>
      </c>
      <c r="I3682" s="2" t="s">
        <v>7645</v>
      </c>
      <c r="J3682" s="3" t="str">
        <f>HYPERLINK("https://www.boe.es/gazeta/dias/1823/03/03/pdfs/GMD-1823-66.pdf#page=6","Abrir facsímil")</f>
        <v>Abrir facsímil</v>
      </c>
      <c r="K3682" s="3" t="s">
        <v>23</v>
      </c>
    </row>
    <row r="3683" spans="1:11" ht="42" customHeight="1">
      <c r="A3683" s="2" t="s">
        <v>7646</v>
      </c>
      <c r="B3683" s="2" t="s">
        <v>7647</v>
      </c>
      <c r="C3683" s="2" t="s">
        <v>79</v>
      </c>
      <c r="D3683" s="2" t="s">
        <v>74</v>
      </c>
      <c r="E3683" s="5">
        <v>-28119</v>
      </c>
      <c r="F3683" s="3" t="s">
        <v>545</v>
      </c>
      <c r="G3683" s="3" t="s">
        <v>59</v>
      </c>
      <c r="H3683" s="2" t="s">
        <v>21</v>
      </c>
      <c r="I3683" s="2" t="s">
        <v>7648</v>
      </c>
      <c r="J3683" s="3" t="str">
        <f>HYPERLINK("https://www.boe.es/gazeta/dias/1823/01/04/pdfs/GMD-1823-4.pdf#page=6","Abrir facsímil")</f>
        <v>Abrir facsímil</v>
      </c>
      <c r="K3683" s="3" t="s">
        <v>23</v>
      </c>
    </row>
    <row r="3684" spans="1:11" ht="42" customHeight="1">
      <c r="A3684" s="2" t="s">
        <v>7649</v>
      </c>
      <c r="B3684" s="2" t="s">
        <v>7650</v>
      </c>
      <c r="C3684" s="2" t="s">
        <v>17</v>
      </c>
      <c r="D3684" s="2" t="s">
        <v>18</v>
      </c>
      <c r="E3684" s="5">
        <v>-27913</v>
      </c>
      <c r="F3684" s="3" t="s">
        <v>829</v>
      </c>
      <c r="G3684" s="3" t="s">
        <v>34</v>
      </c>
      <c r="H3684" s="2" t="s">
        <v>21</v>
      </c>
      <c r="I3684" s="2" t="s">
        <v>7651</v>
      </c>
      <c r="J3684" s="3" t="str">
        <f>HYPERLINK("https://www.boe.es/gazeta/dias/1823/07/29/pdfs/GMD-1823-483.pdf#page=5","Abrir facsímil")</f>
        <v>Abrir facsímil</v>
      </c>
      <c r="K3684" s="3" t="s">
        <v>23</v>
      </c>
    </row>
    <row r="3685" spans="1:11" ht="42" customHeight="1">
      <c r="A3685" s="2" t="s">
        <v>7652</v>
      </c>
      <c r="B3685" s="2" t="s">
        <v>7653</v>
      </c>
      <c r="C3685" s="2" t="s">
        <v>17</v>
      </c>
      <c r="D3685" s="2" t="s">
        <v>18</v>
      </c>
      <c r="E3685" s="5">
        <v>-27861</v>
      </c>
      <c r="F3685" s="3" t="s">
        <v>425</v>
      </c>
      <c r="G3685" s="3" t="s">
        <v>39</v>
      </c>
      <c r="H3685" s="2" t="s">
        <v>21</v>
      </c>
      <c r="I3685" s="2" t="s">
        <v>7654</v>
      </c>
      <c r="J3685" s="3" t="str">
        <f>HYPERLINK("https://www.boe.es/gazeta/dias/1823/09/19/pdfs/GES-1823-163.pdf#page=1","Abrir facsímil")</f>
        <v>Abrir facsímil</v>
      </c>
      <c r="K3685" s="3" t="s">
        <v>23</v>
      </c>
    </row>
    <row r="3686" spans="1:11" ht="42" customHeight="1">
      <c r="A3686" s="2" t="s">
        <v>7655</v>
      </c>
      <c r="B3686" s="2" t="s">
        <v>7655</v>
      </c>
      <c r="C3686" s="2" t="s">
        <v>17</v>
      </c>
      <c r="D3686" s="2" t="s">
        <v>18</v>
      </c>
      <c r="E3686" s="5">
        <v>-28016</v>
      </c>
      <c r="F3686" s="3" t="s">
        <v>2259</v>
      </c>
      <c r="G3686" s="3" t="s">
        <v>20</v>
      </c>
      <c r="H3686" s="2" t="s">
        <v>21</v>
      </c>
      <c r="I3686" s="2" t="s">
        <v>7656</v>
      </c>
      <c r="J3686" s="3" t="str">
        <f>HYPERLINK("https://www.boe.es/gazeta/dias/1823/04/17/pdfs/GES-1823-7.pdf#page=4","Abrir facsímil")</f>
        <v>Abrir facsímil</v>
      </c>
      <c r="K3686" s="3" t="s">
        <v>23</v>
      </c>
    </row>
    <row r="3687" spans="1:11" ht="42" customHeight="1">
      <c r="A3687" s="2" t="s">
        <v>7655</v>
      </c>
      <c r="B3687" s="2" t="s">
        <v>7655</v>
      </c>
      <c r="C3687" s="2" t="s">
        <v>17</v>
      </c>
      <c r="D3687" s="2" t="s">
        <v>18</v>
      </c>
      <c r="E3687" s="5">
        <v>-28004</v>
      </c>
      <c r="F3687" s="3" t="s">
        <v>33</v>
      </c>
      <c r="G3687" s="3" t="s">
        <v>34</v>
      </c>
      <c r="H3687" s="2" t="s">
        <v>21</v>
      </c>
      <c r="I3687" s="2" t="s">
        <v>7657</v>
      </c>
      <c r="J3687" s="3" t="str">
        <f>HYPERLINK("https://www.boe.es/gazeta/dias/1823/04/29/pdfs/GES-1823-19.pdf#page=5","Abrir facsímil")</f>
        <v>Abrir facsímil</v>
      </c>
      <c r="K3687" s="3" t="s">
        <v>23</v>
      </c>
    </row>
    <row r="3688" spans="1:11" ht="42" customHeight="1">
      <c r="A3688" s="2" t="s">
        <v>7655</v>
      </c>
      <c r="B3688" s="2" t="s">
        <v>7655</v>
      </c>
      <c r="C3688" s="2" t="s">
        <v>17</v>
      </c>
      <c r="D3688" s="2" t="s">
        <v>18</v>
      </c>
      <c r="E3688" s="5">
        <v>-27978</v>
      </c>
      <c r="F3688" s="3" t="s">
        <v>342</v>
      </c>
      <c r="G3688" s="3" t="s">
        <v>59</v>
      </c>
      <c r="H3688" s="2" t="s">
        <v>21</v>
      </c>
      <c r="I3688" s="2" t="s">
        <v>7658</v>
      </c>
      <c r="J3688" s="3" t="str">
        <f>HYPERLINK("https://www.boe.es/gazeta/dias/1823/05/25/pdfs/GES-1823-46.pdf#page=6","Abrir facsímil")</f>
        <v>Abrir facsímil</v>
      </c>
      <c r="K3688" s="3" t="s">
        <v>23</v>
      </c>
    </row>
    <row r="3689" spans="1:11" ht="42" customHeight="1">
      <c r="A3689" s="2" t="s">
        <v>7655</v>
      </c>
      <c r="B3689" s="2" t="s">
        <v>7655</v>
      </c>
      <c r="C3689" s="2" t="s">
        <v>17</v>
      </c>
      <c r="D3689" s="2" t="s">
        <v>117</v>
      </c>
      <c r="E3689" s="5">
        <v>-27925</v>
      </c>
      <c r="F3689" s="3" t="s">
        <v>3911</v>
      </c>
      <c r="G3689" s="3" t="s">
        <v>39</v>
      </c>
      <c r="H3689" s="2" t="s">
        <v>21</v>
      </c>
      <c r="I3689" s="2" t="s">
        <v>7659</v>
      </c>
      <c r="J3689" s="3" t="str">
        <f>HYPERLINK("https://www.boe.es/gazeta/dias/1823/07/17/pdfs/GES-1823-98E.pdf#page=1","Abrir facsímil")</f>
        <v>Abrir facsímil</v>
      </c>
      <c r="K3689" s="3" t="s">
        <v>23</v>
      </c>
    </row>
    <row r="3690" spans="1:11" ht="42" customHeight="1">
      <c r="A3690" s="2" t="s">
        <v>7660</v>
      </c>
      <c r="B3690" s="2" t="s">
        <v>7661</v>
      </c>
      <c r="C3690" s="2" t="s">
        <v>17</v>
      </c>
      <c r="D3690" s="2" t="s">
        <v>18</v>
      </c>
      <c r="E3690" s="5">
        <v>-28005</v>
      </c>
      <c r="F3690" s="3" t="s">
        <v>1648</v>
      </c>
      <c r="G3690" s="3" t="s">
        <v>7662</v>
      </c>
      <c r="H3690" s="2" t="s">
        <v>21</v>
      </c>
      <c r="I3690" s="2" t="s">
        <v>7663</v>
      </c>
      <c r="J3690" s="3" t="str">
        <f>HYPERLINK("https://www.boe.es/gazeta/dias/1823/04/28/pdfs/GES-1823-18.pdf#page=1","Abrir facsímil")</f>
        <v>Abrir facsímil</v>
      </c>
      <c r="K3690" s="3" t="s">
        <v>23</v>
      </c>
    </row>
    <row r="3691" spans="1:11" ht="42" customHeight="1">
      <c r="A3691" s="2" t="s">
        <v>7660</v>
      </c>
      <c r="B3691" s="2" t="s">
        <v>7661</v>
      </c>
      <c r="C3691" s="2" t="s">
        <v>17</v>
      </c>
      <c r="D3691" s="2" t="s">
        <v>117</v>
      </c>
      <c r="E3691" s="5">
        <v>-27925</v>
      </c>
      <c r="F3691" s="3" t="s">
        <v>3911</v>
      </c>
      <c r="G3691" s="3" t="s">
        <v>39</v>
      </c>
      <c r="H3691" s="2" t="s">
        <v>21</v>
      </c>
      <c r="I3691" s="2" t="s">
        <v>7664</v>
      </c>
      <c r="J3691" s="3" t="str">
        <f>HYPERLINK("https://www.boe.es/gazeta/dias/1823/07/17/pdfs/GES-1823-98E.pdf#page=1","Abrir facsímil")</f>
        <v>Abrir facsímil</v>
      </c>
      <c r="K3691" s="3" t="s">
        <v>23</v>
      </c>
    </row>
    <row r="3692" spans="1:11" ht="42" customHeight="1">
      <c r="A3692" s="2" t="s">
        <v>7660</v>
      </c>
      <c r="B3692" s="2" t="s">
        <v>7661</v>
      </c>
      <c r="C3692" s="2" t="s">
        <v>17</v>
      </c>
      <c r="D3692" s="2" t="s">
        <v>18</v>
      </c>
      <c r="E3692" s="5">
        <v>-27906</v>
      </c>
      <c r="F3692" s="3" t="s">
        <v>241</v>
      </c>
      <c r="G3692" s="3" t="s">
        <v>20</v>
      </c>
      <c r="H3692" s="2" t="s">
        <v>21</v>
      </c>
      <c r="I3692" s="2" t="s">
        <v>7665</v>
      </c>
      <c r="J3692" s="3" t="str">
        <f>HYPERLINK("https://www.boe.es/gazeta/dias/1823/08/05/pdfs/GES-1823-117.pdf#page=4","Abrir facsímil")</f>
        <v>Abrir facsímil</v>
      </c>
      <c r="K3692" s="3" t="s">
        <v>23</v>
      </c>
    </row>
    <row r="3693" spans="1:11" ht="42" customHeight="1">
      <c r="A3693" s="2" t="s">
        <v>7666</v>
      </c>
      <c r="B3693" s="2" t="s">
        <v>7667</v>
      </c>
      <c r="C3693" s="2" t="s">
        <v>17</v>
      </c>
      <c r="D3693" s="2" t="s">
        <v>18</v>
      </c>
      <c r="E3693" s="5">
        <v>-27863</v>
      </c>
      <c r="F3693" s="3" t="s">
        <v>651</v>
      </c>
      <c r="G3693" s="3" t="s">
        <v>27</v>
      </c>
      <c r="H3693" s="2" t="s">
        <v>21</v>
      </c>
      <c r="I3693" s="2" t="s">
        <v>7668</v>
      </c>
      <c r="J3693" s="3" t="str">
        <f>HYPERLINK("https://www.boe.es/gazeta/dias/1823/09/17/pdfs/GES-1823-161.pdf#page=2","Abrir facsímil")</f>
        <v>Abrir facsímil</v>
      </c>
      <c r="K3693" s="3" t="s">
        <v>23</v>
      </c>
    </row>
    <row r="3694" spans="1:11" ht="42" customHeight="1">
      <c r="A3694" s="2" t="s">
        <v>7669</v>
      </c>
      <c r="B3694" s="2" t="s">
        <v>7670</v>
      </c>
      <c r="C3694" s="2" t="s">
        <v>56</v>
      </c>
      <c r="D3694" s="2" t="s">
        <v>57</v>
      </c>
      <c r="E3694" s="5">
        <v>-28055</v>
      </c>
      <c r="F3694" s="3" t="s">
        <v>313</v>
      </c>
      <c r="G3694" s="3" t="s">
        <v>20</v>
      </c>
      <c r="H3694" s="2" t="s">
        <v>21</v>
      </c>
      <c r="I3694" s="2" t="s">
        <v>7671</v>
      </c>
      <c r="J3694" s="3" t="str">
        <f>HYPERLINK("https://www.boe.es/gazeta/dias/1823/03/09/pdfs/GMD-1823-72.pdf#page=4","Abrir facsímil")</f>
        <v>Abrir facsímil</v>
      </c>
      <c r="K3694" s="3" t="s">
        <v>23</v>
      </c>
    </row>
    <row r="3695" spans="1:11" ht="42" customHeight="1">
      <c r="A3695" s="2" t="s">
        <v>7672</v>
      </c>
      <c r="B3695" s="2" t="s">
        <v>7673</v>
      </c>
      <c r="C3695" s="2" t="s">
        <v>293</v>
      </c>
      <c r="D3695" s="2" t="s">
        <v>74</v>
      </c>
      <c r="E3695" s="5">
        <v>-28055</v>
      </c>
      <c r="F3695" s="3" t="s">
        <v>313</v>
      </c>
      <c r="G3695" s="3" t="s">
        <v>20</v>
      </c>
      <c r="H3695" s="2" t="s">
        <v>21</v>
      </c>
      <c r="I3695" s="2" t="s">
        <v>7674</v>
      </c>
      <c r="J3695" s="3" t="str">
        <f>HYPERLINK("https://www.boe.es/gazeta/dias/1823/03/09/pdfs/GMD-1823-72.pdf#page=4","Abrir facsímil")</f>
        <v>Abrir facsímil</v>
      </c>
      <c r="K3695" s="3" t="s">
        <v>23</v>
      </c>
    </row>
    <row r="3696" spans="1:11" ht="42" customHeight="1">
      <c r="A3696" s="2" t="s">
        <v>7675</v>
      </c>
      <c r="B3696" s="2" t="s">
        <v>7676</v>
      </c>
      <c r="C3696" s="2" t="s">
        <v>17</v>
      </c>
      <c r="D3696" s="2" t="s">
        <v>18</v>
      </c>
      <c r="E3696" s="5">
        <v>-27991</v>
      </c>
      <c r="F3696" s="3" t="s">
        <v>328</v>
      </c>
      <c r="G3696" s="3" t="s">
        <v>27</v>
      </c>
      <c r="H3696" s="2" t="s">
        <v>21</v>
      </c>
      <c r="I3696" s="2" t="s">
        <v>7677</v>
      </c>
      <c r="J3696" s="3" t="str">
        <f>HYPERLINK("https://www.boe.es/gazeta/dias/1823/05/12/pdfs/GES-1823-32.pdf#page=2","Abrir facsímil")</f>
        <v>Abrir facsímil</v>
      </c>
      <c r="K3696" s="3" t="s">
        <v>23</v>
      </c>
    </row>
    <row r="3697" spans="1:11" ht="42" customHeight="1">
      <c r="A3697" s="2" t="s">
        <v>7678</v>
      </c>
      <c r="B3697" s="2" t="s">
        <v>7679</v>
      </c>
      <c r="C3697" s="2" t="s">
        <v>1477</v>
      </c>
      <c r="D3697" s="2" t="s">
        <v>57</v>
      </c>
      <c r="E3697" s="5">
        <v>-27869</v>
      </c>
      <c r="F3697" s="3" t="s">
        <v>520</v>
      </c>
      <c r="G3697" s="3" t="s">
        <v>39</v>
      </c>
      <c r="H3697" s="2" t="s">
        <v>21</v>
      </c>
      <c r="I3697" s="2" t="s">
        <v>7680</v>
      </c>
      <c r="J3697" s="3" t="str">
        <f>HYPERLINK("https://www.boe.es/gazeta/dias/1823/09/11/pdfs/GMD-1823-753.pdf#page=1","Abrir facsímil")</f>
        <v>Abrir facsímil</v>
      </c>
      <c r="K3697" s="3" t="s">
        <v>23</v>
      </c>
    </row>
    <row r="3698" spans="1:11" ht="42" customHeight="1">
      <c r="A3698" s="2" t="s">
        <v>7681</v>
      </c>
      <c r="B3698" s="2" t="s">
        <v>7682</v>
      </c>
      <c r="C3698" s="2" t="s">
        <v>293</v>
      </c>
      <c r="D3698" s="2" t="s">
        <v>74</v>
      </c>
      <c r="E3698" s="5">
        <v>-28112</v>
      </c>
      <c r="F3698" s="3" t="s">
        <v>43</v>
      </c>
      <c r="G3698" s="3" t="s">
        <v>20</v>
      </c>
      <c r="H3698" s="2" t="s">
        <v>21</v>
      </c>
      <c r="I3698" s="2" t="s">
        <v>7683</v>
      </c>
      <c r="J3698" s="3" t="str">
        <f>HYPERLINK("https://www.boe.es/gazeta/dias/1823/01/11/pdfs/GMD-1823-11.pdf#page=4","Abrir facsímil")</f>
        <v>Abrir facsímil</v>
      </c>
      <c r="K3698" s="3" t="s">
        <v>23</v>
      </c>
    </row>
    <row r="3699" spans="1:11" ht="42" customHeight="1">
      <c r="A3699" s="2" t="s">
        <v>7684</v>
      </c>
      <c r="B3699" s="2" t="s">
        <v>7685</v>
      </c>
      <c r="C3699" s="2" t="s">
        <v>17</v>
      </c>
      <c r="D3699" s="2" t="s">
        <v>18</v>
      </c>
      <c r="E3699" s="5">
        <v>-27971</v>
      </c>
      <c r="F3699" s="3" t="s">
        <v>4211</v>
      </c>
      <c r="G3699" s="3" t="s">
        <v>4358</v>
      </c>
      <c r="H3699" s="2" t="s">
        <v>21</v>
      </c>
      <c r="I3699" s="2" t="s">
        <v>7686</v>
      </c>
      <c r="J3699" s="3" t="str">
        <f>HYPERLINK("https://www.boe.es/gazeta/dias/1823/06/01/pdfs/GES-1823-55.pdf#page=6","Abrir facsímil")</f>
        <v>Abrir facsímil</v>
      </c>
      <c r="K3699" s="3" t="s">
        <v>23</v>
      </c>
    </row>
    <row r="3700" spans="1:11" ht="42" customHeight="1">
      <c r="A3700" s="2" t="s">
        <v>7687</v>
      </c>
      <c r="B3700" s="2" t="s">
        <v>7688</v>
      </c>
      <c r="C3700" s="2" t="s">
        <v>17</v>
      </c>
      <c r="D3700" s="2" t="s">
        <v>18</v>
      </c>
      <c r="E3700" s="5">
        <v>-28119</v>
      </c>
      <c r="F3700" s="3" t="s">
        <v>545</v>
      </c>
      <c r="G3700" s="3" t="s">
        <v>48</v>
      </c>
      <c r="H3700" s="2" t="s">
        <v>21</v>
      </c>
      <c r="I3700" s="2" t="s">
        <v>7689</v>
      </c>
      <c r="J3700" s="3" t="str">
        <f>HYPERLINK("https://www.boe.es/gazeta/dias/1823/01/04/pdfs/GMD-1823-4.pdf#page=3","Abrir facsímil")</f>
        <v>Abrir facsímil</v>
      </c>
      <c r="K3700" s="3" t="s">
        <v>23</v>
      </c>
    </row>
    <row r="3701" spans="1:11" ht="42" customHeight="1">
      <c r="A3701" s="2" t="s">
        <v>7690</v>
      </c>
      <c r="B3701" s="2" t="s">
        <v>7690</v>
      </c>
      <c r="C3701" s="2" t="s">
        <v>17</v>
      </c>
      <c r="D3701" s="2" t="s">
        <v>18</v>
      </c>
      <c r="E3701" s="5">
        <v>-27911</v>
      </c>
      <c r="F3701" s="3" t="s">
        <v>368</v>
      </c>
      <c r="G3701" s="3" t="s">
        <v>39</v>
      </c>
      <c r="H3701" s="2" t="s">
        <v>21</v>
      </c>
      <c r="I3701" s="2" t="s">
        <v>7691</v>
      </c>
      <c r="J3701" s="3" t="str">
        <f>HYPERLINK("https://www.boe.es/gazeta/dias/1823/07/31/pdfs/GES-1823-112.pdf#page=1","Abrir facsímil")</f>
        <v>Abrir facsímil</v>
      </c>
      <c r="K3701" s="3" t="s">
        <v>23</v>
      </c>
    </row>
    <row r="3702" spans="1:11" ht="42" customHeight="1">
      <c r="A3702" s="2" t="s">
        <v>7692</v>
      </c>
      <c r="B3702" s="2" t="s">
        <v>7692</v>
      </c>
      <c r="C3702" s="2" t="s">
        <v>17</v>
      </c>
      <c r="D3702" s="2" t="s">
        <v>18</v>
      </c>
      <c r="E3702" s="5">
        <v>-27905</v>
      </c>
      <c r="F3702" s="3" t="s">
        <v>236</v>
      </c>
      <c r="G3702" s="3" t="s">
        <v>27</v>
      </c>
      <c r="H3702" s="2" t="s">
        <v>21</v>
      </c>
      <c r="I3702" s="2" t="s">
        <v>7693</v>
      </c>
      <c r="J3702" s="3" t="str">
        <f>HYPERLINK("https://www.boe.es/gazeta/dias/1823/08/06/pdfs/GES-1823-119.pdf#page=2","Abrir facsímil")</f>
        <v>Abrir facsímil</v>
      </c>
      <c r="K3702" s="3" t="s">
        <v>23</v>
      </c>
    </row>
    <row r="3703" spans="1:11" ht="42" customHeight="1">
      <c r="A3703" s="2" t="s">
        <v>7692</v>
      </c>
      <c r="B3703" s="2" t="s">
        <v>7692</v>
      </c>
      <c r="C3703" s="2" t="s">
        <v>17</v>
      </c>
      <c r="D3703" s="2" t="s">
        <v>18</v>
      </c>
      <c r="E3703" s="5">
        <v>-27852</v>
      </c>
      <c r="F3703" s="3" t="s">
        <v>2628</v>
      </c>
      <c r="G3703" s="3" t="s">
        <v>7694</v>
      </c>
      <c r="H3703" s="2" t="s">
        <v>21</v>
      </c>
      <c r="I3703" s="2" t="s">
        <v>7695</v>
      </c>
      <c r="J3703" s="3" t="str">
        <f>HYPERLINK("https://www.boe.es/gazeta/dias/1823/09/28/pdfs/GES-1823-172.pdf#page=2","Abrir facsímil")</f>
        <v>Abrir facsímil</v>
      </c>
      <c r="K3703" s="3" t="s">
        <v>23</v>
      </c>
    </row>
    <row r="3704" spans="1:11" ht="42" customHeight="1">
      <c r="A3704" s="2" t="s">
        <v>7692</v>
      </c>
      <c r="B3704" s="2" t="s">
        <v>7692</v>
      </c>
      <c r="C3704" s="2" t="s">
        <v>17</v>
      </c>
      <c r="D3704" s="2" t="s">
        <v>18</v>
      </c>
      <c r="E3704" s="5">
        <v>-27764</v>
      </c>
      <c r="F3704" s="3" t="s">
        <v>3370</v>
      </c>
      <c r="G3704" s="3" t="s">
        <v>48</v>
      </c>
      <c r="H3704" s="2" t="s">
        <v>21</v>
      </c>
      <c r="I3704" s="2" t="s">
        <v>7696</v>
      </c>
      <c r="J3704" s="3" t="str">
        <f>HYPERLINK("https://www.boe.es/gazeta/dias/1823/12/25/pdfs/GMD-1823-1293.pdf#page=3","Abrir facsímil")</f>
        <v>Abrir facsímil</v>
      </c>
      <c r="K3704" s="3" t="s">
        <v>23</v>
      </c>
    </row>
    <row r="3705" spans="1:11" ht="42" customHeight="1">
      <c r="A3705" s="2" t="s">
        <v>7697</v>
      </c>
      <c r="B3705" s="2" t="s">
        <v>7698</v>
      </c>
      <c r="C3705" s="2" t="s">
        <v>17</v>
      </c>
      <c r="D3705" s="2" t="s">
        <v>18</v>
      </c>
      <c r="E3705" s="5">
        <v>-27998</v>
      </c>
      <c r="F3705" s="3" t="s">
        <v>1058</v>
      </c>
      <c r="G3705" s="3" t="s">
        <v>59</v>
      </c>
      <c r="H3705" s="2" t="s">
        <v>21</v>
      </c>
      <c r="I3705" s="2" t="s">
        <v>7699</v>
      </c>
      <c r="J3705" s="3" t="str">
        <f>HYPERLINK("https://www.boe.es/gazeta/dias/1823/05/05/pdfs/GES-1823-25.pdf#page=6","Abrir facsímil")</f>
        <v>Abrir facsímil</v>
      </c>
      <c r="K3705" s="3" t="s">
        <v>23</v>
      </c>
    </row>
    <row r="3706" spans="1:11" ht="42" customHeight="1">
      <c r="A3706" s="2" t="s">
        <v>7700</v>
      </c>
      <c r="B3706" s="2" t="s">
        <v>7701</v>
      </c>
      <c r="C3706" s="2" t="s">
        <v>56</v>
      </c>
      <c r="D3706" s="2" t="s">
        <v>57</v>
      </c>
      <c r="E3706" s="5">
        <v>-27850</v>
      </c>
      <c r="F3706" s="3" t="s">
        <v>910</v>
      </c>
      <c r="G3706" s="3" t="s">
        <v>27</v>
      </c>
      <c r="H3706" s="2" t="s">
        <v>21</v>
      </c>
      <c r="I3706" s="2" t="s">
        <v>7702</v>
      </c>
      <c r="J3706" s="3" t="str">
        <f>HYPERLINK("https://www.boe.es/gazeta/dias/1823/09/30/pdfs/GMD-1823-873.pdf#page=2","Abrir facsímil")</f>
        <v>Abrir facsímil</v>
      </c>
      <c r="K3706" s="3" t="s">
        <v>23</v>
      </c>
    </row>
    <row r="3707" spans="1:11" ht="42" customHeight="1">
      <c r="A3707" s="2" t="s">
        <v>7703</v>
      </c>
      <c r="B3707" s="2" t="s">
        <v>7704</v>
      </c>
      <c r="C3707" s="2" t="s">
        <v>17</v>
      </c>
      <c r="D3707" s="2" t="s">
        <v>18</v>
      </c>
      <c r="E3707" s="5">
        <v>-27999</v>
      </c>
      <c r="F3707" s="3" t="s">
        <v>97</v>
      </c>
      <c r="G3707" s="3" t="s">
        <v>1257</v>
      </c>
      <c r="H3707" s="2" t="s">
        <v>21</v>
      </c>
      <c r="I3707" s="2" t="s">
        <v>7705</v>
      </c>
      <c r="J3707" s="3" t="str">
        <f>HYPERLINK("https://www.boe.es/gazeta/dias/1823/05/04/pdfs/GES-1823-24.pdf#page=2","Abrir facsímil")</f>
        <v>Abrir facsímil</v>
      </c>
      <c r="K3707" s="3" t="s">
        <v>23</v>
      </c>
    </row>
    <row r="3708" spans="1:11" ht="42" customHeight="1">
      <c r="A3708" s="2" t="s">
        <v>7706</v>
      </c>
      <c r="B3708" s="2" t="s">
        <v>7707</v>
      </c>
      <c r="C3708" s="2" t="s">
        <v>17</v>
      </c>
      <c r="D3708" s="2" t="s">
        <v>18</v>
      </c>
      <c r="E3708" s="5">
        <v>-28113</v>
      </c>
      <c r="F3708" s="3" t="s">
        <v>2088</v>
      </c>
      <c r="G3708" s="3" t="s">
        <v>7708</v>
      </c>
      <c r="H3708" s="2" t="s">
        <v>21</v>
      </c>
      <c r="I3708" s="2" t="s">
        <v>7709</v>
      </c>
      <c r="J3708" s="3" t="str">
        <f>HYPERLINK("https://www.boe.es/gazeta/dias/1823/01/10/pdfs/GMD-1823-10.pdf#page=8","Abrir facsímil")</f>
        <v>Abrir facsímil</v>
      </c>
      <c r="K3708" s="3" t="s">
        <v>23</v>
      </c>
    </row>
    <row r="3709" spans="1:11" ht="42" customHeight="1">
      <c r="A3709" s="2" t="s">
        <v>7710</v>
      </c>
      <c r="B3709" s="2" t="s">
        <v>7711</v>
      </c>
      <c r="C3709" s="2" t="s">
        <v>17</v>
      </c>
      <c r="D3709" s="2" t="s">
        <v>18</v>
      </c>
      <c r="E3709" s="5">
        <v>-28078</v>
      </c>
      <c r="F3709" s="3" t="s">
        <v>508</v>
      </c>
      <c r="G3709" s="3" t="s">
        <v>59</v>
      </c>
      <c r="H3709" s="2" t="s">
        <v>21</v>
      </c>
      <c r="I3709" s="2" t="s">
        <v>7712</v>
      </c>
      <c r="J3709" s="3" t="str">
        <f>HYPERLINK("https://www.boe.es/gazeta/dias/1823/02/14/pdfs/GMD-1823-48.pdf#page=6","Abrir facsímil")</f>
        <v>Abrir facsímil</v>
      </c>
      <c r="K3709" s="3" t="s">
        <v>23</v>
      </c>
    </row>
    <row r="3710" spans="1:11" ht="42" customHeight="1">
      <c r="A3710" s="2" t="s">
        <v>7713</v>
      </c>
      <c r="B3710" s="2" t="s">
        <v>7714</v>
      </c>
      <c r="C3710" s="2" t="s">
        <v>56</v>
      </c>
      <c r="D3710" s="2" t="s">
        <v>57</v>
      </c>
      <c r="E3710" s="5">
        <v>-27913</v>
      </c>
      <c r="F3710" s="3" t="s">
        <v>829</v>
      </c>
      <c r="G3710" s="3" t="s">
        <v>59</v>
      </c>
      <c r="H3710" s="2" t="s">
        <v>21</v>
      </c>
      <c r="I3710" s="2" t="s">
        <v>7715</v>
      </c>
      <c r="J3710" s="3" t="str">
        <f>HYPERLINK("https://www.boe.es/gazeta/dias/1823/07/29/pdfs/GMD-1823-483.pdf#page=6","Abrir facsímil")</f>
        <v>Abrir facsímil</v>
      </c>
      <c r="K3710" s="3" t="s">
        <v>23</v>
      </c>
    </row>
    <row r="3711" spans="1:11" ht="42" customHeight="1">
      <c r="A3711" s="2" t="s">
        <v>7716</v>
      </c>
      <c r="B3711" s="2" t="s">
        <v>7717</v>
      </c>
      <c r="C3711" s="2" t="s">
        <v>17</v>
      </c>
      <c r="D3711" s="2" t="s">
        <v>18</v>
      </c>
      <c r="E3711" s="5">
        <v>-27827</v>
      </c>
      <c r="F3711" s="3" t="s">
        <v>531</v>
      </c>
      <c r="G3711" s="3" t="s">
        <v>39</v>
      </c>
      <c r="H3711" s="2" t="s">
        <v>21</v>
      </c>
      <c r="I3711" s="2" t="s">
        <v>7718</v>
      </c>
      <c r="J3711" s="3" t="str">
        <f>HYPERLINK("https://www.boe.es/gazeta/dias/1823/10/23/pdfs/GMD-1823-1013.pdf#page=1","Abrir facsímil")</f>
        <v>Abrir facsímil</v>
      </c>
      <c r="K3711" s="3" t="s">
        <v>23</v>
      </c>
    </row>
    <row r="3712" spans="1:11" ht="42" customHeight="1">
      <c r="A3712" s="2" t="s">
        <v>7719</v>
      </c>
      <c r="B3712" s="2" t="s">
        <v>7720</v>
      </c>
      <c r="C3712" s="2" t="s">
        <v>56</v>
      </c>
      <c r="D3712" s="2" t="s">
        <v>57</v>
      </c>
      <c r="E3712" s="5">
        <v>-27825</v>
      </c>
      <c r="F3712" s="3" t="s">
        <v>2503</v>
      </c>
      <c r="G3712" s="3" t="s">
        <v>39</v>
      </c>
      <c r="H3712" s="2" t="s">
        <v>21</v>
      </c>
      <c r="I3712" s="2" t="s">
        <v>7721</v>
      </c>
      <c r="J3712" s="3" t="str">
        <f>HYPERLINK("https://www.boe.es/gazeta/dias/1823/10/25/pdfs/GMD-1823-1023.pdf#page=1","Abrir facsímil")</f>
        <v>Abrir facsímil</v>
      </c>
      <c r="K3712" s="3" t="s">
        <v>23</v>
      </c>
    </row>
    <row r="3713" spans="1:11" ht="42" customHeight="1">
      <c r="A3713" s="2" t="s">
        <v>7722</v>
      </c>
      <c r="B3713" s="2" t="s">
        <v>7723</v>
      </c>
      <c r="C3713" s="2" t="s">
        <v>17</v>
      </c>
      <c r="D3713" s="2" t="s">
        <v>18</v>
      </c>
      <c r="E3713" s="5">
        <v>-28116</v>
      </c>
      <c r="F3713" s="3" t="s">
        <v>134</v>
      </c>
      <c r="G3713" s="3" t="s">
        <v>59</v>
      </c>
      <c r="H3713" s="2" t="s">
        <v>21</v>
      </c>
      <c r="I3713" s="2" t="s">
        <v>7724</v>
      </c>
      <c r="J3713" s="3" t="str">
        <f>HYPERLINK("https://www.boe.es/gazeta/dias/1823/01/07/pdfs/GMD-1823-7.pdf#page=6","Abrir facsímil")</f>
        <v>Abrir facsímil</v>
      </c>
      <c r="K3713" s="3" t="s">
        <v>23</v>
      </c>
    </row>
    <row r="3714" spans="1:11" ht="42" customHeight="1">
      <c r="A3714" s="2" t="s">
        <v>7722</v>
      </c>
      <c r="B3714" s="2" t="s">
        <v>7723</v>
      </c>
      <c r="C3714" s="2" t="s">
        <v>17</v>
      </c>
      <c r="D3714" s="2" t="s">
        <v>18</v>
      </c>
      <c r="E3714" s="5">
        <v>-28015</v>
      </c>
      <c r="F3714" s="3" t="s">
        <v>985</v>
      </c>
      <c r="G3714" s="3" t="s">
        <v>20</v>
      </c>
      <c r="H3714" s="2" t="s">
        <v>21</v>
      </c>
      <c r="I3714" s="2" t="s">
        <v>7725</v>
      </c>
      <c r="J3714" s="3" t="str">
        <f>HYPERLINK("https://www.boe.es/gazeta/dias/1823/04/18/pdfs/GES-1823-8.pdf#page=4","Abrir facsímil")</f>
        <v>Abrir facsímil</v>
      </c>
      <c r="K3714" s="3" t="s">
        <v>23</v>
      </c>
    </row>
    <row r="3715" spans="1:11" ht="42" customHeight="1">
      <c r="A3715" s="2" t="s">
        <v>7722</v>
      </c>
      <c r="B3715" s="2" t="s">
        <v>7723</v>
      </c>
      <c r="C3715" s="2" t="s">
        <v>17</v>
      </c>
      <c r="D3715" s="2" t="s">
        <v>18</v>
      </c>
      <c r="E3715" s="5">
        <v>-27950</v>
      </c>
      <c r="F3715" s="3" t="s">
        <v>4513</v>
      </c>
      <c r="G3715" s="3" t="s">
        <v>20</v>
      </c>
      <c r="H3715" s="2" t="s">
        <v>21</v>
      </c>
      <c r="I3715" s="2" t="s">
        <v>7726</v>
      </c>
      <c r="J3715" s="3" t="str">
        <f>HYPERLINK("https://www.boe.es/gazeta/dias/1823/06/22/pdfs/GES-1823-70.pdf#page=4","Abrir facsímil")</f>
        <v>Abrir facsímil</v>
      </c>
      <c r="K3715" s="3" t="s">
        <v>23</v>
      </c>
    </row>
    <row r="3716" spans="1:11" ht="42" customHeight="1">
      <c r="A3716" s="2" t="s">
        <v>7722</v>
      </c>
      <c r="B3716" s="2" t="s">
        <v>7723</v>
      </c>
      <c r="C3716" s="2" t="s">
        <v>17</v>
      </c>
      <c r="D3716" s="2" t="s">
        <v>18</v>
      </c>
      <c r="E3716" s="5">
        <v>-27932</v>
      </c>
      <c r="F3716" s="3" t="s">
        <v>707</v>
      </c>
      <c r="G3716" s="3" t="s">
        <v>27</v>
      </c>
      <c r="H3716" s="2" t="s">
        <v>21</v>
      </c>
      <c r="I3716" s="2" t="s">
        <v>7727</v>
      </c>
      <c r="J3716" s="3" t="str">
        <f>HYPERLINK("https://www.boe.es/gazeta/dias/1823/07/10/pdfs/GES-1823-90.pdf#page=2","Abrir facsímil")</f>
        <v>Abrir facsímil</v>
      </c>
      <c r="K3716" s="3" t="s">
        <v>23</v>
      </c>
    </row>
    <row r="3717" spans="1:11" ht="42" customHeight="1">
      <c r="A3717" s="2" t="s">
        <v>7722</v>
      </c>
      <c r="B3717" s="2" t="s">
        <v>7723</v>
      </c>
      <c r="C3717" s="2" t="s">
        <v>56</v>
      </c>
      <c r="D3717" s="2" t="s">
        <v>57</v>
      </c>
      <c r="E3717" s="5">
        <v>-27888</v>
      </c>
      <c r="F3717" s="3" t="s">
        <v>232</v>
      </c>
      <c r="G3717" s="3" t="s">
        <v>39</v>
      </c>
      <c r="H3717" s="2" t="s">
        <v>21</v>
      </c>
      <c r="I3717" s="2" t="s">
        <v>7728</v>
      </c>
      <c r="J3717" s="3" t="str">
        <f>HYPERLINK("https://www.boe.es/gazeta/dias/1823/08/23/pdfs/GMD-1823-633.pdf#page=1","Abrir facsímil")</f>
        <v>Abrir facsímil</v>
      </c>
      <c r="K3717" s="3" t="s">
        <v>23</v>
      </c>
    </row>
    <row r="3718" spans="1:11" ht="42" customHeight="1">
      <c r="A3718" s="2" t="s">
        <v>7722</v>
      </c>
      <c r="B3718" s="2" t="s">
        <v>7723</v>
      </c>
      <c r="C3718" s="2" t="s">
        <v>17</v>
      </c>
      <c r="D3718" s="2" t="s">
        <v>18</v>
      </c>
      <c r="E3718" s="5">
        <v>-27857</v>
      </c>
      <c r="F3718" s="3" t="s">
        <v>378</v>
      </c>
      <c r="G3718" s="3" t="s">
        <v>48</v>
      </c>
      <c r="H3718" s="2" t="s">
        <v>21</v>
      </c>
      <c r="I3718" s="2" t="s">
        <v>7729</v>
      </c>
      <c r="J3718" s="3" t="str">
        <f>HYPERLINK("https://www.boe.es/gazeta/dias/1823/09/23/pdfs/GMD-1823-833.pdf#page=3","Abrir facsímil")</f>
        <v>Abrir facsímil</v>
      </c>
      <c r="K3718" s="3" t="s">
        <v>23</v>
      </c>
    </row>
    <row r="3719" spans="1:11" ht="42" customHeight="1">
      <c r="A3719" s="2" t="s">
        <v>7722</v>
      </c>
      <c r="B3719" s="2" t="s">
        <v>7723</v>
      </c>
      <c r="C3719" s="2" t="s">
        <v>17</v>
      </c>
      <c r="D3719" s="2" t="s">
        <v>18</v>
      </c>
      <c r="E3719" s="5">
        <v>-27848</v>
      </c>
      <c r="F3719" s="3" t="s">
        <v>2665</v>
      </c>
      <c r="G3719" s="3" t="s">
        <v>39</v>
      </c>
      <c r="H3719" s="2" t="s">
        <v>21</v>
      </c>
      <c r="I3719" s="2" t="s">
        <v>7730</v>
      </c>
      <c r="J3719" s="3" t="str">
        <f>HYPERLINK("https://www.boe.es/gazeta/dias/1823/10/02/pdfs/GMD-1823-893.pdf#page=1","Abrir facsímil")</f>
        <v>Abrir facsímil</v>
      </c>
      <c r="K3719" s="3" t="s">
        <v>23</v>
      </c>
    </row>
    <row r="3720" spans="1:11" ht="42" customHeight="1">
      <c r="A3720" s="2" t="s">
        <v>7722</v>
      </c>
      <c r="B3720" s="2" t="s">
        <v>7723</v>
      </c>
      <c r="C3720" s="2" t="s">
        <v>17</v>
      </c>
      <c r="D3720" s="2" t="s">
        <v>18</v>
      </c>
      <c r="E3720" s="5">
        <v>-27841</v>
      </c>
      <c r="F3720" s="3" t="s">
        <v>721</v>
      </c>
      <c r="G3720" s="3" t="s">
        <v>39</v>
      </c>
      <c r="H3720" s="2" t="s">
        <v>21</v>
      </c>
      <c r="I3720" s="2" t="s">
        <v>7731</v>
      </c>
      <c r="J3720" s="3" t="str">
        <f>HYPERLINK("https://www.boe.es/gazeta/dias/1823/10/09/pdfs/GMD-1823-953.pdf#page=1","Abrir facsímil")</f>
        <v>Abrir facsímil</v>
      </c>
      <c r="K3720" s="3" t="s">
        <v>23</v>
      </c>
    </row>
    <row r="3721" spans="1:11" ht="42" customHeight="1">
      <c r="A3721" s="2" t="s">
        <v>7722</v>
      </c>
      <c r="B3721" s="2" t="s">
        <v>7723</v>
      </c>
      <c r="C3721" s="2" t="s">
        <v>56</v>
      </c>
      <c r="D3721" s="2" t="s">
        <v>57</v>
      </c>
      <c r="E3721" s="5">
        <v>-27829</v>
      </c>
      <c r="F3721" s="3" t="s">
        <v>228</v>
      </c>
      <c r="G3721" s="3" t="s">
        <v>39</v>
      </c>
      <c r="H3721" s="2" t="s">
        <v>21</v>
      </c>
      <c r="I3721" s="2" t="s">
        <v>7732</v>
      </c>
      <c r="J3721" s="3" t="str">
        <f>HYPERLINK("https://www.boe.es/gazeta/dias/1823/10/21/pdfs/GMD-1823-1003.pdf#page=1","Abrir facsímil")</f>
        <v>Abrir facsímil</v>
      </c>
      <c r="K3721" s="3" t="s">
        <v>23</v>
      </c>
    </row>
    <row r="3722" spans="1:11" ht="42" customHeight="1">
      <c r="A3722" s="2" t="s">
        <v>7722</v>
      </c>
      <c r="B3722" s="2" t="s">
        <v>7723</v>
      </c>
      <c r="C3722" s="2" t="s">
        <v>17</v>
      </c>
      <c r="D3722" s="2" t="s">
        <v>18</v>
      </c>
      <c r="E3722" s="5">
        <v>-27827</v>
      </c>
      <c r="F3722" s="3" t="s">
        <v>531</v>
      </c>
      <c r="G3722" s="3" t="s">
        <v>39</v>
      </c>
      <c r="H3722" s="2" t="s">
        <v>21</v>
      </c>
      <c r="I3722" s="2" t="s">
        <v>7733</v>
      </c>
      <c r="J3722" s="3" t="str">
        <f>HYPERLINK("https://www.boe.es/gazeta/dias/1823/10/23/pdfs/GMD-1823-1013.pdf#page=1","Abrir facsímil")</f>
        <v>Abrir facsímil</v>
      </c>
      <c r="K3722" s="3" t="s">
        <v>23</v>
      </c>
    </row>
    <row r="3723" spans="1:11" ht="42" customHeight="1">
      <c r="A3723" s="2" t="s">
        <v>7722</v>
      </c>
      <c r="B3723" s="2" t="s">
        <v>7723</v>
      </c>
      <c r="C3723" s="2" t="s">
        <v>56</v>
      </c>
      <c r="D3723" s="2" t="s">
        <v>57</v>
      </c>
      <c r="E3723" s="5">
        <v>-27825</v>
      </c>
      <c r="F3723" s="3" t="s">
        <v>2503</v>
      </c>
      <c r="G3723" s="3" t="s">
        <v>39</v>
      </c>
      <c r="H3723" s="2" t="s">
        <v>21</v>
      </c>
      <c r="I3723" s="2" t="s">
        <v>7734</v>
      </c>
      <c r="J3723" s="3" t="str">
        <f>HYPERLINK("https://www.boe.es/gazeta/dias/1823/10/25/pdfs/GMD-1823-1023.pdf#page=1","Abrir facsímil")</f>
        <v>Abrir facsímil</v>
      </c>
      <c r="K3723" s="3" t="s">
        <v>23</v>
      </c>
    </row>
    <row r="3724" spans="1:11" ht="42" customHeight="1">
      <c r="A3724" s="2" t="s">
        <v>7722</v>
      </c>
      <c r="B3724" s="2" t="s">
        <v>7723</v>
      </c>
      <c r="C3724" s="2" t="s">
        <v>17</v>
      </c>
      <c r="D3724" s="2" t="s">
        <v>18</v>
      </c>
      <c r="E3724" s="5">
        <v>-27820</v>
      </c>
      <c r="F3724" s="3" t="s">
        <v>6283</v>
      </c>
      <c r="G3724" s="3" t="s">
        <v>39</v>
      </c>
      <c r="H3724" s="2" t="s">
        <v>21</v>
      </c>
      <c r="I3724" s="2" t="s">
        <v>7735</v>
      </c>
      <c r="J3724" s="3" t="str">
        <f>HYPERLINK("https://www.boe.es/gazeta/dias/1823/10/30/pdfs/GMD-1823-1043.pdf#page=1","Abrir facsímil")</f>
        <v>Abrir facsímil</v>
      </c>
      <c r="K3724" s="3" t="s">
        <v>23</v>
      </c>
    </row>
    <row r="3725" spans="1:11" ht="42" customHeight="1">
      <c r="A3725" s="2" t="s">
        <v>7722</v>
      </c>
      <c r="B3725" s="2" t="s">
        <v>7723</v>
      </c>
      <c r="C3725" s="2" t="s">
        <v>56</v>
      </c>
      <c r="D3725" s="2" t="s">
        <v>57</v>
      </c>
      <c r="E3725" s="5">
        <v>-27764</v>
      </c>
      <c r="F3725" s="3" t="s">
        <v>3370</v>
      </c>
      <c r="G3725" s="3" t="s">
        <v>39</v>
      </c>
      <c r="H3725" s="2" t="s">
        <v>21</v>
      </c>
      <c r="I3725" s="2" t="s">
        <v>7736</v>
      </c>
      <c r="J3725" s="3" t="str">
        <f>HYPERLINK("https://www.boe.es/gazeta/dias/1823/12/25/pdfs/GMD-1823-1293.pdf#page=1","Abrir facsímil")</f>
        <v>Abrir facsímil</v>
      </c>
      <c r="K3725" s="3" t="s">
        <v>23</v>
      </c>
    </row>
    <row r="3726" spans="1:11" ht="42" customHeight="1">
      <c r="A3726" s="2" t="s">
        <v>7737</v>
      </c>
      <c r="B3726" s="2" t="s">
        <v>7738</v>
      </c>
      <c r="C3726" s="2" t="s">
        <v>17</v>
      </c>
      <c r="D3726" s="2" t="s">
        <v>117</v>
      </c>
      <c r="E3726" s="5">
        <v>-27843</v>
      </c>
      <c r="F3726" s="3" t="s">
        <v>3692</v>
      </c>
      <c r="G3726" s="3" t="s">
        <v>39</v>
      </c>
      <c r="H3726" s="2" t="s">
        <v>21</v>
      </c>
      <c r="I3726" s="2" t="s">
        <v>7739</v>
      </c>
      <c r="J3726" s="3" t="str">
        <f>HYPERLINK("https://www.boe.es/gazeta/dias/1823/10/07/pdfs/GMD-1823-943E.pdf#page=1","Abrir facsímil")</f>
        <v>Abrir facsímil</v>
      </c>
      <c r="K3726" s="3" t="s">
        <v>23</v>
      </c>
    </row>
    <row r="3727" spans="1:11" ht="42" customHeight="1">
      <c r="A3727" s="2" t="s">
        <v>7737</v>
      </c>
      <c r="B3727" s="2" t="s">
        <v>7738</v>
      </c>
      <c r="C3727" s="2" t="s">
        <v>17</v>
      </c>
      <c r="D3727" s="2" t="s">
        <v>18</v>
      </c>
      <c r="E3727" s="5">
        <v>-27841</v>
      </c>
      <c r="F3727" s="3" t="s">
        <v>721</v>
      </c>
      <c r="G3727" s="3" t="s">
        <v>39</v>
      </c>
      <c r="H3727" s="2" t="s">
        <v>21</v>
      </c>
      <c r="I3727" s="2" t="s">
        <v>7740</v>
      </c>
      <c r="J3727" s="3" t="str">
        <f>HYPERLINK("https://www.boe.es/gazeta/dias/1823/10/09/pdfs/GMD-1823-953.pdf#page=1","Abrir facsímil")</f>
        <v>Abrir facsímil</v>
      </c>
      <c r="K3727" s="3" t="s">
        <v>23</v>
      </c>
    </row>
    <row r="3728" spans="1:11" ht="42" customHeight="1">
      <c r="A3728" s="2" t="s">
        <v>7737</v>
      </c>
      <c r="B3728" s="2" t="s">
        <v>7738</v>
      </c>
      <c r="C3728" s="2" t="s">
        <v>17</v>
      </c>
      <c r="D3728" s="2" t="s">
        <v>18</v>
      </c>
      <c r="E3728" s="5">
        <v>-27834</v>
      </c>
      <c r="F3728" s="3" t="s">
        <v>188</v>
      </c>
      <c r="G3728" s="3" t="s">
        <v>39</v>
      </c>
      <c r="H3728" s="2" t="s">
        <v>21</v>
      </c>
      <c r="I3728" s="2" t="s">
        <v>7741</v>
      </c>
      <c r="J3728" s="3" t="str">
        <f>HYPERLINK("https://www.boe.es/gazeta/dias/1823/10/16/pdfs/GMD-1823-983.pdf#page=1","Abrir facsímil")</f>
        <v>Abrir facsímil</v>
      </c>
      <c r="K3728" s="3" t="s">
        <v>23</v>
      </c>
    </row>
    <row r="3729" spans="1:11" ht="42" customHeight="1">
      <c r="A3729" s="2" t="s">
        <v>7742</v>
      </c>
      <c r="B3729" s="2" t="s">
        <v>7743</v>
      </c>
      <c r="C3729" s="2" t="s">
        <v>56</v>
      </c>
      <c r="D3729" s="2" t="s">
        <v>57</v>
      </c>
      <c r="E3729" s="5">
        <v>-28099</v>
      </c>
      <c r="F3729" s="3" t="s">
        <v>1689</v>
      </c>
      <c r="G3729" s="3" t="s">
        <v>27</v>
      </c>
      <c r="H3729" s="2" t="s">
        <v>21</v>
      </c>
      <c r="I3729" s="2" t="s">
        <v>7744</v>
      </c>
      <c r="J3729" s="3" t="str">
        <f>HYPERLINK("https://www.boe.es/gazeta/dias/1823/01/24/pdfs/GMD-1823-25.pdf#page=2","Abrir facsímil")</f>
        <v>Abrir facsímil</v>
      </c>
      <c r="K3729" s="3" t="s">
        <v>23</v>
      </c>
    </row>
    <row r="3730" spans="1:11" ht="42" customHeight="1">
      <c r="A3730" s="2" t="s">
        <v>7745</v>
      </c>
      <c r="B3730" s="2" t="s">
        <v>7746</v>
      </c>
      <c r="C3730" s="2" t="s">
        <v>17</v>
      </c>
      <c r="D3730" s="2" t="s">
        <v>18</v>
      </c>
      <c r="E3730" s="5">
        <v>-28117</v>
      </c>
      <c r="F3730" s="3" t="s">
        <v>271</v>
      </c>
      <c r="G3730" s="3" t="s">
        <v>48</v>
      </c>
      <c r="H3730" s="2" t="s">
        <v>21</v>
      </c>
      <c r="I3730" s="2" t="s">
        <v>7747</v>
      </c>
      <c r="J3730" s="3" t="str">
        <f>HYPERLINK("https://www.boe.es/gazeta/dias/1823/01/06/pdfs/GMD-1823-6.pdf#page=3","Abrir facsímil")</f>
        <v>Abrir facsímil</v>
      </c>
      <c r="K3730" s="3" t="s">
        <v>23</v>
      </c>
    </row>
    <row r="3731" spans="1:11" ht="42" customHeight="1">
      <c r="A3731" s="2" t="s">
        <v>7748</v>
      </c>
      <c r="B3731" s="2" t="s">
        <v>7748</v>
      </c>
      <c r="C3731" s="2" t="s">
        <v>17</v>
      </c>
      <c r="D3731" s="2" t="s">
        <v>18</v>
      </c>
      <c r="E3731" s="5">
        <v>-27968</v>
      </c>
      <c r="F3731" s="3" t="s">
        <v>1160</v>
      </c>
      <c r="G3731" s="3" t="s">
        <v>39</v>
      </c>
      <c r="H3731" s="2" t="s">
        <v>21</v>
      </c>
      <c r="I3731" s="2" t="s">
        <v>7749</v>
      </c>
      <c r="J3731" s="3" t="str">
        <f>HYPERLINK("https://www.boe.es/gazeta/dias/1823/06/04/pdfs/GES-1823-58.pdf#page=1","Abrir facsímil")</f>
        <v>Abrir facsímil</v>
      </c>
      <c r="K3731" s="3" t="s">
        <v>23</v>
      </c>
    </row>
    <row r="3732" spans="1:11" ht="42" customHeight="1">
      <c r="A3732" s="2" t="s">
        <v>7750</v>
      </c>
      <c r="B3732" s="2" t="s">
        <v>7751</v>
      </c>
      <c r="C3732" s="2" t="s">
        <v>17</v>
      </c>
      <c r="D3732" s="2" t="s">
        <v>18</v>
      </c>
      <c r="E3732" s="5">
        <v>-27901</v>
      </c>
      <c r="F3732" s="3" t="s">
        <v>840</v>
      </c>
      <c r="G3732" s="3" t="s">
        <v>27</v>
      </c>
      <c r="H3732" s="2" t="s">
        <v>21</v>
      </c>
      <c r="I3732" s="2" t="s">
        <v>7752</v>
      </c>
      <c r="J3732" s="3" t="str">
        <f>HYPERLINK("https://www.boe.es/gazeta/dias/1823/08/10/pdfs/GES-1823-123.pdf#page=2","Abrir facsímil")</f>
        <v>Abrir facsímil</v>
      </c>
      <c r="K3732" s="3" t="s">
        <v>23</v>
      </c>
    </row>
    <row r="3733" spans="1:11" ht="42" customHeight="1">
      <c r="A3733" s="2" t="s">
        <v>7753</v>
      </c>
      <c r="B3733" s="2" t="s">
        <v>7754</v>
      </c>
      <c r="C3733" s="2" t="s">
        <v>109</v>
      </c>
      <c r="D3733" s="2" t="s">
        <v>74</v>
      </c>
      <c r="E3733" s="5">
        <v>-28098</v>
      </c>
      <c r="F3733" s="3" t="s">
        <v>1101</v>
      </c>
      <c r="G3733" s="3" t="s">
        <v>20</v>
      </c>
      <c r="H3733" s="2" t="s">
        <v>21</v>
      </c>
      <c r="I3733" s="2" t="s">
        <v>7755</v>
      </c>
      <c r="J3733" s="3" t="str">
        <f>HYPERLINK("https://www.boe.es/gazeta/dias/1823/01/25/pdfs/GMD-1823-26.pdf#page=4","Abrir facsímil")</f>
        <v>Abrir facsímil</v>
      </c>
      <c r="K3733" s="3" t="s">
        <v>23</v>
      </c>
    </row>
    <row r="3734" spans="1:11" ht="42" customHeight="1">
      <c r="A3734" s="2" t="s">
        <v>7756</v>
      </c>
      <c r="B3734" s="2" t="s">
        <v>7757</v>
      </c>
      <c r="C3734" s="2" t="s">
        <v>17</v>
      </c>
      <c r="D3734" s="2" t="s">
        <v>18</v>
      </c>
      <c r="E3734" s="5">
        <v>-27951</v>
      </c>
      <c r="F3734" s="3" t="s">
        <v>4670</v>
      </c>
      <c r="G3734" s="3" t="s">
        <v>39</v>
      </c>
      <c r="H3734" s="2" t="s">
        <v>21</v>
      </c>
      <c r="I3734" s="2" t="s">
        <v>7758</v>
      </c>
      <c r="J3734" s="3" t="str">
        <f>HYPERLINK("https://www.boe.es/gazeta/dias/1823/06/21/pdfs/GMD-1823-223.pdf#page=1","Abrir facsímil")</f>
        <v>Abrir facsímil</v>
      </c>
      <c r="K3734" s="3" t="s">
        <v>23</v>
      </c>
    </row>
    <row r="3735" spans="1:11" ht="42" customHeight="1">
      <c r="A3735" s="2" t="s">
        <v>7759</v>
      </c>
      <c r="B3735" s="2" t="s">
        <v>7760</v>
      </c>
      <c r="C3735" s="2" t="s">
        <v>79</v>
      </c>
      <c r="D3735" s="2" t="s">
        <v>74</v>
      </c>
      <c r="E3735" s="5">
        <v>-27907</v>
      </c>
      <c r="F3735" s="3" t="s">
        <v>370</v>
      </c>
      <c r="G3735" s="3" t="s">
        <v>20</v>
      </c>
      <c r="H3735" s="2" t="s">
        <v>21</v>
      </c>
      <c r="I3735" s="2" t="s">
        <v>7761</v>
      </c>
      <c r="J3735" s="3" t="str">
        <f>HYPERLINK("https://www.boe.es/gazeta/dias/1823/08/04/pdfs/GES-1823-116.pdf#page=4","Abrir facsímil")</f>
        <v>Abrir facsímil</v>
      </c>
      <c r="K3735" s="3" t="s">
        <v>23</v>
      </c>
    </row>
    <row r="3736" spans="1:11" ht="42" customHeight="1">
      <c r="A3736" s="2" t="s">
        <v>7762</v>
      </c>
      <c r="B3736" s="2" t="s">
        <v>7763</v>
      </c>
      <c r="C3736" s="2" t="s">
        <v>17</v>
      </c>
      <c r="D3736" s="2" t="s">
        <v>18</v>
      </c>
      <c r="E3736" s="5">
        <v>-27997</v>
      </c>
      <c r="F3736" s="3" t="s">
        <v>937</v>
      </c>
      <c r="G3736" s="3" t="s">
        <v>39</v>
      </c>
      <c r="H3736" s="2" t="s">
        <v>21</v>
      </c>
      <c r="I3736" s="2" t="s">
        <v>7764</v>
      </c>
      <c r="J3736" s="3" t="str">
        <f>HYPERLINK("https://www.boe.es/gazeta/dias/1823/05/06/pdfs/GMD-1823-102.pdf#page=1","Abrir facsímil")</f>
        <v>Abrir facsímil</v>
      </c>
      <c r="K3736" s="3" t="s">
        <v>23</v>
      </c>
    </row>
    <row r="3737" spans="1:11" ht="42" customHeight="1">
      <c r="A3737" s="2" t="s">
        <v>7765</v>
      </c>
      <c r="B3737" s="2" t="s">
        <v>7766</v>
      </c>
      <c r="C3737" s="2" t="s">
        <v>17</v>
      </c>
      <c r="D3737" s="2" t="s">
        <v>18</v>
      </c>
      <c r="E3737" s="5">
        <v>-27883</v>
      </c>
      <c r="F3737" s="3" t="s">
        <v>2318</v>
      </c>
      <c r="G3737" s="3" t="s">
        <v>27</v>
      </c>
      <c r="H3737" s="2" t="s">
        <v>21</v>
      </c>
      <c r="I3737" s="2" t="s">
        <v>7767</v>
      </c>
      <c r="J3737" s="3" t="str">
        <f>HYPERLINK("https://www.boe.es/gazeta/dias/1823/08/28/pdfs/GMD-1823-663.pdf#page=2","Abrir facsímil")</f>
        <v>Abrir facsímil</v>
      </c>
      <c r="K3737" s="3" t="s">
        <v>23</v>
      </c>
    </row>
    <row r="3738" spans="1:11" ht="42" customHeight="1">
      <c r="A3738" s="2" t="s">
        <v>7768</v>
      </c>
      <c r="B3738" s="2" t="s">
        <v>7769</v>
      </c>
      <c r="C3738" s="2" t="s">
        <v>17</v>
      </c>
      <c r="D3738" s="2" t="s">
        <v>18</v>
      </c>
      <c r="E3738" s="5">
        <v>-28067</v>
      </c>
      <c r="F3738" s="3" t="s">
        <v>7770</v>
      </c>
      <c r="G3738" s="3" t="s">
        <v>48</v>
      </c>
      <c r="H3738" s="2" t="s">
        <v>21</v>
      </c>
      <c r="I3738" s="2" t="s">
        <v>7771</v>
      </c>
      <c r="J3738" s="3" t="str">
        <f>HYPERLINK("https://www.boe.es/gazeta/dias/1823/02/25/pdfs/GMD-1823-59.pdf#page=3","Abrir facsímil")</f>
        <v>Abrir facsímil</v>
      </c>
      <c r="K3738" s="3" t="s">
        <v>23</v>
      </c>
    </row>
    <row r="3739" spans="1:11" ht="42" customHeight="1">
      <c r="A3739" s="2" t="s">
        <v>7772</v>
      </c>
      <c r="B3739" s="2" t="s">
        <v>7773</v>
      </c>
      <c r="C3739" s="2" t="s">
        <v>56</v>
      </c>
      <c r="D3739" s="2" t="s">
        <v>57</v>
      </c>
      <c r="E3739" s="5">
        <v>-28005</v>
      </c>
      <c r="F3739" s="3" t="s">
        <v>1648</v>
      </c>
      <c r="G3739" s="3" t="s">
        <v>20</v>
      </c>
      <c r="H3739" s="2" t="s">
        <v>21</v>
      </c>
      <c r="I3739" s="2" t="s">
        <v>7774</v>
      </c>
      <c r="J3739" s="3" t="str">
        <f>HYPERLINK("https://www.boe.es/gazeta/dias/1823/04/28/pdfs/GES-1823-18.pdf#page=4","Abrir facsímil")</f>
        <v>Abrir facsímil</v>
      </c>
      <c r="K3739" s="3" t="s">
        <v>23</v>
      </c>
    </row>
    <row r="3740" spans="1:11" ht="42" customHeight="1">
      <c r="A3740" s="2" t="s">
        <v>7775</v>
      </c>
      <c r="B3740" s="2" t="s">
        <v>7775</v>
      </c>
      <c r="C3740" s="2" t="s">
        <v>56</v>
      </c>
      <c r="D3740" s="2" t="s">
        <v>57</v>
      </c>
      <c r="E3740" s="5">
        <v>-27829</v>
      </c>
      <c r="F3740" s="3" t="s">
        <v>228</v>
      </c>
      <c r="G3740" s="3" t="s">
        <v>48</v>
      </c>
      <c r="H3740" s="2" t="s">
        <v>21</v>
      </c>
      <c r="I3740" s="2" t="s">
        <v>7776</v>
      </c>
      <c r="J3740" s="3" t="str">
        <f>HYPERLINK("https://www.boe.es/gazeta/dias/1823/10/21/pdfs/GMD-1823-1003.pdf#page=3","Abrir facsímil")</f>
        <v>Abrir facsímil</v>
      </c>
      <c r="K3740" s="3" t="s">
        <v>23</v>
      </c>
    </row>
    <row r="3741" spans="1:11" ht="42" customHeight="1">
      <c r="A3741" s="2" t="s">
        <v>7777</v>
      </c>
      <c r="B3741" s="2" t="s">
        <v>7778</v>
      </c>
      <c r="C3741" s="2" t="s">
        <v>79</v>
      </c>
      <c r="D3741" s="2" t="s">
        <v>74</v>
      </c>
      <c r="E3741" s="5">
        <v>-27862</v>
      </c>
      <c r="F3741" s="3" t="s">
        <v>1530</v>
      </c>
      <c r="G3741" s="3" t="s">
        <v>48</v>
      </c>
      <c r="H3741" s="2" t="s">
        <v>28</v>
      </c>
      <c r="I3741" s="2" t="s">
        <v>7779</v>
      </c>
      <c r="J3741" s="3" t="str">
        <f>HYPERLINK("https://www.boe.es/gazeta/dias/1823/09/18/pdfs/GMD-1823-803.pdf#page=3","Abrir facsímil")</f>
        <v>Abrir facsímil</v>
      </c>
      <c r="K3741" s="3" t="s">
        <v>30</v>
      </c>
    </row>
    <row r="3742" spans="1:11" ht="42" customHeight="1">
      <c r="A3742" s="2" t="s">
        <v>7780</v>
      </c>
      <c r="B3742" s="2" t="s">
        <v>7780</v>
      </c>
      <c r="C3742" s="2" t="s">
        <v>17</v>
      </c>
      <c r="D3742" s="2" t="s">
        <v>18</v>
      </c>
      <c r="E3742" s="5">
        <v>-27857</v>
      </c>
      <c r="F3742" s="3" t="s">
        <v>378</v>
      </c>
      <c r="G3742" s="3" t="s">
        <v>34</v>
      </c>
      <c r="H3742" s="2" t="s">
        <v>21</v>
      </c>
      <c r="I3742" s="2" t="s">
        <v>7781</v>
      </c>
      <c r="J3742" s="3" t="str">
        <f>HYPERLINK("https://www.boe.es/gazeta/dias/1823/09/23/pdfs/GMD-1823-833.pdf#page=5","Abrir facsímil")</f>
        <v>Abrir facsímil</v>
      </c>
      <c r="K3742" s="3" t="s">
        <v>23</v>
      </c>
    </row>
    <row r="3743" spans="1:11" ht="42" customHeight="1">
      <c r="A3743" s="2" t="s">
        <v>7782</v>
      </c>
      <c r="B3743" s="2" t="s">
        <v>7782</v>
      </c>
      <c r="C3743" s="2" t="s">
        <v>17</v>
      </c>
      <c r="D3743" s="2" t="s">
        <v>18</v>
      </c>
      <c r="E3743" s="5">
        <v>-27871</v>
      </c>
      <c r="F3743" s="3" t="s">
        <v>1330</v>
      </c>
      <c r="G3743" s="3" t="s">
        <v>20</v>
      </c>
      <c r="H3743" s="2" t="s">
        <v>21</v>
      </c>
      <c r="I3743" s="2" t="s">
        <v>7783</v>
      </c>
      <c r="J3743" s="3" t="str">
        <f>HYPERLINK("https://www.boe.es/gazeta/dias/1823/09/09/pdfs/GMD-1823-733.pdf#page=4","Abrir facsímil")</f>
        <v>Abrir facsímil</v>
      </c>
      <c r="K3743" s="3" t="s">
        <v>23</v>
      </c>
    </row>
    <row r="3744" spans="1:11" ht="42" customHeight="1">
      <c r="A3744" s="2" t="s">
        <v>7784</v>
      </c>
      <c r="B3744" s="2" t="s">
        <v>7784</v>
      </c>
      <c r="C3744" s="2" t="s">
        <v>17</v>
      </c>
      <c r="D3744" s="2" t="s">
        <v>18</v>
      </c>
      <c r="E3744" s="5">
        <v>-28101</v>
      </c>
      <c r="F3744" s="3" t="s">
        <v>1041</v>
      </c>
      <c r="G3744" s="3" t="s">
        <v>39</v>
      </c>
      <c r="H3744" s="2" t="s">
        <v>21</v>
      </c>
      <c r="I3744" s="2" t="s">
        <v>7785</v>
      </c>
      <c r="J3744" s="3" t="str">
        <f>HYPERLINK("https://www.boe.es/gazeta/dias/1823/01/22/pdfs/GMD-1823-23.pdf#page=1","Abrir facsímil")</f>
        <v>Abrir facsímil</v>
      </c>
      <c r="K3744" s="3" t="s">
        <v>23</v>
      </c>
    </row>
    <row r="3745" spans="1:11" ht="42" customHeight="1">
      <c r="A3745" s="2" t="s">
        <v>7786</v>
      </c>
      <c r="B3745" s="2" t="s">
        <v>7786</v>
      </c>
      <c r="C3745" s="2" t="s">
        <v>84</v>
      </c>
      <c r="D3745" s="2" t="s">
        <v>74</v>
      </c>
      <c r="E3745" s="5">
        <v>-28109</v>
      </c>
      <c r="F3745" s="3" t="s">
        <v>889</v>
      </c>
      <c r="G3745" s="3" t="s">
        <v>48</v>
      </c>
      <c r="H3745" s="2" t="s">
        <v>21</v>
      </c>
      <c r="I3745" s="2" t="s">
        <v>7787</v>
      </c>
      <c r="J3745" s="3" t="str">
        <f>HYPERLINK("https://www.boe.es/gazeta/dias/1823/01/14/pdfs/GMD-1823-14.pdf#page=3","Abrir facsímil")</f>
        <v>Abrir facsímil</v>
      </c>
      <c r="K3745" s="3" t="s">
        <v>23</v>
      </c>
    </row>
    <row r="3746" spans="1:11" ht="42" customHeight="1">
      <c r="A3746" s="2" t="s">
        <v>7788</v>
      </c>
      <c r="B3746" s="2" t="s">
        <v>7789</v>
      </c>
      <c r="C3746" s="2" t="s">
        <v>73</v>
      </c>
      <c r="D3746" s="2" t="s">
        <v>74</v>
      </c>
      <c r="E3746" s="5">
        <v>-27985</v>
      </c>
      <c r="F3746" s="3" t="s">
        <v>951</v>
      </c>
      <c r="G3746" s="3" t="s">
        <v>1140</v>
      </c>
      <c r="H3746" s="2" t="s">
        <v>21</v>
      </c>
      <c r="I3746" s="2" t="s">
        <v>7790</v>
      </c>
      <c r="J3746" s="3" t="str">
        <f>HYPERLINK("https://www.boe.es/gazeta/dias/1823/05/18/pdfs/GES-1823-38.pdf#page=5","Abrir facsímil")</f>
        <v>Abrir facsímil</v>
      </c>
      <c r="K3746" s="3" t="s">
        <v>23</v>
      </c>
    </row>
    <row r="3747" spans="1:11" ht="42" customHeight="1">
      <c r="A3747" s="2" t="s">
        <v>7791</v>
      </c>
      <c r="B3747" s="2" t="s">
        <v>7791</v>
      </c>
      <c r="C3747" s="2" t="s">
        <v>17</v>
      </c>
      <c r="D3747" s="2" t="s">
        <v>18</v>
      </c>
      <c r="E3747" s="5">
        <v>-28100</v>
      </c>
      <c r="F3747" s="3" t="s">
        <v>737</v>
      </c>
      <c r="G3747" s="3" t="s">
        <v>20</v>
      </c>
      <c r="H3747" s="2" t="s">
        <v>21</v>
      </c>
      <c r="I3747" s="2" t="s">
        <v>7792</v>
      </c>
      <c r="J3747" s="3" t="str">
        <f>HYPERLINK("https://www.boe.es/gazeta/dias/1823/01/23/pdfs/GMD-1823-24.pdf#page=4","Abrir facsímil")</f>
        <v>Abrir facsímil</v>
      </c>
      <c r="K3747" s="3" t="s">
        <v>23</v>
      </c>
    </row>
    <row r="3748" spans="1:11" ht="42" customHeight="1">
      <c r="A3748" s="2" t="s">
        <v>7793</v>
      </c>
      <c r="B3748" s="2" t="s">
        <v>7794</v>
      </c>
      <c r="C3748" s="2" t="s">
        <v>17</v>
      </c>
      <c r="D3748" s="2" t="s">
        <v>18</v>
      </c>
      <c r="E3748" s="5">
        <v>-27944</v>
      </c>
      <c r="F3748" s="3" t="s">
        <v>658</v>
      </c>
      <c r="G3748" s="3" t="s">
        <v>59</v>
      </c>
      <c r="H3748" s="2" t="s">
        <v>21</v>
      </c>
      <c r="I3748" s="2" t="s">
        <v>7795</v>
      </c>
      <c r="J3748" s="3" t="str">
        <f>HYPERLINK("https://www.boe.es/gazeta/dias/1823/06/28/pdfs/GMD-1823-303.pdf#page=6","Abrir facsímil")</f>
        <v>Abrir facsímil</v>
      </c>
      <c r="K3748" s="3" t="s">
        <v>23</v>
      </c>
    </row>
    <row r="3749" spans="1:11" ht="42" customHeight="1">
      <c r="A3749" s="2" t="s">
        <v>7796</v>
      </c>
      <c r="B3749" s="2" t="s">
        <v>7797</v>
      </c>
      <c r="C3749" s="2" t="s">
        <v>17</v>
      </c>
      <c r="D3749" s="2" t="s">
        <v>18</v>
      </c>
      <c r="E3749" s="5">
        <v>-27860</v>
      </c>
      <c r="F3749" s="3" t="s">
        <v>998</v>
      </c>
      <c r="G3749" s="3" t="s">
        <v>715</v>
      </c>
      <c r="H3749" s="2" t="s">
        <v>21</v>
      </c>
      <c r="I3749" s="2" t="s">
        <v>7798</v>
      </c>
      <c r="J3749" s="3" t="str">
        <f>HYPERLINK("https://www.boe.es/gazeta/dias/1823/09/20/pdfs/GMD-1823-813.pdf#page=8","Abrir facsímil")</f>
        <v>Abrir facsímil</v>
      </c>
      <c r="K3749" s="3" t="s">
        <v>23</v>
      </c>
    </row>
    <row r="3750" spans="1:11" ht="42" customHeight="1">
      <c r="A3750" s="2" t="s">
        <v>7796</v>
      </c>
      <c r="B3750" s="2" t="s">
        <v>7797</v>
      </c>
      <c r="C3750" s="2" t="s">
        <v>17</v>
      </c>
      <c r="D3750" s="2" t="s">
        <v>18</v>
      </c>
      <c r="E3750" s="5">
        <v>-27808</v>
      </c>
      <c r="F3750" s="3" t="s">
        <v>1602</v>
      </c>
      <c r="G3750" s="3" t="s">
        <v>20</v>
      </c>
      <c r="H3750" s="2" t="s">
        <v>21</v>
      </c>
      <c r="I3750" s="2" t="s">
        <v>7799</v>
      </c>
      <c r="J3750" s="3" t="str">
        <f>HYPERLINK("https://www.boe.es/gazeta/dias/1823/11/11/pdfs/GMD-1823-1103.pdf#page=4","Abrir facsímil")</f>
        <v>Abrir facsímil</v>
      </c>
      <c r="K3750" s="3" t="s">
        <v>23</v>
      </c>
    </row>
    <row r="3751" spans="1:11" ht="42" customHeight="1">
      <c r="A3751" s="2" t="s">
        <v>7800</v>
      </c>
      <c r="B3751" s="2" t="s">
        <v>7800</v>
      </c>
      <c r="C3751" s="2" t="s">
        <v>17</v>
      </c>
      <c r="D3751" s="2" t="s">
        <v>18</v>
      </c>
      <c r="E3751" s="5">
        <v>-28071</v>
      </c>
      <c r="F3751" s="3" t="s">
        <v>587</v>
      </c>
      <c r="G3751" s="3" t="s">
        <v>27</v>
      </c>
      <c r="H3751" s="2" t="s">
        <v>21</v>
      </c>
      <c r="I3751" s="2" t="s">
        <v>7801</v>
      </c>
      <c r="J3751" s="3" t="str">
        <f>HYPERLINK("https://www.boe.es/gazeta/dias/1823/02/21/pdfs/GMD-1823-55.pdf#page=2","Abrir facsímil")</f>
        <v>Abrir facsímil</v>
      </c>
      <c r="K3751" s="3" t="s">
        <v>23</v>
      </c>
    </row>
    <row r="3752" spans="1:11" ht="42" customHeight="1">
      <c r="A3752" s="2" t="s">
        <v>7802</v>
      </c>
      <c r="B3752" s="2" t="s">
        <v>7803</v>
      </c>
      <c r="C3752" s="2" t="s">
        <v>17</v>
      </c>
      <c r="D3752" s="2" t="s">
        <v>18</v>
      </c>
      <c r="E3752" s="5">
        <v>-28066</v>
      </c>
      <c r="F3752" s="3" t="s">
        <v>19</v>
      </c>
      <c r="G3752" s="3" t="s">
        <v>20</v>
      </c>
      <c r="H3752" s="2" t="s">
        <v>21</v>
      </c>
      <c r="I3752" s="2" t="s">
        <v>7804</v>
      </c>
      <c r="J3752" s="3" t="str">
        <f>HYPERLINK("https://www.boe.es/gazeta/dias/1823/02/26/pdfs/GMD-1823-60.pdf#page=4","Abrir facsímil")</f>
        <v>Abrir facsímil</v>
      </c>
      <c r="K3752" s="3" t="s">
        <v>23</v>
      </c>
    </row>
    <row r="3753" spans="1:11" ht="42" customHeight="1">
      <c r="A3753" s="2" t="s">
        <v>7805</v>
      </c>
      <c r="B3753" s="2" t="s">
        <v>7806</v>
      </c>
      <c r="C3753" s="2" t="s">
        <v>17</v>
      </c>
      <c r="D3753" s="2" t="s">
        <v>18</v>
      </c>
      <c r="E3753" s="5">
        <v>-27869</v>
      </c>
      <c r="F3753" s="3" t="s">
        <v>520</v>
      </c>
      <c r="G3753" s="3" t="s">
        <v>27</v>
      </c>
      <c r="H3753" s="2" t="s">
        <v>21</v>
      </c>
      <c r="I3753" s="2" t="s">
        <v>7807</v>
      </c>
      <c r="J3753" s="3" t="str">
        <f>HYPERLINK("https://www.boe.es/gazeta/dias/1823/09/11/pdfs/GMD-1823-753.pdf#page=2","Abrir facsímil")</f>
        <v>Abrir facsímil</v>
      </c>
      <c r="K3753" s="3" t="s">
        <v>23</v>
      </c>
    </row>
    <row r="3754" spans="1:11" ht="42" customHeight="1">
      <c r="A3754" s="2" t="s">
        <v>7808</v>
      </c>
      <c r="B3754" s="2" t="s">
        <v>7808</v>
      </c>
      <c r="C3754" s="2" t="s">
        <v>17</v>
      </c>
      <c r="D3754" s="2" t="s">
        <v>18</v>
      </c>
      <c r="E3754" s="5">
        <v>-27801</v>
      </c>
      <c r="F3754" s="3" t="s">
        <v>800</v>
      </c>
      <c r="G3754" s="3" t="s">
        <v>48</v>
      </c>
      <c r="H3754" s="2" t="s">
        <v>21</v>
      </c>
      <c r="I3754" s="2" t="s">
        <v>7809</v>
      </c>
      <c r="J3754" s="3" t="str">
        <f>HYPERLINK("https://www.boe.es/gazeta/dias/1823/11/18/pdfs/GMD-1823-1133.pdf#page=3","Abrir facsímil")</f>
        <v>Abrir facsímil</v>
      </c>
      <c r="K3754" s="3" t="s">
        <v>23</v>
      </c>
    </row>
    <row r="3755" spans="1:11" ht="42" customHeight="1">
      <c r="A3755" s="2" t="s">
        <v>7810</v>
      </c>
      <c r="B3755" s="2" t="s">
        <v>7811</v>
      </c>
      <c r="C3755" s="2" t="s">
        <v>17</v>
      </c>
      <c r="D3755" s="2" t="s">
        <v>18</v>
      </c>
      <c r="E3755" s="5">
        <v>-27941</v>
      </c>
      <c r="F3755" s="3" t="s">
        <v>1551</v>
      </c>
      <c r="G3755" s="3" t="s">
        <v>39</v>
      </c>
      <c r="H3755" s="2" t="s">
        <v>21</v>
      </c>
      <c r="I3755" s="2" t="s">
        <v>7812</v>
      </c>
      <c r="J3755" s="3" t="str">
        <f>HYPERLINK("https://www.boe.es/gazeta/dias/1823/07/01/pdfs/GMD-1823-323.pdf#page=1","Abrir facsímil")</f>
        <v>Abrir facsímil</v>
      </c>
      <c r="K3755" s="3" t="s">
        <v>23</v>
      </c>
    </row>
    <row r="3756" spans="1:11" ht="42" customHeight="1">
      <c r="A3756" s="2" t="s">
        <v>7813</v>
      </c>
      <c r="B3756" s="2" t="s">
        <v>7814</v>
      </c>
      <c r="C3756" s="2" t="s">
        <v>56</v>
      </c>
      <c r="D3756" s="2" t="s">
        <v>57</v>
      </c>
      <c r="E3756" s="5">
        <v>-27843</v>
      </c>
      <c r="F3756" s="3" t="s">
        <v>790</v>
      </c>
      <c r="G3756" s="3" t="s">
        <v>27</v>
      </c>
      <c r="H3756" s="2" t="s">
        <v>21</v>
      </c>
      <c r="I3756" s="2" t="s">
        <v>7815</v>
      </c>
      <c r="J3756" s="3" t="str">
        <f>HYPERLINK("https://www.boe.es/gazeta/dias/1823/10/07/pdfs/GMD-1823-933.pdf#page=2","Abrir facsímil")</f>
        <v>Abrir facsímil</v>
      </c>
      <c r="K3756" s="3" t="s">
        <v>23</v>
      </c>
    </row>
    <row r="3757" spans="1:11" ht="42" customHeight="1">
      <c r="A3757" s="2" t="s">
        <v>7816</v>
      </c>
      <c r="B3757" s="2" t="s">
        <v>7816</v>
      </c>
      <c r="C3757" s="2" t="s">
        <v>17</v>
      </c>
      <c r="D3757" s="2" t="s">
        <v>18</v>
      </c>
      <c r="E3757" s="5">
        <v>-28003</v>
      </c>
      <c r="F3757" s="3" t="s">
        <v>26</v>
      </c>
      <c r="G3757" s="3" t="s">
        <v>48</v>
      </c>
      <c r="H3757" s="2" t="s">
        <v>21</v>
      </c>
      <c r="I3757" s="2" t="s">
        <v>7817</v>
      </c>
      <c r="J3757" s="3" t="str">
        <f>HYPERLINK("https://www.boe.es/gazeta/dias/1823/04/30/pdfs/GES-1823-20.pdf#page=3","Abrir facsímil")</f>
        <v>Abrir facsímil</v>
      </c>
      <c r="K3757" s="3" t="s">
        <v>23</v>
      </c>
    </row>
    <row r="3758" spans="1:11" ht="42" customHeight="1">
      <c r="A3758" s="2" t="s">
        <v>7818</v>
      </c>
      <c r="B3758" s="2" t="s">
        <v>7818</v>
      </c>
      <c r="C3758" s="2" t="s">
        <v>17</v>
      </c>
      <c r="D3758" s="2" t="s">
        <v>18</v>
      </c>
      <c r="E3758" s="5">
        <v>-28058</v>
      </c>
      <c r="F3758" s="3" t="s">
        <v>1282</v>
      </c>
      <c r="G3758" s="3" t="s">
        <v>39</v>
      </c>
      <c r="H3758" s="2" t="s">
        <v>21</v>
      </c>
      <c r="I3758" s="2" t="s">
        <v>7819</v>
      </c>
      <c r="J3758" s="3" t="str">
        <f>HYPERLINK("https://www.boe.es/gazeta/dias/1823/03/06/pdfs/GMD-1823-69.pdf#page=1","Abrir facsímil")</f>
        <v>Abrir facsímil</v>
      </c>
      <c r="K3758" s="3" t="s">
        <v>23</v>
      </c>
    </row>
    <row r="3759" spans="1:11" ht="42" customHeight="1">
      <c r="A3759" s="2" t="s">
        <v>7818</v>
      </c>
      <c r="B3759" s="2" t="s">
        <v>7818</v>
      </c>
      <c r="C3759" s="2" t="s">
        <v>56</v>
      </c>
      <c r="D3759" s="2" t="s">
        <v>57</v>
      </c>
      <c r="E3759" s="5">
        <v>-28009</v>
      </c>
      <c r="F3759" s="3" t="s">
        <v>307</v>
      </c>
      <c r="G3759" s="3" t="s">
        <v>27</v>
      </c>
      <c r="H3759" s="2" t="s">
        <v>21</v>
      </c>
      <c r="I3759" s="2" t="s">
        <v>7820</v>
      </c>
      <c r="J3759" s="3" t="str">
        <f>HYPERLINK("https://www.boe.es/gazeta/dias/1823/04/24/pdfs/GES-1823-14.pdf#page=2","Abrir facsímil")</f>
        <v>Abrir facsímil</v>
      </c>
      <c r="K3759" s="3" t="s">
        <v>23</v>
      </c>
    </row>
    <row r="3760" spans="1:11" ht="42" customHeight="1">
      <c r="A3760" s="2" t="s">
        <v>7818</v>
      </c>
      <c r="B3760" s="2" t="s">
        <v>7818</v>
      </c>
      <c r="C3760" s="2" t="s">
        <v>17</v>
      </c>
      <c r="D3760" s="2" t="s">
        <v>18</v>
      </c>
      <c r="E3760" s="5">
        <v>-28007</v>
      </c>
      <c r="F3760" s="3" t="s">
        <v>311</v>
      </c>
      <c r="G3760" s="3" t="s">
        <v>27</v>
      </c>
      <c r="H3760" s="2" t="s">
        <v>21</v>
      </c>
      <c r="I3760" s="2" t="s">
        <v>7821</v>
      </c>
      <c r="J3760" s="3" t="str">
        <f>HYPERLINK("https://www.boe.es/gazeta/dias/1823/04/26/pdfs/GES-1823-16.pdf#page=2","Abrir facsímil")</f>
        <v>Abrir facsímil</v>
      </c>
      <c r="K3760" s="3" t="s">
        <v>23</v>
      </c>
    </row>
    <row r="3761" spans="1:11" ht="42" customHeight="1">
      <c r="A3761" s="2" t="s">
        <v>7818</v>
      </c>
      <c r="B3761" s="2" t="s">
        <v>7818</v>
      </c>
      <c r="C3761" s="2" t="s">
        <v>56</v>
      </c>
      <c r="D3761" s="2" t="s">
        <v>57</v>
      </c>
      <c r="E3761" s="5">
        <v>-28000</v>
      </c>
      <c r="F3761" s="3" t="s">
        <v>1118</v>
      </c>
      <c r="G3761" s="3" t="s">
        <v>48</v>
      </c>
      <c r="H3761" s="2" t="s">
        <v>21</v>
      </c>
      <c r="I3761" s="2" t="s">
        <v>7822</v>
      </c>
      <c r="J3761" s="3" t="str">
        <f>HYPERLINK("https://www.boe.es/gazeta/dias/1823/05/03/pdfs/GES-1823-23.pdf#page=3","Abrir facsímil")</f>
        <v>Abrir facsímil</v>
      </c>
      <c r="K3761" s="3" t="s">
        <v>23</v>
      </c>
    </row>
    <row r="3762" spans="1:11" ht="42" customHeight="1">
      <c r="A3762" s="2" t="s">
        <v>7818</v>
      </c>
      <c r="B3762" s="2" t="s">
        <v>7818</v>
      </c>
      <c r="C3762" s="2" t="s">
        <v>17</v>
      </c>
      <c r="D3762" s="2" t="s">
        <v>18</v>
      </c>
      <c r="E3762" s="5">
        <v>-27997</v>
      </c>
      <c r="F3762" s="3" t="s">
        <v>937</v>
      </c>
      <c r="G3762" s="3" t="s">
        <v>48</v>
      </c>
      <c r="H3762" s="2" t="s">
        <v>21</v>
      </c>
      <c r="I3762" s="2" t="s">
        <v>7823</v>
      </c>
      <c r="J3762" s="3" t="str">
        <f>HYPERLINK("https://www.boe.es/gazeta/dias/1823/05/06/pdfs/GMD-1823-102.pdf#page=3","Abrir facsímil")</f>
        <v>Abrir facsímil</v>
      </c>
      <c r="K3762" s="3" t="s">
        <v>23</v>
      </c>
    </row>
    <row r="3763" spans="1:11" ht="42" customHeight="1">
      <c r="A3763" s="2" t="s">
        <v>7818</v>
      </c>
      <c r="B3763" s="2" t="s">
        <v>7818</v>
      </c>
      <c r="C3763" s="2" t="s">
        <v>79</v>
      </c>
      <c r="D3763" s="2" t="s">
        <v>74</v>
      </c>
      <c r="E3763" s="5">
        <v>-27986</v>
      </c>
      <c r="F3763" s="3" t="s">
        <v>607</v>
      </c>
      <c r="G3763" s="3" t="s">
        <v>48</v>
      </c>
      <c r="H3763" s="2" t="s">
        <v>21</v>
      </c>
      <c r="I3763" s="2" t="s">
        <v>7824</v>
      </c>
      <c r="J3763" s="3" t="str">
        <f>HYPERLINK("https://www.boe.es/gazeta/dias/1823/05/17/pdfs/GMD-1823-152.pdf#page=3","Abrir facsímil")</f>
        <v>Abrir facsímil</v>
      </c>
      <c r="K3763" s="3" t="s">
        <v>23</v>
      </c>
    </row>
    <row r="3764" spans="1:11" ht="42" customHeight="1">
      <c r="A3764" s="2" t="s">
        <v>7818</v>
      </c>
      <c r="B3764" s="2" t="s">
        <v>7818</v>
      </c>
      <c r="C3764" s="2" t="s">
        <v>56</v>
      </c>
      <c r="D3764" s="2" t="s">
        <v>57</v>
      </c>
      <c r="E3764" s="5">
        <v>-27950</v>
      </c>
      <c r="F3764" s="3" t="s">
        <v>4513</v>
      </c>
      <c r="G3764" s="3" t="s">
        <v>39</v>
      </c>
      <c r="H3764" s="2" t="s">
        <v>21</v>
      </c>
      <c r="I3764" s="2" t="s">
        <v>7825</v>
      </c>
      <c r="J3764" s="3" t="str">
        <f>HYPERLINK("https://www.boe.es/gazeta/dias/1823/06/22/pdfs/GES-1823-70.pdf#page=1","Abrir facsímil")</f>
        <v>Abrir facsímil</v>
      </c>
      <c r="K3764" s="3" t="s">
        <v>23</v>
      </c>
    </row>
    <row r="3765" spans="1:11" ht="42" customHeight="1">
      <c r="A3765" s="2" t="s">
        <v>7818</v>
      </c>
      <c r="B3765" s="2" t="s">
        <v>7818</v>
      </c>
      <c r="C3765" s="2" t="s">
        <v>109</v>
      </c>
      <c r="D3765" s="2" t="s">
        <v>74</v>
      </c>
      <c r="E3765" s="5">
        <v>-27917</v>
      </c>
      <c r="F3765" s="3" t="s">
        <v>363</v>
      </c>
      <c r="G3765" s="3" t="s">
        <v>48</v>
      </c>
      <c r="H3765" s="2" t="s">
        <v>21</v>
      </c>
      <c r="I3765" s="2" t="s">
        <v>7826</v>
      </c>
      <c r="J3765" s="3" t="str">
        <f>HYPERLINK("https://www.boe.es/gazeta/dias/1823/07/25/pdfs/GES-1823-106.pdf#page=3","Abrir facsímil")</f>
        <v>Abrir facsímil</v>
      </c>
      <c r="K3765" s="3" t="s">
        <v>23</v>
      </c>
    </row>
    <row r="3766" spans="1:11" ht="42" customHeight="1">
      <c r="A3766" s="2" t="s">
        <v>7827</v>
      </c>
      <c r="B3766" s="2" t="s">
        <v>7827</v>
      </c>
      <c r="C3766" s="2" t="s">
        <v>56</v>
      </c>
      <c r="D3766" s="2" t="s">
        <v>57</v>
      </c>
      <c r="E3766" s="5">
        <v>-28081</v>
      </c>
      <c r="F3766" s="3" t="s">
        <v>170</v>
      </c>
      <c r="G3766" s="3" t="s">
        <v>20</v>
      </c>
      <c r="H3766" s="2" t="s">
        <v>21</v>
      </c>
      <c r="I3766" s="2" t="s">
        <v>7828</v>
      </c>
      <c r="J3766" s="3" t="str">
        <f>HYPERLINK("https://www.boe.es/gazeta/dias/1823/02/11/pdfs/GMD-1823-45.pdf#page=4","Abrir facsímil")</f>
        <v>Abrir facsímil</v>
      </c>
      <c r="K3766" s="3" t="s">
        <v>23</v>
      </c>
    </row>
    <row r="3767" spans="1:11" ht="42" customHeight="1">
      <c r="A3767" s="2" t="s">
        <v>7829</v>
      </c>
      <c r="B3767" s="2" t="s">
        <v>7829</v>
      </c>
      <c r="C3767" s="2" t="s">
        <v>109</v>
      </c>
      <c r="D3767" s="2" t="s">
        <v>74</v>
      </c>
      <c r="E3767" s="5">
        <v>-28119</v>
      </c>
      <c r="F3767" s="3" t="s">
        <v>545</v>
      </c>
      <c r="G3767" s="3" t="s">
        <v>27</v>
      </c>
      <c r="H3767" s="2" t="s">
        <v>21</v>
      </c>
      <c r="I3767" s="2" t="s">
        <v>7830</v>
      </c>
      <c r="J3767" s="3" t="str">
        <f>HYPERLINK("https://www.boe.es/gazeta/dias/1823/01/04/pdfs/GMD-1823-4.pdf#page=2","Abrir facsímil")</f>
        <v>Abrir facsímil</v>
      </c>
      <c r="K3767" s="3" t="s">
        <v>23</v>
      </c>
    </row>
    <row r="3768" spans="1:11" ht="42" customHeight="1">
      <c r="A3768" s="2" t="s">
        <v>7831</v>
      </c>
      <c r="B3768" s="2" t="s">
        <v>7831</v>
      </c>
      <c r="C3768" s="2" t="s">
        <v>56</v>
      </c>
      <c r="D3768" s="2" t="s">
        <v>57</v>
      </c>
      <c r="E3768" s="5">
        <v>-28086</v>
      </c>
      <c r="F3768" s="3" t="s">
        <v>289</v>
      </c>
      <c r="G3768" s="3" t="s">
        <v>48</v>
      </c>
      <c r="H3768" s="2" t="s">
        <v>21</v>
      </c>
      <c r="I3768" s="2" t="s">
        <v>7832</v>
      </c>
      <c r="J3768" s="3" t="str">
        <f>HYPERLINK("https://www.boe.es/gazeta/dias/1823/02/06/pdfs/GMD-1823-39.pdf#page=3","Abrir facsímil")</f>
        <v>Abrir facsímil</v>
      </c>
      <c r="K3768" s="3" t="s">
        <v>23</v>
      </c>
    </row>
    <row r="3769" spans="1:11" ht="42" customHeight="1">
      <c r="A3769" s="2" t="s">
        <v>7833</v>
      </c>
      <c r="B3769" s="2" t="s">
        <v>7834</v>
      </c>
      <c r="C3769" s="2" t="s">
        <v>56</v>
      </c>
      <c r="D3769" s="2" t="s">
        <v>117</v>
      </c>
      <c r="E3769" s="5">
        <v>-27970</v>
      </c>
      <c r="F3769" s="3" t="s">
        <v>1699</v>
      </c>
      <c r="G3769" s="3" t="s">
        <v>39</v>
      </c>
      <c r="H3769" s="2" t="s">
        <v>21</v>
      </c>
      <c r="I3769" s="2" t="s">
        <v>7835</v>
      </c>
      <c r="J3769" s="3" t="str">
        <f>HYPERLINK("https://www.boe.es/gazeta/dias/1823/06/02/pdfs/GMD-1823-43E.pdf#page=1","Abrir facsímil")</f>
        <v>Abrir facsímil</v>
      </c>
      <c r="K3769" s="3" t="s">
        <v>23</v>
      </c>
    </row>
    <row r="3770" spans="1:11" ht="42" customHeight="1">
      <c r="A3770" s="2" t="s">
        <v>7836</v>
      </c>
      <c r="B3770" s="2" t="s">
        <v>7837</v>
      </c>
      <c r="C3770" s="2" t="s">
        <v>56</v>
      </c>
      <c r="D3770" s="2" t="s">
        <v>57</v>
      </c>
      <c r="E3770" s="5">
        <v>-28043</v>
      </c>
      <c r="F3770" s="3" t="s">
        <v>69</v>
      </c>
      <c r="G3770" s="3" t="s">
        <v>59</v>
      </c>
      <c r="H3770" s="2" t="s">
        <v>21</v>
      </c>
      <c r="I3770" s="2" t="s">
        <v>7838</v>
      </c>
      <c r="J3770" s="3" t="str">
        <f>HYPERLINK("https://www.boe.es/gazeta/dias/1823/03/21/pdfs/GMD-1823-84.pdf#page=6","Abrir facsímil")</f>
        <v>Abrir facsímil</v>
      </c>
      <c r="K3770" s="3" t="s">
        <v>23</v>
      </c>
    </row>
    <row r="3771" spans="1:11" ht="42" customHeight="1">
      <c r="A3771" s="2" t="s">
        <v>7839</v>
      </c>
      <c r="B3771" s="2" t="s">
        <v>7839</v>
      </c>
      <c r="C3771" s="2" t="s">
        <v>79</v>
      </c>
      <c r="D3771" s="2" t="s">
        <v>74</v>
      </c>
      <c r="E3771" s="5">
        <v>-27891</v>
      </c>
      <c r="F3771" s="3" t="s">
        <v>825</v>
      </c>
      <c r="G3771" s="3" t="s">
        <v>27</v>
      </c>
      <c r="H3771" s="2" t="s">
        <v>21</v>
      </c>
      <c r="I3771" s="2" t="s">
        <v>7840</v>
      </c>
      <c r="J3771" s="3" t="str">
        <f>HYPERLINK("https://www.boe.es/gazeta/dias/1823/08/20/pdfs/GES-1823-133.pdf#page=2","Abrir facsímil")</f>
        <v>Abrir facsímil</v>
      </c>
      <c r="K3771" s="3" t="s">
        <v>23</v>
      </c>
    </row>
    <row r="3772" spans="1:11" ht="42" customHeight="1">
      <c r="A3772" s="2" t="s">
        <v>7839</v>
      </c>
      <c r="B3772" s="2" t="s">
        <v>7839</v>
      </c>
      <c r="C3772" s="2" t="s">
        <v>79</v>
      </c>
      <c r="D3772" s="2" t="s">
        <v>74</v>
      </c>
      <c r="E3772" s="5">
        <v>-27884</v>
      </c>
      <c r="F3772" s="3" t="s">
        <v>61</v>
      </c>
      <c r="G3772" s="3" t="s">
        <v>48</v>
      </c>
      <c r="H3772" s="2" t="s">
        <v>21</v>
      </c>
      <c r="I3772" s="2" t="s">
        <v>7841</v>
      </c>
      <c r="J3772" s="3" t="str">
        <f>HYPERLINK("https://www.boe.es/gazeta/dias/1823/08/27/pdfs/GES-1823-140.pdf#page=3","Abrir facsímil")</f>
        <v>Abrir facsímil</v>
      </c>
      <c r="K3772" s="3" t="s">
        <v>23</v>
      </c>
    </row>
    <row r="3773" spans="1:11" ht="42" customHeight="1">
      <c r="A3773" s="2" t="s">
        <v>7839</v>
      </c>
      <c r="B3773" s="2" t="s">
        <v>7839</v>
      </c>
      <c r="C3773" s="2" t="s">
        <v>79</v>
      </c>
      <c r="D3773" s="2" t="s">
        <v>74</v>
      </c>
      <c r="E3773" s="5">
        <v>-27883</v>
      </c>
      <c r="F3773" s="3" t="s">
        <v>2838</v>
      </c>
      <c r="G3773" s="3" t="s">
        <v>48</v>
      </c>
      <c r="H3773" s="2" t="s">
        <v>21</v>
      </c>
      <c r="I3773" s="2" t="s">
        <v>7842</v>
      </c>
      <c r="J3773" s="3" t="str">
        <f>HYPERLINK("https://www.boe.es/gazeta/dias/1823/08/28/pdfs/GES-1823-141.pdf#page=3","Abrir facsímil")</f>
        <v>Abrir facsímil</v>
      </c>
      <c r="K3773" s="3" t="s">
        <v>23</v>
      </c>
    </row>
    <row r="3774" spans="1:11" ht="42" customHeight="1">
      <c r="A3774" s="2" t="s">
        <v>7843</v>
      </c>
      <c r="B3774" s="2" t="s">
        <v>7844</v>
      </c>
      <c r="C3774" s="2" t="s">
        <v>17</v>
      </c>
      <c r="D3774" s="2" t="s">
        <v>18</v>
      </c>
      <c r="E3774" s="5">
        <v>-28077</v>
      </c>
      <c r="F3774" s="3" t="s">
        <v>536</v>
      </c>
      <c r="G3774" s="3" t="s">
        <v>59</v>
      </c>
      <c r="H3774" s="2" t="s">
        <v>21</v>
      </c>
      <c r="I3774" s="2" t="s">
        <v>7845</v>
      </c>
      <c r="J3774" s="3" t="str">
        <f>HYPERLINK("https://www.boe.es/gazeta/dias/1823/02/15/pdfs/GMD-1823-49.pdf#page=6","Abrir facsímil")</f>
        <v>Abrir facsímil</v>
      </c>
      <c r="K3774" s="3" t="s">
        <v>23</v>
      </c>
    </row>
    <row r="3775" spans="1:11" ht="42" customHeight="1">
      <c r="A3775" s="2" t="s">
        <v>7846</v>
      </c>
      <c r="B3775" s="2" t="s">
        <v>7846</v>
      </c>
      <c r="C3775" s="2" t="s">
        <v>79</v>
      </c>
      <c r="D3775" s="2" t="s">
        <v>74</v>
      </c>
      <c r="E3775" s="5">
        <v>-28043</v>
      </c>
      <c r="F3775" s="3" t="s">
        <v>69</v>
      </c>
      <c r="G3775" s="3" t="s">
        <v>59</v>
      </c>
      <c r="H3775" s="2" t="s">
        <v>21</v>
      </c>
      <c r="I3775" s="2" t="s">
        <v>7847</v>
      </c>
      <c r="J3775" s="3" t="str">
        <f>HYPERLINK("https://www.boe.es/gazeta/dias/1823/03/21/pdfs/GMD-1823-84.pdf#page=6","Abrir facsímil")</f>
        <v>Abrir facsímil</v>
      </c>
      <c r="K3775" s="3" t="s">
        <v>23</v>
      </c>
    </row>
    <row r="3776" spans="1:11" ht="42" customHeight="1">
      <c r="A3776" s="2" t="s">
        <v>7848</v>
      </c>
      <c r="B3776" s="2" t="s">
        <v>7849</v>
      </c>
      <c r="C3776" s="2" t="s">
        <v>17</v>
      </c>
      <c r="D3776" s="2" t="s">
        <v>18</v>
      </c>
      <c r="E3776" s="5">
        <v>-27993</v>
      </c>
      <c r="F3776" s="3" t="s">
        <v>977</v>
      </c>
      <c r="G3776" s="3" t="s">
        <v>978</v>
      </c>
      <c r="H3776" s="2" t="s">
        <v>21</v>
      </c>
      <c r="I3776" s="2" t="s">
        <v>7850</v>
      </c>
      <c r="J3776" s="3" t="str">
        <f>HYPERLINK("https://www.boe.es/gazeta/dias/1823/05/10/pdfs/GES-1823-30.pdf#page=4","Abrir facsímil")</f>
        <v>Abrir facsímil</v>
      </c>
      <c r="K3776" s="3" t="s">
        <v>23</v>
      </c>
    </row>
    <row r="3777" spans="1:11" ht="42" customHeight="1">
      <c r="A3777" s="2" t="s">
        <v>7851</v>
      </c>
      <c r="B3777" s="2" t="s">
        <v>7851</v>
      </c>
      <c r="C3777" s="2" t="s">
        <v>17</v>
      </c>
      <c r="D3777" s="2" t="s">
        <v>18</v>
      </c>
      <c r="E3777" s="5">
        <v>-28086</v>
      </c>
      <c r="F3777" s="3" t="s">
        <v>289</v>
      </c>
      <c r="G3777" s="3" t="s">
        <v>27</v>
      </c>
      <c r="H3777" s="2" t="s">
        <v>21</v>
      </c>
      <c r="I3777" s="2" t="s">
        <v>7852</v>
      </c>
      <c r="J3777" s="3" t="str">
        <f>HYPERLINK("https://www.boe.es/gazeta/dias/1823/02/06/pdfs/GMD-1823-39.pdf#page=2","Abrir facsímil")</f>
        <v>Abrir facsímil</v>
      </c>
      <c r="K3777" s="3" t="s">
        <v>23</v>
      </c>
    </row>
    <row r="3778" spans="1:11" ht="42" customHeight="1">
      <c r="A3778" s="2" t="s">
        <v>7853</v>
      </c>
      <c r="B3778" s="2" t="s">
        <v>7854</v>
      </c>
      <c r="C3778" s="2" t="s">
        <v>17</v>
      </c>
      <c r="D3778" s="2" t="s">
        <v>18</v>
      </c>
      <c r="E3778" s="5">
        <v>-27906</v>
      </c>
      <c r="F3778" s="3" t="s">
        <v>1527</v>
      </c>
      <c r="G3778" s="3" t="s">
        <v>20</v>
      </c>
      <c r="H3778" s="2" t="s">
        <v>21</v>
      </c>
      <c r="I3778" s="2" t="s">
        <v>7855</v>
      </c>
      <c r="J3778" s="3" t="str">
        <f>HYPERLINK("https://www.boe.es/gazeta/dias/1823/08/05/pdfs/GMD-1823-533.pdf#page=4","Abrir facsímil")</f>
        <v>Abrir facsímil</v>
      </c>
      <c r="K3778" s="3" t="s">
        <v>23</v>
      </c>
    </row>
    <row r="3779" spans="1:11" ht="42" customHeight="1">
      <c r="A3779" s="2" t="s">
        <v>7856</v>
      </c>
      <c r="B3779" s="2" t="s">
        <v>7856</v>
      </c>
      <c r="C3779" s="2" t="s">
        <v>17</v>
      </c>
      <c r="D3779" s="2" t="s">
        <v>18</v>
      </c>
      <c r="E3779" s="5">
        <v>-28042</v>
      </c>
      <c r="F3779" s="3" t="s">
        <v>1218</v>
      </c>
      <c r="G3779" s="3" t="s">
        <v>39</v>
      </c>
      <c r="H3779" s="2" t="s">
        <v>21</v>
      </c>
      <c r="I3779" s="2" t="s">
        <v>7857</v>
      </c>
      <c r="J3779" s="3" t="str">
        <f>HYPERLINK("https://www.boe.es/gazeta/dias/1823/03/22/pdfs/GMD-1823-85.pdf#page=1","Abrir facsímil")</f>
        <v>Abrir facsímil</v>
      </c>
      <c r="K3779" s="3" t="s">
        <v>23</v>
      </c>
    </row>
    <row r="3780" spans="1:11" ht="42" customHeight="1">
      <c r="A3780" s="2" t="s">
        <v>7858</v>
      </c>
      <c r="B3780" s="2" t="s">
        <v>7859</v>
      </c>
      <c r="C3780" s="2" t="s">
        <v>17</v>
      </c>
      <c r="D3780" s="2" t="s">
        <v>18</v>
      </c>
      <c r="E3780" s="5">
        <v>-27867</v>
      </c>
      <c r="F3780" s="3" t="s">
        <v>569</v>
      </c>
      <c r="G3780" s="3" t="s">
        <v>27</v>
      </c>
      <c r="H3780" s="2" t="s">
        <v>21</v>
      </c>
      <c r="I3780" s="2" t="s">
        <v>7860</v>
      </c>
      <c r="J3780" s="3" t="str">
        <f>HYPERLINK("https://www.boe.es/gazeta/dias/1823/09/13/pdfs/GES-1823-157.pdf#page=2","Abrir facsímil")</f>
        <v>Abrir facsímil</v>
      </c>
      <c r="K3780" s="3" t="s">
        <v>23</v>
      </c>
    </row>
    <row r="3781" spans="1:11" ht="42" customHeight="1">
      <c r="A3781" s="2" t="s">
        <v>7861</v>
      </c>
      <c r="B3781" s="2" t="s">
        <v>7862</v>
      </c>
      <c r="C3781" s="2" t="s">
        <v>79</v>
      </c>
      <c r="D3781" s="2" t="s">
        <v>74</v>
      </c>
      <c r="E3781" s="5">
        <v>-28004</v>
      </c>
      <c r="F3781" s="3" t="s">
        <v>313</v>
      </c>
      <c r="G3781" s="3" t="s">
        <v>27</v>
      </c>
      <c r="H3781" s="2" t="s">
        <v>28</v>
      </c>
      <c r="I3781" s="2" t="s">
        <v>7863</v>
      </c>
      <c r="J3781" s="3" t="str">
        <f>HYPERLINK("https://www.boe.es/gazeta/dias/1823/04/29/pdfs/GMD-1823-72.pdf#page=2","Abrir facsímil")</f>
        <v>Abrir facsímil</v>
      </c>
      <c r="K3781" s="3" t="s">
        <v>30</v>
      </c>
    </row>
    <row r="3782" spans="1:11" ht="42" customHeight="1">
      <c r="A3782" s="2" t="s">
        <v>7864</v>
      </c>
      <c r="B3782" s="2" t="s">
        <v>7865</v>
      </c>
      <c r="C3782" s="2" t="s">
        <v>17</v>
      </c>
      <c r="D3782" s="2" t="s">
        <v>18</v>
      </c>
      <c r="E3782" s="5">
        <v>-28100</v>
      </c>
      <c r="F3782" s="3" t="s">
        <v>737</v>
      </c>
      <c r="G3782" s="3" t="s">
        <v>27</v>
      </c>
      <c r="H3782" s="2" t="s">
        <v>21</v>
      </c>
      <c r="I3782" s="2" t="s">
        <v>7866</v>
      </c>
      <c r="J3782" s="3" t="str">
        <f>HYPERLINK("https://www.boe.es/gazeta/dias/1823/01/23/pdfs/GMD-1823-24.pdf#page=2","Abrir facsímil")</f>
        <v>Abrir facsímil</v>
      </c>
      <c r="K3782" s="3" t="s">
        <v>23</v>
      </c>
    </row>
    <row r="3783" spans="1:11" ht="42" customHeight="1">
      <c r="A3783" s="2" t="s">
        <v>7867</v>
      </c>
      <c r="B3783" s="2" t="s">
        <v>7868</v>
      </c>
      <c r="C3783" s="2" t="s">
        <v>1477</v>
      </c>
      <c r="D3783" s="2" t="s">
        <v>57</v>
      </c>
      <c r="E3783" s="5">
        <v>-28033</v>
      </c>
      <c r="F3783" s="3" t="s">
        <v>1372</v>
      </c>
      <c r="G3783" s="3" t="s">
        <v>27</v>
      </c>
      <c r="H3783" s="2" t="s">
        <v>21</v>
      </c>
      <c r="I3783" s="2" t="s">
        <v>7869</v>
      </c>
      <c r="J3783" s="3" t="str">
        <f>HYPERLINK("https://www.boe.es/gazeta/dias/1823/03/31/pdfs/GMD-1823-94.pdf#page=2","Abrir facsímil")</f>
        <v>Abrir facsímil</v>
      </c>
      <c r="K3783" s="3" t="s">
        <v>23</v>
      </c>
    </row>
    <row r="3784" spans="1:11" ht="42" customHeight="1">
      <c r="A3784" s="2" t="s">
        <v>7870</v>
      </c>
      <c r="B3784" s="2" t="s">
        <v>7870</v>
      </c>
      <c r="C3784" s="2" t="s">
        <v>17</v>
      </c>
      <c r="D3784" s="2" t="s">
        <v>18</v>
      </c>
      <c r="E3784" s="5">
        <v>-28016</v>
      </c>
      <c r="F3784" s="3" t="s">
        <v>287</v>
      </c>
      <c r="G3784" s="3" t="s">
        <v>27</v>
      </c>
      <c r="H3784" s="2" t="s">
        <v>21</v>
      </c>
      <c r="I3784" s="2" t="s">
        <v>7871</v>
      </c>
      <c r="J3784" s="3" t="str">
        <f>HYPERLINK("https://www.boe.es/gazeta/dias/1823/04/17/pdfs/GMD-1823-22.pdf#page=2","Abrir facsímil")</f>
        <v>Abrir facsímil</v>
      </c>
      <c r="K3784" s="3" t="s">
        <v>23</v>
      </c>
    </row>
    <row r="3785" spans="1:11" ht="42" customHeight="1">
      <c r="A3785" s="2" t="s">
        <v>7872</v>
      </c>
      <c r="B3785" s="2" t="s">
        <v>7873</v>
      </c>
      <c r="C3785" s="2" t="s">
        <v>17</v>
      </c>
      <c r="D3785" s="2" t="s">
        <v>18</v>
      </c>
      <c r="E3785" s="5">
        <v>-27934</v>
      </c>
      <c r="F3785" s="3" t="s">
        <v>634</v>
      </c>
      <c r="G3785" s="3" t="s">
        <v>39</v>
      </c>
      <c r="H3785" s="2" t="s">
        <v>21</v>
      </c>
      <c r="I3785" s="2" t="s">
        <v>7874</v>
      </c>
      <c r="J3785" s="3" t="str">
        <f>HYPERLINK("https://www.boe.es/gazeta/dias/1823/07/08/pdfs/GMD-1823-353.pdf#page=1","Abrir facsímil")</f>
        <v>Abrir facsímil</v>
      </c>
      <c r="K3785" s="3" t="s">
        <v>23</v>
      </c>
    </row>
    <row r="3786" spans="1:11" ht="42" customHeight="1">
      <c r="A3786" s="2" t="s">
        <v>7875</v>
      </c>
      <c r="B3786" s="2" t="s">
        <v>7875</v>
      </c>
      <c r="C3786" s="2" t="s">
        <v>17</v>
      </c>
      <c r="D3786" s="2" t="s">
        <v>18</v>
      </c>
      <c r="E3786" s="5">
        <v>-27969</v>
      </c>
      <c r="F3786" s="3" t="s">
        <v>855</v>
      </c>
      <c r="G3786" s="3" t="s">
        <v>48</v>
      </c>
      <c r="H3786" s="2" t="s">
        <v>21</v>
      </c>
      <c r="I3786" s="2" t="s">
        <v>7876</v>
      </c>
      <c r="J3786" s="3" t="str">
        <f>HYPERLINK("https://www.boe.es/gazeta/dias/1823/06/03/pdfs/GES-1823-57.pdf#page=3","Abrir facsímil")</f>
        <v>Abrir facsímil</v>
      </c>
      <c r="K3786" s="3" t="s">
        <v>23</v>
      </c>
    </row>
    <row r="3787" spans="1:11" ht="42" customHeight="1">
      <c r="A3787" s="2" t="s">
        <v>7877</v>
      </c>
      <c r="B3787" s="2" t="s">
        <v>7877</v>
      </c>
      <c r="C3787" s="2" t="s">
        <v>17</v>
      </c>
      <c r="D3787" s="2" t="s">
        <v>18</v>
      </c>
      <c r="E3787" s="5">
        <v>-27969</v>
      </c>
      <c r="F3787" s="3" t="s">
        <v>855</v>
      </c>
      <c r="G3787" s="3" t="s">
        <v>48</v>
      </c>
      <c r="H3787" s="2" t="s">
        <v>21</v>
      </c>
      <c r="I3787" s="2" t="s">
        <v>7878</v>
      </c>
      <c r="J3787" s="3" t="str">
        <f>HYPERLINK("https://www.boe.es/gazeta/dias/1823/06/03/pdfs/GES-1823-57.pdf#page=3","Abrir facsímil")</f>
        <v>Abrir facsímil</v>
      </c>
      <c r="K3787" s="3" t="s">
        <v>23</v>
      </c>
    </row>
    <row r="3788" spans="1:11" ht="42" customHeight="1">
      <c r="A3788" s="2" t="s">
        <v>7879</v>
      </c>
      <c r="B3788" s="2" t="s">
        <v>7879</v>
      </c>
      <c r="C3788" s="2" t="s">
        <v>17</v>
      </c>
      <c r="D3788" s="2" t="s">
        <v>18</v>
      </c>
      <c r="E3788" s="5">
        <v>-27970</v>
      </c>
      <c r="F3788" s="3" t="s">
        <v>1030</v>
      </c>
      <c r="G3788" s="3" t="s">
        <v>48</v>
      </c>
      <c r="H3788" s="2" t="s">
        <v>21</v>
      </c>
      <c r="I3788" s="2" t="s">
        <v>7880</v>
      </c>
      <c r="J3788" s="3" t="str">
        <f>HYPERLINK("https://www.boe.es/gazeta/dias/1823/06/02/pdfs/GES-1823-56.pdf#page=3","Abrir facsímil")</f>
        <v>Abrir facsímil</v>
      </c>
      <c r="K3788" s="3" t="s">
        <v>23</v>
      </c>
    </row>
    <row r="3789" spans="1:11" ht="42" customHeight="1">
      <c r="A3789" s="2" t="s">
        <v>7881</v>
      </c>
      <c r="B3789" s="2" t="s">
        <v>7882</v>
      </c>
      <c r="C3789" s="2" t="s">
        <v>56</v>
      </c>
      <c r="D3789" s="2" t="s">
        <v>57</v>
      </c>
      <c r="E3789" s="5">
        <v>-27881</v>
      </c>
      <c r="F3789" s="3" t="s">
        <v>725</v>
      </c>
      <c r="G3789" s="3" t="s">
        <v>39</v>
      </c>
      <c r="H3789" s="2" t="s">
        <v>28</v>
      </c>
      <c r="I3789" s="2" t="s">
        <v>7883</v>
      </c>
      <c r="J3789" s="3" t="str">
        <f>HYPERLINK("https://www.boe.es/gazeta/dias/1823/08/30/pdfs/GMD-1823-673.pdf#page=1","Abrir facsímil")</f>
        <v>Abrir facsímil</v>
      </c>
      <c r="K3789" s="3" t="s">
        <v>30</v>
      </c>
    </row>
    <row r="3790" spans="1:11" ht="42" customHeight="1">
      <c r="A3790" s="2" t="s">
        <v>7884</v>
      </c>
      <c r="B3790" s="2" t="s">
        <v>7885</v>
      </c>
      <c r="C3790" s="2" t="s">
        <v>17</v>
      </c>
      <c r="D3790" s="2" t="s">
        <v>18</v>
      </c>
      <c r="E3790" s="5">
        <v>-28041</v>
      </c>
      <c r="F3790" s="3" t="s">
        <v>873</v>
      </c>
      <c r="G3790" s="3" t="s">
        <v>366</v>
      </c>
      <c r="H3790" s="2" t="s">
        <v>28</v>
      </c>
      <c r="I3790" s="2" t="s">
        <v>7886</v>
      </c>
      <c r="J3790" s="3" t="str">
        <f>HYPERLINK("https://www.boe.es/gazeta/dias/1823/03/23/pdfs/GMD-1823-86.pdf#page=4","Abrir facsímil")</f>
        <v>Abrir facsímil</v>
      </c>
      <c r="K3790" s="3" t="s">
        <v>30</v>
      </c>
    </row>
    <row r="3791" spans="1:11" ht="42" customHeight="1">
      <c r="A3791" s="2" t="s">
        <v>7887</v>
      </c>
      <c r="B3791" s="2" t="s">
        <v>7887</v>
      </c>
      <c r="C3791" s="2" t="s">
        <v>109</v>
      </c>
      <c r="D3791" s="2" t="s">
        <v>74</v>
      </c>
      <c r="E3791" s="5">
        <v>-28117</v>
      </c>
      <c r="F3791" s="3" t="s">
        <v>271</v>
      </c>
      <c r="G3791" s="3" t="s">
        <v>20</v>
      </c>
      <c r="H3791" s="2" t="s">
        <v>21</v>
      </c>
      <c r="I3791" s="2" t="s">
        <v>7888</v>
      </c>
      <c r="J3791" s="3" t="str">
        <f>HYPERLINK("https://www.boe.es/gazeta/dias/1823/01/06/pdfs/GMD-1823-6.pdf#page=4","Abrir facsímil")</f>
        <v>Abrir facsímil</v>
      </c>
      <c r="K3791" s="3" t="s">
        <v>23</v>
      </c>
    </row>
    <row r="3792" spans="1:11" ht="42" customHeight="1">
      <c r="A3792" s="2" t="s">
        <v>7889</v>
      </c>
      <c r="B3792" s="2" t="s">
        <v>7889</v>
      </c>
      <c r="C3792" s="2" t="s">
        <v>17</v>
      </c>
      <c r="D3792" s="2" t="s">
        <v>117</v>
      </c>
      <c r="E3792" s="5">
        <v>-27873</v>
      </c>
      <c r="F3792" s="3" t="s">
        <v>1668</v>
      </c>
      <c r="G3792" s="3" t="s">
        <v>27</v>
      </c>
      <c r="H3792" s="2" t="s">
        <v>21</v>
      </c>
      <c r="I3792" s="2" t="s">
        <v>7890</v>
      </c>
      <c r="J3792" s="3" t="str">
        <f>HYPERLINK("https://www.boe.es/gazeta/dias/1823/09/07/pdfs/GMD-1823-72E.pdf#page=2","Abrir facsímil")</f>
        <v>Abrir facsímil</v>
      </c>
      <c r="K3792" s="3" t="s">
        <v>23</v>
      </c>
    </row>
    <row r="3793" spans="1:11" ht="42" customHeight="1">
      <c r="A3793" s="2" t="s">
        <v>7891</v>
      </c>
      <c r="B3793" s="2" t="s">
        <v>7891</v>
      </c>
      <c r="C3793" s="2" t="s">
        <v>17</v>
      </c>
      <c r="D3793" s="2" t="s">
        <v>18</v>
      </c>
      <c r="E3793" s="5">
        <v>-28006</v>
      </c>
      <c r="F3793" s="3" t="s">
        <v>183</v>
      </c>
      <c r="G3793" s="3" t="s">
        <v>39</v>
      </c>
      <c r="H3793" s="2" t="s">
        <v>21</v>
      </c>
      <c r="I3793" s="2" t="s">
        <v>7892</v>
      </c>
      <c r="J3793" s="3" t="str">
        <f>HYPERLINK("https://www.boe.es/gazeta/dias/1823/04/27/pdfs/GES-1823-17.pdf#page=1","Abrir facsímil")</f>
        <v>Abrir facsímil</v>
      </c>
      <c r="K3793" s="3" t="s">
        <v>23</v>
      </c>
    </row>
    <row r="3794" spans="1:11" ht="42" customHeight="1">
      <c r="A3794" s="2" t="s">
        <v>7893</v>
      </c>
      <c r="B3794" s="2" t="s">
        <v>7894</v>
      </c>
      <c r="C3794" s="2" t="s">
        <v>79</v>
      </c>
      <c r="D3794" s="2" t="s">
        <v>74</v>
      </c>
      <c r="E3794" s="5">
        <v>-27905</v>
      </c>
      <c r="F3794" s="3" t="s">
        <v>236</v>
      </c>
      <c r="G3794" s="3" t="s">
        <v>237</v>
      </c>
      <c r="H3794" s="2" t="s">
        <v>21</v>
      </c>
      <c r="I3794" s="2" t="s">
        <v>7895</v>
      </c>
      <c r="J3794" s="3" t="str">
        <f>HYPERLINK("https://www.boe.es/gazeta/dias/1823/08/06/pdfs/GES-1823-119.pdf#page=4","Abrir facsímil")</f>
        <v>Abrir facsímil</v>
      </c>
      <c r="K3794" s="3" t="s">
        <v>23</v>
      </c>
    </row>
    <row r="3795" spans="1:11" ht="42" customHeight="1">
      <c r="A3795" s="2" t="s">
        <v>7896</v>
      </c>
      <c r="B3795" s="2" t="s">
        <v>7897</v>
      </c>
      <c r="C3795" s="2" t="s">
        <v>17</v>
      </c>
      <c r="D3795" s="2" t="s">
        <v>18</v>
      </c>
      <c r="E3795" s="5">
        <v>-28082</v>
      </c>
      <c r="F3795" s="3" t="s">
        <v>468</v>
      </c>
      <c r="G3795" s="3" t="s">
        <v>34</v>
      </c>
      <c r="H3795" s="2" t="s">
        <v>21</v>
      </c>
      <c r="I3795" s="2" t="s">
        <v>7898</v>
      </c>
      <c r="J3795" s="3" t="str">
        <f>HYPERLINK("https://www.boe.es/gazeta/dias/1823/02/10/pdfs/GMD-1823-44.pdf#page=5","Abrir facsímil")</f>
        <v>Abrir facsímil</v>
      </c>
      <c r="K3795" s="3" t="s">
        <v>23</v>
      </c>
    </row>
    <row r="3796" spans="1:11" ht="42" customHeight="1">
      <c r="A3796" s="2" t="s">
        <v>7899</v>
      </c>
      <c r="B3796" s="2" t="s">
        <v>7899</v>
      </c>
      <c r="C3796" s="2" t="s">
        <v>79</v>
      </c>
      <c r="D3796" s="2" t="s">
        <v>74</v>
      </c>
      <c r="E3796" s="5">
        <v>-28093</v>
      </c>
      <c r="F3796" s="3" t="s">
        <v>1044</v>
      </c>
      <c r="G3796" s="3" t="s">
        <v>48</v>
      </c>
      <c r="H3796" s="2" t="s">
        <v>21</v>
      </c>
      <c r="I3796" s="2" t="s">
        <v>7900</v>
      </c>
      <c r="J3796" s="3" t="str">
        <f>HYPERLINK("https://www.boe.es/gazeta/dias/1823/01/30/pdfs/GMD-1823-31.pdf#page=3","Abrir facsímil")</f>
        <v>Abrir facsímil</v>
      </c>
      <c r="K3796" s="3" t="s">
        <v>23</v>
      </c>
    </row>
    <row r="3797" spans="1:11" ht="42" customHeight="1">
      <c r="A3797" s="2" t="s">
        <v>7901</v>
      </c>
      <c r="B3797" s="2" t="s">
        <v>7902</v>
      </c>
      <c r="C3797" s="2" t="s">
        <v>17</v>
      </c>
      <c r="D3797" s="2" t="s">
        <v>18</v>
      </c>
      <c r="E3797" s="5">
        <v>-28033</v>
      </c>
      <c r="F3797" s="3" t="s">
        <v>1372</v>
      </c>
      <c r="G3797" s="3" t="s">
        <v>20</v>
      </c>
      <c r="H3797" s="2" t="s">
        <v>21</v>
      </c>
      <c r="I3797" s="2" t="s">
        <v>7903</v>
      </c>
      <c r="J3797" s="3" t="str">
        <f>HYPERLINK("https://www.boe.es/gazeta/dias/1823/03/31/pdfs/GMD-1823-94.pdf#page=4","Abrir facsímil")</f>
        <v>Abrir facsímil</v>
      </c>
      <c r="K3797" s="3" t="s">
        <v>23</v>
      </c>
    </row>
    <row r="3798" spans="1:11" ht="42" customHeight="1">
      <c r="A3798" s="2" t="s">
        <v>7904</v>
      </c>
      <c r="B3798" s="2" t="s">
        <v>7905</v>
      </c>
      <c r="C3798" s="2" t="s">
        <v>325</v>
      </c>
      <c r="D3798" s="2" t="s">
        <v>74</v>
      </c>
      <c r="E3798" s="5">
        <v>-27920</v>
      </c>
      <c r="F3798" s="3" t="s">
        <v>1334</v>
      </c>
      <c r="G3798" s="3" t="s">
        <v>48</v>
      </c>
      <c r="H3798" s="2" t="s">
        <v>21</v>
      </c>
      <c r="I3798" s="2" t="s">
        <v>7906</v>
      </c>
      <c r="J3798" s="3" t="str">
        <f>HYPERLINK("https://www.boe.es/gazeta/dias/1823/07/22/pdfs/GMD-1823-443.pdf#page=3","Abrir facsímil")</f>
        <v>Abrir facsímil</v>
      </c>
      <c r="K3798" s="3" t="s">
        <v>23</v>
      </c>
    </row>
    <row r="3799" spans="1:11" ht="42" customHeight="1">
      <c r="A3799" s="2" t="s">
        <v>7907</v>
      </c>
      <c r="B3799" s="2" t="s">
        <v>7907</v>
      </c>
      <c r="C3799" s="2" t="s">
        <v>17</v>
      </c>
      <c r="D3799" s="2" t="s">
        <v>18</v>
      </c>
      <c r="E3799" s="5">
        <v>-27859</v>
      </c>
      <c r="F3799" s="3" t="s">
        <v>2722</v>
      </c>
      <c r="G3799" s="3" t="s">
        <v>27</v>
      </c>
      <c r="H3799" s="2" t="s">
        <v>21</v>
      </c>
      <c r="I3799" s="2" t="s">
        <v>7908</v>
      </c>
      <c r="J3799" s="3" t="str">
        <f>HYPERLINK("https://www.boe.es/gazeta/dias/1823/09/21/pdfs/GES-1823-165.pdf#page=2","Abrir facsímil")</f>
        <v>Abrir facsímil</v>
      </c>
      <c r="K3799" s="3" t="s">
        <v>23</v>
      </c>
    </row>
    <row r="3800" spans="1:11" ht="42" customHeight="1">
      <c r="A3800" s="2" t="s">
        <v>7909</v>
      </c>
      <c r="B3800" s="2" t="s">
        <v>7909</v>
      </c>
      <c r="C3800" s="2" t="s">
        <v>17</v>
      </c>
      <c r="D3800" s="2" t="s">
        <v>18</v>
      </c>
      <c r="E3800" s="5">
        <v>-27856</v>
      </c>
      <c r="F3800" s="3" t="s">
        <v>4859</v>
      </c>
      <c r="G3800" s="3" t="s">
        <v>7910</v>
      </c>
      <c r="H3800" s="2" t="s">
        <v>21</v>
      </c>
      <c r="I3800" s="2" t="s">
        <v>7911</v>
      </c>
      <c r="J3800" s="3" t="str">
        <f>HYPERLINK("https://www.boe.es/gazeta/dias/1823/09/24/pdfs/GES-1823-168.pdf#page=4","Abrir facsímil")</f>
        <v>Abrir facsímil</v>
      </c>
      <c r="K3800" s="3" t="s">
        <v>23</v>
      </c>
    </row>
    <row r="3801" spans="1:11" ht="42" customHeight="1">
      <c r="A3801" s="2" t="s">
        <v>7912</v>
      </c>
      <c r="B3801" s="2" t="s">
        <v>7913</v>
      </c>
      <c r="C3801" s="2" t="s">
        <v>73</v>
      </c>
      <c r="D3801" s="2" t="s">
        <v>74</v>
      </c>
      <c r="E3801" s="5">
        <v>-28086</v>
      </c>
      <c r="F3801" s="3" t="s">
        <v>289</v>
      </c>
      <c r="G3801" s="3" t="s">
        <v>39</v>
      </c>
      <c r="H3801" s="2" t="s">
        <v>28</v>
      </c>
      <c r="I3801" s="2" t="s">
        <v>7914</v>
      </c>
      <c r="J3801" s="3" t="str">
        <f>HYPERLINK("https://www.boe.es/gazeta/dias/1823/02/06/pdfs/GMD-1823-39.pdf#page=1","Abrir facsímil")</f>
        <v>Abrir facsímil</v>
      </c>
      <c r="K3801" s="3" t="s">
        <v>30</v>
      </c>
    </row>
    <row r="3802" spans="1:11" ht="42" customHeight="1">
      <c r="A3802" s="2" t="s">
        <v>7915</v>
      </c>
      <c r="B3802" s="2" t="s">
        <v>7916</v>
      </c>
      <c r="C3802" s="2" t="s">
        <v>17</v>
      </c>
      <c r="D3802" s="2" t="s">
        <v>18</v>
      </c>
      <c r="E3802" s="5">
        <v>-27939</v>
      </c>
      <c r="F3802" s="3" t="s">
        <v>1403</v>
      </c>
      <c r="G3802" s="3" t="s">
        <v>715</v>
      </c>
      <c r="H3802" s="2" t="s">
        <v>28</v>
      </c>
      <c r="I3802" s="2" t="s">
        <v>7917</v>
      </c>
      <c r="J3802" s="3" t="str">
        <f>HYPERLINK("https://www.boe.es/gazeta/dias/1823/07/03/pdfs/GMD-1823-333.pdf#page=8","Abrir facsímil")</f>
        <v>Abrir facsímil</v>
      </c>
      <c r="K3802" s="3" t="s">
        <v>30</v>
      </c>
    </row>
    <row r="3803" spans="1:11" ht="42" customHeight="1">
      <c r="A3803" s="2" t="s">
        <v>7918</v>
      </c>
      <c r="B3803" s="2" t="s">
        <v>7919</v>
      </c>
      <c r="C3803" s="2" t="s">
        <v>56</v>
      </c>
      <c r="D3803" s="2" t="s">
        <v>57</v>
      </c>
      <c r="E3803" s="5">
        <v>-27919</v>
      </c>
      <c r="F3803" s="3" t="s">
        <v>361</v>
      </c>
      <c r="G3803" s="3" t="s">
        <v>20</v>
      </c>
      <c r="H3803" s="2" t="s">
        <v>21</v>
      </c>
      <c r="I3803" s="2" t="s">
        <v>7920</v>
      </c>
      <c r="J3803" s="3" t="str">
        <f>HYPERLINK("https://www.boe.es/gazeta/dias/1823/07/23/pdfs/GES-1823-104.pdf#page=4","Abrir facsímil")</f>
        <v>Abrir facsímil</v>
      </c>
      <c r="K3803" s="3" t="s">
        <v>23</v>
      </c>
    </row>
    <row r="3804" spans="1:11" ht="42" customHeight="1">
      <c r="A3804" s="2" t="s">
        <v>7921</v>
      </c>
      <c r="B3804" s="2" t="s">
        <v>7922</v>
      </c>
      <c r="C3804" s="2" t="s">
        <v>79</v>
      </c>
      <c r="D3804" s="2" t="s">
        <v>74</v>
      </c>
      <c r="E3804" s="5">
        <v>-28100</v>
      </c>
      <c r="F3804" s="3" t="s">
        <v>737</v>
      </c>
      <c r="G3804" s="3" t="s">
        <v>20</v>
      </c>
      <c r="H3804" s="2" t="s">
        <v>21</v>
      </c>
      <c r="I3804" s="2" t="s">
        <v>7923</v>
      </c>
      <c r="J3804" s="3" t="str">
        <f>HYPERLINK("https://www.boe.es/gazeta/dias/1823/01/23/pdfs/GMD-1823-24.pdf#page=4","Abrir facsímil")</f>
        <v>Abrir facsímil</v>
      </c>
      <c r="K3804" s="3" t="s">
        <v>23</v>
      </c>
    </row>
    <row r="3805" spans="1:11" ht="42" customHeight="1">
      <c r="A3805" s="2" t="s">
        <v>7924</v>
      </c>
      <c r="B3805" s="2" t="s">
        <v>7924</v>
      </c>
      <c r="C3805" s="2" t="s">
        <v>109</v>
      </c>
      <c r="D3805" s="2" t="s">
        <v>74</v>
      </c>
      <c r="E3805" s="5">
        <v>-28118</v>
      </c>
      <c r="F3805" s="3" t="s">
        <v>252</v>
      </c>
      <c r="G3805" s="3" t="s">
        <v>48</v>
      </c>
      <c r="H3805" s="2" t="s">
        <v>21</v>
      </c>
      <c r="I3805" s="2" t="s">
        <v>7925</v>
      </c>
      <c r="J3805" s="3" t="str">
        <f>HYPERLINK("https://www.boe.es/gazeta/dias/1823/01/05/pdfs/GMD-1823-5.pdf#page=3","Abrir facsímil")</f>
        <v>Abrir facsímil</v>
      </c>
      <c r="K3805" s="3" t="s">
        <v>23</v>
      </c>
    </row>
    <row r="3806" spans="1:11" ht="42" customHeight="1">
      <c r="A3806" s="2" t="s">
        <v>7926</v>
      </c>
      <c r="B3806" s="2" t="s">
        <v>7926</v>
      </c>
      <c r="C3806" s="2" t="s">
        <v>109</v>
      </c>
      <c r="D3806" s="2" t="s">
        <v>74</v>
      </c>
      <c r="E3806" s="5">
        <v>-28122</v>
      </c>
      <c r="F3806" s="3" t="s">
        <v>269</v>
      </c>
      <c r="G3806" s="3" t="s">
        <v>39</v>
      </c>
      <c r="H3806" s="2" t="s">
        <v>21</v>
      </c>
      <c r="I3806" s="2" t="s">
        <v>7927</v>
      </c>
      <c r="J3806" s="3" t="str">
        <f>HYPERLINK("https://www.boe.es/gazeta/dias/1823/01/01/pdfs/GMD-1823-1.pdf#page=1","Abrir facsímil")</f>
        <v>Abrir facsímil</v>
      </c>
      <c r="K3806" s="3" t="s">
        <v>23</v>
      </c>
    </row>
    <row r="3807" spans="1:11" ht="42" customHeight="1">
      <c r="A3807" s="2" t="s">
        <v>7926</v>
      </c>
      <c r="B3807" s="2" t="s">
        <v>7926</v>
      </c>
      <c r="C3807" s="2" t="s">
        <v>79</v>
      </c>
      <c r="D3807" s="2" t="s">
        <v>74</v>
      </c>
      <c r="E3807" s="5">
        <v>-28120</v>
      </c>
      <c r="F3807" s="3" t="s">
        <v>2772</v>
      </c>
      <c r="G3807" s="3" t="s">
        <v>27</v>
      </c>
      <c r="H3807" s="2" t="s">
        <v>21</v>
      </c>
      <c r="I3807" s="2" t="s">
        <v>7928</v>
      </c>
      <c r="J3807" s="3" t="str">
        <f>HYPERLINK("https://www.boe.es/gazeta/dias/1823/01/03/pdfs/GMD-1823-3.pdf#page=2","Abrir facsímil")</f>
        <v>Abrir facsímil</v>
      </c>
      <c r="K3807" s="3" t="s">
        <v>23</v>
      </c>
    </row>
    <row r="3808" spans="1:11" ht="42" customHeight="1">
      <c r="A3808" s="2" t="s">
        <v>7926</v>
      </c>
      <c r="B3808" s="2" t="s">
        <v>7926</v>
      </c>
      <c r="C3808" s="2" t="s">
        <v>109</v>
      </c>
      <c r="D3808" s="2" t="s">
        <v>74</v>
      </c>
      <c r="E3808" s="5">
        <v>-28118</v>
      </c>
      <c r="F3808" s="3" t="s">
        <v>252</v>
      </c>
      <c r="G3808" s="3" t="s">
        <v>253</v>
      </c>
      <c r="H3808" s="2" t="s">
        <v>21</v>
      </c>
      <c r="I3808" s="2" t="s">
        <v>7929</v>
      </c>
      <c r="J3808" s="3" t="str">
        <f>HYPERLINK("https://www.boe.es/gazeta/dias/1823/01/05/pdfs/GMD-1823-5.pdf#page=2","Abrir facsímil")</f>
        <v>Abrir facsímil</v>
      </c>
      <c r="K3808" s="3" t="s">
        <v>23</v>
      </c>
    </row>
    <row r="3809" spans="1:11" ht="42" customHeight="1">
      <c r="A3809" s="2" t="s">
        <v>7926</v>
      </c>
      <c r="B3809" s="2" t="s">
        <v>7926</v>
      </c>
      <c r="C3809" s="2" t="s">
        <v>79</v>
      </c>
      <c r="D3809" s="2" t="s">
        <v>74</v>
      </c>
      <c r="E3809" s="5">
        <v>-28117</v>
      </c>
      <c r="F3809" s="3" t="s">
        <v>271</v>
      </c>
      <c r="G3809" s="3" t="s">
        <v>20</v>
      </c>
      <c r="H3809" s="2" t="s">
        <v>21</v>
      </c>
      <c r="I3809" s="2" t="s">
        <v>7930</v>
      </c>
      <c r="J3809" s="3" t="str">
        <f>HYPERLINK("https://www.boe.es/gazeta/dias/1823/01/06/pdfs/GMD-1823-6.pdf#page=4","Abrir facsímil")</f>
        <v>Abrir facsímil</v>
      </c>
      <c r="K3809" s="3" t="s">
        <v>23</v>
      </c>
    </row>
    <row r="3810" spans="1:11" ht="42" customHeight="1">
      <c r="A3810" s="2" t="s">
        <v>7926</v>
      </c>
      <c r="B3810" s="2" t="s">
        <v>7926</v>
      </c>
      <c r="C3810" s="2" t="s">
        <v>109</v>
      </c>
      <c r="D3810" s="2" t="s">
        <v>74</v>
      </c>
      <c r="E3810" s="5">
        <v>-28113</v>
      </c>
      <c r="F3810" s="3" t="s">
        <v>2088</v>
      </c>
      <c r="G3810" s="3" t="s">
        <v>27</v>
      </c>
      <c r="H3810" s="2" t="s">
        <v>21</v>
      </c>
      <c r="I3810" s="2" t="s">
        <v>7931</v>
      </c>
      <c r="J3810" s="3" t="str">
        <f>HYPERLINK("https://www.boe.es/gazeta/dias/1823/01/10/pdfs/GMD-1823-10.pdf#page=2","Abrir facsímil")</f>
        <v>Abrir facsímil</v>
      </c>
      <c r="K3810" s="3" t="s">
        <v>23</v>
      </c>
    </row>
    <row r="3811" spans="1:11" ht="42" customHeight="1">
      <c r="A3811" s="2" t="s">
        <v>7926</v>
      </c>
      <c r="B3811" s="2" t="s">
        <v>7926</v>
      </c>
      <c r="C3811" s="2" t="s">
        <v>56</v>
      </c>
      <c r="D3811" s="2" t="s">
        <v>57</v>
      </c>
      <c r="E3811" s="5">
        <v>-28113</v>
      </c>
      <c r="F3811" s="3" t="s">
        <v>2088</v>
      </c>
      <c r="G3811" s="3" t="s">
        <v>48</v>
      </c>
      <c r="H3811" s="2" t="s">
        <v>21</v>
      </c>
      <c r="I3811" s="2" t="s">
        <v>7932</v>
      </c>
      <c r="J3811" s="3" t="str">
        <f>HYPERLINK("https://www.boe.es/gazeta/dias/1823/01/10/pdfs/GMD-1823-10.pdf#page=3","Abrir facsímil")</f>
        <v>Abrir facsímil</v>
      </c>
      <c r="K3811" s="3" t="s">
        <v>23</v>
      </c>
    </row>
    <row r="3812" spans="1:11" ht="42" customHeight="1">
      <c r="A3812" s="2" t="s">
        <v>7926</v>
      </c>
      <c r="B3812" s="2" t="s">
        <v>7926</v>
      </c>
      <c r="C3812" s="2" t="s">
        <v>109</v>
      </c>
      <c r="D3812" s="2" t="s">
        <v>74</v>
      </c>
      <c r="E3812" s="5">
        <v>-28094</v>
      </c>
      <c r="F3812" s="3" t="s">
        <v>93</v>
      </c>
      <c r="G3812" s="3" t="s">
        <v>27</v>
      </c>
      <c r="H3812" s="2" t="s">
        <v>21</v>
      </c>
      <c r="I3812" s="2" t="s">
        <v>7933</v>
      </c>
      <c r="J3812" s="3" t="str">
        <f>HYPERLINK("https://www.boe.es/gazeta/dias/1823/01/29/pdfs/GMD-1823-30.pdf#page=2","Abrir facsímil")</f>
        <v>Abrir facsímil</v>
      </c>
      <c r="K3812" s="3" t="s">
        <v>23</v>
      </c>
    </row>
    <row r="3813" spans="1:11" ht="42" customHeight="1">
      <c r="A3813" s="2" t="s">
        <v>7926</v>
      </c>
      <c r="B3813" s="2" t="s">
        <v>7926</v>
      </c>
      <c r="C3813" s="2" t="s">
        <v>79</v>
      </c>
      <c r="D3813" s="2" t="s">
        <v>74</v>
      </c>
      <c r="E3813" s="5">
        <v>-28093</v>
      </c>
      <c r="F3813" s="3" t="s">
        <v>1044</v>
      </c>
      <c r="G3813" s="3" t="s">
        <v>48</v>
      </c>
      <c r="H3813" s="2" t="s">
        <v>21</v>
      </c>
      <c r="I3813" s="2" t="s">
        <v>7934</v>
      </c>
      <c r="J3813" s="3" t="str">
        <f>HYPERLINK("https://www.boe.es/gazeta/dias/1823/01/30/pdfs/GMD-1823-31.pdf#page=3","Abrir facsímil")</f>
        <v>Abrir facsímil</v>
      </c>
      <c r="K3813" s="3" t="s">
        <v>23</v>
      </c>
    </row>
    <row r="3814" spans="1:11" ht="42" customHeight="1">
      <c r="A3814" s="2" t="s">
        <v>7926</v>
      </c>
      <c r="B3814" s="2" t="s">
        <v>7926</v>
      </c>
      <c r="C3814" s="2" t="s">
        <v>56</v>
      </c>
      <c r="D3814" s="2" t="s">
        <v>57</v>
      </c>
      <c r="E3814" s="5">
        <v>-28092</v>
      </c>
      <c r="F3814" s="3" t="s">
        <v>105</v>
      </c>
      <c r="G3814" s="3" t="s">
        <v>27</v>
      </c>
      <c r="H3814" s="2" t="s">
        <v>21</v>
      </c>
      <c r="I3814" s="2" t="s">
        <v>7935</v>
      </c>
      <c r="J3814" s="3" t="str">
        <f>HYPERLINK("https://www.boe.es/gazeta/dias/1823/01/31/pdfs/GMD-1823-32.pdf#page=2","Abrir facsímil")</f>
        <v>Abrir facsímil</v>
      </c>
      <c r="K3814" s="3" t="s">
        <v>23</v>
      </c>
    </row>
    <row r="3815" spans="1:11" ht="42" customHeight="1">
      <c r="A3815" s="2" t="s">
        <v>7926</v>
      </c>
      <c r="B3815" s="2" t="s">
        <v>7926</v>
      </c>
      <c r="C3815" s="2" t="s">
        <v>17</v>
      </c>
      <c r="D3815" s="2" t="s">
        <v>18</v>
      </c>
      <c r="E3815" s="5">
        <v>-28091</v>
      </c>
      <c r="F3815" s="3" t="s">
        <v>1047</v>
      </c>
      <c r="G3815" s="3" t="s">
        <v>34</v>
      </c>
      <c r="H3815" s="2" t="s">
        <v>21</v>
      </c>
      <c r="I3815" s="2" t="s">
        <v>7936</v>
      </c>
      <c r="J3815" s="3" t="str">
        <f>HYPERLINK("https://www.boe.es/gazeta/dias/1823/02/01/pdfs/GMD-1823-34.pdf#page=5","Abrir facsímil")</f>
        <v>Abrir facsímil</v>
      </c>
      <c r="K3815" s="3" t="s">
        <v>23</v>
      </c>
    </row>
    <row r="3816" spans="1:11" ht="42" customHeight="1">
      <c r="A3816" s="2" t="s">
        <v>7926</v>
      </c>
      <c r="B3816" s="2" t="s">
        <v>7926</v>
      </c>
      <c r="C3816" s="2" t="s">
        <v>109</v>
      </c>
      <c r="D3816" s="2" t="s">
        <v>74</v>
      </c>
      <c r="E3816" s="5">
        <v>-28090</v>
      </c>
      <c r="F3816" s="3" t="s">
        <v>174</v>
      </c>
      <c r="G3816" s="3" t="s">
        <v>1103</v>
      </c>
      <c r="H3816" s="2" t="s">
        <v>21</v>
      </c>
      <c r="I3816" s="2" t="s">
        <v>7937</v>
      </c>
      <c r="J3816" s="3" t="str">
        <f>HYPERLINK("https://www.boe.es/gazeta/dias/1823/02/02/pdfs/GMD-1823-35.pdf#page=2","Abrir facsímil")</f>
        <v>Abrir facsímil</v>
      </c>
      <c r="K3816" s="3" t="s">
        <v>23</v>
      </c>
    </row>
    <row r="3817" spans="1:11" ht="42" customHeight="1">
      <c r="A3817" s="2" t="s">
        <v>7926</v>
      </c>
      <c r="B3817" s="2" t="s">
        <v>7926</v>
      </c>
      <c r="C3817" s="2" t="s">
        <v>73</v>
      </c>
      <c r="D3817" s="2" t="s">
        <v>74</v>
      </c>
      <c r="E3817" s="5">
        <v>-28089</v>
      </c>
      <c r="F3817" s="3" t="s">
        <v>1979</v>
      </c>
      <c r="G3817" s="3" t="s">
        <v>20</v>
      </c>
      <c r="H3817" s="2" t="s">
        <v>21</v>
      </c>
      <c r="I3817" s="2" t="s">
        <v>7938</v>
      </c>
      <c r="J3817" s="3" t="str">
        <f>HYPERLINK("https://www.boe.es/gazeta/dias/1823/02/03/pdfs/GMD-1823-36.pdf#page=4","Abrir facsímil")</f>
        <v>Abrir facsímil</v>
      </c>
      <c r="K3817" s="3" t="s">
        <v>23</v>
      </c>
    </row>
    <row r="3818" spans="1:11" ht="42" customHeight="1">
      <c r="A3818" s="2" t="s">
        <v>7926</v>
      </c>
      <c r="B3818" s="2" t="s">
        <v>7926</v>
      </c>
      <c r="C3818" s="2" t="s">
        <v>17</v>
      </c>
      <c r="D3818" s="2" t="s">
        <v>18</v>
      </c>
      <c r="E3818" s="5">
        <v>-28088</v>
      </c>
      <c r="F3818" s="3" t="s">
        <v>542</v>
      </c>
      <c r="G3818" s="3" t="s">
        <v>27</v>
      </c>
      <c r="H3818" s="2" t="s">
        <v>21</v>
      </c>
      <c r="I3818" s="2" t="s">
        <v>7939</v>
      </c>
      <c r="J3818" s="3" t="str">
        <f>HYPERLINK("https://www.boe.es/gazeta/dias/1823/02/04/pdfs/GMD-1823-37.pdf#page=2","Abrir facsímil")</f>
        <v>Abrir facsímil</v>
      </c>
      <c r="K3818" s="3" t="s">
        <v>23</v>
      </c>
    </row>
    <row r="3819" spans="1:11" ht="42" customHeight="1">
      <c r="A3819" s="2" t="s">
        <v>7926</v>
      </c>
      <c r="B3819" s="2" t="s">
        <v>7926</v>
      </c>
      <c r="C3819" s="2" t="s">
        <v>79</v>
      </c>
      <c r="D3819" s="2" t="s">
        <v>74</v>
      </c>
      <c r="E3819" s="5">
        <v>-28084</v>
      </c>
      <c r="F3819" s="3" t="s">
        <v>1049</v>
      </c>
      <c r="G3819" s="3" t="s">
        <v>3129</v>
      </c>
      <c r="H3819" s="2" t="s">
        <v>21</v>
      </c>
      <c r="I3819" s="2" t="s">
        <v>7940</v>
      </c>
      <c r="J3819" s="3" t="str">
        <f>HYPERLINK("https://www.boe.es/gazeta/dias/1823/02/08/pdfs/GMD-1823-41.pdf#page=2","Abrir facsímil")</f>
        <v>Abrir facsímil</v>
      </c>
      <c r="K3819" s="3" t="s">
        <v>23</v>
      </c>
    </row>
    <row r="3820" spans="1:11" ht="42" customHeight="1">
      <c r="A3820" s="2" t="s">
        <v>7926</v>
      </c>
      <c r="B3820" s="2" t="s">
        <v>7926</v>
      </c>
      <c r="C3820" s="2" t="s">
        <v>17</v>
      </c>
      <c r="D3820" s="2" t="s">
        <v>18</v>
      </c>
      <c r="E3820" s="5">
        <v>-28081</v>
      </c>
      <c r="F3820" s="3" t="s">
        <v>170</v>
      </c>
      <c r="G3820" s="3" t="s">
        <v>48</v>
      </c>
      <c r="H3820" s="2" t="s">
        <v>21</v>
      </c>
      <c r="I3820" s="2" t="s">
        <v>7941</v>
      </c>
      <c r="J3820" s="3" t="str">
        <f>HYPERLINK("https://www.boe.es/gazeta/dias/1823/02/11/pdfs/GMD-1823-45.pdf#page=3","Abrir facsímil")</f>
        <v>Abrir facsímil</v>
      </c>
      <c r="K3820" s="3" t="s">
        <v>23</v>
      </c>
    </row>
    <row r="3821" spans="1:11" ht="42" customHeight="1">
      <c r="A3821" s="2" t="s">
        <v>7926</v>
      </c>
      <c r="B3821" s="2" t="s">
        <v>7926</v>
      </c>
      <c r="C3821" s="2" t="s">
        <v>109</v>
      </c>
      <c r="D3821" s="2" t="s">
        <v>74</v>
      </c>
      <c r="E3821" s="5">
        <v>-28079</v>
      </c>
      <c r="F3821" s="3" t="s">
        <v>178</v>
      </c>
      <c r="G3821" s="3" t="s">
        <v>27</v>
      </c>
      <c r="H3821" s="2" t="s">
        <v>21</v>
      </c>
      <c r="I3821" s="2" t="s">
        <v>7942</v>
      </c>
      <c r="J3821" s="3" t="str">
        <f>HYPERLINK("https://www.boe.es/gazeta/dias/1823/02/13/pdfs/GMD-1823-47.pdf#page=2","Abrir facsímil")</f>
        <v>Abrir facsímil</v>
      </c>
      <c r="K3821" s="3" t="s">
        <v>23</v>
      </c>
    </row>
    <row r="3822" spans="1:11" ht="42" customHeight="1">
      <c r="A3822" s="2" t="s">
        <v>7926</v>
      </c>
      <c r="B3822" s="2" t="s">
        <v>7926</v>
      </c>
      <c r="C3822" s="2" t="s">
        <v>56</v>
      </c>
      <c r="D3822" s="2" t="s">
        <v>57</v>
      </c>
      <c r="E3822" s="5">
        <v>-28073</v>
      </c>
      <c r="F3822" s="3" t="s">
        <v>204</v>
      </c>
      <c r="G3822" s="3" t="s">
        <v>27</v>
      </c>
      <c r="H3822" s="2" t="s">
        <v>21</v>
      </c>
      <c r="I3822" s="2" t="s">
        <v>7943</v>
      </c>
      <c r="J3822" s="3" t="str">
        <f>HYPERLINK("https://www.boe.es/gazeta/dias/1823/02/19/pdfs/GMD-1823-53.pdf#page=2","Abrir facsímil")</f>
        <v>Abrir facsímil</v>
      </c>
      <c r="K3822" s="3" t="s">
        <v>23</v>
      </c>
    </row>
    <row r="3823" spans="1:11" ht="42" customHeight="1">
      <c r="A3823" s="2" t="s">
        <v>7926</v>
      </c>
      <c r="B3823" s="2" t="s">
        <v>7926</v>
      </c>
      <c r="C3823" s="2" t="s">
        <v>109</v>
      </c>
      <c r="D3823" s="2" t="s">
        <v>74</v>
      </c>
      <c r="E3823" s="5">
        <v>-28066</v>
      </c>
      <c r="F3823" s="3" t="s">
        <v>19</v>
      </c>
      <c r="G3823" s="3" t="s">
        <v>48</v>
      </c>
      <c r="H3823" s="2" t="s">
        <v>21</v>
      </c>
      <c r="I3823" s="2" t="s">
        <v>7944</v>
      </c>
      <c r="J3823" s="3" t="str">
        <f>HYPERLINK("https://www.boe.es/gazeta/dias/1823/02/26/pdfs/GMD-1823-60.pdf#page=3","Abrir facsímil")</f>
        <v>Abrir facsímil</v>
      </c>
      <c r="K3823" s="3" t="s">
        <v>23</v>
      </c>
    </row>
    <row r="3824" spans="1:11" ht="42" customHeight="1">
      <c r="A3824" s="2" t="s">
        <v>7926</v>
      </c>
      <c r="B3824" s="2" t="s">
        <v>7926</v>
      </c>
      <c r="C3824" s="2" t="s">
        <v>79</v>
      </c>
      <c r="D3824" s="2" t="s">
        <v>74</v>
      </c>
      <c r="E3824" s="5">
        <v>-28056</v>
      </c>
      <c r="F3824" s="3" t="s">
        <v>572</v>
      </c>
      <c r="G3824" s="3" t="s">
        <v>34</v>
      </c>
      <c r="H3824" s="2" t="s">
        <v>21</v>
      </c>
      <c r="I3824" s="2" t="s">
        <v>7945</v>
      </c>
      <c r="J3824" s="3" t="str">
        <f>HYPERLINK("https://www.boe.es/gazeta/dias/1823/03/08/pdfs/GMD-1823-71.pdf#page=5","Abrir facsímil")</f>
        <v>Abrir facsímil</v>
      </c>
      <c r="K3824" s="3" t="s">
        <v>23</v>
      </c>
    </row>
    <row r="3825" spans="1:11" ht="42" customHeight="1">
      <c r="A3825" s="2" t="s">
        <v>7926</v>
      </c>
      <c r="B3825" s="2" t="s">
        <v>7926</v>
      </c>
      <c r="C3825" s="2" t="s">
        <v>56</v>
      </c>
      <c r="D3825" s="2" t="s">
        <v>57</v>
      </c>
      <c r="E3825" s="5">
        <v>-28054</v>
      </c>
      <c r="F3825" s="3" t="s">
        <v>1292</v>
      </c>
      <c r="G3825" s="3" t="s">
        <v>27</v>
      </c>
      <c r="H3825" s="2" t="s">
        <v>21</v>
      </c>
      <c r="I3825" s="2" t="s">
        <v>7946</v>
      </c>
      <c r="J3825" s="3" t="str">
        <f>HYPERLINK("https://www.boe.es/gazeta/dias/1823/03/10/pdfs/GMD-1823-73.pdf#page=2","Abrir facsímil")</f>
        <v>Abrir facsímil</v>
      </c>
      <c r="K3825" s="3" t="s">
        <v>23</v>
      </c>
    </row>
    <row r="3826" spans="1:11" ht="42" customHeight="1">
      <c r="A3826" s="2" t="s">
        <v>7926</v>
      </c>
      <c r="B3826" s="2" t="s">
        <v>7926</v>
      </c>
      <c r="C3826" s="2" t="s">
        <v>109</v>
      </c>
      <c r="D3826" s="2" t="s">
        <v>74</v>
      </c>
      <c r="E3826" s="5">
        <v>-28053</v>
      </c>
      <c r="F3826" s="3" t="s">
        <v>303</v>
      </c>
      <c r="G3826" s="3" t="s">
        <v>27</v>
      </c>
      <c r="H3826" s="2" t="s">
        <v>21</v>
      </c>
      <c r="I3826" s="2" t="s">
        <v>7947</v>
      </c>
      <c r="J3826" s="3" t="str">
        <f>HYPERLINK("https://www.boe.es/gazeta/dias/1823/03/11/pdfs/GMD-1823-74.pdf#page=2","Abrir facsímil")</f>
        <v>Abrir facsímil</v>
      </c>
      <c r="K3826" s="3" t="s">
        <v>23</v>
      </c>
    </row>
    <row r="3827" spans="1:11" ht="42" customHeight="1">
      <c r="A3827" s="2" t="s">
        <v>7926</v>
      </c>
      <c r="B3827" s="2" t="s">
        <v>7926</v>
      </c>
      <c r="C3827" s="2" t="s">
        <v>79</v>
      </c>
      <c r="D3827" s="2" t="s">
        <v>74</v>
      </c>
      <c r="E3827" s="5">
        <v>-27994</v>
      </c>
      <c r="F3827" s="3" t="s">
        <v>714</v>
      </c>
      <c r="G3827" s="3" t="s">
        <v>20</v>
      </c>
      <c r="H3827" s="2" t="s">
        <v>21</v>
      </c>
      <c r="I3827" s="2" t="s">
        <v>7948</v>
      </c>
      <c r="J3827" s="3" t="str">
        <f>HYPERLINK("https://www.boe.es/gazeta/dias/1823/05/09/pdfs/GES-1823-29.pdf#page=4","Abrir facsímil")</f>
        <v>Abrir facsímil</v>
      </c>
      <c r="K3827" s="3" t="s">
        <v>23</v>
      </c>
    </row>
    <row r="3828" spans="1:11" ht="42" customHeight="1">
      <c r="A3828" s="2" t="s">
        <v>7926</v>
      </c>
      <c r="B3828" s="2" t="s">
        <v>7926</v>
      </c>
      <c r="C3828" s="2" t="s">
        <v>109</v>
      </c>
      <c r="D3828" s="2" t="s">
        <v>74</v>
      </c>
      <c r="E3828" s="5">
        <v>-27991</v>
      </c>
      <c r="F3828" s="3" t="s">
        <v>328</v>
      </c>
      <c r="G3828" s="3" t="s">
        <v>48</v>
      </c>
      <c r="H3828" s="2" t="s">
        <v>21</v>
      </c>
      <c r="I3828" s="2" t="s">
        <v>7949</v>
      </c>
      <c r="J3828" s="3" t="str">
        <f>HYPERLINK("https://www.boe.es/gazeta/dias/1823/05/12/pdfs/GES-1823-32.pdf#page=3","Abrir facsímil")</f>
        <v>Abrir facsímil</v>
      </c>
      <c r="K3828" s="3" t="s">
        <v>23</v>
      </c>
    </row>
    <row r="3829" spans="1:11" ht="42" customHeight="1">
      <c r="A3829" s="2" t="s">
        <v>7926</v>
      </c>
      <c r="B3829" s="2" t="s">
        <v>7926</v>
      </c>
      <c r="C3829" s="2" t="s">
        <v>73</v>
      </c>
      <c r="D3829" s="2" t="s">
        <v>74</v>
      </c>
      <c r="E3829" s="5">
        <v>-27991</v>
      </c>
      <c r="F3829" s="3" t="s">
        <v>328</v>
      </c>
      <c r="G3829" s="3" t="s">
        <v>20</v>
      </c>
      <c r="H3829" s="2" t="s">
        <v>21</v>
      </c>
      <c r="I3829" s="2" t="s">
        <v>7950</v>
      </c>
      <c r="J3829" s="3" t="str">
        <f>HYPERLINK("https://www.boe.es/gazeta/dias/1823/05/12/pdfs/GES-1823-32.pdf#page=4","Abrir facsímil")</f>
        <v>Abrir facsímil</v>
      </c>
      <c r="K3829" s="3" t="s">
        <v>23</v>
      </c>
    </row>
    <row r="3830" spans="1:11" ht="42" customHeight="1">
      <c r="A3830" s="2" t="s">
        <v>7926</v>
      </c>
      <c r="B3830" s="2" t="s">
        <v>7926</v>
      </c>
      <c r="C3830" s="2" t="s">
        <v>84</v>
      </c>
      <c r="D3830" s="2" t="s">
        <v>74</v>
      </c>
      <c r="E3830" s="5">
        <v>-27990</v>
      </c>
      <c r="F3830" s="3" t="s">
        <v>1132</v>
      </c>
      <c r="G3830" s="3" t="s">
        <v>48</v>
      </c>
      <c r="H3830" s="2" t="s">
        <v>21</v>
      </c>
      <c r="I3830" s="2" t="s">
        <v>7951</v>
      </c>
      <c r="J3830" s="3" t="str">
        <f>HYPERLINK("https://www.boe.es/gazeta/dias/1823/05/13/pdfs/GES-1823-33.pdf#page=3","Abrir facsímil")</f>
        <v>Abrir facsímil</v>
      </c>
      <c r="K3830" s="3" t="s">
        <v>23</v>
      </c>
    </row>
    <row r="3831" spans="1:11" ht="42" customHeight="1">
      <c r="A3831" s="2" t="s">
        <v>7926</v>
      </c>
      <c r="B3831" s="2" t="s">
        <v>7926</v>
      </c>
      <c r="C3831" s="2" t="s">
        <v>17</v>
      </c>
      <c r="D3831" s="2" t="s">
        <v>18</v>
      </c>
      <c r="E3831" s="5">
        <v>-27990</v>
      </c>
      <c r="F3831" s="3" t="s">
        <v>1132</v>
      </c>
      <c r="G3831" s="3" t="s">
        <v>20</v>
      </c>
      <c r="H3831" s="2" t="s">
        <v>21</v>
      </c>
      <c r="I3831" s="2" t="s">
        <v>7952</v>
      </c>
      <c r="J3831" s="3" t="str">
        <f>HYPERLINK("https://www.boe.es/gazeta/dias/1823/05/13/pdfs/GES-1823-33.pdf#page=4","Abrir facsímil")</f>
        <v>Abrir facsímil</v>
      </c>
      <c r="K3831" s="3" t="s">
        <v>23</v>
      </c>
    </row>
    <row r="3832" spans="1:11" ht="42" customHeight="1">
      <c r="A3832" s="2" t="s">
        <v>7926</v>
      </c>
      <c r="B3832" s="2" t="s">
        <v>7926</v>
      </c>
      <c r="C3832" s="2" t="s">
        <v>56</v>
      </c>
      <c r="D3832" s="2" t="s">
        <v>57</v>
      </c>
      <c r="E3832" s="5">
        <v>-27987</v>
      </c>
      <c r="F3832" s="3" t="s">
        <v>332</v>
      </c>
      <c r="G3832" s="3" t="s">
        <v>333</v>
      </c>
      <c r="H3832" s="2" t="s">
        <v>21</v>
      </c>
      <c r="I3832" s="2" t="s">
        <v>7953</v>
      </c>
      <c r="J3832" s="3" t="str">
        <f>HYPERLINK("https://www.boe.es/gazeta/dias/1823/05/16/pdfs/GES-1823-36.pdf#page=2","Abrir facsímil")</f>
        <v>Abrir facsímil</v>
      </c>
      <c r="K3832" s="3" t="s">
        <v>23</v>
      </c>
    </row>
    <row r="3833" spans="1:11" ht="42" customHeight="1">
      <c r="A3833" s="2" t="s">
        <v>7926</v>
      </c>
      <c r="B3833" s="2" t="s">
        <v>7926</v>
      </c>
      <c r="C3833" s="2" t="s">
        <v>109</v>
      </c>
      <c r="D3833" s="2" t="s">
        <v>74</v>
      </c>
      <c r="E3833" s="5">
        <v>-27986</v>
      </c>
      <c r="F3833" s="3" t="s">
        <v>75</v>
      </c>
      <c r="G3833" s="3" t="s">
        <v>20</v>
      </c>
      <c r="H3833" s="2" t="s">
        <v>21</v>
      </c>
      <c r="I3833" s="2" t="s">
        <v>7954</v>
      </c>
      <c r="J3833" s="3" t="str">
        <f>HYPERLINK("https://www.boe.es/gazeta/dias/1823/05/17/pdfs/GES-1823-37.pdf#page=4","Abrir facsímil")</f>
        <v>Abrir facsímil</v>
      </c>
      <c r="K3833" s="3" t="s">
        <v>23</v>
      </c>
    </row>
    <row r="3834" spans="1:11" ht="42" customHeight="1">
      <c r="A3834" s="2" t="s">
        <v>7926</v>
      </c>
      <c r="B3834" s="2" t="s">
        <v>7926</v>
      </c>
      <c r="C3834" s="2" t="s">
        <v>109</v>
      </c>
      <c r="D3834" s="2" t="s">
        <v>74</v>
      </c>
      <c r="E3834" s="5">
        <v>-27983</v>
      </c>
      <c r="F3834" s="3" t="s">
        <v>337</v>
      </c>
      <c r="G3834" s="3" t="s">
        <v>48</v>
      </c>
      <c r="H3834" s="2" t="s">
        <v>21</v>
      </c>
      <c r="I3834" s="2" t="s">
        <v>7955</v>
      </c>
      <c r="J3834" s="3" t="str">
        <f>HYPERLINK("https://www.boe.es/gazeta/dias/1823/05/20/pdfs/GES-1823-40.pdf#page=3","Abrir facsímil")</f>
        <v>Abrir facsímil</v>
      </c>
      <c r="K3834" s="3" t="s">
        <v>23</v>
      </c>
    </row>
    <row r="3835" spans="1:11" ht="42" customHeight="1">
      <c r="A3835" s="2" t="s">
        <v>7926</v>
      </c>
      <c r="B3835" s="2" t="s">
        <v>7926</v>
      </c>
      <c r="C3835" s="2" t="s">
        <v>79</v>
      </c>
      <c r="D3835" s="2" t="s">
        <v>74</v>
      </c>
      <c r="E3835" s="5">
        <v>-27983</v>
      </c>
      <c r="F3835" s="3" t="s">
        <v>337</v>
      </c>
      <c r="G3835" s="3" t="s">
        <v>20</v>
      </c>
      <c r="H3835" s="2" t="s">
        <v>21</v>
      </c>
      <c r="I3835" s="2" t="s">
        <v>7956</v>
      </c>
      <c r="J3835" s="3" t="str">
        <f>HYPERLINK("https://www.boe.es/gazeta/dias/1823/05/20/pdfs/GES-1823-40.pdf#page=4","Abrir facsímil")</f>
        <v>Abrir facsímil</v>
      </c>
      <c r="K3835" s="3" t="s">
        <v>23</v>
      </c>
    </row>
    <row r="3836" spans="1:11" ht="42" customHeight="1">
      <c r="A3836" s="2" t="s">
        <v>7926</v>
      </c>
      <c r="B3836" s="2" t="s">
        <v>7926</v>
      </c>
      <c r="C3836" s="2" t="s">
        <v>79</v>
      </c>
      <c r="D3836" s="2" t="s">
        <v>74</v>
      </c>
      <c r="E3836" s="5">
        <v>-27982</v>
      </c>
      <c r="F3836" s="3" t="s">
        <v>340</v>
      </c>
      <c r="G3836" s="3" t="s">
        <v>48</v>
      </c>
      <c r="H3836" s="2" t="s">
        <v>21</v>
      </c>
      <c r="I3836" s="2" t="s">
        <v>7957</v>
      </c>
      <c r="J3836" s="3" t="str">
        <f>HYPERLINK("https://www.boe.es/gazeta/dias/1823/05/21/pdfs/GES-1823-42.pdf#page=3","Abrir facsímil")</f>
        <v>Abrir facsímil</v>
      </c>
      <c r="K3836" s="3" t="s">
        <v>23</v>
      </c>
    </row>
    <row r="3837" spans="1:11" ht="42" customHeight="1">
      <c r="A3837" s="2" t="s">
        <v>7926</v>
      </c>
      <c r="B3837" s="2" t="s">
        <v>7926</v>
      </c>
      <c r="C3837" s="2" t="s">
        <v>56</v>
      </c>
      <c r="D3837" s="2" t="s">
        <v>57</v>
      </c>
      <c r="E3837" s="5">
        <v>-27982</v>
      </c>
      <c r="F3837" s="3" t="s">
        <v>340</v>
      </c>
      <c r="G3837" s="3" t="s">
        <v>20</v>
      </c>
      <c r="H3837" s="2" t="s">
        <v>21</v>
      </c>
      <c r="I3837" s="2" t="s">
        <v>7958</v>
      </c>
      <c r="J3837" s="3" t="str">
        <f>HYPERLINK("https://www.boe.es/gazeta/dias/1823/05/21/pdfs/GES-1823-42.pdf#page=4","Abrir facsímil")</f>
        <v>Abrir facsímil</v>
      </c>
      <c r="K3837" s="3" t="s">
        <v>23</v>
      </c>
    </row>
    <row r="3838" spans="1:11" ht="42" customHeight="1">
      <c r="A3838" s="2" t="s">
        <v>7926</v>
      </c>
      <c r="B3838" s="2" t="s">
        <v>7926</v>
      </c>
      <c r="C3838" s="2" t="s">
        <v>109</v>
      </c>
      <c r="D3838" s="2" t="s">
        <v>74</v>
      </c>
      <c r="E3838" s="5">
        <v>-27980</v>
      </c>
      <c r="F3838" s="3" t="s">
        <v>1068</v>
      </c>
      <c r="G3838" s="3" t="s">
        <v>34</v>
      </c>
      <c r="H3838" s="2" t="s">
        <v>21</v>
      </c>
      <c r="I3838" s="2" t="s">
        <v>7959</v>
      </c>
      <c r="J3838" s="3" t="str">
        <f>HYPERLINK("https://www.boe.es/gazeta/dias/1823/05/23/pdfs/GES-1823-44.pdf#page=5","Abrir facsímil")</f>
        <v>Abrir facsímil</v>
      </c>
      <c r="K3838" s="3" t="s">
        <v>23</v>
      </c>
    </row>
    <row r="3839" spans="1:11" ht="42" customHeight="1">
      <c r="A3839" s="2" t="s">
        <v>7926</v>
      </c>
      <c r="B3839" s="2" t="s">
        <v>7926</v>
      </c>
      <c r="C3839" s="2" t="s">
        <v>109</v>
      </c>
      <c r="D3839" s="2" t="s">
        <v>74</v>
      </c>
      <c r="E3839" s="5">
        <v>-27979</v>
      </c>
      <c r="F3839" s="3" t="s">
        <v>1071</v>
      </c>
      <c r="G3839" s="3" t="s">
        <v>27</v>
      </c>
      <c r="H3839" s="2" t="s">
        <v>21</v>
      </c>
      <c r="I3839" s="2" t="s">
        <v>7960</v>
      </c>
      <c r="J3839" s="3" t="str">
        <f>HYPERLINK("https://www.boe.es/gazeta/dias/1823/05/24/pdfs/GES-1823-45.pdf#page=2","Abrir facsímil")</f>
        <v>Abrir facsímil</v>
      </c>
      <c r="K3839" s="3" t="s">
        <v>23</v>
      </c>
    </row>
    <row r="3840" spans="1:11" ht="42" customHeight="1">
      <c r="A3840" s="2" t="s">
        <v>7926</v>
      </c>
      <c r="B3840" s="2" t="s">
        <v>7926</v>
      </c>
      <c r="C3840" s="2" t="s">
        <v>17</v>
      </c>
      <c r="D3840" s="2" t="s">
        <v>18</v>
      </c>
      <c r="E3840" s="5">
        <v>-27978</v>
      </c>
      <c r="F3840" s="3" t="s">
        <v>342</v>
      </c>
      <c r="G3840" s="3" t="s">
        <v>27</v>
      </c>
      <c r="H3840" s="2" t="s">
        <v>21</v>
      </c>
      <c r="I3840" s="2" t="s">
        <v>7961</v>
      </c>
      <c r="J3840" s="3" t="str">
        <f>HYPERLINK("https://www.boe.es/gazeta/dias/1823/05/25/pdfs/GES-1823-46.pdf#page=2","Abrir facsímil")</f>
        <v>Abrir facsímil</v>
      </c>
      <c r="K3840" s="3" t="s">
        <v>23</v>
      </c>
    </row>
    <row r="3841" spans="1:11" ht="42" customHeight="1">
      <c r="A3841" s="2" t="s">
        <v>7926</v>
      </c>
      <c r="B3841" s="2" t="s">
        <v>7926</v>
      </c>
      <c r="C3841" s="2" t="s">
        <v>17</v>
      </c>
      <c r="D3841" s="2" t="s">
        <v>18</v>
      </c>
      <c r="E3841" s="5">
        <v>-27970</v>
      </c>
      <c r="F3841" s="3" t="s">
        <v>1030</v>
      </c>
      <c r="G3841" s="3" t="s">
        <v>48</v>
      </c>
      <c r="H3841" s="2" t="s">
        <v>21</v>
      </c>
      <c r="I3841" s="2" t="s">
        <v>7962</v>
      </c>
      <c r="J3841" s="3" t="str">
        <f>HYPERLINK("https://www.boe.es/gazeta/dias/1823/06/02/pdfs/GES-1823-56.pdf#page=3","Abrir facsímil")</f>
        <v>Abrir facsímil</v>
      </c>
      <c r="K3841" s="3" t="s">
        <v>23</v>
      </c>
    </row>
    <row r="3842" spans="1:11" ht="42" customHeight="1">
      <c r="A3842" s="2" t="s">
        <v>7926</v>
      </c>
      <c r="B3842" s="2" t="s">
        <v>7926</v>
      </c>
      <c r="C3842" s="2" t="s">
        <v>79</v>
      </c>
      <c r="D3842" s="2" t="s">
        <v>74</v>
      </c>
      <c r="E3842" s="5">
        <v>-27968</v>
      </c>
      <c r="F3842" s="3" t="s">
        <v>1160</v>
      </c>
      <c r="G3842" s="3" t="s">
        <v>39</v>
      </c>
      <c r="H3842" s="2" t="s">
        <v>21</v>
      </c>
      <c r="I3842" s="2" t="s">
        <v>7963</v>
      </c>
      <c r="J3842" s="3" t="str">
        <f>HYPERLINK("https://www.boe.es/gazeta/dias/1823/06/04/pdfs/GES-1823-58.pdf#page=1","Abrir facsímil")</f>
        <v>Abrir facsímil</v>
      </c>
      <c r="K3842" s="3" t="s">
        <v>23</v>
      </c>
    </row>
    <row r="3843" spans="1:11" ht="42" customHeight="1">
      <c r="A3843" s="2" t="s">
        <v>7964</v>
      </c>
      <c r="B3843" s="2" t="s">
        <v>7964</v>
      </c>
      <c r="C3843" s="2" t="s">
        <v>79</v>
      </c>
      <c r="D3843" s="2" t="s">
        <v>74</v>
      </c>
      <c r="E3843" s="5">
        <v>-27968</v>
      </c>
      <c r="F3843" s="3" t="s">
        <v>1160</v>
      </c>
      <c r="G3843" s="3" t="s">
        <v>48</v>
      </c>
      <c r="H3843" s="2" t="s">
        <v>21</v>
      </c>
      <c r="I3843" s="2" t="s">
        <v>7965</v>
      </c>
      <c r="J3843" s="3" t="str">
        <f>HYPERLINK("https://www.boe.es/gazeta/dias/1823/06/04/pdfs/GES-1823-58.pdf#page=3","Abrir facsímil")</f>
        <v>Abrir facsímil</v>
      </c>
      <c r="K3843" s="3" t="s">
        <v>23</v>
      </c>
    </row>
    <row r="3844" spans="1:11" ht="42" customHeight="1">
      <c r="A3844" s="2" t="s">
        <v>7966</v>
      </c>
      <c r="B3844" s="2" t="s">
        <v>7966</v>
      </c>
      <c r="C3844" s="2" t="s">
        <v>79</v>
      </c>
      <c r="D3844" s="2" t="s">
        <v>74</v>
      </c>
      <c r="E3844" s="5">
        <v>-27968</v>
      </c>
      <c r="F3844" s="3" t="s">
        <v>1160</v>
      </c>
      <c r="G3844" s="3" t="s">
        <v>48</v>
      </c>
      <c r="H3844" s="2" t="s">
        <v>21</v>
      </c>
      <c r="I3844" s="2" t="s">
        <v>7967</v>
      </c>
      <c r="J3844" s="3" t="str">
        <f>HYPERLINK("https://www.boe.es/gazeta/dias/1823/06/04/pdfs/GES-1823-58.pdf#page=3","Abrir facsímil")</f>
        <v>Abrir facsímil</v>
      </c>
      <c r="K3844" s="3" t="s">
        <v>23</v>
      </c>
    </row>
    <row r="3845" spans="1:11" ht="42" customHeight="1">
      <c r="A3845" s="2" t="s">
        <v>7968</v>
      </c>
      <c r="B3845" s="2" t="s">
        <v>7969</v>
      </c>
      <c r="C3845" s="2" t="s">
        <v>17</v>
      </c>
      <c r="D3845" s="2" t="s">
        <v>18</v>
      </c>
      <c r="E3845" s="5">
        <v>-28095</v>
      </c>
      <c r="F3845" s="3" t="s">
        <v>1770</v>
      </c>
      <c r="G3845" s="3" t="s">
        <v>48</v>
      </c>
      <c r="H3845" s="2" t="s">
        <v>21</v>
      </c>
      <c r="I3845" s="2" t="s">
        <v>7970</v>
      </c>
      <c r="J3845" s="3" t="str">
        <f>HYPERLINK("https://www.boe.es/gazeta/dias/1823/01/28/pdfs/GMD-1823-29.pdf#page=3","Abrir facsímil")</f>
        <v>Abrir facsímil</v>
      </c>
      <c r="K3845" s="3" t="s">
        <v>23</v>
      </c>
    </row>
    <row r="3846" spans="1:11" ht="42" customHeight="1">
      <c r="A3846" s="2" t="s">
        <v>7971</v>
      </c>
      <c r="B3846" s="2" t="s">
        <v>7972</v>
      </c>
      <c r="C3846" s="2" t="s">
        <v>56</v>
      </c>
      <c r="D3846" s="2" t="s">
        <v>57</v>
      </c>
      <c r="E3846" s="5">
        <v>-27982</v>
      </c>
      <c r="F3846" s="3" t="s">
        <v>340</v>
      </c>
      <c r="G3846" s="3" t="s">
        <v>39</v>
      </c>
      <c r="H3846" s="2" t="s">
        <v>21</v>
      </c>
      <c r="I3846" s="2" t="s">
        <v>7973</v>
      </c>
      <c r="J3846" s="3" t="str">
        <f>HYPERLINK("https://www.boe.es/gazeta/dias/1823/05/21/pdfs/GES-1823-42.pdf#page=1","Abrir facsímil")</f>
        <v>Abrir facsímil</v>
      </c>
      <c r="K3846" s="3" t="s">
        <v>23</v>
      </c>
    </row>
    <row r="3847" spans="1:11" ht="42" customHeight="1">
      <c r="A3847" s="2" t="s">
        <v>7971</v>
      </c>
      <c r="B3847" s="2" t="s">
        <v>7972</v>
      </c>
      <c r="C3847" s="2" t="s">
        <v>325</v>
      </c>
      <c r="D3847" s="2" t="s">
        <v>74</v>
      </c>
      <c r="E3847" s="5">
        <v>-27871</v>
      </c>
      <c r="F3847" s="3" t="s">
        <v>782</v>
      </c>
      <c r="G3847" s="3" t="s">
        <v>48</v>
      </c>
      <c r="H3847" s="2" t="s">
        <v>21</v>
      </c>
      <c r="I3847" s="2" t="s">
        <v>7974</v>
      </c>
      <c r="J3847" s="3" t="str">
        <f>HYPERLINK("https://www.boe.es/gazeta/dias/1823/09/09/pdfs/GES-1823-153.pdf#page=3","Abrir facsímil")</f>
        <v>Abrir facsímil</v>
      </c>
      <c r="K3847" s="3" t="s">
        <v>23</v>
      </c>
    </row>
    <row r="3848" spans="1:11" ht="42" customHeight="1">
      <c r="A3848" s="2" t="s">
        <v>7975</v>
      </c>
      <c r="B3848" s="2" t="s">
        <v>7975</v>
      </c>
      <c r="C3848" s="2" t="s">
        <v>56</v>
      </c>
      <c r="D3848" s="2" t="s">
        <v>57</v>
      </c>
      <c r="E3848" s="5">
        <v>-28074</v>
      </c>
      <c r="F3848" s="3" t="s">
        <v>212</v>
      </c>
      <c r="G3848" s="3" t="s">
        <v>20</v>
      </c>
      <c r="H3848" s="2" t="s">
        <v>21</v>
      </c>
      <c r="I3848" s="2" t="s">
        <v>7976</v>
      </c>
      <c r="J3848" s="3" t="str">
        <f>HYPERLINK("https://www.boe.es/gazeta/dias/1823/02/18/pdfs/GMD-1823-52.pdf#page=4","Abrir facsímil")</f>
        <v>Abrir facsímil</v>
      </c>
      <c r="K3848" s="3" t="s">
        <v>23</v>
      </c>
    </row>
    <row r="3849" spans="1:11" ht="42" customHeight="1">
      <c r="A3849" s="2" t="s">
        <v>7977</v>
      </c>
      <c r="B3849" s="2" t="s">
        <v>7978</v>
      </c>
      <c r="C3849" s="2" t="s">
        <v>17</v>
      </c>
      <c r="D3849" s="2" t="s">
        <v>18</v>
      </c>
      <c r="E3849" s="5">
        <v>-27887</v>
      </c>
      <c r="F3849" s="3" t="s">
        <v>1196</v>
      </c>
      <c r="G3849" s="3" t="s">
        <v>20</v>
      </c>
      <c r="H3849" s="2" t="s">
        <v>21</v>
      </c>
      <c r="I3849" s="2" t="s">
        <v>7979</v>
      </c>
      <c r="J3849" s="3" t="str">
        <f>HYPERLINK("https://www.boe.es/gazeta/dias/1823/08/24/pdfs/GES-1823-137.pdf#page=4","Abrir facsímil")</f>
        <v>Abrir facsímil</v>
      </c>
      <c r="K3849" s="3" t="s">
        <v>23</v>
      </c>
    </row>
    <row r="3850" spans="1:11" ht="42" customHeight="1">
      <c r="A3850" s="2" t="s">
        <v>7980</v>
      </c>
      <c r="B3850" s="2" t="s">
        <v>7980</v>
      </c>
      <c r="C3850" s="2" t="s">
        <v>17</v>
      </c>
      <c r="D3850" s="2" t="s">
        <v>18</v>
      </c>
      <c r="E3850" s="5">
        <v>-27918</v>
      </c>
      <c r="F3850" s="3" t="s">
        <v>218</v>
      </c>
      <c r="G3850" s="3" t="s">
        <v>27</v>
      </c>
      <c r="H3850" s="2" t="s">
        <v>21</v>
      </c>
      <c r="I3850" s="2" t="s">
        <v>7981</v>
      </c>
      <c r="J3850" s="3" t="str">
        <f>HYPERLINK("https://www.boe.es/gazeta/dias/1823/07/24/pdfs/GMD-1823-463.pdf#page=2","Abrir facsímil")</f>
        <v>Abrir facsímil</v>
      </c>
      <c r="K3850" s="3" t="s">
        <v>23</v>
      </c>
    </row>
    <row r="3851" spans="1:11" ht="42" customHeight="1">
      <c r="A3851" s="2" t="s">
        <v>7982</v>
      </c>
      <c r="B3851" s="2" t="s">
        <v>7982</v>
      </c>
      <c r="C3851" s="2" t="s">
        <v>17</v>
      </c>
      <c r="D3851" s="2" t="s">
        <v>18</v>
      </c>
      <c r="E3851" s="5">
        <v>-27918</v>
      </c>
      <c r="F3851" s="3" t="s">
        <v>218</v>
      </c>
      <c r="G3851" s="3" t="s">
        <v>27</v>
      </c>
      <c r="H3851" s="2" t="s">
        <v>21</v>
      </c>
      <c r="I3851" s="2" t="s">
        <v>7983</v>
      </c>
      <c r="J3851" s="3" t="str">
        <f>HYPERLINK("https://www.boe.es/gazeta/dias/1823/07/24/pdfs/GMD-1823-463.pdf#page=2","Abrir facsímil")</f>
        <v>Abrir facsímil</v>
      </c>
      <c r="K3851" s="3" t="s">
        <v>23</v>
      </c>
    </row>
    <row r="3852" spans="1:11" ht="42" customHeight="1">
      <c r="A3852" s="2" t="s">
        <v>7984</v>
      </c>
      <c r="B3852" s="2" t="s">
        <v>7985</v>
      </c>
      <c r="C3852" s="2" t="s">
        <v>17</v>
      </c>
      <c r="D3852" s="2" t="s">
        <v>18</v>
      </c>
      <c r="E3852" s="5">
        <v>-27869</v>
      </c>
      <c r="F3852" s="3" t="s">
        <v>520</v>
      </c>
      <c r="G3852" s="3" t="s">
        <v>20</v>
      </c>
      <c r="H3852" s="2" t="s">
        <v>21</v>
      </c>
      <c r="I3852" s="2" t="s">
        <v>7986</v>
      </c>
      <c r="J3852" s="3" t="str">
        <f>HYPERLINK("https://www.boe.es/gazeta/dias/1823/09/11/pdfs/GMD-1823-753.pdf#page=4","Abrir facsímil")</f>
        <v>Abrir facsímil</v>
      </c>
      <c r="K3852" s="3" t="s">
        <v>23</v>
      </c>
    </row>
    <row r="3853" spans="1:11" ht="42" customHeight="1">
      <c r="A3853" s="2" t="s">
        <v>7987</v>
      </c>
      <c r="B3853" s="2" t="s">
        <v>7987</v>
      </c>
      <c r="C3853" s="2" t="s">
        <v>17</v>
      </c>
      <c r="D3853" s="2" t="s">
        <v>18</v>
      </c>
      <c r="E3853" s="5">
        <v>-27867</v>
      </c>
      <c r="F3853" s="3" t="s">
        <v>1585</v>
      </c>
      <c r="G3853" s="3" t="s">
        <v>27</v>
      </c>
      <c r="H3853" s="2" t="s">
        <v>21</v>
      </c>
      <c r="I3853" s="2" t="s">
        <v>7988</v>
      </c>
      <c r="J3853" s="3" t="str">
        <f>HYPERLINK("https://www.boe.es/gazeta/dias/1823/09/13/pdfs/GMD-1823-773.pdf#page=2","Abrir facsímil")</f>
        <v>Abrir facsímil</v>
      </c>
      <c r="K3853" s="3" t="s">
        <v>23</v>
      </c>
    </row>
    <row r="3854" spans="1:11" ht="42" customHeight="1">
      <c r="A3854" s="2" t="s">
        <v>7989</v>
      </c>
      <c r="B3854" s="2" t="s">
        <v>7990</v>
      </c>
      <c r="C3854" s="2" t="s">
        <v>17</v>
      </c>
      <c r="D3854" s="2" t="s">
        <v>18</v>
      </c>
      <c r="E3854" s="5">
        <v>-28049</v>
      </c>
      <c r="F3854" s="3" t="s">
        <v>198</v>
      </c>
      <c r="G3854" s="3" t="s">
        <v>48</v>
      </c>
      <c r="H3854" s="2" t="s">
        <v>21</v>
      </c>
      <c r="I3854" s="2" t="s">
        <v>7991</v>
      </c>
      <c r="J3854" s="3" t="str">
        <f>HYPERLINK("https://www.boe.es/gazeta/dias/1823/03/15/pdfs/GMD-1823-78.pdf#page=3","Abrir facsímil")</f>
        <v>Abrir facsímil</v>
      </c>
      <c r="K3854" s="3" t="s">
        <v>23</v>
      </c>
    </row>
    <row r="3855" spans="1:11" ht="42" customHeight="1">
      <c r="A3855" s="2" t="s">
        <v>7992</v>
      </c>
      <c r="B3855" s="2" t="s">
        <v>7993</v>
      </c>
      <c r="C3855" s="2" t="s">
        <v>109</v>
      </c>
      <c r="D3855" s="2" t="s">
        <v>74</v>
      </c>
      <c r="E3855" s="5">
        <v>-28049</v>
      </c>
      <c r="F3855" s="3" t="s">
        <v>198</v>
      </c>
      <c r="G3855" s="3" t="s">
        <v>48</v>
      </c>
      <c r="H3855" s="2" t="s">
        <v>21</v>
      </c>
      <c r="I3855" s="2" t="s">
        <v>7994</v>
      </c>
      <c r="J3855" s="3" t="str">
        <f>HYPERLINK("https://www.boe.es/gazeta/dias/1823/03/15/pdfs/GMD-1823-78.pdf#page=3","Abrir facsímil")</f>
        <v>Abrir facsímil</v>
      </c>
      <c r="K3855" s="3" t="s">
        <v>23</v>
      </c>
    </row>
    <row r="3856" spans="1:11" ht="42" customHeight="1">
      <c r="A3856" s="2" t="s">
        <v>7995</v>
      </c>
      <c r="B3856" s="2" t="s">
        <v>7996</v>
      </c>
      <c r="C3856" s="2" t="s">
        <v>17</v>
      </c>
      <c r="D3856" s="2" t="s">
        <v>18</v>
      </c>
      <c r="E3856" s="5">
        <v>-28050</v>
      </c>
      <c r="F3856" s="3" t="s">
        <v>473</v>
      </c>
      <c r="G3856" s="3" t="s">
        <v>59</v>
      </c>
      <c r="H3856" s="2" t="s">
        <v>21</v>
      </c>
      <c r="I3856" s="2" t="s">
        <v>7997</v>
      </c>
      <c r="J3856" s="3" t="str">
        <f>HYPERLINK("https://www.boe.es/gazeta/dias/1823/03/14/pdfs/GMD-1823-77.pdf#page=6","Abrir facsímil")</f>
        <v>Abrir facsímil</v>
      </c>
      <c r="K3856" s="3" t="s">
        <v>23</v>
      </c>
    </row>
    <row r="3857" spans="1:11" ht="42" customHeight="1">
      <c r="A3857" s="2" t="s">
        <v>7998</v>
      </c>
      <c r="B3857" s="2" t="s">
        <v>7999</v>
      </c>
      <c r="C3857" s="2" t="s">
        <v>17</v>
      </c>
      <c r="D3857" s="2" t="s">
        <v>18</v>
      </c>
      <c r="E3857" s="5">
        <v>-28018</v>
      </c>
      <c r="F3857" s="3" t="s">
        <v>2613</v>
      </c>
      <c r="G3857" s="3" t="s">
        <v>20</v>
      </c>
      <c r="H3857" s="2" t="s">
        <v>28</v>
      </c>
      <c r="I3857" s="2" t="s">
        <v>8000</v>
      </c>
      <c r="J3857" s="3" t="str">
        <f>HYPERLINK("https://www.boe.es/gazeta/dias/1823/04/15/pdfs/GES-1823-5.pdf#page=4","Abrir facsímil")</f>
        <v>Abrir facsímil</v>
      </c>
      <c r="K3857" s="3" t="s">
        <v>30</v>
      </c>
    </row>
    <row r="3858" spans="1:11" ht="42" customHeight="1">
      <c r="A3858" s="2" t="s">
        <v>8001</v>
      </c>
      <c r="B3858" s="2" t="s">
        <v>8001</v>
      </c>
      <c r="C3858" s="2" t="s">
        <v>17</v>
      </c>
      <c r="D3858" s="2" t="s">
        <v>18</v>
      </c>
      <c r="E3858" s="5">
        <v>-27972</v>
      </c>
      <c r="F3858" s="3" t="s">
        <v>429</v>
      </c>
      <c r="G3858" s="3" t="s">
        <v>48</v>
      </c>
      <c r="H3858" s="2" t="s">
        <v>21</v>
      </c>
      <c r="I3858" s="2" t="s">
        <v>8002</v>
      </c>
      <c r="J3858" s="3" t="str">
        <f>HYPERLINK("https://www.boe.es/gazeta/dias/1823/05/31/pdfs/GES-1823-54.pdf#page=3","Abrir facsímil")</f>
        <v>Abrir facsímil</v>
      </c>
      <c r="K3858" s="3" t="s">
        <v>23</v>
      </c>
    </row>
    <row r="3859" spans="1:11" ht="42" customHeight="1">
      <c r="A3859" s="2" t="s">
        <v>8003</v>
      </c>
      <c r="B3859" s="2" t="s">
        <v>8003</v>
      </c>
      <c r="C3859" s="2" t="s">
        <v>17</v>
      </c>
      <c r="D3859" s="2" t="s">
        <v>18</v>
      </c>
      <c r="E3859" s="5">
        <v>-28009</v>
      </c>
      <c r="F3859" s="3" t="s">
        <v>212</v>
      </c>
      <c r="G3859" s="3" t="s">
        <v>39</v>
      </c>
      <c r="H3859" s="2" t="s">
        <v>21</v>
      </c>
      <c r="I3859" s="2" t="s">
        <v>8004</v>
      </c>
      <c r="J3859" s="3" t="str">
        <f>HYPERLINK("https://www.boe.es/gazeta/dias/1823/04/24/pdfs/GMD-1823-52.pdf#page=1","Abrir facsímil")</f>
        <v>Abrir facsímil</v>
      </c>
      <c r="K3859" s="3" t="s">
        <v>23</v>
      </c>
    </row>
    <row r="3860" spans="1:11" ht="42" customHeight="1">
      <c r="A3860" s="2" t="s">
        <v>8003</v>
      </c>
      <c r="B3860" s="2" t="s">
        <v>8003</v>
      </c>
      <c r="C3860" s="2" t="s">
        <v>17</v>
      </c>
      <c r="D3860" s="2" t="s">
        <v>18</v>
      </c>
      <c r="E3860" s="5">
        <v>-27990</v>
      </c>
      <c r="F3860" s="3" t="s">
        <v>330</v>
      </c>
      <c r="G3860" s="3" t="s">
        <v>39</v>
      </c>
      <c r="H3860" s="2" t="s">
        <v>21</v>
      </c>
      <c r="I3860" s="2" t="s">
        <v>8005</v>
      </c>
      <c r="J3860" s="3" t="str">
        <f>HYPERLINK("https://www.boe.es/gazeta/dias/1823/05/13/pdfs/GMD-1823-132.pdf#page=1","Abrir facsímil")</f>
        <v>Abrir facsímil</v>
      </c>
      <c r="K3860" s="3" t="s">
        <v>23</v>
      </c>
    </row>
    <row r="3861" spans="1:11" ht="42" customHeight="1">
      <c r="A3861" s="2" t="s">
        <v>8006</v>
      </c>
      <c r="B3861" s="2" t="s">
        <v>8007</v>
      </c>
      <c r="C3861" s="2" t="s">
        <v>17</v>
      </c>
      <c r="D3861" s="2" t="s">
        <v>18</v>
      </c>
      <c r="E3861" s="5">
        <v>-28049</v>
      </c>
      <c r="F3861" s="3" t="s">
        <v>198</v>
      </c>
      <c r="G3861" s="3" t="s">
        <v>20</v>
      </c>
      <c r="H3861" s="2" t="s">
        <v>21</v>
      </c>
      <c r="I3861" s="2" t="s">
        <v>8008</v>
      </c>
      <c r="J3861" s="3" t="str">
        <f>HYPERLINK("https://www.boe.es/gazeta/dias/1823/03/15/pdfs/GMD-1823-78.pdf#page=4","Abrir facsímil")</f>
        <v>Abrir facsímil</v>
      </c>
      <c r="K3861" s="3" t="s">
        <v>23</v>
      </c>
    </row>
    <row r="3862" spans="1:11" ht="42" customHeight="1">
      <c r="A3862" s="2" t="s">
        <v>8009</v>
      </c>
      <c r="B3862" s="2" t="s">
        <v>8009</v>
      </c>
      <c r="C3862" s="2" t="s">
        <v>17</v>
      </c>
      <c r="D3862" s="2" t="s">
        <v>18</v>
      </c>
      <c r="E3862" s="5">
        <v>-28101</v>
      </c>
      <c r="F3862" s="3" t="s">
        <v>1041</v>
      </c>
      <c r="G3862" s="3" t="s">
        <v>27</v>
      </c>
      <c r="H3862" s="2" t="s">
        <v>21</v>
      </c>
      <c r="I3862" s="2" t="s">
        <v>8010</v>
      </c>
      <c r="J3862" s="3" t="str">
        <f>HYPERLINK("https://www.boe.es/gazeta/dias/1823/01/22/pdfs/GMD-1823-23.pdf#page=2","Abrir facsímil")</f>
        <v>Abrir facsímil</v>
      </c>
      <c r="K3862" s="3" t="s">
        <v>23</v>
      </c>
    </row>
    <row r="3863" spans="1:11" ht="42" customHeight="1">
      <c r="A3863" s="2" t="s">
        <v>8011</v>
      </c>
      <c r="B3863" s="2" t="s">
        <v>8011</v>
      </c>
      <c r="C3863" s="2" t="s">
        <v>79</v>
      </c>
      <c r="D3863" s="2" t="s">
        <v>117</v>
      </c>
      <c r="E3863" s="5">
        <v>-27952</v>
      </c>
      <c r="F3863" s="3" t="s">
        <v>1844</v>
      </c>
      <c r="G3863" s="3" t="s">
        <v>39</v>
      </c>
      <c r="H3863" s="2" t="s">
        <v>21</v>
      </c>
      <c r="I3863" s="2" t="s">
        <v>8012</v>
      </c>
      <c r="J3863" s="3" t="str">
        <f>HYPERLINK("https://www.boe.es/gazeta/dias/1823/06/20/pdfs/GMD-1823-213E.pdf#page=1","Abrir facsímil")</f>
        <v>Abrir facsímil</v>
      </c>
      <c r="K3863" s="3" t="s">
        <v>23</v>
      </c>
    </row>
    <row r="3864" spans="1:11" ht="42" customHeight="1">
      <c r="A3864" s="2" t="s">
        <v>8013</v>
      </c>
      <c r="B3864" s="2" t="s">
        <v>8013</v>
      </c>
      <c r="C3864" s="2" t="s">
        <v>56</v>
      </c>
      <c r="D3864" s="2" t="s">
        <v>57</v>
      </c>
      <c r="E3864" s="5">
        <v>-28002</v>
      </c>
      <c r="F3864" s="3" t="s">
        <v>315</v>
      </c>
      <c r="G3864" s="3" t="s">
        <v>27</v>
      </c>
      <c r="H3864" s="2" t="s">
        <v>21</v>
      </c>
      <c r="I3864" s="2" t="s">
        <v>8014</v>
      </c>
      <c r="J3864" s="3" t="str">
        <f>HYPERLINK("https://www.boe.es/gazeta/dias/1823/05/01/pdfs/GES-1823-21.pdf#page=2","Abrir facsímil")</f>
        <v>Abrir facsímil</v>
      </c>
      <c r="K3864" s="3" t="s">
        <v>23</v>
      </c>
    </row>
    <row r="3865" spans="1:11" ht="42" customHeight="1">
      <c r="A3865" s="2" t="s">
        <v>8015</v>
      </c>
      <c r="B3865" s="2" t="s">
        <v>8015</v>
      </c>
      <c r="C3865" s="2" t="s">
        <v>109</v>
      </c>
      <c r="D3865" s="2" t="s">
        <v>74</v>
      </c>
      <c r="E3865" s="5">
        <v>-28114</v>
      </c>
      <c r="F3865" s="3" t="s">
        <v>153</v>
      </c>
      <c r="G3865" s="3" t="s">
        <v>48</v>
      </c>
      <c r="H3865" s="2" t="s">
        <v>21</v>
      </c>
      <c r="I3865" s="2" t="s">
        <v>8016</v>
      </c>
      <c r="J3865" s="3" t="str">
        <f>HYPERLINK("https://www.boe.es/gazeta/dias/1823/01/09/pdfs/GMD-1823-9.pdf#page=3","Abrir facsímil")</f>
        <v>Abrir facsímil</v>
      </c>
      <c r="K3865" s="3" t="s">
        <v>23</v>
      </c>
    </row>
    <row r="3866" spans="1:11" ht="42" customHeight="1">
      <c r="A3866" s="2" t="s">
        <v>8015</v>
      </c>
      <c r="B3866" s="2" t="s">
        <v>8015</v>
      </c>
      <c r="C3866" s="2" t="s">
        <v>109</v>
      </c>
      <c r="D3866" s="2" t="s">
        <v>74</v>
      </c>
      <c r="E3866" s="5">
        <v>-27923</v>
      </c>
      <c r="F3866" s="3" t="s">
        <v>354</v>
      </c>
      <c r="G3866" s="3" t="s">
        <v>39</v>
      </c>
      <c r="H3866" s="2" t="s">
        <v>21</v>
      </c>
      <c r="I3866" s="2" t="s">
        <v>8017</v>
      </c>
      <c r="J3866" s="3" t="str">
        <f>HYPERLINK("https://www.boe.es/gazeta/dias/1823/07/19/pdfs/GES-1823-100.pdf#page=1","Abrir facsímil")</f>
        <v>Abrir facsímil</v>
      </c>
      <c r="K3866" s="3" t="s">
        <v>23</v>
      </c>
    </row>
    <row r="3867" spans="1:11" ht="42" customHeight="1">
      <c r="A3867" s="2" t="s">
        <v>8018</v>
      </c>
      <c r="B3867" s="2" t="s">
        <v>8019</v>
      </c>
      <c r="C3867" s="2" t="s">
        <v>17</v>
      </c>
      <c r="D3867" s="2" t="s">
        <v>18</v>
      </c>
      <c r="E3867" s="5">
        <v>-28048</v>
      </c>
      <c r="F3867" s="3" t="s">
        <v>399</v>
      </c>
      <c r="G3867" s="3" t="s">
        <v>59</v>
      </c>
      <c r="H3867" s="2" t="s">
        <v>21</v>
      </c>
      <c r="I3867" s="2" t="s">
        <v>8020</v>
      </c>
      <c r="J3867" s="3" t="str">
        <f>HYPERLINK("https://www.boe.es/gazeta/dias/1823/03/16/pdfs/GMD-1823-79.pdf#page=6","Abrir facsímil")</f>
        <v>Abrir facsímil</v>
      </c>
      <c r="K3867" s="3" t="s">
        <v>23</v>
      </c>
    </row>
    <row r="3868" spans="1:11" ht="42" customHeight="1">
      <c r="A3868" s="2" t="s">
        <v>8021</v>
      </c>
      <c r="B3868" s="2" t="s">
        <v>8021</v>
      </c>
      <c r="C3868" s="2" t="s">
        <v>17</v>
      </c>
      <c r="D3868" s="2" t="s">
        <v>18</v>
      </c>
      <c r="E3868" s="5">
        <v>-27951</v>
      </c>
      <c r="F3868" s="3" t="s">
        <v>4670</v>
      </c>
      <c r="G3868" s="3" t="s">
        <v>20</v>
      </c>
      <c r="H3868" s="2" t="s">
        <v>21</v>
      </c>
      <c r="I3868" s="2" t="s">
        <v>8022</v>
      </c>
      <c r="J3868" s="3" t="str">
        <f>HYPERLINK("https://www.boe.es/gazeta/dias/1823/06/21/pdfs/GMD-1823-223.pdf#page=4","Abrir facsímil")</f>
        <v>Abrir facsímil</v>
      </c>
      <c r="K3868" s="3" t="s">
        <v>23</v>
      </c>
    </row>
    <row r="3869" spans="1:11" ht="42" customHeight="1">
      <c r="A3869" s="2" t="s">
        <v>8023</v>
      </c>
      <c r="B3869" s="2" t="s">
        <v>8023</v>
      </c>
      <c r="C3869" s="2" t="s">
        <v>73</v>
      </c>
      <c r="D3869" s="2" t="s">
        <v>74</v>
      </c>
      <c r="E3869" s="5">
        <v>-28106</v>
      </c>
      <c r="F3869" s="3" t="s">
        <v>280</v>
      </c>
      <c r="G3869" s="3" t="s">
        <v>20</v>
      </c>
      <c r="H3869" s="2" t="s">
        <v>21</v>
      </c>
      <c r="I3869" s="2" t="s">
        <v>8024</v>
      </c>
      <c r="J3869" s="3" t="str">
        <f>HYPERLINK("https://www.boe.es/gazeta/dias/1823/01/17/pdfs/GMD-1823-17.pdf#page=4","Abrir facsímil")</f>
        <v>Abrir facsímil</v>
      </c>
      <c r="K3869" s="3" t="s">
        <v>23</v>
      </c>
    </row>
    <row r="3870" spans="1:11" ht="42" customHeight="1">
      <c r="A3870" s="2" t="s">
        <v>8025</v>
      </c>
      <c r="B3870" s="2" t="s">
        <v>8025</v>
      </c>
      <c r="C3870" s="2" t="s">
        <v>17</v>
      </c>
      <c r="D3870" s="2" t="s">
        <v>18</v>
      </c>
      <c r="E3870" s="5">
        <v>-28082</v>
      </c>
      <c r="F3870" s="3" t="s">
        <v>468</v>
      </c>
      <c r="G3870" s="3" t="s">
        <v>34</v>
      </c>
      <c r="H3870" s="2" t="s">
        <v>21</v>
      </c>
      <c r="I3870" s="2" t="s">
        <v>8026</v>
      </c>
      <c r="J3870" s="3" t="str">
        <f>HYPERLINK("https://www.boe.es/gazeta/dias/1823/02/10/pdfs/GMD-1823-44.pdf#page=5","Abrir facsímil")</f>
        <v>Abrir facsímil</v>
      </c>
      <c r="K3870" s="3" t="s">
        <v>23</v>
      </c>
    </row>
    <row r="3871" spans="1:11" ht="42" customHeight="1">
      <c r="A3871" s="2" t="s">
        <v>8023</v>
      </c>
      <c r="B3871" s="2" t="s">
        <v>8023</v>
      </c>
      <c r="C3871" s="2" t="s">
        <v>17</v>
      </c>
      <c r="D3871" s="2" t="s">
        <v>18</v>
      </c>
      <c r="E3871" s="5">
        <v>-28001</v>
      </c>
      <c r="F3871" s="3" t="s">
        <v>768</v>
      </c>
      <c r="G3871" s="3" t="s">
        <v>2756</v>
      </c>
      <c r="H3871" s="2" t="s">
        <v>21</v>
      </c>
      <c r="I3871" s="2" t="s">
        <v>8027</v>
      </c>
      <c r="J3871" s="3" t="str">
        <f>HYPERLINK("https://www.boe.es/gazeta/dias/1823/05/02/pdfs/GES-1823-22.pdf#page=6","Abrir facsímil")</f>
        <v>Abrir facsímil</v>
      </c>
      <c r="K3871" s="3" t="s">
        <v>23</v>
      </c>
    </row>
    <row r="3872" spans="1:11" ht="42" customHeight="1">
      <c r="A3872" s="2" t="s">
        <v>8023</v>
      </c>
      <c r="B3872" s="2" t="s">
        <v>8023</v>
      </c>
      <c r="C3872" s="2" t="s">
        <v>17</v>
      </c>
      <c r="D3872" s="2" t="s">
        <v>18</v>
      </c>
      <c r="E3872" s="5">
        <v>-27901</v>
      </c>
      <c r="F3872" s="3" t="s">
        <v>840</v>
      </c>
      <c r="G3872" s="3" t="s">
        <v>20</v>
      </c>
      <c r="H3872" s="2" t="s">
        <v>21</v>
      </c>
      <c r="I3872" s="2" t="s">
        <v>8028</v>
      </c>
      <c r="J3872" s="3" t="str">
        <f>HYPERLINK("https://www.boe.es/gazeta/dias/1823/08/10/pdfs/GES-1823-123.pdf#page=4","Abrir facsímil")</f>
        <v>Abrir facsímil</v>
      </c>
      <c r="K3872" s="3" t="s">
        <v>23</v>
      </c>
    </row>
    <row r="3873" spans="1:11" ht="42" customHeight="1">
      <c r="A3873" s="2" t="s">
        <v>8025</v>
      </c>
      <c r="B3873" s="2" t="s">
        <v>8025</v>
      </c>
      <c r="C3873" s="2" t="s">
        <v>109</v>
      </c>
      <c r="D3873" s="2" t="s">
        <v>74</v>
      </c>
      <c r="E3873" s="5">
        <v>-27891</v>
      </c>
      <c r="F3873" s="3" t="s">
        <v>825</v>
      </c>
      <c r="G3873" s="3" t="s">
        <v>20</v>
      </c>
      <c r="H3873" s="2" t="s">
        <v>21</v>
      </c>
      <c r="I3873" s="2" t="s">
        <v>8029</v>
      </c>
      <c r="J3873" s="3" t="str">
        <f>HYPERLINK("https://www.boe.es/gazeta/dias/1823/08/20/pdfs/GES-1823-133.pdf#page=4","Abrir facsímil")</f>
        <v>Abrir facsímil</v>
      </c>
      <c r="K3873" s="3" t="s">
        <v>23</v>
      </c>
    </row>
    <row r="3874" spans="1:11" ht="42" customHeight="1">
      <c r="A3874" s="2" t="s">
        <v>8023</v>
      </c>
      <c r="B3874" s="2" t="s">
        <v>8023</v>
      </c>
      <c r="C3874" s="2" t="s">
        <v>56</v>
      </c>
      <c r="D3874" s="2" t="s">
        <v>57</v>
      </c>
      <c r="E3874" s="5">
        <v>-27881</v>
      </c>
      <c r="F3874" s="3" t="s">
        <v>725</v>
      </c>
      <c r="G3874" s="3" t="s">
        <v>39</v>
      </c>
      <c r="H3874" s="2" t="s">
        <v>21</v>
      </c>
      <c r="I3874" s="2" t="s">
        <v>8030</v>
      </c>
      <c r="J3874" s="3" t="str">
        <f>HYPERLINK("https://www.boe.es/gazeta/dias/1823/08/30/pdfs/GMD-1823-673.pdf#page=1","Abrir facsímil")</f>
        <v>Abrir facsímil</v>
      </c>
      <c r="K3874" s="3" t="s">
        <v>23</v>
      </c>
    </row>
    <row r="3875" spans="1:11" ht="42" customHeight="1">
      <c r="A3875" s="2" t="s">
        <v>8031</v>
      </c>
      <c r="B3875" s="2" t="s">
        <v>8031</v>
      </c>
      <c r="C3875" s="2" t="s">
        <v>17</v>
      </c>
      <c r="D3875" s="2" t="s">
        <v>18</v>
      </c>
      <c r="E3875" s="5">
        <v>-27973</v>
      </c>
      <c r="F3875" s="3" t="s">
        <v>758</v>
      </c>
      <c r="G3875" s="3" t="s">
        <v>39</v>
      </c>
      <c r="H3875" s="2" t="s">
        <v>21</v>
      </c>
      <c r="I3875" s="2" t="s">
        <v>8032</v>
      </c>
      <c r="J3875" s="3" t="str">
        <f>HYPERLINK("https://www.boe.es/gazeta/dias/1823/05/30/pdfs/GES-1823-53.pdf#page=1","Abrir facsímil")</f>
        <v>Abrir facsímil</v>
      </c>
      <c r="K3875" s="3" t="s">
        <v>23</v>
      </c>
    </row>
    <row r="3876" spans="1:11" ht="42" customHeight="1">
      <c r="A3876" s="2" t="s">
        <v>8</v>
      </c>
      <c r="B3876" s="2" t="s">
        <v>8</v>
      </c>
      <c r="C3876" s="2" t="s">
        <v>17</v>
      </c>
      <c r="D3876" s="2" t="s">
        <v>117</v>
      </c>
      <c r="E3876" s="5">
        <v>-27873</v>
      </c>
      <c r="F3876" s="3" t="s">
        <v>1668</v>
      </c>
      <c r="G3876" s="3" t="s">
        <v>27</v>
      </c>
      <c r="H3876" s="2" t="s">
        <v>21</v>
      </c>
      <c r="I3876" s="2" t="s">
        <v>8033</v>
      </c>
      <c r="J3876" s="3" t="str">
        <f>HYPERLINK("https://www.boe.es/gazeta/dias/1823/09/07/pdfs/GMD-1823-72E.pdf#page=2","Abrir facsímil")</f>
        <v>Abrir facsímil</v>
      </c>
      <c r="K3876" s="3" t="s">
        <v>23</v>
      </c>
    </row>
    <row r="3877" spans="1:11" ht="42" customHeight="1">
      <c r="A3877" s="2" t="s">
        <v>8034</v>
      </c>
      <c r="B3877" s="2" t="s">
        <v>8034</v>
      </c>
      <c r="C3877" s="2" t="s">
        <v>84</v>
      </c>
      <c r="D3877" s="2" t="s">
        <v>74</v>
      </c>
      <c r="E3877" s="5">
        <v>-27862</v>
      </c>
      <c r="F3877" s="3" t="s">
        <v>5328</v>
      </c>
      <c r="G3877" s="3" t="s">
        <v>48</v>
      </c>
      <c r="H3877" s="2" t="s">
        <v>21</v>
      </c>
      <c r="I3877" s="2" t="s">
        <v>8035</v>
      </c>
      <c r="J3877" s="3" t="str">
        <f>HYPERLINK("https://www.boe.es/gazeta/dias/1823/09/18/pdfs/GES-1823-162.pdf#page=3","Abrir facsímil")</f>
        <v>Abrir facsímil</v>
      </c>
      <c r="K3877" s="3" t="s">
        <v>23</v>
      </c>
    </row>
    <row r="3878" spans="1:11" ht="42" customHeight="1">
      <c r="A3878" s="2" t="s">
        <v>8036</v>
      </c>
      <c r="B3878" s="2" t="s">
        <v>8036</v>
      </c>
      <c r="C3878" s="2" t="s">
        <v>17</v>
      </c>
      <c r="D3878" s="2" t="s">
        <v>18</v>
      </c>
      <c r="E3878" s="5">
        <v>-28059</v>
      </c>
      <c r="F3878" s="3" t="s">
        <v>149</v>
      </c>
      <c r="G3878" s="3" t="s">
        <v>20</v>
      </c>
      <c r="H3878" s="2" t="s">
        <v>21</v>
      </c>
      <c r="I3878" s="2" t="s">
        <v>8037</v>
      </c>
      <c r="J3878" s="3" t="str">
        <f>HYPERLINK("https://www.boe.es/gazeta/dias/1823/03/05/pdfs/GMD-1823-68.pdf#page=4","Abrir facsímil")</f>
        <v>Abrir facsímil</v>
      </c>
      <c r="K3878" s="3" t="s">
        <v>23</v>
      </c>
    </row>
    <row r="3879" spans="1:11" ht="42" customHeight="1">
      <c r="A3879" s="2" t="s">
        <v>8038</v>
      </c>
      <c r="B3879" s="2" t="s">
        <v>8039</v>
      </c>
      <c r="C3879" s="2" t="s">
        <v>56</v>
      </c>
      <c r="D3879" s="2" t="s">
        <v>57</v>
      </c>
      <c r="E3879" s="5">
        <v>-27941</v>
      </c>
      <c r="F3879" s="3" t="s">
        <v>1551</v>
      </c>
      <c r="G3879" s="3" t="s">
        <v>27</v>
      </c>
      <c r="H3879" s="2" t="s">
        <v>21</v>
      </c>
      <c r="I3879" s="2" t="s">
        <v>8040</v>
      </c>
      <c r="J3879" s="3" t="str">
        <f>HYPERLINK("https://www.boe.es/gazeta/dias/1823/07/01/pdfs/GMD-1823-323.pdf#page=2","Abrir facsímil")</f>
        <v>Abrir facsímil</v>
      </c>
      <c r="K3879" s="3" t="s">
        <v>23</v>
      </c>
    </row>
    <row r="3880" spans="1:11" ht="42" customHeight="1">
      <c r="A3880" s="2" t="s">
        <v>8041</v>
      </c>
      <c r="B3880" s="2" t="s">
        <v>8041</v>
      </c>
      <c r="C3880" s="2" t="s">
        <v>79</v>
      </c>
      <c r="D3880" s="2" t="s">
        <v>74</v>
      </c>
      <c r="E3880" s="5">
        <v>-27950</v>
      </c>
      <c r="F3880" s="3" t="s">
        <v>4513</v>
      </c>
      <c r="G3880" s="3" t="s">
        <v>27</v>
      </c>
      <c r="H3880" s="2" t="s">
        <v>21</v>
      </c>
      <c r="I3880" s="2" t="s">
        <v>8042</v>
      </c>
      <c r="J3880" s="3" t="str">
        <f>HYPERLINK("https://www.boe.es/gazeta/dias/1823/06/22/pdfs/GES-1823-70.pdf#page=2","Abrir facsímil")</f>
        <v>Abrir facsímil</v>
      </c>
      <c r="K3880" s="3" t="s">
        <v>23</v>
      </c>
    </row>
    <row r="3881" spans="1:11" ht="42" customHeight="1">
      <c r="A3881" s="2" t="s">
        <v>8043</v>
      </c>
      <c r="B3881" s="2" t="s">
        <v>8044</v>
      </c>
      <c r="C3881" s="2" t="s">
        <v>17</v>
      </c>
      <c r="D3881" s="2" t="s">
        <v>18</v>
      </c>
      <c r="E3881" s="5">
        <v>-28040</v>
      </c>
      <c r="F3881" s="3" t="s">
        <v>2971</v>
      </c>
      <c r="G3881" s="3" t="s">
        <v>8045</v>
      </c>
      <c r="H3881" s="2" t="s">
        <v>21</v>
      </c>
      <c r="I3881" s="2" t="s">
        <v>8046</v>
      </c>
      <c r="J3881" s="3" t="str">
        <f>HYPERLINK("https://www.boe.es/gazeta/dias/1823/03/24/pdfs/GMD-1823-87.pdf#page=2","Abrir facsímil")</f>
        <v>Abrir facsímil</v>
      </c>
      <c r="K3881" s="3" t="s">
        <v>23</v>
      </c>
    </row>
    <row r="3882" spans="1:11" ht="42" customHeight="1">
      <c r="A3882" s="2" t="s">
        <v>8047</v>
      </c>
      <c r="B3882" s="2" t="s">
        <v>8047</v>
      </c>
      <c r="C3882" s="2" t="s">
        <v>17</v>
      </c>
      <c r="D3882" s="2" t="s">
        <v>18</v>
      </c>
      <c r="E3882" s="5">
        <v>-27970</v>
      </c>
      <c r="F3882" s="3" t="s">
        <v>1030</v>
      </c>
      <c r="G3882" s="3" t="s">
        <v>20</v>
      </c>
      <c r="H3882" s="2" t="s">
        <v>21</v>
      </c>
      <c r="I3882" s="2" t="s">
        <v>8048</v>
      </c>
      <c r="J3882" s="3" t="str">
        <f>HYPERLINK("https://www.boe.es/gazeta/dias/1823/06/02/pdfs/GES-1823-56.pdf#page=4","Abrir facsímil")</f>
        <v>Abrir facsímil</v>
      </c>
      <c r="K3882" s="3" t="s">
        <v>23</v>
      </c>
    </row>
    <row r="3883" spans="1:11" ht="42" customHeight="1">
      <c r="A3883" s="2" t="s">
        <v>8049</v>
      </c>
      <c r="B3883" s="2" t="s">
        <v>8049</v>
      </c>
      <c r="C3883" s="2" t="s">
        <v>17</v>
      </c>
      <c r="D3883" s="2" t="s">
        <v>18</v>
      </c>
      <c r="E3883" s="5">
        <v>-28093</v>
      </c>
      <c r="F3883" s="3" t="s">
        <v>1044</v>
      </c>
      <c r="G3883" s="3" t="s">
        <v>59</v>
      </c>
      <c r="H3883" s="2" t="s">
        <v>21</v>
      </c>
      <c r="I3883" s="2" t="s">
        <v>8050</v>
      </c>
      <c r="J3883" s="3" t="str">
        <f>HYPERLINK("https://www.boe.es/gazeta/dias/1823/01/30/pdfs/GMD-1823-31.pdf#page=6","Abrir facsímil")</f>
        <v>Abrir facsímil</v>
      </c>
      <c r="K3883" s="3" t="s">
        <v>23</v>
      </c>
    </row>
    <row r="3884" spans="1:11" ht="42" customHeight="1">
      <c r="A3884" s="2" t="s">
        <v>8049</v>
      </c>
      <c r="B3884" s="2" t="s">
        <v>8049</v>
      </c>
      <c r="C3884" s="2" t="s">
        <v>56</v>
      </c>
      <c r="D3884" s="2" t="s">
        <v>57</v>
      </c>
      <c r="E3884" s="5">
        <v>-28088</v>
      </c>
      <c r="F3884" s="3" t="s">
        <v>542</v>
      </c>
      <c r="G3884" s="3" t="s">
        <v>20</v>
      </c>
      <c r="H3884" s="2" t="s">
        <v>21</v>
      </c>
      <c r="I3884" s="2" t="s">
        <v>8051</v>
      </c>
      <c r="J3884" s="3" t="str">
        <f>HYPERLINK("https://www.boe.es/gazeta/dias/1823/02/04/pdfs/GMD-1823-37.pdf#page=4","Abrir facsímil")</f>
        <v>Abrir facsímil</v>
      </c>
      <c r="K3884" s="3" t="s">
        <v>23</v>
      </c>
    </row>
    <row r="3885" spans="1:11" ht="42" customHeight="1">
      <c r="A3885" s="2" t="s">
        <v>8049</v>
      </c>
      <c r="B3885" s="2" t="s">
        <v>8049</v>
      </c>
      <c r="C3885" s="2" t="s">
        <v>56</v>
      </c>
      <c r="D3885" s="2" t="s">
        <v>57</v>
      </c>
      <c r="E3885" s="5">
        <v>-28041</v>
      </c>
      <c r="F3885" s="3" t="s">
        <v>873</v>
      </c>
      <c r="G3885" s="3" t="s">
        <v>366</v>
      </c>
      <c r="H3885" s="2" t="s">
        <v>21</v>
      </c>
      <c r="I3885" s="2" t="s">
        <v>8052</v>
      </c>
      <c r="J3885" s="3" t="str">
        <f>HYPERLINK("https://www.boe.es/gazeta/dias/1823/03/23/pdfs/GMD-1823-86.pdf#page=4","Abrir facsímil")</f>
        <v>Abrir facsímil</v>
      </c>
      <c r="K3885" s="3" t="s">
        <v>23</v>
      </c>
    </row>
    <row r="3886" spans="1:11" ht="42" customHeight="1">
      <c r="A3886" s="2" t="s">
        <v>8049</v>
      </c>
      <c r="B3886" s="2" t="s">
        <v>8049</v>
      </c>
      <c r="C3886" s="2" t="s">
        <v>84</v>
      </c>
      <c r="D3886" s="2" t="s">
        <v>74</v>
      </c>
      <c r="E3886" s="5">
        <v>-28022</v>
      </c>
      <c r="F3886" s="3" t="s">
        <v>439</v>
      </c>
      <c r="G3886" s="3" t="s">
        <v>48</v>
      </c>
      <c r="H3886" s="2" t="s">
        <v>21</v>
      </c>
      <c r="I3886" s="2" t="s">
        <v>8053</v>
      </c>
      <c r="J3886" s="3" t="str">
        <f>HYPERLINK("https://www.boe.es/gazeta/dias/1823/04/11/pdfs/GMD-1823-106.pdf#page=3","Abrir facsímil")</f>
        <v>Abrir facsímil</v>
      </c>
      <c r="K3886" s="3" t="s">
        <v>23</v>
      </c>
    </row>
    <row r="3887" spans="1:11" ht="42" customHeight="1">
      <c r="A3887" s="2" t="s">
        <v>8049</v>
      </c>
      <c r="B3887" s="2" t="s">
        <v>8049</v>
      </c>
      <c r="C3887" s="2" t="s">
        <v>17</v>
      </c>
      <c r="D3887" s="2" t="s">
        <v>18</v>
      </c>
      <c r="E3887" s="5">
        <v>-27997</v>
      </c>
      <c r="F3887" s="3" t="s">
        <v>317</v>
      </c>
      <c r="G3887" s="3" t="s">
        <v>39</v>
      </c>
      <c r="H3887" s="2" t="s">
        <v>21</v>
      </c>
      <c r="I3887" s="2" t="s">
        <v>8054</v>
      </c>
      <c r="J3887" s="3" t="str">
        <f>HYPERLINK("https://www.boe.es/gazeta/dias/1823/05/06/pdfs/GES-1823-26.pdf#page=1","Abrir facsímil")</f>
        <v>Abrir facsímil</v>
      </c>
      <c r="K3887" s="3" t="s">
        <v>23</v>
      </c>
    </row>
    <row r="3888" spans="1:11" ht="42" customHeight="1">
      <c r="A3888" s="2" t="s">
        <v>8049</v>
      </c>
      <c r="B3888" s="2" t="s">
        <v>8049</v>
      </c>
      <c r="C3888" s="2" t="s">
        <v>56</v>
      </c>
      <c r="D3888" s="2" t="s">
        <v>57</v>
      </c>
      <c r="E3888" s="5">
        <v>-27944</v>
      </c>
      <c r="F3888" s="3" t="s">
        <v>658</v>
      </c>
      <c r="G3888" s="3" t="s">
        <v>48</v>
      </c>
      <c r="H3888" s="2" t="s">
        <v>21</v>
      </c>
      <c r="I3888" s="2" t="s">
        <v>8055</v>
      </c>
      <c r="J3888" s="3" t="str">
        <f>HYPERLINK("https://www.boe.es/gazeta/dias/1823/06/28/pdfs/GMD-1823-303.pdf#page=3","Abrir facsímil")</f>
        <v>Abrir facsímil</v>
      </c>
      <c r="K3888" s="3" t="s">
        <v>23</v>
      </c>
    </row>
    <row r="3889" spans="1:11" ht="42" customHeight="1">
      <c r="A3889" s="2" t="s">
        <v>8049</v>
      </c>
      <c r="B3889" s="2" t="s">
        <v>8049</v>
      </c>
      <c r="C3889" s="2" t="s">
        <v>79</v>
      </c>
      <c r="D3889" s="2" t="s">
        <v>74</v>
      </c>
      <c r="E3889" s="5">
        <v>-27911</v>
      </c>
      <c r="F3889" s="3" t="s">
        <v>1393</v>
      </c>
      <c r="G3889" s="3" t="s">
        <v>39</v>
      </c>
      <c r="H3889" s="2" t="s">
        <v>21</v>
      </c>
      <c r="I3889" s="2" t="s">
        <v>8056</v>
      </c>
      <c r="J3889" s="3" t="str">
        <f>HYPERLINK("https://www.boe.es/gazeta/dias/1823/07/31/pdfs/GMD-1823-503.pdf#page=1","Abrir facsímil")</f>
        <v>Abrir facsímil</v>
      </c>
      <c r="K3889" s="3" t="s">
        <v>23</v>
      </c>
    </row>
    <row r="3890" spans="1:11" ht="42" customHeight="1">
      <c r="A3890" s="2" t="s">
        <v>8049</v>
      </c>
      <c r="B3890" s="2" t="s">
        <v>8049</v>
      </c>
      <c r="C3890" s="2" t="s">
        <v>79</v>
      </c>
      <c r="D3890" s="2" t="s">
        <v>74</v>
      </c>
      <c r="E3890" s="5">
        <v>-27849</v>
      </c>
      <c r="F3890" s="3" t="s">
        <v>7011</v>
      </c>
      <c r="G3890" s="3" t="s">
        <v>48</v>
      </c>
      <c r="H3890" s="2" t="s">
        <v>21</v>
      </c>
      <c r="I3890" s="2" t="s">
        <v>8057</v>
      </c>
      <c r="J3890" s="3" t="str">
        <f>HYPERLINK("https://www.boe.es/gazeta/dias/1823/10/01/pdfs/GES-1823-175.pdf#page=3","Abrir facsímil")</f>
        <v>Abrir facsímil</v>
      </c>
      <c r="K3890" s="3" t="s">
        <v>23</v>
      </c>
    </row>
    <row r="3891" spans="1:11" ht="42" customHeight="1">
      <c r="A3891" s="2" t="s">
        <v>8049</v>
      </c>
      <c r="B3891" s="2" t="s">
        <v>8049</v>
      </c>
      <c r="C3891" s="2" t="s">
        <v>17</v>
      </c>
      <c r="D3891" s="2" t="s">
        <v>18</v>
      </c>
      <c r="E3891" s="5">
        <v>-27787</v>
      </c>
      <c r="F3891" s="3" t="s">
        <v>865</v>
      </c>
      <c r="G3891" s="3" t="s">
        <v>39</v>
      </c>
      <c r="H3891" s="2" t="s">
        <v>21</v>
      </c>
      <c r="I3891" s="2" t="s">
        <v>8058</v>
      </c>
      <c r="J3891" s="3" t="str">
        <f>HYPERLINK("https://www.boe.es/gazeta/dias/1823/12/02/pdfs/GMD-1823-1193.pdf#page=1","Abrir facsímil")</f>
        <v>Abrir facsímil</v>
      </c>
      <c r="K3891" s="3" t="s">
        <v>23</v>
      </c>
    </row>
    <row r="3892" spans="1:11" ht="42" customHeight="1">
      <c r="A3892" s="2" t="s">
        <v>8059</v>
      </c>
      <c r="B3892" s="2" t="s">
        <v>8059</v>
      </c>
      <c r="C3892" s="2" t="s">
        <v>17</v>
      </c>
      <c r="D3892" s="2" t="s">
        <v>18</v>
      </c>
      <c r="E3892" s="5">
        <v>-28062</v>
      </c>
      <c r="F3892" s="3" t="s">
        <v>1357</v>
      </c>
      <c r="G3892" s="3" t="s">
        <v>20</v>
      </c>
      <c r="H3892" s="2" t="s">
        <v>21</v>
      </c>
      <c r="I3892" s="2" t="s">
        <v>8060</v>
      </c>
      <c r="J3892" s="3" t="str">
        <f>HYPERLINK("https://www.boe.es/gazeta/dias/1823/03/02/pdfs/GMD-1823-65.pdf#page=4","Abrir facsímil")</f>
        <v>Abrir facsímil</v>
      </c>
      <c r="K3892" s="3" t="s">
        <v>23</v>
      </c>
    </row>
    <row r="3893" spans="1:11" ht="42" customHeight="1">
      <c r="A3893" s="2" t="s">
        <v>8061</v>
      </c>
      <c r="B3893" s="2" t="s">
        <v>8062</v>
      </c>
      <c r="C3893" s="2" t="s">
        <v>17</v>
      </c>
      <c r="D3893" s="2" t="s">
        <v>18</v>
      </c>
      <c r="E3893" s="5">
        <v>-27892</v>
      </c>
      <c r="F3893" s="3" t="s">
        <v>1571</v>
      </c>
      <c r="G3893" s="3" t="s">
        <v>39</v>
      </c>
      <c r="H3893" s="2" t="s">
        <v>21</v>
      </c>
      <c r="I3893" s="2" t="s">
        <v>8063</v>
      </c>
      <c r="J3893" s="3" t="str">
        <f>HYPERLINK("https://www.boe.es/gazeta/dias/1823/08/19/pdfs/GMD-1823-613.pdf#page=1","Abrir facsímil")</f>
        <v>Abrir facsímil</v>
      </c>
      <c r="K3893" s="3" t="s">
        <v>23</v>
      </c>
    </row>
    <row r="3894" spans="1:11" ht="42" customHeight="1">
      <c r="A3894" s="2" t="s">
        <v>8064</v>
      </c>
      <c r="B3894" s="2" t="s">
        <v>8065</v>
      </c>
      <c r="C3894" s="2" t="s">
        <v>73</v>
      </c>
      <c r="D3894" s="2" t="s">
        <v>74</v>
      </c>
      <c r="E3894" s="5">
        <v>-28030</v>
      </c>
      <c r="F3894" s="3" t="s">
        <v>145</v>
      </c>
      <c r="G3894" s="3" t="s">
        <v>20</v>
      </c>
      <c r="H3894" s="2" t="s">
        <v>21</v>
      </c>
      <c r="I3894" s="2" t="s">
        <v>8066</v>
      </c>
      <c r="J3894" s="3" t="str">
        <f>HYPERLINK("https://www.boe.es/gazeta/dias/1823/04/03/pdfs/GMD-1823-97.pdf#page=4","Abrir facsímil")</f>
        <v>Abrir facsímil</v>
      </c>
      <c r="K3894" s="3" t="s">
        <v>23</v>
      </c>
    </row>
    <row r="3895" spans="1:11" ht="42" customHeight="1">
      <c r="A3895" s="2" t="s">
        <v>8067</v>
      </c>
      <c r="B3895" s="2" t="s">
        <v>8067</v>
      </c>
      <c r="C3895" s="2" t="s">
        <v>73</v>
      </c>
      <c r="D3895" s="2" t="s">
        <v>74</v>
      </c>
      <c r="E3895" s="5">
        <v>-28116</v>
      </c>
      <c r="F3895" s="3" t="s">
        <v>134</v>
      </c>
      <c r="G3895" s="3" t="s">
        <v>181</v>
      </c>
      <c r="H3895" s="2" t="s">
        <v>21</v>
      </c>
      <c r="I3895" s="2" t="s">
        <v>8068</v>
      </c>
      <c r="J3895" s="3" t="str">
        <f>HYPERLINK("https://www.boe.es/gazeta/dias/1823/01/07/pdfs/GMD-1823-7.pdf#page=5","Abrir facsímil")</f>
        <v>Abrir facsímil</v>
      </c>
      <c r="K3895" s="3" t="s">
        <v>23</v>
      </c>
    </row>
    <row r="3896" spans="1:11" ht="42" customHeight="1">
      <c r="A3896" s="2" t="s">
        <v>8067</v>
      </c>
      <c r="B3896" s="2" t="s">
        <v>8067</v>
      </c>
      <c r="C3896" s="2" t="s">
        <v>109</v>
      </c>
      <c r="D3896" s="2" t="s">
        <v>74</v>
      </c>
      <c r="E3896" s="5">
        <v>-28058</v>
      </c>
      <c r="F3896" s="3" t="s">
        <v>1282</v>
      </c>
      <c r="G3896" s="3" t="s">
        <v>20</v>
      </c>
      <c r="H3896" s="2" t="s">
        <v>21</v>
      </c>
      <c r="I3896" s="2" t="s">
        <v>8069</v>
      </c>
      <c r="J3896" s="3" t="str">
        <f>HYPERLINK("https://www.boe.es/gazeta/dias/1823/03/06/pdfs/GMD-1823-69.pdf#page=4","Abrir facsímil")</f>
        <v>Abrir facsímil</v>
      </c>
      <c r="K3896" s="3" t="s">
        <v>23</v>
      </c>
    </row>
    <row r="3897" spans="1:11" ht="42" customHeight="1">
      <c r="A3897" s="2" t="s">
        <v>8067</v>
      </c>
      <c r="B3897" s="2" t="s">
        <v>8067</v>
      </c>
      <c r="C3897" s="2" t="s">
        <v>17</v>
      </c>
      <c r="D3897" s="2" t="s">
        <v>18</v>
      </c>
      <c r="E3897" s="5">
        <v>-27987</v>
      </c>
      <c r="F3897" s="3" t="s">
        <v>332</v>
      </c>
      <c r="G3897" s="3" t="s">
        <v>59</v>
      </c>
      <c r="H3897" s="2" t="s">
        <v>21</v>
      </c>
      <c r="I3897" s="2" t="s">
        <v>8070</v>
      </c>
      <c r="J3897" s="3" t="str">
        <f>HYPERLINK("https://www.boe.es/gazeta/dias/1823/05/16/pdfs/GES-1823-36.pdf#page=6","Abrir facsímil")</f>
        <v>Abrir facsímil</v>
      </c>
      <c r="K3897" s="3" t="s">
        <v>23</v>
      </c>
    </row>
    <row r="3898" spans="1:11" ht="42" customHeight="1">
      <c r="A3898" s="2" t="s">
        <v>8067</v>
      </c>
      <c r="B3898" s="2" t="s">
        <v>8067</v>
      </c>
      <c r="C3898" s="2" t="s">
        <v>73</v>
      </c>
      <c r="D3898" s="2" t="s">
        <v>74</v>
      </c>
      <c r="E3898" s="5">
        <v>-27904</v>
      </c>
      <c r="F3898" s="3" t="s">
        <v>1748</v>
      </c>
      <c r="G3898" s="3" t="s">
        <v>20</v>
      </c>
      <c r="H3898" s="2" t="s">
        <v>21</v>
      </c>
      <c r="I3898" s="2" t="s">
        <v>8071</v>
      </c>
      <c r="J3898" s="3" t="str">
        <f>HYPERLINK("https://www.boe.es/gazeta/dias/1823/08/07/pdfs/GES-1823-120.pdf#page=4","Abrir facsímil")</f>
        <v>Abrir facsímil</v>
      </c>
      <c r="K3898" s="3" t="s">
        <v>23</v>
      </c>
    </row>
    <row r="3899" spans="1:11" ht="42" customHeight="1">
      <c r="A3899" s="2" t="s">
        <v>8067</v>
      </c>
      <c r="B3899" s="2" t="s">
        <v>8067</v>
      </c>
      <c r="C3899" s="2" t="s">
        <v>79</v>
      </c>
      <c r="D3899" s="2" t="s">
        <v>74</v>
      </c>
      <c r="E3899" s="5">
        <v>-27883</v>
      </c>
      <c r="F3899" s="3" t="s">
        <v>2838</v>
      </c>
      <c r="G3899" s="3" t="s">
        <v>48</v>
      </c>
      <c r="H3899" s="2" t="s">
        <v>21</v>
      </c>
      <c r="I3899" s="2" t="s">
        <v>8072</v>
      </c>
      <c r="J3899" s="3" t="str">
        <f>HYPERLINK("https://www.boe.es/gazeta/dias/1823/08/28/pdfs/GES-1823-141.pdf#page=3","Abrir facsímil")</f>
        <v>Abrir facsímil</v>
      </c>
      <c r="K3899" s="3" t="s">
        <v>23</v>
      </c>
    </row>
    <row r="3900" spans="1:11" ht="42" customHeight="1">
      <c r="A3900" s="2" t="s">
        <v>8073</v>
      </c>
      <c r="B3900" s="2" t="s">
        <v>8073</v>
      </c>
      <c r="C3900" s="2" t="s">
        <v>56</v>
      </c>
      <c r="D3900" s="2" t="s">
        <v>57</v>
      </c>
      <c r="E3900" s="5">
        <v>-28036</v>
      </c>
      <c r="F3900" s="3" t="s">
        <v>2216</v>
      </c>
      <c r="G3900" s="3" t="s">
        <v>39</v>
      </c>
      <c r="H3900" s="2" t="s">
        <v>21</v>
      </c>
      <c r="I3900" s="2" t="s">
        <v>8074</v>
      </c>
      <c r="J3900" s="3" t="str">
        <f>HYPERLINK("https://www.boe.es/gazeta/dias/1823/03/28/pdfs/GMD-1823-91.pdf#page=1","Abrir facsímil")</f>
        <v>Abrir facsímil</v>
      </c>
      <c r="K3900" s="3" t="s">
        <v>23</v>
      </c>
    </row>
    <row r="3901" spans="1:11" ht="42" customHeight="1">
      <c r="A3901" s="2" t="s">
        <v>8075</v>
      </c>
      <c r="B3901" s="2" t="s">
        <v>8075</v>
      </c>
      <c r="C3901" s="2" t="s">
        <v>84</v>
      </c>
      <c r="D3901" s="2" t="s">
        <v>74</v>
      </c>
      <c r="E3901" s="5">
        <v>-27895</v>
      </c>
      <c r="F3901" s="3" t="s">
        <v>5642</v>
      </c>
      <c r="G3901" s="3" t="s">
        <v>20</v>
      </c>
      <c r="H3901" s="2" t="s">
        <v>21</v>
      </c>
      <c r="I3901" s="2" t="s">
        <v>8076</v>
      </c>
      <c r="J3901" s="3" t="str">
        <f>HYPERLINK("https://www.boe.es/gazeta/dias/1823/08/16/pdfs/GMD-1823-603.pdf#page=4","Abrir facsímil")</f>
        <v>Abrir facsímil</v>
      </c>
      <c r="K3901" s="3" t="s">
        <v>23</v>
      </c>
    </row>
    <row r="3902" spans="1:11" ht="42" customHeight="1">
      <c r="A3902" s="2" t="s">
        <v>8077</v>
      </c>
      <c r="B3902" s="2" t="s">
        <v>8078</v>
      </c>
      <c r="C3902" s="2" t="s">
        <v>17</v>
      </c>
      <c r="D3902" s="2" t="s">
        <v>18</v>
      </c>
      <c r="E3902" s="5">
        <v>-27878</v>
      </c>
      <c r="F3902" s="3" t="s">
        <v>1581</v>
      </c>
      <c r="G3902" s="3" t="s">
        <v>48</v>
      </c>
      <c r="H3902" s="2" t="s">
        <v>21</v>
      </c>
      <c r="I3902" s="2" t="s">
        <v>8079</v>
      </c>
      <c r="J3902" s="3" t="str">
        <f>HYPERLINK("https://www.boe.es/gazeta/dias/1823/09/02/pdfs/GMD-1823-683.pdf#page=3","Abrir facsímil")</f>
        <v>Abrir facsímil</v>
      </c>
      <c r="K3902" s="3" t="s">
        <v>23</v>
      </c>
    </row>
    <row r="3903" spans="1:11" ht="42" customHeight="1">
      <c r="A3903" s="2" t="s">
        <v>8080</v>
      </c>
      <c r="B3903" s="2" t="s">
        <v>8080</v>
      </c>
      <c r="C3903" s="2" t="s">
        <v>79</v>
      </c>
      <c r="D3903" s="2" t="s">
        <v>74</v>
      </c>
      <c r="E3903" s="5">
        <v>-27953</v>
      </c>
      <c r="F3903" s="3" t="s">
        <v>1543</v>
      </c>
      <c r="G3903" s="3" t="s">
        <v>39</v>
      </c>
      <c r="H3903" s="2" t="s">
        <v>21</v>
      </c>
      <c r="I3903" s="2" t="s">
        <v>8081</v>
      </c>
      <c r="J3903" s="3" t="str">
        <f>HYPERLINK("https://www.boe.es/gazeta/dias/1823/06/19/pdfs/GMD-1823-193.pdf#page=1","Abrir facsímil")</f>
        <v>Abrir facsímil</v>
      </c>
      <c r="K3903" s="3" t="s">
        <v>23</v>
      </c>
    </row>
    <row r="3904" spans="1:11" ht="42" customHeight="1">
      <c r="A3904" s="2" t="s">
        <v>8080</v>
      </c>
      <c r="B3904" s="2" t="s">
        <v>8080</v>
      </c>
      <c r="C3904" s="2" t="s">
        <v>17</v>
      </c>
      <c r="D3904" s="2" t="s">
        <v>18</v>
      </c>
      <c r="E3904" s="5">
        <v>-27920</v>
      </c>
      <c r="F3904" s="3" t="s">
        <v>1334</v>
      </c>
      <c r="G3904" s="3" t="s">
        <v>39</v>
      </c>
      <c r="H3904" s="2" t="s">
        <v>21</v>
      </c>
      <c r="I3904" s="2" t="s">
        <v>8082</v>
      </c>
      <c r="J3904" s="3" t="str">
        <f>HYPERLINK("https://www.boe.es/gazeta/dias/1823/07/22/pdfs/GMD-1823-443.pdf#page=1","Abrir facsímil")</f>
        <v>Abrir facsímil</v>
      </c>
      <c r="K3904" s="3" t="s">
        <v>23</v>
      </c>
    </row>
    <row r="3905" spans="1:11" ht="42" customHeight="1">
      <c r="A3905" s="2" t="s">
        <v>8080</v>
      </c>
      <c r="B3905" s="2" t="s">
        <v>8080</v>
      </c>
      <c r="C3905" s="2" t="s">
        <v>79</v>
      </c>
      <c r="D3905" s="2" t="s">
        <v>74</v>
      </c>
      <c r="E3905" s="5">
        <v>-27913</v>
      </c>
      <c r="F3905" s="3" t="s">
        <v>829</v>
      </c>
      <c r="G3905" s="3" t="s">
        <v>48</v>
      </c>
      <c r="H3905" s="2" t="s">
        <v>21</v>
      </c>
      <c r="I3905" s="2" t="s">
        <v>8083</v>
      </c>
      <c r="J3905" s="3" t="str">
        <f>HYPERLINK("https://www.boe.es/gazeta/dias/1823/07/29/pdfs/GMD-1823-483.pdf#page=3","Abrir facsímil")</f>
        <v>Abrir facsímil</v>
      </c>
      <c r="K3905" s="3" t="s">
        <v>23</v>
      </c>
    </row>
    <row r="3906" spans="1:11" ht="42" customHeight="1">
      <c r="A3906" s="2" t="s">
        <v>8080</v>
      </c>
      <c r="B3906" s="2" t="s">
        <v>8080</v>
      </c>
      <c r="C3906" s="2" t="s">
        <v>17</v>
      </c>
      <c r="D3906" s="2" t="s">
        <v>18</v>
      </c>
      <c r="E3906" s="5">
        <v>-27906</v>
      </c>
      <c r="F3906" s="3" t="s">
        <v>1527</v>
      </c>
      <c r="G3906" s="3" t="s">
        <v>27</v>
      </c>
      <c r="H3906" s="2" t="s">
        <v>21</v>
      </c>
      <c r="I3906" s="2" t="s">
        <v>8084</v>
      </c>
      <c r="J3906" s="3" t="str">
        <f>HYPERLINK("https://www.boe.es/gazeta/dias/1823/08/05/pdfs/GMD-1823-533.pdf#page=2","Abrir facsímil")</f>
        <v>Abrir facsímil</v>
      </c>
      <c r="K3906" s="3" t="s">
        <v>23</v>
      </c>
    </row>
    <row r="3907" spans="1:11" ht="42" customHeight="1">
      <c r="A3907" s="2" t="s">
        <v>8080</v>
      </c>
      <c r="B3907" s="2" t="s">
        <v>8080</v>
      </c>
      <c r="C3907" s="2" t="s">
        <v>109</v>
      </c>
      <c r="D3907" s="2" t="s">
        <v>74</v>
      </c>
      <c r="E3907" s="5">
        <v>-27895</v>
      </c>
      <c r="F3907" s="3" t="s">
        <v>5642</v>
      </c>
      <c r="G3907" s="3" t="s">
        <v>27</v>
      </c>
      <c r="H3907" s="2" t="s">
        <v>21</v>
      </c>
      <c r="I3907" s="2" t="s">
        <v>8085</v>
      </c>
      <c r="J3907" s="3" t="str">
        <f>HYPERLINK("https://www.boe.es/gazeta/dias/1823/08/16/pdfs/GMD-1823-603.pdf#page=2","Abrir facsímil")</f>
        <v>Abrir facsímil</v>
      </c>
      <c r="K3907" s="3" t="s">
        <v>23</v>
      </c>
    </row>
    <row r="3908" spans="1:11" ht="42" customHeight="1">
      <c r="A3908" s="2" t="s">
        <v>8080</v>
      </c>
      <c r="B3908" s="2" t="s">
        <v>8080</v>
      </c>
      <c r="C3908" s="2" t="s">
        <v>109</v>
      </c>
      <c r="D3908" s="2" t="s">
        <v>74</v>
      </c>
      <c r="E3908" s="5">
        <v>-27878</v>
      </c>
      <c r="F3908" s="3" t="s">
        <v>1581</v>
      </c>
      <c r="G3908" s="3" t="s">
        <v>39</v>
      </c>
      <c r="H3908" s="2" t="s">
        <v>21</v>
      </c>
      <c r="I3908" s="2" t="s">
        <v>8086</v>
      </c>
      <c r="J3908" s="3" t="str">
        <f>HYPERLINK("https://www.boe.es/gazeta/dias/1823/09/02/pdfs/GMD-1823-683.pdf#page=1","Abrir facsímil")</f>
        <v>Abrir facsímil</v>
      </c>
      <c r="K3908" s="3" t="s">
        <v>23</v>
      </c>
    </row>
    <row r="3909" spans="1:11" ht="42" customHeight="1">
      <c r="A3909" s="2" t="s">
        <v>8087</v>
      </c>
      <c r="B3909" s="2" t="s">
        <v>8088</v>
      </c>
      <c r="C3909" s="2" t="s">
        <v>79</v>
      </c>
      <c r="D3909" s="2" t="s">
        <v>74</v>
      </c>
      <c r="E3909" s="5">
        <v>-28061</v>
      </c>
      <c r="F3909" s="3" t="s">
        <v>704</v>
      </c>
      <c r="G3909" s="3" t="s">
        <v>59</v>
      </c>
      <c r="H3909" s="2" t="s">
        <v>21</v>
      </c>
      <c r="I3909" s="2" t="s">
        <v>8089</v>
      </c>
      <c r="J3909" s="3" t="str">
        <f>HYPERLINK("https://www.boe.es/gazeta/dias/1823/03/03/pdfs/GMD-1823-66.pdf#page=6","Abrir facsímil")</f>
        <v>Abrir facsímil</v>
      </c>
      <c r="K3909" s="3" t="s">
        <v>23</v>
      </c>
    </row>
    <row r="3910" spans="1:11" ht="42" customHeight="1">
      <c r="A3910" s="2" t="s">
        <v>8090</v>
      </c>
      <c r="B3910" s="2" t="s">
        <v>8091</v>
      </c>
      <c r="C3910" s="2" t="s">
        <v>293</v>
      </c>
      <c r="D3910" s="2" t="s">
        <v>74</v>
      </c>
      <c r="E3910" s="5">
        <v>-28013</v>
      </c>
      <c r="F3910" s="3" t="s">
        <v>105</v>
      </c>
      <c r="G3910" s="3" t="s">
        <v>20</v>
      </c>
      <c r="H3910" s="2" t="s">
        <v>21</v>
      </c>
      <c r="I3910" s="2" t="s">
        <v>8092</v>
      </c>
      <c r="J3910" s="3" t="str">
        <f>HYPERLINK("https://www.boe.es/gazeta/dias/1823/04/20/pdfs/GMD-1823-32.pdf#page=4","Abrir facsímil")</f>
        <v>Abrir facsímil</v>
      </c>
      <c r="K3910" s="3" t="s">
        <v>23</v>
      </c>
    </row>
    <row r="3911" spans="1:11" ht="42" customHeight="1">
      <c r="A3911" s="2" t="s">
        <v>8093</v>
      </c>
      <c r="B3911" s="2" t="s">
        <v>8094</v>
      </c>
      <c r="C3911" s="2" t="s">
        <v>17</v>
      </c>
      <c r="D3911" s="2" t="s">
        <v>18</v>
      </c>
      <c r="E3911" s="5">
        <v>-27986</v>
      </c>
      <c r="F3911" s="3" t="s">
        <v>75</v>
      </c>
      <c r="G3911" s="3" t="s">
        <v>34</v>
      </c>
      <c r="H3911" s="2" t="s">
        <v>21</v>
      </c>
      <c r="I3911" s="2" t="s">
        <v>8095</v>
      </c>
      <c r="J3911" s="3" t="str">
        <f>HYPERLINK("https://www.boe.es/gazeta/dias/1823/05/17/pdfs/GES-1823-37.pdf#page=5","Abrir facsímil")</f>
        <v>Abrir facsímil</v>
      </c>
      <c r="K3911" s="3" t="s">
        <v>23</v>
      </c>
    </row>
    <row r="3912" spans="1:11" ht="42" customHeight="1">
      <c r="A3912" s="2" t="s">
        <v>8096</v>
      </c>
      <c r="B3912" s="2" t="s">
        <v>8097</v>
      </c>
      <c r="C3912" s="2" t="s">
        <v>17</v>
      </c>
      <c r="D3912" s="2" t="s">
        <v>18</v>
      </c>
      <c r="E3912" s="5">
        <v>-28086</v>
      </c>
      <c r="F3912" s="3" t="s">
        <v>289</v>
      </c>
      <c r="G3912" s="3" t="s">
        <v>20</v>
      </c>
      <c r="H3912" s="2" t="s">
        <v>21</v>
      </c>
      <c r="I3912" s="2" t="s">
        <v>8098</v>
      </c>
      <c r="J3912" s="3" t="str">
        <f>HYPERLINK("https://www.boe.es/gazeta/dias/1823/02/06/pdfs/GMD-1823-39.pdf#page=4","Abrir facsímil")</f>
        <v>Abrir facsímil</v>
      </c>
      <c r="K3912" s="3" t="s">
        <v>23</v>
      </c>
    </row>
    <row r="3913" spans="1:11" ht="42" customHeight="1">
      <c r="A3913" s="2" t="s">
        <v>8099</v>
      </c>
      <c r="B3913" s="2" t="s">
        <v>8100</v>
      </c>
      <c r="C3913" s="2" t="s">
        <v>79</v>
      </c>
      <c r="D3913" s="2" t="s">
        <v>74</v>
      </c>
      <c r="E3913" s="5">
        <v>-27986</v>
      </c>
      <c r="F3913" s="3" t="s">
        <v>75</v>
      </c>
      <c r="G3913" s="3" t="s">
        <v>20</v>
      </c>
      <c r="H3913" s="2" t="s">
        <v>21</v>
      </c>
      <c r="I3913" s="2" t="s">
        <v>8101</v>
      </c>
      <c r="J3913" s="3" t="str">
        <f>HYPERLINK("https://www.boe.es/gazeta/dias/1823/05/17/pdfs/GES-1823-37.pdf#page=4","Abrir facsímil")</f>
        <v>Abrir facsímil</v>
      </c>
      <c r="K3913" s="3" t="s">
        <v>23</v>
      </c>
    </row>
    <row r="3914" spans="1:11" ht="42" customHeight="1">
      <c r="A3914" s="2" t="s">
        <v>8102</v>
      </c>
      <c r="B3914" s="2" t="s">
        <v>8103</v>
      </c>
      <c r="C3914" s="2" t="s">
        <v>79</v>
      </c>
      <c r="D3914" s="2" t="s">
        <v>74</v>
      </c>
      <c r="E3914" s="5">
        <v>-28021</v>
      </c>
      <c r="F3914" s="3" t="s">
        <v>1054</v>
      </c>
      <c r="G3914" s="3" t="s">
        <v>1055</v>
      </c>
      <c r="H3914" s="2" t="s">
        <v>21</v>
      </c>
      <c r="I3914" s="2" t="s">
        <v>8104</v>
      </c>
      <c r="J3914" s="3" t="str">
        <f>HYPERLINK("https://www.boe.es/gazeta/dias/1823/04/12/pdfs/GMD-1823-107.pdf#page=4","Abrir facsímil")</f>
        <v>Abrir facsímil</v>
      </c>
      <c r="K3914" s="3" t="s">
        <v>23</v>
      </c>
    </row>
    <row r="3915" spans="1:11" ht="42" customHeight="1">
      <c r="A3915" s="2" t="s">
        <v>8105</v>
      </c>
      <c r="B3915" s="2" t="s">
        <v>8105</v>
      </c>
      <c r="C3915" s="2" t="s">
        <v>17</v>
      </c>
      <c r="D3915" s="2" t="s">
        <v>18</v>
      </c>
      <c r="E3915" s="5">
        <v>-27874</v>
      </c>
      <c r="F3915" s="3" t="s">
        <v>122</v>
      </c>
      <c r="G3915" s="3" t="s">
        <v>27</v>
      </c>
      <c r="H3915" s="2" t="s">
        <v>21</v>
      </c>
      <c r="I3915" s="2" t="s">
        <v>8106</v>
      </c>
      <c r="J3915" s="3" t="str">
        <f>HYPERLINK("https://www.boe.es/gazeta/dias/1823/09/06/pdfs/GMD-1823-713.pdf#page=2","Abrir facsímil")</f>
        <v>Abrir facsímil</v>
      </c>
      <c r="K3915" s="3" t="s">
        <v>23</v>
      </c>
    </row>
    <row r="3916" spans="1:11" ht="42" customHeight="1">
      <c r="A3916" s="2" t="s">
        <v>8107</v>
      </c>
      <c r="B3916" s="2" t="s">
        <v>8108</v>
      </c>
      <c r="C3916" s="2" t="s">
        <v>56</v>
      </c>
      <c r="D3916" s="2" t="s">
        <v>57</v>
      </c>
      <c r="E3916" s="5">
        <v>-28100</v>
      </c>
      <c r="F3916" s="3" t="s">
        <v>737</v>
      </c>
      <c r="G3916" s="3" t="s">
        <v>27</v>
      </c>
      <c r="H3916" s="2" t="s">
        <v>21</v>
      </c>
      <c r="I3916" s="2" t="s">
        <v>8109</v>
      </c>
      <c r="J3916" s="3" t="str">
        <f>HYPERLINK("https://www.boe.es/gazeta/dias/1823/01/23/pdfs/GMD-1823-24.pdf#page=2","Abrir facsímil")</f>
        <v>Abrir facsímil</v>
      </c>
      <c r="K3916" s="3" t="s">
        <v>23</v>
      </c>
    </row>
    <row r="3917" spans="1:11" ht="42" customHeight="1">
      <c r="A3917" s="2" t="s">
        <v>8110</v>
      </c>
      <c r="B3917" s="2" t="s">
        <v>8110</v>
      </c>
      <c r="C3917" s="2" t="s">
        <v>293</v>
      </c>
      <c r="D3917" s="2" t="s">
        <v>117</v>
      </c>
      <c r="E3917" s="5">
        <v>-27970</v>
      </c>
      <c r="F3917" s="3" t="s">
        <v>1699</v>
      </c>
      <c r="G3917" s="3" t="s">
        <v>39</v>
      </c>
      <c r="H3917" s="2" t="s">
        <v>21</v>
      </c>
      <c r="I3917" s="2" t="s">
        <v>8111</v>
      </c>
      <c r="J3917" s="3" t="str">
        <f>HYPERLINK("https://www.boe.es/gazeta/dias/1823/06/02/pdfs/GMD-1823-43E.pdf#page=1","Abrir facsímil")</f>
        <v>Abrir facsímil</v>
      </c>
      <c r="K3917" s="3" t="s">
        <v>23</v>
      </c>
    </row>
    <row r="3918" spans="1:11" ht="42" customHeight="1">
      <c r="A3918" s="2" t="s">
        <v>8112</v>
      </c>
      <c r="B3918" s="2" t="s">
        <v>8112</v>
      </c>
      <c r="C3918" s="2" t="s">
        <v>17</v>
      </c>
      <c r="D3918" s="2" t="s">
        <v>18</v>
      </c>
      <c r="E3918" s="5">
        <v>-27961</v>
      </c>
      <c r="F3918" s="3" t="s">
        <v>52</v>
      </c>
      <c r="G3918" s="3" t="s">
        <v>48</v>
      </c>
      <c r="H3918" s="2" t="s">
        <v>21</v>
      </c>
      <c r="I3918" s="2" t="s">
        <v>8113</v>
      </c>
      <c r="J3918" s="3" t="str">
        <f>HYPERLINK("https://www.boe.es/gazeta/dias/1823/06/11/pdfs/GES-1823-65.pdf#page=3","Abrir facsímil")</f>
        <v>Abrir facsímil</v>
      </c>
      <c r="K3918" s="3" t="s">
        <v>23</v>
      </c>
    </row>
    <row r="3919" spans="1:11" ht="42" customHeight="1">
      <c r="A3919" s="2" t="s">
        <v>8114</v>
      </c>
      <c r="B3919" s="2" t="s">
        <v>8114</v>
      </c>
      <c r="C3919" s="2" t="s">
        <v>56</v>
      </c>
      <c r="D3919" s="2" t="s">
        <v>57</v>
      </c>
      <c r="E3919" s="5">
        <v>-28038</v>
      </c>
      <c r="F3919" s="3" t="s">
        <v>2379</v>
      </c>
      <c r="G3919" s="3" t="s">
        <v>48</v>
      </c>
      <c r="H3919" s="2" t="s">
        <v>21</v>
      </c>
      <c r="I3919" s="2" t="s">
        <v>8115</v>
      </c>
      <c r="J3919" s="3" t="str">
        <f>HYPERLINK("https://www.boe.es/gazeta/dias/1823/03/26/pdfs/GMD-1823-89.pdf#page=3","Abrir facsímil")</f>
        <v>Abrir facsímil</v>
      </c>
      <c r="K3919" s="3" t="s">
        <v>23</v>
      </c>
    </row>
    <row r="3920" spans="1:11" ht="42" customHeight="1">
      <c r="A3920" s="2" t="s">
        <v>8116</v>
      </c>
      <c r="B3920" s="2" t="s">
        <v>8116</v>
      </c>
      <c r="C3920" s="2" t="s">
        <v>109</v>
      </c>
      <c r="D3920" s="2" t="s">
        <v>74</v>
      </c>
      <c r="E3920" s="5">
        <v>-27888</v>
      </c>
      <c r="F3920" s="3" t="s">
        <v>232</v>
      </c>
      <c r="G3920" s="3" t="s">
        <v>48</v>
      </c>
      <c r="H3920" s="2" t="s">
        <v>21</v>
      </c>
      <c r="I3920" s="2" t="s">
        <v>8117</v>
      </c>
      <c r="J3920" s="3" t="str">
        <f>HYPERLINK("https://www.boe.es/gazeta/dias/1823/08/23/pdfs/GMD-1823-633.pdf#page=3","Abrir facsímil")</f>
        <v>Abrir facsímil</v>
      </c>
      <c r="K3920" s="3" t="s">
        <v>23</v>
      </c>
    </row>
    <row r="3921" spans="1:11" ht="42" customHeight="1">
      <c r="A3921" s="2" t="s">
        <v>8118</v>
      </c>
      <c r="B3921" s="2" t="s">
        <v>8118</v>
      </c>
      <c r="C3921" s="2" t="s">
        <v>73</v>
      </c>
      <c r="D3921" s="2" t="s">
        <v>74</v>
      </c>
      <c r="E3921" s="5">
        <v>-27972</v>
      </c>
      <c r="F3921" s="3" t="s">
        <v>1515</v>
      </c>
      <c r="G3921" s="3" t="s">
        <v>27</v>
      </c>
      <c r="H3921" s="2" t="s">
        <v>21</v>
      </c>
      <c r="I3921" s="2" t="s">
        <v>8119</v>
      </c>
      <c r="J3921" s="3" t="str">
        <f>HYPERLINK("https://www.boe.es/gazeta/dias/1823/05/31/pdfs/GMD-1823-33.pdf#page=2","Abrir facsímil")</f>
        <v>Abrir facsímil</v>
      </c>
      <c r="K3921" s="3" t="s">
        <v>23</v>
      </c>
    </row>
    <row r="3922" spans="1:11" ht="42" customHeight="1">
      <c r="A3922" s="2" t="s">
        <v>8118</v>
      </c>
      <c r="B3922" s="2" t="s">
        <v>8118</v>
      </c>
      <c r="C3922" s="2" t="s">
        <v>17</v>
      </c>
      <c r="D3922" s="2" t="s">
        <v>18</v>
      </c>
      <c r="E3922" s="5">
        <v>-27960</v>
      </c>
      <c r="F3922" s="3" t="s">
        <v>682</v>
      </c>
      <c r="G3922" s="3" t="s">
        <v>815</v>
      </c>
      <c r="H3922" s="2" t="s">
        <v>21</v>
      </c>
      <c r="I3922" s="2" t="s">
        <v>8120</v>
      </c>
      <c r="J3922" s="3" t="str">
        <f>HYPERLINK("https://www.boe.es/gazeta/dias/1823/06/12/pdfs/GMD-1823-123.pdf#page=6","Abrir facsímil")</f>
        <v>Abrir facsímil</v>
      </c>
      <c r="K3922" s="3" t="s">
        <v>23</v>
      </c>
    </row>
    <row r="3923" spans="1:11" ht="42" customHeight="1">
      <c r="A3923" s="2" t="s">
        <v>8121</v>
      </c>
      <c r="B3923" s="2" t="s">
        <v>8121</v>
      </c>
      <c r="C3923" s="2" t="s">
        <v>109</v>
      </c>
      <c r="D3923" s="2" t="s">
        <v>74</v>
      </c>
      <c r="E3923" s="5">
        <v>-27953</v>
      </c>
      <c r="F3923" s="3" t="s">
        <v>1543</v>
      </c>
      <c r="G3923" s="3" t="s">
        <v>39</v>
      </c>
      <c r="H3923" s="2" t="s">
        <v>21</v>
      </c>
      <c r="I3923" s="2" t="s">
        <v>8122</v>
      </c>
      <c r="J3923" s="3" t="str">
        <f>HYPERLINK("https://www.boe.es/gazeta/dias/1823/06/19/pdfs/GMD-1823-193.pdf#page=1","Abrir facsímil")</f>
        <v>Abrir facsímil</v>
      </c>
      <c r="K3923" s="3" t="s">
        <v>23</v>
      </c>
    </row>
    <row r="3924" spans="1:11" ht="42" customHeight="1">
      <c r="A3924" s="2" t="s">
        <v>8118</v>
      </c>
      <c r="B3924" s="2" t="s">
        <v>8118</v>
      </c>
      <c r="C3924" s="2" t="s">
        <v>79</v>
      </c>
      <c r="D3924" s="2" t="s">
        <v>74</v>
      </c>
      <c r="E3924" s="5">
        <v>-27953</v>
      </c>
      <c r="F3924" s="3" t="s">
        <v>1543</v>
      </c>
      <c r="G3924" s="3" t="s">
        <v>27</v>
      </c>
      <c r="H3924" s="2" t="s">
        <v>21</v>
      </c>
      <c r="I3924" s="2" t="s">
        <v>8123</v>
      </c>
      <c r="J3924" s="3" t="str">
        <f>HYPERLINK("https://www.boe.es/gazeta/dias/1823/06/19/pdfs/GMD-1823-193.pdf#page=2","Abrir facsímil")</f>
        <v>Abrir facsímil</v>
      </c>
      <c r="K3924" s="3" t="s">
        <v>23</v>
      </c>
    </row>
    <row r="3925" spans="1:11" ht="42" customHeight="1">
      <c r="A3925" s="2" t="s">
        <v>8121</v>
      </c>
      <c r="B3925" s="2" t="s">
        <v>8121</v>
      </c>
      <c r="C3925" s="2" t="s">
        <v>17</v>
      </c>
      <c r="D3925" s="2" t="s">
        <v>18</v>
      </c>
      <c r="E3925" s="5">
        <v>-27951</v>
      </c>
      <c r="F3925" s="3" t="s">
        <v>4670</v>
      </c>
      <c r="G3925" s="3" t="s">
        <v>20</v>
      </c>
      <c r="H3925" s="2" t="s">
        <v>21</v>
      </c>
      <c r="I3925" s="2" t="s">
        <v>8124</v>
      </c>
      <c r="J3925" s="3" t="str">
        <f>HYPERLINK("https://www.boe.es/gazeta/dias/1823/06/21/pdfs/GMD-1823-223.pdf#page=4","Abrir facsímil")</f>
        <v>Abrir facsímil</v>
      </c>
      <c r="K3925" s="3" t="s">
        <v>23</v>
      </c>
    </row>
    <row r="3926" spans="1:11" ht="42" customHeight="1">
      <c r="A3926" s="2" t="s">
        <v>8118</v>
      </c>
      <c r="B3926" s="2" t="s">
        <v>8118</v>
      </c>
      <c r="C3926" s="2" t="s">
        <v>79</v>
      </c>
      <c r="D3926" s="2" t="s">
        <v>74</v>
      </c>
      <c r="E3926" s="5">
        <v>-27937</v>
      </c>
      <c r="F3926" s="3" t="s">
        <v>897</v>
      </c>
      <c r="G3926" s="3" t="s">
        <v>27</v>
      </c>
      <c r="H3926" s="2" t="s">
        <v>21</v>
      </c>
      <c r="I3926" s="2" t="s">
        <v>8125</v>
      </c>
      <c r="J3926" s="3" t="str">
        <f>HYPERLINK("https://www.boe.es/gazeta/dias/1823/07/05/pdfs/GMD-1823-343.pdf#page=2","Abrir facsímil")</f>
        <v>Abrir facsímil</v>
      </c>
      <c r="K3926" s="3" t="s">
        <v>23</v>
      </c>
    </row>
    <row r="3927" spans="1:11" ht="42" customHeight="1">
      <c r="A3927" s="2" t="s">
        <v>8118</v>
      </c>
      <c r="B3927" s="2" t="s">
        <v>8118</v>
      </c>
      <c r="C3927" s="2" t="s">
        <v>17</v>
      </c>
      <c r="D3927" s="2" t="s">
        <v>18</v>
      </c>
      <c r="E3927" s="5">
        <v>-27904</v>
      </c>
      <c r="F3927" s="3" t="s">
        <v>1227</v>
      </c>
      <c r="G3927" s="3" t="s">
        <v>27</v>
      </c>
      <c r="H3927" s="2" t="s">
        <v>21</v>
      </c>
      <c r="I3927" s="2" t="s">
        <v>8126</v>
      </c>
      <c r="J3927" s="3" t="str">
        <f>HYPERLINK("https://www.boe.es/gazeta/dias/1823/08/07/pdfs/GMD-1823-543.pdf#page=2","Abrir facsímil")</f>
        <v>Abrir facsímil</v>
      </c>
      <c r="K3927" s="3" t="s">
        <v>23</v>
      </c>
    </row>
    <row r="3928" spans="1:11" ht="42" customHeight="1">
      <c r="A3928" s="2" t="s">
        <v>8118</v>
      </c>
      <c r="B3928" s="2" t="s">
        <v>8118</v>
      </c>
      <c r="C3928" s="2" t="s">
        <v>17</v>
      </c>
      <c r="D3928" s="2" t="s">
        <v>18</v>
      </c>
      <c r="E3928" s="5">
        <v>-27892</v>
      </c>
      <c r="F3928" s="3" t="s">
        <v>1571</v>
      </c>
      <c r="G3928" s="3" t="s">
        <v>48</v>
      </c>
      <c r="H3928" s="2" t="s">
        <v>21</v>
      </c>
      <c r="I3928" s="2" t="s">
        <v>8127</v>
      </c>
      <c r="J3928" s="3" t="str">
        <f>HYPERLINK("https://www.boe.es/gazeta/dias/1823/08/19/pdfs/GMD-1823-613.pdf#page=3","Abrir facsímil")</f>
        <v>Abrir facsímil</v>
      </c>
      <c r="K3928" s="3" t="s">
        <v>23</v>
      </c>
    </row>
    <row r="3929" spans="1:11" ht="42" customHeight="1">
      <c r="A3929" s="2" t="s">
        <v>8118</v>
      </c>
      <c r="B3929" s="2" t="s">
        <v>8118</v>
      </c>
      <c r="C3929" s="2" t="s">
        <v>17</v>
      </c>
      <c r="D3929" s="2" t="s">
        <v>18</v>
      </c>
      <c r="E3929" s="5">
        <v>-27884</v>
      </c>
      <c r="F3929" s="3" t="s">
        <v>61</v>
      </c>
      <c r="G3929" s="3" t="s">
        <v>48</v>
      </c>
      <c r="H3929" s="2" t="s">
        <v>21</v>
      </c>
      <c r="I3929" s="2" t="s">
        <v>8128</v>
      </c>
      <c r="J3929" s="3" t="str">
        <f>HYPERLINK("https://www.boe.es/gazeta/dias/1823/08/27/pdfs/GES-1823-140.pdf#page=3","Abrir facsímil")</f>
        <v>Abrir facsímil</v>
      </c>
      <c r="K3929" s="3" t="s">
        <v>23</v>
      </c>
    </row>
    <row r="3930" spans="1:11" ht="42" customHeight="1">
      <c r="A3930" s="2" t="s">
        <v>8118</v>
      </c>
      <c r="B3930" s="2" t="s">
        <v>8118</v>
      </c>
      <c r="C3930" s="2" t="s">
        <v>79</v>
      </c>
      <c r="D3930" s="2" t="s">
        <v>74</v>
      </c>
      <c r="E3930" s="5">
        <v>-27883</v>
      </c>
      <c r="F3930" s="3" t="s">
        <v>2318</v>
      </c>
      <c r="G3930" s="3" t="s">
        <v>27</v>
      </c>
      <c r="H3930" s="2" t="s">
        <v>21</v>
      </c>
      <c r="I3930" s="2" t="s">
        <v>8129</v>
      </c>
      <c r="J3930" s="3" t="str">
        <f>HYPERLINK("https://www.boe.es/gazeta/dias/1823/08/28/pdfs/GMD-1823-663.pdf#page=2","Abrir facsímil")</f>
        <v>Abrir facsímil</v>
      </c>
      <c r="K3930" s="3" t="s">
        <v>23</v>
      </c>
    </row>
    <row r="3931" spans="1:11" ht="42" customHeight="1">
      <c r="A3931" s="2" t="s">
        <v>8118</v>
      </c>
      <c r="B3931" s="2" t="s">
        <v>8118</v>
      </c>
      <c r="C3931" s="2" t="s">
        <v>79</v>
      </c>
      <c r="D3931" s="2" t="s">
        <v>74</v>
      </c>
      <c r="E3931" s="5">
        <v>-27841</v>
      </c>
      <c r="F3931" s="3" t="s">
        <v>721</v>
      </c>
      <c r="G3931" s="3" t="s">
        <v>27</v>
      </c>
      <c r="H3931" s="2" t="s">
        <v>21</v>
      </c>
      <c r="I3931" s="2" t="s">
        <v>8130</v>
      </c>
      <c r="J3931" s="3" t="str">
        <f>HYPERLINK("https://www.boe.es/gazeta/dias/1823/10/09/pdfs/GMD-1823-953.pdf#page=2","Abrir facsímil")</f>
        <v>Abrir facsímil</v>
      </c>
      <c r="K3931" s="3" t="s">
        <v>23</v>
      </c>
    </row>
    <row r="3932" spans="1:11" ht="42" customHeight="1">
      <c r="A3932" s="2" t="s">
        <v>8131</v>
      </c>
      <c r="B3932" s="2" t="s">
        <v>8131</v>
      </c>
      <c r="C3932" s="2" t="s">
        <v>79</v>
      </c>
      <c r="D3932" s="2" t="s">
        <v>74</v>
      </c>
      <c r="E3932" s="5">
        <v>-27974</v>
      </c>
      <c r="F3932" s="3" t="s">
        <v>1041</v>
      </c>
      <c r="G3932" s="3" t="s">
        <v>27</v>
      </c>
      <c r="H3932" s="2" t="s">
        <v>21</v>
      </c>
      <c r="I3932" s="2" t="s">
        <v>8132</v>
      </c>
      <c r="J3932" s="3" t="str">
        <f>HYPERLINK("https://www.boe.es/gazeta/dias/1823/05/29/pdfs/GMD-1823-23.pdf#page=2","Abrir facsímil")</f>
        <v>Abrir facsímil</v>
      </c>
      <c r="K3932" s="3" t="s">
        <v>23</v>
      </c>
    </row>
    <row r="3933" spans="1:11" ht="42" customHeight="1">
      <c r="A3933" s="2" t="s">
        <v>8133</v>
      </c>
      <c r="B3933" s="2" t="s">
        <v>8133</v>
      </c>
      <c r="C3933" s="2" t="s">
        <v>79</v>
      </c>
      <c r="D3933" s="2" t="s">
        <v>74</v>
      </c>
      <c r="E3933" s="5">
        <v>-27939</v>
      </c>
      <c r="F3933" s="3" t="s">
        <v>1403</v>
      </c>
      <c r="G3933" s="3" t="s">
        <v>1553</v>
      </c>
      <c r="H3933" s="2" t="s">
        <v>21</v>
      </c>
      <c r="I3933" s="2" t="s">
        <v>8134</v>
      </c>
      <c r="J3933" s="3" t="str">
        <f>HYPERLINK("https://www.boe.es/gazeta/dias/1823/07/03/pdfs/GMD-1823-333.pdf#page=7","Abrir facsímil")</f>
        <v>Abrir facsímil</v>
      </c>
      <c r="K3933" s="3" t="s">
        <v>23</v>
      </c>
    </row>
    <row r="3934" spans="1:11" ht="42" customHeight="1">
      <c r="A3934" s="2" t="s">
        <v>8135</v>
      </c>
      <c r="B3934" s="2" t="s">
        <v>8136</v>
      </c>
      <c r="C3934" s="2" t="s">
        <v>73</v>
      </c>
      <c r="D3934" s="2" t="s">
        <v>74</v>
      </c>
      <c r="E3934" s="5">
        <v>-28081</v>
      </c>
      <c r="F3934" s="3" t="s">
        <v>170</v>
      </c>
      <c r="G3934" s="3" t="s">
        <v>20</v>
      </c>
      <c r="H3934" s="2" t="s">
        <v>21</v>
      </c>
      <c r="I3934" s="2" t="s">
        <v>8137</v>
      </c>
      <c r="J3934" s="3" t="str">
        <f>HYPERLINK("https://www.boe.es/gazeta/dias/1823/02/11/pdfs/GMD-1823-45.pdf#page=4","Abrir facsímil")</f>
        <v>Abrir facsímil</v>
      </c>
      <c r="K3934" s="3" t="s">
        <v>23</v>
      </c>
    </row>
    <row r="3935" spans="1:11" ht="42" customHeight="1">
      <c r="A3935" s="2" t="s">
        <v>8138</v>
      </c>
      <c r="B3935" s="2" t="s">
        <v>8138</v>
      </c>
      <c r="C3935" s="2" t="s">
        <v>17</v>
      </c>
      <c r="D3935" s="2" t="s">
        <v>18</v>
      </c>
      <c r="E3935" s="5">
        <v>-27825</v>
      </c>
      <c r="F3935" s="3" t="s">
        <v>2503</v>
      </c>
      <c r="G3935" s="3" t="s">
        <v>48</v>
      </c>
      <c r="H3935" s="2" t="s">
        <v>21</v>
      </c>
      <c r="I3935" s="2" t="s">
        <v>8139</v>
      </c>
      <c r="J3935" s="3" t="str">
        <f>HYPERLINK("https://www.boe.es/gazeta/dias/1823/10/25/pdfs/GMD-1823-1023.pdf#page=3","Abrir facsímil")</f>
        <v>Abrir facsímil</v>
      </c>
      <c r="K3935" s="3" t="s">
        <v>23</v>
      </c>
    </row>
    <row r="3936" spans="1:11" ht="42" customHeight="1">
      <c r="A3936" s="2" t="s">
        <v>8140</v>
      </c>
      <c r="B3936" s="2" t="s">
        <v>8141</v>
      </c>
      <c r="C3936" s="2" t="s">
        <v>17</v>
      </c>
      <c r="D3936" s="2" t="s">
        <v>18</v>
      </c>
      <c r="E3936" s="5">
        <v>-28037</v>
      </c>
      <c r="F3936" s="3" t="s">
        <v>192</v>
      </c>
      <c r="G3936" s="3" t="s">
        <v>48</v>
      </c>
      <c r="H3936" s="2" t="s">
        <v>21</v>
      </c>
      <c r="I3936" s="2" t="s">
        <v>8142</v>
      </c>
      <c r="J3936" s="3" t="str">
        <f>HYPERLINK("https://www.boe.es/gazeta/dias/1823/03/27/pdfs/GMD-1823-90.pdf#page=3","Abrir facsímil")</f>
        <v>Abrir facsímil</v>
      </c>
      <c r="K3936" s="3" t="s">
        <v>23</v>
      </c>
    </row>
    <row r="3937" spans="1:11" ht="42" customHeight="1">
      <c r="A3937" s="2" t="s">
        <v>8143</v>
      </c>
      <c r="B3937" s="2" t="s">
        <v>8144</v>
      </c>
      <c r="C3937" s="2" t="s">
        <v>293</v>
      </c>
      <c r="D3937" s="2" t="s">
        <v>74</v>
      </c>
      <c r="E3937" s="5">
        <v>-28061</v>
      </c>
      <c r="F3937" s="3" t="s">
        <v>704</v>
      </c>
      <c r="G3937" s="3" t="s">
        <v>34</v>
      </c>
      <c r="H3937" s="2" t="s">
        <v>21</v>
      </c>
      <c r="I3937" s="2" t="s">
        <v>8145</v>
      </c>
      <c r="J3937" s="3" t="str">
        <f>HYPERLINK("https://www.boe.es/gazeta/dias/1823/03/03/pdfs/GMD-1823-66.pdf#page=5","Abrir facsímil")</f>
        <v>Abrir facsímil</v>
      </c>
      <c r="K3937" s="3" t="s">
        <v>23</v>
      </c>
    </row>
    <row r="3938" spans="1:11" ht="42" customHeight="1">
      <c r="A3938" s="2" t="s">
        <v>8146</v>
      </c>
      <c r="B3938" s="2" t="s">
        <v>8147</v>
      </c>
      <c r="C3938" s="2" t="s">
        <v>56</v>
      </c>
      <c r="D3938" s="2" t="s">
        <v>57</v>
      </c>
      <c r="E3938" s="5">
        <v>-28097</v>
      </c>
      <c r="F3938" s="3" t="s">
        <v>1368</v>
      </c>
      <c r="G3938" s="3" t="s">
        <v>20</v>
      </c>
      <c r="H3938" s="2" t="s">
        <v>21</v>
      </c>
      <c r="I3938" s="2" t="s">
        <v>8148</v>
      </c>
      <c r="J3938" s="3" t="str">
        <f>HYPERLINK("https://www.boe.es/gazeta/dias/1823/01/26/pdfs/GMD-1823-27.pdf#page=4","Abrir facsímil")</f>
        <v>Abrir facsímil</v>
      </c>
      <c r="K3938" s="3" t="s">
        <v>23</v>
      </c>
    </row>
    <row r="3939" spans="1:11" ht="42" customHeight="1">
      <c r="A3939" s="2" t="s">
        <v>8146</v>
      </c>
      <c r="B3939" s="2" t="s">
        <v>8147</v>
      </c>
      <c r="C3939" s="2" t="s">
        <v>17</v>
      </c>
      <c r="D3939" s="2" t="s">
        <v>18</v>
      </c>
      <c r="E3939" s="5">
        <v>-28094</v>
      </c>
      <c r="F3939" s="3" t="s">
        <v>93</v>
      </c>
      <c r="G3939" s="3" t="s">
        <v>20</v>
      </c>
      <c r="H3939" s="2" t="s">
        <v>21</v>
      </c>
      <c r="I3939" s="2" t="s">
        <v>8149</v>
      </c>
      <c r="J3939" s="3" t="str">
        <f>HYPERLINK("https://www.boe.es/gazeta/dias/1823/01/29/pdfs/GMD-1823-30.pdf#page=4","Abrir facsímil")</f>
        <v>Abrir facsímil</v>
      </c>
      <c r="K3939" s="3" t="s">
        <v>23</v>
      </c>
    </row>
    <row r="3940" spans="1:11" ht="42" customHeight="1">
      <c r="A3940" s="2" t="s">
        <v>8146</v>
      </c>
      <c r="B3940" s="2" t="s">
        <v>8147</v>
      </c>
      <c r="C3940" s="2" t="s">
        <v>73</v>
      </c>
      <c r="D3940" s="2" t="s">
        <v>74</v>
      </c>
      <c r="E3940" s="5">
        <v>-28082</v>
      </c>
      <c r="F3940" s="3" t="s">
        <v>468</v>
      </c>
      <c r="G3940" s="3" t="s">
        <v>59</v>
      </c>
      <c r="H3940" s="2" t="s">
        <v>21</v>
      </c>
      <c r="I3940" s="2" t="s">
        <v>8150</v>
      </c>
      <c r="J3940" s="3" t="str">
        <f>HYPERLINK("https://www.boe.es/gazeta/dias/1823/02/10/pdfs/GMD-1823-44.pdf#page=6","Abrir facsímil")</f>
        <v>Abrir facsímil</v>
      </c>
      <c r="K3940" s="3" t="s">
        <v>23</v>
      </c>
    </row>
    <row r="3941" spans="1:11" ht="42" customHeight="1">
      <c r="A3941" s="2" t="s">
        <v>8146</v>
      </c>
      <c r="B3941" s="2" t="s">
        <v>8147</v>
      </c>
      <c r="C3941" s="2" t="s">
        <v>17</v>
      </c>
      <c r="D3941" s="2" t="s">
        <v>18</v>
      </c>
      <c r="E3941" s="5">
        <v>-28060</v>
      </c>
      <c r="F3941" s="3" t="s">
        <v>180</v>
      </c>
      <c r="G3941" s="3" t="s">
        <v>181</v>
      </c>
      <c r="H3941" s="2" t="s">
        <v>21</v>
      </c>
      <c r="I3941" s="2" t="s">
        <v>8151</v>
      </c>
      <c r="J3941" s="3" t="str">
        <f>HYPERLINK("https://www.boe.es/gazeta/dias/1823/03/04/pdfs/GMD-1823-67.pdf#page=6","Abrir facsímil")</f>
        <v>Abrir facsímil</v>
      </c>
      <c r="K3941" s="3" t="s">
        <v>23</v>
      </c>
    </row>
    <row r="3942" spans="1:11" ht="42" customHeight="1">
      <c r="A3942" s="2" t="s">
        <v>8146</v>
      </c>
      <c r="B3942" s="2" t="s">
        <v>8147</v>
      </c>
      <c r="C3942" s="2" t="s">
        <v>56</v>
      </c>
      <c r="D3942" s="2" t="s">
        <v>57</v>
      </c>
      <c r="E3942" s="5">
        <v>-28057</v>
      </c>
      <c r="F3942" s="3" t="s">
        <v>301</v>
      </c>
      <c r="G3942" s="3" t="s">
        <v>20</v>
      </c>
      <c r="H3942" s="2" t="s">
        <v>21</v>
      </c>
      <c r="I3942" s="2" t="s">
        <v>8152</v>
      </c>
      <c r="J3942" s="3" t="str">
        <f>HYPERLINK("https://www.boe.es/gazeta/dias/1823/03/07/pdfs/GMD-1823-70.pdf#page=4","Abrir facsímil")</f>
        <v>Abrir facsímil</v>
      </c>
      <c r="K3942" s="3" t="s">
        <v>23</v>
      </c>
    </row>
    <row r="3943" spans="1:11" ht="42" customHeight="1">
      <c r="A3943" s="2" t="s">
        <v>8146</v>
      </c>
      <c r="B3943" s="2" t="s">
        <v>8147</v>
      </c>
      <c r="C3943" s="2" t="s">
        <v>17</v>
      </c>
      <c r="D3943" s="2" t="s">
        <v>18</v>
      </c>
      <c r="E3943" s="5">
        <v>-28056</v>
      </c>
      <c r="F3943" s="3" t="s">
        <v>572</v>
      </c>
      <c r="G3943" s="3" t="s">
        <v>59</v>
      </c>
      <c r="H3943" s="2" t="s">
        <v>21</v>
      </c>
      <c r="I3943" s="2" t="s">
        <v>8153</v>
      </c>
      <c r="J3943" s="3" t="str">
        <f>HYPERLINK("https://www.boe.es/gazeta/dias/1823/03/08/pdfs/GMD-1823-71.pdf#page=6","Abrir facsímil")</f>
        <v>Abrir facsímil</v>
      </c>
      <c r="K3943" s="3" t="s">
        <v>23</v>
      </c>
    </row>
    <row r="3944" spans="1:11" ht="42" customHeight="1">
      <c r="A3944" s="2" t="s">
        <v>8146</v>
      </c>
      <c r="B3944" s="2" t="s">
        <v>8147</v>
      </c>
      <c r="C3944" s="2" t="s">
        <v>17</v>
      </c>
      <c r="D3944" s="2" t="s">
        <v>18</v>
      </c>
      <c r="E3944" s="5">
        <v>-28053</v>
      </c>
      <c r="F3944" s="3" t="s">
        <v>303</v>
      </c>
      <c r="G3944" s="3" t="s">
        <v>20</v>
      </c>
      <c r="H3944" s="2" t="s">
        <v>21</v>
      </c>
      <c r="I3944" s="2" t="s">
        <v>8154</v>
      </c>
      <c r="J3944" s="3" t="str">
        <f>HYPERLINK("https://www.boe.es/gazeta/dias/1823/03/11/pdfs/GMD-1823-74.pdf#page=4","Abrir facsímil")</f>
        <v>Abrir facsímil</v>
      </c>
      <c r="K3944" s="3" t="s">
        <v>23</v>
      </c>
    </row>
    <row r="3945" spans="1:11" ht="42" customHeight="1">
      <c r="A3945" s="2" t="s">
        <v>8146</v>
      </c>
      <c r="B3945" s="2" t="s">
        <v>8147</v>
      </c>
      <c r="C3945" s="2" t="s">
        <v>56</v>
      </c>
      <c r="D3945" s="2" t="s">
        <v>57</v>
      </c>
      <c r="E3945" s="5">
        <v>-28052</v>
      </c>
      <c r="F3945" s="3" t="s">
        <v>1025</v>
      </c>
      <c r="G3945" s="3" t="s">
        <v>59</v>
      </c>
      <c r="H3945" s="2" t="s">
        <v>21</v>
      </c>
      <c r="I3945" s="2" t="s">
        <v>8155</v>
      </c>
      <c r="J3945" s="3" t="str">
        <f>HYPERLINK("https://www.boe.es/gazeta/dias/1823/03/12/pdfs/GMD-1823-75.pdf#page=6","Abrir facsímil")</f>
        <v>Abrir facsímil</v>
      </c>
      <c r="K3945" s="3" t="s">
        <v>23</v>
      </c>
    </row>
    <row r="3946" spans="1:11" ht="42" customHeight="1">
      <c r="A3946" s="2" t="s">
        <v>8146</v>
      </c>
      <c r="B3946" s="2" t="s">
        <v>8147</v>
      </c>
      <c r="C3946" s="2" t="s">
        <v>56</v>
      </c>
      <c r="D3946" s="2" t="s">
        <v>57</v>
      </c>
      <c r="E3946" s="5">
        <v>-28040</v>
      </c>
      <c r="F3946" s="3" t="s">
        <v>2971</v>
      </c>
      <c r="G3946" s="3" t="s">
        <v>20</v>
      </c>
      <c r="H3946" s="2" t="s">
        <v>21</v>
      </c>
      <c r="I3946" s="2" t="s">
        <v>8156</v>
      </c>
      <c r="J3946" s="3" t="str">
        <f>HYPERLINK("https://www.boe.es/gazeta/dias/1823/03/24/pdfs/GMD-1823-87.pdf#page=4","Abrir facsímil")</f>
        <v>Abrir facsímil</v>
      </c>
      <c r="K3946" s="3" t="s">
        <v>23</v>
      </c>
    </row>
    <row r="3947" spans="1:11" ht="42" customHeight="1">
      <c r="A3947" s="2" t="s">
        <v>8146</v>
      </c>
      <c r="B3947" s="2" t="s">
        <v>8147</v>
      </c>
      <c r="C3947" s="2" t="s">
        <v>56</v>
      </c>
      <c r="D3947" s="2" t="s">
        <v>57</v>
      </c>
      <c r="E3947" s="5">
        <v>-28039</v>
      </c>
      <c r="F3947" s="3" t="s">
        <v>126</v>
      </c>
      <c r="G3947" s="3" t="s">
        <v>20</v>
      </c>
      <c r="H3947" s="2" t="s">
        <v>21</v>
      </c>
      <c r="I3947" s="2" t="s">
        <v>8157</v>
      </c>
      <c r="J3947" s="3" t="str">
        <f>HYPERLINK("https://www.boe.es/gazeta/dias/1823/03/25/pdfs/GMD-1823-88.pdf#page=4","Abrir facsímil")</f>
        <v>Abrir facsímil</v>
      </c>
      <c r="K3947" s="3" t="s">
        <v>23</v>
      </c>
    </row>
    <row r="3948" spans="1:11" ht="42" customHeight="1">
      <c r="A3948" s="2" t="s">
        <v>8146</v>
      </c>
      <c r="B3948" s="2" t="s">
        <v>8147</v>
      </c>
      <c r="C3948" s="2" t="s">
        <v>56</v>
      </c>
      <c r="D3948" s="2" t="s">
        <v>57</v>
      </c>
      <c r="E3948" s="5">
        <v>-28037</v>
      </c>
      <c r="F3948" s="3" t="s">
        <v>192</v>
      </c>
      <c r="G3948" s="3" t="s">
        <v>20</v>
      </c>
      <c r="H3948" s="2" t="s">
        <v>21</v>
      </c>
      <c r="I3948" s="2" t="s">
        <v>8158</v>
      </c>
      <c r="J3948" s="3" t="str">
        <f>HYPERLINK("https://www.boe.es/gazeta/dias/1823/03/27/pdfs/GMD-1823-90.pdf#page=4","Abrir facsímil")</f>
        <v>Abrir facsímil</v>
      </c>
      <c r="K3948" s="3" t="s">
        <v>23</v>
      </c>
    </row>
    <row r="3949" spans="1:11" ht="42" customHeight="1">
      <c r="A3949" s="2" t="s">
        <v>8146</v>
      </c>
      <c r="B3949" s="2" t="s">
        <v>8147</v>
      </c>
      <c r="C3949" s="2" t="s">
        <v>56</v>
      </c>
      <c r="D3949" s="2" t="s">
        <v>57</v>
      </c>
      <c r="E3949" s="5">
        <v>-28034</v>
      </c>
      <c r="F3949" s="3" t="s">
        <v>6937</v>
      </c>
      <c r="G3949" s="3" t="s">
        <v>20</v>
      </c>
      <c r="H3949" s="2" t="s">
        <v>21</v>
      </c>
      <c r="I3949" s="2" t="s">
        <v>8159</v>
      </c>
      <c r="J3949" s="3" t="str">
        <f>HYPERLINK("https://www.boe.es/gazeta/dias/1823/03/30/pdfs/GMD-1823-93.pdf#page=4","Abrir facsímil")</f>
        <v>Abrir facsímil</v>
      </c>
      <c r="K3949" s="3" t="s">
        <v>23</v>
      </c>
    </row>
    <row r="3950" spans="1:11" ht="42" customHeight="1">
      <c r="A3950" s="2" t="s">
        <v>8160</v>
      </c>
      <c r="B3950" s="2" t="s">
        <v>8161</v>
      </c>
      <c r="C3950" s="2" t="s">
        <v>17</v>
      </c>
      <c r="D3950" s="2" t="s">
        <v>18</v>
      </c>
      <c r="E3950" s="5">
        <v>-27965</v>
      </c>
      <c r="F3950" s="3" t="s">
        <v>208</v>
      </c>
      <c r="G3950" s="3" t="s">
        <v>27</v>
      </c>
      <c r="H3950" s="2" t="s">
        <v>21</v>
      </c>
      <c r="I3950" s="2" t="s">
        <v>8162</v>
      </c>
      <c r="J3950" s="3" t="str">
        <f>HYPERLINK("https://www.boe.es/gazeta/dias/1823/06/07/pdfs/GES-1823-61.pdf#page=2","Abrir facsímil")</f>
        <v>Abrir facsímil</v>
      </c>
      <c r="K3950" s="3" t="s">
        <v>23</v>
      </c>
    </row>
    <row r="3951" spans="1:11" ht="42" customHeight="1">
      <c r="A3951" s="2" t="s">
        <v>8163</v>
      </c>
      <c r="B3951" s="2" t="s">
        <v>8164</v>
      </c>
      <c r="C3951" s="2" t="s">
        <v>17</v>
      </c>
      <c r="D3951" s="2" t="s">
        <v>18</v>
      </c>
      <c r="E3951" s="5">
        <v>-27864</v>
      </c>
      <c r="F3951" s="3" t="s">
        <v>395</v>
      </c>
      <c r="G3951" s="3" t="s">
        <v>39</v>
      </c>
      <c r="H3951" s="2" t="s">
        <v>21</v>
      </c>
      <c r="I3951" s="2" t="s">
        <v>8165</v>
      </c>
      <c r="J3951" s="3" t="str">
        <f>HYPERLINK("https://www.boe.es/gazeta/dias/1823/09/16/pdfs/GMD-1823-783.pdf#page=1","Abrir facsímil")</f>
        <v>Abrir facsímil</v>
      </c>
      <c r="K3951" s="3" t="s">
        <v>23</v>
      </c>
    </row>
    <row r="3952" spans="1:11" ht="42" customHeight="1">
      <c r="A3952" s="2" t="s">
        <v>8166</v>
      </c>
      <c r="B3952" s="2" t="s">
        <v>8167</v>
      </c>
      <c r="C3952" s="2" t="s">
        <v>17</v>
      </c>
      <c r="D3952" s="2" t="s">
        <v>18</v>
      </c>
      <c r="E3952" s="5">
        <v>-27877</v>
      </c>
      <c r="F3952" s="3" t="s">
        <v>844</v>
      </c>
      <c r="G3952" s="3" t="s">
        <v>48</v>
      </c>
      <c r="H3952" s="2" t="s">
        <v>28</v>
      </c>
      <c r="I3952" s="2" t="s">
        <v>8168</v>
      </c>
      <c r="J3952" s="3" t="str">
        <f>HYPERLINK("https://www.boe.es/gazeta/dias/1823/09/03/pdfs/GES-1823-147.pdf#page=3","Abrir facsímil")</f>
        <v>Abrir facsímil</v>
      </c>
      <c r="K3952" s="3" t="s">
        <v>30</v>
      </c>
    </row>
    <row r="3953" spans="1:11" ht="42" customHeight="1">
      <c r="A3953" s="2" t="s">
        <v>8169</v>
      </c>
      <c r="B3953" s="2" t="s">
        <v>8170</v>
      </c>
      <c r="C3953" s="2" t="s">
        <v>109</v>
      </c>
      <c r="D3953" s="2" t="s">
        <v>74</v>
      </c>
      <c r="E3953" s="5">
        <v>-28073</v>
      </c>
      <c r="F3953" s="3" t="s">
        <v>204</v>
      </c>
      <c r="G3953" s="3" t="s">
        <v>27</v>
      </c>
      <c r="H3953" s="2" t="s">
        <v>21</v>
      </c>
      <c r="I3953" s="2" t="s">
        <v>8171</v>
      </c>
      <c r="J3953" s="3" t="str">
        <f>HYPERLINK("https://www.boe.es/gazeta/dias/1823/02/19/pdfs/GMD-1823-53.pdf#page=2","Abrir facsímil")</f>
        <v>Abrir facsímil</v>
      </c>
      <c r="K3953" s="3" t="s">
        <v>23</v>
      </c>
    </row>
    <row r="3954" spans="1:11" ht="42" customHeight="1">
      <c r="A3954" s="2" t="s">
        <v>8172</v>
      </c>
      <c r="B3954" s="2" t="s">
        <v>8173</v>
      </c>
      <c r="C3954" s="2" t="s">
        <v>79</v>
      </c>
      <c r="D3954" s="2" t="s">
        <v>74</v>
      </c>
      <c r="E3954" s="5">
        <v>-27875</v>
      </c>
      <c r="F3954" s="3" t="s">
        <v>1858</v>
      </c>
      <c r="G3954" s="3" t="s">
        <v>39</v>
      </c>
      <c r="H3954" s="2" t="s">
        <v>21</v>
      </c>
      <c r="I3954" s="2" t="s">
        <v>8174</v>
      </c>
      <c r="J3954" s="3" t="str">
        <f>HYPERLINK("https://www.boe.es/gazeta/dias/1823/09/05/pdfs/GES-1823-149.pdf#page=1","Abrir facsímil")</f>
        <v>Abrir facsímil</v>
      </c>
      <c r="K3954" s="3" t="s">
        <v>23</v>
      </c>
    </row>
    <row r="3955" spans="1:11" ht="42" customHeight="1">
      <c r="A3955" s="2" t="s">
        <v>8175</v>
      </c>
      <c r="B3955" s="2" t="s">
        <v>8176</v>
      </c>
      <c r="C3955" s="2" t="s">
        <v>17</v>
      </c>
      <c r="D3955" s="2" t="s">
        <v>18</v>
      </c>
      <c r="E3955" s="5">
        <v>-28003</v>
      </c>
      <c r="F3955" s="3" t="s">
        <v>26</v>
      </c>
      <c r="G3955" s="3" t="s">
        <v>1114</v>
      </c>
      <c r="H3955" s="2" t="s">
        <v>21</v>
      </c>
      <c r="I3955" s="2" t="s">
        <v>8177</v>
      </c>
      <c r="J3955" s="3" t="str">
        <f>HYPERLINK("https://www.boe.es/gazeta/dias/1823/04/30/pdfs/GES-1823-20.pdf#page=6","Abrir facsímil")</f>
        <v>Abrir facsímil</v>
      </c>
      <c r="K3955" s="3" t="s">
        <v>23</v>
      </c>
    </row>
    <row r="3956" spans="1:11" ht="42" customHeight="1">
      <c r="A3956" s="2" t="s">
        <v>8175</v>
      </c>
      <c r="B3956" s="2" t="s">
        <v>8176</v>
      </c>
      <c r="C3956" s="2" t="s">
        <v>17</v>
      </c>
      <c r="D3956" s="2" t="s">
        <v>18</v>
      </c>
      <c r="E3956" s="5">
        <v>-27994</v>
      </c>
      <c r="F3956" s="3" t="s">
        <v>714</v>
      </c>
      <c r="G3956" s="3" t="s">
        <v>715</v>
      </c>
      <c r="H3956" s="2" t="s">
        <v>21</v>
      </c>
      <c r="I3956" s="2" t="s">
        <v>8178</v>
      </c>
      <c r="J3956" s="3" t="str">
        <f>HYPERLINK("https://www.boe.es/gazeta/dias/1823/05/09/pdfs/GES-1823-29.pdf#page=8","Abrir facsímil")</f>
        <v>Abrir facsímil</v>
      </c>
      <c r="K3956" s="3" t="s">
        <v>23</v>
      </c>
    </row>
    <row r="3957" spans="1:11" ht="42" customHeight="1">
      <c r="A3957" s="2" t="s">
        <v>8175</v>
      </c>
      <c r="B3957" s="2" t="s">
        <v>8176</v>
      </c>
      <c r="C3957" s="2" t="s">
        <v>17</v>
      </c>
      <c r="D3957" s="2" t="s">
        <v>18</v>
      </c>
      <c r="E3957" s="5">
        <v>-27976</v>
      </c>
      <c r="F3957" s="3" t="s">
        <v>1156</v>
      </c>
      <c r="G3957" s="3" t="s">
        <v>7112</v>
      </c>
      <c r="H3957" s="2" t="s">
        <v>21</v>
      </c>
      <c r="I3957" s="2" t="s">
        <v>8179</v>
      </c>
      <c r="J3957" s="3" t="str">
        <f>HYPERLINK("https://www.boe.es/gazeta/dias/1823/05/27/pdfs/GES-1823-49.pdf#page=6","Abrir facsímil")</f>
        <v>Abrir facsímil</v>
      </c>
      <c r="K3957" s="3" t="s">
        <v>23</v>
      </c>
    </row>
    <row r="3958" spans="1:11" ht="42" customHeight="1">
      <c r="A3958" s="2" t="s">
        <v>8175</v>
      </c>
      <c r="B3958" s="2" t="s">
        <v>8176</v>
      </c>
      <c r="C3958" s="2" t="s">
        <v>84</v>
      </c>
      <c r="D3958" s="2" t="s">
        <v>74</v>
      </c>
      <c r="E3958" s="5">
        <v>-27881</v>
      </c>
      <c r="F3958" s="3" t="s">
        <v>485</v>
      </c>
      <c r="G3958" s="3" t="s">
        <v>20</v>
      </c>
      <c r="H3958" s="2" t="s">
        <v>21</v>
      </c>
      <c r="I3958" s="2" t="s">
        <v>8180</v>
      </c>
      <c r="J3958" s="3" t="str">
        <f>HYPERLINK("https://www.boe.es/gazeta/dias/1823/08/30/pdfs/GES-1823-143.pdf#page=4","Abrir facsímil")</f>
        <v>Abrir facsímil</v>
      </c>
      <c r="K3958" s="3" t="s">
        <v>23</v>
      </c>
    </row>
    <row r="3959" spans="1:11" ht="42" customHeight="1">
      <c r="A3959" s="2" t="s">
        <v>8181</v>
      </c>
      <c r="B3959" s="2" t="s">
        <v>8182</v>
      </c>
      <c r="C3959" s="2" t="s">
        <v>109</v>
      </c>
      <c r="D3959" s="2" t="s">
        <v>74</v>
      </c>
      <c r="E3959" s="5">
        <v>-27986</v>
      </c>
      <c r="F3959" s="3" t="s">
        <v>75</v>
      </c>
      <c r="G3959" s="3" t="s">
        <v>59</v>
      </c>
      <c r="H3959" s="2" t="s">
        <v>21</v>
      </c>
      <c r="I3959" s="2" t="s">
        <v>8183</v>
      </c>
      <c r="J3959" s="3" t="str">
        <f>HYPERLINK("https://www.boe.es/gazeta/dias/1823/05/17/pdfs/GES-1823-37.pdf#page=6","Abrir facsímil")</f>
        <v>Abrir facsímil</v>
      </c>
      <c r="K3959" s="3" t="s">
        <v>23</v>
      </c>
    </row>
    <row r="3960" spans="1:11" ht="42" customHeight="1">
      <c r="A3960" s="2" t="s">
        <v>8184</v>
      </c>
      <c r="B3960" s="2" t="s">
        <v>8185</v>
      </c>
      <c r="C3960" s="2" t="s">
        <v>109</v>
      </c>
      <c r="D3960" s="2" t="s">
        <v>74</v>
      </c>
      <c r="E3960" s="5">
        <v>-27965</v>
      </c>
      <c r="F3960" s="3" t="s">
        <v>208</v>
      </c>
      <c r="G3960" s="3" t="s">
        <v>48</v>
      </c>
      <c r="H3960" s="2" t="s">
        <v>21</v>
      </c>
      <c r="I3960" s="2" t="s">
        <v>8186</v>
      </c>
      <c r="J3960" s="3" t="str">
        <f>HYPERLINK("https://www.boe.es/gazeta/dias/1823/06/07/pdfs/GES-1823-61.pdf#page=3","Abrir facsímil")</f>
        <v>Abrir facsímil</v>
      </c>
      <c r="K3960" s="3" t="s">
        <v>23</v>
      </c>
    </row>
    <row r="3961" spans="1:11" ht="42" customHeight="1">
      <c r="A3961" s="2" t="s">
        <v>8187</v>
      </c>
      <c r="B3961" s="2" t="s">
        <v>8188</v>
      </c>
      <c r="C3961" s="2" t="s">
        <v>17</v>
      </c>
      <c r="D3961" s="2" t="s">
        <v>18</v>
      </c>
      <c r="E3961" s="5">
        <v>-27993</v>
      </c>
      <c r="F3961" s="3" t="s">
        <v>977</v>
      </c>
      <c r="G3961" s="3" t="s">
        <v>978</v>
      </c>
      <c r="H3961" s="2" t="s">
        <v>21</v>
      </c>
      <c r="I3961" s="2" t="s">
        <v>8189</v>
      </c>
      <c r="J3961" s="3" t="str">
        <f>HYPERLINK("https://www.boe.es/gazeta/dias/1823/05/10/pdfs/GES-1823-30.pdf#page=4","Abrir facsímil")</f>
        <v>Abrir facsímil</v>
      </c>
      <c r="K3961" s="3" t="s">
        <v>23</v>
      </c>
    </row>
    <row r="3962" spans="1:11" ht="42" customHeight="1">
      <c r="A3962" s="2" t="s">
        <v>8187</v>
      </c>
      <c r="B3962" s="2" t="s">
        <v>8188</v>
      </c>
      <c r="C3962" s="2" t="s">
        <v>17</v>
      </c>
      <c r="D3962" s="2" t="s">
        <v>18</v>
      </c>
      <c r="E3962" s="5">
        <v>-27991</v>
      </c>
      <c r="F3962" s="3" t="s">
        <v>328</v>
      </c>
      <c r="G3962" s="3" t="s">
        <v>34</v>
      </c>
      <c r="H3962" s="2" t="s">
        <v>21</v>
      </c>
      <c r="I3962" s="2" t="s">
        <v>8190</v>
      </c>
      <c r="J3962" s="3" t="str">
        <f>HYPERLINK("https://www.boe.es/gazeta/dias/1823/05/12/pdfs/GES-1823-32.pdf#page=5","Abrir facsímil")</f>
        <v>Abrir facsímil</v>
      </c>
      <c r="K3962" s="3" t="s">
        <v>23</v>
      </c>
    </row>
    <row r="3963" spans="1:11" ht="42" customHeight="1">
      <c r="A3963" s="2" t="s">
        <v>8191</v>
      </c>
      <c r="B3963" s="2" t="s">
        <v>8192</v>
      </c>
      <c r="C3963" s="2" t="s">
        <v>17</v>
      </c>
      <c r="D3963" s="2" t="s">
        <v>18</v>
      </c>
      <c r="E3963" s="5">
        <v>-28032</v>
      </c>
      <c r="F3963" s="3" t="s">
        <v>668</v>
      </c>
      <c r="G3963" s="3" t="s">
        <v>39</v>
      </c>
      <c r="H3963" s="2" t="s">
        <v>21</v>
      </c>
      <c r="I3963" s="2" t="s">
        <v>8193</v>
      </c>
      <c r="J3963" s="3" t="str">
        <f>HYPERLINK("https://www.boe.es/gazeta/dias/1823/04/01/pdfs/GMD-1823-95.pdf#page=1","Abrir facsímil")</f>
        <v>Abrir facsímil</v>
      </c>
      <c r="K3963" s="3" t="s">
        <v>23</v>
      </c>
    </row>
    <row r="3964" spans="1:11" ht="42" customHeight="1">
      <c r="A3964" s="2" t="s">
        <v>8194</v>
      </c>
      <c r="B3964" s="2" t="s">
        <v>8195</v>
      </c>
      <c r="C3964" s="2" t="s">
        <v>17</v>
      </c>
      <c r="D3964" s="2" t="s">
        <v>18</v>
      </c>
      <c r="E3964" s="5">
        <v>-27995</v>
      </c>
      <c r="F3964" s="3" t="s">
        <v>326</v>
      </c>
      <c r="G3964" s="3" t="s">
        <v>39</v>
      </c>
      <c r="H3964" s="2" t="s">
        <v>21</v>
      </c>
      <c r="I3964" s="2" t="s">
        <v>8196</v>
      </c>
      <c r="J3964" s="3" t="str">
        <f>HYPERLINK("https://www.boe.es/gazeta/dias/1823/05/08/pdfs/GMD-1823-112.pdf#page=1","Abrir facsímil")</f>
        <v>Abrir facsímil</v>
      </c>
      <c r="K3964" s="3" t="s">
        <v>23</v>
      </c>
    </row>
    <row r="3965" spans="1:11" ht="42" customHeight="1">
      <c r="A3965" s="2" t="s">
        <v>8197</v>
      </c>
      <c r="B3965" s="2" t="s">
        <v>8198</v>
      </c>
      <c r="C3965" s="2" t="s">
        <v>17</v>
      </c>
      <c r="D3965" s="2" t="s">
        <v>18</v>
      </c>
      <c r="E3965" s="5">
        <v>-27889</v>
      </c>
      <c r="F3965" s="3" t="s">
        <v>1306</v>
      </c>
      <c r="G3965" s="3" t="s">
        <v>20</v>
      </c>
      <c r="H3965" s="2" t="s">
        <v>28</v>
      </c>
      <c r="I3965" s="2" t="s">
        <v>8199</v>
      </c>
      <c r="J3965" s="3" t="str">
        <f>HYPERLINK("https://www.boe.es/gazeta/dias/1823/08/22/pdfs/GES-1823-135.pdf#page=4","Abrir facsímil")</f>
        <v>Abrir facsímil</v>
      </c>
      <c r="K3965" s="3" t="s">
        <v>30</v>
      </c>
    </row>
    <row r="3966" spans="1:11" ht="42" customHeight="1">
      <c r="A3966" s="2" t="s">
        <v>8200</v>
      </c>
      <c r="B3966" s="2" t="s">
        <v>8201</v>
      </c>
      <c r="C3966" s="2" t="s">
        <v>56</v>
      </c>
      <c r="D3966" s="2" t="s">
        <v>57</v>
      </c>
      <c r="E3966" s="5">
        <v>-28037</v>
      </c>
      <c r="F3966" s="3" t="s">
        <v>192</v>
      </c>
      <c r="G3966" s="3" t="s">
        <v>20</v>
      </c>
      <c r="H3966" s="2" t="s">
        <v>21</v>
      </c>
      <c r="I3966" s="2" t="s">
        <v>8202</v>
      </c>
      <c r="J3966" s="3" t="str">
        <f>HYPERLINK("https://www.boe.es/gazeta/dias/1823/03/27/pdfs/GMD-1823-90.pdf#page=4","Abrir facsímil")</f>
        <v>Abrir facsímil</v>
      </c>
      <c r="K3966" s="3" t="s">
        <v>23</v>
      </c>
    </row>
    <row r="3967" spans="1:11" ht="42" customHeight="1">
      <c r="A3967" s="2" t="s">
        <v>8203</v>
      </c>
      <c r="B3967" s="2" t="s">
        <v>8204</v>
      </c>
      <c r="C3967" s="2" t="s">
        <v>17</v>
      </c>
      <c r="D3967" s="2" t="s">
        <v>18</v>
      </c>
      <c r="E3967" s="5">
        <v>-27978</v>
      </c>
      <c r="F3967" s="3" t="s">
        <v>342</v>
      </c>
      <c r="G3967" s="3" t="s">
        <v>39</v>
      </c>
      <c r="H3967" s="2" t="s">
        <v>21</v>
      </c>
      <c r="I3967" s="2" t="s">
        <v>8205</v>
      </c>
      <c r="J3967" s="3" t="str">
        <f>HYPERLINK("https://www.boe.es/gazeta/dias/1823/05/25/pdfs/GES-1823-46.pdf#page=1","Abrir facsímil")</f>
        <v>Abrir facsímil</v>
      </c>
      <c r="K3967" s="3" t="s">
        <v>23</v>
      </c>
    </row>
    <row r="3968" spans="1:11" ht="42" customHeight="1">
      <c r="A3968" s="2" t="s">
        <v>8206</v>
      </c>
      <c r="B3968" s="2" t="s">
        <v>8207</v>
      </c>
      <c r="C3968" s="2" t="s">
        <v>79</v>
      </c>
      <c r="D3968" s="2" t="s">
        <v>74</v>
      </c>
      <c r="E3968" s="5">
        <v>-28042</v>
      </c>
      <c r="F3968" s="3" t="s">
        <v>1218</v>
      </c>
      <c r="G3968" s="3" t="s">
        <v>20</v>
      </c>
      <c r="H3968" s="2" t="s">
        <v>21</v>
      </c>
      <c r="I3968" s="2" t="s">
        <v>8208</v>
      </c>
      <c r="J3968" s="3" t="str">
        <f>HYPERLINK("https://www.boe.es/gazeta/dias/1823/03/22/pdfs/GMD-1823-85.pdf#page=4","Abrir facsímil")</f>
        <v>Abrir facsímil</v>
      </c>
      <c r="K3968" s="3" t="s">
        <v>23</v>
      </c>
    </row>
    <row r="3969" spans="1:11" ht="42" customHeight="1">
      <c r="A3969" s="2" t="s">
        <v>8206</v>
      </c>
      <c r="B3969" s="2" t="s">
        <v>8207</v>
      </c>
      <c r="C3969" s="2" t="s">
        <v>17</v>
      </c>
      <c r="D3969" s="2" t="s">
        <v>18</v>
      </c>
      <c r="E3969" s="5">
        <v>-28041</v>
      </c>
      <c r="F3969" s="3" t="s">
        <v>873</v>
      </c>
      <c r="G3969" s="3" t="s">
        <v>366</v>
      </c>
      <c r="H3969" s="2" t="s">
        <v>21</v>
      </c>
      <c r="I3969" s="2" t="s">
        <v>8209</v>
      </c>
      <c r="J3969" s="3" t="str">
        <f>HYPERLINK("https://www.boe.es/gazeta/dias/1823/03/23/pdfs/GMD-1823-86.pdf#page=4","Abrir facsímil")</f>
        <v>Abrir facsímil</v>
      </c>
      <c r="K3969" s="3" t="s">
        <v>23</v>
      </c>
    </row>
    <row r="3970" spans="1:11" ht="42" customHeight="1">
      <c r="A3970" s="2" t="s">
        <v>8206</v>
      </c>
      <c r="B3970" s="2" t="s">
        <v>8207</v>
      </c>
      <c r="C3970" s="2" t="s">
        <v>84</v>
      </c>
      <c r="D3970" s="2" t="s">
        <v>74</v>
      </c>
      <c r="E3970" s="5">
        <v>-28031</v>
      </c>
      <c r="F3970" s="3" t="s">
        <v>1211</v>
      </c>
      <c r="G3970" s="3" t="s">
        <v>20</v>
      </c>
      <c r="H3970" s="2" t="s">
        <v>21</v>
      </c>
      <c r="I3970" s="2" t="s">
        <v>8210</v>
      </c>
      <c r="J3970" s="3" t="str">
        <f>HYPERLINK("https://www.boe.es/gazeta/dias/1823/04/02/pdfs/GMD-1823-96.pdf#page=4","Abrir facsímil")</f>
        <v>Abrir facsímil</v>
      </c>
      <c r="K3970" s="3" t="s">
        <v>23</v>
      </c>
    </row>
    <row r="3971" spans="1:11" ht="42" customHeight="1">
      <c r="A3971" s="2" t="s">
        <v>8206</v>
      </c>
      <c r="B3971" s="2" t="s">
        <v>8207</v>
      </c>
      <c r="C3971" s="2" t="s">
        <v>17</v>
      </c>
      <c r="D3971" s="2" t="s">
        <v>18</v>
      </c>
      <c r="E3971" s="5">
        <v>-28025</v>
      </c>
      <c r="F3971" s="3" t="s">
        <v>477</v>
      </c>
      <c r="G3971" s="3" t="s">
        <v>20</v>
      </c>
      <c r="H3971" s="2" t="s">
        <v>21</v>
      </c>
      <c r="I3971" s="2" t="s">
        <v>8211</v>
      </c>
      <c r="J3971" s="3" t="str">
        <f>HYPERLINK("https://www.boe.es/gazeta/dias/1823/04/08/pdfs/GMD-1823-103.pdf#page=4","Abrir facsímil")</f>
        <v>Abrir facsímil</v>
      </c>
      <c r="K3971" s="3" t="s">
        <v>23</v>
      </c>
    </row>
    <row r="3972" spans="1:11" ht="42" customHeight="1">
      <c r="A3972" s="2" t="s">
        <v>8212</v>
      </c>
      <c r="B3972" s="2" t="s">
        <v>8213</v>
      </c>
      <c r="C3972" s="2" t="s">
        <v>293</v>
      </c>
      <c r="D3972" s="2" t="s">
        <v>74</v>
      </c>
      <c r="E3972" s="5">
        <v>-28013</v>
      </c>
      <c r="F3972" s="3" t="s">
        <v>105</v>
      </c>
      <c r="G3972" s="3" t="s">
        <v>20</v>
      </c>
      <c r="H3972" s="2" t="s">
        <v>21</v>
      </c>
      <c r="I3972" s="2" t="s">
        <v>8214</v>
      </c>
      <c r="J3972" s="3" t="str">
        <f>HYPERLINK("https://www.boe.es/gazeta/dias/1823/04/20/pdfs/GMD-1823-32.pdf#page=4","Abrir facsímil")</f>
        <v>Abrir facsímil</v>
      </c>
      <c r="K3972" s="3" t="s">
        <v>23</v>
      </c>
    </row>
    <row r="3973" spans="1:11" ht="42" customHeight="1">
      <c r="A3973" s="2" t="s">
        <v>8215</v>
      </c>
      <c r="B3973" s="2" t="s">
        <v>8216</v>
      </c>
      <c r="C3973" s="2" t="s">
        <v>17</v>
      </c>
      <c r="D3973" s="2" t="s">
        <v>18</v>
      </c>
      <c r="E3973" s="5">
        <v>-27970</v>
      </c>
      <c r="F3973" s="3" t="s">
        <v>1030</v>
      </c>
      <c r="G3973" s="3" t="s">
        <v>48</v>
      </c>
      <c r="H3973" s="2" t="s">
        <v>21</v>
      </c>
      <c r="I3973" s="2" t="s">
        <v>8217</v>
      </c>
      <c r="J3973" s="3" t="str">
        <f>HYPERLINK("https://www.boe.es/gazeta/dias/1823/06/02/pdfs/GES-1823-56.pdf#page=3","Abrir facsímil")</f>
        <v>Abrir facsímil</v>
      </c>
      <c r="K3973" s="3" t="s">
        <v>23</v>
      </c>
    </row>
    <row r="3974" spans="1:11" ht="42" customHeight="1">
      <c r="A3974" s="2" t="s">
        <v>8218</v>
      </c>
      <c r="B3974" s="2" t="s">
        <v>8219</v>
      </c>
      <c r="C3974" s="2" t="s">
        <v>17</v>
      </c>
      <c r="D3974" s="2" t="s">
        <v>18</v>
      </c>
      <c r="E3974" s="5">
        <v>-27877</v>
      </c>
      <c r="F3974" s="3" t="s">
        <v>844</v>
      </c>
      <c r="G3974" s="3" t="s">
        <v>48</v>
      </c>
      <c r="H3974" s="2" t="s">
        <v>21</v>
      </c>
      <c r="I3974" s="2" t="s">
        <v>8220</v>
      </c>
      <c r="J3974" s="3" t="str">
        <f>HYPERLINK("https://www.boe.es/gazeta/dias/1823/09/03/pdfs/GES-1823-147.pdf#page=3","Abrir facsímil")</f>
        <v>Abrir facsímil</v>
      </c>
      <c r="K3974" s="3" t="s">
        <v>23</v>
      </c>
    </row>
    <row r="3975" spans="1:11" ht="42" customHeight="1">
      <c r="A3975" s="2" t="s">
        <v>8221</v>
      </c>
      <c r="B3975" s="2" t="s">
        <v>8221</v>
      </c>
      <c r="C3975" s="2" t="s">
        <v>17</v>
      </c>
      <c r="D3975" s="2" t="s">
        <v>18</v>
      </c>
      <c r="E3975" s="5">
        <v>-28122</v>
      </c>
      <c r="F3975" s="3" t="s">
        <v>269</v>
      </c>
      <c r="G3975" s="3" t="s">
        <v>48</v>
      </c>
      <c r="H3975" s="2" t="s">
        <v>21</v>
      </c>
      <c r="I3975" s="2" t="s">
        <v>8222</v>
      </c>
      <c r="J3975" s="3" t="str">
        <f>HYPERLINK("https://www.boe.es/gazeta/dias/1823/01/01/pdfs/GMD-1823-1.pdf#page=3","Abrir facsímil")</f>
        <v>Abrir facsímil</v>
      </c>
      <c r="K3975" s="3" t="s">
        <v>23</v>
      </c>
    </row>
    <row r="3976" spans="1:11" ht="42" customHeight="1">
      <c r="A3976" s="2" t="s">
        <v>8221</v>
      </c>
      <c r="B3976" s="2" t="s">
        <v>8221</v>
      </c>
      <c r="C3976" s="2" t="s">
        <v>56</v>
      </c>
      <c r="D3976" s="2" t="s">
        <v>57</v>
      </c>
      <c r="E3976" s="5">
        <v>-28114</v>
      </c>
      <c r="F3976" s="3" t="s">
        <v>153</v>
      </c>
      <c r="G3976" s="3" t="s">
        <v>34</v>
      </c>
      <c r="H3976" s="2" t="s">
        <v>21</v>
      </c>
      <c r="I3976" s="2" t="s">
        <v>8223</v>
      </c>
      <c r="J3976" s="3" t="str">
        <f>HYPERLINK("https://www.boe.es/gazeta/dias/1823/01/09/pdfs/GMD-1823-9.pdf#page=5","Abrir facsímil")</f>
        <v>Abrir facsímil</v>
      </c>
      <c r="K3976" s="3" t="s">
        <v>23</v>
      </c>
    </row>
    <row r="3977" spans="1:11" ht="42" customHeight="1">
      <c r="A3977" s="2" t="s">
        <v>8221</v>
      </c>
      <c r="B3977" s="2" t="s">
        <v>8221</v>
      </c>
      <c r="C3977" s="2" t="s">
        <v>79</v>
      </c>
      <c r="D3977" s="2" t="s">
        <v>74</v>
      </c>
      <c r="E3977" s="5">
        <v>-28113</v>
      </c>
      <c r="F3977" s="3" t="s">
        <v>2088</v>
      </c>
      <c r="G3977" s="3" t="s">
        <v>20</v>
      </c>
      <c r="H3977" s="2" t="s">
        <v>21</v>
      </c>
      <c r="I3977" s="2" t="s">
        <v>8224</v>
      </c>
      <c r="J3977" s="3" t="str">
        <f>HYPERLINK("https://www.boe.es/gazeta/dias/1823/01/10/pdfs/GMD-1823-10.pdf#page=4","Abrir facsímil")</f>
        <v>Abrir facsímil</v>
      </c>
      <c r="K3977" s="3" t="s">
        <v>23</v>
      </c>
    </row>
    <row r="3978" spans="1:11" ht="42" customHeight="1">
      <c r="A3978" s="2" t="s">
        <v>8221</v>
      </c>
      <c r="B3978" s="2" t="s">
        <v>8221</v>
      </c>
      <c r="C3978" s="2" t="s">
        <v>17</v>
      </c>
      <c r="D3978" s="2" t="s">
        <v>18</v>
      </c>
      <c r="E3978" s="5">
        <v>-28112</v>
      </c>
      <c r="F3978" s="3" t="s">
        <v>43</v>
      </c>
      <c r="G3978" s="3" t="s">
        <v>20</v>
      </c>
      <c r="H3978" s="2" t="s">
        <v>21</v>
      </c>
      <c r="I3978" s="2" t="s">
        <v>8225</v>
      </c>
      <c r="J3978" s="3" t="str">
        <f>HYPERLINK("https://www.boe.es/gazeta/dias/1823/01/11/pdfs/GMD-1823-11.pdf#page=4","Abrir facsímil")</f>
        <v>Abrir facsímil</v>
      </c>
      <c r="K3978" s="3" t="s">
        <v>23</v>
      </c>
    </row>
    <row r="3979" spans="1:11" ht="42" customHeight="1">
      <c r="A3979" s="2" t="s">
        <v>8221</v>
      </c>
      <c r="B3979" s="2" t="s">
        <v>8221</v>
      </c>
      <c r="C3979" s="2" t="s">
        <v>109</v>
      </c>
      <c r="D3979" s="2" t="s">
        <v>74</v>
      </c>
      <c r="E3979" s="5">
        <v>-28111</v>
      </c>
      <c r="F3979" s="3" t="s">
        <v>275</v>
      </c>
      <c r="G3979" s="3" t="s">
        <v>27</v>
      </c>
      <c r="H3979" s="2" t="s">
        <v>21</v>
      </c>
      <c r="I3979" s="2" t="s">
        <v>8226</v>
      </c>
      <c r="J3979" s="3" t="str">
        <f>HYPERLINK("https://www.boe.es/gazeta/dias/1823/01/12/pdfs/GMD-1823-12.pdf#page=2","Abrir facsímil")</f>
        <v>Abrir facsímil</v>
      </c>
      <c r="K3979" s="3" t="s">
        <v>23</v>
      </c>
    </row>
    <row r="3980" spans="1:11" ht="42" customHeight="1">
      <c r="A3980" s="2" t="s">
        <v>8221</v>
      </c>
      <c r="B3980" s="2" t="s">
        <v>8221</v>
      </c>
      <c r="C3980" s="2" t="s">
        <v>109</v>
      </c>
      <c r="D3980" s="2" t="s">
        <v>74</v>
      </c>
      <c r="E3980" s="5">
        <v>-28111</v>
      </c>
      <c r="F3980" s="3" t="s">
        <v>275</v>
      </c>
      <c r="G3980" s="3" t="s">
        <v>48</v>
      </c>
      <c r="H3980" s="2" t="s">
        <v>21</v>
      </c>
      <c r="I3980" s="2" t="s">
        <v>8227</v>
      </c>
      <c r="J3980" s="3" t="str">
        <f>HYPERLINK("https://www.boe.es/gazeta/dias/1823/01/12/pdfs/GMD-1823-12.pdf#page=3","Abrir facsímil")</f>
        <v>Abrir facsímil</v>
      </c>
      <c r="K3980" s="3" t="s">
        <v>23</v>
      </c>
    </row>
    <row r="3981" spans="1:11" ht="42" customHeight="1">
      <c r="A3981" s="2" t="s">
        <v>8221</v>
      </c>
      <c r="B3981" s="2" t="s">
        <v>8221</v>
      </c>
      <c r="C3981" s="2" t="s">
        <v>73</v>
      </c>
      <c r="D3981" s="2" t="s">
        <v>74</v>
      </c>
      <c r="E3981" s="5">
        <v>-28107</v>
      </c>
      <c r="F3981" s="3" t="s">
        <v>278</v>
      </c>
      <c r="G3981" s="3" t="s">
        <v>34</v>
      </c>
      <c r="H3981" s="2" t="s">
        <v>21</v>
      </c>
      <c r="I3981" s="2" t="s">
        <v>8228</v>
      </c>
      <c r="J3981" s="3" t="str">
        <f>HYPERLINK("https://www.boe.es/gazeta/dias/1823/01/16/pdfs/GMD-1823-16.pdf#page=5","Abrir facsímil")</f>
        <v>Abrir facsímil</v>
      </c>
      <c r="K3981" s="3" t="s">
        <v>23</v>
      </c>
    </row>
    <row r="3982" spans="1:11" ht="42" customHeight="1">
      <c r="A3982" s="2" t="s">
        <v>8221</v>
      </c>
      <c r="B3982" s="2" t="s">
        <v>8221</v>
      </c>
      <c r="C3982" s="2" t="s">
        <v>17</v>
      </c>
      <c r="D3982" s="2" t="s">
        <v>18</v>
      </c>
      <c r="E3982" s="5">
        <v>-28102</v>
      </c>
      <c r="F3982" s="3" t="s">
        <v>287</v>
      </c>
      <c r="G3982" s="3" t="s">
        <v>20</v>
      </c>
      <c r="H3982" s="2" t="s">
        <v>21</v>
      </c>
      <c r="I3982" s="2" t="s">
        <v>8229</v>
      </c>
      <c r="J3982" s="3" t="str">
        <f>HYPERLINK("https://www.boe.es/gazeta/dias/1823/01/21/pdfs/GMD-1823-22.pdf#page=4","Abrir facsímil")</f>
        <v>Abrir facsímil</v>
      </c>
      <c r="K3982" s="3" t="s">
        <v>23</v>
      </c>
    </row>
    <row r="3983" spans="1:11" ht="42" customHeight="1">
      <c r="A3983" s="2" t="s">
        <v>8221</v>
      </c>
      <c r="B3983" s="2" t="s">
        <v>8221</v>
      </c>
      <c r="C3983" s="2" t="s">
        <v>73</v>
      </c>
      <c r="D3983" s="2" t="s">
        <v>74</v>
      </c>
      <c r="E3983" s="5">
        <v>-28101</v>
      </c>
      <c r="F3983" s="3" t="s">
        <v>1041</v>
      </c>
      <c r="G3983" s="3" t="s">
        <v>48</v>
      </c>
      <c r="H3983" s="2" t="s">
        <v>21</v>
      </c>
      <c r="I3983" s="2" t="s">
        <v>8230</v>
      </c>
      <c r="J3983" s="3" t="str">
        <f>HYPERLINK("https://www.boe.es/gazeta/dias/1823/01/22/pdfs/GMD-1823-23.pdf#page=3","Abrir facsímil")</f>
        <v>Abrir facsímil</v>
      </c>
      <c r="K3983" s="3" t="s">
        <v>23</v>
      </c>
    </row>
    <row r="3984" spans="1:11" ht="42" customHeight="1">
      <c r="A3984" s="2" t="s">
        <v>8221</v>
      </c>
      <c r="B3984" s="2" t="s">
        <v>8221</v>
      </c>
      <c r="C3984" s="2" t="s">
        <v>17</v>
      </c>
      <c r="D3984" s="2" t="s">
        <v>18</v>
      </c>
      <c r="E3984" s="5">
        <v>-28091</v>
      </c>
      <c r="F3984" s="3" t="s">
        <v>1047</v>
      </c>
      <c r="G3984" s="3" t="s">
        <v>59</v>
      </c>
      <c r="H3984" s="2" t="s">
        <v>21</v>
      </c>
      <c r="I3984" s="2" t="s">
        <v>8231</v>
      </c>
      <c r="J3984" s="3" t="str">
        <f>HYPERLINK("https://www.boe.es/gazeta/dias/1823/02/01/pdfs/GMD-1823-34.pdf#page=6","Abrir facsímil")</f>
        <v>Abrir facsímil</v>
      </c>
      <c r="K3984" s="3" t="s">
        <v>23</v>
      </c>
    </row>
    <row r="3985" spans="1:11" ht="42" customHeight="1">
      <c r="A3985" s="2" t="s">
        <v>8221</v>
      </c>
      <c r="B3985" s="2" t="s">
        <v>8221</v>
      </c>
      <c r="C3985" s="2" t="s">
        <v>73</v>
      </c>
      <c r="D3985" s="2" t="s">
        <v>74</v>
      </c>
      <c r="E3985" s="5">
        <v>-28084</v>
      </c>
      <c r="F3985" s="3" t="s">
        <v>1049</v>
      </c>
      <c r="G3985" s="3" t="s">
        <v>20</v>
      </c>
      <c r="H3985" s="2" t="s">
        <v>21</v>
      </c>
      <c r="I3985" s="2" t="s">
        <v>8232</v>
      </c>
      <c r="J3985" s="3" t="str">
        <f>HYPERLINK("https://www.boe.es/gazeta/dias/1823/02/08/pdfs/GMD-1823-41.pdf#page=4","Abrir facsímil")</f>
        <v>Abrir facsímil</v>
      </c>
      <c r="K3985" s="3" t="s">
        <v>23</v>
      </c>
    </row>
    <row r="3986" spans="1:11" ht="42" customHeight="1">
      <c r="A3986" s="2" t="s">
        <v>8221</v>
      </c>
      <c r="B3986" s="2" t="s">
        <v>8221</v>
      </c>
      <c r="C3986" s="2" t="s">
        <v>17</v>
      </c>
      <c r="D3986" s="2" t="s">
        <v>18</v>
      </c>
      <c r="E3986" s="5">
        <v>-28079</v>
      </c>
      <c r="F3986" s="3" t="s">
        <v>178</v>
      </c>
      <c r="G3986" s="3" t="s">
        <v>48</v>
      </c>
      <c r="H3986" s="2" t="s">
        <v>21</v>
      </c>
      <c r="I3986" s="2" t="s">
        <v>8233</v>
      </c>
      <c r="J3986" s="3" t="str">
        <f>HYPERLINK("https://www.boe.es/gazeta/dias/1823/02/13/pdfs/GMD-1823-47.pdf#page=3","Abrir facsímil")</f>
        <v>Abrir facsímil</v>
      </c>
      <c r="K3986" s="3" t="s">
        <v>23</v>
      </c>
    </row>
    <row r="3987" spans="1:11" ht="42" customHeight="1">
      <c r="A3987" s="2" t="s">
        <v>8221</v>
      </c>
      <c r="B3987" s="2" t="s">
        <v>8221</v>
      </c>
      <c r="C3987" s="2" t="s">
        <v>79</v>
      </c>
      <c r="D3987" s="2" t="s">
        <v>74</v>
      </c>
      <c r="E3987" s="5">
        <v>-28074</v>
      </c>
      <c r="F3987" s="3" t="s">
        <v>212</v>
      </c>
      <c r="G3987" s="3" t="s">
        <v>34</v>
      </c>
      <c r="H3987" s="2" t="s">
        <v>21</v>
      </c>
      <c r="I3987" s="2" t="s">
        <v>8234</v>
      </c>
      <c r="J3987" s="3" t="str">
        <f>HYPERLINK("https://www.boe.es/gazeta/dias/1823/02/18/pdfs/GMD-1823-52.pdf#page=5","Abrir facsímil")</f>
        <v>Abrir facsímil</v>
      </c>
      <c r="K3987" s="3" t="s">
        <v>23</v>
      </c>
    </row>
    <row r="3988" spans="1:11" ht="42" customHeight="1">
      <c r="A3988" s="2" t="s">
        <v>8221</v>
      </c>
      <c r="B3988" s="2" t="s">
        <v>8221</v>
      </c>
      <c r="C3988" s="2" t="s">
        <v>73</v>
      </c>
      <c r="D3988" s="2" t="s">
        <v>74</v>
      </c>
      <c r="E3988" s="5">
        <v>-28072</v>
      </c>
      <c r="F3988" s="3" t="s">
        <v>4439</v>
      </c>
      <c r="G3988" s="3" t="s">
        <v>20</v>
      </c>
      <c r="H3988" s="2" t="s">
        <v>21</v>
      </c>
      <c r="I3988" s="2" t="s">
        <v>8235</v>
      </c>
      <c r="J3988" s="3" t="str">
        <f>HYPERLINK("https://www.boe.es/gazeta/dias/1823/02/20/pdfs/GMD-1823-54.pdf#page=4","Abrir facsímil")</f>
        <v>Abrir facsímil</v>
      </c>
      <c r="K3988" s="3" t="s">
        <v>23</v>
      </c>
    </row>
    <row r="3989" spans="1:11" ht="42" customHeight="1">
      <c r="A3989" s="2" t="s">
        <v>8221</v>
      </c>
      <c r="B3989" s="2" t="s">
        <v>8221</v>
      </c>
      <c r="C3989" s="2" t="s">
        <v>17</v>
      </c>
      <c r="D3989" s="2" t="s">
        <v>18</v>
      </c>
      <c r="E3989" s="5">
        <v>-28071</v>
      </c>
      <c r="F3989" s="3" t="s">
        <v>587</v>
      </c>
      <c r="G3989" s="3" t="s">
        <v>20</v>
      </c>
      <c r="H3989" s="2" t="s">
        <v>21</v>
      </c>
      <c r="I3989" s="2" t="s">
        <v>8236</v>
      </c>
      <c r="J3989" s="3" t="str">
        <f>HYPERLINK("https://www.boe.es/gazeta/dias/1823/02/21/pdfs/GMD-1823-55.pdf#page=4","Abrir facsímil")</f>
        <v>Abrir facsímil</v>
      </c>
      <c r="K3989" s="3" t="s">
        <v>23</v>
      </c>
    </row>
    <row r="3990" spans="1:11" ht="42" customHeight="1">
      <c r="A3990" s="2" t="s">
        <v>8221</v>
      </c>
      <c r="B3990" s="2" t="s">
        <v>8221</v>
      </c>
      <c r="C3990" s="2" t="s">
        <v>17</v>
      </c>
      <c r="D3990" s="2" t="s">
        <v>18</v>
      </c>
      <c r="E3990" s="5">
        <v>-28070</v>
      </c>
      <c r="F3990" s="3" t="s">
        <v>972</v>
      </c>
      <c r="G3990" s="3" t="s">
        <v>20</v>
      </c>
      <c r="H3990" s="2" t="s">
        <v>21</v>
      </c>
      <c r="I3990" s="2" t="s">
        <v>8237</v>
      </c>
      <c r="J3990" s="3" t="str">
        <f>HYPERLINK("https://www.boe.es/gazeta/dias/1823/02/22/pdfs/GMD-1823-56.pdf#page=4","Abrir facsímil")</f>
        <v>Abrir facsímil</v>
      </c>
      <c r="K3990" s="3" t="s">
        <v>23</v>
      </c>
    </row>
    <row r="3991" spans="1:11" ht="42" customHeight="1">
      <c r="A3991" s="2" t="s">
        <v>8221</v>
      </c>
      <c r="B3991" s="2" t="s">
        <v>8221</v>
      </c>
      <c r="C3991" s="2" t="s">
        <v>73</v>
      </c>
      <c r="D3991" s="2" t="s">
        <v>74</v>
      </c>
      <c r="E3991" s="5">
        <v>-28068</v>
      </c>
      <c r="F3991" s="3" t="s">
        <v>1325</v>
      </c>
      <c r="G3991" s="3" t="s">
        <v>48</v>
      </c>
      <c r="H3991" s="2" t="s">
        <v>21</v>
      </c>
      <c r="I3991" s="2" t="s">
        <v>8238</v>
      </c>
      <c r="J3991" s="3" t="str">
        <f>HYPERLINK("https://www.boe.es/gazeta/dias/1823/02/24/pdfs/GMD-1823-58.pdf#page=3","Abrir facsímil")</f>
        <v>Abrir facsímil</v>
      </c>
      <c r="K3991" s="3" t="s">
        <v>23</v>
      </c>
    </row>
    <row r="3992" spans="1:11" ht="42" customHeight="1">
      <c r="A3992" s="2" t="s">
        <v>8221</v>
      </c>
      <c r="B3992" s="2" t="s">
        <v>8221</v>
      </c>
      <c r="C3992" s="2" t="s">
        <v>79</v>
      </c>
      <c r="D3992" s="2" t="s">
        <v>74</v>
      </c>
      <c r="E3992" s="5">
        <v>-28067</v>
      </c>
      <c r="F3992" s="3" t="s">
        <v>7770</v>
      </c>
      <c r="G3992" s="3" t="s">
        <v>48</v>
      </c>
      <c r="H3992" s="2" t="s">
        <v>21</v>
      </c>
      <c r="I3992" s="2" t="s">
        <v>8239</v>
      </c>
      <c r="J3992" s="3" t="str">
        <f>HYPERLINK("https://www.boe.es/gazeta/dias/1823/02/25/pdfs/GMD-1823-59.pdf#page=3","Abrir facsímil")</f>
        <v>Abrir facsímil</v>
      </c>
      <c r="K3992" s="3" t="s">
        <v>23</v>
      </c>
    </row>
    <row r="3993" spans="1:11" ht="42" customHeight="1">
      <c r="A3993" s="2" t="s">
        <v>8221</v>
      </c>
      <c r="B3993" s="2" t="s">
        <v>8221</v>
      </c>
      <c r="C3993" s="2" t="s">
        <v>17</v>
      </c>
      <c r="D3993" s="2" t="s">
        <v>18</v>
      </c>
      <c r="E3993" s="5">
        <v>-28066</v>
      </c>
      <c r="F3993" s="3" t="s">
        <v>19</v>
      </c>
      <c r="G3993" s="3" t="s">
        <v>20</v>
      </c>
      <c r="H3993" s="2" t="s">
        <v>21</v>
      </c>
      <c r="I3993" s="2" t="s">
        <v>8240</v>
      </c>
      <c r="J3993" s="3" t="str">
        <f>HYPERLINK("https://www.boe.es/gazeta/dias/1823/02/26/pdfs/GMD-1823-60.pdf#page=4","Abrir facsímil")</f>
        <v>Abrir facsímil</v>
      </c>
      <c r="K3993" s="3" t="s">
        <v>23</v>
      </c>
    </row>
    <row r="3994" spans="1:11" ht="42" customHeight="1">
      <c r="A3994" s="2" t="s">
        <v>8221</v>
      </c>
      <c r="B3994" s="2" t="s">
        <v>8221</v>
      </c>
      <c r="C3994" s="2" t="s">
        <v>17</v>
      </c>
      <c r="D3994" s="2" t="s">
        <v>18</v>
      </c>
      <c r="E3994" s="5">
        <v>-28064</v>
      </c>
      <c r="F3994" s="3" t="s">
        <v>1190</v>
      </c>
      <c r="G3994" s="3" t="s">
        <v>48</v>
      </c>
      <c r="H3994" s="2" t="s">
        <v>21</v>
      </c>
      <c r="I3994" s="2" t="s">
        <v>8241</v>
      </c>
      <c r="J3994" s="3" t="str">
        <f>HYPERLINK("https://www.boe.es/gazeta/dias/1823/02/28/pdfs/GMD-1823-62.pdf#page=3","Abrir facsímil")</f>
        <v>Abrir facsímil</v>
      </c>
      <c r="K3994" s="3" t="s">
        <v>23</v>
      </c>
    </row>
    <row r="3995" spans="1:11" ht="42" customHeight="1">
      <c r="A3995" s="2" t="s">
        <v>8221</v>
      </c>
      <c r="B3995" s="2" t="s">
        <v>8221</v>
      </c>
      <c r="C3995" s="2" t="s">
        <v>73</v>
      </c>
      <c r="D3995" s="2" t="s">
        <v>74</v>
      </c>
      <c r="E3995" s="5">
        <v>-28041</v>
      </c>
      <c r="F3995" s="3" t="s">
        <v>873</v>
      </c>
      <c r="G3995" s="3" t="s">
        <v>366</v>
      </c>
      <c r="H3995" s="2" t="s">
        <v>21</v>
      </c>
      <c r="I3995" s="2" t="s">
        <v>8242</v>
      </c>
      <c r="J3995" s="3" t="str">
        <f>HYPERLINK("https://www.boe.es/gazeta/dias/1823/03/23/pdfs/GMD-1823-86.pdf#page=4","Abrir facsímil")</f>
        <v>Abrir facsímil</v>
      </c>
      <c r="K3995" s="3" t="s">
        <v>23</v>
      </c>
    </row>
    <row r="3996" spans="1:11" ht="42" customHeight="1">
      <c r="A3996" s="2" t="s">
        <v>8221</v>
      </c>
      <c r="B3996" s="2" t="s">
        <v>8221</v>
      </c>
      <c r="C3996" s="2" t="s">
        <v>56</v>
      </c>
      <c r="D3996" s="2" t="s">
        <v>57</v>
      </c>
      <c r="E3996" s="5">
        <v>-28040</v>
      </c>
      <c r="F3996" s="3" t="s">
        <v>2971</v>
      </c>
      <c r="G3996" s="3" t="s">
        <v>20</v>
      </c>
      <c r="H3996" s="2" t="s">
        <v>21</v>
      </c>
      <c r="I3996" s="2" t="s">
        <v>8243</v>
      </c>
      <c r="J3996" s="3" t="str">
        <f>HYPERLINK("https://www.boe.es/gazeta/dias/1823/03/24/pdfs/GMD-1823-87.pdf#page=4","Abrir facsímil")</f>
        <v>Abrir facsímil</v>
      </c>
      <c r="K3996" s="3" t="s">
        <v>23</v>
      </c>
    </row>
    <row r="3997" spans="1:11" ht="42" customHeight="1">
      <c r="A3997" s="2" t="s">
        <v>8221</v>
      </c>
      <c r="B3997" s="2" t="s">
        <v>8221</v>
      </c>
      <c r="C3997" s="2" t="s">
        <v>73</v>
      </c>
      <c r="D3997" s="2" t="s">
        <v>74</v>
      </c>
      <c r="E3997" s="5">
        <v>-28037</v>
      </c>
      <c r="F3997" s="3" t="s">
        <v>192</v>
      </c>
      <c r="G3997" s="3" t="s">
        <v>48</v>
      </c>
      <c r="H3997" s="2" t="s">
        <v>21</v>
      </c>
      <c r="I3997" s="2" t="s">
        <v>8244</v>
      </c>
      <c r="J3997" s="3" t="str">
        <f>HYPERLINK("https://www.boe.es/gazeta/dias/1823/03/27/pdfs/GMD-1823-90.pdf#page=3","Abrir facsímil")</f>
        <v>Abrir facsímil</v>
      </c>
      <c r="K3997" s="3" t="s">
        <v>23</v>
      </c>
    </row>
    <row r="3998" spans="1:11" ht="42" customHeight="1">
      <c r="A3998" s="2" t="s">
        <v>8221</v>
      </c>
      <c r="B3998" s="2" t="s">
        <v>8221</v>
      </c>
      <c r="C3998" s="2" t="s">
        <v>73</v>
      </c>
      <c r="D3998" s="2" t="s">
        <v>74</v>
      </c>
      <c r="E3998" s="5">
        <v>-28014</v>
      </c>
      <c r="F3998" s="3" t="s">
        <v>2805</v>
      </c>
      <c r="G3998" s="3" t="s">
        <v>27</v>
      </c>
      <c r="H3998" s="2" t="s">
        <v>21</v>
      </c>
      <c r="I3998" s="2" t="s">
        <v>8245</v>
      </c>
      <c r="J3998" s="3" t="str">
        <f>HYPERLINK("https://www.boe.es/gazeta/dias/1823/04/19/pdfs/GES-1823-9.pdf#page=2","Abrir facsímil")</f>
        <v>Abrir facsímil</v>
      </c>
      <c r="K3998" s="3" t="s">
        <v>23</v>
      </c>
    </row>
    <row r="3999" spans="1:11" ht="42" customHeight="1">
      <c r="A3999" s="2" t="s">
        <v>8221</v>
      </c>
      <c r="B3999" s="2" t="s">
        <v>8221</v>
      </c>
      <c r="C3999" s="2" t="s">
        <v>109</v>
      </c>
      <c r="D3999" s="2" t="s">
        <v>74</v>
      </c>
      <c r="E3999" s="5">
        <v>-27997</v>
      </c>
      <c r="F3999" s="3" t="s">
        <v>317</v>
      </c>
      <c r="G3999" s="3" t="s">
        <v>20</v>
      </c>
      <c r="H3999" s="2" t="s">
        <v>21</v>
      </c>
      <c r="I3999" s="2" t="s">
        <v>8246</v>
      </c>
      <c r="J3999" s="3" t="str">
        <f>HYPERLINK("https://www.boe.es/gazeta/dias/1823/05/06/pdfs/GES-1823-26.pdf#page=4","Abrir facsímil")</f>
        <v>Abrir facsímil</v>
      </c>
      <c r="K3999" s="3" t="s">
        <v>23</v>
      </c>
    </row>
    <row r="4000" spans="1:11" ht="42" customHeight="1">
      <c r="A4000" s="2" t="s">
        <v>8221</v>
      </c>
      <c r="B4000" s="2" t="s">
        <v>8221</v>
      </c>
      <c r="C4000" s="2" t="s">
        <v>293</v>
      </c>
      <c r="D4000" s="2" t="s">
        <v>74</v>
      </c>
      <c r="E4000" s="5">
        <v>-27992</v>
      </c>
      <c r="F4000" s="3" t="s">
        <v>565</v>
      </c>
      <c r="G4000" s="3" t="s">
        <v>20</v>
      </c>
      <c r="H4000" s="2" t="s">
        <v>21</v>
      </c>
      <c r="I4000" s="2" t="s">
        <v>8247</v>
      </c>
      <c r="J4000" s="3" t="str">
        <f>HYPERLINK("https://www.boe.es/gazeta/dias/1823/05/11/pdfs/GES-1823-31.pdf#page=4","Abrir facsímil")</f>
        <v>Abrir facsímil</v>
      </c>
      <c r="K4000" s="3" t="s">
        <v>23</v>
      </c>
    </row>
    <row r="4001" spans="1:11" ht="42" customHeight="1">
      <c r="A4001" s="2" t="s">
        <v>8221</v>
      </c>
      <c r="B4001" s="2" t="s">
        <v>8221</v>
      </c>
      <c r="C4001" s="2" t="s">
        <v>17</v>
      </c>
      <c r="D4001" s="2" t="s">
        <v>18</v>
      </c>
      <c r="E4001" s="5">
        <v>-27991</v>
      </c>
      <c r="F4001" s="3" t="s">
        <v>328</v>
      </c>
      <c r="G4001" s="3" t="s">
        <v>27</v>
      </c>
      <c r="H4001" s="2" t="s">
        <v>21</v>
      </c>
      <c r="I4001" s="2" t="s">
        <v>8248</v>
      </c>
      <c r="J4001" s="3" t="str">
        <f>HYPERLINK("https://www.boe.es/gazeta/dias/1823/05/12/pdfs/GES-1823-32.pdf#page=2","Abrir facsímil")</f>
        <v>Abrir facsímil</v>
      </c>
      <c r="K4001" s="3" t="s">
        <v>23</v>
      </c>
    </row>
    <row r="4002" spans="1:11" ht="42" customHeight="1">
      <c r="A4002" s="2" t="s">
        <v>8221</v>
      </c>
      <c r="B4002" s="2" t="s">
        <v>8221</v>
      </c>
      <c r="C4002" s="2" t="s">
        <v>17</v>
      </c>
      <c r="D4002" s="2" t="s">
        <v>18</v>
      </c>
      <c r="E4002" s="5">
        <v>-27991</v>
      </c>
      <c r="F4002" s="3" t="s">
        <v>328</v>
      </c>
      <c r="G4002" s="3" t="s">
        <v>59</v>
      </c>
      <c r="H4002" s="2" t="s">
        <v>21</v>
      </c>
      <c r="I4002" s="2" t="s">
        <v>8249</v>
      </c>
      <c r="J4002" s="3" t="str">
        <f>HYPERLINK("https://www.boe.es/gazeta/dias/1823/05/12/pdfs/GES-1823-32.pdf#page=6","Abrir facsímil")</f>
        <v>Abrir facsímil</v>
      </c>
      <c r="K4002" s="3" t="s">
        <v>23</v>
      </c>
    </row>
    <row r="4003" spans="1:11" ht="42" customHeight="1">
      <c r="A4003" s="2" t="s">
        <v>8221</v>
      </c>
      <c r="B4003" s="2" t="s">
        <v>8221</v>
      </c>
      <c r="C4003" s="2" t="s">
        <v>56</v>
      </c>
      <c r="D4003" s="2" t="s">
        <v>57</v>
      </c>
      <c r="E4003" s="5">
        <v>-27987</v>
      </c>
      <c r="F4003" s="3" t="s">
        <v>332</v>
      </c>
      <c r="G4003" s="3" t="s">
        <v>59</v>
      </c>
      <c r="H4003" s="2" t="s">
        <v>21</v>
      </c>
      <c r="I4003" s="2" t="s">
        <v>8250</v>
      </c>
      <c r="J4003" s="3" t="str">
        <f>HYPERLINK("https://www.boe.es/gazeta/dias/1823/05/16/pdfs/GES-1823-36.pdf#page=6","Abrir facsímil")</f>
        <v>Abrir facsímil</v>
      </c>
      <c r="K4003" s="3" t="s">
        <v>23</v>
      </c>
    </row>
    <row r="4004" spans="1:11" ht="42" customHeight="1">
      <c r="A4004" s="2" t="s">
        <v>8221</v>
      </c>
      <c r="B4004" s="2" t="s">
        <v>8221</v>
      </c>
      <c r="C4004" s="2" t="s">
        <v>109</v>
      </c>
      <c r="D4004" s="2" t="s">
        <v>74</v>
      </c>
      <c r="E4004" s="5">
        <v>-27983</v>
      </c>
      <c r="F4004" s="3" t="s">
        <v>337</v>
      </c>
      <c r="G4004" s="3" t="s">
        <v>34</v>
      </c>
      <c r="H4004" s="2" t="s">
        <v>21</v>
      </c>
      <c r="I4004" s="2" t="s">
        <v>8251</v>
      </c>
      <c r="J4004" s="3" t="str">
        <f>HYPERLINK("https://www.boe.es/gazeta/dias/1823/05/20/pdfs/GES-1823-40.pdf#page=5","Abrir facsímil")</f>
        <v>Abrir facsímil</v>
      </c>
      <c r="K4004" s="3" t="s">
        <v>23</v>
      </c>
    </row>
    <row r="4005" spans="1:11" ht="42" customHeight="1">
      <c r="A4005" s="2" t="s">
        <v>8221</v>
      </c>
      <c r="B4005" s="2" t="s">
        <v>8221</v>
      </c>
      <c r="C4005" s="2" t="s">
        <v>73</v>
      </c>
      <c r="D4005" s="2" t="s">
        <v>74</v>
      </c>
      <c r="E4005" s="5">
        <v>-27980</v>
      </c>
      <c r="F4005" s="3" t="s">
        <v>1068</v>
      </c>
      <c r="G4005" s="3" t="s">
        <v>34</v>
      </c>
      <c r="H4005" s="2" t="s">
        <v>21</v>
      </c>
      <c r="I4005" s="2" t="s">
        <v>8252</v>
      </c>
      <c r="J4005" s="3" t="str">
        <f>HYPERLINK("https://www.boe.es/gazeta/dias/1823/05/23/pdfs/GES-1823-44.pdf#page=5","Abrir facsímil")</f>
        <v>Abrir facsímil</v>
      </c>
      <c r="K4005" s="3" t="s">
        <v>23</v>
      </c>
    </row>
    <row r="4006" spans="1:11" ht="42" customHeight="1">
      <c r="A4006" s="2" t="s">
        <v>8221</v>
      </c>
      <c r="B4006" s="2" t="s">
        <v>8221</v>
      </c>
      <c r="C4006" s="2" t="s">
        <v>56</v>
      </c>
      <c r="D4006" s="2" t="s">
        <v>57</v>
      </c>
      <c r="E4006" s="5">
        <v>-27980</v>
      </c>
      <c r="F4006" s="3" t="s">
        <v>1068</v>
      </c>
      <c r="G4006" s="3" t="s">
        <v>59</v>
      </c>
      <c r="H4006" s="2" t="s">
        <v>21</v>
      </c>
      <c r="I4006" s="2" t="s">
        <v>8253</v>
      </c>
      <c r="J4006" s="3" t="str">
        <f>HYPERLINK("https://www.boe.es/gazeta/dias/1823/05/23/pdfs/GES-1823-44.pdf#page=6","Abrir facsímil")</f>
        <v>Abrir facsímil</v>
      </c>
      <c r="K4006" s="3" t="s">
        <v>23</v>
      </c>
    </row>
    <row r="4007" spans="1:11" ht="42" customHeight="1">
      <c r="A4007" s="2" t="s">
        <v>8221</v>
      </c>
      <c r="B4007" s="2" t="s">
        <v>8221</v>
      </c>
      <c r="C4007" s="2" t="s">
        <v>17</v>
      </c>
      <c r="D4007" s="2" t="s">
        <v>18</v>
      </c>
      <c r="E4007" s="5">
        <v>-27979</v>
      </c>
      <c r="F4007" s="3" t="s">
        <v>1071</v>
      </c>
      <c r="G4007" s="3" t="s">
        <v>59</v>
      </c>
      <c r="H4007" s="2" t="s">
        <v>21</v>
      </c>
      <c r="I4007" s="2" t="s">
        <v>8254</v>
      </c>
      <c r="J4007" s="3" t="str">
        <f>HYPERLINK("https://www.boe.es/gazeta/dias/1823/05/24/pdfs/GES-1823-45.pdf#page=6","Abrir facsímil")</f>
        <v>Abrir facsímil</v>
      </c>
      <c r="K4007" s="3" t="s">
        <v>23</v>
      </c>
    </row>
    <row r="4008" spans="1:11" ht="42" customHeight="1">
      <c r="A4008" s="2" t="s">
        <v>8221</v>
      </c>
      <c r="B4008" s="2" t="s">
        <v>8221</v>
      </c>
      <c r="C4008" s="2" t="s">
        <v>73</v>
      </c>
      <c r="D4008" s="2" t="s">
        <v>74</v>
      </c>
      <c r="E4008" s="5">
        <v>-27978</v>
      </c>
      <c r="F4008" s="3" t="s">
        <v>342</v>
      </c>
      <c r="G4008" s="3" t="s">
        <v>59</v>
      </c>
      <c r="H4008" s="2" t="s">
        <v>21</v>
      </c>
      <c r="I4008" s="2" t="s">
        <v>8255</v>
      </c>
      <c r="J4008" s="3" t="str">
        <f>HYPERLINK("https://www.boe.es/gazeta/dias/1823/05/25/pdfs/GES-1823-46.pdf#page=6","Abrir facsímil")</f>
        <v>Abrir facsímil</v>
      </c>
      <c r="K4008" s="3" t="s">
        <v>23</v>
      </c>
    </row>
    <row r="4009" spans="1:11" ht="42" customHeight="1">
      <c r="A4009" s="2" t="s">
        <v>8221</v>
      </c>
      <c r="B4009" s="2" t="s">
        <v>8221</v>
      </c>
      <c r="C4009" s="2" t="s">
        <v>17</v>
      </c>
      <c r="D4009" s="2" t="s">
        <v>18</v>
      </c>
      <c r="E4009" s="5">
        <v>-27977</v>
      </c>
      <c r="F4009" s="3" t="s">
        <v>1489</v>
      </c>
      <c r="G4009" s="3" t="s">
        <v>2808</v>
      </c>
      <c r="H4009" s="2" t="s">
        <v>21</v>
      </c>
      <c r="I4009" s="2" t="s">
        <v>8256</v>
      </c>
      <c r="J4009" s="3" t="str">
        <f>HYPERLINK("https://www.boe.es/gazeta/dias/1823/05/26/pdfs/GES-1823-47.pdf#page=5","Abrir facsímil")</f>
        <v>Abrir facsímil</v>
      </c>
      <c r="K4009" s="3" t="s">
        <v>23</v>
      </c>
    </row>
    <row r="4010" spans="1:11" ht="42" customHeight="1">
      <c r="A4010" s="2" t="s">
        <v>8221</v>
      </c>
      <c r="B4010" s="2" t="s">
        <v>8221</v>
      </c>
      <c r="C4010" s="2" t="s">
        <v>73</v>
      </c>
      <c r="D4010" s="2" t="s">
        <v>74</v>
      </c>
      <c r="E4010" s="5">
        <v>-27974</v>
      </c>
      <c r="F4010" s="3" t="s">
        <v>618</v>
      </c>
      <c r="G4010" s="3" t="s">
        <v>59</v>
      </c>
      <c r="H4010" s="2" t="s">
        <v>21</v>
      </c>
      <c r="I4010" s="2" t="s">
        <v>8257</v>
      </c>
      <c r="J4010" s="3" t="str">
        <f>HYPERLINK("https://www.boe.es/gazeta/dias/1823/05/29/pdfs/GES-1823-52.pdf#page=6","Abrir facsímil")</f>
        <v>Abrir facsímil</v>
      </c>
      <c r="K4010" s="3" t="s">
        <v>23</v>
      </c>
    </row>
    <row r="4011" spans="1:11" ht="42" customHeight="1">
      <c r="A4011" s="2" t="s">
        <v>8221</v>
      </c>
      <c r="B4011" s="2" t="s">
        <v>8221</v>
      </c>
      <c r="C4011" s="2" t="s">
        <v>17</v>
      </c>
      <c r="D4011" s="2" t="s">
        <v>18</v>
      </c>
      <c r="E4011" s="5">
        <v>-27972</v>
      </c>
      <c r="F4011" s="3" t="s">
        <v>429</v>
      </c>
      <c r="G4011" s="3" t="s">
        <v>20</v>
      </c>
      <c r="H4011" s="2" t="s">
        <v>21</v>
      </c>
      <c r="I4011" s="2" t="s">
        <v>8258</v>
      </c>
      <c r="J4011" s="3" t="str">
        <f>HYPERLINK("https://www.boe.es/gazeta/dias/1823/05/31/pdfs/GES-1823-54.pdf#page=4","Abrir facsímil")</f>
        <v>Abrir facsímil</v>
      </c>
      <c r="K4011" s="3" t="s">
        <v>23</v>
      </c>
    </row>
    <row r="4012" spans="1:11" ht="42" customHeight="1">
      <c r="A4012" s="2" t="s">
        <v>8221</v>
      </c>
      <c r="B4012" s="2" t="s">
        <v>8221</v>
      </c>
      <c r="C4012" s="2" t="s">
        <v>17</v>
      </c>
      <c r="D4012" s="2" t="s">
        <v>18</v>
      </c>
      <c r="E4012" s="5">
        <v>-27972</v>
      </c>
      <c r="F4012" s="3" t="s">
        <v>1515</v>
      </c>
      <c r="G4012" s="3" t="s">
        <v>27</v>
      </c>
      <c r="H4012" s="2" t="s">
        <v>21</v>
      </c>
      <c r="I4012" s="2" t="s">
        <v>8259</v>
      </c>
      <c r="J4012" s="3" t="str">
        <f>HYPERLINK("https://www.boe.es/gazeta/dias/1823/05/31/pdfs/GMD-1823-33.pdf#page=2","Abrir facsímil")</f>
        <v>Abrir facsímil</v>
      </c>
      <c r="K4012" s="3" t="s">
        <v>23</v>
      </c>
    </row>
    <row r="4013" spans="1:11" ht="42" customHeight="1">
      <c r="A4013" s="2" t="s">
        <v>8221</v>
      </c>
      <c r="B4013" s="2" t="s">
        <v>8221</v>
      </c>
      <c r="C4013" s="2" t="s">
        <v>109</v>
      </c>
      <c r="D4013" s="2" t="s">
        <v>74</v>
      </c>
      <c r="E4013" s="5">
        <v>-27972</v>
      </c>
      <c r="F4013" s="3" t="s">
        <v>1515</v>
      </c>
      <c r="G4013" s="3" t="s">
        <v>48</v>
      </c>
      <c r="H4013" s="2" t="s">
        <v>21</v>
      </c>
      <c r="I4013" s="2" t="s">
        <v>8260</v>
      </c>
      <c r="J4013" s="3" t="str">
        <f>HYPERLINK("https://www.boe.es/gazeta/dias/1823/05/31/pdfs/GMD-1823-33.pdf#page=3","Abrir facsímil")</f>
        <v>Abrir facsímil</v>
      </c>
      <c r="K4013" s="3" t="s">
        <v>23</v>
      </c>
    </row>
    <row r="4014" spans="1:11" ht="42" customHeight="1">
      <c r="A4014" s="2" t="s">
        <v>8221</v>
      </c>
      <c r="B4014" s="2" t="s">
        <v>8221</v>
      </c>
      <c r="C4014" s="2" t="s">
        <v>17</v>
      </c>
      <c r="D4014" s="2" t="s">
        <v>18</v>
      </c>
      <c r="E4014" s="5">
        <v>-27970</v>
      </c>
      <c r="F4014" s="3" t="s">
        <v>1030</v>
      </c>
      <c r="G4014" s="3" t="s">
        <v>20</v>
      </c>
      <c r="H4014" s="2" t="s">
        <v>21</v>
      </c>
      <c r="I4014" s="2" t="s">
        <v>8261</v>
      </c>
      <c r="J4014" s="3" t="str">
        <f>HYPERLINK("https://www.boe.es/gazeta/dias/1823/06/02/pdfs/GES-1823-56.pdf#page=4","Abrir facsímil")</f>
        <v>Abrir facsímil</v>
      </c>
      <c r="K4014" s="3" t="s">
        <v>23</v>
      </c>
    </row>
    <row r="4015" spans="1:11" ht="42" customHeight="1">
      <c r="A4015" s="2" t="s">
        <v>8221</v>
      </c>
      <c r="B4015" s="2" t="s">
        <v>8221</v>
      </c>
      <c r="C4015" s="2" t="s">
        <v>17</v>
      </c>
      <c r="D4015" s="2" t="s">
        <v>18</v>
      </c>
      <c r="E4015" s="5">
        <v>-27970</v>
      </c>
      <c r="F4015" s="3" t="s">
        <v>1030</v>
      </c>
      <c r="G4015" s="3" t="s">
        <v>34</v>
      </c>
      <c r="H4015" s="2" t="s">
        <v>21</v>
      </c>
      <c r="I4015" s="2" t="s">
        <v>8262</v>
      </c>
      <c r="J4015" s="3" t="str">
        <f>HYPERLINK("https://www.boe.es/gazeta/dias/1823/06/02/pdfs/GES-1823-56.pdf#page=5","Abrir facsímil")</f>
        <v>Abrir facsímil</v>
      </c>
      <c r="K4015" s="3" t="s">
        <v>23</v>
      </c>
    </row>
    <row r="4016" spans="1:11" ht="42" customHeight="1">
      <c r="A4016" s="2" t="s">
        <v>8221</v>
      </c>
      <c r="B4016" s="2" t="s">
        <v>8221</v>
      </c>
      <c r="C4016" s="2" t="s">
        <v>73</v>
      </c>
      <c r="D4016" s="2" t="s">
        <v>117</v>
      </c>
      <c r="E4016" s="5">
        <v>-27970</v>
      </c>
      <c r="F4016" s="3" t="s">
        <v>1699</v>
      </c>
      <c r="G4016" s="3" t="s">
        <v>39</v>
      </c>
      <c r="H4016" s="2" t="s">
        <v>21</v>
      </c>
      <c r="I4016" s="2" t="s">
        <v>8263</v>
      </c>
      <c r="J4016" s="3" t="str">
        <f>HYPERLINK("https://www.boe.es/gazeta/dias/1823/06/02/pdfs/GMD-1823-43E.pdf#page=1","Abrir facsímil")</f>
        <v>Abrir facsímil</v>
      </c>
      <c r="K4016" s="3" t="s">
        <v>23</v>
      </c>
    </row>
    <row r="4017" spans="1:11" ht="42" customHeight="1">
      <c r="A4017" s="2" t="s">
        <v>8221</v>
      </c>
      <c r="B4017" s="2" t="s">
        <v>8221</v>
      </c>
      <c r="C4017" s="2" t="s">
        <v>17</v>
      </c>
      <c r="D4017" s="2" t="s">
        <v>18</v>
      </c>
      <c r="E4017" s="5">
        <v>-27969</v>
      </c>
      <c r="F4017" s="3" t="s">
        <v>204</v>
      </c>
      <c r="G4017" s="3" t="s">
        <v>20</v>
      </c>
      <c r="H4017" s="2" t="s">
        <v>21</v>
      </c>
      <c r="I4017" s="2" t="s">
        <v>8264</v>
      </c>
      <c r="J4017" s="3" t="str">
        <f>HYPERLINK("https://www.boe.es/gazeta/dias/1823/06/03/pdfs/GMD-1823-53.pdf#page=4","Abrir facsímil")</f>
        <v>Abrir facsímil</v>
      </c>
      <c r="K4017" s="3" t="s">
        <v>23</v>
      </c>
    </row>
    <row r="4018" spans="1:11" ht="42" customHeight="1">
      <c r="A4018" s="2" t="s">
        <v>8221</v>
      </c>
      <c r="B4018" s="2" t="s">
        <v>8221</v>
      </c>
      <c r="C4018" s="2" t="s">
        <v>73</v>
      </c>
      <c r="D4018" s="2" t="s">
        <v>74</v>
      </c>
      <c r="E4018" s="5">
        <v>-27968</v>
      </c>
      <c r="F4018" s="3" t="s">
        <v>1160</v>
      </c>
      <c r="G4018" s="3" t="s">
        <v>1676</v>
      </c>
      <c r="H4018" s="2" t="s">
        <v>21</v>
      </c>
      <c r="I4018" s="2" t="s">
        <v>8265</v>
      </c>
      <c r="J4018" s="3" t="str">
        <f>HYPERLINK("https://www.boe.es/gazeta/dias/1823/06/04/pdfs/GES-1823-58.pdf#page=6","Abrir facsímil")</f>
        <v>Abrir facsímil</v>
      </c>
      <c r="K4018" s="3" t="s">
        <v>23</v>
      </c>
    </row>
    <row r="4019" spans="1:11" ht="42" customHeight="1">
      <c r="A4019" s="2" t="s">
        <v>8221</v>
      </c>
      <c r="B4019" s="2" t="s">
        <v>8221</v>
      </c>
      <c r="C4019" s="2" t="s">
        <v>73</v>
      </c>
      <c r="D4019" s="2" t="s">
        <v>74</v>
      </c>
      <c r="E4019" s="5">
        <v>-27968</v>
      </c>
      <c r="F4019" s="3" t="s">
        <v>1160</v>
      </c>
      <c r="G4019" s="3" t="s">
        <v>34</v>
      </c>
      <c r="H4019" s="2" t="s">
        <v>21</v>
      </c>
      <c r="I4019" s="2" t="s">
        <v>8266</v>
      </c>
      <c r="J4019" s="3" t="str">
        <f>HYPERLINK("https://www.boe.es/gazeta/dias/1823/06/04/pdfs/GES-1823-58.pdf#page=5","Abrir facsímil")</f>
        <v>Abrir facsímil</v>
      </c>
      <c r="K4019" s="3" t="s">
        <v>23</v>
      </c>
    </row>
    <row r="4020" spans="1:11" ht="42" customHeight="1">
      <c r="A4020" s="2" t="s">
        <v>8221</v>
      </c>
      <c r="B4020" s="2" t="s">
        <v>8221</v>
      </c>
      <c r="C4020" s="2" t="s">
        <v>17</v>
      </c>
      <c r="D4020" s="2" t="s">
        <v>18</v>
      </c>
      <c r="E4020" s="5">
        <v>-27965</v>
      </c>
      <c r="F4020" s="3" t="s">
        <v>208</v>
      </c>
      <c r="G4020" s="3" t="s">
        <v>34</v>
      </c>
      <c r="H4020" s="2" t="s">
        <v>21</v>
      </c>
      <c r="I4020" s="2" t="s">
        <v>8267</v>
      </c>
      <c r="J4020" s="3" t="str">
        <f>HYPERLINK("https://www.boe.es/gazeta/dias/1823/06/07/pdfs/GES-1823-61.pdf#page=5","Abrir facsímil")</f>
        <v>Abrir facsímil</v>
      </c>
      <c r="K4020" s="3" t="s">
        <v>23</v>
      </c>
    </row>
    <row r="4021" spans="1:11" ht="42" customHeight="1">
      <c r="A4021" s="2" t="s">
        <v>8221</v>
      </c>
      <c r="B4021" s="2" t="s">
        <v>8221</v>
      </c>
      <c r="C4021" s="2" t="s">
        <v>79</v>
      </c>
      <c r="D4021" s="2" t="s">
        <v>74</v>
      </c>
      <c r="E4021" s="5">
        <v>-27965</v>
      </c>
      <c r="F4021" s="3" t="s">
        <v>1930</v>
      </c>
      <c r="G4021" s="3" t="s">
        <v>27</v>
      </c>
      <c r="H4021" s="2" t="s">
        <v>21</v>
      </c>
      <c r="I4021" s="2" t="s">
        <v>8268</v>
      </c>
      <c r="J4021" s="3" t="str">
        <f>HYPERLINK("https://www.boe.es/gazeta/dias/1823/06/07/pdfs/GMD-1823-83.pdf#page=2","Abrir facsímil")</f>
        <v>Abrir facsímil</v>
      </c>
      <c r="K4021" s="3" t="s">
        <v>23</v>
      </c>
    </row>
    <row r="4022" spans="1:11" ht="42" customHeight="1">
      <c r="A4022" s="2" t="s">
        <v>8221</v>
      </c>
      <c r="B4022" s="2" t="s">
        <v>8221</v>
      </c>
      <c r="C4022" s="2" t="s">
        <v>56</v>
      </c>
      <c r="D4022" s="2" t="s">
        <v>57</v>
      </c>
      <c r="E4022" s="5">
        <v>-27960</v>
      </c>
      <c r="F4022" s="3" t="s">
        <v>741</v>
      </c>
      <c r="G4022" s="3" t="s">
        <v>2680</v>
      </c>
      <c r="H4022" s="2" t="s">
        <v>21</v>
      </c>
      <c r="I4022" s="2" t="s">
        <v>8269</v>
      </c>
      <c r="J4022" s="3" t="str">
        <f>HYPERLINK("https://www.boe.es/gazeta/dias/1823/06/12/pdfs/GES-1823-66.pdf#page=6","Abrir facsímil")</f>
        <v>Abrir facsímil</v>
      </c>
      <c r="K4022" s="3" t="s">
        <v>23</v>
      </c>
    </row>
    <row r="4023" spans="1:11" ht="42" customHeight="1">
      <c r="A4023" s="2" t="s">
        <v>8221</v>
      </c>
      <c r="B4023" s="2" t="s">
        <v>8221</v>
      </c>
      <c r="C4023" s="2" t="s">
        <v>17</v>
      </c>
      <c r="D4023" s="2" t="s">
        <v>18</v>
      </c>
      <c r="E4023" s="5">
        <v>-27960</v>
      </c>
      <c r="F4023" s="3" t="s">
        <v>682</v>
      </c>
      <c r="G4023" s="3" t="s">
        <v>27</v>
      </c>
      <c r="H4023" s="2" t="s">
        <v>21</v>
      </c>
      <c r="I4023" s="2" t="s">
        <v>8270</v>
      </c>
      <c r="J4023" s="3" t="str">
        <f>HYPERLINK("https://www.boe.es/gazeta/dias/1823/06/12/pdfs/GMD-1823-123.pdf#page=2","Abrir facsímil")</f>
        <v>Abrir facsímil</v>
      </c>
      <c r="K4023" s="3" t="s">
        <v>23</v>
      </c>
    </row>
    <row r="4024" spans="1:11" ht="42" customHeight="1">
      <c r="A4024" s="2" t="s">
        <v>8221</v>
      </c>
      <c r="B4024" s="2" t="s">
        <v>8221</v>
      </c>
      <c r="C4024" s="2" t="s">
        <v>17</v>
      </c>
      <c r="D4024" s="2" t="s">
        <v>18</v>
      </c>
      <c r="E4024" s="5">
        <v>-27960</v>
      </c>
      <c r="F4024" s="3" t="s">
        <v>682</v>
      </c>
      <c r="G4024" s="3" t="s">
        <v>48</v>
      </c>
      <c r="H4024" s="2" t="s">
        <v>21</v>
      </c>
      <c r="I4024" s="2" t="s">
        <v>8271</v>
      </c>
      <c r="J4024" s="3" t="str">
        <f>HYPERLINK("https://www.boe.es/gazeta/dias/1823/06/12/pdfs/GMD-1823-123.pdf#page=3","Abrir facsímil")</f>
        <v>Abrir facsímil</v>
      </c>
      <c r="K4024" s="3" t="s">
        <v>23</v>
      </c>
    </row>
    <row r="4025" spans="1:11" ht="42" customHeight="1">
      <c r="A4025" s="2" t="s">
        <v>8221</v>
      </c>
      <c r="B4025" s="2" t="s">
        <v>8221</v>
      </c>
      <c r="C4025" s="2" t="s">
        <v>109</v>
      </c>
      <c r="D4025" s="2" t="s">
        <v>74</v>
      </c>
      <c r="E4025" s="5">
        <v>-27958</v>
      </c>
      <c r="F4025" s="3" t="s">
        <v>2203</v>
      </c>
      <c r="G4025" s="3" t="s">
        <v>39</v>
      </c>
      <c r="H4025" s="2" t="s">
        <v>21</v>
      </c>
      <c r="I4025" s="2" t="s">
        <v>8272</v>
      </c>
      <c r="J4025" s="3" t="str">
        <f>HYPERLINK("https://www.boe.es/gazeta/dias/1823/06/14/pdfs/GMD-1823-153.pdf#page=1","Abrir facsímil")</f>
        <v>Abrir facsímil</v>
      </c>
      <c r="K4025" s="3" t="s">
        <v>23</v>
      </c>
    </row>
    <row r="4026" spans="1:11" ht="42" customHeight="1">
      <c r="A4026" s="2" t="s">
        <v>8221</v>
      </c>
      <c r="B4026" s="2" t="s">
        <v>8221</v>
      </c>
      <c r="C4026" s="2" t="s">
        <v>73</v>
      </c>
      <c r="D4026" s="2" t="s">
        <v>74</v>
      </c>
      <c r="E4026" s="5">
        <v>-27955</v>
      </c>
      <c r="F4026" s="3" t="s">
        <v>3015</v>
      </c>
      <c r="G4026" s="3" t="s">
        <v>39</v>
      </c>
      <c r="H4026" s="2" t="s">
        <v>21</v>
      </c>
      <c r="I4026" s="2" t="s">
        <v>8273</v>
      </c>
      <c r="J4026" s="3" t="str">
        <f>HYPERLINK("https://www.boe.es/gazeta/dias/1823/06/17/pdfs/GMD-1823-183.pdf#page=1","Abrir facsímil")</f>
        <v>Abrir facsímil</v>
      </c>
      <c r="K4026" s="3" t="s">
        <v>23</v>
      </c>
    </row>
    <row r="4027" spans="1:11" ht="42" customHeight="1">
      <c r="A4027" s="2" t="s">
        <v>8221</v>
      </c>
      <c r="B4027" s="2" t="s">
        <v>8221</v>
      </c>
      <c r="C4027" s="2" t="s">
        <v>79</v>
      </c>
      <c r="D4027" s="2" t="s">
        <v>74</v>
      </c>
      <c r="E4027" s="5">
        <v>-27955</v>
      </c>
      <c r="F4027" s="3" t="s">
        <v>3015</v>
      </c>
      <c r="G4027" s="3" t="s">
        <v>48</v>
      </c>
      <c r="H4027" s="2" t="s">
        <v>21</v>
      </c>
      <c r="I4027" s="2" t="s">
        <v>8274</v>
      </c>
      <c r="J4027" s="3" t="str">
        <f>HYPERLINK("https://www.boe.es/gazeta/dias/1823/06/17/pdfs/GMD-1823-183.pdf#page=3","Abrir facsímil")</f>
        <v>Abrir facsímil</v>
      </c>
      <c r="K4027" s="3" t="s">
        <v>23</v>
      </c>
    </row>
    <row r="4028" spans="1:11" ht="42" customHeight="1">
      <c r="A4028" s="2" t="s">
        <v>8221</v>
      </c>
      <c r="B4028" s="2" t="s">
        <v>8221</v>
      </c>
      <c r="C4028" s="2" t="s">
        <v>17</v>
      </c>
      <c r="D4028" s="2" t="s">
        <v>18</v>
      </c>
      <c r="E4028" s="5">
        <v>-27953</v>
      </c>
      <c r="F4028" s="3" t="s">
        <v>1543</v>
      </c>
      <c r="G4028" s="3" t="s">
        <v>27</v>
      </c>
      <c r="H4028" s="2" t="s">
        <v>21</v>
      </c>
      <c r="I4028" s="2" t="s">
        <v>8275</v>
      </c>
      <c r="J4028" s="3" t="str">
        <f>HYPERLINK("https://www.boe.es/gazeta/dias/1823/06/19/pdfs/GMD-1823-193.pdf#page=2","Abrir facsímil")</f>
        <v>Abrir facsímil</v>
      </c>
      <c r="K4028" s="3" t="s">
        <v>23</v>
      </c>
    </row>
    <row r="4029" spans="1:11" ht="42" customHeight="1">
      <c r="A4029" s="2" t="s">
        <v>8221</v>
      </c>
      <c r="B4029" s="2" t="s">
        <v>8221</v>
      </c>
      <c r="C4029" s="2" t="s">
        <v>56</v>
      </c>
      <c r="D4029" s="2" t="s">
        <v>117</v>
      </c>
      <c r="E4029" s="5">
        <v>-27952</v>
      </c>
      <c r="F4029" s="3" t="s">
        <v>1844</v>
      </c>
      <c r="G4029" s="3" t="s">
        <v>39</v>
      </c>
      <c r="H4029" s="2" t="s">
        <v>21</v>
      </c>
      <c r="I4029" s="2" t="s">
        <v>8276</v>
      </c>
      <c r="J4029" s="3" t="str">
        <f>HYPERLINK("https://www.boe.es/gazeta/dias/1823/06/20/pdfs/GMD-1823-213E.pdf#page=1","Abrir facsímil")</f>
        <v>Abrir facsímil</v>
      </c>
      <c r="K4029" s="3" t="s">
        <v>23</v>
      </c>
    </row>
    <row r="4030" spans="1:11" ht="42" customHeight="1">
      <c r="A4030" s="2" t="s">
        <v>8221</v>
      </c>
      <c r="B4030" s="2" t="s">
        <v>8221</v>
      </c>
      <c r="C4030" s="2" t="s">
        <v>109</v>
      </c>
      <c r="D4030" s="2" t="s">
        <v>117</v>
      </c>
      <c r="E4030" s="5">
        <v>-27949</v>
      </c>
      <c r="F4030" s="3" t="s">
        <v>2793</v>
      </c>
      <c r="G4030" s="3" t="s">
        <v>39</v>
      </c>
      <c r="H4030" s="2" t="s">
        <v>21</v>
      </c>
      <c r="I4030" s="2" t="s">
        <v>8277</v>
      </c>
      <c r="J4030" s="3" t="str">
        <f>HYPERLINK("https://www.boe.es/gazeta/dias/1823/06/23/pdfs/GMD-1823-243E.pdf#page=1","Abrir facsímil")</f>
        <v>Abrir facsímil</v>
      </c>
      <c r="K4030" s="3" t="s">
        <v>23</v>
      </c>
    </row>
    <row r="4031" spans="1:11" ht="42" customHeight="1">
      <c r="A4031" s="2" t="s">
        <v>8221</v>
      </c>
      <c r="B4031" s="2" t="s">
        <v>8221</v>
      </c>
      <c r="C4031" s="2" t="s">
        <v>17</v>
      </c>
      <c r="D4031" s="2" t="s">
        <v>18</v>
      </c>
      <c r="E4031" s="5">
        <v>-27948</v>
      </c>
      <c r="F4031" s="3" t="s">
        <v>3752</v>
      </c>
      <c r="G4031" s="3" t="s">
        <v>39</v>
      </c>
      <c r="H4031" s="2" t="s">
        <v>21</v>
      </c>
      <c r="I4031" s="2" t="s">
        <v>8278</v>
      </c>
      <c r="J4031" s="3" t="str">
        <f>HYPERLINK("https://www.boe.es/gazeta/dias/1823/06/24/pdfs/GMD-1823-263.pdf#page=1","Abrir facsímil")</f>
        <v>Abrir facsímil</v>
      </c>
      <c r="K4031" s="3" t="s">
        <v>23</v>
      </c>
    </row>
    <row r="4032" spans="1:11" ht="42" customHeight="1">
      <c r="A4032" s="2" t="s">
        <v>8221</v>
      </c>
      <c r="B4032" s="2" t="s">
        <v>8221</v>
      </c>
      <c r="C4032" s="2" t="s">
        <v>1477</v>
      </c>
      <c r="D4032" s="2" t="s">
        <v>57</v>
      </c>
      <c r="E4032" s="5">
        <v>-27948</v>
      </c>
      <c r="F4032" s="3" t="s">
        <v>3752</v>
      </c>
      <c r="G4032" s="3" t="s">
        <v>48</v>
      </c>
      <c r="H4032" s="2" t="s">
        <v>21</v>
      </c>
      <c r="I4032" s="2" t="s">
        <v>8279</v>
      </c>
      <c r="J4032" s="3" t="str">
        <f>HYPERLINK("https://www.boe.es/gazeta/dias/1823/06/24/pdfs/GMD-1823-263.pdf#page=3","Abrir facsímil")</f>
        <v>Abrir facsímil</v>
      </c>
      <c r="K4032" s="3" t="s">
        <v>23</v>
      </c>
    </row>
    <row r="4033" spans="1:11" ht="42" customHeight="1">
      <c r="A4033" s="2" t="s">
        <v>8221</v>
      </c>
      <c r="B4033" s="2" t="s">
        <v>8221</v>
      </c>
      <c r="C4033" s="2" t="s">
        <v>84</v>
      </c>
      <c r="D4033" s="2" t="s">
        <v>74</v>
      </c>
      <c r="E4033" s="5">
        <v>-27946</v>
      </c>
      <c r="F4033" s="3" t="s">
        <v>1547</v>
      </c>
      <c r="G4033" s="3" t="s">
        <v>39</v>
      </c>
      <c r="H4033" s="2" t="s">
        <v>21</v>
      </c>
      <c r="I4033" s="2" t="s">
        <v>8280</v>
      </c>
      <c r="J4033" s="3" t="str">
        <f>HYPERLINK("https://www.boe.es/gazeta/dias/1823/06/26/pdfs/GMD-1823-283.pdf#page=1","Abrir facsímil")</f>
        <v>Abrir facsímil</v>
      </c>
      <c r="K4033" s="3" t="s">
        <v>23</v>
      </c>
    </row>
    <row r="4034" spans="1:11" ht="42" customHeight="1">
      <c r="A4034" s="2" t="s">
        <v>8221</v>
      </c>
      <c r="B4034" s="2" t="s">
        <v>8221</v>
      </c>
      <c r="C4034" s="2" t="s">
        <v>17</v>
      </c>
      <c r="D4034" s="2" t="s">
        <v>18</v>
      </c>
      <c r="E4034" s="5">
        <v>-27946</v>
      </c>
      <c r="F4034" s="3" t="s">
        <v>1547</v>
      </c>
      <c r="G4034" s="3" t="s">
        <v>27</v>
      </c>
      <c r="H4034" s="2" t="s">
        <v>21</v>
      </c>
      <c r="I4034" s="2" t="s">
        <v>8281</v>
      </c>
      <c r="J4034" s="3" t="str">
        <f>HYPERLINK("https://www.boe.es/gazeta/dias/1823/06/26/pdfs/GMD-1823-283.pdf#page=2","Abrir facsímil")</f>
        <v>Abrir facsímil</v>
      </c>
      <c r="K4034" s="3" t="s">
        <v>23</v>
      </c>
    </row>
    <row r="4035" spans="1:11" ht="42" customHeight="1">
      <c r="A4035" s="2" t="s">
        <v>8221</v>
      </c>
      <c r="B4035" s="2" t="s">
        <v>8221</v>
      </c>
      <c r="C4035" s="2" t="s">
        <v>79</v>
      </c>
      <c r="D4035" s="2" t="s">
        <v>117</v>
      </c>
      <c r="E4035" s="5">
        <v>-27945</v>
      </c>
      <c r="F4035" s="3" t="s">
        <v>2633</v>
      </c>
      <c r="G4035" s="3" t="s">
        <v>39</v>
      </c>
      <c r="H4035" s="2" t="s">
        <v>21</v>
      </c>
      <c r="I4035" s="2" t="s">
        <v>8282</v>
      </c>
      <c r="J4035" s="3" t="str">
        <f>HYPERLINK("https://www.boe.es/gazeta/dias/1823/06/27/pdfs/GMD-1823-293E.pdf#page=1","Abrir facsímil")</f>
        <v>Abrir facsímil</v>
      </c>
      <c r="K4035" s="3" t="s">
        <v>23</v>
      </c>
    </row>
    <row r="4036" spans="1:11" ht="42" customHeight="1">
      <c r="A4036" s="2" t="s">
        <v>8221</v>
      </c>
      <c r="B4036" s="2" t="s">
        <v>8221</v>
      </c>
      <c r="C4036" s="2" t="s">
        <v>17</v>
      </c>
      <c r="D4036" s="2" t="s">
        <v>18</v>
      </c>
      <c r="E4036" s="5">
        <v>-27944</v>
      </c>
      <c r="F4036" s="3" t="s">
        <v>658</v>
      </c>
      <c r="G4036" s="3" t="s">
        <v>27</v>
      </c>
      <c r="H4036" s="2" t="s">
        <v>21</v>
      </c>
      <c r="I4036" s="2" t="s">
        <v>8283</v>
      </c>
      <c r="J4036" s="3" t="str">
        <f>HYPERLINK("https://www.boe.es/gazeta/dias/1823/06/28/pdfs/GMD-1823-303.pdf#page=2","Abrir facsímil")</f>
        <v>Abrir facsímil</v>
      </c>
      <c r="K4036" s="3" t="s">
        <v>23</v>
      </c>
    </row>
    <row r="4037" spans="1:11" ht="42" customHeight="1">
      <c r="A4037" s="2" t="s">
        <v>8221</v>
      </c>
      <c r="B4037" s="2" t="s">
        <v>8221</v>
      </c>
      <c r="C4037" s="2" t="s">
        <v>109</v>
      </c>
      <c r="D4037" s="2" t="s">
        <v>74</v>
      </c>
      <c r="E4037" s="5">
        <v>-27944</v>
      </c>
      <c r="F4037" s="3" t="s">
        <v>658</v>
      </c>
      <c r="G4037" s="3" t="s">
        <v>20</v>
      </c>
      <c r="H4037" s="2" t="s">
        <v>21</v>
      </c>
      <c r="I4037" s="2" t="s">
        <v>8284</v>
      </c>
      <c r="J4037" s="3" t="str">
        <f>HYPERLINK("https://www.boe.es/gazeta/dias/1823/06/28/pdfs/GMD-1823-303.pdf#page=4","Abrir facsímil")</f>
        <v>Abrir facsímil</v>
      </c>
      <c r="K4037" s="3" t="s">
        <v>23</v>
      </c>
    </row>
    <row r="4038" spans="1:11" ht="42" customHeight="1">
      <c r="A4038" s="2" t="s">
        <v>8221</v>
      </c>
      <c r="B4038" s="2" t="s">
        <v>8221</v>
      </c>
      <c r="C4038" s="2" t="s">
        <v>17</v>
      </c>
      <c r="D4038" s="2" t="s">
        <v>18</v>
      </c>
      <c r="E4038" s="5">
        <v>-27939</v>
      </c>
      <c r="F4038" s="3" t="s">
        <v>1403</v>
      </c>
      <c r="G4038" s="3" t="s">
        <v>2756</v>
      </c>
      <c r="H4038" s="2" t="s">
        <v>21</v>
      </c>
      <c r="I4038" s="2" t="s">
        <v>8285</v>
      </c>
      <c r="J4038" s="3" t="str">
        <f>HYPERLINK("https://www.boe.es/gazeta/dias/1823/07/03/pdfs/GMD-1823-333.pdf#page=6","Abrir facsímil")</f>
        <v>Abrir facsímil</v>
      </c>
      <c r="K4038" s="3" t="s">
        <v>23</v>
      </c>
    </row>
    <row r="4039" spans="1:11" ht="42" customHeight="1">
      <c r="A4039" s="2" t="s">
        <v>8221</v>
      </c>
      <c r="B4039" s="2" t="s">
        <v>8221</v>
      </c>
      <c r="C4039" s="2" t="s">
        <v>79</v>
      </c>
      <c r="D4039" s="2" t="s">
        <v>74</v>
      </c>
      <c r="E4039" s="5">
        <v>-27939</v>
      </c>
      <c r="F4039" s="3" t="s">
        <v>1403</v>
      </c>
      <c r="G4039" s="3" t="s">
        <v>27</v>
      </c>
      <c r="H4039" s="2" t="s">
        <v>21</v>
      </c>
      <c r="I4039" s="2" t="s">
        <v>8286</v>
      </c>
      <c r="J4039" s="3" t="str">
        <f>HYPERLINK("https://www.boe.es/gazeta/dias/1823/07/03/pdfs/GMD-1823-333.pdf#page=2","Abrir facsímil")</f>
        <v>Abrir facsímil</v>
      </c>
      <c r="K4039" s="3" t="s">
        <v>23</v>
      </c>
    </row>
    <row r="4040" spans="1:11" ht="42" customHeight="1">
      <c r="A4040" s="2" t="s">
        <v>8221</v>
      </c>
      <c r="B4040" s="2" t="s">
        <v>8221</v>
      </c>
      <c r="C4040" s="2" t="s">
        <v>17</v>
      </c>
      <c r="D4040" s="2" t="s">
        <v>18</v>
      </c>
      <c r="E4040" s="5">
        <v>-27937</v>
      </c>
      <c r="F4040" s="3" t="s">
        <v>897</v>
      </c>
      <c r="G4040" s="3" t="s">
        <v>27</v>
      </c>
      <c r="H4040" s="2" t="s">
        <v>21</v>
      </c>
      <c r="I4040" s="2" t="s">
        <v>8287</v>
      </c>
      <c r="J4040" s="3" t="str">
        <f>HYPERLINK("https://www.boe.es/gazeta/dias/1823/07/05/pdfs/GMD-1823-343.pdf#page=2","Abrir facsímil")</f>
        <v>Abrir facsímil</v>
      </c>
      <c r="K4040" s="3" t="s">
        <v>23</v>
      </c>
    </row>
    <row r="4041" spans="1:11" ht="42" customHeight="1">
      <c r="A4041" s="2" t="s">
        <v>8221</v>
      </c>
      <c r="B4041" s="2" t="s">
        <v>8221</v>
      </c>
      <c r="C4041" s="2" t="s">
        <v>17</v>
      </c>
      <c r="D4041" s="2" t="s">
        <v>18</v>
      </c>
      <c r="E4041" s="5">
        <v>-27937</v>
      </c>
      <c r="F4041" s="3" t="s">
        <v>897</v>
      </c>
      <c r="G4041" s="3" t="s">
        <v>34</v>
      </c>
      <c r="H4041" s="2" t="s">
        <v>21</v>
      </c>
      <c r="I4041" s="2" t="s">
        <v>8288</v>
      </c>
      <c r="J4041" s="3" t="str">
        <f>HYPERLINK("https://www.boe.es/gazeta/dias/1823/07/05/pdfs/GMD-1823-343.pdf#page=5","Abrir facsímil")</f>
        <v>Abrir facsímil</v>
      </c>
      <c r="K4041" s="3" t="s">
        <v>23</v>
      </c>
    </row>
    <row r="4042" spans="1:11" ht="42" customHeight="1">
      <c r="A4042" s="2" t="s">
        <v>8221</v>
      </c>
      <c r="B4042" s="2" t="s">
        <v>8221</v>
      </c>
      <c r="C4042" s="2" t="s">
        <v>17</v>
      </c>
      <c r="D4042" s="2" t="s">
        <v>18</v>
      </c>
      <c r="E4042" s="5">
        <v>-27935</v>
      </c>
      <c r="F4042" s="3" t="s">
        <v>350</v>
      </c>
      <c r="G4042" s="3" t="s">
        <v>20</v>
      </c>
      <c r="H4042" s="2" t="s">
        <v>21</v>
      </c>
      <c r="I4042" s="2" t="s">
        <v>8289</v>
      </c>
      <c r="J4042" s="3" t="str">
        <f>HYPERLINK("https://www.boe.es/gazeta/dias/1823/07/07/pdfs/GES-1823-87.pdf#page=4","Abrir facsímil")</f>
        <v>Abrir facsímil</v>
      </c>
      <c r="K4042" s="3" t="s">
        <v>23</v>
      </c>
    </row>
    <row r="4043" spans="1:11" ht="42" customHeight="1">
      <c r="A4043" s="2" t="s">
        <v>8221</v>
      </c>
      <c r="B4043" s="2" t="s">
        <v>8221</v>
      </c>
      <c r="C4043" s="2" t="s">
        <v>79</v>
      </c>
      <c r="D4043" s="2" t="s">
        <v>74</v>
      </c>
      <c r="E4043" s="5">
        <v>-27934</v>
      </c>
      <c r="F4043" s="3" t="s">
        <v>634</v>
      </c>
      <c r="G4043" s="3" t="s">
        <v>27</v>
      </c>
      <c r="H4043" s="2" t="s">
        <v>21</v>
      </c>
      <c r="I4043" s="2" t="s">
        <v>8290</v>
      </c>
      <c r="J4043" s="3" t="str">
        <f>HYPERLINK("https://www.boe.es/gazeta/dias/1823/07/08/pdfs/GMD-1823-353.pdf#page=2","Abrir facsímil")</f>
        <v>Abrir facsímil</v>
      </c>
      <c r="K4043" s="3" t="s">
        <v>23</v>
      </c>
    </row>
    <row r="4044" spans="1:11" ht="42" customHeight="1">
      <c r="A4044" s="2" t="s">
        <v>8221</v>
      </c>
      <c r="B4044" s="2" t="s">
        <v>8221</v>
      </c>
      <c r="C4044" s="2" t="s">
        <v>17</v>
      </c>
      <c r="D4044" s="2" t="s">
        <v>18</v>
      </c>
      <c r="E4044" s="5">
        <v>-27932</v>
      </c>
      <c r="F4044" s="3" t="s">
        <v>786</v>
      </c>
      <c r="G4044" s="3" t="s">
        <v>48</v>
      </c>
      <c r="H4044" s="2" t="s">
        <v>21</v>
      </c>
      <c r="I4044" s="2" t="s">
        <v>8291</v>
      </c>
      <c r="J4044" s="3" t="str">
        <f>HYPERLINK("https://www.boe.es/gazeta/dias/1823/07/10/pdfs/GMD-1823-363.pdf#page=3","Abrir facsímil")</f>
        <v>Abrir facsímil</v>
      </c>
      <c r="K4044" s="3" t="s">
        <v>23</v>
      </c>
    </row>
    <row r="4045" spans="1:11" ht="42" customHeight="1">
      <c r="A4045" s="2" t="s">
        <v>8221</v>
      </c>
      <c r="B4045" s="2" t="s">
        <v>8221</v>
      </c>
      <c r="C4045" s="2" t="s">
        <v>17</v>
      </c>
      <c r="D4045" s="2" t="s">
        <v>18</v>
      </c>
      <c r="E4045" s="5">
        <v>-27932</v>
      </c>
      <c r="F4045" s="3" t="s">
        <v>786</v>
      </c>
      <c r="G4045" s="3" t="s">
        <v>20</v>
      </c>
      <c r="H4045" s="2" t="s">
        <v>21</v>
      </c>
      <c r="I4045" s="2" t="s">
        <v>8292</v>
      </c>
      <c r="J4045" s="3" t="str">
        <f>HYPERLINK("https://www.boe.es/gazeta/dias/1823/07/10/pdfs/GMD-1823-363.pdf#page=4","Abrir facsímil")</f>
        <v>Abrir facsímil</v>
      </c>
      <c r="K4045" s="3" t="s">
        <v>23</v>
      </c>
    </row>
    <row r="4046" spans="1:11" ht="42" customHeight="1">
      <c r="A4046" s="2" t="s">
        <v>8221</v>
      </c>
      <c r="B4046" s="2" t="s">
        <v>8221</v>
      </c>
      <c r="C4046" s="2" t="s">
        <v>56</v>
      </c>
      <c r="D4046" s="2" t="s">
        <v>57</v>
      </c>
      <c r="E4046" s="5">
        <v>-27932</v>
      </c>
      <c r="F4046" s="3" t="s">
        <v>786</v>
      </c>
      <c r="G4046" s="3" t="s">
        <v>276</v>
      </c>
      <c r="H4046" s="2" t="s">
        <v>21</v>
      </c>
      <c r="I4046" s="2" t="s">
        <v>8293</v>
      </c>
      <c r="J4046" s="3" t="str">
        <f>HYPERLINK("https://www.boe.es/gazeta/dias/1823/07/10/pdfs/GMD-1823-363.pdf#page=7","Abrir facsímil")</f>
        <v>Abrir facsímil</v>
      </c>
      <c r="K4046" s="3" t="s">
        <v>23</v>
      </c>
    </row>
    <row r="4047" spans="1:11" ht="42" customHeight="1">
      <c r="A4047" s="2" t="s">
        <v>8221</v>
      </c>
      <c r="B4047" s="2" t="s">
        <v>8221</v>
      </c>
      <c r="C4047" s="2" t="s">
        <v>17</v>
      </c>
      <c r="D4047" s="2" t="s">
        <v>117</v>
      </c>
      <c r="E4047" s="5">
        <v>-27931</v>
      </c>
      <c r="F4047" s="3" t="s">
        <v>8294</v>
      </c>
      <c r="G4047" s="3" t="s">
        <v>39</v>
      </c>
      <c r="H4047" s="2" t="s">
        <v>21</v>
      </c>
      <c r="I4047" s="2" t="s">
        <v>8295</v>
      </c>
      <c r="J4047" s="3" t="str">
        <f>HYPERLINK("https://www.boe.es/gazeta/dias/1823/07/11/pdfs/GMD-1823-383E.pdf#page=1","Abrir facsímil")</f>
        <v>Abrir facsímil</v>
      </c>
      <c r="K4047" s="3" t="s">
        <v>23</v>
      </c>
    </row>
    <row r="4048" spans="1:11" ht="42" customHeight="1">
      <c r="A4048" s="2" t="s">
        <v>8221</v>
      </c>
      <c r="B4048" s="2" t="s">
        <v>8221</v>
      </c>
      <c r="C4048" s="2" t="s">
        <v>56</v>
      </c>
      <c r="D4048" s="2" t="s">
        <v>57</v>
      </c>
      <c r="E4048" s="5">
        <v>-27930</v>
      </c>
      <c r="F4048" s="3" t="s">
        <v>3578</v>
      </c>
      <c r="G4048" s="3" t="s">
        <v>39</v>
      </c>
      <c r="H4048" s="2" t="s">
        <v>21</v>
      </c>
      <c r="I4048" s="2" t="s">
        <v>8296</v>
      </c>
      <c r="J4048" s="3" t="str">
        <f>HYPERLINK("https://www.boe.es/gazeta/dias/1823/07/12/pdfs/GMD-1823-393.pdf#page=1","Abrir facsímil")</f>
        <v>Abrir facsímil</v>
      </c>
      <c r="K4048" s="3" t="s">
        <v>23</v>
      </c>
    </row>
    <row r="4049" spans="1:11" ht="42" customHeight="1">
      <c r="A4049" s="2" t="s">
        <v>8221</v>
      </c>
      <c r="B4049" s="2" t="s">
        <v>8221</v>
      </c>
      <c r="C4049" s="2" t="s">
        <v>17</v>
      </c>
      <c r="D4049" s="2" t="s">
        <v>18</v>
      </c>
      <c r="E4049" s="5">
        <v>-27930</v>
      </c>
      <c r="F4049" s="3" t="s">
        <v>3578</v>
      </c>
      <c r="G4049" s="3" t="s">
        <v>27</v>
      </c>
      <c r="H4049" s="2" t="s">
        <v>21</v>
      </c>
      <c r="I4049" s="2" t="s">
        <v>8297</v>
      </c>
      <c r="J4049" s="3" t="str">
        <f>HYPERLINK("https://www.boe.es/gazeta/dias/1823/07/12/pdfs/GMD-1823-393.pdf#page=2","Abrir facsímil")</f>
        <v>Abrir facsímil</v>
      </c>
      <c r="K4049" s="3" t="s">
        <v>23</v>
      </c>
    </row>
    <row r="4050" spans="1:11" ht="42" customHeight="1">
      <c r="A4050" s="2" t="s">
        <v>8221</v>
      </c>
      <c r="B4050" s="2" t="s">
        <v>8221</v>
      </c>
      <c r="C4050" s="2" t="s">
        <v>109</v>
      </c>
      <c r="D4050" s="2" t="s">
        <v>74</v>
      </c>
      <c r="E4050" s="5">
        <v>-27930</v>
      </c>
      <c r="F4050" s="3" t="s">
        <v>3578</v>
      </c>
      <c r="G4050" s="3" t="s">
        <v>48</v>
      </c>
      <c r="H4050" s="2" t="s">
        <v>21</v>
      </c>
      <c r="I4050" s="2" t="s">
        <v>8298</v>
      </c>
      <c r="J4050" s="3" t="str">
        <f>HYPERLINK("https://www.boe.es/gazeta/dias/1823/07/12/pdfs/GMD-1823-393.pdf#page=3","Abrir facsímil")</f>
        <v>Abrir facsímil</v>
      </c>
      <c r="K4050" s="3" t="s">
        <v>23</v>
      </c>
    </row>
    <row r="4051" spans="1:11" ht="42" customHeight="1">
      <c r="A4051" s="2" t="s">
        <v>8221</v>
      </c>
      <c r="B4051" s="2" t="s">
        <v>8221</v>
      </c>
      <c r="C4051" s="2" t="s">
        <v>73</v>
      </c>
      <c r="D4051" s="2" t="s">
        <v>74</v>
      </c>
      <c r="E4051" s="5">
        <v>-27929</v>
      </c>
      <c r="F4051" s="3" t="s">
        <v>598</v>
      </c>
      <c r="G4051" s="3" t="s">
        <v>48</v>
      </c>
      <c r="H4051" s="2" t="s">
        <v>21</v>
      </c>
      <c r="I4051" s="2" t="s">
        <v>8299</v>
      </c>
      <c r="J4051" s="3" t="str">
        <f>HYPERLINK("https://www.boe.es/gazeta/dias/1823/07/13/pdfs/GES-1823-93.pdf#page=3","Abrir facsímil")</f>
        <v>Abrir facsímil</v>
      </c>
      <c r="K4051" s="3" t="s">
        <v>23</v>
      </c>
    </row>
    <row r="4052" spans="1:11" ht="42" customHeight="1">
      <c r="A4052" s="2" t="s">
        <v>8221</v>
      </c>
      <c r="B4052" s="2" t="s">
        <v>8221</v>
      </c>
      <c r="C4052" s="2" t="s">
        <v>73</v>
      </c>
      <c r="D4052" s="2" t="s">
        <v>74</v>
      </c>
      <c r="E4052" s="5">
        <v>-27928</v>
      </c>
      <c r="F4052" s="3" t="s">
        <v>1316</v>
      </c>
      <c r="G4052" s="3" t="s">
        <v>20</v>
      </c>
      <c r="H4052" s="2" t="s">
        <v>21</v>
      </c>
      <c r="I4052" s="2" t="s">
        <v>8300</v>
      </c>
      <c r="J4052" s="3" t="str">
        <f>HYPERLINK("https://www.boe.es/gazeta/dias/1823/07/14/pdfs/GES-1823-94.pdf#page=4","Abrir facsímil")</f>
        <v>Abrir facsímil</v>
      </c>
      <c r="K4052" s="3" t="s">
        <v>23</v>
      </c>
    </row>
    <row r="4053" spans="1:11" ht="42" customHeight="1">
      <c r="A4053" s="2" t="s">
        <v>8221</v>
      </c>
      <c r="B4053" s="2" t="s">
        <v>8221</v>
      </c>
      <c r="C4053" s="2" t="s">
        <v>79</v>
      </c>
      <c r="D4053" s="2" t="s">
        <v>74</v>
      </c>
      <c r="E4053" s="5">
        <v>-27927</v>
      </c>
      <c r="F4053" s="3" t="s">
        <v>1426</v>
      </c>
      <c r="G4053" s="3" t="s">
        <v>8301</v>
      </c>
      <c r="H4053" s="2" t="s">
        <v>21</v>
      </c>
      <c r="I4053" s="2" t="s">
        <v>8302</v>
      </c>
      <c r="J4053" s="3" t="str">
        <f>HYPERLINK("https://www.boe.es/gazeta/dias/1823/07/15/pdfs/GES-1823-95.pdf#page=3","Abrir facsímil")</f>
        <v>Abrir facsímil</v>
      </c>
      <c r="K4053" s="3" t="s">
        <v>23</v>
      </c>
    </row>
    <row r="4054" spans="1:11" ht="42" customHeight="1">
      <c r="A4054" s="2" t="s">
        <v>8221</v>
      </c>
      <c r="B4054" s="2" t="s">
        <v>8221</v>
      </c>
      <c r="C4054" s="2" t="s">
        <v>73</v>
      </c>
      <c r="D4054" s="2" t="s">
        <v>74</v>
      </c>
      <c r="E4054" s="5">
        <v>-27927</v>
      </c>
      <c r="F4054" s="3" t="s">
        <v>1426</v>
      </c>
      <c r="G4054" s="3" t="s">
        <v>27</v>
      </c>
      <c r="H4054" s="2" t="s">
        <v>21</v>
      </c>
      <c r="I4054" s="2" t="s">
        <v>8303</v>
      </c>
      <c r="J4054" s="3" t="str">
        <f>HYPERLINK("https://www.boe.es/gazeta/dias/1823/07/15/pdfs/GES-1823-95.pdf#page=2","Abrir facsímil")</f>
        <v>Abrir facsímil</v>
      </c>
      <c r="K4054" s="3" t="s">
        <v>23</v>
      </c>
    </row>
    <row r="4055" spans="1:11" ht="42" customHeight="1">
      <c r="A4055" s="2" t="s">
        <v>8221</v>
      </c>
      <c r="B4055" s="2" t="s">
        <v>8221</v>
      </c>
      <c r="C4055" s="2" t="s">
        <v>79</v>
      </c>
      <c r="D4055" s="2" t="s">
        <v>74</v>
      </c>
      <c r="E4055" s="5">
        <v>-27927</v>
      </c>
      <c r="F4055" s="3" t="s">
        <v>2409</v>
      </c>
      <c r="G4055" s="3" t="s">
        <v>27</v>
      </c>
      <c r="H4055" s="2" t="s">
        <v>21</v>
      </c>
      <c r="I4055" s="2" t="s">
        <v>8304</v>
      </c>
      <c r="J4055" s="3" t="str">
        <f>HYPERLINK("https://www.boe.es/gazeta/dias/1823/07/15/pdfs/GMD-1823-403.pdf#page=2","Abrir facsímil")</f>
        <v>Abrir facsímil</v>
      </c>
      <c r="K4055" s="3" t="s">
        <v>23</v>
      </c>
    </row>
    <row r="4056" spans="1:11" ht="42" customHeight="1">
      <c r="A4056" s="2" t="s">
        <v>8221</v>
      </c>
      <c r="B4056" s="2" t="s">
        <v>8221</v>
      </c>
      <c r="C4056" s="2" t="s">
        <v>73</v>
      </c>
      <c r="D4056" s="2" t="s">
        <v>74</v>
      </c>
      <c r="E4056" s="5">
        <v>-27925</v>
      </c>
      <c r="F4056" s="3" t="s">
        <v>89</v>
      </c>
      <c r="G4056" s="3" t="s">
        <v>20</v>
      </c>
      <c r="H4056" s="2" t="s">
        <v>21</v>
      </c>
      <c r="I4056" s="2" t="s">
        <v>8305</v>
      </c>
      <c r="J4056" s="3" t="str">
        <f>HYPERLINK("https://www.boe.es/gazeta/dias/1823/07/17/pdfs/GES-1823-97.pdf#page=4","Abrir facsímil")</f>
        <v>Abrir facsímil</v>
      </c>
      <c r="K4056" s="3" t="s">
        <v>23</v>
      </c>
    </row>
    <row r="4057" spans="1:11" ht="42" customHeight="1">
      <c r="A4057" s="2" t="s">
        <v>8221</v>
      </c>
      <c r="B4057" s="2" t="s">
        <v>8221</v>
      </c>
      <c r="C4057" s="2" t="s">
        <v>17</v>
      </c>
      <c r="D4057" s="2" t="s">
        <v>18</v>
      </c>
      <c r="E4057" s="5">
        <v>-27925</v>
      </c>
      <c r="F4057" s="3" t="s">
        <v>1744</v>
      </c>
      <c r="G4057" s="3" t="s">
        <v>27</v>
      </c>
      <c r="H4057" s="2" t="s">
        <v>21</v>
      </c>
      <c r="I4057" s="2" t="s">
        <v>8306</v>
      </c>
      <c r="J4057" s="3" t="str">
        <f>HYPERLINK("https://www.boe.es/gazeta/dias/1823/07/17/pdfs/GMD-1823-413.pdf#page=2","Abrir facsímil")</f>
        <v>Abrir facsímil</v>
      </c>
      <c r="K4057" s="3" t="s">
        <v>23</v>
      </c>
    </row>
    <row r="4058" spans="1:11" ht="42" customHeight="1">
      <c r="A4058" s="2" t="s">
        <v>8221</v>
      </c>
      <c r="B4058" s="2" t="s">
        <v>8221</v>
      </c>
      <c r="C4058" s="2" t="s">
        <v>17</v>
      </c>
      <c r="D4058" s="2" t="s">
        <v>18</v>
      </c>
      <c r="E4058" s="5">
        <v>-27925</v>
      </c>
      <c r="F4058" s="3" t="s">
        <v>1744</v>
      </c>
      <c r="G4058" s="3" t="s">
        <v>48</v>
      </c>
      <c r="H4058" s="2" t="s">
        <v>21</v>
      </c>
      <c r="I4058" s="2" t="s">
        <v>8307</v>
      </c>
      <c r="J4058" s="3" t="str">
        <f>HYPERLINK("https://www.boe.es/gazeta/dias/1823/07/17/pdfs/GMD-1823-413.pdf#page=3","Abrir facsímil")</f>
        <v>Abrir facsímil</v>
      </c>
      <c r="K4058" s="3" t="s">
        <v>23</v>
      </c>
    </row>
    <row r="4059" spans="1:11" ht="42" customHeight="1">
      <c r="A4059" s="2" t="s">
        <v>8221</v>
      </c>
      <c r="B4059" s="2" t="s">
        <v>8221</v>
      </c>
      <c r="C4059" s="2" t="s">
        <v>17</v>
      </c>
      <c r="D4059" s="2" t="s">
        <v>18</v>
      </c>
      <c r="E4059" s="5">
        <v>-27924</v>
      </c>
      <c r="F4059" s="3" t="s">
        <v>2385</v>
      </c>
      <c r="G4059" s="3" t="s">
        <v>39</v>
      </c>
      <c r="H4059" s="2" t="s">
        <v>21</v>
      </c>
      <c r="I4059" s="2" t="s">
        <v>8308</v>
      </c>
      <c r="J4059" s="3" t="str">
        <f>HYPERLINK("https://www.boe.es/gazeta/dias/1823/07/18/pdfs/GES-1823-99.pdf#page=1","Abrir facsímil")</f>
        <v>Abrir facsímil</v>
      </c>
      <c r="K4059" s="3" t="s">
        <v>23</v>
      </c>
    </row>
    <row r="4060" spans="1:11" ht="42" customHeight="1">
      <c r="A4060" s="2" t="s">
        <v>8221</v>
      </c>
      <c r="B4060" s="2" t="s">
        <v>8221</v>
      </c>
      <c r="C4060" s="2" t="s">
        <v>17</v>
      </c>
      <c r="D4060" s="2" t="s">
        <v>18</v>
      </c>
      <c r="E4060" s="5">
        <v>-27924</v>
      </c>
      <c r="F4060" s="3" t="s">
        <v>2385</v>
      </c>
      <c r="G4060" s="3" t="s">
        <v>48</v>
      </c>
      <c r="H4060" s="2" t="s">
        <v>21</v>
      </c>
      <c r="I4060" s="2" t="s">
        <v>8309</v>
      </c>
      <c r="J4060" s="3" t="str">
        <f>HYPERLINK("https://www.boe.es/gazeta/dias/1823/07/18/pdfs/GES-1823-99.pdf#page=3","Abrir facsímil")</f>
        <v>Abrir facsímil</v>
      </c>
      <c r="K4060" s="3" t="s">
        <v>23</v>
      </c>
    </row>
    <row r="4061" spans="1:11" ht="42" customHeight="1">
      <c r="A4061" s="2" t="s">
        <v>8221</v>
      </c>
      <c r="B4061" s="2" t="s">
        <v>8221</v>
      </c>
      <c r="C4061" s="2" t="s">
        <v>73</v>
      </c>
      <c r="D4061" s="2" t="s">
        <v>74</v>
      </c>
      <c r="E4061" s="5">
        <v>-27923</v>
      </c>
      <c r="F4061" s="3" t="s">
        <v>354</v>
      </c>
      <c r="G4061" s="3" t="s">
        <v>48</v>
      </c>
      <c r="H4061" s="2" t="s">
        <v>21</v>
      </c>
      <c r="I4061" s="2" t="s">
        <v>8310</v>
      </c>
      <c r="J4061" s="3" t="str">
        <f>HYPERLINK("https://www.boe.es/gazeta/dias/1823/07/19/pdfs/GES-1823-100.pdf#page=3","Abrir facsímil")</f>
        <v>Abrir facsímil</v>
      </c>
      <c r="K4061" s="3" t="s">
        <v>23</v>
      </c>
    </row>
    <row r="4062" spans="1:11" ht="42" customHeight="1">
      <c r="A4062" s="2" t="s">
        <v>8221</v>
      </c>
      <c r="B4062" s="2" t="s">
        <v>8221</v>
      </c>
      <c r="C4062" s="2" t="s">
        <v>79</v>
      </c>
      <c r="D4062" s="2" t="s">
        <v>74</v>
      </c>
      <c r="E4062" s="5">
        <v>-27923</v>
      </c>
      <c r="F4062" s="3" t="s">
        <v>1225</v>
      </c>
      <c r="G4062" s="3" t="s">
        <v>39</v>
      </c>
      <c r="H4062" s="2" t="s">
        <v>21</v>
      </c>
      <c r="I4062" s="2" t="s">
        <v>8311</v>
      </c>
      <c r="J4062" s="3" t="str">
        <f>HYPERLINK("https://www.boe.es/gazeta/dias/1823/07/19/pdfs/GMD-1823-433.pdf#page=1","Abrir facsímil")</f>
        <v>Abrir facsímil</v>
      </c>
      <c r="K4062" s="3" t="s">
        <v>23</v>
      </c>
    </row>
    <row r="4063" spans="1:11" ht="42" customHeight="1">
      <c r="A4063" s="2" t="s">
        <v>8221</v>
      </c>
      <c r="B4063" s="2" t="s">
        <v>8221</v>
      </c>
      <c r="C4063" s="2" t="s">
        <v>17</v>
      </c>
      <c r="D4063" s="2" t="s">
        <v>18</v>
      </c>
      <c r="E4063" s="5">
        <v>-27923</v>
      </c>
      <c r="F4063" s="3" t="s">
        <v>1225</v>
      </c>
      <c r="G4063" s="3" t="s">
        <v>34</v>
      </c>
      <c r="H4063" s="2" t="s">
        <v>21</v>
      </c>
      <c r="I4063" s="2" t="s">
        <v>8312</v>
      </c>
      <c r="J4063" s="3" t="str">
        <f>HYPERLINK("https://www.boe.es/gazeta/dias/1823/07/19/pdfs/GMD-1823-433.pdf#page=5","Abrir facsímil")</f>
        <v>Abrir facsímil</v>
      </c>
      <c r="K4063" s="3" t="s">
        <v>23</v>
      </c>
    </row>
    <row r="4064" spans="1:11" ht="42" customHeight="1">
      <c r="A4064" s="2" t="s">
        <v>8221</v>
      </c>
      <c r="B4064" s="2" t="s">
        <v>8221</v>
      </c>
      <c r="C4064" s="2" t="s">
        <v>79</v>
      </c>
      <c r="D4064" s="2" t="s">
        <v>74</v>
      </c>
      <c r="E4064" s="5">
        <v>-27922</v>
      </c>
      <c r="F4064" s="3" t="s">
        <v>1959</v>
      </c>
      <c r="G4064" s="3" t="s">
        <v>20</v>
      </c>
      <c r="H4064" s="2" t="s">
        <v>21</v>
      </c>
      <c r="I4064" s="2" t="s">
        <v>8313</v>
      </c>
      <c r="J4064" s="3" t="str">
        <f>HYPERLINK("https://www.boe.es/gazeta/dias/1823/07/20/pdfs/GES-1823-101.pdf#page=4","Abrir facsímil")</f>
        <v>Abrir facsímil</v>
      </c>
      <c r="K4064" s="3" t="s">
        <v>23</v>
      </c>
    </row>
    <row r="4065" spans="1:11" ht="42" customHeight="1">
      <c r="A4065" s="2" t="s">
        <v>8221</v>
      </c>
      <c r="B4065" s="2" t="s">
        <v>8221</v>
      </c>
      <c r="C4065" s="2" t="s">
        <v>109</v>
      </c>
      <c r="D4065" s="2" t="s">
        <v>74</v>
      </c>
      <c r="E4065" s="5">
        <v>-27921</v>
      </c>
      <c r="F4065" s="3" t="s">
        <v>356</v>
      </c>
      <c r="G4065" s="3" t="s">
        <v>20</v>
      </c>
      <c r="H4065" s="2" t="s">
        <v>21</v>
      </c>
      <c r="I4065" s="2" t="s">
        <v>8314</v>
      </c>
      <c r="J4065" s="3" t="str">
        <f>HYPERLINK("https://www.boe.es/gazeta/dias/1823/07/21/pdfs/GES-1823-102.pdf#page=4","Abrir facsímil")</f>
        <v>Abrir facsímil</v>
      </c>
      <c r="K4065" s="3" t="s">
        <v>23</v>
      </c>
    </row>
    <row r="4066" spans="1:11" ht="42" customHeight="1">
      <c r="A4066" s="2" t="s">
        <v>8221</v>
      </c>
      <c r="B4066" s="2" t="s">
        <v>8221</v>
      </c>
      <c r="C4066" s="2" t="s">
        <v>17</v>
      </c>
      <c r="D4066" s="2" t="s">
        <v>18</v>
      </c>
      <c r="E4066" s="5">
        <v>-27920</v>
      </c>
      <c r="F4066" s="3" t="s">
        <v>358</v>
      </c>
      <c r="G4066" s="3" t="s">
        <v>20</v>
      </c>
      <c r="H4066" s="2" t="s">
        <v>21</v>
      </c>
      <c r="I4066" s="2" t="s">
        <v>8315</v>
      </c>
      <c r="J4066" s="3" t="str">
        <f>HYPERLINK("https://www.boe.es/gazeta/dias/1823/07/22/pdfs/GES-1823-103.pdf#page=4","Abrir facsímil")</f>
        <v>Abrir facsímil</v>
      </c>
      <c r="K4066" s="3" t="s">
        <v>23</v>
      </c>
    </row>
    <row r="4067" spans="1:11" ht="42" customHeight="1">
      <c r="A4067" s="2" t="s">
        <v>8221</v>
      </c>
      <c r="B4067" s="2" t="s">
        <v>8221</v>
      </c>
      <c r="C4067" s="2" t="s">
        <v>293</v>
      </c>
      <c r="D4067" s="2" t="s">
        <v>74</v>
      </c>
      <c r="E4067" s="5">
        <v>-27920</v>
      </c>
      <c r="F4067" s="3" t="s">
        <v>1334</v>
      </c>
      <c r="G4067" s="3" t="s">
        <v>715</v>
      </c>
      <c r="H4067" s="2" t="s">
        <v>21</v>
      </c>
      <c r="I4067" s="2" t="s">
        <v>8316</v>
      </c>
      <c r="J4067" s="3" t="str">
        <f>HYPERLINK("https://www.boe.es/gazeta/dias/1823/07/22/pdfs/GMD-1823-443.pdf#page=8","Abrir facsímil")</f>
        <v>Abrir facsímil</v>
      </c>
      <c r="K4067" s="3" t="s">
        <v>23</v>
      </c>
    </row>
    <row r="4068" spans="1:11" ht="42" customHeight="1">
      <c r="A4068" s="2" t="s">
        <v>8221</v>
      </c>
      <c r="B4068" s="2" t="s">
        <v>8221</v>
      </c>
      <c r="C4068" s="2" t="s">
        <v>79</v>
      </c>
      <c r="D4068" s="2" t="s">
        <v>74</v>
      </c>
      <c r="E4068" s="5">
        <v>-27919</v>
      </c>
      <c r="F4068" s="3" t="s">
        <v>361</v>
      </c>
      <c r="G4068" s="3" t="s">
        <v>20</v>
      </c>
      <c r="H4068" s="2" t="s">
        <v>21</v>
      </c>
      <c r="I4068" s="2" t="s">
        <v>8317</v>
      </c>
      <c r="J4068" s="3" t="str">
        <f>HYPERLINK("https://www.boe.es/gazeta/dias/1823/07/23/pdfs/GES-1823-104.pdf#page=4","Abrir facsímil")</f>
        <v>Abrir facsímil</v>
      </c>
      <c r="K4068" s="3" t="s">
        <v>23</v>
      </c>
    </row>
    <row r="4069" spans="1:11" ht="42" customHeight="1">
      <c r="A4069" s="2" t="s">
        <v>8221</v>
      </c>
      <c r="B4069" s="2" t="s">
        <v>8221</v>
      </c>
      <c r="C4069" s="2" t="s">
        <v>17</v>
      </c>
      <c r="D4069" s="2" t="s">
        <v>18</v>
      </c>
      <c r="E4069" s="5">
        <v>-27918</v>
      </c>
      <c r="F4069" s="3" t="s">
        <v>3181</v>
      </c>
      <c r="G4069" s="3" t="s">
        <v>3249</v>
      </c>
      <c r="H4069" s="2" t="s">
        <v>21</v>
      </c>
      <c r="I4069" s="2" t="s">
        <v>8318</v>
      </c>
      <c r="J4069" s="3" t="str">
        <f>HYPERLINK("https://www.boe.es/gazeta/dias/1823/07/24/pdfs/GES-1823-105.pdf#page=3","Abrir facsímil")</f>
        <v>Abrir facsímil</v>
      </c>
      <c r="K4069" s="3" t="s">
        <v>23</v>
      </c>
    </row>
    <row r="4070" spans="1:11" ht="42" customHeight="1">
      <c r="A4070" s="2" t="s">
        <v>8221</v>
      </c>
      <c r="B4070" s="2" t="s">
        <v>8221</v>
      </c>
      <c r="C4070" s="2" t="s">
        <v>109</v>
      </c>
      <c r="D4070" s="2" t="s">
        <v>74</v>
      </c>
      <c r="E4070" s="5">
        <v>-27918</v>
      </c>
      <c r="F4070" s="3" t="s">
        <v>3181</v>
      </c>
      <c r="G4070" s="3" t="s">
        <v>20</v>
      </c>
      <c r="H4070" s="2" t="s">
        <v>21</v>
      </c>
      <c r="I4070" s="2" t="s">
        <v>8319</v>
      </c>
      <c r="J4070" s="3" t="str">
        <f>HYPERLINK("https://www.boe.es/gazeta/dias/1823/07/24/pdfs/GES-1823-105.pdf#page=4","Abrir facsímil")</f>
        <v>Abrir facsímil</v>
      </c>
      <c r="K4070" s="3" t="s">
        <v>23</v>
      </c>
    </row>
    <row r="4071" spans="1:11" ht="42" customHeight="1">
      <c r="A4071" s="2" t="s">
        <v>8221</v>
      </c>
      <c r="B4071" s="2" t="s">
        <v>8221</v>
      </c>
      <c r="C4071" s="2" t="s">
        <v>73</v>
      </c>
      <c r="D4071" s="2" t="s">
        <v>74</v>
      </c>
      <c r="E4071" s="5">
        <v>-27917</v>
      </c>
      <c r="F4071" s="3" t="s">
        <v>363</v>
      </c>
      <c r="G4071" s="3" t="s">
        <v>20</v>
      </c>
      <c r="H4071" s="2" t="s">
        <v>21</v>
      </c>
      <c r="I4071" s="2" t="s">
        <v>8320</v>
      </c>
      <c r="J4071" s="3" t="str">
        <f>HYPERLINK("https://www.boe.es/gazeta/dias/1823/07/25/pdfs/GES-1823-106.pdf#page=4","Abrir facsímil")</f>
        <v>Abrir facsímil</v>
      </c>
      <c r="K4071" s="3" t="s">
        <v>23</v>
      </c>
    </row>
    <row r="4072" spans="1:11" ht="42" customHeight="1">
      <c r="A4072" s="2" t="s">
        <v>8221</v>
      </c>
      <c r="B4072" s="2" t="s">
        <v>8221</v>
      </c>
      <c r="C4072" s="2" t="s">
        <v>56</v>
      </c>
      <c r="D4072" s="2" t="s">
        <v>57</v>
      </c>
      <c r="E4072" s="5">
        <v>-27916</v>
      </c>
      <c r="F4072" s="3" t="s">
        <v>772</v>
      </c>
      <c r="G4072" s="3" t="s">
        <v>4611</v>
      </c>
      <c r="H4072" s="2" t="s">
        <v>21</v>
      </c>
      <c r="I4072" s="2" t="s">
        <v>8321</v>
      </c>
      <c r="J4072" s="3" t="str">
        <f>HYPERLINK("https://www.boe.es/gazeta/dias/1823/07/26/pdfs/GES-1823-107.pdf#page=3","Abrir facsímil")</f>
        <v>Abrir facsímil</v>
      </c>
      <c r="K4072" s="3" t="s">
        <v>23</v>
      </c>
    </row>
    <row r="4073" spans="1:11" ht="42" customHeight="1">
      <c r="A4073" s="2" t="s">
        <v>8221</v>
      </c>
      <c r="B4073" s="2" t="s">
        <v>8221</v>
      </c>
      <c r="C4073" s="2" t="s">
        <v>17</v>
      </c>
      <c r="D4073" s="2" t="s">
        <v>18</v>
      </c>
      <c r="E4073" s="5">
        <v>-27916</v>
      </c>
      <c r="F4073" s="3" t="s">
        <v>1558</v>
      </c>
      <c r="G4073" s="3" t="s">
        <v>27</v>
      </c>
      <c r="H4073" s="2" t="s">
        <v>21</v>
      </c>
      <c r="I4073" s="2" t="s">
        <v>8322</v>
      </c>
      <c r="J4073" s="3" t="str">
        <f>HYPERLINK("https://www.boe.es/gazeta/dias/1823/07/26/pdfs/GMD-1823-473.pdf#page=2","Abrir facsímil")</f>
        <v>Abrir facsímil</v>
      </c>
      <c r="K4073" s="3" t="s">
        <v>23</v>
      </c>
    </row>
    <row r="4074" spans="1:11" ht="42" customHeight="1">
      <c r="A4074" s="2" t="s">
        <v>8221</v>
      </c>
      <c r="B4074" s="2" t="s">
        <v>8221</v>
      </c>
      <c r="C4074" s="2" t="s">
        <v>73</v>
      </c>
      <c r="D4074" s="2" t="s">
        <v>74</v>
      </c>
      <c r="E4074" s="5">
        <v>-27915</v>
      </c>
      <c r="F4074" s="3" t="s">
        <v>524</v>
      </c>
      <c r="G4074" s="3" t="s">
        <v>20</v>
      </c>
      <c r="H4074" s="2" t="s">
        <v>21</v>
      </c>
      <c r="I4074" s="2" t="s">
        <v>8323</v>
      </c>
      <c r="J4074" s="3" t="str">
        <f>HYPERLINK("https://www.boe.es/gazeta/dias/1823/07/27/pdfs/GES-1823-108.pdf#page=4","Abrir facsímil")</f>
        <v>Abrir facsímil</v>
      </c>
      <c r="K4074" s="3" t="s">
        <v>23</v>
      </c>
    </row>
    <row r="4075" spans="1:11" ht="42" customHeight="1">
      <c r="A4075" s="2" t="s">
        <v>8221</v>
      </c>
      <c r="B4075" s="2" t="s">
        <v>8221</v>
      </c>
      <c r="C4075" s="2" t="s">
        <v>73</v>
      </c>
      <c r="D4075" s="2" t="s">
        <v>74</v>
      </c>
      <c r="E4075" s="5">
        <v>-27914</v>
      </c>
      <c r="F4075" s="3" t="s">
        <v>776</v>
      </c>
      <c r="G4075" s="3" t="s">
        <v>20</v>
      </c>
      <c r="H4075" s="2" t="s">
        <v>21</v>
      </c>
      <c r="I4075" s="2" t="s">
        <v>8324</v>
      </c>
      <c r="J4075" s="3" t="str">
        <f>HYPERLINK("https://www.boe.es/gazeta/dias/1823/07/28/pdfs/GES-1823-109.pdf#page=4","Abrir facsímil")</f>
        <v>Abrir facsímil</v>
      </c>
      <c r="K4075" s="3" t="s">
        <v>23</v>
      </c>
    </row>
    <row r="4076" spans="1:11" ht="42" customHeight="1">
      <c r="A4076" s="2" t="s">
        <v>8221</v>
      </c>
      <c r="B4076" s="2" t="s">
        <v>8221</v>
      </c>
      <c r="C4076" s="2" t="s">
        <v>73</v>
      </c>
      <c r="D4076" s="2" t="s">
        <v>74</v>
      </c>
      <c r="E4076" s="5">
        <v>-27913</v>
      </c>
      <c r="F4076" s="3" t="s">
        <v>821</v>
      </c>
      <c r="G4076" s="3" t="s">
        <v>48</v>
      </c>
      <c r="H4076" s="2" t="s">
        <v>21</v>
      </c>
      <c r="I4076" s="2" t="s">
        <v>8325</v>
      </c>
      <c r="J4076" s="3" t="str">
        <f>HYPERLINK("https://www.boe.es/gazeta/dias/1823/07/29/pdfs/GES-1823-110.pdf#page=3","Abrir facsímil")</f>
        <v>Abrir facsímil</v>
      </c>
      <c r="K4076" s="3" t="s">
        <v>23</v>
      </c>
    </row>
    <row r="4077" spans="1:11" ht="42" customHeight="1">
      <c r="A4077" s="2" t="s">
        <v>8221</v>
      </c>
      <c r="B4077" s="2" t="s">
        <v>8221</v>
      </c>
      <c r="C4077" s="2" t="s">
        <v>17</v>
      </c>
      <c r="D4077" s="2" t="s">
        <v>18</v>
      </c>
      <c r="E4077" s="5">
        <v>-27913</v>
      </c>
      <c r="F4077" s="3" t="s">
        <v>829</v>
      </c>
      <c r="G4077" s="3" t="s">
        <v>39</v>
      </c>
      <c r="H4077" s="2" t="s">
        <v>21</v>
      </c>
      <c r="I4077" s="2" t="s">
        <v>8326</v>
      </c>
      <c r="J4077" s="3" t="str">
        <f>HYPERLINK("https://www.boe.es/gazeta/dias/1823/07/29/pdfs/GMD-1823-483.pdf#page=1","Abrir facsímil")</f>
        <v>Abrir facsímil</v>
      </c>
      <c r="K4077" s="3" t="s">
        <v>23</v>
      </c>
    </row>
    <row r="4078" spans="1:11" ht="42" customHeight="1">
      <c r="A4078" s="2" t="s">
        <v>8221</v>
      </c>
      <c r="B4078" s="2" t="s">
        <v>8221</v>
      </c>
      <c r="C4078" s="2" t="s">
        <v>109</v>
      </c>
      <c r="D4078" s="2" t="s">
        <v>74</v>
      </c>
      <c r="E4078" s="5">
        <v>-27913</v>
      </c>
      <c r="F4078" s="3" t="s">
        <v>829</v>
      </c>
      <c r="G4078" s="3" t="s">
        <v>27</v>
      </c>
      <c r="H4078" s="2" t="s">
        <v>21</v>
      </c>
      <c r="I4078" s="2" t="s">
        <v>8327</v>
      </c>
      <c r="J4078" s="3" t="str">
        <f>HYPERLINK("https://www.boe.es/gazeta/dias/1823/07/29/pdfs/GMD-1823-483.pdf#page=2","Abrir facsímil")</f>
        <v>Abrir facsímil</v>
      </c>
      <c r="K4078" s="3" t="s">
        <v>23</v>
      </c>
    </row>
    <row r="4079" spans="1:11" ht="42" customHeight="1">
      <c r="A4079" s="2" t="s">
        <v>8221</v>
      </c>
      <c r="B4079" s="2" t="s">
        <v>8221</v>
      </c>
      <c r="C4079" s="2" t="s">
        <v>79</v>
      </c>
      <c r="D4079" s="2" t="s">
        <v>74</v>
      </c>
      <c r="E4079" s="5">
        <v>-27913</v>
      </c>
      <c r="F4079" s="3" t="s">
        <v>829</v>
      </c>
      <c r="G4079" s="3" t="s">
        <v>48</v>
      </c>
      <c r="H4079" s="2" t="s">
        <v>21</v>
      </c>
      <c r="I4079" s="2" t="s">
        <v>8328</v>
      </c>
      <c r="J4079" s="3" t="str">
        <f>HYPERLINK("https://www.boe.es/gazeta/dias/1823/07/29/pdfs/GMD-1823-483.pdf#page=3","Abrir facsímil")</f>
        <v>Abrir facsímil</v>
      </c>
      <c r="K4079" s="3" t="s">
        <v>23</v>
      </c>
    </row>
    <row r="4080" spans="1:11" ht="42" customHeight="1">
      <c r="A4080" s="2" t="s">
        <v>8221</v>
      </c>
      <c r="B4080" s="2" t="s">
        <v>8221</v>
      </c>
      <c r="C4080" s="2" t="s">
        <v>17</v>
      </c>
      <c r="D4080" s="2" t="s">
        <v>18</v>
      </c>
      <c r="E4080" s="5">
        <v>-27911</v>
      </c>
      <c r="F4080" s="3" t="s">
        <v>1393</v>
      </c>
      <c r="G4080" s="3" t="s">
        <v>39</v>
      </c>
      <c r="H4080" s="2" t="s">
        <v>21</v>
      </c>
      <c r="I4080" s="2" t="s">
        <v>8329</v>
      </c>
      <c r="J4080" s="3" t="str">
        <f>HYPERLINK("https://www.boe.es/gazeta/dias/1823/07/31/pdfs/GMD-1823-503.pdf#page=1","Abrir facsímil")</f>
        <v>Abrir facsímil</v>
      </c>
      <c r="K4080" s="3" t="s">
        <v>23</v>
      </c>
    </row>
    <row r="4081" spans="1:11" ht="42" customHeight="1">
      <c r="A4081" s="2" t="s">
        <v>8221</v>
      </c>
      <c r="B4081" s="2" t="s">
        <v>8221</v>
      </c>
      <c r="C4081" s="2" t="s">
        <v>79</v>
      </c>
      <c r="D4081" s="2" t="s">
        <v>74</v>
      </c>
      <c r="E4081" s="5">
        <v>-27911</v>
      </c>
      <c r="F4081" s="3" t="s">
        <v>1393</v>
      </c>
      <c r="G4081" s="3" t="s">
        <v>27</v>
      </c>
      <c r="H4081" s="2" t="s">
        <v>21</v>
      </c>
      <c r="I4081" s="2" t="s">
        <v>8330</v>
      </c>
      <c r="J4081" s="3" t="str">
        <f>HYPERLINK("https://www.boe.es/gazeta/dias/1823/07/31/pdfs/GMD-1823-503.pdf#page=2","Abrir facsímil")</f>
        <v>Abrir facsímil</v>
      </c>
      <c r="K4081" s="3" t="s">
        <v>23</v>
      </c>
    </row>
    <row r="4082" spans="1:11" ht="42" customHeight="1">
      <c r="A4082" s="2" t="s">
        <v>8221</v>
      </c>
      <c r="B4082" s="2" t="s">
        <v>8221</v>
      </c>
      <c r="C4082" s="2" t="s">
        <v>17</v>
      </c>
      <c r="D4082" s="2" t="s">
        <v>18</v>
      </c>
      <c r="E4082" s="5">
        <v>-27909</v>
      </c>
      <c r="F4082" s="3" t="s">
        <v>1525</v>
      </c>
      <c r="G4082" s="3" t="s">
        <v>39</v>
      </c>
      <c r="H4082" s="2" t="s">
        <v>21</v>
      </c>
      <c r="I4082" s="2" t="s">
        <v>8331</v>
      </c>
      <c r="J4082" s="3" t="str">
        <f>HYPERLINK("https://www.boe.es/gazeta/dias/1823/08/02/pdfs/GMD-1823-513.pdf#page=1","Abrir facsímil")</f>
        <v>Abrir facsímil</v>
      </c>
      <c r="K4082" s="3" t="s">
        <v>23</v>
      </c>
    </row>
    <row r="4083" spans="1:11" ht="42" customHeight="1">
      <c r="A4083" s="2" t="s">
        <v>8221</v>
      </c>
      <c r="B4083" s="2" t="s">
        <v>8221</v>
      </c>
      <c r="C4083" s="2" t="s">
        <v>17</v>
      </c>
      <c r="D4083" s="2" t="s">
        <v>18</v>
      </c>
      <c r="E4083" s="5">
        <v>-27909</v>
      </c>
      <c r="F4083" s="3" t="s">
        <v>1525</v>
      </c>
      <c r="G4083" s="3" t="s">
        <v>27</v>
      </c>
      <c r="H4083" s="2" t="s">
        <v>21</v>
      </c>
      <c r="I4083" s="2" t="s">
        <v>8332</v>
      </c>
      <c r="J4083" s="3" t="str">
        <f>HYPERLINK("https://www.boe.es/gazeta/dias/1823/08/02/pdfs/GMD-1823-513.pdf#page=2","Abrir facsímil")</f>
        <v>Abrir facsímil</v>
      </c>
      <c r="K4083" s="3" t="s">
        <v>23</v>
      </c>
    </row>
    <row r="4084" spans="1:11" ht="42" customHeight="1">
      <c r="A4084" s="2" t="s">
        <v>8221</v>
      </c>
      <c r="B4084" s="2" t="s">
        <v>8221</v>
      </c>
      <c r="C4084" s="2" t="s">
        <v>17</v>
      </c>
      <c r="D4084" s="2" t="s">
        <v>18</v>
      </c>
      <c r="E4084" s="5">
        <v>-27908</v>
      </c>
      <c r="F4084" s="3" t="s">
        <v>80</v>
      </c>
      <c r="G4084" s="3" t="s">
        <v>20</v>
      </c>
      <c r="H4084" s="2" t="s">
        <v>21</v>
      </c>
      <c r="I4084" s="2" t="s">
        <v>8333</v>
      </c>
      <c r="J4084" s="3" t="str">
        <f>HYPERLINK("https://www.boe.es/gazeta/dias/1823/08/03/pdfs/GES-1823-115.pdf#page=4","Abrir facsímil")</f>
        <v>Abrir facsímil</v>
      </c>
      <c r="K4084" s="3" t="s">
        <v>23</v>
      </c>
    </row>
    <row r="4085" spans="1:11" ht="42" customHeight="1">
      <c r="A4085" s="2" t="s">
        <v>8221</v>
      </c>
      <c r="B4085" s="2" t="s">
        <v>8221</v>
      </c>
      <c r="C4085" s="2" t="s">
        <v>17</v>
      </c>
      <c r="D4085" s="2" t="s">
        <v>18</v>
      </c>
      <c r="E4085" s="5">
        <v>-27906</v>
      </c>
      <c r="F4085" s="3" t="s">
        <v>1527</v>
      </c>
      <c r="G4085" s="3" t="s">
        <v>39</v>
      </c>
      <c r="H4085" s="2" t="s">
        <v>21</v>
      </c>
      <c r="I4085" s="2" t="s">
        <v>8334</v>
      </c>
      <c r="J4085" s="3" t="str">
        <f>HYPERLINK("https://www.boe.es/gazeta/dias/1823/08/05/pdfs/GMD-1823-533.pdf#page=1","Abrir facsímil")</f>
        <v>Abrir facsímil</v>
      </c>
      <c r="K4085" s="3" t="s">
        <v>23</v>
      </c>
    </row>
    <row r="4086" spans="1:11" ht="42" customHeight="1">
      <c r="A4086" s="2" t="s">
        <v>8221</v>
      </c>
      <c r="B4086" s="2" t="s">
        <v>8221</v>
      </c>
      <c r="C4086" s="2" t="s">
        <v>17</v>
      </c>
      <c r="D4086" s="2" t="s">
        <v>18</v>
      </c>
      <c r="E4086" s="5">
        <v>-27906</v>
      </c>
      <c r="F4086" s="3" t="s">
        <v>1527</v>
      </c>
      <c r="G4086" s="3" t="s">
        <v>27</v>
      </c>
      <c r="H4086" s="2" t="s">
        <v>21</v>
      </c>
      <c r="I4086" s="2" t="s">
        <v>8335</v>
      </c>
      <c r="J4086" s="3" t="str">
        <f>HYPERLINK("https://www.boe.es/gazeta/dias/1823/08/05/pdfs/GMD-1823-533.pdf#page=2","Abrir facsímil")</f>
        <v>Abrir facsímil</v>
      </c>
      <c r="K4086" s="3" t="s">
        <v>23</v>
      </c>
    </row>
    <row r="4087" spans="1:11" ht="42" customHeight="1">
      <c r="A4087" s="2" t="s">
        <v>8221</v>
      </c>
      <c r="B4087" s="2" t="s">
        <v>8221</v>
      </c>
      <c r="C4087" s="2" t="s">
        <v>79</v>
      </c>
      <c r="D4087" s="2" t="s">
        <v>74</v>
      </c>
      <c r="E4087" s="5">
        <v>-27906</v>
      </c>
      <c r="F4087" s="3" t="s">
        <v>1527</v>
      </c>
      <c r="G4087" s="3" t="s">
        <v>48</v>
      </c>
      <c r="H4087" s="2" t="s">
        <v>21</v>
      </c>
      <c r="I4087" s="2" t="s">
        <v>8336</v>
      </c>
      <c r="J4087" s="3" t="str">
        <f>HYPERLINK("https://www.boe.es/gazeta/dias/1823/08/05/pdfs/GMD-1823-533.pdf#page=3","Abrir facsímil")</f>
        <v>Abrir facsímil</v>
      </c>
      <c r="K4087" s="3" t="s">
        <v>23</v>
      </c>
    </row>
    <row r="4088" spans="1:11" ht="42" customHeight="1">
      <c r="A4088" s="2" t="s">
        <v>8221</v>
      </c>
      <c r="B4088" s="2" t="s">
        <v>8221</v>
      </c>
      <c r="C4088" s="2" t="s">
        <v>73</v>
      </c>
      <c r="D4088" s="2" t="s">
        <v>74</v>
      </c>
      <c r="E4088" s="5">
        <v>-27904</v>
      </c>
      <c r="F4088" s="3" t="s">
        <v>1748</v>
      </c>
      <c r="G4088" s="3" t="s">
        <v>48</v>
      </c>
      <c r="H4088" s="2" t="s">
        <v>21</v>
      </c>
      <c r="I4088" s="2" t="s">
        <v>8337</v>
      </c>
      <c r="J4088" s="3" t="str">
        <f>HYPERLINK("https://www.boe.es/gazeta/dias/1823/08/07/pdfs/GES-1823-120.pdf#page=3","Abrir facsímil")</f>
        <v>Abrir facsímil</v>
      </c>
      <c r="K4088" s="3" t="s">
        <v>23</v>
      </c>
    </row>
    <row r="4089" spans="1:11" ht="42" customHeight="1">
      <c r="A4089" s="2" t="s">
        <v>8221</v>
      </c>
      <c r="B4089" s="2" t="s">
        <v>8221</v>
      </c>
      <c r="C4089" s="2" t="s">
        <v>17</v>
      </c>
      <c r="D4089" s="2" t="s">
        <v>18</v>
      </c>
      <c r="E4089" s="5">
        <v>-27904</v>
      </c>
      <c r="F4089" s="3" t="s">
        <v>1227</v>
      </c>
      <c r="G4089" s="3" t="s">
        <v>27</v>
      </c>
      <c r="H4089" s="2" t="s">
        <v>21</v>
      </c>
      <c r="I4089" s="2" t="s">
        <v>8338</v>
      </c>
      <c r="J4089" s="3" t="str">
        <f>HYPERLINK("https://www.boe.es/gazeta/dias/1823/08/07/pdfs/GMD-1823-543.pdf#page=2","Abrir facsímil")</f>
        <v>Abrir facsímil</v>
      </c>
      <c r="K4089" s="3" t="s">
        <v>23</v>
      </c>
    </row>
    <row r="4090" spans="1:11" ht="42" customHeight="1">
      <c r="A4090" s="2" t="s">
        <v>8221</v>
      </c>
      <c r="B4090" s="2" t="s">
        <v>8221</v>
      </c>
      <c r="C4090" s="2" t="s">
        <v>73</v>
      </c>
      <c r="D4090" s="2" t="s">
        <v>74</v>
      </c>
      <c r="E4090" s="5">
        <v>-27902</v>
      </c>
      <c r="F4090" s="3" t="s">
        <v>221</v>
      </c>
      <c r="G4090" s="3" t="s">
        <v>48</v>
      </c>
      <c r="H4090" s="2" t="s">
        <v>21</v>
      </c>
      <c r="I4090" s="2" t="s">
        <v>8339</v>
      </c>
      <c r="J4090" s="3" t="str">
        <f>HYPERLINK("https://www.boe.es/gazeta/dias/1823/08/09/pdfs/GES-1823-122.pdf#page=3","Abrir facsímil")</f>
        <v>Abrir facsímil</v>
      </c>
      <c r="K4090" s="3" t="s">
        <v>23</v>
      </c>
    </row>
    <row r="4091" spans="1:11" ht="42" customHeight="1">
      <c r="A4091" s="2" t="s">
        <v>8221</v>
      </c>
      <c r="B4091" s="2" t="s">
        <v>8221</v>
      </c>
      <c r="C4091" s="2" t="s">
        <v>17</v>
      </c>
      <c r="D4091" s="2" t="s">
        <v>18</v>
      </c>
      <c r="E4091" s="5">
        <v>-27902</v>
      </c>
      <c r="F4091" s="3" t="s">
        <v>259</v>
      </c>
      <c r="G4091" s="3" t="s">
        <v>39</v>
      </c>
      <c r="H4091" s="2" t="s">
        <v>21</v>
      </c>
      <c r="I4091" s="2" t="s">
        <v>8340</v>
      </c>
      <c r="J4091" s="3" t="str">
        <f>HYPERLINK("https://www.boe.es/gazeta/dias/1823/08/09/pdfs/GMD-1823-563.pdf#page=1","Abrir facsímil")</f>
        <v>Abrir facsímil</v>
      </c>
      <c r="K4091" s="3" t="s">
        <v>23</v>
      </c>
    </row>
    <row r="4092" spans="1:11" ht="42" customHeight="1">
      <c r="A4092" s="2" t="s">
        <v>8221</v>
      </c>
      <c r="B4092" s="2" t="s">
        <v>8221</v>
      </c>
      <c r="C4092" s="2" t="s">
        <v>17</v>
      </c>
      <c r="D4092" s="2" t="s">
        <v>18</v>
      </c>
      <c r="E4092" s="5">
        <v>-27902</v>
      </c>
      <c r="F4092" s="3" t="s">
        <v>259</v>
      </c>
      <c r="G4092" s="3" t="s">
        <v>27</v>
      </c>
      <c r="H4092" s="2" t="s">
        <v>21</v>
      </c>
      <c r="I4092" s="2" t="s">
        <v>8341</v>
      </c>
      <c r="J4092" s="3" t="str">
        <f>HYPERLINK("https://www.boe.es/gazeta/dias/1823/08/09/pdfs/GMD-1823-563.pdf#page=2","Abrir facsímil")</f>
        <v>Abrir facsímil</v>
      </c>
      <c r="K4092" s="3" t="s">
        <v>23</v>
      </c>
    </row>
    <row r="4093" spans="1:11" ht="42" customHeight="1">
      <c r="A4093" s="2" t="s">
        <v>8221</v>
      </c>
      <c r="B4093" s="2" t="s">
        <v>8221</v>
      </c>
      <c r="C4093" s="2" t="s">
        <v>17</v>
      </c>
      <c r="D4093" s="2" t="s">
        <v>18</v>
      </c>
      <c r="E4093" s="5">
        <v>-27901</v>
      </c>
      <c r="F4093" s="3" t="s">
        <v>840</v>
      </c>
      <c r="G4093" s="3" t="s">
        <v>48</v>
      </c>
      <c r="H4093" s="2" t="s">
        <v>21</v>
      </c>
      <c r="I4093" s="2" t="s">
        <v>8342</v>
      </c>
      <c r="J4093" s="3" t="str">
        <f>HYPERLINK("https://www.boe.es/gazeta/dias/1823/08/10/pdfs/GES-1823-123.pdf#page=3","Abrir facsímil")</f>
        <v>Abrir facsímil</v>
      </c>
      <c r="K4093" s="3" t="s">
        <v>23</v>
      </c>
    </row>
    <row r="4094" spans="1:11" ht="42" customHeight="1">
      <c r="A4094" s="2" t="s">
        <v>8221</v>
      </c>
      <c r="B4094" s="2" t="s">
        <v>8221</v>
      </c>
      <c r="C4094" s="2" t="s">
        <v>73</v>
      </c>
      <c r="D4094" s="2" t="s">
        <v>74</v>
      </c>
      <c r="E4094" s="5">
        <v>-27900</v>
      </c>
      <c r="F4094" s="3" t="s">
        <v>2714</v>
      </c>
      <c r="G4094" s="3" t="s">
        <v>48</v>
      </c>
      <c r="H4094" s="2" t="s">
        <v>21</v>
      </c>
      <c r="I4094" s="2" t="s">
        <v>8343</v>
      </c>
      <c r="J4094" s="3" t="str">
        <f>HYPERLINK("https://www.boe.es/gazeta/dias/1823/08/11/pdfs/GES-1823-124.pdf#page=3","Abrir facsímil")</f>
        <v>Abrir facsímil</v>
      </c>
      <c r="K4094" s="3" t="s">
        <v>23</v>
      </c>
    </row>
    <row r="4095" spans="1:11" ht="42" customHeight="1">
      <c r="A4095" s="2" t="s">
        <v>8221</v>
      </c>
      <c r="B4095" s="2" t="s">
        <v>8221</v>
      </c>
      <c r="C4095" s="2" t="s">
        <v>17</v>
      </c>
      <c r="D4095" s="2" t="s">
        <v>18</v>
      </c>
      <c r="E4095" s="5">
        <v>-27900</v>
      </c>
      <c r="F4095" s="3" t="s">
        <v>2714</v>
      </c>
      <c r="G4095" s="3" t="s">
        <v>20</v>
      </c>
      <c r="H4095" s="2" t="s">
        <v>21</v>
      </c>
      <c r="I4095" s="2" t="s">
        <v>8344</v>
      </c>
      <c r="J4095" s="3" t="str">
        <f>HYPERLINK("https://www.boe.es/gazeta/dias/1823/08/11/pdfs/GES-1823-124.pdf#page=4","Abrir facsímil")</f>
        <v>Abrir facsímil</v>
      </c>
      <c r="K4095" s="3" t="s">
        <v>23</v>
      </c>
    </row>
    <row r="4096" spans="1:11" ht="42" customHeight="1">
      <c r="A4096" s="2" t="s">
        <v>8221</v>
      </c>
      <c r="B4096" s="2" t="s">
        <v>8221</v>
      </c>
      <c r="C4096" s="2" t="s">
        <v>109</v>
      </c>
      <c r="D4096" s="2" t="s">
        <v>74</v>
      </c>
      <c r="E4096" s="5">
        <v>-27899</v>
      </c>
      <c r="F4096" s="3" t="s">
        <v>2172</v>
      </c>
      <c r="G4096" s="3" t="s">
        <v>20</v>
      </c>
      <c r="H4096" s="2" t="s">
        <v>21</v>
      </c>
      <c r="I4096" s="2" t="s">
        <v>8345</v>
      </c>
      <c r="J4096" s="3" t="str">
        <f>HYPERLINK("https://www.boe.es/gazeta/dias/1823/08/12/pdfs/GES-1823-125.pdf#page=4","Abrir facsímil")</f>
        <v>Abrir facsímil</v>
      </c>
      <c r="K4096" s="3" t="s">
        <v>23</v>
      </c>
    </row>
    <row r="4097" spans="1:11" ht="42" customHeight="1">
      <c r="A4097" s="2" t="s">
        <v>8221</v>
      </c>
      <c r="B4097" s="2" t="s">
        <v>8221</v>
      </c>
      <c r="C4097" s="2" t="s">
        <v>17</v>
      </c>
      <c r="D4097" s="2" t="s">
        <v>18</v>
      </c>
      <c r="E4097" s="5">
        <v>-27899</v>
      </c>
      <c r="F4097" s="3" t="s">
        <v>215</v>
      </c>
      <c r="G4097" s="3" t="s">
        <v>39</v>
      </c>
      <c r="H4097" s="2" t="s">
        <v>21</v>
      </c>
      <c r="I4097" s="2" t="s">
        <v>8346</v>
      </c>
      <c r="J4097" s="3" t="str">
        <f>HYPERLINK("https://www.boe.es/gazeta/dias/1823/08/12/pdfs/GMD-1823-583.pdf#page=1","Abrir facsímil")</f>
        <v>Abrir facsímil</v>
      </c>
      <c r="K4097" s="3" t="s">
        <v>23</v>
      </c>
    </row>
    <row r="4098" spans="1:11" ht="42" customHeight="1">
      <c r="A4098" s="2" t="s">
        <v>8221</v>
      </c>
      <c r="B4098" s="2" t="s">
        <v>8221</v>
      </c>
      <c r="C4098" s="2" t="s">
        <v>79</v>
      </c>
      <c r="D4098" s="2" t="s">
        <v>74</v>
      </c>
      <c r="E4098" s="5">
        <v>-27899</v>
      </c>
      <c r="F4098" s="3" t="s">
        <v>215</v>
      </c>
      <c r="G4098" s="3" t="s">
        <v>27</v>
      </c>
      <c r="H4098" s="2" t="s">
        <v>21</v>
      </c>
      <c r="I4098" s="2" t="s">
        <v>8347</v>
      </c>
      <c r="J4098" s="3" t="str">
        <f>HYPERLINK("https://www.boe.es/gazeta/dias/1823/08/12/pdfs/GMD-1823-583.pdf#page=2","Abrir facsímil")</f>
        <v>Abrir facsímil</v>
      </c>
      <c r="K4098" s="3" t="s">
        <v>23</v>
      </c>
    </row>
    <row r="4099" spans="1:11" ht="42" customHeight="1">
      <c r="A4099" s="2" t="s">
        <v>8221</v>
      </c>
      <c r="B4099" s="2" t="s">
        <v>8221</v>
      </c>
      <c r="C4099" s="2" t="s">
        <v>73</v>
      </c>
      <c r="D4099" s="2" t="s">
        <v>74</v>
      </c>
      <c r="E4099" s="5">
        <v>-27898</v>
      </c>
      <c r="F4099" s="3" t="s">
        <v>5169</v>
      </c>
      <c r="G4099" s="3" t="s">
        <v>20</v>
      </c>
      <c r="H4099" s="2" t="s">
        <v>21</v>
      </c>
      <c r="I4099" s="2" t="s">
        <v>8348</v>
      </c>
      <c r="J4099" s="3" t="str">
        <f>HYPERLINK("https://www.boe.es/gazeta/dias/1823/08/13/pdfs/GES-1823-126.pdf#page=4","Abrir facsímil")</f>
        <v>Abrir facsímil</v>
      </c>
      <c r="K4099" s="3" t="s">
        <v>23</v>
      </c>
    </row>
    <row r="4100" spans="1:11" ht="42" customHeight="1">
      <c r="A4100" s="2" t="s">
        <v>8221</v>
      </c>
      <c r="B4100" s="2" t="s">
        <v>8221</v>
      </c>
      <c r="C4100" s="2" t="s">
        <v>17</v>
      </c>
      <c r="D4100" s="2" t="s">
        <v>18</v>
      </c>
      <c r="E4100" s="5">
        <v>-27897</v>
      </c>
      <c r="F4100" s="3" t="s">
        <v>5962</v>
      </c>
      <c r="G4100" s="3" t="s">
        <v>8349</v>
      </c>
      <c r="H4100" s="2" t="s">
        <v>21</v>
      </c>
      <c r="I4100" s="2" t="s">
        <v>8350</v>
      </c>
      <c r="J4100" s="3" t="str">
        <f>HYPERLINK("https://www.boe.es/gazeta/dias/1823/08/14/pdfs/GES-1823-127.pdf#page=4","Abrir facsímil")</f>
        <v>Abrir facsímil</v>
      </c>
      <c r="K4100" s="3" t="s">
        <v>23</v>
      </c>
    </row>
    <row r="4101" spans="1:11" ht="42" customHeight="1">
      <c r="A4101" s="2" t="s">
        <v>8221</v>
      </c>
      <c r="B4101" s="2" t="s">
        <v>8221</v>
      </c>
      <c r="C4101" s="2" t="s">
        <v>56</v>
      </c>
      <c r="D4101" s="2" t="s">
        <v>57</v>
      </c>
      <c r="E4101" s="5">
        <v>-27897</v>
      </c>
      <c r="F4101" s="3" t="s">
        <v>1569</v>
      </c>
      <c r="G4101" s="3" t="s">
        <v>27</v>
      </c>
      <c r="H4101" s="2" t="s">
        <v>21</v>
      </c>
      <c r="I4101" s="2" t="s">
        <v>8351</v>
      </c>
      <c r="J4101" s="3" t="str">
        <f>HYPERLINK("https://www.boe.es/gazeta/dias/1823/08/14/pdfs/GMD-1823-593.pdf#page=2","Abrir facsímil")</f>
        <v>Abrir facsímil</v>
      </c>
      <c r="K4101" s="3" t="s">
        <v>23</v>
      </c>
    </row>
    <row r="4102" spans="1:11" ht="42" customHeight="1">
      <c r="A4102" s="2" t="s">
        <v>8221</v>
      </c>
      <c r="B4102" s="2" t="s">
        <v>8221</v>
      </c>
      <c r="C4102" s="2" t="s">
        <v>17</v>
      </c>
      <c r="D4102" s="2" t="s">
        <v>18</v>
      </c>
      <c r="E4102" s="5">
        <v>-27896</v>
      </c>
      <c r="F4102" s="3" t="s">
        <v>4122</v>
      </c>
      <c r="G4102" s="3" t="s">
        <v>48</v>
      </c>
      <c r="H4102" s="2" t="s">
        <v>21</v>
      </c>
      <c r="I4102" s="2" t="s">
        <v>8352</v>
      </c>
      <c r="J4102" s="3" t="str">
        <f>HYPERLINK("https://www.boe.es/gazeta/dias/1823/08/15/pdfs/GES-1823-128.pdf#page=3","Abrir facsímil")</f>
        <v>Abrir facsímil</v>
      </c>
      <c r="K4102" s="3" t="s">
        <v>23</v>
      </c>
    </row>
    <row r="4103" spans="1:11" ht="42" customHeight="1">
      <c r="A4103" s="2" t="s">
        <v>8221</v>
      </c>
      <c r="B4103" s="2" t="s">
        <v>8221</v>
      </c>
      <c r="C4103" s="2" t="s">
        <v>17</v>
      </c>
      <c r="D4103" s="2" t="s">
        <v>18</v>
      </c>
      <c r="E4103" s="5">
        <v>-27896</v>
      </c>
      <c r="F4103" s="3" t="s">
        <v>4122</v>
      </c>
      <c r="G4103" s="3" t="s">
        <v>20</v>
      </c>
      <c r="H4103" s="2" t="s">
        <v>21</v>
      </c>
      <c r="I4103" s="2" t="s">
        <v>8353</v>
      </c>
      <c r="J4103" s="3" t="str">
        <f>HYPERLINK("https://www.boe.es/gazeta/dias/1823/08/15/pdfs/GES-1823-128.pdf#page=4","Abrir facsímil")</f>
        <v>Abrir facsímil</v>
      </c>
      <c r="K4103" s="3" t="s">
        <v>23</v>
      </c>
    </row>
    <row r="4104" spans="1:11" ht="42" customHeight="1">
      <c r="A4104" s="2" t="s">
        <v>8221</v>
      </c>
      <c r="B4104" s="2" t="s">
        <v>8221</v>
      </c>
      <c r="C4104" s="2" t="s">
        <v>73</v>
      </c>
      <c r="D4104" s="2" t="s">
        <v>74</v>
      </c>
      <c r="E4104" s="5">
        <v>-27895</v>
      </c>
      <c r="F4104" s="3" t="s">
        <v>734</v>
      </c>
      <c r="G4104" s="3" t="s">
        <v>20</v>
      </c>
      <c r="H4104" s="2" t="s">
        <v>21</v>
      </c>
      <c r="I4104" s="2" t="s">
        <v>8354</v>
      </c>
      <c r="J4104" s="3" t="str">
        <f>HYPERLINK("https://www.boe.es/gazeta/dias/1823/08/16/pdfs/GES-1823-129.pdf#page=4","Abrir facsímil")</f>
        <v>Abrir facsímil</v>
      </c>
      <c r="K4104" s="3" t="s">
        <v>23</v>
      </c>
    </row>
    <row r="4105" spans="1:11" ht="42" customHeight="1">
      <c r="A4105" s="2" t="s">
        <v>8221</v>
      </c>
      <c r="B4105" s="2" t="s">
        <v>8221</v>
      </c>
      <c r="C4105" s="2" t="s">
        <v>79</v>
      </c>
      <c r="D4105" s="2" t="s">
        <v>74</v>
      </c>
      <c r="E4105" s="5">
        <v>-27894</v>
      </c>
      <c r="F4105" s="3" t="s">
        <v>2013</v>
      </c>
      <c r="G4105" s="3" t="s">
        <v>20</v>
      </c>
      <c r="H4105" s="2" t="s">
        <v>21</v>
      </c>
      <c r="I4105" s="2" t="s">
        <v>8355</v>
      </c>
      <c r="J4105" s="3" t="str">
        <f>HYPERLINK("https://www.boe.es/gazeta/dias/1823/08/17/pdfs/GES-1823-130.pdf#page=4","Abrir facsímil")</f>
        <v>Abrir facsímil</v>
      </c>
      <c r="K4105" s="3" t="s">
        <v>23</v>
      </c>
    </row>
    <row r="4106" spans="1:11" ht="42" customHeight="1">
      <c r="A4106" s="2" t="s">
        <v>8221</v>
      </c>
      <c r="B4106" s="2" t="s">
        <v>8221</v>
      </c>
      <c r="C4106" s="2" t="s">
        <v>109</v>
      </c>
      <c r="D4106" s="2" t="s">
        <v>74</v>
      </c>
      <c r="E4106" s="5">
        <v>-27893</v>
      </c>
      <c r="F4106" s="3" t="s">
        <v>1893</v>
      </c>
      <c r="G4106" s="3" t="s">
        <v>1894</v>
      </c>
      <c r="H4106" s="2" t="s">
        <v>21</v>
      </c>
      <c r="I4106" s="2" t="s">
        <v>8356</v>
      </c>
      <c r="J4106" s="3" t="str">
        <f>HYPERLINK("https://www.boe.es/gazeta/dias/1823/08/18/pdfs/GES-1823-131.pdf#page=4","Abrir facsímil")</f>
        <v>Abrir facsímil</v>
      </c>
      <c r="K4106" s="3" t="s">
        <v>23</v>
      </c>
    </row>
    <row r="4107" spans="1:11" ht="42" customHeight="1">
      <c r="A4107" s="2" t="s">
        <v>8221</v>
      </c>
      <c r="B4107" s="2" t="s">
        <v>8221</v>
      </c>
      <c r="C4107" s="2" t="s">
        <v>109</v>
      </c>
      <c r="D4107" s="2" t="s">
        <v>74</v>
      </c>
      <c r="E4107" s="5">
        <v>-27893</v>
      </c>
      <c r="F4107" s="3" t="s">
        <v>1893</v>
      </c>
      <c r="G4107" s="3" t="s">
        <v>48</v>
      </c>
      <c r="H4107" s="2" t="s">
        <v>21</v>
      </c>
      <c r="I4107" s="2" t="s">
        <v>8357</v>
      </c>
      <c r="J4107" s="3" t="str">
        <f>HYPERLINK("https://www.boe.es/gazeta/dias/1823/08/18/pdfs/GES-1823-131.pdf#page=3","Abrir facsímil")</f>
        <v>Abrir facsímil</v>
      </c>
      <c r="K4107" s="3" t="s">
        <v>23</v>
      </c>
    </row>
    <row r="4108" spans="1:11" ht="42" customHeight="1">
      <c r="A4108" s="2" t="s">
        <v>8221</v>
      </c>
      <c r="B4108" s="2" t="s">
        <v>8221</v>
      </c>
      <c r="C4108" s="2" t="s">
        <v>17</v>
      </c>
      <c r="D4108" s="2" t="s">
        <v>18</v>
      </c>
      <c r="E4108" s="5">
        <v>-27892</v>
      </c>
      <c r="F4108" s="3" t="s">
        <v>1229</v>
      </c>
      <c r="G4108" s="3" t="s">
        <v>20</v>
      </c>
      <c r="H4108" s="2" t="s">
        <v>21</v>
      </c>
      <c r="I4108" s="2" t="s">
        <v>8358</v>
      </c>
      <c r="J4108" s="3" t="str">
        <f>HYPERLINK("https://www.boe.es/gazeta/dias/1823/08/19/pdfs/GES-1823-132.pdf#page=4","Abrir facsímil")</f>
        <v>Abrir facsímil</v>
      </c>
      <c r="K4108" s="3" t="s">
        <v>23</v>
      </c>
    </row>
    <row r="4109" spans="1:11" ht="42" customHeight="1">
      <c r="A4109" s="2" t="s">
        <v>8221</v>
      </c>
      <c r="B4109" s="2" t="s">
        <v>8221</v>
      </c>
      <c r="C4109" s="2" t="s">
        <v>17</v>
      </c>
      <c r="D4109" s="2" t="s">
        <v>18</v>
      </c>
      <c r="E4109" s="5">
        <v>-27890</v>
      </c>
      <c r="F4109" s="3" t="s">
        <v>8359</v>
      </c>
      <c r="G4109" s="3" t="s">
        <v>48</v>
      </c>
      <c r="H4109" s="2" t="s">
        <v>21</v>
      </c>
      <c r="I4109" s="2" t="s">
        <v>8360</v>
      </c>
      <c r="J4109" s="3" t="str">
        <f>HYPERLINK("https://www.boe.es/gazeta/dias/1823/08/21/pdfs/GES-1823-134.pdf#page=3","Abrir facsímil")</f>
        <v>Abrir facsímil</v>
      </c>
      <c r="K4109" s="3" t="s">
        <v>23</v>
      </c>
    </row>
    <row r="4110" spans="1:11" ht="42" customHeight="1">
      <c r="A4110" s="2" t="s">
        <v>8221</v>
      </c>
      <c r="B4110" s="2" t="s">
        <v>8221</v>
      </c>
      <c r="C4110" s="2" t="s">
        <v>73</v>
      </c>
      <c r="D4110" s="2" t="s">
        <v>74</v>
      </c>
      <c r="E4110" s="5">
        <v>-27890</v>
      </c>
      <c r="F4110" s="3" t="s">
        <v>8359</v>
      </c>
      <c r="G4110" s="3" t="s">
        <v>20</v>
      </c>
      <c r="H4110" s="2" t="s">
        <v>21</v>
      </c>
      <c r="I4110" s="2" t="s">
        <v>8361</v>
      </c>
      <c r="J4110" s="3" t="str">
        <f>HYPERLINK("https://www.boe.es/gazeta/dias/1823/08/21/pdfs/GES-1823-134.pdf#page=4","Abrir facsímil")</f>
        <v>Abrir facsímil</v>
      </c>
      <c r="K4110" s="3" t="s">
        <v>23</v>
      </c>
    </row>
    <row r="4111" spans="1:11" ht="42" customHeight="1">
      <c r="A4111" s="2" t="s">
        <v>8221</v>
      </c>
      <c r="B4111" s="2" t="s">
        <v>8221</v>
      </c>
      <c r="C4111" s="2" t="s">
        <v>17</v>
      </c>
      <c r="D4111" s="2" t="s">
        <v>18</v>
      </c>
      <c r="E4111" s="5">
        <v>-27890</v>
      </c>
      <c r="F4111" s="3" t="s">
        <v>1573</v>
      </c>
      <c r="G4111" s="3" t="s">
        <v>1574</v>
      </c>
      <c r="H4111" s="2" t="s">
        <v>21</v>
      </c>
      <c r="I4111" s="2" t="s">
        <v>8362</v>
      </c>
      <c r="J4111" s="3" t="str">
        <f>HYPERLINK("https://www.boe.es/gazeta/dias/1823/08/21/pdfs/GMD-1823-623.pdf#page=2","Abrir facsímil")</f>
        <v>Abrir facsímil</v>
      </c>
      <c r="K4111" s="3" t="s">
        <v>23</v>
      </c>
    </row>
    <row r="4112" spans="1:11" ht="42" customHeight="1">
      <c r="A4112" s="2" t="s">
        <v>8221</v>
      </c>
      <c r="B4112" s="2" t="s">
        <v>8221</v>
      </c>
      <c r="C4112" s="2" t="s">
        <v>79</v>
      </c>
      <c r="D4112" s="2" t="s">
        <v>74</v>
      </c>
      <c r="E4112" s="5">
        <v>-27890</v>
      </c>
      <c r="F4112" s="3" t="s">
        <v>1573</v>
      </c>
      <c r="G4112" s="3" t="s">
        <v>39</v>
      </c>
      <c r="H4112" s="2" t="s">
        <v>21</v>
      </c>
      <c r="I4112" s="2" t="s">
        <v>8363</v>
      </c>
      <c r="J4112" s="3" t="str">
        <f>HYPERLINK("https://www.boe.es/gazeta/dias/1823/08/21/pdfs/GMD-1823-623.pdf#page=1","Abrir facsímil")</f>
        <v>Abrir facsímil</v>
      </c>
      <c r="K4112" s="3" t="s">
        <v>23</v>
      </c>
    </row>
    <row r="4113" spans="1:11" ht="42" customHeight="1">
      <c r="A4113" s="2" t="s">
        <v>8221</v>
      </c>
      <c r="B4113" s="2" t="s">
        <v>8221</v>
      </c>
      <c r="C4113" s="2" t="s">
        <v>79</v>
      </c>
      <c r="D4113" s="2" t="s">
        <v>74</v>
      </c>
      <c r="E4113" s="5">
        <v>-27888</v>
      </c>
      <c r="F4113" s="3" t="s">
        <v>1534</v>
      </c>
      <c r="G4113" s="3" t="s">
        <v>27</v>
      </c>
      <c r="H4113" s="2" t="s">
        <v>21</v>
      </c>
      <c r="I4113" s="2" t="s">
        <v>8364</v>
      </c>
      <c r="J4113" s="3" t="str">
        <f>HYPERLINK("https://www.boe.es/gazeta/dias/1823/08/23/pdfs/GES-1823-136.pdf#page=2","Abrir facsímil")</f>
        <v>Abrir facsímil</v>
      </c>
      <c r="K4113" s="3" t="s">
        <v>23</v>
      </c>
    </row>
    <row r="4114" spans="1:11" ht="42" customHeight="1">
      <c r="A4114" s="2" t="s">
        <v>8221</v>
      </c>
      <c r="B4114" s="2" t="s">
        <v>8221</v>
      </c>
      <c r="C4114" s="2" t="s">
        <v>109</v>
      </c>
      <c r="D4114" s="2" t="s">
        <v>74</v>
      </c>
      <c r="E4114" s="5">
        <v>-27888</v>
      </c>
      <c r="F4114" s="3" t="s">
        <v>1534</v>
      </c>
      <c r="G4114" s="3" t="s">
        <v>20</v>
      </c>
      <c r="H4114" s="2" t="s">
        <v>21</v>
      </c>
      <c r="I4114" s="2" t="s">
        <v>8365</v>
      </c>
      <c r="J4114" s="3" t="str">
        <f>HYPERLINK("https://www.boe.es/gazeta/dias/1823/08/23/pdfs/GES-1823-136.pdf#page=4","Abrir facsímil")</f>
        <v>Abrir facsímil</v>
      </c>
      <c r="K4114" s="3" t="s">
        <v>23</v>
      </c>
    </row>
    <row r="4115" spans="1:11" ht="42" customHeight="1">
      <c r="A4115" s="2" t="s">
        <v>8221</v>
      </c>
      <c r="B4115" s="2" t="s">
        <v>8221</v>
      </c>
      <c r="C4115" s="2" t="s">
        <v>17</v>
      </c>
      <c r="D4115" s="2" t="s">
        <v>18</v>
      </c>
      <c r="E4115" s="5">
        <v>-27888</v>
      </c>
      <c r="F4115" s="3" t="s">
        <v>232</v>
      </c>
      <c r="G4115" s="3" t="s">
        <v>39</v>
      </c>
      <c r="H4115" s="2" t="s">
        <v>21</v>
      </c>
      <c r="I4115" s="2" t="s">
        <v>8366</v>
      </c>
      <c r="J4115" s="3" t="str">
        <f>HYPERLINK("https://www.boe.es/gazeta/dias/1823/08/23/pdfs/GMD-1823-633.pdf#page=1","Abrir facsímil")</f>
        <v>Abrir facsímil</v>
      </c>
      <c r="K4115" s="3" t="s">
        <v>23</v>
      </c>
    </row>
    <row r="4116" spans="1:11" ht="42" customHeight="1">
      <c r="A4116" s="2" t="s">
        <v>8221</v>
      </c>
      <c r="B4116" s="2" t="s">
        <v>8221</v>
      </c>
      <c r="C4116" s="2" t="s">
        <v>79</v>
      </c>
      <c r="D4116" s="2" t="s">
        <v>74</v>
      </c>
      <c r="E4116" s="5">
        <v>-27888</v>
      </c>
      <c r="F4116" s="3" t="s">
        <v>232</v>
      </c>
      <c r="G4116" s="3" t="s">
        <v>27</v>
      </c>
      <c r="H4116" s="2" t="s">
        <v>21</v>
      </c>
      <c r="I4116" s="2" t="s">
        <v>8367</v>
      </c>
      <c r="J4116" s="3" t="str">
        <f>HYPERLINK("https://www.boe.es/gazeta/dias/1823/08/23/pdfs/GMD-1823-633.pdf#page=2","Abrir facsímil")</f>
        <v>Abrir facsímil</v>
      </c>
      <c r="K4116" s="3" t="s">
        <v>23</v>
      </c>
    </row>
    <row r="4117" spans="1:11" ht="42" customHeight="1">
      <c r="A4117" s="2" t="s">
        <v>8221</v>
      </c>
      <c r="B4117" s="2" t="s">
        <v>8221</v>
      </c>
      <c r="C4117" s="2" t="s">
        <v>109</v>
      </c>
      <c r="D4117" s="2" t="s">
        <v>74</v>
      </c>
      <c r="E4117" s="5">
        <v>-27888</v>
      </c>
      <c r="F4117" s="3" t="s">
        <v>232</v>
      </c>
      <c r="G4117" s="3" t="s">
        <v>34</v>
      </c>
      <c r="H4117" s="2" t="s">
        <v>21</v>
      </c>
      <c r="I4117" s="2" t="s">
        <v>8368</v>
      </c>
      <c r="J4117" s="3" t="str">
        <f>HYPERLINK("https://www.boe.es/gazeta/dias/1823/08/23/pdfs/GMD-1823-633.pdf#page=5","Abrir facsímil")</f>
        <v>Abrir facsímil</v>
      </c>
      <c r="K4117" s="3" t="s">
        <v>23</v>
      </c>
    </row>
    <row r="4118" spans="1:11" ht="42" customHeight="1">
      <c r="A4118" s="2" t="s">
        <v>8221</v>
      </c>
      <c r="B4118" s="2" t="s">
        <v>8221</v>
      </c>
      <c r="C4118" s="2" t="s">
        <v>17</v>
      </c>
      <c r="D4118" s="2" t="s">
        <v>18</v>
      </c>
      <c r="E4118" s="5">
        <v>-27887</v>
      </c>
      <c r="F4118" s="3" t="s">
        <v>1196</v>
      </c>
      <c r="G4118" s="3" t="s">
        <v>20</v>
      </c>
      <c r="H4118" s="2" t="s">
        <v>21</v>
      </c>
      <c r="I4118" s="2" t="s">
        <v>8369</v>
      </c>
      <c r="J4118" s="3" t="str">
        <f>HYPERLINK("https://www.boe.es/gazeta/dias/1823/08/24/pdfs/GES-1823-137.pdf#page=4","Abrir facsímil")</f>
        <v>Abrir facsímil</v>
      </c>
      <c r="K4118" s="3" t="s">
        <v>23</v>
      </c>
    </row>
    <row r="4119" spans="1:11" ht="42" customHeight="1">
      <c r="A4119" s="2" t="s">
        <v>8221</v>
      </c>
      <c r="B4119" s="2" t="s">
        <v>8221</v>
      </c>
      <c r="C4119" s="2" t="s">
        <v>73</v>
      </c>
      <c r="D4119" s="2" t="s">
        <v>74</v>
      </c>
      <c r="E4119" s="5">
        <v>-27886</v>
      </c>
      <c r="F4119" s="3" t="s">
        <v>1779</v>
      </c>
      <c r="G4119" s="3" t="s">
        <v>20</v>
      </c>
      <c r="H4119" s="2" t="s">
        <v>21</v>
      </c>
      <c r="I4119" s="2" t="s">
        <v>8370</v>
      </c>
      <c r="J4119" s="3" t="str">
        <f>HYPERLINK("https://www.boe.es/gazeta/dias/1823/08/25/pdfs/GES-1823-138.pdf#page=4","Abrir facsímil")</f>
        <v>Abrir facsímil</v>
      </c>
      <c r="K4119" s="3" t="s">
        <v>23</v>
      </c>
    </row>
    <row r="4120" spans="1:11" ht="42" customHeight="1">
      <c r="A4120" s="2" t="s">
        <v>8221</v>
      </c>
      <c r="B4120" s="2" t="s">
        <v>8221</v>
      </c>
      <c r="C4120" s="2" t="s">
        <v>17</v>
      </c>
      <c r="D4120" s="2" t="s">
        <v>18</v>
      </c>
      <c r="E4120" s="5">
        <v>-27885</v>
      </c>
      <c r="F4120" s="3" t="s">
        <v>6503</v>
      </c>
      <c r="G4120" s="3" t="s">
        <v>20</v>
      </c>
      <c r="H4120" s="2" t="s">
        <v>21</v>
      </c>
      <c r="I4120" s="2" t="s">
        <v>8371</v>
      </c>
      <c r="J4120" s="3" t="str">
        <f>HYPERLINK("https://www.boe.es/gazeta/dias/1823/08/26/pdfs/GES-1823-139.pdf#page=4","Abrir facsímil")</f>
        <v>Abrir facsímil</v>
      </c>
      <c r="K4120" s="3" t="s">
        <v>23</v>
      </c>
    </row>
    <row r="4121" spans="1:11" ht="42" customHeight="1">
      <c r="A4121" s="2" t="s">
        <v>8221</v>
      </c>
      <c r="B4121" s="2" t="s">
        <v>8221</v>
      </c>
      <c r="C4121" s="2" t="s">
        <v>73</v>
      </c>
      <c r="D4121" s="2" t="s">
        <v>74</v>
      </c>
      <c r="E4121" s="5">
        <v>-27884</v>
      </c>
      <c r="F4121" s="3" t="s">
        <v>61</v>
      </c>
      <c r="G4121" s="3" t="s">
        <v>20</v>
      </c>
      <c r="H4121" s="2" t="s">
        <v>21</v>
      </c>
      <c r="I4121" s="2" t="s">
        <v>8372</v>
      </c>
      <c r="J4121" s="3" t="str">
        <f>HYPERLINK("https://www.boe.es/gazeta/dias/1823/08/27/pdfs/GES-1823-140.pdf#page=4","Abrir facsímil")</f>
        <v>Abrir facsímil</v>
      </c>
      <c r="K4121" s="3" t="s">
        <v>23</v>
      </c>
    </row>
    <row r="4122" spans="1:11" ht="42" customHeight="1">
      <c r="A4122" s="2" t="s">
        <v>8221</v>
      </c>
      <c r="B4122" s="2" t="s">
        <v>8221</v>
      </c>
      <c r="C4122" s="2" t="s">
        <v>73</v>
      </c>
      <c r="D4122" s="2" t="s">
        <v>74</v>
      </c>
      <c r="E4122" s="5">
        <v>-27883</v>
      </c>
      <c r="F4122" s="3" t="s">
        <v>2838</v>
      </c>
      <c r="G4122" s="3" t="s">
        <v>20</v>
      </c>
      <c r="H4122" s="2" t="s">
        <v>21</v>
      </c>
      <c r="I4122" s="2" t="s">
        <v>8373</v>
      </c>
      <c r="J4122" s="3" t="str">
        <f>HYPERLINK("https://www.boe.es/gazeta/dias/1823/08/28/pdfs/GES-1823-141.pdf#page=4","Abrir facsímil")</f>
        <v>Abrir facsímil</v>
      </c>
      <c r="K4122" s="3" t="s">
        <v>23</v>
      </c>
    </row>
    <row r="4123" spans="1:11" ht="42" customHeight="1">
      <c r="A4123" s="2" t="s">
        <v>8221</v>
      </c>
      <c r="B4123" s="2" t="s">
        <v>8221</v>
      </c>
      <c r="C4123" s="2" t="s">
        <v>73</v>
      </c>
      <c r="D4123" s="2" t="s">
        <v>74</v>
      </c>
      <c r="E4123" s="5">
        <v>-27883</v>
      </c>
      <c r="F4123" s="3" t="s">
        <v>2318</v>
      </c>
      <c r="G4123" s="3" t="s">
        <v>39</v>
      </c>
      <c r="H4123" s="2" t="s">
        <v>21</v>
      </c>
      <c r="I4123" s="2" t="s">
        <v>8374</v>
      </c>
      <c r="J4123" s="3" t="str">
        <f>HYPERLINK("https://www.boe.es/gazeta/dias/1823/08/28/pdfs/GMD-1823-663.pdf#page=1","Abrir facsímil")</f>
        <v>Abrir facsímil</v>
      </c>
      <c r="K4123" s="3" t="s">
        <v>23</v>
      </c>
    </row>
    <row r="4124" spans="1:11" ht="42" customHeight="1">
      <c r="A4124" s="2" t="s">
        <v>8221</v>
      </c>
      <c r="B4124" s="2" t="s">
        <v>8221</v>
      </c>
      <c r="C4124" s="2" t="s">
        <v>56</v>
      </c>
      <c r="D4124" s="2" t="s">
        <v>57</v>
      </c>
      <c r="E4124" s="5">
        <v>-27883</v>
      </c>
      <c r="F4124" s="3" t="s">
        <v>2318</v>
      </c>
      <c r="G4124" s="3" t="s">
        <v>27</v>
      </c>
      <c r="H4124" s="2" t="s">
        <v>21</v>
      </c>
      <c r="I4124" s="2" t="s">
        <v>8375</v>
      </c>
      <c r="J4124" s="3" t="str">
        <f>HYPERLINK("https://www.boe.es/gazeta/dias/1823/08/28/pdfs/GMD-1823-663.pdf#page=2","Abrir facsímil")</f>
        <v>Abrir facsímil</v>
      </c>
      <c r="K4124" s="3" t="s">
        <v>23</v>
      </c>
    </row>
    <row r="4125" spans="1:11" ht="42" customHeight="1">
      <c r="A4125" s="2" t="s">
        <v>8221</v>
      </c>
      <c r="B4125" s="2" t="s">
        <v>8221</v>
      </c>
      <c r="C4125" s="2" t="s">
        <v>79</v>
      </c>
      <c r="D4125" s="2" t="s">
        <v>74</v>
      </c>
      <c r="E4125" s="5">
        <v>-27882</v>
      </c>
      <c r="F4125" s="3" t="s">
        <v>5179</v>
      </c>
      <c r="G4125" s="3" t="s">
        <v>48</v>
      </c>
      <c r="H4125" s="2" t="s">
        <v>21</v>
      </c>
      <c r="I4125" s="2" t="s">
        <v>8376</v>
      </c>
      <c r="J4125" s="3" t="str">
        <f>HYPERLINK("https://www.boe.es/gazeta/dias/1823/08/29/pdfs/GES-1823-142.pdf#page=3","Abrir facsímil")</f>
        <v>Abrir facsímil</v>
      </c>
      <c r="K4125" s="3" t="s">
        <v>23</v>
      </c>
    </row>
    <row r="4126" spans="1:11" ht="42" customHeight="1">
      <c r="A4126" s="2" t="s">
        <v>8221</v>
      </c>
      <c r="B4126" s="2" t="s">
        <v>8221</v>
      </c>
      <c r="C4126" s="2" t="s">
        <v>79</v>
      </c>
      <c r="D4126" s="2" t="s">
        <v>74</v>
      </c>
      <c r="E4126" s="5">
        <v>-27881</v>
      </c>
      <c r="F4126" s="3" t="s">
        <v>485</v>
      </c>
      <c r="G4126" s="3" t="s">
        <v>48</v>
      </c>
      <c r="H4126" s="2" t="s">
        <v>21</v>
      </c>
      <c r="I4126" s="2" t="s">
        <v>8377</v>
      </c>
      <c r="J4126" s="3" t="str">
        <f>HYPERLINK("https://www.boe.es/gazeta/dias/1823/08/30/pdfs/GES-1823-143.pdf#page=3","Abrir facsímil")</f>
        <v>Abrir facsímil</v>
      </c>
      <c r="K4126" s="3" t="s">
        <v>23</v>
      </c>
    </row>
    <row r="4127" spans="1:11" ht="42" customHeight="1">
      <c r="A4127" s="2" t="s">
        <v>8221</v>
      </c>
      <c r="B4127" s="2" t="s">
        <v>8221</v>
      </c>
      <c r="C4127" s="2" t="s">
        <v>84</v>
      </c>
      <c r="D4127" s="2" t="s">
        <v>74</v>
      </c>
      <c r="E4127" s="5">
        <v>-27881</v>
      </c>
      <c r="F4127" s="3" t="s">
        <v>485</v>
      </c>
      <c r="G4127" s="3" t="s">
        <v>20</v>
      </c>
      <c r="H4127" s="2" t="s">
        <v>21</v>
      </c>
      <c r="I4127" s="2" t="s">
        <v>8378</v>
      </c>
      <c r="J4127" s="3" t="str">
        <f>HYPERLINK("https://www.boe.es/gazeta/dias/1823/08/30/pdfs/GES-1823-143.pdf#page=4","Abrir facsímil")</f>
        <v>Abrir facsímil</v>
      </c>
      <c r="K4127" s="3" t="s">
        <v>23</v>
      </c>
    </row>
    <row r="4128" spans="1:11" ht="42" customHeight="1">
      <c r="A4128" s="2" t="s">
        <v>8221</v>
      </c>
      <c r="B4128" s="2" t="s">
        <v>8221</v>
      </c>
      <c r="C4128" s="2" t="s">
        <v>73</v>
      </c>
      <c r="D4128" s="2" t="s">
        <v>74</v>
      </c>
      <c r="E4128" s="5">
        <v>-27881</v>
      </c>
      <c r="F4128" s="3" t="s">
        <v>725</v>
      </c>
      <c r="G4128" s="3" t="s">
        <v>321</v>
      </c>
      <c r="H4128" s="2" t="s">
        <v>21</v>
      </c>
      <c r="I4128" s="2" t="s">
        <v>8379</v>
      </c>
      <c r="J4128" s="3" t="str">
        <f>HYPERLINK("https://www.boe.es/gazeta/dias/1823/08/30/pdfs/GMD-1823-673.pdf#page=2","Abrir facsímil")</f>
        <v>Abrir facsímil</v>
      </c>
      <c r="K4128" s="3" t="s">
        <v>23</v>
      </c>
    </row>
    <row r="4129" spans="1:11" ht="42" customHeight="1">
      <c r="A4129" s="2" t="s">
        <v>8221</v>
      </c>
      <c r="B4129" s="2" t="s">
        <v>8221</v>
      </c>
      <c r="C4129" s="2" t="s">
        <v>73</v>
      </c>
      <c r="D4129" s="2" t="s">
        <v>74</v>
      </c>
      <c r="E4129" s="5">
        <v>-27880</v>
      </c>
      <c r="F4129" s="3" t="s">
        <v>6307</v>
      </c>
      <c r="G4129" s="3" t="s">
        <v>20</v>
      </c>
      <c r="H4129" s="2" t="s">
        <v>21</v>
      </c>
      <c r="I4129" s="2" t="s">
        <v>8380</v>
      </c>
      <c r="J4129" s="3" t="str">
        <f>HYPERLINK("https://www.boe.es/gazeta/dias/1823/08/31/pdfs/GES-1823-144.pdf#page=4","Abrir facsímil")</f>
        <v>Abrir facsímil</v>
      </c>
      <c r="K4129" s="3" t="s">
        <v>23</v>
      </c>
    </row>
    <row r="4130" spans="1:11" ht="42" customHeight="1">
      <c r="A4130" s="2" t="s">
        <v>8221</v>
      </c>
      <c r="B4130" s="2" t="s">
        <v>8221</v>
      </c>
      <c r="C4130" s="2" t="s">
        <v>73</v>
      </c>
      <c r="D4130" s="2" t="s">
        <v>74</v>
      </c>
      <c r="E4130" s="5">
        <v>-27879</v>
      </c>
      <c r="F4130" s="3" t="s">
        <v>638</v>
      </c>
      <c r="G4130" s="3" t="s">
        <v>48</v>
      </c>
      <c r="H4130" s="2" t="s">
        <v>21</v>
      </c>
      <c r="I4130" s="2" t="s">
        <v>8381</v>
      </c>
      <c r="J4130" s="3" t="str">
        <f>HYPERLINK("https://www.boe.es/gazeta/dias/1823/09/01/pdfs/GES-1823-145.pdf#page=3","Abrir facsímil")</f>
        <v>Abrir facsímil</v>
      </c>
      <c r="K4130" s="3" t="s">
        <v>23</v>
      </c>
    </row>
    <row r="4131" spans="1:11" ht="42" customHeight="1">
      <c r="A4131" s="2" t="s">
        <v>8221</v>
      </c>
      <c r="B4131" s="2" t="s">
        <v>8221</v>
      </c>
      <c r="C4131" s="2" t="s">
        <v>17</v>
      </c>
      <c r="D4131" s="2" t="s">
        <v>18</v>
      </c>
      <c r="E4131" s="5">
        <v>-27877</v>
      </c>
      <c r="F4131" s="3" t="s">
        <v>844</v>
      </c>
      <c r="G4131" s="3" t="s">
        <v>20</v>
      </c>
      <c r="H4131" s="2" t="s">
        <v>21</v>
      </c>
      <c r="I4131" s="2" t="s">
        <v>8382</v>
      </c>
      <c r="J4131" s="3" t="str">
        <f>HYPERLINK("https://www.boe.es/gazeta/dias/1823/09/03/pdfs/GES-1823-147.pdf#page=4","Abrir facsímil")</f>
        <v>Abrir facsímil</v>
      </c>
      <c r="K4131" s="3" t="s">
        <v>23</v>
      </c>
    </row>
    <row r="4132" spans="1:11" ht="42" customHeight="1">
      <c r="A4132" s="2" t="s">
        <v>8221</v>
      </c>
      <c r="B4132" s="2" t="s">
        <v>8221</v>
      </c>
      <c r="C4132" s="2" t="s">
        <v>17</v>
      </c>
      <c r="D4132" s="2" t="s">
        <v>18</v>
      </c>
      <c r="E4132" s="5">
        <v>-27876</v>
      </c>
      <c r="F4132" s="3" t="s">
        <v>4848</v>
      </c>
      <c r="G4132" s="3" t="s">
        <v>20</v>
      </c>
      <c r="H4132" s="2" t="s">
        <v>21</v>
      </c>
      <c r="I4132" s="2" t="s">
        <v>8383</v>
      </c>
      <c r="J4132" s="3" t="str">
        <f>HYPERLINK("https://www.boe.es/gazeta/dias/1823/09/04/pdfs/GES-1823-148.pdf#page=4","Abrir facsímil")</f>
        <v>Abrir facsímil</v>
      </c>
      <c r="K4132" s="3" t="s">
        <v>23</v>
      </c>
    </row>
    <row r="4133" spans="1:11" ht="42" customHeight="1">
      <c r="A4133" s="2" t="s">
        <v>8221</v>
      </c>
      <c r="B4133" s="2" t="s">
        <v>8221</v>
      </c>
      <c r="C4133" s="2" t="s">
        <v>79</v>
      </c>
      <c r="D4133" s="2" t="s">
        <v>74</v>
      </c>
      <c r="E4133" s="5">
        <v>-27876</v>
      </c>
      <c r="F4133" s="3" t="s">
        <v>8384</v>
      </c>
      <c r="G4133" s="3" t="s">
        <v>39</v>
      </c>
      <c r="H4133" s="2" t="s">
        <v>21</v>
      </c>
      <c r="I4133" s="2" t="s">
        <v>8385</v>
      </c>
      <c r="J4133" s="3" t="str">
        <f>HYPERLINK("https://www.boe.es/gazeta/dias/1823/09/04/pdfs/GMD-1823-693.pdf#page=1","Abrir facsímil")</f>
        <v>Abrir facsímil</v>
      </c>
      <c r="K4133" s="3" t="s">
        <v>23</v>
      </c>
    </row>
    <row r="4134" spans="1:11" ht="42" customHeight="1">
      <c r="A4134" s="2" t="s">
        <v>8221</v>
      </c>
      <c r="B4134" s="2" t="s">
        <v>8221</v>
      </c>
      <c r="C4134" s="2" t="s">
        <v>73</v>
      </c>
      <c r="D4134" s="2" t="s">
        <v>74</v>
      </c>
      <c r="E4134" s="5">
        <v>-27869</v>
      </c>
      <c r="F4134" s="3" t="s">
        <v>1886</v>
      </c>
      <c r="G4134" s="3" t="s">
        <v>48</v>
      </c>
      <c r="H4134" s="2" t="s">
        <v>21</v>
      </c>
      <c r="I4134" s="2" t="s">
        <v>8386</v>
      </c>
      <c r="J4134" s="3" t="str">
        <f>HYPERLINK("https://www.boe.es/gazeta/dias/1823/09/11/pdfs/GES-1823-155.pdf#page=3","Abrir facsímil")</f>
        <v>Abrir facsímil</v>
      </c>
      <c r="K4134" s="3" t="s">
        <v>23</v>
      </c>
    </row>
    <row r="4135" spans="1:11" ht="42" customHeight="1">
      <c r="A4135" s="2" t="s">
        <v>8221</v>
      </c>
      <c r="B4135" s="2" t="s">
        <v>8221</v>
      </c>
      <c r="C4135" s="2" t="s">
        <v>109</v>
      </c>
      <c r="D4135" s="2" t="s">
        <v>74</v>
      </c>
      <c r="E4135" s="5">
        <v>-27867</v>
      </c>
      <c r="F4135" s="3" t="s">
        <v>569</v>
      </c>
      <c r="G4135" s="3" t="s">
        <v>8387</v>
      </c>
      <c r="H4135" s="2" t="s">
        <v>21</v>
      </c>
      <c r="I4135" s="2" t="s">
        <v>8388</v>
      </c>
      <c r="J4135" s="3" t="str">
        <f>HYPERLINK("https://www.boe.es/gazeta/dias/1823/09/13/pdfs/GES-1823-157.pdf#page=4","Abrir facsímil")</f>
        <v>Abrir facsímil</v>
      </c>
      <c r="K4135" s="3" t="s">
        <v>23</v>
      </c>
    </row>
    <row r="4136" spans="1:11" ht="42" customHeight="1">
      <c r="A4136" s="2" t="s">
        <v>8221</v>
      </c>
      <c r="B4136" s="2" t="s">
        <v>8221</v>
      </c>
      <c r="C4136" s="2" t="s">
        <v>17</v>
      </c>
      <c r="D4136" s="2" t="s">
        <v>18</v>
      </c>
      <c r="E4136" s="5">
        <v>-27866</v>
      </c>
      <c r="F4136" s="3" t="s">
        <v>1262</v>
      </c>
      <c r="G4136" s="3" t="s">
        <v>48</v>
      </c>
      <c r="H4136" s="2" t="s">
        <v>21</v>
      </c>
      <c r="I4136" s="2" t="s">
        <v>8389</v>
      </c>
      <c r="J4136" s="3" t="str">
        <f>HYPERLINK("https://www.boe.es/gazeta/dias/1823/09/14/pdfs/GES-1823-158.pdf#page=3","Abrir facsímil")</f>
        <v>Abrir facsímil</v>
      </c>
      <c r="K4136" s="3" t="s">
        <v>23</v>
      </c>
    </row>
    <row r="4137" spans="1:11" ht="42" customHeight="1">
      <c r="A4137" s="2" t="s">
        <v>8221</v>
      </c>
      <c r="B4137" s="2" t="s">
        <v>8221</v>
      </c>
      <c r="C4137" s="2" t="s">
        <v>109</v>
      </c>
      <c r="D4137" s="2" t="s">
        <v>74</v>
      </c>
      <c r="E4137" s="5">
        <v>-27864</v>
      </c>
      <c r="F4137" s="3" t="s">
        <v>395</v>
      </c>
      <c r="G4137" s="3" t="s">
        <v>27</v>
      </c>
      <c r="H4137" s="2" t="s">
        <v>21</v>
      </c>
      <c r="I4137" s="2" t="s">
        <v>8390</v>
      </c>
      <c r="J4137" s="3" t="str">
        <f>HYPERLINK("https://www.boe.es/gazeta/dias/1823/09/16/pdfs/GMD-1823-783.pdf#page=2","Abrir facsímil")</f>
        <v>Abrir facsímil</v>
      </c>
      <c r="K4137" s="3" t="s">
        <v>23</v>
      </c>
    </row>
    <row r="4138" spans="1:11" ht="42" customHeight="1">
      <c r="A4138" s="2" t="s">
        <v>8221</v>
      </c>
      <c r="B4138" s="2" t="s">
        <v>8221</v>
      </c>
      <c r="C4138" s="2" t="s">
        <v>73</v>
      </c>
      <c r="D4138" s="2" t="s">
        <v>74</v>
      </c>
      <c r="E4138" s="5">
        <v>-27864</v>
      </c>
      <c r="F4138" s="3" t="s">
        <v>395</v>
      </c>
      <c r="G4138" s="3" t="s">
        <v>20</v>
      </c>
      <c r="H4138" s="2" t="s">
        <v>21</v>
      </c>
      <c r="I4138" s="2" t="s">
        <v>8391</v>
      </c>
      <c r="J4138" s="3" t="str">
        <f>HYPERLINK("https://www.boe.es/gazeta/dias/1823/09/16/pdfs/GMD-1823-783.pdf#page=4","Abrir facsímil")</f>
        <v>Abrir facsímil</v>
      </c>
      <c r="K4138" s="3" t="s">
        <v>23</v>
      </c>
    </row>
    <row r="4139" spans="1:11" ht="42" customHeight="1">
      <c r="A4139" s="2" t="s">
        <v>8221</v>
      </c>
      <c r="B4139" s="2" t="s">
        <v>8221</v>
      </c>
      <c r="C4139" s="2" t="s">
        <v>73</v>
      </c>
      <c r="D4139" s="2" t="s">
        <v>74</v>
      </c>
      <c r="E4139" s="5">
        <v>-27862</v>
      </c>
      <c r="F4139" s="3" t="s">
        <v>1530</v>
      </c>
      <c r="G4139" s="3" t="s">
        <v>27</v>
      </c>
      <c r="H4139" s="2" t="s">
        <v>21</v>
      </c>
      <c r="I4139" s="2" t="s">
        <v>8392</v>
      </c>
      <c r="J4139" s="3" t="str">
        <f>HYPERLINK("https://www.boe.es/gazeta/dias/1823/09/18/pdfs/GMD-1823-803.pdf#page=2","Abrir facsímil")</f>
        <v>Abrir facsímil</v>
      </c>
      <c r="K4139" s="3" t="s">
        <v>23</v>
      </c>
    </row>
    <row r="4140" spans="1:11" ht="42" customHeight="1">
      <c r="A4140" s="2" t="s">
        <v>8221</v>
      </c>
      <c r="B4140" s="2" t="s">
        <v>8221</v>
      </c>
      <c r="C4140" s="2" t="s">
        <v>79</v>
      </c>
      <c r="D4140" s="2" t="s">
        <v>74</v>
      </c>
      <c r="E4140" s="5">
        <v>-27860</v>
      </c>
      <c r="F4140" s="3" t="s">
        <v>998</v>
      </c>
      <c r="G4140" s="3" t="s">
        <v>39</v>
      </c>
      <c r="H4140" s="2" t="s">
        <v>21</v>
      </c>
      <c r="I4140" s="2" t="s">
        <v>8393</v>
      </c>
      <c r="J4140" s="3" t="str">
        <f>HYPERLINK("https://www.boe.es/gazeta/dias/1823/09/20/pdfs/GMD-1823-813.pdf#page=1","Abrir facsímil")</f>
        <v>Abrir facsímil</v>
      </c>
      <c r="K4140" s="3" t="s">
        <v>23</v>
      </c>
    </row>
    <row r="4141" spans="1:11" ht="42" customHeight="1">
      <c r="A4141" s="2" t="s">
        <v>8221</v>
      </c>
      <c r="B4141" s="2" t="s">
        <v>8221</v>
      </c>
      <c r="C4141" s="2" t="s">
        <v>79</v>
      </c>
      <c r="D4141" s="2" t="s">
        <v>74</v>
      </c>
      <c r="E4141" s="5">
        <v>-27860</v>
      </c>
      <c r="F4141" s="3" t="s">
        <v>998</v>
      </c>
      <c r="G4141" s="3" t="s">
        <v>27</v>
      </c>
      <c r="H4141" s="2" t="s">
        <v>21</v>
      </c>
      <c r="I4141" s="2" t="s">
        <v>8394</v>
      </c>
      <c r="J4141" s="3" t="str">
        <f>HYPERLINK("https://www.boe.es/gazeta/dias/1823/09/20/pdfs/GMD-1823-813.pdf#page=2","Abrir facsímil")</f>
        <v>Abrir facsímil</v>
      </c>
      <c r="K4141" s="3" t="s">
        <v>23</v>
      </c>
    </row>
    <row r="4142" spans="1:11" ht="42" customHeight="1">
      <c r="A4142" s="2" t="s">
        <v>8221</v>
      </c>
      <c r="B4142" s="2" t="s">
        <v>8221</v>
      </c>
      <c r="C4142" s="2" t="s">
        <v>84</v>
      </c>
      <c r="D4142" s="2" t="s">
        <v>74</v>
      </c>
      <c r="E4142" s="5">
        <v>-27860</v>
      </c>
      <c r="F4142" s="3" t="s">
        <v>998</v>
      </c>
      <c r="G4142" s="3" t="s">
        <v>715</v>
      </c>
      <c r="H4142" s="2" t="s">
        <v>21</v>
      </c>
      <c r="I4142" s="2" t="s">
        <v>8395</v>
      </c>
      <c r="J4142" s="3" t="str">
        <f>HYPERLINK("https://www.boe.es/gazeta/dias/1823/09/20/pdfs/GMD-1823-813.pdf#page=8","Abrir facsímil")</f>
        <v>Abrir facsímil</v>
      </c>
      <c r="K4142" s="3" t="s">
        <v>23</v>
      </c>
    </row>
    <row r="4143" spans="1:11" ht="42" customHeight="1">
      <c r="A4143" s="2" t="s">
        <v>8221</v>
      </c>
      <c r="B4143" s="2" t="s">
        <v>8221</v>
      </c>
      <c r="C4143" s="2" t="s">
        <v>56</v>
      </c>
      <c r="D4143" s="2" t="s">
        <v>57</v>
      </c>
      <c r="E4143" s="5">
        <v>-27857</v>
      </c>
      <c r="F4143" s="3" t="s">
        <v>378</v>
      </c>
      <c r="G4143" s="3" t="s">
        <v>27</v>
      </c>
      <c r="H4143" s="2" t="s">
        <v>21</v>
      </c>
      <c r="I4143" s="2" t="s">
        <v>8396</v>
      </c>
      <c r="J4143" s="3" t="str">
        <f>HYPERLINK("https://www.boe.es/gazeta/dias/1823/09/23/pdfs/GMD-1823-833.pdf#page=2","Abrir facsímil")</f>
        <v>Abrir facsímil</v>
      </c>
      <c r="K4143" s="3" t="s">
        <v>23</v>
      </c>
    </row>
    <row r="4144" spans="1:11" ht="42" customHeight="1">
      <c r="A4144" s="2" t="s">
        <v>8221</v>
      </c>
      <c r="B4144" s="2" t="s">
        <v>8221</v>
      </c>
      <c r="C4144" s="2" t="s">
        <v>109</v>
      </c>
      <c r="D4144" s="2" t="s">
        <v>74</v>
      </c>
      <c r="E4144" s="5">
        <v>-27853</v>
      </c>
      <c r="F4144" s="3" t="s">
        <v>539</v>
      </c>
      <c r="G4144" s="3" t="s">
        <v>20</v>
      </c>
      <c r="H4144" s="2" t="s">
        <v>21</v>
      </c>
      <c r="I4144" s="2" t="s">
        <v>8397</v>
      </c>
      <c r="J4144" s="3" t="str">
        <f>HYPERLINK("https://www.boe.es/gazeta/dias/1823/09/27/pdfs/GMD-1823-863.pdf#page=4","Abrir facsímil")</f>
        <v>Abrir facsímil</v>
      </c>
      <c r="K4144" s="3" t="s">
        <v>23</v>
      </c>
    </row>
    <row r="4145" spans="1:11" ht="42" customHeight="1">
      <c r="A4145" s="2" t="s">
        <v>8221</v>
      </c>
      <c r="B4145" s="2" t="s">
        <v>8221</v>
      </c>
      <c r="C4145" s="2" t="s">
        <v>79</v>
      </c>
      <c r="D4145" s="2" t="s">
        <v>74</v>
      </c>
      <c r="E4145" s="5">
        <v>-27850</v>
      </c>
      <c r="F4145" s="3" t="s">
        <v>910</v>
      </c>
      <c r="G4145" s="3" t="s">
        <v>39</v>
      </c>
      <c r="H4145" s="2" t="s">
        <v>21</v>
      </c>
      <c r="I4145" s="2" t="s">
        <v>8398</v>
      </c>
      <c r="J4145" s="3" t="str">
        <f>HYPERLINK("https://www.boe.es/gazeta/dias/1823/09/30/pdfs/GMD-1823-873.pdf#page=1","Abrir facsímil")</f>
        <v>Abrir facsímil</v>
      </c>
      <c r="K4145" s="3" t="s">
        <v>23</v>
      </c>
    </row>
    <row r="4146" spans="1:11" ht="42" customHeight="1">
      <c r="A4146" s="2" t="s">
        <v>8221</v>
      </c>
      <c r="B4146" s="2" t="s">
        <v>8221</v>
      </c>
      <c r="C4146" s="2" t="s">
        <v>79</v>
      </c>
      <c r="D4146" s="2" t="s">
        <v>74</v>
      </c>
      <c r="E4146" s="5">
        <v>-27846</v>
      </c>
      <c r="F4146" s="3" t="s">
        <v>2535</v>
      </c>
      <c r="G4146" s="3" t="s">
        <v>39</v>
      </c>
      <c r="H4146" s="2" t="s">
        <v>21</v>
      </c>
      <c r="I4146" s="2" t="s">
        <v>8399</v>
      </c>
      <c r="J4146" s="3" t="str">
        <f>HYPERLINK("https://www.boe.es/gazeta/dias/1823/10/04/pdfs/GMD-1823-913.pdf#page=1","Abrir facsímil")</f>
        <v>Abrir facsímil</v>
      </c>
      <c r="K4146" s="3" t="s">
        <v>23</v>
      </c>
    </row>
    <row r="4147" spans="1:11" ht="42" customHeight="1">
      <c r="A4147" s="2" t="s">
        <v>8221</v>
      </c>
      <c r="B4147" s="2" t="s">
        <v>8221</v>
      </c>
      <c r="C4147" s="2" t="s">
        <v>17</v>
      </c>
      <c r="D4147" s="2" t="s">
        <v>18</v>
      </c>
      <c r="E4147" s="5">
        <v>-27846</v>
      </c>
      <c r="F4147" s="3" t="s">
        <v>2535</v>
      </c>
      <c r="G4147" s="3" t="s">
        <v>27</v>
      </c>
      <c r="H4147" s="2" t="s">
        <v>21</v>
      </c>
      <c r="I4147" s="2" t="s">
        <v>8400</v>
      </c>
      <c r="J4147" s="3" t="str">
        <f>HYPERLINK("https://www.boe.es/gazeta/dias/1823/10/04/pdfs/GMD-1823-913.pdf#page=2","Abrir facsímil")</f>
        <v>Abrir facsímil</v>
      </c>
      <c r="K4147" s="3" t="s">
        <v>23</v>
      </c>
    </row>
    <row r="4148" spans="1:11" ht="42" customHeight="1">
      <c r="A4148" s="2" t="s">
        <v>8221</v>
      </c>
      <c r="B4148" s="2" t="s">
        <v>8221</v>
      </c>
      <c r="C4148" s="2" t="s">
        <v>56</v>
      </c>
      <c r="D4148" s="2" t="s">
        <v>57</v>
      </c>
      <c r="E4148" s="5">
        <v>-27843</v>
      </c>
      <c r="F4148" s="3" t="s">
        <v>790</v>
      </c>
      <c r="G4148" s="3" t="s">
        <v>27</v>
      </c>
      <c r="H4148" s="2" t="s">
        <v>21</v>
      </c>
      <c r="I4148" s="2" t="s">
        <v>8401</v>
      </c>
      <c r="J4148" s="3" t="str">
        <f>HYPERLINK("https://www.boe.es/gazeta/dias/1823/10/07/pdfs/GMD-1823-933.pdf#page=2","Abrir facsímil")</f>
        <v>Abrir facsímil</v>
      </c>
      <c r="K4148" s="3" t="s">
        <v>23</v>
      </c>
    </row>
    <row r="4149" spans="1:11" ht="42" customHeight="1">
      <c r="A4149" s="2" t="s">
        <v>8221</v>
      </c>
      <c r="B4149" s="2" t="s">
        <v>8221</v>
      </c>
      <c r="C4149" s="2" t="s">
        <v>17</v>
      </c>
      <c r="D4149" s="2" t="s">
        <v>18</v>
      </c>
      <c r="E4149" s="5">
        <v>-27841</v>
      </c>
      <c r="F4149" s="3" t="s">
        <v>721</v>
      </c>
      <c r="G4149" s="3" t="s">
        <v>27</v>
      </c>
      <c r="H4149" s="2" t="s">
        <v>21</v>
      </c>
      <c r="I4149" s="2" t="s">
        <v>8402</v>
      </c>
      <c r="J4149" s="3" t="str">
        <f>HYPERLINK("https://www.boe.es/gazeta/dias/1823/10/09/pdfs/GMD-1823-953.pdf#page=2","Abrir facsímil")</f>
        <v>Abrir facsímil</v>
      </c>
      <c r="K4149" s="3" t="s">
        <v>23</v>
      </c>
    </row>
    <row r="4150" spans="1:11" ht="42" customHeight="1">
      <c r="A4150" s="2" t="s">
        <v>8221</v>
      </c>
      <c r="B4150" s="2" t="s">
        <v>8221</v>
      </c>
      <c r="C4150" s="2" t="s">
        <v>56</v>
      </c>
      <c r="D4150" s="2" t="s">
        <v>57</v>
      </c>
      <c r="E4150" s="5">
        <v>-27822</v>
      </c>
      <c r="F4150" s="3" t="s">
        <v>992</v>
      </c>
      <c r="G4150" s="3" t="s">
        <v>27</v>
      </c>
      <c r="H4150" s="2" t="s">
        <v>21</v>
      </c>
      <c r="I4150" s="2" t="s">
        <v>8403</v>
      </c>
      <c r="J4150" s="3" t="str">
        <f>HYPERLINK("https://www.boe.es/gazeta/dias/1823/10/28/pdfs/GMD-1823-1033.pdf#page=2","Abrir facsímil")</f>
        <v>Abrir facsímil</v>
      </c>
      <c r="K4150" s="3" t="s">
        <v>23</v>
      </c>
    </row>
    <row r="4151" spans="1:11" ht="42" customHeight="1">
      <c r="A4151" s="2" t="s">
        <v>8221</v>
      </c>
      <c r="B4151" s="2" t="s">
        <v>8221</v>
      </c>
      <c r="C4151" s="2" t="s">
        <v>17</v>
      </c>
      <c r="D4151" s="2" t="s">
        <v>18</v>
      </c>
      <c r="E4151" s="5">
        <v>-27818</v>
      </c>
      <c r="F4151" s="3" t="s">
        <v>1597</v>
      </c>
      <c r="G4151" s="3" t="s">
        <v>27</v>
      </c>
      <c r="H4151" s="2" t="s">
        <v>21</v>
      </c>
      <c r="I4151" s="2" t="s">
        <v>8404</v>
      </c>
      <c r="J4151" s="3" t="str">
        <f>HYPERLINK("https://www.boe.es/gazeta/dias/1823/11/01/pdfs/GMD-1823-1053.pdf#page=2","Abrir facsímil")</f>
        <v>Abrir facsímil</v>
      </c>
      <c r="K4151" s="3" t="s">
        <v>23</v>
      </c>
    </row>
    <row r="4152" spans="1:11" ht="42" customHeight="1">
      <c r="A4152" s="2" t="s">
        <v>8221</v>
      </c>
      <c r="B4152" s="2" t="s">
        <v>8221</v>
      </c>
      <c r="C4152" s="2" t="s">
        <v>17</v>
      </c>
      <c r="D4152" s="2" t="s">
        <v>18</v>
      </c>
      <c r="E4152" s="5">
        <v>-27818</v>
      </c>
      <c r="F4152" s="3" t="s">
        <v>1597</v>
      </c>
      <c r="G4152" s="3" t="s">
        <v>20</v>
      </c>
      <c r="H4152" s="2" t="s">
        <v>21</v>
      </c>
      <c r="I4152" s="2" t="s">
        <v>8405</v>
      </c>
      <c r="J4152" s="3" t="str">
        <f>HYPERLINK("https://www.boe.es/gazeta/dias/1823/11/01/pdfs/GMD-1823-1053.pdf#page=4","Abrir facsímil")</f>
        <v>Abrir facsímil</v>
      </c>
      <c r="K4152" s="3" t="s">
        <v>23</v>
      </c>
    </row>
    <row r="4153" spans="1:11" ht="42" customHeight="1">
      <c r="A4153" s="2" t="s">
        <v>8221</v>
      </c>
      <c r="B4153" s="2" t="s">
        <v>8221</v>
      </c>
      <c r="C4153" s="2" t="s">
        <v>17</v>
      </c>
      <c r="D4153" s="2" t="s">
        <v>18</v>
      </c>
      <c r="E4153" s="5">
        <v>-27813</v>
      </c>
      <c r="F4153" s="3" t="s">
        <v>1600</v>
      </c>
      <c r="G4153" s="3" t="s">
        <v>39</v>
      </c>
      <c r="H4153" s="2" t="s">
        <v>21</v>
      </c>
      <c r="I4153" s="2" t="s">
        <v>8406</v>
      </c>
      <c r="J4153" s="3" t="str">
        <f>HYPERLINK("https://www.boe.es/gazeta/dias/1823/11/06/pdfs/GMD-1823-1073.pdf#page=1","Abrir facsímil")</f>
        <v>Abrir facsímil</v>
      </c>
      <c r="K4153" s="3" t="s">
        <v>23</v>
      </c>
    </row>
    <row r="4154" spans="1:11" ht="42" customHeight="1">
      <c r="A4154" s="2" t="s">
        <v>8221</v>
      </c>
      <c r="B4154" s="2" t="s">
        <v>8221</v>
      </c>
      <c r="C4154" s="2" t="s">
        <v>17</v>
      </c>
      <c r="D4154" s="2" t="s">
        <v>18</v>
      </c>
      <c r="E4154" s="5">
        <v>-27813</v>
      </c>
      <c r="F4154" s="3" t="s">
        <v>1600</v>
      </c>
      <c r="G4154" s="3" t="s">
        <v>48</v>
      </c>
      <c r="H4154" s="2" t="s">
        <v>21</v>
      </c>
      <c r="I4154" s="2" t="s">
        <v>8407</v>
      </c>
      <c r="J4154" s="3" t="str">
        <f>HYPERLINK("https://www.boe.es/gazeta/dias/1823/11/06/pdfs/GMD-1823-1073.pdf#page=3","Abrir facsímil")</f>
        <v>Abrir facsímil</v>
      </c>
      <c r="K4154" s="3" t="s">
        <v>23</v>
      </c>
    </row>
    <row r="4155" spans="1:11" ht="42" customHeight="1">
      <c r="A4155" s="2" t="s">
        <v>8221</v>
      </c>
      <c r="B4155" s="2" t="s">
        <v>8221</v>
      </c>
      <c r="C4155" s="2" t="s">
        <v>84</v>
      </c>
      <c r="D4155" s="2" t="s">
        <v>74</v>
      </c>
      <c r="E4155" s="5">
        <v>-27804</v>
      </c>
      <c r="F4155" s="3" t="s">
        <v>836</v>
      </c>
      <c r="G4155" s="3" t="s">
        <v>39</v>
      </c>
      <c r="H4155" s="2" t="s">
        <v>21</v>
      </c>
      <c r="I4155" s="2" t="s">
        <v>8408</v>
      </c>
      <c r="J4155" s="3" t="str">
        <f>HYPERLINK("https://www.boe.es/gazeta/dias/1823/11/15/pdfs/GMD-1823-1123.pdf#page=1","Abrir facsímil")</f>
        <v>Abrir facsímil</v>
      </c>
      <c r="K4155" s="3" t="s">
        <v>23</v>
      </c>
    </row>
    <row r="4156" spans="1:11" ht="42" customHeight="1">
      <c r="A4156" s="2" t="s">
        <v>8221</v>
      </c>
      <c r="B4156" s="2" t="s">
        <v>8221</v>
      </c>
      <c r="C4156" s="2" t="s">
        <v>79</v>
      </c>
      <c r="D4156" s="2" t="s">
        <v>74</v>
      </c>
      <c r="E4156" s="5">
        <v>-27787</v>
      </c>
      <c r="F4156" s="3" t="s">
        <v>865</v>
      </c>
      <c r="G4156" s="3" t="s">
        <v>27</v>
      </c>
      <c r="H4156" s="2" t="s">
        <v>21</v>
      </c>
      <c r="I4156" s="2" t="s">
        <v>8409</v>
      </c>
      <c r="J4156" s="3" t="str">
        <f>HYPERLINK("https://www.boe.es/gazeta/dias/1823/12/02/pdfs/GMD-1823-1193.pdf#page=2","Abrir facsímil")</f>
        <v>Abrir facsímil</v>
      </c>
      <c r="K4156" s="3" t="s">
        <v>23</v>
      </c>
    </row>
    <row r="4157" spans="1:11" ht="42" customHeight="1">
      <c r="A4157" s="2" t="s">
        <v>8221</v>
      </c>
      <c r="B4157" s="2" t="s">
        <v>8221</v>
      </c>
      <c r="C4157" s="2" t="s">
        <v>17</v>
      </c>
      <c r="D4157" s="2" t="s">
        <v>18</v>
      </c>
      <c r="E4157" s="5">
        <v>-27783</v>
      </c>
      <c r="F4157" s="3" t="s">
        <v>941</v>
      </c>
      <c r="G4157" s="3" t="s">
        <v>20</v>
      </c>
      <c r="H4157" s="2" t="s">
        <v>21</v>
      </c>
      <c r="I4157" s="2" t="s">
        <v>8410</v>
      </c>
      <c r="J4157" s="3" t="str">
        <f>HYPERLINK("https://www.boe.es/gazeta/dias/1823/12/06/pdfs/GMD-1823-1213.pdf#page=4","Abrir facsímil")</f>
        <v>Abrir facsímil</v>
      </c>
      <c r="K4157" s="3" t="s">
        <v>23</v>
      </c>
    </row>
    <row r="4158" spans="1:11" ht="42" customHeight="1">
      <c r="A4158" s="2" t="s">
        <v>8411</v>
      </c>
      <c r="B4158" s="2" t="s">
        <v>8412</v>
      </c>
      <c r="C4158" s="2" t="s">
        <v>84</v>
      </c>
      <c r="D4158" s="2" t="s">
        <v>74</v>
      </c>
      <c r="E4158" s="5">
        <v>-27920</v>
      </c>
      <c r="F4158" s="3" t="s">
        <v>1334</v>
      </c>
      <c r="G4158" s="3" t="s">
        <v>276</v>
      </c>
      <c r="H4158" s="2" t="s">
        <v>21</v>
      </c>
      <c r="I4158" s="2" t="s">
        <v>8413</v>
      </c>
      <c r="J4158" s="3" t="str">
        <f>HYPERLINK("https://www.boe.es/gazeta/dias/1823/07/22/pdfs/GMD-1823-443.pdf#page=7","Abrir facsímil")</f>
        <v>Abrir facsímil</v>
      </c>
      <c r="K4158" s="3" t="s">
        <v>23</v>
      </c>
    </row>
    <row r="4159" spans="1:11" ht="42" customHeight="1">
      <c r="A4159" s="2" t="s">
        <v>8414</v>
      </c>
      <c r="B4159" s="2" t="s">
        <v>8415</v>
      </c>
      <c r="C4159" s="2" t="s">
        <v>17</v>
      </c>
      <c r="D4159" s="2" t="s">
        <v>18</v>
      </c>
      <c r="E4159" s="5">
        <v>-27932</v>
      </c>
      <c r="F4159" s="3" t="s">
        <v>707</v>
      </c>
      <c r="G4159" s="3" t="s">
        <v>27</v>
      </c>
      <c r="H4159" s="2" t="s">
        <v>28</v>
      </c>
      <c r="I4159" s="2" t="s">
        <v>8416</v>
      </c>
      <c r="J4159" s="3" t="str">
        <f>HYPERLINK("https://www.boe.es/gazeta/dias/1823/07/10/pdfs/GES-1823-90.pdf#page=2","Abrir facsímil")</f>
        <v>Abrir facsímil</v>
      </c>
      <c r="K4159" s="3" t="s">
        <v>30</v>
      </c>
    </row>
    <row r="4160" spans="1:11" ht="42" customHeight="1">
      <c r="A4160" s="2" t="s">
        <v>8417</v>
      </c>
      <c r="B4160" s="2" t="s">
        <v>8417</v>
      </c>
      <c r="C4160" s="2" t="s">
        <v>56</v>
      </c>
      <c r="D4160" s="2" t="s">
        <v>57</v>
      </c>
      <c r="E4160" s="5">
        <v>-28048</v>
      </c>
      <c r="F4160" s="3" t="s">
        <v>399</v>
      </c>
      <c r="G4160" s="3" t="s">
        <v>34</v>
      </c>
      <c r="H4160" s="2" t="s">
        <v>21</v>
      </c>
      <c r="I4160" s="2" t="s">
        <v>8418</v>
      </c>
      <c r="J4160" s="3" t="str">
        <f>HYPERLINK("https://www.boe.es/gazeta/dias/1823/03/16/pdfs/GMD-1823-79.pdf#page=5","Abrir facsímil")</f>
        <v>Abrir facsímil</v>
      </c>
      <c r="K4160" s="3" t="s">
        <v>23</v>
      </c>
    </row>
    <row r="4161" spans="1:11" ht="42" customHeight="1">
      <c r="A4161" s="2" t="s">
        <v>8419</v>
      </c>
      <c r="B4161" s="2" t="s">
        <v>8419</v>
      </c>
      <c r="C4161" s="2" t="s">
        <v>56</v>
      </c>
      <c r="D4161" s="2" t="s">
        <v>117</v>
      </c>
      <c r="E4161" s="5">
        <v>-27970</v>
      </c>
      <c r="F4161" s="3" t="s">
        <v>1699</v>
      </c>
      <c r="G4161" s="3" t="s">
        <v>39</v>
      </c>
      <c r="H4161" s="2" t="s">
        <v>21</v>
      </c>
      <c r="I4161" s="2" t="s">
        <v>8420</v>
      </c>
      <c r="J4161" s="3" t="str">
        <f>HYPERLINK("https://www.boe.es/gazeta/dias/1823/06/02/pdfs/GMD-1823-43E.pdf#page=1","Abrir facsímil")</f>
        <v>Abrir facsímil</v>
      </c>
      <c r="K4161" s="3" t="s">
        <v>23</v>
      </c>
    </row>
    <row r="4162" spans="1:11" ht="42" customHeight="1">
      <c r="A4162" s="2" t="s">
        <v>8421</v>
      </c>
      <c r="B4162" s="2" t="s">
        <v>8421</v>
      </c>
      <c r="C4162" s="2" t="s">
        <v>109</v>
      </c>
      <c r="D4162" s="2" t="s">
        <v>74</v>
      </c>
      <c r="E4162" s="5">
        <v>-27941</v>
      </c>
      <c r="F4162" s="3" t="s">
        <v>1551</v>
      </c>
      <c r="G4162" s="3" t="s">
        <v>27</v>
      </c>
      <c r="H4162" s="2" t="s">
        <v>21</v>
      </c>
      <c r="I4162" s="2" t="s">
        <v>8422</v>
      </c>
      <c r="J4162" s="3" t="str">
        <f>HYPERLINK("https://www.boe.es/gazeta/dias/1823/07/01/pdfs/GMD-1823-323.pdf#page=2","Abrir facsímil")</f>
        <v>Abrir facsímil</v>
      </c>
      <c r="K4162" s="3" t="s">
        <v>23</v>
      </c>
    </row>
    <row r="4163" spans="1:11" ht="42" customHeight="1">
      <c r="A4163" s="2" t="s">
        <v>8423</v>
      </c>
      <c r="B4163" s="2" t="s">
        <v>8423</v>
      </c>
      <c r="C4163" s="2" t="s">
        <v>109</v>
      </c>
      <c r="D4163" s="2" t="s">
        <v>74</v>
      </c>
      <c r="E4163" s="5">
        <v>-28004</v>
      </c>
      <c r="F4163" s="3" t="s">
        <v>313</v>
      </c>
      <c r="G4163" s="3" t="s">
        <v>48</v>
      </c>
      <c r="H4163" s="2" t="s">
        <v>21</v>
      </c>
      <c r="I4163" s="2" t="s">
        <v>8424</v>
      </c>
      <c r="J4163" s="3" t="str">
        <f>HYPERLINK("https://www.boe.es/gazeta/dias/1823/04/29/pdfs/GMD-1823-72.pdf#page=3","Abrir facsímil")</f>
        <v>Abrir facsímil</v>
      </c>
      <c r="K4163" s="3" t="s">
        <v>23</v>
      </c>
    </row>
    <row r="4164" spans="1:11" ht="42" customHeight="1">
      <c r="A4164" s="2" t="s">
        <v>8425</v>
      </c>
      <c r="B4164" s="2" t="s">
        <v>8426</v>
      </c>
      <c r="C4164" s="2" t="s">
        <v>17</v>
      </c>
      <c r="D4164" s="2" t="s">
        <v>18</v>
      </c>
      <c r="E4164" s="5">
        <v>-27910</v>
      </c>
      <c r="F4164" s="3" t="s">
        <v>38</v>
      </c>
      <c r="G4164" s="3" t="s">
        <v>39</v>
      </c>
      <c r="H4164" s="2" t="s">
        <v>21</v>
      </c>
      <c r="I4164" s="2" t="s">
        <v>8427</v>
      </c>
      <c r="J4164" s="3" t="str">
        <f>HYPERLINK("https://www.boe.es/gazeta/dias/1823/08/01/pdfs/GES-1823-113.pdf#page=1","Abrir facsímil")</f>
        <v>Abrir facsímil</v>
      </c>
      <c r="K4164" s="3" t="s">
        <v>23</v>
      </c>
    </row>
    <row r="4165" spans="1:11" ht="42" customHeight="1">
      <c r="A4165" s="2" t="s">
        <v>8428</v>
      </c>
      <c r="B4165" s="2" t="s">
        <v>8429</v>
      </c>
      <c r="C4165" s="2" t="s">
        <v>17</v>
      </c>
      <c r="D4165" s="2" t="s">
        <v>18</v>
      </c>
      <c r="E4165" s="5">
        <v>-27875</v>
      </c>
      <c r="F4165" s="3" t="s">
        <v>1858</v>
      </c>
      <c r="G4165" s="3" t="s">
        <v>4933</v>
      </c>
      <c r="H4165" s="2" t="s">
        <v>28</v>
      </c>
      <c r="I4165" s="2" t="s">
        <v>8430</v>
      </c>
      <c r="J4165" s="3" t="str">
        <f>HYPERLINK("https://www.boe.es/gazeta/dias/1823/09/05/pdfs/GES-1823-149.pdf#page=3","Abrir facsímil")</f>
        <v>Abrir facsímil</v>
      </c>
      <c r="K4165" s="3" t="s">
        <v>30</v>
      </c>
    </row>
    <row r="4166" spans="1:11" ht="42" customHeight="1">
      <c r="A4166" s="2" t="s">
        <v>8431</v>
      </c>
      <c r="B4166" s="2" t="s">
        <v>8432</v>
      </c>
      <c r="C4166" s="2" t="s">
        <v>56</v>
      </c>
      <c r="D4166" s="2" t="s">
        <v>57</v>
      </c>
      <c r="E4166" s="5">
        <v>-27883</v>
      </c>
      <c r="F4166" s="3" t="s">
        <v>2318</v>
      </c>
      <c r="G4166" s="3" t="s">
        <v>39</v>
      </c>
      <c r="H4166" s="2" t="s">
        <v>21</v>
      </c>
      <c r="I4166" s="2" t="s">
        <v>8433</v>
      </c>
      <c r="J4166" s="3" t="str">
        <f>HYPERLINK("https://www.boe.es/gazeta/dias/1823/08/28/pdfs/GMD-1823-663.pdf#page=1","Abrir facsímil")</f>
        <v>Abrir facsímil</v>
      </c>
      <c r="K4166" s="3" t="s">
        <v>23</v>
      </c>
    </row>
    <row r="4167" spans="1:11" ht="42" customHeight="1">
      <c r="A4167" s="2" t="s">
        <v>8434</v>
      </c>
      <c r="B4167" s="2" t="s">
        <v>8434</v>
      </c>
      <c r="C4167" s="2" t="s">
        <v>17</v>
      </c>
      <c r="D4167" s="2" t="s">
        <v>18</v>
      </c>
      <c r="E4167" s="5">
        <v>-28052</v>
      </c>
      <c r="F4167" s="3" t="s">
        <v>1025</v>
      </c>
      <c r="G4167" s="3" t="s">
        <v>27</v>
      </c>
      <c r="H4167" s="2" t="s">
        <v>21</v>
      </c>
      <c r="I4167" s="2" t="s">
        <v>8435</v>
      </c>
      <c r="J4167" s="3" t="str">
        <f>HYPERLINK("https://www.boe.es/gazeta/dias/1823/03/12/pdfs/GMD-1823-75.pdf#page=2","Abrir facsímil")</f>
        <v>Abrir facsímil</v>
      </c>
      <c r="K4167" s="3" t="s">
        <v>23</v>
      </c>
    </row>
    <row r="4168" spans="1:11" ht="42" customHeight="1">
      <c r="A4168" s="2" t="s">
        <v>8434</v>
      </c>
      <c r="B4168" s="2" t="s">
        <v>8434</v>
      </c>
      <c r="C4168" s="2" t="s">
        <v>56</v>
      </c>
      <c r="D4168" s="2" t="s">
        <v>57</v>
      </c>
      <c r="E4168" s="5">
        <v>-28001</v>
      </c>
      <c r="F4168" s="3" t="s">
        <v>768</v>
      </c>
      <c r="G4168" s="3" t="s">
        <v>27</v>
      </c>
      <c r="H4168" s="2" t="s">
        <v>21</v>
      </c>
      <c r="I4168" s="2" t="s">
        <v>8436</v>
      </c>
      <c r="J4168" s="3" t="str">
        <f>HYPERLINK("https://www.boe.es/gazeta/dias/1823/05/02/pdfs/GES-1823-22.pdf#page=2","Abrir facsímil")</f>
        <v>Abrir facsímil</v>
      </c>
      <c r="K4168" s="3" t="s">
        <v>23</v>
      </c>
    </row>
    <row r="4169" spans="1:11" ht="42" customHeight="1">
      <c r="A4169" s="2" t="s">
        <v>8437</v>
      </c>
      <c r="B4169" s="2" t="s">
        <v>8437</v>
      </c>
      <c r="C4169" s="2" t="s">
        <v>17</v>
      </c>
      <c r="D4169" s="2" t="s">
        <v>18</v>
      </c>
      <c r="E4169" s="5">
        <v>-28114</v>
      </c>
      <c r="F4169" s="3" t="s">
        <v>153</v>
      </c>
      <c r="G4169" s="3" t="s">
        <v>27</v>
      </c>
      <c r="H4169" s="2" t="s">
        <v>21</v>
      </c>
      <c r="I4169" s="2" t="s">
        <v>8438</v>
      </c>
      <c r="J4169" s="3" t="str">
        <f>HYPERLINK("https://www.boe.es/gazeta/dias/1823/01/09/pdfs/GMD-1823-9.pdf#page=2","Abrir facsímil")</f>
        <v>Abrir facsímil</v>
      </c>
      <c r="K4169" s="3" t="s">
        <v>23</v>
      </c>
    </row>
    <row r="4170" spans="1:11" ht="42" customHeight="1">
      <c r="A4170" s="2" t="s">
        <v>8437</v>
      </c>
      <c r="B4170" s="2" t="s">
        <v>8437</v>
      </c>
      <c r="C4170" s="2" t="s">
        <v>17</v>
      </c>
      <c r="D4170" s="2" t="s">
        <v>18</v>
      </c>
      <c r="E4170" s="5">
        <v>-28111</v>
      </c>
      <c r="F4170" s="3" t="s">
        <v>275</v>
      </c>
      <c r="G4170" s="3" t="s">
        <v>48</v>
      </c>
      <c r="H4170" s="2" t="s">
        <v>21</v>
      </c>
      <c r="I4170" s="2" t="s">
        <v>8439</v>
      </c>
      <c r="J4170" s="3" t="str">
        <f>HYPERLINK("https://www.boe.es/gazeta/dias/1823/01/12/pdfs/GMD-1823-12.pdf#page=3","Abrir facsímil")</f>
        <v>Abrir facsímil</v>
      </c>
      <c r="K4170" s="3" t="s">
        <v>23</v>
      </c>
    </row>
    <row r="4171" spans="1:11" ht="42" customHeight="1">
      <c r="A4171" s="2" t="s">
        <v>8437</v>
      </c>
      <c r="B4171" s="2" t="s">
        <v>8437</v>
      </c>
      <c r="C4171" s="2" t="s">
        <v>17</v>
      </c>
      <c r="D4171" s="2" t="s">
        <v>18</v>
      </c>
      <c r="E4171" s="5">
        <v>-28108</v>
      </c>
      <c r="F4171" s="3" t="s">
        <v>406</v>
      </c>
      <c r="G4171" s="3" t="s">
        <v>27</v>
      </c>
      <c r="H4171" s="2" t="s">
        <v>21</v>
      </c>
      <c r="I4171" s="2" t="s">
        <v>8440</v>
      </c>
      <c r="J4171" s="3" t="str">
        <f>HYPERLINK("https://www.boe.es/gazeta/dias/1823/01/15/pdfs/GMD-1823-15.pdf#page=2","Abrir facsímil")</f>
        <v>Abrir facsímil</v>
      </c>
      <c r="K4171" s="3" t="s">
        <v>23</v>
      </c>
    </row>
    <row r="4172" spans="1:11" ht="42" customHeight="1">
      <c r="A4172" s="2" t="s">
        <v>8437</v>
      </c>
      <c r="B4172" s="2" t="s">
        <v>8437</v>
      </c>
      <c r="C4172" s="2" t="s">
        <v>56</v>
      </c>
      <c r="D4172" s="2" t="s">
        <v>57</v>
      </c>
      <c r="E4172" s="5">
        <v>-28106</v>
      </c>
      <c r="F4172" s="3" t="s">
        <v>280</v>
      </c>
      <c r="G4172" s="3" t="s">
        <v>281</v>
      </c>
      <c r="H4172" s="2" t="s">
        <v>21</v>
      </c>
      <c r="I4172" s="2" t="s">
        <v>8441</v>
      </c>
      <c r="J4172" s="3" t="str">
        <f>HYPERLINK("https://www.boe.es/gazeta/dias/1823/01/17/pdfs/GMD-1823-17.pdf#page=2","Abrir facsímil")</f>
        <v>Abrir facsímil</v>
      </c>
      <c r="K4172" s="3" t="s">
        <v>23</v>
      </c>
    </row>
    <row r="4173" spans="1:11" ht="42" customHeight="1">
      <c r="A4173" s="2" t="s">
        <v>8437</v>
      </c>
      <c r="B4173" s="2" t="s">
        <v>8437</v>
      </c>
      <c r="C4173" s="2" t="s">
        <v>56</v>
      </c>
      <c r="D4173" s="2" t="s">
        <v>57</v>
      </c>
      <c r="E4173" s="5">
        <v>-28104</v>
      </c>
      <c r="F4173" s="3" t="s">
        <v>114</v>
      </c>
      <c r="G4173" s="3" t="s">
        <v>27</v>
      </c>
      <c r="H4173" s="2" t="s">
        <v>21</v>
      </c>
      <c r="I4173" s="2" t="s">
        <v>8442</v>
      </c>
      <c r="J4173" s="3" t="str">
        <f>HYPERLINK("https://www.boe.es/gazeta/dias/1823/01/19/pdfs/GMD-1823-19.pdf#page=2","Abrir facsímil")</f>
        <v>Abrir facsímil</v>
      </c>
      <c r="K4173" s="3" t="s">
        <v>23</v>
      </c>
    </row>
    <row r="4174" spans="1:11" ht="42" customHeight="1">
      <c r="A4174" s="2" t="s">
        <v>8443</v>
      </c>
      <c r="B4174" s="2" t="s">
        <v>8443</v>
      </c>
      <c r="C4174" s="2" t="s">
        <v>73</v>
      </c>
      <c r="D4174" s="2" t="s">
        <v>74</v>
      </c>
      <c r="E4174" s="5">
        <v>-28103</v>
      </c>
      <c r="F4174" s="3" t="s">
        <v>285</v>
      </c>
      <c r="G4174" s="3" t="s">
        <v>48</v>
      </c>
      <c r="H4174" s="2" t="s">
        <v>21</v>
      </c>
      <c r="I4174" s="2" t="s">
        <v>8444</v>
      </c>
      <c r="J4174" s="3" t="str">
        <f>HYPERLINK("https://www.boe.es/gazeta/dias/1823/01/20/pdfs/GMD-1823-20.pdf#page=3","Abrir facsímil")</f>
        <v>Abrir facsímil</v>
      </c>
      <c r="K4174" s="3" t="s">
        <v>23</v>
      </c>
    </row>
    <row r="4175" spans="1:11" ht="42" customHeight="1">
      <c r="A4175" s="2" t="s">
        <v>8437</v>
      </c>
      <c r="B4175" s="2" t="s">
        <v>8437</v>
      </c>
      <c r="C4175" s="2" t="s">
        <v>17</v>
      </c>
      <c r="D4175" s="2" t="s">
        <v>18</v>
      </c>
      <c r="E4175" s="5">
        <v>-28102</v>
      </c>
      <c r="F4175" s="3" t="s">
        <v>287</v>
      </c>
      <c r="G4175" s="3" t="s">
        <v>48</v>
      </c>
      <c r="H4175" s="2" t="s">
        <v>21</v>
      </c>
      <c r="I4175" s="2" t="s">
        <v>8445</v>
      </c>
      <c r="J4175" s="3" t="str">
        <f>HYPERLINK("https://www.boe.es/gazeta/dias/1823/01/21/pdfs/GMD-1823-22.pdf#page=3","Abrir facsímil")</f>
        <v>Abrir facsímil</v>
      </c>
      <c r="K4175" s="3" t="s">
        <v>23</v>
      </c>
    </row>
    <row r="4176" spans="1:11" ht="42" customHeight="1">
      <c r="A4176" s="2" t="s">
        <v>8437</v>
      </c>
      <c r="B4176" s="2" t="s">
        <v>8437</v>
      </c>
      <c r="C4176" s="2" t="s">
        <v>17</v>
      </c>
      <c r="D4176" s="2" t="s">
        <v>18</v>
      </c>
      <c r="E4176" s="5">
        <v>-28101</v>
      </c>
      <c r="F4176" s="3" t="s">
        <v>1041</v>
      </c>
      <c r="G4176" s="3" t="s">
        <v>27</v>
      </c>
      <c r="H4176" s="2" t="s">
        <v>21</v>
      </c>
      <c r="I4176" s="2" t="s">
        <v>8446</v>
      </c>
      <c r="J4176" s="3" t="str">
        <f>HYPERLINK("https://www.boe.es/gazeta/dias/1823/01/22/pdfs/GMD-1823-23.pdf#page=2","Abrir facsímil")</f>
        <v>Abrir facsímil</v>
      </c>
      <c r="K4176" s="3" t="s">
        <v>23</v>
      </c>
    </row>
    <row r="4177" spans="1:11" ht="42" customHeight="1">
      <c r="A4177" s="2" t="s">
        <v>8437</v>
      </c>
      <c r="B4177" s="2" t="s">
        <v>8437</v>
      </c>
      <c r="C4177" s="2" t="s">
        <v>17</v>
      </c>
      <c r="D4177" s="2" t="s">
        <v>18</v>
      </c>
      <c r="E4177" s="5">
        <v>-28085</v>
      </c>
      <c r="F4177" s="3" t="s">
        <v>458</v>
      </c>
      <c r="G4177" s="3" t="s">
        <v>27</v>
      </c>
      <c r="H4177" s="2" t="s">
        <v>21</v>
      </c>
      <c r="I4177" s="2" t="s">
        <v>8447</v>
      </c>
      <c r="J4177" s="3" t="str">
        <f>HYPERLINK("https://www.boe.es/gazeta/dias/1823/02/07/pdfs/GMD-1823-40.pdf#page=2","Abrir facsímil")</f>
        <v>Abrir facsímil</v>
      </c>
      <c r="K4177" s="3" t="s">
        <v>23</v>
      </c>
    </row>
    <row r="4178" spans="1:11" ht="42" customHeight="1">
      <c r="A4178" s="2" t="s">
        <v>8437</v>
      </c>
      <c r="B4178" s="2" t="s">
        <v>8437</v>
      </c>
      <c r="C4178" s="2" t="s">
        <v>109</v>
      </c>
      <c r="D4178" s="2" t="s">
        <v>74</v>
      </c>
      <c r="E4178" s="5">
        <v>-28077</v>
      </c>
      <c r="F4178" s="3" t="s">
        <v>536</v>
      </c>
      <c r="G4178" s="3" t="s">
        <v>39</v>
      </c>
      <c r="H4178" s="2" t="s">
        <v>21</v>
      </c>
      <c r="I4178" s="2" t="s">
        <v>8448</v>
      </c>
      <c r="J4178" s="3" t="str">
        <f>HYPERLINK("https://www.boe.es/gazeta/dias/1823/02/15/pdfs/GMD-1823-49.pdf#page=1","Abrir facsímil")</f>
        <v>Abrir facsímil</v>
      </c>
      <c r="K4178" s="3" t="s">
        <v>23</v>
      </c>
    </row>
    <row r="4179" spans="1:11" ht="42" customHeight="1">
      <c r="A4179" s="2" t="s">
        <v>8437</v>
      </c>
      <c r="B4179" s="2" t="s">
        <v>8437</v>
      </c>
      <c r="C4179" s="2" t="s">
        <v>56</v>
      </c>
      <c r="D4179" s="2" t="s">
        <v>57</v>
      </c>
      <c r="E4179" s="5">
        <v>-28073</v>
      </c>
      <c r="F4179" s="3" t="s">
        <v>204</v>
      </c>
      <c r="G4179" s="3" t="s">
        <v>27</v>
      </c>
      <c r="H4179" s="2" t="s">
        <v>21</v>
      </c>
      <c r="I4179" s="2" t="s">
        <v>8449</v>
      </c>
      <c r="J4179" s="3" t="str">
        <f>HYPERLINK("https://www.boe.es/gazeta/dias/1823/02/19/pdfs/GMD-1823-53.pdf#page=2","Abrir facsímil")</f>
        <v>Abrir facsímil</v>
      </c>
      <c r="K4179" s="3" t="s">
        <v>23</v>
      </c>
    </row>
    <row r="4180" spans="1:11" ht="42" customHeight="1">
      <c r="A4180" s="2" t="s">
        <v>8437</v>
      </c>
      <c r="B4180" s="2" t="s">
        <v>8437</v>
      </c>
      <c r="C4180" s="2" t="s">
        <v>56</v>
      </c>
      <c r="D4180" s="2" t="s">
        <v>57</v>
      </c>
      <c r="E4180" s="5">
        <v>-28061</v>
      </c>
      <c r="F4180" s="3" t="s">
        <v>704</v>
      </c>
      <c r="G4180" s="3" t="s">
        <v>27</v>
      </c>
      <c r="H4180" s="2" t="s">
        <v>21</v>
      </c>
      <c r="I4180" s="2" t="s">
        <v>8450</v>
      </c>
      <c r="J4180" s="3" t="str">
        <f>HYPERLINK("https://www.boe.es/gazeta/dias/1823/03/03/pdfs/GMD-1823-66.pdf#page=2","Abrir facsímil")</f>
        <v>Abrir facsímil</v>
      </c>
      <c r="K4180" s="3" t="s">
        <v>23</v>
      </c>
    </row>
    <row r="4181" spans="1:11" ht="42" customHeight="1">
      <c r="A4181" s="2" t="s">
        <v>8437</v>
      </c>
      <c r="B4181" s="2" t="s">
        <v>8437</v>
      </c>
      <c r="C4181" s="2" t="s">
        <v>17</v>
      </c>
      <c r="D4181" s="2" t="s">
        <v>18</v>
      </c>
      <c r="E4181" s="5">
        <v>-28061</v>
      </c>
      <c r="F4181" s="3" t="s">
        <v>704</v>
      </c>
      <c r="G4181" s="3" t="s">
        <v>48</v>
      </c>
      <c r="H4181" s="2" t="s">
        <v>21</v>
      </c>
      <c r="I4181" s="2" t="s">
        <v>8451</v>
      </c>
      <c r="J4181" s="3" t="str">
        <f>HYPERLINK("https://www.boe.es/gazeta/dias/1823/03/03/pdfs/GMD-1823-66.pdf#page=3","Abrir facsímil")</f>
        <v>Abrir facsímil</v>
      </c>
      <c r="K4181" s="3" t="s">
        <v>23</v>
      </c>
    </row>
    <row r="4182" spans="1:11" ht="42" customHeight="1">
      <c r="A4182" s="2" t="s">
        <v>8437</v>
      </c>
      <c r="B4182" s="2" t="s">
        <v>8437</v>
      </c>
      <c r="C4182" s="2" t="s">
        <v>17</v>
      </c>
      <c r="D4182" s="2" t="s">
        <v>18</v>
      </c>
      <c r="E4182" s="5">
        <v>-28059</v>
      </c>
      <c r="F4182" s="3" t="s">
        <v>149</v>
      </c>
      <c r="G4182" s="3" t="s">
        <v>20</v>
      </c>
      <c r="H4182" s="2" t="s">
        <v>21</v>
      </c>
      <c r="I4182" s="2" t="s">
        <v>8452</v>
      </c>
      <c r="J4182" s="3" t="str">
        <f>HYPERLINK("https://www.boe.es/gazeta/dias/1823/03/05/pdfs/GMD-1823-68.pdf#page=4","Abrir facsímil")</f>
        <v>Abrir facsímil</v>
      </c>
      <c r="K4182" s="3" t="s">
        <v>23</v>
      </c>
    </row>
    <row r="4183" spans="1:11" ht="42" customHeight="1">
      <c r="A4183" s="2" t="s">
        <v>8437</v>
      </c>
      <c r="B4183" s="2" t="s">
        <v>8437</v>
      </c>
      <c r="C4183" s="2" t="s">
        <v>79</v>
      </c>
      <c r="D4183" s="2" t="s">
        <v>74</v>
      </c>
      <c r="E4183" s="5">
        <v>-28051</v>
      </c>
      <c r="F4183" s="3" t="s">
        <v>305</v>
      </c>
      <c r="G4183" s="3" t="s">
        <v>48</v>
      </c>
      <c r="H4183" s="2" t="s">
        <v>21</v>
      </c>
      <c r="I4183" s="2" t="s">
        <v>8453</v>
      </c>
      <c r="J4183" s="3" t="str">
        <f>HYPERLINK("https://www.boe.es/gazeta/dias/1823/03/13/pdfs/GMD-1823-76.pdf#page=3","Abrir facsímil")</f>
        <v>Abrir facsímil</v>
      </c>
      <c r="K4183" s="3" t="s">
        <v>23</v>
      </c>
    </row>
    <row r="4184" spans="1:11" ht="42" customHeight="1">
      <c r="A4184" s="2" t="s">
        <v>8437</v>
      </c>
      <c r="B4184" s="2" t="s">
        <v>8437</v>
      </c>
      <c r="C4184" s="2" t="s">
        <v>79</v>
      </c>
      <c r="D4184" s="2" t="s">
        <v>74</v>
      </c>
      <c r="E4184" s="5">
        <v>-28050</v>
      </c>
      <c r="F4184" s="3" t="s">
        <v>473</v>
      </c>
      <c r="G4184" s="3" t="s">
        <v>20</v>
      </c>
      <c r="H4184" s="2" t="s">
        <v>21</v>
      </c>
      <c r="I4184" s="2" t="s">
        <v>8454</v>
      </c>
      <c r="J4184" s="3" t="str">
        <f>HYPERLINK("https://www.boe.es/gazeta/dias/1823/03/14/pdfs/GMD-1823-77.pdf#page=4","Abrir facsímil")</f>
        <v>Abrir facsímil</v>
      </c>
      <c r="K4184" s="3" t="s">
        <v>23</v>
      </c>
    </row>
    <row r="4185" spans="1:11" ht="42" customHeight="1">
      <c r="A4185" s="2" t="s">
        <v>8437</v>
      </c>
      <c r="B4185" s="2" t="s">
        <v>8437</v>
      </c>
      <c r="C4185" s="2" t="s">
        <v>17</v>
      </c>
      <c r="D4185" s="2" t="s">
        <v>18</v>
      </c>
      <c r="E4185" s="5">
        <v>-28002</v>
      </c>
      <c r="F4185" s="3" t="s">
        <v>315</v>
      </c>
      <c r="G4185" s="3" t="s">
        <v>48</v>
      </c>
      <c r="H4185" s="2" t="s">
        <v>21</v>
      </c>
      <c r="I4185" s="2" t="s">
        <v>8455</v>
      </c>
      <c r="J4185" s="3" t="str">
        <f>HYPERLINK("https://www.boe.es/gazeta/dias/1823/05/01/pdfs/GES-1823-21.pdf#page=3","Abrir facsímil")</f>
        <v>Abrir facsímil</v>
      </c>
      <c r="K4185" s="3" t="s">
        <v>23</v>
      </c>
    </row>
    <row r="4186" spans="1:11" ht="42" customHeight="1">
      <c r="A4186" s="2" t="s">
        <v>8437</v>
      </c>
      <c r="B4186" s="2" t="s">
        <v>8437</v>
      </c>
      <c r="C4186" s="2" t="s">
        <v>17</v>
      </c>
      <c r="D4186" s="2" t="s">
        <v>18</v>
      </c>
      <c r="E4186" s="5">
        <v>-27995</v>
      </c>
      <c r="F4186" s="3" t="s">
        <v>326</v>
      </c>
      <c r="G4186" s="3" t="s">
        <v>27</v>
      </c>
      <c r="H4186" s="2" t="s">
        <v>21</v>
      </c>
      <c r="I4186" s="2" t="s">
        <v>8456</v>
      </c>
      <c r="J4186" s="3" t="str">
        <f>HYPERLINK("https://www.boe.es/gazeta/dias/1823/05/08/pdfs/GMD-1823-112.pdf#page=2","Abrir facsímil")</f>
        <v>Abrir facsímil</v>
      </c>
      <c r="K4186" s="3" t="s">
        <v>23</v>
      </c>
    </row>
    <row r="4187" spans="1:11" ht="42" customHeight="1">
      <c r="A4187" s="2" t="s">
        <v>8437</v>
      </c>
      <c r="B4187" s="2" t="s">
        <v>8437</v>
      </c>
      <c r="C4187" s="2" t="s">
        <v>17</v>
      </c>
      <c r="D4187" s="2" t="s">
        <v>18</v>
      </c>
      <c r="E4187" s="5">
        <v>-27990</v>
      </c>
      <c r="F4187" s="3" t="s">
        <v>1132</v>
      </c>
      <c r="G4187" s="3" t="s">
        <v>20</v>
      </c>
      <c r="H4187" s="2" t="s">
        <v>21</v>
      </c>
      <c r="I4187" s="2" t="s">
        <v>8457</v>
      </c>
      <c r="J4187" s="3" t="str">
        <f>HYPERLINK("https://www.boe.es/gazeta/dias/1823/05/13/pdfs/GES-1823-33.pdf#page=4","Abrir facsímil")</f>
        <v>Abrir facsímil</v>
      </c>
      <c r="K4187" s="3" t="s">
        <v>23</v>
      </c>
    </row>
    <row r="4188" spans="1:11" ht="42" customHeight="1">
      <c r="A4188" s="2" t="s">
        <v>8437</v>
      </c>
      <c r="B4188" s="2" t="s">
        <v>8437</v>
      </c>
      <c r="C4188" s="2" t="s">
        <v>79</v>
      </c>
      <c r="D4188" s="2" t="s">
        <v>74</v>
      </c>
      <c r="E4188" s="5">
        <v>-27950</v>
      </c>
      <c r="F4188" s="3" t="s">
        <v>4513</v>
      </c>
      <c r="G4188" s="3" t="s">
        <v>27</v>
      </c>
      <c r="H4188" s="2" t="s">
        <v>21</v>
      </c>
      <c r="I4188" s="2" t="s">
        <v>8458</v>
      </c>
      <c r="J4188" s="3" t="str">
        <f>HYPERLINK("https://www.boe.es/gazeta/dias/1823/06/22/pdfs/GES-1823-70.pdf#page=2","Abrir facsímil")</f>
        <v>Abrir facsímil</v>
      </c>
      <c r="K4188" s="3" t="s">
        <v>23</v>
      </c>
    </row>
    <row r="4189" spans="1:11" ht="42" customHeight="1">
      <c r="A4189" s="2" t="s">
        <v>8437</v>
      </c>
      <c r="B4189" s="2" t="s">
        <v>8437</v>
      </c>
      <c r="C4189" s="2" t="s">
        <v>56</v>
      </c>
      <c r="D4189" s="2" t="s">
        <v>57</v>
      </c>
      <c r="E4189" s="5">
        <v>-27949</v>
      </c>
      <c r="F4189" s="3" t="s">
        <v>1162</v>
      </c>
      <c r="G4189" s="3" t="s">
        <v>48</v>
      </c>
      <c r="H4189" s="2" t="s">
        <v>21</v>
      </c>
      <c r="I4189" s="2" t="s">
        <v>8459</v>
      </c>
      <c r="J4189" s="3" t="str">
        <f>HYPERLINK("https://www.boe.es/gazeta/dias/1823/06/23/pdfs/GES-1823-71.pdf#page=3","Abrir facsímil")</f>
        <v>Abrir facsímil</v>
      </c>
      <c r="K4189" s="3" t="s">
        <v>23</v>
      </c>
    </row>
    <row r="4190" spans="1:11" ht="42" customHeight="1">
      <c r="A4190" s="2" t="s">
        <v>8437</v>
      </c>
      <c r="B4190" s="2" t="s">
        <v>8437</v>
      </c>
      <c r="C4190" s="2" t="s">
        <v>56</v>
      </c>
      <c r="D4190" s="2" t="s">
        <v>57</v>
      </c>
      <c r="E4190" s="5">
        <v>-27941</v>
      </c>
      <c r="F4190" s="3" t="s">
        <v>527</v>
      </c>
      <c r="G4190" s="3" t="s">
        <v>39</v>
      </c>
      <c r="H4190" s="2" t="s">
        <v>21</v>
      </c>
      <c r="I4190" s="2" t="s">
        <v>8460</v>
      </c>
      <c r="J4190" s="3" t="str">
        <f>HYPERLINK("https://www.boe.es/gazeta/dias/1823/07/01/pdfs/GES-1823-81.pdf#page=1","Abrir facsímil")</f>
        <v>Abrir facsímil</v>
      </c>
      <c r="K4190" s="3" t="s">
        <v>23</v>
      </c>
    </row>
    <row r="4191" spans="1:11" ht="42" customHeight="1">
      <c r="A4191" s="2" t="s">
        <v>8437</v>
      </c>
      <c r="B4191" s="2" t="s">
        <v>8437</v>
      </c>
      <c r="C4191" s="2" t="s">
        <v>293</v>
      </c>
      <c r="D4191" s="2" t="s">
        <v>74</v>
      </c>
      <c r="E4191" s="5">
        <v>-27935</v>
      </c>
      <c r="F4191" s="3" t="s">
        <v>350</v>
      </c>
      <c r="G4191" s="3" t="s">
        <v>48</v>
      </c>
      <c r="H4191" s="2" t="s">
        <v>21</v>
      </c>
      <c r="I4191" s="2" t="s">
        <v>8461</v>
      </c>
      <c r="J4191" s="3" t="str">
        <f>HYPERLINK("https://www.boe.es/gazeta/dias/1823/07/07/pdfs/GES-1823-87.pdf#page=3","Abrir facsímil")</f>
        <v>Abrir facsímil</v>
      </c>
      <c r="K4191" s="3" t="s">
        <v>23</v>
      </c>
    </row>
    <row r="4192" spans="1:11" ht="42" customHeight="1">
      <c r="A4192" s="2" t="s">
        <v>8437</v>
      </c>
      <c r="B4192" s="2" t="s">
        <v>8437</v>
      </c>
      <c r="C4192" s="2" t="s">
        <v>79</v>
      </c>
      <c r="D4192" s="2" t="s">
        <v>74</v>
      </c>
      <c r="E4192" s="5">
        <v>-27934</v>
      </c>
      <c r="F4192" s="3" t="s">
        <v>2155</v>
      </c>
      <c r="G4192" s="3" t="s">
        <v>48</v>
      </c>
      <c r="H4192" s="2" t="s">
        <v>21</v>
      </c>
      <c r="I4192" s="2" t="s">
        <v>8462</v>
      </c>
      <c r="J4192" s="3" t="str">
        <f>HYPERLINK("https://www.boe.es/gazeta/dias/1823/07/08/pdfs/GES-1823-88.pdf#page=3","Abrir facsímil")</f>
        <v>Abrir facsímil</v>
      </c>
      <c r="K4192" s="3" t="s">
        <v>23</v>
      </c>
    </row>
    <row r="4193" spans="1:11" ht="42" customHeight="1">
      <c r="A4193" s="2" t="s">
        <v>8437</v>
      </c>
      <c r="B4193" s="2" t="s">
        <v>8437</v>
      </c>
      <c r="C4193" s="2" t="s">
        <v>17</v>
      </c>
      <c r="D4193" s="2" t="s">
        <v>18</v>
      </c>
      <c r="E4193" s="5">
        <v>-27926</v>
      </c>
      <c r="F4193" s="3" t="s">
        <v>2158</v>
      </c>
      <c r="G4193" s="3" t="s">
        <v>2159</v>
      </c>
      <c r="H4193" s="2" t="s">
        <v>21</v>
      </c>
      <c r="I4193" s="2" t="s">
        <v>8463</v>
      </c>
      <c r="J4193" s="3" t="str">
        <f>HYPERLINK("https://www.boe.es/gazeta/dias/1823/07/16/pdfs/GES-1823-96.pdf#page=2","Abrir facsímil")</f>
        <v>Abrir facsímil</v>
      </c>
      <c r="K4193" s="3" t="s">
        <v>23</v>
      </c>
    </row>
    <row r="4194" spans="1:11" ht="42" customHeight="1">
      <c r="A4194" s="2" t="s">
        <v>8437</v>
      </c>
      <c r="B4194" s="2" t="s">
        <v>8437</v>
      </c>
      <c r="C4194" s="2" t="s">
        <v>109</v>
      </c>
      <c r="D4194" s="2" t="s">
        <v>74</v>
      </c>
      <c r="E4194" s="5">
        <v>-27921</v>
      </c>
      <c r="F4194" s="3" t="s">
        <v>356</v>
      </c>
      <c r="G4194" s="3" t="s">
        <v>27</v>
      </c>
      <c r="H4194" s="2" t="s">
        <v>21</v>
      </c>
      <c r="I4194" s="2" t="s">
        <v>8464</v>
      </c>
      <c r="J4194" s="3" t="str">
        <f>HYPERLINK("https://www.boe.es/gazeta/dias/1823/07/21/pdfs/GES-1823-102.pdf#page=2","Abrir facsímil")</f>
        <v>Abrir facsímil</v>
      </c>
      <c r="K4194" s="3" t="s">
        <v>23</v>
      </c>
    </row>
    <row r="4195" spans="1:11" ht="42" customHeight="1">
      <c r="A4195" s="2" t="s">
        <v>8437</v>
      </c>
      <c r="B4195" s="2" t="s">
        <v>8437</v>
      </c>
      <c r="C4195" s="2" t="s">
        <v>56</v>
      </c>
      <c r="D4195" s="2" t="s">
        <v>57</v>
      </c>
      <c r="E4195" s="5">
        <v>-27920</v>
      </c>
      <c r="F4195" s="3" t="s">
        <v>358</v>
      </c>
      <c r="G4195" s="3" t="s">
        <v>39</v>
      </c>
      <c r="H4195" s="2" t="s">
        <v>21</v>
      </c>
      <c r="I4195" s="2" t="s">
        <v>8465</v>
      </c>
      <c r="J4195" s="3" t="str">
        <f>HYPERLINK("https://www.boe.es/gazeta/dias/1823/07/22/pdfs/GES-1823-103.pdf#page=1","Abrir facsímil")</f>
        <v>Abrir facsímil</v>
      </c>
      <c r="K4195" s="3" t="s">
        <v>23</v>
      </c>
    </row>
    <row r="4196" spans="1:11" ht="42" customHeight="1">
      <c r="A4196" s="2" t="s">
        <v>8437</v>
      </c>
      <c r="B4196" s="2" t="s">
        <v>8437</v>
      </c>
      <c r="C4196" s="2" t="s">
        <v>17</v>
      </c>
      <c r="D4196" s="2" t="s">
        <v>18</v>
      </c>
      <c r="E4196" s="5">
        <v>-27920</v>
      </c>
      <c r="F4196" s="3" t="s">
        <v>358</v>
      </c>
      <c r="G4196" s="3" t="s">
        <v>27</v>
      </c>
      <c r="H4196" s="2" t="s">
        <v>21</v>
      </c>
      <c r="I4196" s="2" t="s">
        <v>8466</v>
      </c>
      <c r="J4196" s="3" t="str">
        <f>HYPERLINK("https://www.boe.es/gazeta/dias/1823/07/22/pdfs/GES-1823-103.pdf#page=2","Abrir facsímil")</f>
        <v>Abrir facsímil</v>
      </c>
      <c r="K4196" s="3" t="s">
        <v>23</v>
      </c>
    </row>
    <row r="4197" spans="1:11" ht="42" customHeight="1">
      <c r="A4197" s="2" t="s">
        <v>8437</v>
      </c>
      <c r="B4197" s="2" t="s">
        <v>8437</v>
      </c>
      <c r="C4197" s="2" t="s">
        <v>109</v>
      </c>
      <c r="D4197" s="2" t="s">
        <v>74</v>
      </c>
      <c r="E4197" s="5">
        <v>-27918</v>
      </c>
      <c r="F4197" s="3" t="s">
        <v>3181</v>
      </c>
      <c r="G4197" s="3" t="s">
        <v>39</v>
      </c>
      <c r="H4197" s="2" t="s">
        <v>21</v>
      </c>
      <c r="I4197" s="2" t="s">
        <v>8467</v>
      </c>
      <c r="J4197" s="3" t="str">
        <f>HYPERLINK("https://www.boe.es/gazeta/dias/1823/07/24/pdfs/GES-1823-105.pdf#page=1","Abrir facsímil")</f>
        <v>Abrir facsímil</v>
      </c>
      <c r="K4197" s="3" t="s">
        <v>23</v>
      </c>
    </row>
    <row r="4198" spans="1:11" ht="42" customHeight="1">
      <c r="A4198" s="2" t="s">
        <v>8437</v>
      </c>
      <c r="B4198" s="2" t="s">
        <v>8437</v>
      </c>
      <c r="C4198" s="2" t="s">
        <v>56</v>
      </c>
      <c r="D4198" s="2" t="s">
        <v>57</v>
      </c>
      <c r="E4198" s="5">
        <v>-27917</v>
      </c>
      <c r="F4198" s="3" t="s">
        <v>363</v>
      </c>
      <c r="G4198" s="3" t="s">
        <v>48</v>
      </c>
      <c r="H4198" s="2" t="s">
        <v>21</v>
      </c>
      <c r="I4198" s="2" t="s">
        <v>8468</v>
      </c>
      <c r="J4198" s="3" t="str">
        <f>HYPERLINK("https://www.boe.es/gazeta/dias/1823/07/25/pdfs/GES-1823-106.pdf#page=3","Abrir facsímil")</f>
        <v>Abrir facsímil</v>
      </c>
      <c r="K4198" s="3" t="s">
        <v>23</v>
      </c>
    </row>
    <row r="4199" spans="1:11" ht="42" customHeight="1">
      <c r="A4199" s="2" t="s">
        <v>8437</v>
      </c>
      <c r="B4199" s="2" t="s">
        <v>8437</v>
      </c>
      <c r="C4199" s="2" t="s">
        <v>79</v>
      </c>
      <c r="D4199" s="2" t="s">
        <v>74</v>
      </c>
      <c r="E4199" s="5">
        <v>-27909</v>
      </c>
      <c r="F4199" s="3" t="s">
        <v>948</v>
      </c>
      <c r="G4199" s="3" t="s">
        <v>20</v>
      </c>
      <c r="H4199" s="2" t="s">
        <v>21</v>
      </c>
      <c r="I4199" s="2" t="s">
        <v>8469</v>
      </c>
      <c r="J4199" s="3" t="str">
        <f>HYPERLINK("https://www.boe.es/gazeta/dias/1823/08/02/pdfs/GES-1823-114.pdf#page=4","Abrir facsímil")</f>
        <v>Abrir facsímil</v>
      </c>
      <c r="K4199" s="3" t="s">
        <v>23</v>
      </c>
    </row>
    <row r="4200" spans="1:11" ht="42" customHeight="1">
      <c r="A4200" s="2" t="s">
        <v>8437</v>
      </c>
      <c r="B4200" s="2" t="s">
        <v>8437</v>
      </c>
      <c r="C4200" s="2" t="s">
        <v>73</v>
      </c>
      <c r="D4200" s="2" t="s">
        <v>74</v>
      </c>
      <c r="E4200" s="5">
        <v>-27906</v>
      </c>
      <c r="F4200" s="3" t="s">
        <v>241</v>
      </c>
      <c r="G4200" s="3" t="s">
        <v>39</v>
      </c>
      <c r="H4200" s="2" t="s">
        <v>21</v>
      </c>
      <c r="I4200" s="2" t="s">
        <v>8470</v>
      </c>
      <c r="J4200" s="3" t="str">
        <f>HYPERLINK("https://www.boe.es/gazeta/dias/1823/08/05/pdfs/GES-1823-117.pdf#page=1","Abrir facsímil")</f>
        <v>Abrir facsímil</v>
      </c>
      <c r="K4200" s="3" t="s">
        <v>23</v>
      </c>
    </row>
    <row r="4201" spans="1:11" ht="42" customHeight="1">
      <c r="A4201" s="2" t="s">
        <v>8471</v>
      </c>
      <c r="B4201" s="2" t="s">
        <v>8472</v>
      </c>
      <c r="C4201" s="2" t="s">
        <v>56</v>
      </c>
      <c r="D4201" s="2" t="s">
        <v>57</v>
      </c>
      <c r="E4201" s="5">
        <v>-27990</v>
      </c>
      <c r="F4201" s="3" t="s">
        <v>1132</v>
      </c>
      <c r="G4201" s="3" t="s">
        <v>20</v>
      </c>
      <c r="H4201" s="2" t="s">
        <v>21</v>
      </c>
      <c r="I4201" s="2" t="s">
        <v>8473</v>
      </c>
      <c r="J4201" s="3" t="str">
        <f>HYPERLINK("https://www.boe.es/gazeta/dias/1823/05/13/pdfs/GES-1823-33.pdf#page=4","Abrir facsímil")</f>
        <v>Abrir facsímil</v>
      </c>
      <c r="K4201" s="3" t="s">
        <v>23</v>
      </c>
    </row>
    <row r="4202" spans="1:11" ht="42" customHeight="1">
      <c r="A4202" s="2" t="s">
        <v>8471</v>
      </c>
      <c r="B4202" s="2" t="s">
        <v>8472</v>
      </c>
      <c r="C4202" s="2" t="s">
        <v>17</v>
      </c>
      <c r="D4202" s="2" t="s">
        <v>18</v>
      </c>
      <c r="E4202" s="5">
        <v>-27901</v>
      </c>
      <c r="F4202" s="3" t="s">
        <v>840</v>
      </c>
      <c r="G4202" s="3" t="s">
        <v>20</v>
      </c>
      <c r="H4202" s="2" t="s">
        <v>21</v>
      </c>
      <c r="I4202" s="2" t="s">
        <v>8474</v>
      </c>
      <c r="J4202" s="3" t="str">
        <f>HYPERLINK("https://www.boe.es/gazeta/dias/1823/08/10/pdfs/GES-1823-123.pdf#page=4","Abrir facsímil")</f>
        <v>Abrir facsímil</v>
      </c>
      <c r="K4202" s="3" t="s">
        <v>23</v>
      </c>
    </row>
    <row r="4203" spans="1:11" ht="42" customHeight="1">
      <c r="A4203" s="2" t="s">
        <v>8471</v>
      </c>
      <c r="B4203" s="2" t="s">
        <v>8472</v>
      </c>
      <c r="C4203" s="2" t="s">
        <v>79</v>
      </c>
      <c r="D4203" s="2" t="s">
        <v>74</v>
      </c>
      <c r="E4203" s="5">
        <v>-27891</v>
      </c>
      <c r="F4203" s="3" t="s">
        <v>825</v>
      </c>
      <c r="G4203" s="3" t="s">
        <v>20</v>
      </c>
      <c r="H4203" s="2" t="s">
        <v>21</v>
      </c>
      <c r="I4203" s="2" t="s">
        <v>8475</v>
      </c>
      <c r="J4203" s="3" t="str">
        <f>HYPERLINK("https://www.boe.es/gazeta/dias/1823/08/20/pdfs/GES-1823-133.pdf#page=4","Abrir facsímil")</f>
        <v>Abrir facsímil</v>
      </c>
      <c r="K4203" s="3" t="s">
        <v>23</v>
      </c>
    </row>
    <row r="4204" spans="1:11" ht="42" customHeight="1">
      <c r="A4204" s="2" t="s">
        <v>8471</v>
      </c>
      <c r="B4204" s="2" t="s">
        <v>8472</v>
      </c>
      <c r="C4204" s="2" t="s">
        <v>73</v>
      </c>
      <c r="D4204" s="2" t="s">
        <v>74</v>
      </c>
      <c r="E4204" s="5">
        <v>-27879</v>
      </c>
      <c r="F4204" s="3" t="s">
        <v>638</v>
      </c>
      <c r="G4204" s="3" t="s">
        <v>20</v>
      </c>
      <c r="H4204" s="2" t="s">
        <v>21</v>
      </c>
      <c r="I4204" s="2" t="s">
        <v>8476</v>
      </c>
      <c r="J4204" s="3" t="str">
        <f>HYPERLINK("https://www.boe.es/gazeta/dias/1823/09/01/pdfs/GES-1823-145.pdf#page=4","Abrir facsímil")</f>
        <v>Abrir facsímil</v>
      </c>
      <c r="K4204" s="3" t="s">
        <v>23</v>
      </c>
    </row>
    <row r="4205" spans="1:11" ht="42" customHeight="1">
      <c r="A4205" s="2" t="s">
        <v>8477</v>
      </c>
      <c r="B4205" s="2" t="s">
        <v>8478</v>
      </c>
      <c r="C4205" s="2" t="s">
        <v>17</v>
      </c>
      <c r="D4205" s="2" t="s">
        <v>18</v>
      </c>
      <c r="E4205" s="5">
        <v>-28001</v>
      </c>
      <c r="F4205" s="3" t="s">
        <v>768</v>
      </c>
      <c r="G4205" s="3" t="s">
        <v>2756</v>
      </c>
      <c r="H4205" s="2" t="s">
        <v>21</v>
      </c>
      <c r="I4205" s="2" t="s">
        <v>8479</v>
      </c>
      <c r="J4205" s="3" t="str">
        <f>HYPERLINK("https://www.boe.es/gazeta/dias/1823/05/02/pdfs/GES-1823-22.pdf#page=6","Abrir facsímil")</f>
        <v>Abrir facsímil</v>
      </c>
      <c r="K4205" s="3" t="s">
        <v>23</v>
      </c>
    </row>
    <row r="4206" spans="1:11" ht="42" customHeight="1">
      <c r="A4206" s="2" t="s">
        <v>8480</v>
      </c>
      <c r="B4206" s="2" t="s">
        <v>8481</v>
      </c>
      <c r="C4206" s="2" t="s">
        <v>84</v>
      </c>
      <c r="D4206" s="2" t="s">
        <v>74</v>
      </c>
      <c r="E4206" s="5">
        <v>-28001</v>
      </c>
      <c r="F4206" s="3" t="s">
        <v>768</v>
      </c>
      <c r="G4206" s="3" t="s">
        <v>34</v>
      </c>
      <c r="H4206" s="2" t="s">
        <v>21</v>
      </c>
      <c r="I4206" s="2" t="s">
        <v>8482</v>
      </c>
      <c r="J4206" s="3" t="str">
        <f>HYPERLINK("https://www.boe.es/gazeta/dias/1823/05/02/pdfs/GES-1823-22.pdf#page=5","Abrir facsímil")</f>
        <v>Abrir facsímil</v>
      </c>
      <c r="K4206" s="3" t="s">
        <v>23</v>
      </c>
    </row>
    <row r="4207" spans="1:11" ht="42" customHeight="1">
      <c r="A4207" s="2" t="s">
        <v>8483</v>
      </c>
      <c r="B4207" s="2" t="s">
        <v>8484</v>
      </c>
      <c r="C4207" s="2" t="s">
        <v>109</v>
      </c>
      <c r="D4207" s="2" t="s">
        <v>74</v>
      </c>
      <c r="E4207" s="5">
        <v>-27990</v>
      </c>
      <c r="F4207" s="3" t="s">
        <v>1132</v>
      </c>
      <c r="G4207" s="3" t="s">
        <v>39</v>
      </c>
      <c r="H4207" s="2" t="s">
        <v>21</v>
      </c>
      <c r="I4207" s="2" t="s">
        <v>8485</v>
      </c>
      <c r="J4207" s="3" t="str">
        <f>HYPERLINK("https://www.boe.es/gazeta/dias/1823/05/13/pdfs/GES-1823-33.pdf#page=1","Abrir facsímil")</f>
        <v>Abrir facsímil</v>
      </c>
      <c r="K4207" s="3" t="s">
        <v>23</v>
      </c>
    </row>
    <row r="4208" spans="1:11" ht="42" customHeight="1">
      <c r="A4208" s="2" t="s">
        <v>8486</v>
      </c>
      <c r="B4208" s="2" t="s">
        <v>8487</v>
      </c>
      <c r="C4208" s="2" t="s">
        <v>79</v>
      </c>
      <c r="D4208" s="2" t="s">
        <v>74</v>
      </c>
      <c r="E4208" s="5">
        <v>-28007</v>
      </c>
      <c r="F4208" s="3" t="s">
        <v>311</v>
      </c>
      <c r="G4208" s="3" t="s">
        <v>1968</v>
      </c>
      <c r="H4208" s="2" t="s">
        <v>21</v>
      </c>
      <c r="I4208" s="2" t="s">
        <v>8488</v>
      </c>
      <c r="J4208" s="3" t="str">
        <f>HYPERLINK("https://www.boe.es/gazeta/dias/1823/04/26/pdfs/GES-1823-16.pdf#page=4","Abrir facsímil")</f>
        <v>Abrir facsímil</v>
      </c>
      <c r="K4208" s="3" t="s">
        <v>23</v>
      </c>
    </row>
    <row r="4209" spans="1:11" ht="42" customHeight="1">
      <c r="A4209" s="2" t="s">
        <v>8489</v>
      </c>
      <c r="B4209" s="2" t="s">
        <v>8490</v>
      </c>
      <c r="C4209" s="2" t="s">
        <v>17</v>
      </c>
      <c r="D4209" s="2" t="s">
        <v>18</v>
      </c>
      <c r="E4209" s="5">
        <v>-27897</v>
      </c>
      <c r="F4209" s="3" t="s">
        <v>5962</v>
      </c>
      <c r="G4209" s="3" t="s">
        <v>5269</v>
      </c>
      <c r="H4209" s="2" t="s">
        <v>21</v>
      </c>
      <c r="I4209" s="2" t="s">
        <v>8491</v>
      </c>
      <c r="J4209" s="3" t="str">
        <f>HYPERLINK("https://www.boe.es/gazeta/dias/1823/08/14/pdfs/GES-1823-127.pdf#page=2","Abrir facsímil")</f>
        <v>Abrir facsímil</v>
      </c>
      <c r="K4209" s="3" t="s">
        <v>23</v>
      </c>
    </row>
    <row r="4210" spans="1:11" ht="42" customHeight="1">
      <c r="A4210" s="2" t="s">
        <v>8492</v>
      </c>
      <c r="B4210" s="2" t="s">
        <v>8493</v>
      </c>
      <c r="C4210" s="2" t="s">
        <v>56</v>
      </c>
      <c r="D4210" s="2" t="s">
        <v>57</v>
      </c>
      <c r="E4210" s="5">
        <v>-28029</v>
      </c>
      <c r="F4210" s="3" t="s">
        <v>141</v>
      </c>
      <c r="G4210" s="3" t="s">
        <v>20</v>
      </c>
      <c r="H4210" s="2" t="s">
        <v>28</v>
      </c>
      <c r="I4210" s="2" t="s">
        <v>8494</v>
      </c>
      <c r="J4210" s="3" t="str">
        <f>HYPERLINK("https://www.boe.es/gazeta/dias/1823/04/04/pdfs/GMD-1823-98.pdf#page=4","Abrir facsímil")</f>
        <v>Abrir facsímil</v>
      </c>
      <c r="K4210" s="3" t="s">
        <v>30</v>
      </c>
    </row>
    <row r="4211" spans="1:11" ht="42" customHeight="1">
      <c r="A4211" s="2" t="s">
        <v>8495</v>
      </c>
      <c r="B4211" s="2" t="s">
        <v>8495</v>
      </c>
      <c r="C4211" s="2" t="s">
        <v>79</v>
      </c>
      <c r="D4211" s="2" t="s">
        <v>74</v>
      </c>
      <c r="E4211" s="5">
        <v>-27836</v>
      </c>
      <c r="F4211" s="3" t="s">
        <v>4069</v>
      </c>
      <c r="G4211" s="3" t="s">
        <v>48</v>
      </c>
      <c r="H4211" s="2" t="s">
        <v>21</v>
      </c>
      <c r="I4211" s="2" t="s">
        <v>8496</v>
      </c>
      <c r="J4211" s="3" t="str">
        <f>HYPERLINK("https://www.boe.es/gazeta/dias/1823/10/14/pdfs/GMD-1823-973.pdf#page=3","Abrir facsímil")</f>
        <v>Abrir facsímil</v>
      </c>
      <c r="K4211" s="3" t="s">
        <v>23</v>
      </c>
    </row>
    <row r="4212" spans="1:11" ht="42" customHeight="1">
      <c r="A4212" s="2" t="s">
        <v>8497</v>
      </c>
      <c r="B4212" s="2" t="s">
        <v>8497</v>
      </c>
      <c r="C4212" s="2" t="s">
        <v>17</v>
      </c>
      <c r="D4212" s="2" t="s">
        <v>117</v>
      </c>
      <c r="E4212" s="5">
        <v>-27966</v>
      </c>
      <c r="F4212" s="3" t="s">
        <v>962</v>
      </c>
      <c r="G4212" s="3" t="s">
        <v>39</v>
      </c>
      <c r="H4212" s="2" t="s">
        <v>21</v>
      </c>
      <c r="I4212" s="2" t="s">
        <v>8498</v>
      </c>
      <c r="J4212" s="3" t="str">
        <f>HYPERLINK("https://www.boe.es/gazeta/dias/1823/06/06/pdfs/GMD-1823-73E.pdf#page=1","Abrir facsímil")</f>
        <v>Abrir facsímil</v>
      </c>
      <c r="K4212" s="3" t="s">
        <v>23</v>
      </c>
    </row>
    <row r="4213" spans="1:11" ht="42" customHeight="1">
      <c r="A4213" s="2" t="s">
        <v>8499</v>
      </c>
      <c r="B4213" s="2" t="s">
        <v>8499</v>
      </c>
      <c r="C4213" s="2" t="s">
        <v>17</v>
      </c>
      <c r="D4213" s="2" t="s">
        <v>18</v>
      </c>
      <c r="E4213" s="5">
        <v>-28036</v>
      </c>
      <c r="F4213" s="3" t="s">
        <v>2216</v>
      </c>
      <c r="G4213" s="3" t="s">
        <v>39</v>
      </c>
      <c r="H4213" s="2" t="s">
        <v>21</v>
      </c>
      <c r="I4213" s="2" t="s">
        <v>8500</v>
      </c>
      <c r="J4213" s="3" t="str">
        <f>HYPERLINK("https://www.boe.es/gazeta/dias/1823/03/28/pdfs/GMD-1823-91.pdf#page=1","Abrir facsímil")</f>
        <v>Abrir facsímil</v>
      </c>
      <c r="K4213" s="3" t="s">
        <v>23</v>
      </c>
    </row>
    <row r="4214" spans="1:11" ht="42" customHeight="1">
      <c r="A4214" s="2" t="s">
        <v>8501</v>
      </c>
      <c r="B4214" s="2" t="s">
        <v>8501</v>
      </c>
      <c r="C4214" s="2" t="s">
        <v>56</v>
      </c>
      <c r="D4214" s="2" t="s">
        <v>57</v>
      </c>
      <c r="E4214" s="5">
        <v>-27937</v>
      </c>
      <c r="F4214" s="3" t="s">
        <v>897</v>
      </c>
      <c r="G4214" s="3" t="s">
        <v>39</v>
      </c>
      <c r="H4214" s="2" t="s">
        <v>21</v>
      </c>
      <c r="I4214" s="2" t="s">
        <v>8502</v>
      </c>
      <c r="J4214" s="3" t="str">
        <f>HYPERLINK("https://www.boe.es/gazeta/dias/1823/07/05/pdfs/GMD-1823-343.pdf#page=1","Abrir facsímil")</f>
        <v>Abrir facsímil</v>
      </c>
      <c r="K4214" s="3" t="s">
        <v>23</v>
      </c>
    </row>
    <row r="4215" spans="1:11" ht="42" customHeight="1">
      <c r="A4215" s="2" t="s">
        <v>8503</v>
      </c>
      <c r="B4215" s="2" t="s">
        <v>8503</v>
      </c>
      <c r="C4215" s="2" t="s">
        <v>17</v>
      </c>
      <c r="D4215" s="2" t="s">
        <v>18</v>
      </c>
      <c r="E4215" s="5">
        <v>-27944</v>
      </c>
      <c r="F4215" s="3" t="s">
        <v>658</v>
      </c>
      <c r="G4215" s="3" t="s">
        <v>59</v>
      </c>
      <c r="H4215" s="2" t="s">
        <v>21</v>
      </c>
      <c r="I4215" s="2" t="s">
        <v>8504</v>
      </c>
      <c r="J4215" s="3" t="str">
        <f>HYPERLINK("https://www.boe.es/gazeta/dias/1823/06/28/pdfs/GMD-1823-303.pdf#page=6","Abrir facsímil")</f>
        <v>Abrir facsímil</v>
      </c>
      <c r="K4215" s="3" t="s">
        <v>23</v>
      </c>
    </row>
    <row r="4216" spans="1:11" ht="42" customHeight="1">
      <c r="A4216" s="2" t="s">
        <v>8505</v>
      </c>
      <c r="B4216" s="2" t="s">
        <v>8505</v>
      </c>
      <c r="C4216" s="2" t="s">
        <v>17</v>
      </c>
      <c r="D4216" s="2" t="s">
        <v>117</v>
      </c>
      <c r="E4216" s="5">
        <v>-27869</v>
      </c>
      <c r="F4216" s="3" t="s">
        <v>2363</v>
      </c>
      <c r="G4216" s="3" t="s">
        <v>39</v>
      </c>
      <c r="H4216" s="2" t="s">
        <v>21</v>
      </c>
      <c r="I4216" s="2" t="s">
        <v>8506</v>
      </c>
      <c r="J4216" s="3" t="str">
        <f>HYPERLINK("https://www.boe.es/gazeta/dias/1823/09/11/pdfs/GMD-1823-763E.pdf#page=1","Abrir facsímil")</f>
        <v>Abrir facsímil</v>
      </c>
      <c r="K4216" s="3" t="s">
        <v>23</v>
      </c>
    </row>
    <row r="4217" spans="1:11" ht="42" customHeight="1">
      <c r="A4217" s="2" t="s">
        <v>8507</v>
      </c>
      <c r="B4217" s="2" t="s">
        <v>8507</v>
      </c>
      <c r="C4217" s="2" t="s">
        <v>293</v>
      </c>
      <c r="D4217" s="2" t="s">
        <v>74</v>
      </c>
      <c r="E4217" s="5">
        <v>-27907</v>
      </c>
      <c r="F4217" s="3" t="s">
        <v>370</v>
      </c>
      <c r="G4217" s="3" t="s">
        <v>39</v>
      </c>
      <c r="H4217" s="2" t="s">
        <v>21</v>
      </c>
      <c r="I4217" s="2" t="s">
        <v>8508</v>
      </c>
      <c r="J4217" s="3" t="str">
        <f>HYPERLINK("https://www.boe.es/gazeta/dias/1823/08/04/pdfs/GES-1823-116.pdf#page=1","Abrir facsímil")</f>
        <v>Abrir facsímil</v>
      </c>
      <c r="K4217" s="3" t="s">
        <v>23</v>
      </c>
    </row>
    <row r="4218" spans="1:11" ht="42" customHeight="1">
      <c r="A4218" s="2" t="s">
        <v>8509</v>
      </c>
      <c r="B4218" s="2" t="s">
        <v>8509</v>
      </c>
      <c r="C4218" s="2" t="s">
        <v>17</v>
      </c>
      <c r="D4218" s="2" t="s">
        <v>18</v>
      </c>
      <c r="E4218" s="5">
        <v>-28035</v>
      </c>
      <c r="F4218" s="3" t="s">
        <v>138</v>
      </c>
      <c r="G4218" s="3" t="s">
        <v>48</v>
      </c>
      <c r="H4218" s="2" t="s">
        <v>21</v>
      </c>
      <c r="I4218" s="2" t="s">
        <v>8510</v>
      </c>
      <c r="J4218" s="3" t="str">
        <f>HYPERLINK("https://www.boe.es/gazeta/dias/1823/03/29/pdfs/GMD-1823-92.pdf#page=3","Abrir facsímil")</f>
        <v>Abrir facsímil</v>
      </c>
      <c r="K4218" s="3" t="s">
        <v>23</v>
      </c>
    </row>
    <row r="4219" spans="1:11" ht="42" customHeight="1">
      <c r="A4219" s="2" t="s">
        <v>8511</v>
      </c>
      <c r="B4219" s="2" t="s">
        <v>8511</v>
      </c>
      <c r="C4219" s="2" t="s">
        <v>79</v>
      </c>
      <c r="D4219" s="2" t="s">
        <v>74</v>
      </c>
      <c r="E4219" s="5">
        <v>-28032</v>
      </c>
      <c r="F4219" s="3" t="s">
        <v>668</v>
      </c>
      <c r="G4219" s="3" t="s">
        <v>20</v>
      </c>
      <c r="H4219" s="2" t="s">
        <v>21</v>
      </c>
      <c r="I4219" s="2" t="s">
        <v>8512</v>
      </c>
      <c r="J4219" s="3" t="str">
        <f>HYPERLINK("https://www.boe.es/gazeta/dias/1823/04/01/pdfs/GMD-1823-95.pdf#page=4","Abrir facsímil")</f>
        <v>Abrir facsímil</v>
      </c>
      <c r="K4219" s="3" t="s">
        <v>23</v>
      </c>
    </row>
    <row r="4220" spans="1:11" ht="42" customHeight="1">
      <c r="A4220" s="2" t="s">
        <v>8513</v>
      </c>
      <c r="B4220" s="2" t="s">
        <v>8514</v>
      </c>
      <c r="C4220" s="2" t="s">
        <v>17</v>
      </c>
      <c r="D4220" s="2" t="s">
        <v>18</v>
      </c>
      <c r="E4220" s="5">
        <v>-27876</v>
      </c>
      <c r="F4220" s="3" t="s">
        <v>8384</v>
      </c>
      <c r="G4220" s="3" t="s">
        <v>39</v>
      </c>
      <c r="H4220" s="2" t="s">
        <v>21</v>
      </c>
      <c r="I4220" s="2" t="s">
        <v>8515</v>
      </c>
      <c r="J4220" s="3" t="str">
        <f>HYPERLINK("https://www.boe.es/gazeta/dias/1823/09/04/pdfs/GMD-1823-693.pdf#page=1","Abrir facsímil")</f>
        <v>Abrir facsímil</v>
      </c>
      <c r="K4220" s="3" t="s">
        <v>23</v>
      </c>
    </row>
    <row r="4221" spans="1:11" ht="42" customHeight="1">
      <c r="A4221" s="2" t="s">
        <v>8516</v>
      </c>
      <c r="B4221" s="2" t="s">
        <v>8517</v>
      </c>
      <c r="C4221" s="2" t="s">
        <v>17</v>
      </c>
      <c r="D4221" s="2" t="s">
        <v>18</v>
      </c>
      <c r="E4221" s="5">
        <v>-28041</v>
      </c>
      <c r="F4221" s="3" t="s">
        <v>873</v>
      </c>
      <c r="G4221" s="3" t="s">
        <v>48</v>
      </c>
      <c r="H4221" s="2" t="s">
        <v>21</v>
      </c>
      <c r="I4221" s="2" t="s">
        <v>8518</v>
      </c>
      <c r="J4221" s="3" t="str">
        <f>HYPERLINK("https://www.boe.es/gazeta/dias/1823/03/23/pdfs/GMD-1823-86.pdf#page=3","Abrir facsímil")</f>
        <v>Abrir facsímil</v>
      </c>
      <c r="K4221" s="3" t="s">
        <v>23</v>
      </c>
    </row>
    <row r="4222" spans="1:11" ht="42" customHeight="1">
      <c r="A4222" s="2" t="s">
        <v>8519</v>
      </c>
      <c r="B4222" s="2" t="s">
        <v>8520</v>
      </c>
      <c r="C4222" s="2" t="s">
        <v>17</v>
      </c>
      <c r="D4222" s="2" t="s">
        <v>18</v>
      </c>
      <c r="E4222" s="5">
        <v>-28102</v>
      </c>
      <c r="F4222" s="3" t="s">
        <v>287</v>
      </c>
      <c r="G4222" s="3" t="s">
        <v>27</v>
      </c>
      <c r="H4222" s="2" t="s">
        <v>21</v>
      </c>
      <c r="I4222" s="2" t="s">
        <v>8521</v>
      </c>
      <c r="J4222" s="3" t="str">
        <f>HYPERLINK("https://www.boe.es/gazeta/dias/1823/01/21/pdfs/GMD-1823-22.pdf#page=2","Abrir facsímil")</f>
        <v>Abrir facsímil</v>
      </c>
      <c r="K4222" s="3" t="s">
        <v>23</v>
      </c>
    </row>
    <row r="4223" spans="1:11" ht="42" customHeight="1">
      <c r="A4223" s="2" t="s">
        <v>8522</v>
      </c>
      <c r="B4223" s="2" t="s">
        <v>8522</v>
      </c>
      <c r="C4223" s="2" t="s">
        <v>109</v>
      </c>
      <c r="D4223" s="2" t="s">
        <v>74</v>
      </c>
      <c r="E4223" s="5">
        <v>-28022</v>
      </c>
      <c r="F4223" s="3" t="s">
        <v>439</v>
      </c>
      <c r="G4223" s="3" t="s">
        <v>48</v>
      </c>
      <c r="H4223" s="2" t="s">
        <v>21</v>
      </c>
      <c r="I4223" s="2" t="s">
        <v>8523</v>
      </c>
      <c r="J4223" s="3" t="str">
        <f>HYPERLINK("https://www.boe.es/gazeta/dias/1823/04/11/pdfs/GMD-1823-106.pdf#page=3","Abrir facsímil")</f>
        <v>Abrir facsímil</v>
      </c>
      <c r="K4223" s="3" t="s">
        <v>23</v>
      </c>
    </row>
    <row r="4224" spans="1:11" ht="42" customHeight="1">
      <c r="A4224" s="2" t="s">
        <v>8522</v>
      </c>
      <c r="B4224" s="2" t="s">
        <v>8522</v>
      </c>
      <c r="C4224" s="2" t="s">
        <v>56</v>
      </c>
      <c r="D4224" s="2" t="s">
        <v>57</v>
      </c>
      <c r="E4224" s="5">
        <v>-28020</v>
      </c>
      <c r="F4224" s="3" t="s">
        <v>448</v>
      </c>
      <c r="G4224" s="3" t="s">
        <v>39</v>
      </c>
      <c r="H4224" s="2" t="s">
        <v>21</v>
      </c>
      <c r="I4224" s="2" t="s">
        <v>8524</v>
      </c>
      <c r="J4224" s="3" t="str">
        <f>HYPERLINK("https://www.boe.es/gazeta/dias/1823/04/13/pdfs/GES-1823-3.pdf#page=1","Abrir facsímil")</f>
        <v>Abrir facsímil</v>
      </c>
      <c r="K4224" s="3" t="s">
        <v>23</v>
      </c>
    </row>
    <row r="4225" spans="1:11" ht="42" customHeight="1">
      <c r="A4225" s="2" t="s">
        <v>8522</v>
      </c>
      <c r="B4225" s="2" t="s">
        <v>8522</v>
      </c>
      <c r="C4225" s="2" t="s">
        <v>79</v>
      </c>
      <c r="D4225" s="2" t="s">
        <v>74</v>
      </c>
      <c r="E4225" s="5">
        <v>-28002</v>
      </c>
      <c r="F4225" s="3" t="s">
        <v>315</v>
      </c>
      <c r="G4225" s="3" t="s">
        <v>39</v>
      </c>
      <c r="H4225" s="2" t="s">
        <v>21</v>
      </c>
      <c r="I4225" s="2" t="s">
        <v>8525</v>
      </c>
      <c r="J4225" s="3" t="str">
        <f>HYPERLINK("https://www.boe.es/gazeta/dias/1823/05/01/pdfs/GES-1823-21.pdf#page=1","Abrir facsímil")</f>
        <v>Abrir facsímil</v>
      </c>
      <c r="K4225" s="3" t="s">
        <v>23</v>
      </c>
    </row>
    <row r="4226" spans="1:11" ht="42" customHeight="1">
      <c r="A4226" s="2" t="s">
        <v>8526</v>
      </c>
      <c r="B4226" s="2" t="s">
        <v>8526</v>
      </c>
      <c r="C4226" s="2" t="s">
        <v>79</v>
      </c>
      <c r="D4226" s="2" t="s">
        <v>74</v>
      </c>
      <c r="E4226" s="5">
        <v>-28004</v>
      </c>
      <c r="F4226" s="3" t="s">
        <v>313</v>
      </c>
      <c r="G4226" s="3" t="s">
        <v>39</v>
      </c>
      <c r="H4226" s="2" t="s">
        <v>21</v>
      </c>
      <c r="I4226" s="2" t="s">
        <v>8527</v>
      </c>
      <c r="J4226" s="3" t="str">
        <f>HYPERLINK("https://www.boe.es/gazeta/dias/1823/04/29/pdfs/GMD-1823-72.pdf#page=1","Abrir facsímil")</f>
        <v>Abrir facsímil</v>
      </c>
      <c r="K4226" s="3" t="s">
        <v>23</v>
      </c>
    </row>
    <row r="4227" spans="1:11" ht="42" customHeight="1">
      <c r="A4227" s="2" t="s">
        <v>8528</v>
      </c>
      <c r="B4227" s="2" t="s">
        <v>8528</v>
      </c>
      <c r="C4227" s="2" t="s">
        <v>17</v>
      </c>
      <c r="D4227" s="2" t="s">
        <v>18</v>
      </c>
      <c r="E4227" s="5">
        <v>-28101</v>
      </c>
      <c r="F4227" s="3" t="s">
        <v>1041</v>
      </c>
      <c r="G4227" s="3" t="s">
        <v>39</v>
      </c>
      <c r="H4227" s="2" t="s">
        <v>21</v>
      </c>
      <c r="I4227" s="2" t="s">
        <v>8529</v>
      </c>
      <c r="J4227" s="3" t="str">
        <f>HYPERLINK("https://www.boe.es/gazeta/dias/1823/01/22/pdfs/GMD-1823-23.pdf#page=1","Abrir facsímil")</f>
        <v>Abrir facsímil</v>
      </c>
      <c r="K4227" s="3" t="s">
        <v>23</v>
      </c>
    </row>
    <row r="4228" spans="1:11" ht="42" customHeight="1">
      <c r="A4228" s="2" t="s">
        <v>8530</v>
      </c>
      <c r="B4228" s="2" t="s">
        <v>8531</v>
      </c>
      <c r="C4228" s="2" t="s">
        <v>79</v>
      </c>
      <c r="D4228" s="2" t="s">
        <v>74</v>
      </c>
      <c r="E4228" s="5">
        <v>-27907</v>
      </c>
      <c r="F4228" s="3" t="s">
        <v>370</v>
      </c>
      <c r="G4228" s="3" t="s">
        <v>20</v>
      </c>
      <c r="H4228" s="2" t="s">
        <v>21</v>
      </c>
      <c r="I4228" s="2" t="s">
        <v>8532</v>
      </c>
      <c r="J4228" s="3" t="str">
        <f>HYPERLINK("https://www.boe.es/gazeta/dias/1823/08/04/pdfs/GES-1823-116.pdf#page=4","Abrir facsímil")</f>
        <v>Abrir facsímil</v>
      </c>
      <c r="K4228" s="3" t="s">
        <v>23</v>
      </c>
    </row>
    <row r="4229" spans="1:11" ht="42" customHeight="1">
      <c r="A4229" s="2" t="s">
        <v>8533</v>
      </c>
      <c r="B4229" s="2" t="s">
        <v>8534</v>
      </c>
      <c r="C4229" s="2" t="s">
        <v>79</v>
      </c>
      <c r="D4229" s="2" t="s">
        <v>74</v>
      </c>
      <c r="E4229" s="5">
        <v>-28093</v>
      </c>
      <c r="F4229" s="3" t="s">
        <v>1044</v>
      </c>
      <c r="G4229" s="3" t="s">
        <v>59</v>
      </c>
      <c r="H4229" s="2" t="s">
        <v>21</v>
      </c>
      <c r="I4229" s="2" t="s">
        <v>8535</v>
      </c>
      <c r="J4229" s="3" t="str">
        <f>HYPERLINK("https://www.boe.es/gazeta/dias/1823/01/30/pdfs/GMD-1823-31.pdf#page=6","Abrir facsímil")</f>
        <v>Abrir facsímil</v>
      </c>
      <c r="K4229" s="3" t="s">
        <v>23</v>
      </c>
    </row>
    <row r="4230" spans="1:11" ht="42" customHeight="1">
      <c r="A4230" s="2" t="s">
        <v>8536</v>
      </c>
      <c r="B4230" s="2" t="s">
        <v>8537</v>
      </c>
      <c r="C4230" s="2" t="s">
        <v>17</v>
      </c>
      <c r="D4230" s="2" t="s">
        <v>18</v>
      </c>
      <c r="E4230" s="5">
        <v>-28009</v>
      </c>
      <c r="F4230" s="3" t="s">
        <v>212</v>
      </c>
      <c r="G4230" s="3" t="s">
        <v>48</v>
      </c>
      <c r="H4230" s="2" t="s">
        <v>21</v>
      </c>
      <c r="I4230" s="2" t="s">
        <v>8538</v>
      </c>
      <c r="J4230" s="3" t="str">
        <f>HYPERLINK("https://www.boe.es/gazeta/dias/1823/04/24/pdfs/GMD-1823-52.pdf#page=3","Abrir facsímil")</f>
        <v>Abrir facsímil</v>
      </c>
      <c r="K4230" s="3" t="s">
        <v>23</v>
      </c>
    </row>
    <row r="4231" spans="1:11" ht="42" customHeight="1">
      <c r="A4231" s="2" t="s">
        <v>8536</v>
      </c>
      <c r="B4231" s="2" t="s">
        <v>8537</v>
      </c>
      <c r="C4231" s="2" t="s">
        <v>17</v>
      </c>
      <c r="D4231" s="2" t="s">
        <v>18</v>
      </c>
      <c r="E4231" s="5">
        <v>-28006</v>
      </c>
      <c r="F4231" s="3" t="s">
        <v>183</v>
      </c>
      <c r="G4231" s="3" t="s">
        <v>59</v>
      </c>
      <c r="H4231" s="2" t="s">
        <v>21</v>
      </c>
      <c r="I4231" s="2" t="s">
        <v>8539</v>
      </c>
      <c r="J4231" s="3" t="str">
        <f>HYPERLINK("https://www.boe.es/gazeta/dias/1823/04/27/pdfs/GES-1823-17.pdf#page=6","Abrir facsímil")</f>
        <v>Abrir facsímil</v>
      </c>
      <c r="K4231" s="3" t="s">
        <v>23</v>
      </c>
    </row>
    <row r="4232" spans="1:11" ht="42" customHeight="1">
      <c r="A4232" s="2" t="s">
        <v>8536</v>
      </c>
      <c r="B4232" s="2" t="s">
        <v>8537</v>
      </c>
      <c r="C4232" s="2" t="s">
        <v>17</v>
      </c>
      <c r="D4232" s="2" t="s">
        <v>18</v>
      </c>
      <c r="E4232" s="5">
        <v>-28000</v>
      </c>
      <c r="F4232" s="3" t="s">
        <v>138</v>
      </c>
      <c r="G4232" s="3" t="s">
        <v>20</v>
      </c>
      <c r="H4232" s="2" t="s">
        <v>21</v>
      </c>
      <c r="I4232" s="2" t="s">
        <v>8540</v>
      </c>
      <c r="J4232" s="3" t="str">
        <f>HYPERLINK("https://www.boe.es/gazeta/dias/1823/05/03/pdfs/GMD-1823-92.pdf#page=4","Abrir facsímil")</f>
        <v>Abrir facsímil</v>
      </c>
      <c r="K4232" s="3" t="s">
        <v>23</v>
      </c>
    </row>
    <row r="4233" spans="1:11" ht="42" customHeight="1">
      <c r="A4233" s="2" t="s">
        <v>8541</v>
      </c>
      <c r="B4233" s="2" t="s">
        <v>8542</v>
      </c>
      <c r="C4233" s="2" t="s">
        <v>109</v>
      </c>
      <c r="D4233" s="2" t="s">
        <v>74</v>
      </c>
      <c r="E4233" s="5">
        <v>-27923</v>
      </c>
      <c r="F4233" s="3" t="s">
        <v>1225</v>
      </c>
      <c r="G4233" s="3" t="s">
        <v>39</v>
      </c>
      <c r="H4233" s="2" t="s">
        <v>21</v>
      </c>
      <c r="I4233" s="2" t="s">
        <v>8543</v>
      </c>
      <c r="J4233" s="3" t="str">
        <f>HYPERLINK("https://www.boe.es/gazeta/dias/1823/07/19/pdfs/GMD-1823-433.pdf#page=1","Abrir facsímil")</f>
        <v>Abrir facsímil</v>
      </c>
      <c r="K4233" s="3" t="s">
        <v>23</v>
      </c>
    </row>
    <row r="4234" spans="1:11" ht="42" customHeight="1">
      <c r="A4234" s="2" t="s">
        <v>8544</v>
      </c>
      <c r="B4234" s="2" t="s">
        <v>8544</v>
      </c>
      <c r="C4234" s="2" t="s">
        <v>17</v>
      </c>
      <c r="D4234" s="2" t="s">
        <v>18</v>
      </c>
      <c r="E4234" s="5">
        <v>-28072</v>
      </c>
      <c r="F4234" s="3" t="s">
        <v>4439</v>
      </c>
      <c r="G4234" s="3" t="s">
        <v>27</v>
      </c>
      <c r="H4234" s="2" t="s">
        <v>21</v>
      </c>
      <c r="I4234" s="2" t="s">
        <v>8545</v>
      </c>
      <c r="J4234" s="3" t="str">
        <f>HYPERLINK("https://www.boe.es/gazeta/dias/1823/02/20/pdfs/GMD-1823-54.pdf#page=2","Abrir facsímil")</f>
        <v>Abrir facsímil</v>
      </c>
      <c r="K4234" s="3" t="s">
        <v>23</v>
      </c>
    </row>
    <row r="4235" spans="1:11" ht="42" customHeight="1">
      <c r="A4235" s="2" t="s">
        <v>8546</v>
      </c>
      <c r="B4235" s="2" t="s">
        <v>8547</v>
      </c>
      <c r="C4235" s="2" t="s">
        <v>79</v>
      </c>
      <c r="D4235" s="2" t="s">
        <v>74</v>
      </c>
      <c r="E4235" s="5">
        <v>-28089</v>
      </c>
      <c r="F4235" s="3" t="s">
        <v>1979</v>
      </c>
      <c r="G4235" s="3" t="s">
        <v>59</v>
      </c>
      <c r="H4235" s="2" t="s">
        <v>21</v>
      </c>
      <c r="I4235" s="2" t="s">
        <v>8548</v>
      </c>
      <c r="J4235" s="3" t="str">
        <f>HYPERLINK("https://www.boe.es/gazeta/dias/1823/02/03/pdfs/GMD-1823-36.pdf#page=6","Abrir facsímil")</f>
        <v>Abrir facsímil</v>
      </c>
      <c r="K4235" s="3" t="s">
        <v>23</v>
      </c>
    </row>
    <row r="4236" spans="1:11" ht="42" customHeight="1">
      <c r="A4236" s="2" t="s">
        <v>8549</v>
      </c>
      <c r="B4236" s="2" t="s">
        <v>8550</v>
      </c>
      <c r="C4236" s="2" t="s">
        <v>56</v>
      </c>
      <c r="D4236" s="2" t="s">
        <v>57</v>
      </c>
      <c r="E4236" s="5">
        <v>-27958</v>
      </c>
      <c r="F4236" s="3" t="s">
        <v>2203</v>
      </c>
      <c r="G4236" s="3" t="s">
        <v>27</v>
      </c>
      <c r="H4236" s="2" t="s">
        <v>21</v>
      </c>
      <c r="I4236" s="2" t="s">
        <v>8551</v>
      </c>
      <c r="J4236" s="3" t="str">
        <f>HYPERLINK("https://www.boe.es/gazeta/dias/1823/06/14/pdfs/GMD-1823-153.pdf#page=2","Abrir facsímil")</f>
        <v>Abrir facsímil</v>
      </c>
      <c r="K4236" s="3" t="s">
        <v>23</v>
      </c>
    </row>
    <row r="4237" spans="1:11" ht="42" customHeight="1">
      <c r="A4237" s="2" t="s">
        <v>8552</v>
      </c>
      <c r="B4237" s="2" t="s">
        <v>8552</v>
      </c>
      <c r="C4237" s="2" t="s">
        <v>73</v>
      </c>
      <c r="D4237" s="2" t="s">
        <v>74</v>
      </c>
      <c r="E4237" s="5">
        <v>-27820</v>
      </c>
      <c r="F4237" s="3" t="s">
        <v>6283</v>
      </c>
      <c r="G4237" s="3" t="s">
        <v>20</v>
      </c>
      <c r="H4237" s="2" t="s">
        <v>21</v>
      </c>
      <c r="I4237" s="2" t="s">
        <v>8553</v>
      </c>
      <c r="J4237" s="3" t="str">
        <f>HYPERLINK("https://www.boe.es/gazeta/dias/1823/10/30/pdfs/GMD-1823-1043.pdf#page=4","Abrir facsímil")</f>
        <v>Abrir facsímil</v>
      </c>
      <c r="K4237" s="3" t="s">
        <v>23</v>
      </c>
    </row>
    <row r="4238" spans="1:11" ht="42" customHeight="1">
      <c r="A4238" s="2" t="s">
        <v>8554</v>
      </c>
      <c r="B4238" s="2" t="s">
        <v>8554</v>
      </c>
      <c r="C4238" s="2" t="s">
        <v>56</v>
      </c>
      <c r="D4238" s="2" t="s">
        <v>57</v>
      </c>
      <c r="E4238" s="5">
        <v>-28073</v>
      </c>
      <c r="F4238" s="3" t="s">
        <v>204</v>
      </c>
      <c r="G4238" s="3" t="s">
        <v>39</v>
      </c>
      <c r="H4238" s="2" t="s">
        <v>21</v>
      </c>
      <c r="I4238" s="2" t="s">
        <v>8555</v>
      </c>
      <c r="J4238" s="3" t="str">
        <f>HYPERLINK("https://www.boe.es/gazeta/dias/1823/02/19/pdfs/GMD-1823-53.pdf#page=1","Abrir facsímil")</f>
        <v>Abrir facsímil</v>
      </c>
      <c r="K4238" s="3" t="s">
        <v>23</v>
      </c>
    </row>
    <row r="4239" spans="1:11" ht="42" customHeight="1">
      <c r="A4239" s="2" t="s">
        <v>8556</v>
      </c>
      <c r="B4239" s="2" t="s">
        <v>8556</v>
      </c>
      <c r="C4239" s="2" t="s">
        <v>17</v>
      </c>
      <c r="D4239" s="2" t="s">
        <v>18</v>
      </c>
      <c r="E4239" s="5">
        <v>-28096</v>
      </c>
      <c r="F4239" s="3" t="s">
        <v>534</v>
      </c>
      <c r="G4239" s="3" t="s">
        <v>48</v>
      </c>
      <c r="H4239" s="2" t="s">
        <v>21</v>
      </c>
      <c r="I4239" s="2" t="s">
        <v>8557</v>
      </c>
      <c r="J4239" s="3" t="str">
        <f>HYPERLINK("https://www.boe.es/gazeta/dias/1823/01/27/pdfs/GMD-1823-28.pdf#page=3","Abrir facsímil")</f>
        <v>Abrir facsímil</v>
      </c>
      <c r="K4239" s="3" t="s">
        <v>23</v>
      </c>
    </row>
    <row r="4240" spans="1:11" ht="42" customHeight="1">
      <c r="A4240" s="2" t="s">
        <v>8558</v>
      </c>
      <c r="B4240" s="2" t="s">
        <v>8558</v>
      </c>
      <c r="C4240" s="2" t="s">
        <v>17</v>
      </c>
      <c r="D4240" s="2" t="s">
        <v>18</v>
      </c>
      <c r="E4240" s="5">
        <v>-27918</v>
      </c>
      <c r="F4240" s="3" t="s">
        <v>218</v>
      </c>
      <c r="G4240" s="3" t="s">
        <v>48</v>
      </c>
      <c r="H4240" s="2" t="s">
        <v>21</v>
      </c>
      <c r="I4240" s="2" t="s">
        <v>8559</v>
      </c>
      <c r="J4240" s="3" t="str">
        <f>HYPERLINK("https://www.boe.es/gazeta/dias/1823/07/24/pdfs/GMD-1823-463.pdf#page=3","Abrir facsímil")</f>
        <v>Abrir facsímil</v>
      </c>
      <c r="K4240" s="3" t="s">
        <v>23</v>
      </c>
    </row>
    <row r="4241" spans="1:11" ht="42" customHeight="1">
      <c r="A4241" s="2" t="s">
        <v>8560</v>
      </c>
      <c r="B4241" s="2" t="s">
        <v>8560</v>
      </c>
      <c r="C4241" s="2" t="s">
        <v>79</v>
      </c>
      <c r="D4241" s="2" t="s">
        <v>74</v>
      </c>
      <c r="E4241" s="5">
        <v>-27897</v>
      </c>
      <c r="F4241" s="3" t="s">
        <v>1569</v>
      </c>
      <c r="G4241" s="3" t="s">
        <v>39</v>
      </c>
      <c r="H4241" s="2" t="s">
        <v>21</v>
      </c>
      <c r="I4241" s="2" t="s">
        <v>8561</v>
      </c>
      <c r="J4241" s="3" t="str">
        <f>HYPERLINK("https://www.boe.es/gazeta/dias/1823/08/14/pdfs/GMD-1823-593.pdf#page=1","Abrir facsímil")</f>
        <v>Abrir facsímil</v>
      </c>
      <c r="K4241" s="3" t="s">
        <v>23</v>
      </c>
    </row>
    <row r="4242" spans="1:11" ht="42" customHeight="1">
      <c r="A4242" s="2" t="s">
        <v>8562</v>
      </c>
      <c r="B4242" s="2" t="s">
        <v>8562</v>
      </c>
      <c r="C4242" s="2" t="s">
        <v>109</v>
      </c>
      <c r="D4242" s="2" t="s">
        <v>74</v>
      </c>
      <c r="E4242" s="5">
        <v>-27876</v>
      </c>
      <c r="F4242" s="3" t="s">
        <v>8384</v>
      </c>
      <c r="G4242" s="3" t="s">
        <v>39</v>
      </c>
      <c r="H4242" s="2" t="s">
        <v>21</v>
      </c>
      <c r="I4242" s="2" t="s">
        <v>8563</v>
      </c>
      <c r="J4242" s="3" t="str">
        <f>HYPERLINK("https://www.boe.es/gazeta/dias/1823/09/04/pdfs/GMD-1823-693.pdf#page=1","Abrir facsímil")</f>
        <v>Abrir facsímil</v>
      </c>
      <c r="K4242" s="3" t="s">
        <v>23</v>
      </c>
    </row>
    <row r="4243" spans="1:11" ht="42" customHeight="1">
      <c r="A4243" s="2" t="s">
        <v>8564</v>
      </c>
      <c r="B4243" s="2" t="s">
        <v>8564</v>
      </c>
      <c r="C4243" s="2" t="s">
        <v>56</v>
      </c>
      <c r="D4243" s="2" t="s">
        <v>57</v>
      </c>
      <c r="E4243" s="5">
        <v>-27869</v>
      </c>
      <c r="F4243" s="3" t="s">
        <v>520</v>
      </c>
      <c r="G4243" s="3" t="s">
        <v>27</v>
      </c>
      <c r="H4243" s="2" t="s">
        <v>21</v>
      </c>
      <c r="I4243" s="2" t="s">
        <v>8565</v>
      </c>
      <c r="J4243" s="3" t="str">
        <f>HYPERLINK("https://www.boe.es/gazeta/dias/1823/09/11/pdfs/GMD-1823-753.pdf#page=2","Abrir facsímil")</f>
        <v>Abrir facsímil</v>
      </c>
      <c r="K4243" s="3" t="s">
        <v>23</v>
      </c>
    </row>
    <row r="4244" spans="1:11" ht="42" customHeight="1">
      <c r="A4244" s="2" t="s">
        <v>8566</v>
      </c>
      <c r="B4244" s="2" t="s">
        <v>8567</v>
      </c>
      <c r="C4244" s="2" t="s">
        <v>79</v>
      </c>
      <c r="D4244" s="2" t="s">
        <v>74</v>
      </c>
      <c r="E4244" s="5">
        <v>-28077</v>
      </c>
      <c r="F4244" s="3" t="s">
        <v>536</v>
      </c>
      <c r="G4244" s="3" t="s">
        <v>59</v>
      </c>
      <c r="H4244" s="2" t="s">
        <v>21</v>
      </c>
      <c r="I4244" s="2" t="s">
        <v>8568</v>
      </c>
      <c r="J4244" s="3" t="str">
        <f>HYPERLINK("https://www.boe.es/gazeta/dias/1823/02/15/pdfs/GMD-1823-49.pdf#page=6","Abrir facsímil")</f>
        <v>Abrir facsímil</v>
      </c>
      <c r="K4244" s="3" t="s">
        <v>23</v>
      </c>
    </row>
    <row r="4245" spans="1:11" ht="42" customHeight="1">
      <c r="A4245" s="2" t="s">
        <v>8569</v>
      </c>
      <c r="B4245" s="2" t="s">
        <v>8570</v>
      </c>
      <c r="C4245" s="2" t="s">
        <v>17</v>
      </c>
      <c r="D4245" s="2" t="s">
        <v>18</v>
      </c>
      <c r="E4245" s="5">
        <v>-28091</v>
      </c>
      <c r="F4245" s="3" t="s">
        <v>1047</v>
      </c>
      <c r="G4245" s="3" t="s">
        <v>34</v>
      </c>
      <c r="H4245" s="2" t="s">
        <v>21</v>
      </c>
      <c r="I4245" s="2" t="s">
        <v>8571</v>
      </c>
      <c r="J4245" s="3" t="str">
        <f>HYPERLINK("https://www.boe.es/gazeta/dias/1823/02/01/pdfs/GMD-1823-34.pdf#page=5","Abrir facsímil")</f>
        <v>Abrir facsímil</v>
      </c>
      <c r="K4245" s="3" t="s">
        <v>23</v>
      </c>
    </row>
    <row r="4246" spans="1:11" ht="42" customHeight="1">
      <c r="A4246" s="2" t="s">
        <v>8572</v>
      </c>
      <c r="B4246" s="2" t="s">
        <v>8573</v>
      </c>
      <c r="C4246" s="2" t="s">
        <v>17</v>
      </c>
      <c r="D4246" s="2" t="s">
        <v>18</v>
      </c>
      <c r="E4246" s="5">
        <v>-27964</v>
      </c>
      <c r="F4246" s="3" t="s">
        <v>58</v>
      </c>
      <c r="G4246" s="3" t="s">
        <v>20</v>
      </c>
      <c r="H4246" s="2" t="s">
        <v>21</v>
      </c>
      <c r="I4246" s="2" t="s">
        <v>8574</v>
      </c>
      <c r="J4246" s="3" t="str">
        <f>HYPERLINK("https://www.boe.es/gazeta/dias/1823/06/08/pdfs/GES-1823-62.pdf#page=4","Abrir facsímil")</f>
        <v>Abrir facsímil</v>
      </c>
      <c r="K4246" s="3" t="s">
        <v>23</v>
      </c>
    </row>
    <row r="4247" spans="1:11" ht="42" customHeight="1">
      <c r="A4247" s="2" t="s">
        <v>8575</v>
      </c>
      <c r="B4247" s="2" t="s">
        <v>8575</v>
      </c>
      <c r="C4247" s="2" t="s">
        <v>109</v>
      </c>
      <c r="D4247" s="2" t="s">
        <v>74</v>
      </c>
      <c r="E4247" s="5">
        <v>-28066</v>
      </c>
      <c r="F4247" s="3" t="s">
        <v>19</v>
      </c>
      <c r="G4247" s="3" t="s">
        <v>48</v>
      </c>
      <c r="H4247" s="2" t="s">
        <v>21</v>
      </c>
      <c r="I4247" s="2" t="s">
        <v>8576</v>
      </c>
      <c r="J4247" s="3" t="str">
        <f>HYPERLINK("https://www.boe.es/gazeta/dias/1823/02/26/pdfs/GMD-1823-60.pdf#page=3","Abrir facsímil")</f>
        <v>Abrir facsímil</v>
      </c>
      <c r="K4247" s="3" t="s">
        <v>23</v>
      </c>
    </row>
    <row r="4248" spans="1:11" ht="42" customHeight="1">
      <c r="A4248" s="2" t="s">
        <v>8575</v>
      </c>
      <c r="B4248" s="2" t="s">
        <v>8575</v>
      </c>
      <c r="C4248" s="2" t="s">
        <v>17</v>
      </c>
      <c r="D4248" s="2" t="s">
        <v>18</v>
      </c>
      <c r="E4248" s="5">
        <v>-28065</v>
      </c>
      <c r="F4248" s="3" t="s">
        <v>686</v>
      </c>
      <c r="G4248" s="3" t="s">
        <v>48</v>
      </c>
      <c r="H4248" s="2" t="s">
        <v>21</v>
      </c>
      <c r="I4248" s="2" t="s">
        <v>8577</v>
      </c>
      <c r="J4248" s="3" t="str">
        <f>HYPERLINK("https://www.boe.es/gazeta/dias/1823/02/27/pdfs/GMD-1823-61.pdf#page=3","Abrir facsímil")</f>
        <v>Abrir facsímil</v>
      </c>
      <c r="K4248" s="3" t="s">
        <v>23</v>
      </c>
    </row>
    <row r="4249" spans="1:11" ht="42" customHeight="1">
      <c r="A4249" s="2" t="s">
        <v>8578</v>
      </c>
      <c r="B4249" s="2" t="s">
        <v>8578</v>
      </c>
      <c r="C4249" s="2" t="s">
        <v>17</v>
      </c>
      <c r="D4249" s="2" t="s">
        <v>18</v>
      </c>
      <c r="E4249" s="5">
        <v>-28115</v>
      </c>
      <c r="F4249" s="3" t="s">
        <v>579</v>
      </c>
      <c r="G4249" s="3" t="s">
        <v>1458</v>
      </c>
      <c r="H4249" s="2" t="s">
        <v>21</v>
      </c>
      <c r="I4249" s="2" t="s">
        <v>8579</v>
      </c>
      <c r="J4249" s="3" t="str">
        <f>HYPERLINK("https://www.boe.es/gazeta/dias/1823/01/08/pdfs/GMD-1823-8.pdf#page=4","Abrir facsímil")</f>
        <v>Abrir facsímil</v>
      </c>
      <c r="K4249" s="3" t="s">
        <v>23</v>
      </c>
    </row>
    <row r="4250" spans="1:11" ht="42" customHeight="1">
      <c r="A4250" s="2" t="s">
        <v>8580</v>
      </c>
      <c r="B4250" s="2" t="s">
        <v>8580</v>
      </c>
      <c r="C4250" s="2" t="s">
        <v>56</v>
      </c>
      <c r="D4250" s="2" t="s">
        <v>57</v>
      </c>
      <c r="E4250" s="5">
        <v>-27912</v>
      </c>
      <c r="F4250" s="3" t="s">
        <v>365</v>
      </c>
      <c r="G4250" s="3" t="s">
        <v>39</v>
      </c>
      <c r="H4250" s="2" t="s">
        <v>21</v>
      </c>
      <c r="I4250" s="2" t="s">
        <v>8581</v>
      </c>
      <c r="J4250" s="3" t="str">
        <f>HYPERLINK("https://www.boe.es/gazeta/dias/1823/07/30/pdfs/GES-1823-111.pdf#page=1","Abrir facsímil")</f>
        <v>Abrir facsímil</v>
      </c>
      <c r="K4250" s="3" t="s">
        <v>23</v>
      </c>
    </row>
    <row r="4251" spans="1:11" ht="42" customHeight="1">
      <c r="A4251" s="2" t="s">
        <v>8582</v>
      </c>
      <c r="B4251" s="2" t="s">
        <v>8583</v>
      </c>
      <c r="C4251" s="2" t="s">
        <v>109</v>
      </c>
      <c r="D4251" s="2" t="s">
        <v>74</v>
      </c>
      <c r="E4251" s="5">
        <v>-28097</v>
      </c>
      <c r="F4251" s="3" t="s">
        <v>1368</v>
      </c>
      <c r="G4251" s="3" t="s">
        <v>20</v>
      </c>
      <c r="H4251" s="2" t="s">
        <v>21</v>
      </c>
      <c r="I4251" s="2" t="s">
        <v>8584</v>
      </c>
      <c r="J4251" s="3" t="str">
        <f>HYPERLINK("https://www.boe.es/gazeta/dias/1823/01/26/pdfs/GMD-1823-27.pdf#page=4","Abrir facsímil")</f>
        <v>Abrir facsímil</v>
      </c>
      <c r="K4251" s="3" t="s">
        <v>23</v>
      </c>
    </row>
    <row r="4252" spans="1:11" ht="42" customHeight="1">
      <c r="A4252" s="2" t="s">
        <v>8585</v>
      </c>
      <c r="B4252" s="2" t="s">
        <v>8586</v>
      </c>
      <c r="C4252" s="2" t="s">
        <v>84</v>
      </c>
      <c r="D4252" s="2" t="s">
        <v>74</v>
      </c>
      <c r="E4252" s="5">
        <v>-27879</v>
      </c>
      <c r="F4252" s="3" t="s">
        <v>638</v>
      </c>
      <c r="G4252" s="3" t="s">
        <v>27</v>
      </c>
      <c r="H4252" s="2" t="s">
        <v>21</v>
      </c>
      <c r="I4252" s="2" t="s">
        <v>8587</v>
      </c>
      <c r="J4252" s="3" t="str">
        <f>HYPERLINK("https://www.boe.es/gazeta/dias/1823/09/01/pdfs/GES-1823-145.pdf#page=2","Abrir facsímil")</f>
        <v>Abrir facsímil</v>
      </c>
      <c r="K4252" s="3" t="s">
        <v>23</v>
      </c>
    </row>
    <row r="4253" spans="1:11" ht="42" customHeight="1">
      <c r="A4253" s="2" t="s">
        <v>8588</v>
      </c>
      <c r="B4253" s="2" t="s">
        <v>8589</v>
      </c>
      <c r="C4253" s="2" t="s">
        <v>17</v>
      </c>
      <c r="D4253" s="2" t="s">
        <v>18</v>
      </c>
      <c r="E4253" s="5">
        <v>-27877</v>
      </c>
      <c r="F4253" s="3" t="s">
        <v>844</v>
      </c>
      <c r="G4253" s="3" t="s">
        <v>20</v>
      </c>
      <c r="H4253" s="2" t="s">
        <v>21</v>
      </c>
      <c r="I4253" s="2" t="s">
        <v>8590</v>
      </c>
      <c r="J4253" s="3" t="str">
        <f>HYPERLINK("https://www.boe.es/gazeta/dias/1823/09/03/pdfs/GES-1823-147.pdf#page=4","Abrir facsímil")</f>
        <v>Abrir facsímil</v>
      </c>
      <c r="K4253" s="3" t="s">
        <v>23</v>
      </c>
    </row>
    <row r="4254" spans="1:11" ht="42" customHeight="1">
      <c r="A4254" s="2" t="s">
        <v>8591</v>
      </c>
      <c r="B4254" s="2" t="s">
        <v>8592</v>
      </c>
      <c r="C4254" s="2" t="s">
        <v>17</v>
      </c>
      <c r="D4254" s="2" t="s">
        <v>18</v>
      </c>
      <c r="E4254" s="5">
        <v>-28021</v>
      </c>
      <c r="F4254" s="3" t="s">
        <v>1054</v>
      </c>
      <c r="G4254" s="3" t="s">
        <v>1055</v>
      </c>
      <c r="H4254" s="2" t="s">
        <v>21</v>
      </c>
      <c r="I4254" s="2" t="s">
        <v>8593</v>
      </c>
      <c r="J4254" s="3" t="str">
        <f>HYPERLINK("https://www.boe.es/gazeta/dias/1823/04/12/pdfs/GMD-1823-107.pdf#page=4","Abrir facsímil")</f>
        <v>Abrir facsímil</v>
      </c>
      <c r="K4254" s="3" t="s">
        <v>23</v>
      </c>
    </row>
    <row r="4255" spans="1:11" ht="42" customHeight="1">
      <c r="A4255" s="2" t="s">
        <v>8594</v>
      </c>
      <c r="B4255" s="2" t="s">
        <v>8595</v>
      </c>
      <c r="C4255" s="2" t="s">
        <v>17</v>
      </c>
      <c r="D4255" s="2" t="s">
        <v>18</v>
      </c>
      <c r="E4255" s="5">
        <v>-28092</v>
      </c>
      <c r="F4255" s="3" t="s">
        <v>105</v>
      </c>
      <c r="G4255" s="3" t="s">
        <v>20</v>
      </c>
      <c r="H4255" s="2" t="s">
        <v>21</v>
      </c>
      <c r="I4255" s="2" t="s">
        <v>8596</v>
      </c>
      <c r="J4255" s="3" t="str">
        <f>HYPERLINK("https://www.boe.es/gazeta/dias/1823/01/31/pdfs/GMD-1823-32.pdf#page=4","Abrir facsímil")</f>
        <v>Abrir facsímil</v>
      </c>
      <c r="K4255" s="3" t="s">
        <v>23</v>
      </c>
    </row>
    <row r="4256" spans="1:11" ht="42" customHeight="1">
      <c r="A4256" s="2" t="s">
        <v>8597</v>
      </c>
      <c r="B4256" s="2" t="s">
        <v>8598</v>
      </c>
      <c r="C4256" s="2" t="s">
        <v>56</v>
      </c>
      <c r="D4256" s="2" t="s">
        <v>57</v>
      </c>
      <c r="E4256" s="5">
        <v>-28021</v>
      </c>
      <c r="F4256" s="3" t="s">
        <v>1054</v>
      </c>
      <c r="G4256" s="3" t="s">
        <v>1055</v>
      </c>
      <c r="H4256" s="2" t="s">
        <v>21</v>
      </c>
      <c r="I4256" s="2" t="s">
        <v>8599</v>
      </c>
      <c r="J4256" s="3" t="str">
        <f>HYPERLINK("https://www.boe.es/gazeta/dias/1823/04/12/pdfs/GMD-1823-107.pdf#page=4","Abrir facsímil")</f>
        <v>Abrir facsímil</v>
      </c>
      <c r="K4256" s="3" t="s">
        <v>23</v>
      </c>
    </row>
    <row r="4257" spans="1:11" ht="42" customHeight="1">
      <c r="A4257" s="2" t="s">
        <v>8600</v>
      </c>
      <c r="B4257" s="2" t="s">
        <v>8600</v>
      </c>
      <c r="C4257" s="2" t="s">
        <v>17</v>
      </c>
      <c r="D4257" s="2" t="s">
        <v>18</v>
      </c>
      <c r="E4257" s="5">
        <v>-27927</v>
      </c>
      <c r="F4257" s="3" t="s">
        <v>2409</v>
      </c>
      <c r="G4257" s="3" t="s">
        <v>48</v>
      </c>
      <c r="H4257" s="2" t="s">
        <v>21</v>
      </c>
      <c r="I4257" s="2" t="s">
        <v>8601</v>
      </c>
      <c r="J4257" s="3" t="str">
        <f>HYPERLINK("https://www.boe.es/gazeta/dias/1823/07/15/pdfs/GMD-1823-403.pdf#page=3","Abrir facsímil")</f>
        <v>Abrir facsímil</v>
      </c>
      <c r="K4257" s="3" t="s">
        <v>23</v>
      </c>
    </row>
    <row r="4258" spans="1:11" ht="42" customHeight="1">
      <c r="A4258" s="2" t="s">
        <v>8602</v>
      </c>
      <c r="B4258" s="2" t="s">
        <v>8602</v>
      </c>
      <c r="C4258" s="2" t="s">
        <v>17</v>
      </c>
      <c r="D4258" s="2" t="s">
        <v>18</v>
      </c>
      <c r="E4258" s="5">
        <v>-27906</v>
      </c>
      <c r="F4258" s="3" t="s">
        <v>1527</v>
      </c>
      <c r="G4258" s="3" t="s">
        <v>20</v>
      </c>
      <c r="H4258" s="2" t="s">
        <v>21</v>
      </c>
      <c r="I4258" s="2" t="s">
        <v>8603</v>
      </c>
      <c r="J4258" s="3" t="str">
        <f>HYPERLINK("https://www.boe.es/gazeta/dias/1823/08/05/pdfs/GMD-1823-533.pdf#page=4","Abrir facsímil")</f>
        <v>Abrir facsímil</v>
      </c>
      <c r="K4258" s="3" t="s">
        <v>23</v>
      </c>
    </row>
    <row r="4259" spans="1:11" ht="42" customHeight="1">
      <c r="A4259" s="2" t="s">
        <v>8602</v>
      </c>
      <c r="B4259" s="2" t="s">
        <v>8602</v>
      </c>
      <c r="C4259" s="2" t="s">
        <v>17</v>
      </c>
      <c r="D4259" s="2" t="s">
        <v>18</v>
      </c>
      <c r="E4259" s="5">
        <v>-27855</v>
      </c>
      <c r="F4259" s="3" t="s">
        <v>380</v>
      </c>
      <c r="G4259" s="3" t="s">
        <v>27</v>
      </c>
      <c r="H4259" s="2" t="s">
        <v>21</v>
      </c>
      <c r="I4259" s="2" t="s">
        <v>8604</v>
      </c>
      <c r="J4259" s="3" t="str">
        <f>HYPERLINK("https://www.boe.es/gazeta/dias/1823/09/25/pdfs/GMD-1823-853.pdf#page=2","Abrir facsímil")</f>
        <v>Abrir facsímil</v>
      </c>
      <c r="K4259" s="3" t="s">
        <v>23</v>
      </c>
    </row>
    <row r="4260" spans="1:11" ht="42" customHeight="1">
      <c r="A4260" s="2" t="s">
        <v>8605</v>
      </c>
      <c r="B4260" s="2" t="s">
        <v>8606</v>
      </c>
      <c r="C4260" s="2" t="s">
        <v>17</v>
      </c>
      <c r="D4260" s="2" t="s">
        <v>18</v>
      </c>
      <c r="E4260" s="5">
        <v>-27964</v>
      </c>
      <c r="F4260" s="3" t="s">
        <v>58</v>
      </c>
      <c r="G4260" s="3" t="s">
        <v>59</v>
      </c>
      <c r="H4260" s="2" t="s">
        <v>21</v>
      </c>
      <c r="I4260" s="2" t="s">
        <v>8607</v>
      </c>
      <c r="J4260" s="3" t="str">
        <f>HYPERLINK("https://www.boe.es/gazeta/dias/1823/06/08/pdfs/GES-1823-62.pdf#page=6","Abrir facsímil")</f>
        <v>Abrir facsímil</v>
      </c>
      <c r="K4260" s="3" t="s">
        <v>23</v>
      </c>
    </row>
    <row r="4261" spans="1:11" ht="42" customHeight="1">
      <c r="A4261" s="2" t="s">
        <v>8608</v>
      </c>
      <c r="B4261" s="2" t="s">
        <v>8608</v>
      </c>
      <c r="C4261" s="2" t="s">
        <v>109</v>
      </c>
      <c r="D4261" s="2" t="s">
        <v>74</v>
      </c>
      <c r="E4261" s="5">
        <v>-27962</v>
      </c>
      <c r="F4261" s="3" t="s">
        <v>477</v>
      </c>
      <c r="G4261" s="3" t="s">
        <v>48</v>
      </c>
      <c r="H4261" s="2" t="s">
        <v>21</v>
      </c>
      <c r="I4261" s="2" t="s">
        <v>8609</v>
      </c>
      <c r="J4261" s="3" t="str">
        <f>HYPERLINK("https://www.boe.es/gazeta/dias/1823/06/10/pdfs/GMD-1823-103.pdf#page=3","Abrir facsímil")</f>
        <v>Abrir facsímil</v>
      </c>
      <c r="K4261" s="3" t="s">
        <v>23</v>
      </c>
    </row>
    <row r="4262" spans="1:11" ht="42" customHeight="1">
      <c r="A4262" s="2" t="s">
        <v>8610</v>
      </c>
      <c r="B4262" s="2" t="s">
        <v>8611</v>
      </c>
      <c r="C4262" s="2" t="s">
        <v>17</v>
      </c>
      <c r="D4262" s="2" t="s">
        <v>18</v>
      </c>
      <c r="E4262" s="5">
        <v>-28003</v>
      </c>
      <c r="F4262" s="3" t="s">
        <v>26</v>
      </c>
      <c r="G4262" s="3" t="s">
        <v>27</v>
      </c>
      <c r="H4262" s="2" t="s">
        <v>21</v>
      </c>
      <c r="I4262" s="2" t="s">
        <v>8612</v>
      </c>
      <c r="J4262" s="3" t="str">
        <f>HYPERLINK("https://www.boe.es/gazeta/dias/1823/04/30/pdfs/GES-1823-20.pdf#page=2","Abrir facsímil")</f>
        <v>Abrir facsímil</v>
      </c>
      <c r="K4262" s="3" t="s">
        <v>23</v>
      </c>
    </row>
    <row r="4263" spans="1:11" ht="42" customHeight="1">
      <c r="A4263" s="2" t="s">
        <v>8613</v>
      </c>
      <c r="B4263" s="2" t="s">
        <v>8614</v>
      </c>
      <c r="C4263" s="2" t="s">
        <v>293</v>
      </c>
      <c r="D4263" s="2" t="s">
        <v>74</v>
      </c>
      <c r="E4263" s="5">
        <v>-28022</v>
      </c>
      <c r="F4263" s="3" t="s">
        <v>439</v>
      </c>
      <c r="G4263" s="3" t="s">
        <v>20</v>
      </c>
      <c r="H4263" s="2" t="s">
        <v>21</v>
      </c>
      <c r="I4263" s="2" t="s">
        <v>8615</v>
      </c>
      <c r="J4263" s="3" t="str">
        <f>HYPERLINK("https://www.boe.es/gazeta/dias/1823/04/11/pdfs/GMD-1823-106.pdf#page=4","Abrir facsímil")</f>
        <v>Abrir facsímil</v>
      </c>
      <c r="K4263" s="3" t="s">
        <v>23</v>
      </c>
    </row>
    <row r="4264" spans="1:11" ht="42" customHeight="1">
      <c r="A4264" s="2" t="s">
        <v>8616</v>
      </c>
      <c r="B4264" s="2" t="s">
        <v>8617</v>
      </c>
      <c r="C4264" s="2" t="s">
        <v>17</v>
      </c>
      <c r="D4264" s="2" t="s">
        <v>18</v>
      </c>
      <c r="E4264" s="5">
        <v>-28104</v>
      </c>
      <c r="F4264" s="3" t="s">
        <v>114</v>
      </c>
      <c r="G4264" s="3" t="s">
        <v>59</v>
      </c>
      <c r="H4264" s="2" t="s">
        <v>21</v>
      </c>
      <c r="I4264" s="2" t="s">
        <v>8618</v>
      </c>
      <c r="J4264" s="3" t="str">
        <f>HYPERLINK("https://www.boe.es/gazeta/dias/1823/01/19/pdfs/GMD-1823-19.pdf#page=6","Abrir facsímil")</f>
        <v>Abrir facsímil</v>
      </c>
      <c r="K4264" s="3" t="s">
        <v>23</v>
      </c>
    </row>
    <row r="4265" spans="1:11" ht="42" customHeight="1">
      <c r="A4265" s="2" t="s">
        <v>8619</v>
      </c>
      <c r="B4265" s="2" t="s">
        <v>8620</v>
      </c>
      <c r="C4265" s="2" t="s">
        <v>79</v>
      </c>
      <c r="D4265" s="2" t="s">
        <v>74</v>
      </c>
      <c r="E4265" s="5">
        <v>-27797</v>
      </c>
      <c r="F4265" s="3" t="s">
        <v>3409</v>
      </c>
      <c r="G4265" s="3" t="s">
        <v>48</v>
      </c>
      <c r="H4265" s="2" t="s">
        <v>21</v>
      </c>
      <c r="I4265" s="2" t="s">
        <v>8621</v>
      </c>
      <c r="J4265" s="3" t="str">
        <f>HYPERLINK("https://www.boe.es/gazeta/dias/1823/11/22/pdfs/GMD-1823-1153.pdf#page=3","Abrir facsímil")</f>
        <v>Abrir facsímil</v>
      </c>
      <c r="K4265" s="3" t="s">
        <v>23</v>
      </c>
    </row>
    <row r="4266" spans="1:11" ht="42" customHeight="1">
      <c r="A4266" s="2" t="s">
        <v>8622</v>
      </c>
      <c r="B4266" s="2" t="s">
        <v>8623</v>
      </c>
      <c r="C4266" s="2" t="s">
        <v>325</v>
      </c>
      <c r="D4266" s="2" t="s">
        <v>74</v>
      </c>
      <c r="E4266" s="5">
        <v>-27920</v>
      </c>
      <c r="F4266" s="3" t="s">
        <v>1334</v>
      </c>
      <c r="G4266" s="3" t="s">
        <v>715</v>
      </c>
      <c r="H4266" s="2" t="s">
        <v>21</v>
      </c>
      <c r="I4266" s="2" t="s">
        <v>8624</v>
      </c>
      <c r="J4266" s="3" t="str">
        <f>HYPERLINK("https://www.boe.es/gazeta/dias/1823/07/22/pdfs/GMD-1823-443.pdf#page=8","Abrir facsímil")</f>
        <v>Abrir facsímil</v>
      </c>
      <c r="K4266" s="3" t="s">
        <v>23</v>
      </c>
    </row>
    <row r="4267" spans="1:11" ht="42" customHeight="1">
      <c r="A4267" s="2" t="s">
        <v>8625</v>
      </c>
      <c r="B4267" s="2" t="s">
        <v>8626</v>
      </c>
      <c r="C4267" s="2" t="s">
        <v>84</v>
      </c>
      <c r="D4267" s="2" t="s">
        <v>74</v>
      </c>
      <c r="E4267" s="5">
        <v>-28031</v>
      </c>
      <c r="F4267" s="3" t="s">
        <v>1211</v>
      </c>
      <c r="G4267" s="3" t="s">
        <v>20</v>
      </c>
      <c r="H4267" s="2" t="s">
        <v>21</v>
      </c>
      <c r="I4267" s="2" t="s">
        <v>8627</v>
      </c>
      <c r="J4267" s="3" t="str">
        <f>HYPERLINK("https://www.boe.es/gazeta/dias/1823/04/02/pdfs/GMD-1823-96.pdf#page=4","Abrir facsímil")</f>
        <v>Abrir facsímil</v>
      </c>
      <c r="K4267" s="3" t="s">
        <v>23</v>
      </c>
    </row>
    <row r="4268" spans="1:11" ht="42" customHeight="1">
      <c r="A4268" s="2" t="s">
        <v>8628</v>
      </c>
      <c r="B4268" s="2" t="s">
        <v>8629</v>
      </c>
      <c r="C4268" s="2" t="s">
        <v>17</v>
      </c>
      <c r="D4268" s="2" t="s">
        <v>18</v>
      </c>
      <c r="E4268" s="5">
        <v>-28013</v>
      </c>
      <c r="F4268" s="3" t="s">
        <v>2466</v>
      </c>
      <c r="G4268" s="3" t="s">
        <v>2467</v>
      </c>
      <c r="H4268" s="2" t="s">
        <v>21</v>
      </c>
      <c r="I4268" s="2" t="s">
        <v>8630</v>
      </c>
      <c r="J4268" s="3" t="str">
        <f>HYPERLINK("https://www.boe.es/gazeta/dias/1823/04/20/pdfs/GES-1823-10.pdf#page=3","Abrir facsímil")</f>
        <v>Abrir facsímil</v>
      </c>
      <c r="K4268" s="3" t="s">
        <v>23</v>
      </c>
    </row>
    <row r="4269" spans="1:11" ht="42" customHeight="1">
      <c r="A4269" s="2" t="s">
        <v>8631</v>
      </c>
      <c r="B4269" s="2" t="s">
        <v>8632</v>
      </c>
      <c r="C4269" s="2" t="s">
        <v>325</v>
      </c>
      <c r="D4269" s="2" t="s">
        <v>74</v>
      </c>
      <c r="E4269" s="5">
        <v>-27762</v>
      </c>
      <c r="F4269" s="3" t="s">
        <v>1614</v>
      </c>
      <c r="G4269" s="3" t="s">
        <v>20</v>
      </c>
      <c r="H4269" s="2" t="s">
        <v>21</v>
      </c>
      <c r="I4269" s="2" t="s">
        <v>8633</v>
      </c>
      <c r="J4269" s="3" t="str">
        <f>HYPERLINK("https://www.boe.es/gazeta/dias/1823/12/27/pdfs/GMD-1823-1303.pdf#page=4","Abrir facsímil")</f>
        <v>Abrir facsímil</v>
      </c>
      <c r="K4269" s="3" t="s">
        <v>23</v>
      </c>
    </row>
    <row r="4270" spans="1:11" ht="42" customHeight="1">
      <c r="A4270" s="2" t="s">
        <v>8634</v>
      </c>
      <c r="B4270" s="2" t="s">
        <v>8634</v>
      </c>
      <c r="C4270" s="2" t="s">
        <v>56</v>
      </c>
      <c r="D4270" s="2" t="s">
        <v>57</v>
      </c>
      <c r="E4270" s="5">
        <v>-27918</v>
      </c>
      <c r="F4270" s="3" t="s">
        <v>3181</v>
      </c>
      <c r="G4270" s="3" t="s">
        <v>3249</v>
      </c>
      <c r="H4270" s="2" t="s">
        <v>21</v>
      </c>
      <c r="I4270" s="2" t="s">
        <v>8635</v>
      </c>
      <c r="J4270" s="3" t="str">
        <f>HYPERLINK("https://www.boe.es/gazeta/dias/1823/07/24/pdfs/GES-1823-105.pdf#page=3","Abrir facsímil")</f>
        <v>Abrir facsímil</v>
      </c>
      <c r="K4270" s="3" t="s">
        <v>23</v>
      </c>
    </row>
    <row r="4271" spans="1:11" ht="42" customHeight="1">
      <c r="A4271" s="2" t="s">
        <v>8636</v>
      </c>
      <c r="B4271" s="2" t="s">
        <v>8636</v>
      </c>
      <c r="C4271" s="2" t="s">
        <v>17</v>
      </c>
      <c r="D4271" s="2" t="s">
        <v>18</v>
      </c>
      <c r="E4271" s="5">
        <v>-27860</v>
      </c>
      <c r="F4271" s="3" t="s">
        <v>998</v>
      </c>
      <c r="G4271" s="3" t="s">
        <v>59</v>
      </c>
      <c r="H4271" s="2" t="s">
        <v>21</v>
      </c>
      <c r="I4271" s="2" t="s">
        <v>8637</v>
      </c>
      <c r="J4271" s="3" t="str">
        <f>HYPERLINK("https://www.boe.es/gazeta/dias/1823/09/20/pdfs/GMD-1823-813.pdf#page=6","Abrir facsímil")</f>
        <v>Abrir facsímil</v>
      </c>
      <c r="K4271" s="3" t="s">
        <v>23</v>
      </c>
    </row>
    <row r="4272" spans="1:11" ht="42" customHeight="1">
      <c r="A4272" s="2" t="s">
        <v>8638</v>
      </c>
      <c r="B4272" s="2" t="s">
        <v>8639</v>
      </c>
      <c r="C4272" s="2" t="s">
        <v>56</v>
      </c>
      <c r="D4272" s="2" t="s">
        <v>117</v>
      </c>
      <c r="E4272" s="5">
        <v>-27869</v>
      </c>
      <c r="F4272" s="3" t="s">
        <v>2363</v>
      </c>
      <c r="G4272" s="3" t="s">
        <v>39</v>
      </c>
      <c r="H4272" s="2" t="s">
        <v>21</v>
      </c>
      <c r="I4272" s="2" t="s">
        <v>8640</v>
      </c>
      <c r="J4272" s="3" t="str">
        <f>HYPERLINK("https://www.boe.es/gazeta/dias/1823/09/11/pdfs/GMD-1823-763E.pdf#page=1","Abrir facsímil")</f>
        <v>Abrir facsímil</v>
      </c>
      <c r="K4272" s="3" t="s">
        <v>23</v>
      </c>
    </row>
    <row r="4273" spans="1:11" ht="42" customHeight="1">
      <c r="A4273" s="2" t="s">
        <v>8641</v>
      </c>
      <c r="B4273" s="2" t="s">
        <v>8642</v>
      </c>
      <c r="C4273" s="2" t="s">
        <v>79</v>
      </c>
      <c r="D4273" s="2" t="s">
        <v>74</v>
      </c>
      <c r="E4273" s="5">
        <v>-28015</v>
      </c>
      <c r="F4273" s="3" t="s">
        <v>985</v>
      </c>
      <c r="G4273" s="3" t="s">
        <v>20</v>
      </c>
      <c r="H4273" s="2" t="s">
        <v>21</v>
      </c>
      <c r="I4273" s="2" t="s">
        <v>8643</v>
      </c>
      <c r="J4273" s="3" t="str">
        <f>HYPERLINK("https://www.boe.es/gazeta/dias/1823/04/18/pdfs/GES-1823-8.pdf#page=4","Abrir facsímil")</f>
        <v>Abrir facsímil</v>
      </c>
      <c r="K4273" s="3" t="s">
        <v>23</v>
      </c>
    </row>
    <row r="4274" spans="1:11" ht="42" customHeight="1">
      <c r="A4274" s="2" t="s">
        <v>8644</v>
      </c>
      <c r="B4274" s="2" t="s">
        <v>8645</v>
      </c>
      <c r="C4274" s="2" t="s">
        <v>17</v>
      </c>
      <c r="D4274" s="2" t="s">
        <v>18</v>
      </c>
      <c r="E4274" s="5">
        <v>-28042</v>
      </c>
      <c r="F4274" s="3" t="s">
        <v>1218</v>
      </c>
      <c r="G4274" s="3" t="s">
        <v>20</v>
      </c>
      <c r="H4274" s="2" t="s">
        <v>21</v>
      </c>
      <c r="I4274" s="2" t="s">
        <v>8646</v>
      </c>
      <c r="J4274" s="3" t="str">
        <f>HYPERLINK("https://www.boe.es/gazeta/dias/1823/03/22/pdfs/GMD-1823-85.pdf#page=4","Abrir facsímil")</f>
        <v>Abrir facsímil</v>
      </c>
      <c r="K4274" s="3" t="s">
        <v>23</v>
      </c>
    </row>
    <row r="4275" spans="1:11" ht="42" customHeight="1">
      <c r="A4275" s="2" t="s">
        <v>8647</v>
      </c>
      <c r="B4275" s="2" t="s">
        <v>8648</v>
      </c>
      <c r="C4275" s="2" t="s">
        <v>17</v>
      </c>
      <c r="D4275" s="2" t="s">
        <v>18</v>
      </c>
      <c r="E4275" s="5">
        <v>-27944</v>
      </c>
      <c r="F4275" s="3" t="s">
        <v>658</v>
      </c>
      <c r="G4275" s="3" t="s">
        <v>39</v>
      </c>
      <c r="H4275" s="2" t="s">
        <v>28</v>
      </c>
      <c r="I4275" s="2" t="s">
        <v>8649</v>
      </c>
      <c r="J4275" s="3" t="str">
        <f>HYPERLINK("https://www.boe.es/gazeta/dias/1823/06/28/pdfs/GMD-1823-303.pdf#page=1","Abrir facsímil")</f>
        <v>Abrir facsímil</v>
      </c>
      <c r="K4275" s="3" t="s">
        <v>30</v>
      </c>
    </row>
    <row r="4276" spans="1:11" ht="42" customHeight="1">
      <c r="A4276" s="2" t="s">
        <v>8650</v>
      </c>
      <c r="B4276" s="2" t="s">
        <v>8651</v>
      </c>
      <c r="C4276" s="2" t="s">
        <v>293</v>
      </c>
      <c r="D4276" s="2" t="s">
        <v>74</v>
      </c>
      <c r="E4276" s="5">
        <v>-27792</v>
      </c>
      <c r="F4276" s="3" t="s">
        <v>611</v>
      </c>
      <c r="G4276" s="3" t="s">
        <v>48</v>
      </c>
      <c r="H4276" s="2" t="s">
        <v>21</v>
      </c>
      <c r="I4276" s="2" t="s">
        <v>8652</v>
      </c>
      <c r="J4276" s="3" t="str">
        <f>HYPERLINK("https://www.boe.es/gazeta/dias/1823/11/27/pdfs/GMD-1823-1173.pdf#page=3","Abrir facsímil")</f>
        <v>Abrir facsímil</v>
      </c>
      <c r="K4276" s="3" t="s">
        <v>23</v>
      </c>
    </row>
    <row r="4277" spans="1:11" ht="42" customHeight="1">
      <c r="A4277" s="2" t="s">
        <v>8653</v>
      </c>
      <c r="B4277" s="2" t="s">
        <v>8653</v>
      </c>
      <c r="C4277" s="2" t="s">
        <v>17</v>
      </c>
      <c r="D4277" s="2" t="s">
        <v>18</v>
      </c>
      <c r="E4277" s="5">
        <v>-28046</v>
      </c>
      <c r="F4277" s="3" t="s">
        <v>85</v>
      </c>
      <c r="G4277" s="3" t="s">
        <v>20</v>
      </c>
      <c r="H4277" s="2" t="s">
        <v>21</v>
      </c>
      <c r="I4277" s="2" t="s">
        <v>8654</v>
      </c>
      <c r="J4277" s="3" t="str">
        <f>HYPERLINK("https://www.boe.es/gazeta/dias/1823/03/18/pdfs/GMD-1823-81.pdf#page=4","Abrir facsímil")</f>
        <v>Abrir facsímil</v>
      </c>
      <c r="K4277" s="3" t="s">
        <v>23</v>
      </c>
    </row>
    <row r="4278" spans="1:11" ht="42" customHeight="1">
      <c r="A4278" s="2" t="s">
        <v>8655</v>
      </c>
      <c r="B4278" s="2" t="s">
        <v>8656</v>
      </c>
      <c r="C4278" s="2" t="s">
        <v>17</v>
      </c>
      <c r="D4278" s="2" t="s">
        <v>18</v>
      </c>
      <c r="E4278" s="5">
        <v>-28037</v>
      </c>
      <c r="F4278" s="3" t="s">
        <v>192</v>
      </c>
      <c r="G4278" s="3" t="s">
        <v>39</v>
      </c>
      <c r="H4278" s="2" t="s">
        <v>21</v>
      </c>
      <c r="I4278" s="2" t="s">
        <v>8657</v>
      </c>
      <c r="J4278" s="3" t="str">
        <f>HYPERLINK("https://www.boe.es/gazeta/dias/1823/03/27/pdfs/GMD-1823-90.pdf#page=1","Abrir facsímil")</f>
        <v>Abrir facsímil</v>
      </c>
      <c r="K4278" s="3" t="s">
        <v>23</v>
      </c>
    </row>
    <row r="4279" spans="1:11" ht="42" customHeight="1">
      <c r="A4279" s="2" t="s">
        <v>8658</v>
      </c>
      <c r="B4279" s="2" t="s">
        <v>8659</v>
      </c>
      <c r="C4279" s="2" t="s">
        <v>17</v>
      </c>
      <c r="D4279" s="2" t="s">
        <v>18</v>
      </c>
      <c r="E4279" s="5">
        <v>-27911</v>
      </c>
      <c r="F4279" s="3" t="s">
        <v>368</v>
      </c>
      <c r="G4279" s="3" t="s">
        <v>39</v>
      </c>
      <c r="H4279" s="2" t="s">
        <v>21</v>
      </c>
      <c r="I4279" s="2" t="s">
        <v>8660</v>
      </c>
      <c r="J4279" s="3" t="str">
        <f>HYPERLINK("https://www.boe.es/gazeta/dias/1823/07/31/pdfs/GES-1823-112.pdf#page=1","Abrir facsímil")</f>
        <v>Abrir facsímil</v>
      </c>
      <c r="K4279" s="3" t="s">
        <v>23</v>
      </c>
    </row>
    <row r="4280" spans="1:11" ht="42" customHeight="1">
      <c r="A4280" s="2" t="s">
        <v>8661</v>
      </c>
      <c r="B4280" s="2" t="s">
        <v>8661</v>
      </c>
      <c r="C4280" s="2" t="s">
        <v>17</v>
      </c>
      <c r="D4280" s="2" t="s">
        <v>18</v>
      </c>
      <c r="E4280" s="5">
        <v>-28068</v>
      </c>
      <c r="F4280" s="3" t="s">
        <v>1325</v>
      </c>
      <c r="G4280" s="3" t="s">
        <v>48</v>
      </c>
      <c r="H4280" s="2" t="s">
        <v>21</v>
      </c>
      <c r="I4280" s="2" t="s">
        <v>8662</v>
      </c>
      <c r="J4280" s="3" t="str">
        <f>HYPERLINK("https://www.boe.es/gazeta/dias/1823/02/24/pdfs/GMD-1823-58.pdf#page=3","Abrir facsímil")</f>
        <v>Abrir facsímil</v>
      </c>
      <c r="K4280" s="3" t="s">
        <v>23</v>
      </c>
    </row>
    <row r="4281" spans="1:11" ht="42" customHeight="1">
      <c r="A4281" s="2" t="s">
        <v>8661</v>
      </c>
      <c r="B4281" s="2" t="s">
        <v>8661</v>
      </c>
      <c r="C4281" s="2" t="s">
        <v>17</v>
      </c>
      <c r="D4281" s="2" t="s">
        <v>18</v>
      </c>
      <c r="E4281" s="5">
        <v>-28050</v>
      </c>
      <c r="F4281" s="3" t="s">
        <v>473</v>
      </c>
      <c r="G4281" s="3" t="s">
        <v>27</v>
      </c>
      <c r="H4281" s="2" t="s">
        <v>21</v>
      </c>
      <c r="I4281" s="2" t="s">
        <v>8663</v>
      </c>
      <c r="J4281" s="3" t="str">
        <f>HYPERLINK("https://www.boe.es/gazeta/dias/1823/03/14/pdfs/GMD-1823-77.pdf#page=2","Abrir facsímil")</f>
        <v>Abrir facsímil</v>
      </c>
      <c r="K4281" s="3" t="s">
        <v>23</v>
      </c>
    </row>
    <row r="4282" spans="1:11" ht="42" customHeight="1">
      <c r="A4282" s="2" t="s">
        <v>8661</v>
      </c>
      <c r="B4282" s="2" t="s">
        <v>8661</v>
      </c>
      <c r="C4282" s="2" t="s">
        <v>17</v>
      </c>
      <c r="D4282" s="2" t="s">
        <v>18</v>
      </c>
      <c r="E4282" s="5">
        <v>-28039</v>
      </c>
      <c r="F4282" s="3" t="s">
        <v>126</v>
      </c>
      <c r="G4282" s="3" t="s">
        <v>39</v>
      </c>
      <c r="H4282" s="2" t="s">
        <v>21</v>
      </c>
      <c r="I4282" s="2" t="s">
        <v>8664</v>
      </c>
      <c r="J4282" s="3" t="str">
        <f>HYPERLINK("https://www.boe.es/gazeta/dias/1823/03/25/pdfs/GMD-1823-88.pdf#page=1","Abrir facsímil")</f>
        <v>Abrir facsímil</v>
      </c>
      <c r="K4282" s="3" t="s">
        <v>23</v>
      </c>
    </row>
    <row r="4283" spans="1:11" ht="42" customHeight="1">
      <c r="A4283" s="2" t="s">
        <v>8661</v>
      </c>
      <c r="B4283" s="2" t="s">
        <v>8661</v>
      </c>
      <c r="C4283" s="2" t="s">
        <v>17</v>
      </c>
      <c r="D4283" s="2" t="s">
        <v>18</v>
      </c>
      <c r="E4283" s="5">
        <v>-28036</v>
      </c>
      <c r="F4283" s="3" t="s">
        <v>2216</v>
      </c>
      <c r="G4283" s="3" t="s">
        <v>27</v>
      </c>
      <c r="H4283" s="2" t="s">
        <v>21</v>
      </c>
      <c r="I4283" s="2" t="s">
        <v>8665</v>
      </c>
      <c r="J4283" s="3" t="str">
        <f>HYPERLINK("https://www.boe.es/gazeta/dias/1823/03/28/pdfs/GMD-1823-91.pdf#page=2","Abrir facsímil")</f>
        <v>Abrir facsímil</v>
      </c>
      <c r="K4283" s="3" t="s">
        <v>23</v>
      </c>
    </row>
    <row r="4284" spans="1:11" ht="42" customHeight="1">
      <c r="A4284" s="2" t="s">
        <v>8666</v>
      </c>
      <c r="B4284" s="2" t="s">
        <v>8666</v>
      </c>
      <c r="C4284" s="2" t="s">
        <v>56</v>
      </c>
      <c r="D4284" s="2" t="s">
        <v>57</v>
      </c>
      <c r="E4284" s="5">
        <v>-27913</v>
      </c>
      <c r="F4284" s="3" t="s">
        <v>829</v>
      </c>
      <c r="G4284" s="3" t="s">
        <v>715</v>
      </c>
      <c r="H4284" s="2" t="s">
        <v>21</v>
      </c>
      <c r="I4284" s="2" t="s">
        <v>8667</v>
      </c>
      <c r="J4284" s="3" t="str">
        <f>HYPERLINK("https://www.boe.es/gazeta/dias/1823/07/29/pdfs/GMD-1823-483.pdf#page=8","Abrir facsímil")</f>
        <v>Abrir facsímil</v>
      </c>
      <c r="K4284" s="3" t="s">
        <v>23</v>
      </c>
    </row>
    <row r="4285" spans="1:11" ht="42" customHeight="1">
      <c r="A4285" s="2" t="s">
        <v>8668</v>
      </c>
      <c r="B4285" s="2" t="s">
        <v>8668</v>
      </c>
      <c r="C4285" s="2" t="s">
        <v>56</v>
      </c>
      <c r="D4285" s="2" t="s">
        <v>57</v>
      </c>
      <c r="E4285" s="5">
        <v>-28060</v>
      </c>
      <c r="F4285" s="3" t="s">
        <v>180</v>
      </c>
      <c r="G4285" s="3" t="s">
        <v>27</v>
      </c>
      <c r="H4285" s="2" t="s">
        <v>21</v>
      </c>
      <c r="I4285" s="2" t="s">
        <v>8669</v>
      </c>
      <c r="J4285" s="3" t="str">
        <f>HYPERLINK("https://www.boe.es/gazeta/dias/1823/03/04/pdfs/GMD-1823-67.pdf#page=2","Abrir facsímil")</f>
        <v>Abrir facsímil</v>
      </c>
      <c r="K4285" s="3" t="s">
        <v>23</v>
      </c>
    </row>
    <row r="4286" spans="1:11" ht="42" customHeight="1">
      <c r="A4286" s="2" t="s">
        <v>8670</v>
      </c>
      <c r="B4286" s="2" t="s">
        <v>8670</v>
      </c>
      <c r="C4286" s="2" t="s">
        <v>79</v>
      </c>
      <c r="D4286" s="2" t="s">
        <v>74</v>
      </c>
      <c r="E4286" s="5">
        <v>-28112</v>
      </c>
      <c r="F4286" s="3" t="s">
        <v>43</v>
      </c>
      <c r="G4286" s="3" t="s">
        <v>20</v>
      </c>
      <c r="H4286" s="2" t="s">
        <v>21</v>
      </c>
      <c r="I4286" s="2" t="s">
        <v>8671</v>
      </c>
      <c r="J4286" s="3" t="str">
        <f>HYPERLINK("https://www.boe.es/gazeta/dias/1823/01/11/pdfs/GMD-1823-11.pdf#page=4","Abrir facsímil")</f>
        <v>Abrir facsímil</v>
      </c>
      <c r="K4286" s="3" t="s">
        <v>23</v>
      </c>
    </row>
    <row r="4287" spans="1:11" ht="42" customHeight="1">
      <c r="A4287" s="2" t="s">
        <v>8670</v>
      </c>
      <c r="B4287" s="2" t="s">
        <v>8670</v>
      </c>
      <c r="C4287" s="2" t="s">
        <v>79</v>
      </c>
      <c r="D4287" s="2" t="s">
        <v>74</v>
      </c>
      <c r="E4287" s="5">
        <v>-28104</v>
      </c>
      <c r="F4287" s="3" t="s">
        <v>114</v>
      </c>
      <c r="G4287" s="3" t="s">
        <v>34</v>
      </c>
      <c r="H4287" s="2" t="s">
        <v>21</v>
      </c>
      <c r="I4287" s="2" t="s">
        <v>8672</v>
      </c>
      <c r="J4287" s="3" t="str">
        <f>HYPERLINK("https://www.boe.es/gazeta/dias/1823/01/19/pdfs/GMD-1823-19.pdf#page=5","Abrir facsímil")</f>
        <v>Abrir facsímil</v>
      </c>
      <c r="K4287" s="3" t="s">
        <v>23</v>
      </c>
    </row>
    <row r="4288" spans="1:11" ht="42" customHeight="1">
      <c r="A4288" s="2" t="s">
        <v>8670</v>
      </c>
      <c r="B4288" s="2" t="s">
        <v>8670</v>
      </c>
      <c r="C4288" s="2" t="s">
        <v>17</v>
      </c>
      <c r="D4288" s="2" t="s">
        <v>18</v>
      </c>
      <c r="E4288" s="5">
        <v>-28068</v>
      </c>
      <c r="F4288" s="3" t="s">
        <v>1325</v>
      </c>
      <c r="G4288" s="3" t="s">
        <v>20</v>
      </c>
      <c r="H4288" s="2" t="s">
        <v>21</v>
      </c>
      <c r="I4288" s="2" t="s">
        <v>8673</v>
      </c>
      <c r="J4288" s="3" t="str">
        <f>HYPERLINK("https://www.boe.es/gazeta/dias/1823/02/24/pdfs/GMD-1823-58.pdf#page=4","Abrir facsímil")</f>
        <v>Abrir facsímil</v>
      </c>
      <c r="K4288" s="3" t="s">
        <v>23</v>
      </c>
    </row>
    <row r="4289" spans="1:11" ht="42" customHeight="1">
      <c r="A4289" s="2" t="s">
        <v>8670</v>
      </c>
      <c r="B4289" s="2" t="s">
        <v>8670</v>
      </c>
      <c r="C4289" s="2" t="s">
        <v>56</v>
      </c>
      <c r="D4289" s="2" t="s">
        <v>57</v>
      </c>
      <c r="E4289" s="5">
        <v>-28044</v>
      </c>
      <c r="F4289" s="3" t="s">
        <v>1930</v>
      </c>
      <c r="G4289" s="3" t="s">
        <v>20</v>
      </c>
      <c r="H4289" s="2" t="s">
        <v>21</v>
      </c>
      <c r="I4289" s="2" t="s">
        <v>8674</v>
      </c>
      <c r="J4289" s="3" t="str">
        <f>HYPERLINK("https://www.boe.es/gazeta/dias/1823/03/20/pdfs/GMD-1823-83.pdf#page=4","Abrir facsímil")</f>
        <v>Abrir facsímil</v>
      </c>
      <c r="K4289" s="3" t="s">
        <v>23</v>
      </c>
    </row>
    <row r="4290" spans="1:11" ht="42" customHeight="1">
      <c r="A4290" s="2" t="s">
        <v>8670</v>
      </c>
      <c r="B4290" s="2" t="s">
        <v>8670</v>
      </c>
      <c r="C4290" s="2" t="s">
        <v>79</v>
      </c>
      <c r="D4290" s="2" t="s">
        <v>74</v>
      </c>
      <c r="E4290" s="5">
        <v>-28031</v>
      </c>
      <c r="F4290" s="3" t="s">
        <v>1211</v>
      </c>
      <c r="G4290" s="3" t="s">
        <v>20</v>
      </c>
      <c r="H4290" s="2" t="s">
        <v>21</v>
      </c>
      <c r="I4290" s="2" t="s">
        <v>8675</v>
      </c>
      <c r="J4290" s="3" t="str">
        <f>HYPERLINK("https://www.boe.es/gazeta/dias/1823/04/02/pdfs/GMD-1823-96.pdf#page=4","Abrir facsímil")</f>
        <v>Abrir facsímil</v>
      </c>
      <c r="K4290" s="3" t="s">
        <v>23</v>
      </c>
    </row>
    <row r="4291" spans="1:11" ht="42" customHeight="1">
      <c r="A4291" s="2" t="s">
        <v>8670</v>
      </c>
      <c r="B4291" s="2" t="s">
        <v>8670</v>
      </c>
      <c r="C4291" s="2" t="s">
        <v>79</v>
      </c>
      <c r="D4291" s="2" t="s">
        <v>74</v>
      </c>
      <c r="E4291" s="5">
        <v>-28022</v>
      </c>
      <c r="F4291" s="3" t="s">
        <v>439</v>
      </c>
      <c r="G4291" s="3" t="s">
        <v>39</v>
      </c>
      <c r="H4291" s="2" t="s">
        <v>21</v>
      </c>
      <c r="I4291" s="2" t="s">
        <v>8676</v>
      </c>
      <c r="J4291" s="3" t="str">
        <f>HYPERLINK("https://www.boe.es/gazeta/dias/1823/04/11/pdfs/GMD-1823-106.pdf#page=1","Abrir facsímil")</f>
        <v>Abrir facsímil</v>
      </c>
      <c r="K4291" s="3" t="s">
        <v>23</v>
      </c>
    </row>
    <row r="4292" spans="1:11" ht="42" customHeight="1">
      <c r="A4292" s="2" t="s">
        <v>8670</v>
      </c>
      <c r="B4292" s="2" t="s">
        <v>8670</v>
      </c>
      <c r="C4292" s="2" t="s">
        <v>325</v>
      </c>
      <c r="D4292" s="2" t="s">
        <v>74</v>
      </c>
      <c r="E4292" s="5">
        <v>-28013</v>
      </c>
      <c r="F4292" s="3" t="s">
        <v>105</v>
      </c>
      <c r="G4292" s="3" t="s">
        <v>20</v>
      </c>
      <c r="H4292" s="2" t="s">
        <v>21</v>
      </c>
      <c r="I4292" s="2" t="s">
        <v>8677</v>
      </c>
      <c r="J4292" s="3" t="str">
        <f>HYPERLINK("https://www.boe.es/gazeta/dias/1823/04/20/pdfs/GMD-1823-32.pdf#page=4","Abrir facsímil")</f>
        <v>Abrir facsímil</v>
      </c>
      <c r="K4292" s="3" t="s">
        <v>23</v>
      </c>
    </row>
    <row r="4293" spans="1:11" ht="42" customHeight="1">
      <c r="A4293" s="2" t="s">
        <v>8670</v>
      </c>
      <c r="B4293" s="2" t="s">
        <v>8670</v>
      </c>
      <c r="C4293" s="2" t="s">
        <v>79</v>
      </c>
      <c r="D4293" s="2" t="s">
        <v>74</v>
      </c>
      <c r="E4293" s="5">
        <v>-27988</v>
      </c>
      <c r="F4293" s="3" t="s">
        <v>692</v>
      </c>
      <c r="G4293" s="3" t="s">
        <v>27</v>
      </c>
      <c r="H4293" s="2" t="s">
        <v>21</v>
      </c>
      <c r="I4293" s="2" t="s">
        <v>8678</v>
      </c>
      <c r="J4293" s="3" t="str">
        <f>HYPERLINK("https://www.boe.es/gazeta/dias/1823/05/15/pdfs/GES-1823-35.pdf#page=2","Abrir facsímil")</f>
        <v>Abrir facsímil</v>
      </c>
      <c r="K4293" s="3" t="s">
        <v>23</v>
      </c>
    </row>
    <row r="4294" spans="1:11" ht="42" customHeight="1">
      <c r="A4294" s="2" t="s">
        <v>8670</v>
      </c>
      <c r="B4294" s="2" t="s">
        <v>8670</v>
      </c>
      <c r="C4294" s="2" t="s">
        <v>109</v>
      </c>
      <c r="D4294" s="2" t="s">
        <v>74</v>
      </c>
      <c r="E4294" s="5">
        <v>-27968</v>
      </c>
      <c r="F4294" s="3" t="s">
        <v>1160</v>
      </c>
      <c r="G4294" s="3" t="s">
        <v>20</v>
      </c>
      <c r="H4294" s="2" t="s">
        <v>21</v>
      </c>
      <c r="I4294" s="2" t="s">
        <v>8679</v>
      </c>
      <c r="J4294" s="3" t="str">
        <f>HYPERLINK("https://www.boe.es/gazeta/dias/1823/06/04/pdfs/GES-1823-58.pdf#page=4","Abrir facsímil")</f>
        <v>Abrir facsímil</v>
      </c>
      <c r="K4294" s="3" t="s">
        <v>23</v>
      </c>
    </row>
    <row r="4295" spans="1:11" ht="42" customHeight="1">
      <c r="A4295" s="2" t="s">
        <v>8670</v>
      </c>
      <c r="B4295" s="2" t="s">
        <v>8670</v>
      </c>
      <c r="C4295" s="2" t="s">
        <v>17</v>
      </c>
      <c r="D4295" s="2" t="s">
        <v>18</v>
      </c>
      <c r="E4295" s="5">
        <v>-27966</v>
      </c>
      <c r="F4295" s="3" t="s">
        <v>675</v>
      </c>
      <c r="G4295" s="3" t="s">
        <v>48</v>
      </c>
      <c r="H4295" s="2" t="s">
        <v>21</v>
      </c>
      <c r="I4295" s="2" t="s">
        <v>8680</v>
      </c>
      <c r="J4295" s="3" t="str">
        <f>HYPERLINK("https://www.boe.es/gazeta/dias/1823/06/06/pdfs/GES-1823-60.pdf#page=3","Abrir facsímil")</f>
        <v>Abrir facsímil</v>
      </c>
      <c r="K4295" s="3" t="s">
        <v>23</v>
      </c>
    </row>
    <row r="4296" spans="1:11" ht="42" customHeight="1">
      <c r="A4296" s="2" t="s">
        <v>8670</v>
      </c>
      <c r="B4296" s="2" t="s">
        <v>8670</v>
      </c>
      <c r="C4296" s="2" t="s">
        <v>17</v>
      </c>
      <c r="D4296" s="2" t="s">
        <v>18</v>
      </c>
      <c r="E4296" s="5">
        <v>-27943</v>
      </c>
      <c r="F4296" s="3" t="s">
        <v>346</v>
      </c>
      <c r="G4296" s="3" t="s">
        <v>20</v>
      </c>
      <c r="H4296" s="2" t="s">
        <v>21</v>
      </c>
      <c r="I4296" s="2" t="s">
        <v>8681</v>
      </c>
      <c r="J4296" s="3" t="str">
        <f>HYPERLINK("https://www.boe.es/gazeta/dias/1823/06/29/pdfs/GES-1823-79.pdf#page=4","Abrir facsímil")</f>
        <v>Abrir facsímil</v>
      </c>
      <c r="K4296" s="3" t="s">
        <v>23</v>
      </c>
    </row>
    <row r="4297" spans="1:11" ht="42" customHeight="1">
      <c r="A4297" s="2" t="s">
        <v>8670</v>
      </c>
      <c r="B4297" s="2" t="s">
        <v>8670</v>
      </c>
      <c r="C4297" s="2" t="s">
        <v>73</v>
      </c>
      <c r="D4297" s="2" t="s">
        <v>74</v>
      </c>
      <c r="E4297" s="5">
        <v>-27913</v>
      </c>
      <c r="F4297" s="3" t="s">
        <v>829</v>
      </c>
      <c r="G4297" s="3" t="s">
        <v>20</v>
      </c>
      <c r="H4297" s="2" t="s">
        <v>21</v>
      </c>
      <c r="I4297" s="2" t="s">
        <v>8682</v>
      </c>
      <c r="J4297" s="3" t="str">
        <f>HYPERLINK("https://www.boe.es/gazeta/dias/1823/07/29/pdfs/GMD-1823-483.pdf#page=4","Abrir facsímil")</f>
        <v>Abrir facsímil</v>
      </c>
      <c r="K4297" s="3" t="s">
        <v>23</v>
      </c>
    </row>
    <row r="4298" spans="1:11" ht="42" customHeight="1">
      <c r="A4298" s="2" t="s">
        <v>8670</v>
      </c>
      <c r="B4298" s="2" t="s">
        <v>8670</v>
      </c>
      <c r="C4298" s="2" t="s">
        <v>56</v>
      </c>
      <c r="D4298" s="2" t="s">
        <v>57</v>
      </c>
      <c r="E4298" s="5">
        <v>-27906</v>
      </c>
      <c r="F4298" s="3" t="s">
        <v>1527</v>
      </c>
      <c r="G4298" s="3" t="s">
        <v>39</v>
      </c>
      <c r="H4298" s="2" t="s">
        <v>21</v>
      </c>
      <c r="I4298" s="2" t="s">
        <v>8683</v>
      </c>
      <c r="J4298" s="3" t="str">
        <f>HYPERLINK("https://www.boe.es/gazeta/dias/1823/08/05/pdfs/GMD-1823-533.pdf#page=1","Abrir facsímil")</f>
        <v>Abrir facsímil</v>
      </c>
      <c r="K4298" s="3" t="s">
        <v>23</v>
      </c>
    </row>
    <row r="4299" spans="1:11" ht="42" customHeight="1">
      <c r="A4299" s="2" t="s">
        <v>8684</v>
      </c>
      <c r="B4299" s="2" t="s">
        <v>8685</v>
      </c>
      <c r="C4299" s="2" t="s">
        <v>17</v>
      </c>
      <c r="D4299" s="2" t="s">
        <v>18</v>
      </c>
      <c r="E4299" s="5">
        <v>-27991</v>
      </c>
      <c r="F4299" s="3" t="s">
        <v>328</v>
      </c>
      <c r="G4299" s="3" t="s">
        <v>34</v>
      </c>
      <c r="H4299" s="2" t="s">
        <v>28</v>
      </c>
      <c r="I4299" s="2" t="s">
        <v>8686</v>
      </c>
      <c r="J4299" s="3" t="str">
        <f>HYPERLINK("https://www.boe.es/gazeta/dias/1823/05/12/pdfs/GES-1823-32.pdf#page=5","Abrir facsímil")</f>
        <v>Abrir facsímil</v>
      </c>
      <c r="K4299" s="3" t="s">
        <v>30</v>
      </c>
    </row>
    <row r="4300" spans="1:11" ht="42" customHeight="1">
      <c r="A4300" s="2" t="s">
        <v>8687</v>
      </c>
      <c r="B4300" s="2" t="s">
        <v>8688</v>
      </c>
      <c r="C4300" s="2" t="s">
        <v>109</v>
      </c>
      <c r="D4300" s="2" t="s">
        <v>74</v>
      </c>
      <c r="E4300" s="5">
        <v>-27906</v>
      </c>
      <c r="F4300" s="3" t="s">
        <v>1527</v>
      </c>
      <c r="G4300" s="3" t="s">
        <v>20</v>
      </c>
      <c r="H4300" s="2" t="s">
        <v>21</v>
      </c>
      <c r="I4300" s="2" t="s">
        <v>8689</v>
      </c>
      <c r="J4300" s="3" t="str">
        <f>HYPERLINK("https://www.boe.es/gazeta/dias/1823/08/05/pdfs/GMD-1823-533.pdf#page=4","Abrir facsímil")</f>
        <v>Abrir facsímil</v>
      </c>
      <c r="K4300" s="3" t="s">
        <v>23</v>
      </c>
    </row>
    <row r="4301" spans="1:11" ht="42" customHeight="1">
      <c r="A4301" s="2" t="s">
        <v>8690</v>
      </c>
      <c r="B4301" s="2" t="s">
        <v>8690</v>
      </c>
      <c r="C4301" s="2" t="s">
        <v>17</v>
      </c>
      <c r="D4301" s="2" t="s">
        <v>18</v>
      </c>
      <c r="E4301" s="5">
        <v>-28064</v>
      </c>
      <c r="F4301" s="3" t="s">
        <v>1190</v>
      </c>
      <c r="G4301" s="3" t="s">
        <v>20</v>
      </c>
      <c r="H4301" s="2" t="s">
        <v>21</v>
      </c>
      <c r="I4301" s="2" t="s">
        <v>8691</v>
      </c>
      <c r="J4301" s="3" t="str">
        <f>HYPERLINK("https://www.boe.es/gazeta/dias/1823/02/28/pdfs/GMD-1823-62.pdf#page=4","Abrir facsímil")</f>
        <v>Abrir facsímil</v>
      </c>
      <c r="K4301" s="3" t="s">
        <v>23</v>
      </c>
    </row>
    <row r="4302" spans="1:11" ht="42" customHeight="1">
      <c r="A4302" s="2" t="s">
        <v>8690</v>
      </c>
      <c r="B4302" s="2" t="s">
        <v>8690</v>
      </c>
      <c r="C4302" s="2" t="s">
        <v>79</v>
      </c>
      <c r="D4302" s="2" t="s">
        <v>74</v>
      </c>
      <c r="E4302" s="5">
        <v>-27864</v>
      </c>
      <c r="F4302" s="3" t="s">
        <v>1301</v>
      </c>
      <c r="G4302" s="3" t="s">
        <v>1302</v>
      </c>
      <c r="H4302" s="2" t="s">
        <v>21</v>
      </c>
      <c r="I4302" s="2" t="s">
        <v>8692</v>
      </c>
      <c r="J4302" s="3" t="str">
        <f>HYPERLINK("https://www.boe.es/gazeta/dias/1823/09/16/pdfs/GES-1823-160.pdf#page=1","Abrir facsímil")</f>
        <v>Abrir facsímil</v>
      </c>
      <c r="K4302" s="3" t="s">
        <v>23</v>
      </c>
    </row>
    <row r="4303" spans="1:11" ht="42" customHeight="1">
      <c r="A4303" s="2" t="s">
        <v>8693</v>
      </c>
      <c r="B4303" s="2" t="s">
        <v>8694</v>
      </c>
      <c r="C4303" s="2" t="s">
        <v>79</v>
      </c>
      <c r="D4303" s="2" t="s">
        <v>74</v>
      </c>
      <c r="E4303" s="5">
        <v>-27832</v>
      </c>
      <c r="F4303" s="3" t="s">
        <v>1815</v>
      </c>
      <c r="G4303" s="3" t="s">
        <v>27</v>
      </c>
      <c r="H4303" s="2" t="s">
        <v>21</v>
      </c>
      <c r="I4303" s="2" t="s">
        <v>8695</v>
      </c>
      <c r="J4303" s="3" t="str">
        <f>HYPERLINK("https://www.boe.es/gazeta/dias/1823/10/18/pdfs/GMD-1823-993.pdf#page=2","Abrir facsímil")</f>
        <v>Abrir facsímil</v>
      </c>
      <c r="K4303" s="3" t="s">
        <v>23</v>
      </c>
    </row>
    <row r="4304" spans="1:11" ht="42" customHeight="1">
      <c r="A4304" s="2" t="s">
        <v>8696</v>
      </c>
      <c r="B4304" s="2" t="s">
        <v>8697</v>
      </c>
      <c r="C4304" s="2" t="s">
        <v>56</v>
      </c>
      <c r="D4304" s="2" t="s">
        <v>57</v>
      </c>
      <c r="E4304" s="5">
        <v>-28048</v>
      </c>
      <c r="F4304" s="3" t="s">
        <v>399</v>
      </c>
      <c r="G4304" s="3" t="s">
        <v>20</v>
      </c>
      <c r="H4304" s="2" t="s">
        <v>21</v>
      </c>
      <c r="I4304" s="2" t="s">
        <v>8698</v>
      </c>
      <c r="J4304" s="3" t="str">
        <f>HYPERLINK("https://www.boe.es/gazeta/dias/1823/03/16/pdfs/GMD-1823-79.pdf#page=4","Abrir facsímil")</f>
        <v>Abrir facsímil</v>
      </c>
      <c r="K4304" s="3" t="s">
        <v>23</v>
      </c>
    </row>
    <row r="4305" spans="1:11" ht="42" customHeight="1">
      <c r="A4305" s="2" t="s">
        <v>8699</v>
      </c>
      <c r="B4305" s="2" t="s">
        <v>8700</v>
      </c>
      <c r="C4305" s="2" t="s">
        <v>17</v>
      </c>
      <c r="D4305" s="2" t="s">
        <v>117</v>
      </c>
      <c r="E4305" s="5">
        <v>-27860</v>
      </c>
      <c r="F4305" s="3" t="s">
        <v>4855</v>
      </c>
      <c r="G4305" s="3" t="s">
        <v>39</v>
      </c>
      <c r="H4305" s="2" t="s">
        <v>21</v>
      </c>
      <c r="I4305" s="2" t="s">
        <v>8701</v>
      </c>
      <c r="J4305" s="3" t="str">
        <f>HYPERLINK("https://www.boe.es/gazeta/dias/1823/09/20/pdfs/GMD-1823-823E.pdf#page=1","Abrir facsímil")</f>
        <v>Abrir facsímil</v>
      </c>
      <c r="K4305" s="3" t="s">
        <v>23</v>
      </c>
    </row>
    <row r="4306" spans="1:11" ht="42" customHeight="1">
      <c r="A4306" s="2" t="s">
        <v>8699</v>
      </c>
      <c r="B4306" s="2" t="s">
        <v>8700</v>
      </c>
      <c r="C4306" s="2" t="s">
        <v>109</v>
      </c>
      <c r="D4306" s="2" t="s">
        <v>74</v>
      </c>
      <c r="E4306" s="5">
        <v>-27857</v>
      </c>
      <c r="F4306" s="3" t="s">
        <v>378</v>
      </c>
      <c r="G4306" s="3" t="s">
        <v>27</v>
      </c>
      <c r="H4306" s="2" t="s">
        <v>21</v>
      </c>
      <c r="I4306" s="2" t="s">
        <v>8702</v>
      </c>
      <c r="J4306" s="3" t="str">
        <f>HYPERLINK("https://www.boe.es/gazeta/dias/1823/09/23/pdfs/GMD-1823-833.pdf#page=2","Abrir facsímil")</f>
        <v>Abrir facsímil</v>
      </c>
      <c r="K4306" s="3" t="s">
        <v>23</v>
      </c>
    </row>
    <row r="4307" spans="1:11" ht="42" customHeight="1">
      <c r="A4307" s="2" t="s">
        <v>8703</v>
      </c>
      <c r="B4307" s="2" t="s">
        <v>8703</v>
      </c>
      <c r="C4307" s="2" t="s">
        <v>73</v>
      </c>
      <c r="D4307" s="2" t="s">
        <v>74</v>
      </c>
      <c r="E4307" s="5">
        <v>-27992</v>
      </c>
      <c r="F4307" s="3" t="s">
        <v>565</v>
      </c>
      <c r="G4307" s="3" t="s">
        <v>20</v>
      </c>
      <c r="H4307" s="2" t="s">
        <v>21</v>
      </c>
      <c r="I4307" s="2" t="s">
        <v>8704</v>
      </c>
      <c r="J4307" s="3" t="str">
        <f>HYPERLINK("https://www.boe.es/gazeta/dias/1823/05/11/pdfs/GES-1823-31.pdf#page=4","Abrir facsímil")</f>
        <v>Abrir facsímil</v>
      </c>
      <c r="K4307" s="3" t="s">
        <v>23</v>
      </c>
    </row>
    <row r="4308" spans="1:11" ht="42" customHeight="1">
      <c r="A4308" s="2" t="s">
        <v>8705</v>
      </c>
      <c r="B4308" s="2" t="s">
        <v>8705</v>
      </c>
      <c r="C4308" s="2" t="s">
        <v>109</v>
      </c>
      <c r="D4308" s="2" t="s">
        <v>74</v>
      </c>
      <c r="E4308" s="5">
        <v>-28098</v>
      </c>
      <c r="F4308" s="3" t="s">
        <v>1101</v>
      </c>
      <c r="G4308" s="3" t="s">
        <v>20</v>
      </c>
      <c r="H4308" s="2" t="s">
        <v>21</v>
      </c>
      <c r="I4308" s="2" t="s">
        <v>8706</v>
      </c>
      <c r="J4308" s="3" t="str">
        <f>HYPERLINK("https://www.boe.es/gazeta/dias/1823/01/25/pdfs/GMD-1823-26.pdf#page=4","Abrir facsímil")</f>
        <v>Abrir facsímil</v>
      </c>
      <c r="K4308" s="3" t="s">
        <v>23</v>
      </c>
    </row>
    <row r="4309" spans="1:11" ht="42" customHeight="1">
      <c r="A4309" s="2" t="s">
        <v>8705</v>
      </c>
      <c r="B4309" s="2" t="s">
        <v>8705</v>
      </c>
      <c r="C4309" s="2" t="s">
        <v>17</v>
      </c>
      <c r="D4309" s="2" t="s">
        <v>18</v>
      </c>
      <c r="E4309" s="5">
        <v>-28033</v>
      </c>
      <c r="F4309" s="3" t="s">
        <v>1372</v>
      </c>
      <c r="G4309" s="3" t="s">
        <v>20</v>
      </c>
      <c r="H4309" s="2" t="s">
        <v>21</v>
      </c>
      <c r="I4309" s="2" t="s">
        <v>8707</v>
      </c>
      <c r="J4309" s="3" t="str">
        <f>HYPERLINK("https://www.boe.es/gazeta/dias/1823/03/31/pdfs/GMD-1823-94.pdf#page=4","Abrir facsímil")</f>
        <v>Abrir facsímil</v>
      </c>
      <c r="K4309" s="3" t="s">
        <v>23</v>
      </c>
    </row>
    <row r="4310" spans="1:11" ht="42" customHeight="1">
      <c r="A4310" s="2" t="s">
        <v>8705</v>
      </c>
      <c r="B4310" s="2" t="s">
        <v>8705</v>
      </c>
      <c r="C4310" s="2" t="s">
        <v>79</v>
      </c>
      <c r="D4310" s="2" t="s">
        <v>74</v>
      </c>
      <c r="E4310" s="5">
        <v>-27985</v>
      </c>
      <c r="F4310" s="3" t="s">
        <v>951</v>
      </c>
      <c r="G4310" s="3" t="s">
        <v>1140</v>
      </c>
      <c r="H4310" s="2" t="s">
        <v>21</v>
      </c>
      <c r="I4310" s="2" t="s">
        <v>8708</v>
      </c>
      <c r="J4310" s="3" t="str">
        <f>HYPERLINK("https://www.boe.es/gazeta/dias/1823/05/18/pdfs/GES-1823-38.pdf#page=5","Abrir facsímil")</f>
        <v>Abrir facsímil</v>
      </c>
      <c r="K4310" s="3" t="s">
        <v>23</v>
      </c>
    </row>
    <row r="4311" spans="1:11" ht="42" customHeight="1">
      <c r="A4311" s="2" t="s">
        <v>8705</v>
      </c>
      <c r="B4311" s="2" t="s">
        <v>8705</v>
      </c>
      <c r="C4311" s="2" t="s">
        <v>17</v>
      </c>
      <c r="D4311" s="2" t="s">
        <v>18</v>
      </c>
      <c r="E4311" s="5">
        <v>-27975</v>
      </c>
      <c r="F4311" s="3" t="s">
        <v>47</v>
      </c>
      <c r="G4311" s="3" t="s">
        <v>48</v>
      </c>
      <c r="H4311" s="2" t="s">
        <v>21</v>
      </c>
      <c r="I4311" s="2" t="s">
        <v>8709</v>
      </c>
      <c r="J4311" s="3" t="str">
        <f>HYPERLINK("https://www.boe.es/gazeta/dias/1823/05/28/pdfs/GES-1823-50.pdf#page=3","Abrir facsímil")</f>
        <v>Abrir facsímil</v>
      </c>
      <c r="K4311" s="3" t="s">
        <v>23</v>
      </c>
    </row>
    <row r="4312" spans="1:11" ht="42" customHeight="1">
      <c r="A4312" s="2" t="s">
        <v>8705</v>
      </c>
      <c r="B4312" s="2" t="s">
        <v>8705</v>
      </c>
      <c r="C4312" s="2" t="s">
        <v>17</v>
      </c>
      <c r="D4312" s="2" t="s">
        <v>18</v>
      </c>
      <c r="E4312" s="5">
        <v>-27906</v>
      </c>
      <c r="F4312" s="3" t="s">
        <v>241</v>
      </c>
      <c r="G4312" s="3" t="s">
        <v>59</v>
      </c>
      <c r="H4312" s="2" t="s">
        <v>21</v>
      </c>
      <c r="I4312" s="2" t="s">
        <v>8710</v>
      </c>
      <c r="J4312" s="3" t="str">
        <f>HYPERLINK("https://www.boe.es/gazeta/dias/1823/08/05/pdfs/GES-1823-117.pdf#page=6","Abrir facsímil")</f>
        <v>Abrir facsímil</v>
      </c>
      <c r="K4312" s="3" t="s">
        <v>23</v>
      </c>
    </row>
    <row r="4313" spans="1:11" ht="42" customHeight="1">
      <c r="A4313" s="2" t="s">
        <v>8705</v>
      </c>
      <c r="B4313" s="2" t="s">
        <v>8705</v>
      </c>
      <c r="C4313" s="2" t="s">
        <v>17</v>
      </c>
      <c r="D4313" s="2" t="s">
        <v>18</v>
      </c>
      <c r="E4313" s="5">
        <v>-27888</v>
      </c>
      <c r="F4313" s="3" t="s">
        <v>232</v>
      </c>
      <c r="G4313" s="3" t="s">
        <v>59</v>
      </c>
      <c r="H4313" s="2" t="s">
        <v>21</v>
      </c>
      <c r="I4313" s="2" t="s">
        <v>8711</v>
      </c>
      <c r="J4313" s="3" t="str">
        <f>HYPERLINK("https://www.boe.es/gazeta/dias/1823/08/23/pdfs/GMD-1823-633.pdf#page=6","Abrir facsímil")</f>
        <v>Abrir facsímil</v>
      </c>
      <c r="K4313" s="3" t="s">
        <v>23</v>
      </c>
    </row>
    <row r="4314" spans="1:11" ht="42" customHeight="1">
      <c r="A4314" s="2" t="s">
        <v>8705</v>
      </c>
      <c r="B4314" s="2" t="s">
        <v>8705</v>
      </c>
      <c r="C4314" s="2" t="s">
        <v>79</v>
      </c>
      <c r="D4314" s="2" t="s">
        <v>74</v>
      </c>
      <c r="E4314" s="5">
        <v>-27879</v>
      </c>
      <c r="F4314" s="3" t="s">
        <v>638</v>
      </c>
      <c r="G4314" s="3" t="s">
        <v>48</v>
      </c>
      <c r="H4314" s="2" t="s">
        <v>21</v>
      </c>
      <c r="I4314" s="2" t="s">
        <v>8712</v>
      </c>
      <c r="J4314" s="3" t="str">
        <f>HYPERLINK("https://www.boe.es/gazeta/dias/1823/09/01/pdfs/GES-1823-145.pdf#page=3","Abrir facsímil")</f>
        <v>Abrir facsímil</v>
      </c>
      <c r="K4314" s="3" t="s">
        <v>23</v>
      </c>
    </row>
    <row r="4315" spans="1:11" ht="42" customHeight="1">
      <c r="A4315" s="2" t="s">
        <v>8705</v>
      </c>
      <c r="B4315" s="2" t="s">
        <v>8705</v>
      </c>
      <c r="C4315" s="2" t="s">
        <v>73</v>
      </c>
      <c r="D4315" s="2" t="s">
        <v>74</v>
      </c>
      <c r="E4315" s="5">
        <v>-27874</v>
      </c>
      <c r="F4315" s="3" t="s">
        <v>122</v>
      </c>
      <c r="G4315" s="3" t="s">
        <v>6533</v>
      </c>
      <c r="H4315" s="2" t="s">
        <v>21</v>
      </c>
      <c r="I4315" s="2" t="s">
        <v>8713</v>
      </c>
      <c r="J4315" s="3" t="str">
        <f>HYPERLINK("https://www.boe.es/gazeta/dias/1823/09/06/pdfs/GMD-1823-713.pdf#page=4","Abrir facsímil")</f>
        <v>Abrir facsímil</v>
      </c>
      <c r="K4315" s="3" t="s">
        <v>23</v>
      </c>
    </row>
    <row r="4316" spans="1:11" ht="42" customHeight="1">
      <c r="A4316" s="2" t="s">
        <v>8714</v>
      </c>
      <c r="B4316" s="2" t="s">
        <v>8715</v>
      </c>
      <c r="C4316" s="2" t="s">
        <v>17</v>
      </c>
      <c r="D4316" s="2" t="s">
        <v>18</v>
      </c>
      <c r="E4316" s="5">
        <v>-28104</v>
      </c>
      <c r="F4316" s="3" t="s">
        <v>114</v>
      </c>
      <c r="G4316" s="3" t="s">
        <v>34</v>
      </c>
      <c r="H4316" s="2" t="s">
        <v>28</v>
      </c>
      <c r="I4316" s="2" t="s">
        <v>8716</v>
      </c>
      <c r="J4316" s="3" t="str">
        <f>HYPERLINK("https://www.boe.es/gazeta/dias/1823/01/19/pdfs/GMD-1823-19.pdf#page=5","Abrir facsímil")</f>
        <v>Abrir facsímil</v>
      </c>
      <c r="K4316" s="3" t="s">
        <v>30</v>
      </c>
    </row>
    <row r="4317" spans="1:11" ht="42" customHeight="1">
      <c r="A4317" s="2" t="s">
        <v>8717</v>
      </c>
      <c r="B4317" s="2" t="s">
        <v>8717</v>
      </c>
      <c r="C4317" s="2" t="s">
        <v>325</v>
      </c>
      <c r="D4317" s="2" t="s">
        <v>74</v>
      </c>
      <c r="E4317" s="5">
        <v>-28082</v>
      </c>
      <c r="F4317" s="3" t="s">
        <v>468</v>
      </c>
      <c r="G4317" s="3" t="s">
        <v>59</v>
      </c>
      <c r="H4317" s="2" t="s">
        <v>21</v>
      </c>
      <c r="I4317" s="2" t="s">
        <v>8718</v>
      </c>
      <c r="J4317" s="3" t="str">
        <f>HYPERLINK("https://www.boe.es/gazeta/dias/1823/02/10/pdfs/GMD-1823-44.pdf#page=6","Abrir facsímil")</f>
        <v>Abrir facsímil</v>
      </c>
      <c r="K4317" s="3" t="s">
        <v>23</v>
      </c>
    </row>
    <row r="4318" spans="1:11" ht="42" customHeight="1">
      <c r="A4318" s="2" t="s">
        <v>8719</v>
      </c>
      <c r="B4318" s="2" t="s">
        <v>8720</v>
      </c>
      <c r="C4318" s="2" t="s">
        <v>79</v>
      </c>
      <c r="D4318" s="2" t="s">
        <v>74</v>
      </c>
      <c r="E4318" s="5">
        <v>-27937</v>
      </c>
      <c r="F4318" s="3" t="s">
        <v>730</v>
      </c>
      <c r="G4318" s="3" t="s">
        <v>39</v>
      </c>
      <c r="H4318" s="2" t="s">
        <v>21</v>
      </c>
      <c r="I4318" s="2" t="s">
        <v>8721</v>
      </c>
      <c r="J4318" s="3" t="str">
        <f>HYPERLINK("https://www.boe.es/gazeta/dias/1823/07/05/pdfs/GES-1823-85.pdf#page=1","Abrir facsímil")</f>
        <v>Abrir facsímil</v>
      </c>
      <c r="K4318" s="3" t="s">
        <v>23</v>
      </c>
    </row>
    <row r="4319" spans="1:11" ht="42" customHeight="1">
      <c r="A4319" s="2" t="s">
        <v>8722</v>
      </c>
      <c r="B4319" s="2" t="s">
        <v>8722</v>
      </c>
      <c r="C4319" s="2" t="s">
        <v>17</v>
      </c>
      <c r="D4319" s="2" t="s">
        <v>18</v>
      </c>
      <c r="E4319" s="5">
        <v>-28116</v>
      </c>
      <c r="F4319" s="3" t="s">
        <v>134</v>
      </c>
      <c r="G4319" s="3" t="s">
        <v>59</v>
      </c>
      <c r="H4319" s="2" t="s">
        <v>21</v>
      </c>
      <c r="I4319" s="2" t="s">
        <v>8723</v>
      </c>
      <c r="J4319" s="3" t="str">
        <f>HYPERLINK("https://www.boe.es/gazeta/dias/1823/01/07/pdfs/GMD-1823-7.pdf#page=6","Abrir facsímil")</f>
        <v>Abrir facsímil</v>
      </c>
      <c r="K4319" s="3" t="s">
        <v>23</v>
      </c>
    </row>
    <row r="4320" spans="1:11" ht="42" customHeight="1">
      <c r="A4320" s="2" t="s">
        <v>8722</v>
      </c>
      <c r="B4320" s="2" t="s">
        <v>8722</v>
      </c>
      <c r="C4320" s="2" t="s">
        <v>79</v>
      </c>
      <c r="D4320" s="2" t="s">
        <v>74</v>
      </c>
      <c r="E4320" s="5">
        <v>-28111</v>
      </c>
      <c r="F4320" s="3" t="s">
        <v>275</v>
      </c>
      <c r="G4320" s="3" t="s">
        <v>7417</v>
      </c>
      <c r="H4320" s="2" t="s">
        <v>21</v>
      </c>
      <c r="I4320" s="2" t="s">
        <v>8724</v>
      </c>
      <c r="J4320" s="3" t="str">
        <f>HYPERLINK("https://www.boe.es/gazeta/dias/1823/01/12/pdfs/GMD-1823-12.pdf#page=8","Abrir facsímil")</f>
        <v>Abrir facsímil</v>
      </c>
      <c r="K4320" s="3" t="s">
        <v>23</v>
      </c>
    </row>
    <row r="4321" spans="1:11" ht="42" customHeight="1">
      <c r="A4321" s="2" t="s">
        <v>8722</v>
      </c>
      <c r="B4321" s="2" t="s">
        <v>8722</v>
      </c>
      <c r="C4321" s="2" t="s">
        <v>17</v>
      </c>
      <c r="D4321" s="2" t="s">
        <v>18</v>
      </c>
      <c r="E4321" s="5">
        <v>-28078</v>
      </c>
      <c r="F4321" s="3" t="s">
        <v>508</v>
      </c>
      <c r="G4321" s="3" t="s">
        <v>59</v>
      </c>
      <c r="H4321" s="2" t="s">
        <v>21</v>
      </c>
      <c r="I4321" s="2" t="s">
        <v>8725</v>
      </c>
      <c r="J4321" s="3" t="str">
        <f>HYPERLINK("https://www.boe.es/gazeta/dias/1823/02/14/pdfs/GMD-1823-48.pdf#page=6","Abrir facsímil")</f>
        <v>Abrir facsímil</v>
      </c>
      <c r="K4321" s="3" t="s">
        <v>23</v>
      </c>
    </row>
    <row r="4322" spans="1:11" ht="42" customHeight="1">
      <c r="A4322" s="2" t="s">
        <v>8722</v>
      </c>
      <c r="B4322" s="2" t="s">
        <v>8722</v>
      </c>
      <c r="C4322" s="2" t="s">
        <v>17</v>
      </c>
      <c r="D4322" s="2" t="s">
        <v>18</v>
      </c>
      <c r="E4322" s="5">
        <v>-28068</v>
      </c>
      <c r="F4322" s="3" t="s">
        <v>1325</v>
      </c>
      <c r="G4322" s="3" t="s">
        <v>20</v>
      </c>
      <c r="H4322" s="2" t="s">
        <v>21</v>
      </c>
      <c r="I4322" s="2" t="s">
        <v>8726</v>
      </c>
      <c r="J4322" s="3" t="str">
        <f>HYPERLINK("https://www.boe.es/gazeta/dias/1823/02/24/pdfs/GMD-1823-58.pdf#page=4","Abrir facsímil")</f>
        <v>Abrir facsímil</v>
      </c>
      <c r="K4322" s="3" t="s">
        <v>23</v>
      </c>
    </row>
    <row r="4323" spans="1:11" ht="42" customHeight="1">
      <c r="A4323" s="2" t="s">
        <v>8722</v>
      </c>
      <c r="B4323" s="2" t="s">
        <v>8722</v>
      </c>
      <c r="C4323" s="2" t="s">
        <v>17</v>
      </c>
      <c r="D4323" s="2" t="s">
        <v>18</v>
      </c>
      <c r="E4323" s="5">
        <v>-28064</v>
      </c>
      <c r="F4323" s="3" t="s">
        <v>1190</v>
      </c>
      <c r="G4323" s="3" t="s">
        <v>20</v>
      </c>
      <c r="H4323" s="2" t="s">
        <v>21</v>
      </c>
      <c r="I4323" s="2" t="s">
        <v>8727</v>
      </c>
      <c r="J4323" s="3" t="str">
        <f>HYPERLINK("https://www.boe.es/gazeta/dias/1823/02/28/pdfs/GMD-1823-62.pdf#page=4","Abrir facsímil")</f>
        <v>Abrir facsímil</v>
      </c>
      <c r="K4323" s="3" t="s">
        <v>23</v>
      </c>
    </row>
    <row r="4324" spans="1:11" ht="42" customHeight="1">
      <c r="A4324" s="2" t="s">
        <v>8722</v>
      </c>
      <c r="B4324" s="2" t="s">
        <v>8722</v>
      </c>
      <c r="C4324" s="2" t="s">
        <v>17</v>
      </c>
      <c r="D4324" s="2" t="s">
        <v>18</v>
      </c>
      <c r="E4324" s="5">
        <v>-28062</v>
      </c>
      <c r="F4324" s="3" t="s">
        <v>1357</v>
      </c>
      <c r="G4324" s="3" t="s">
        <v>27</v>
      </c>
      <c r="H4324" s="2" t="s">
        <v>21</v>
      </c>
      <c r="I4324" s="2" t="s">
        <v>8728</v>
      </c>
      <c r="J4324" s="3" t="str">
        <f>HYPERLINK("https://www.boe.es/gazeta/dias/1823/03/02/pdfs/GMD-1823-65.pdf#page=2","Abrir facsímil")</f>
        <v>Abrir facsímil</v>
      </c>
      <c r="K4324" s="3" t="s">
        <v>23</v>
      </c>
    </row>
    <row r="4325" spans="1:11" ht="42" customHeight="1">
      <c r="A4325" s="2" t="s">
        <v>8722</v>
      </c>
      <c r="B4325" s="2" t="s">
        <v>8722</v>
      </c>
      <c r="C4325" s="2" t="s">
        <v>17</v>
      </c>
      <c r="D4325" s="2" t="s">
        <v>18</v>
      </c>
      <c r="E4325" s="5">
        <v>-28062</v>
      </c>
      <c r="F4325" s="3" t="s">
        <v>1357</v>
      </c>
      <c r="G4325" s="3" t="s">
        <v>20</v>
      </c>
      <c r="H4325" s="2" t="s">
        <v>21</v>
      </c>
      <c r="I4325" s="2" t="s">
        <v>8729</v>
      </c>
      <c r="J4325" s="3" t="str">
        <f>HYPERLINK("https://www.boe.es/gazeta/dias/1823/03/02/pdfs/GMD-1823-65.pdf#page=4","Abrir facsímil")</f>
        <v>Abrir facsímil</v>
      </c>
      <c r="K4325" s="3" t="s">
        <v>23</v>
      </c>
    </row>
    <row r="4326" spans="1:11" ht="42" customHeight="1">
      <c r="A4326" s="2" t="s">
        <v>8722</v>
      </c>
      <c r="B4326" s="2" t="s">
        <v>8722</v>
      </c>
      <c r="C4326" s="2" t="s">
        <v>56</v>
      </c>
      <c r="D4326" s="2" t="s">
        <v>57</v>
      </c>
      <c r="E4326" s="5">
        <v>-28060</v>
      </c>
      <c r="F4326" s="3" t="s">
        <v>180</v>
      </c>
      <c r="G4326" s="3" t="s">
        <v>181</v>
      </c>
      <c r="H4326" s="2" t="s">
        <v>21</v>
      </c>
      <c r="I4326" s="2" t="s">
        <v>8730</v>
      </c>
      <c r="J4326" s="3" t="str">
        <f>HYPERLINK("https://www.boe.es/gazeta/dias/1823/03/04/pdfs/GMD-1823-67.pdf#page=6","Abrir facsímil")</f>
        <v>Abrir facsímil</v>
      </c>
      <c r="K4326" s="3" t="s">
        <v>23</v>
      </c>
    </row>
    <row r="4327" spans="1:11" ht="42" customHeight="1">
      <c r="A4327" s="2" t="s">
        <v>8722</v>
      </c>
      <c r="B4327" s="2" t="s">
        <v>8722</v>
      </c>
      <c r="C4327" s="2" t="s">
        <v>73</v>
      </c>
      <c r="D4327" s="2" t="s">
        <v>74</v>
      </c>
      <c r="E4327" s="5">
        <v>-28055</v>
      </c>
      <c r="F4327" s="3" t="s">
        <v>313</v>
      </c>
      <c r="G4327" s="3" t="s">
        <v>48</v>
      </c>
      <c r="H4327" s="2" t="s">
        <v>21</v>
      </c>
      <c r="I4327" s="2" t="s">
        <v>8731</v>
      </c>
      <c r="J4327" s="3" t="str">
        <f>HYPERLINK("https://www.boe.es/gazeta/dias/1823/03/09/pdfs/GMD-1823-72.pdf#page=3","Abrir facsímil")</f>
        <v>Abrir facsímil</v>
      </c>
      <c r="K4327" s="3" t="s">
        <v>23</v>
      </c>
    </row>
    <row r="4328" spans="1:11" ht="42" customHeight="1">
      <c r="A4328" s="2" t="s">
        <v>8722</v>
      </c>
      <c r="B4328" s="2" t="s">
        <v>8722</v>
      </c>
      <c r="C4328" s="2" t="s">
        <v>17</v>
      </c>
      <c r="D4328" s="2" t="s">
        <v>18</v>
      </c>
      <c r="E4328" s="5">
        <v>-28049</v>
      </c>
      <c r="F4328" s="3" t="s">
        <v>198</v>
      </c>
      <c r="G4328" s="3" t="s">
        <v>20</v>
      </c>
      <c r="H4328" s="2" t="s">
        <v>21</v>
      </c>
      <c r="I4328" s="2" t="s">
        <v>8732</v>
      </c>
      <c r="J4328" s="3" t="str">
        <f>HYPERLINK("https://www.boe.es/gazeta/dias/1823/03/15/pdfs/GMD-1823-78.pdf#page=4","Abrir facsímil")</f>
        <v>Abrir facsímil</v>
      </c>
      <c r="K4328" s="3" t="s">
        <v>23</v>
      </c>
    </row>
    <row r="4329" spans="1:11" ht="42" customHeight="1">
      <c r="A4329" s="2" t="s">
        <v>8722</v>
      </c>
      <c r="B4329" s="2" t="s">
        <v>8722</v>
      </c>
      <c r="C4329" s="2" t="s">
        <v>79</v>
      </c>
      <c r="D4329" s="2" t="s">
        <v>74</v>
      </c>
      <c r="E4329" s="5">
        <v>-28031</v>
      </c>
      <c r="F4329" s="3" t="s">
        <v>1211</v>
      </c>
      <c r="G4329" s="3" t="s">
        <v>20</v>
      </c>
      <c r="H4329" s="2" t="s">
        <v>21</v>
      </c>
      <c r="I4329" s="2" t="s">
        <v>8733</v>
      </c>
      <c r="J4329" s="3" t="str">
        <f>HYPERLINK("https://www.boe.es/gazeta/dias/1823/04/02/pdfs/GMD-1823-96.pdf#page=4","Abrir facsímil")</f>
        <v>Abrir facsímil</v>
      </c>
      <c r="K4329" s="3" t="s">
        <v>23</v>
      </c>
    </row>
    <row r="4330" spans="1:11" ht="42" customHeight="1">
      <c r="A4330" s="2" t="s">
        <v>8722</v>
      </c>
      <c r="B4330" s="2" t="s">
        <v>8722</v>
      </c>
      <c r="C4330" s="2" t="s">
        <v>84</v>
      </c>
      <c r="D4330" s="2" t="s">
        <v>74</v>
      </c>
      <c r="E4330" s="5">
        <v>-28030</v>
      </c>
      <c r="F4330" s="3" t="s">
        <v>145</v>
      </c>
      <c r="G4330" s="3" t="s">
        <v>20</v>
      </c>
      <c r="H4330" s="2" t="s">
        <v>21</v>
      </c>
      <c r="I4330" s="2" t="s">
        <v>8734</v>
      </c>
      <c r="J4330" s="3" t="str">
        <f>HYPERLINK("https://www.boe.es/gazeta/dias/1823/04/03/pdfs/GMD-1823-97.pdf#page=4","Abrir facsímil")</f>
        <v>Abrir facsímil</v>
      </c>
      <c r="K4330" s="3" t="s">
        <v>23</v>
      </c>
    </row>
    <row r="4331" spans="1:11" ht="42" customHeight="1">
      <c r="A4331" s="2" t="s">
        <v>8722</v>
      </c>
      <c r="B4331" s="2" t="s">
        <v>8722</v>
      </c>
      <c r="C4331" s="2" t="s">
        <v>17</v>
      </c>
      <c r="D4331" s="2" t="s">
        <v>18</v>
      </c>
      <c r="E4331" s="5">
        <v>-28025</v>
      </c>
      <c r="F4331" s="3" t="s">
        <v>477</v>
      </c>
      <c r="G4331" s="3" t="s">
        <v>20</v>
      </c>
      <c r="H4331" s="2" t="s">
        <v>21</v>
      </c>
      <c r="I4331" s="2" t="s">
        <v>8735</v>
      </c>
      <c r="J4331" s="3" t="str">
        <f>HYPERLINK("https://www.boe.es/gazeta/dias/1823/04/08/pdfs/GMD-1823-103.pdf#page=4","Abrir facsímil")</f>
        <v>Abrir facsímil</v>
      </c>
      <c r="K4331" s="3" t="s">
        <v>23</v>
      </c>
    </row>
    <row r="4332" spans="1:11" ht="42" customHeight="1">
      <c r="A4332" s="2" t="s">
        <v>8722</v>
      </c>
      <c r="B4332" s="2" t="s">
        <v>8722</v>
      </c>
      <c r="C4332" s="2" t="s">
        <v>17</v>
      </c>
      <c r="D4332" s="2" t="s">
        <v>18</v>
      </c>
      <c r="E4332" s="5">
        <v>-28021</v>
      </c>
      <c r="F4332" s="3" t="s">
        <v>1054</v>
      </c>
      <c r="G4332" s="3" t="s">
        <v>1055</v>
      </c>
      <c r="H4332" s="2" t="s">
        <v>21</v>
      </c>
      <c r="I4332" s="2" t="s">
        <v>8736</v>
      </c>
      <c r="J4332" s="3" t="str">
        <f>HYPERLINK("https://www.boe.es/gazeta/dias/1823/04/12/pdfs/GMD-1823-107.pdf#page=4","Abrir facsímil")</f>
        <v>Abrir facsímil</v>
      </c>
      <c r="K4332" s="3" t="s">
        <v>23</v>
      </c>
    </row>
    <row r="4333" spans="1:11" ht="42" customHeight="1">
      <c r="A4333" s="2" t="s">
        <v>8722</v>
      </c>
      <c r="B4333" s="2" t="s">
        <v>8722</v>
      </c>
      <c r="C4333" s="2" t="s">
        <v>56</v>
      </c>
      <c r="D4333" s="2" t="s">
        <v>57</v>
      </c>
      <c r="E4333" s="5">
        <v>-28013</v>
      </c>
      <c r="F4333" s="3" t="s">
        <v>105</v>
      </c>
      <c r="G4333" s="3" t="s">
        <v>20</v>
      </c>
      <c r="H4333" s="2" t="s">
        <v>21</v>
      </c>
      <c r="I4333" s="2" t="s">
        <v>8737</v>
      </c>
      <c r="J4333" s="3" t="str">
        <f>HYPERLINK("https://www.boe.es/gazeta/dias/1823/04/20/pdfs/GMD-1823-32.pdf#page=4","Abrir facsímil")</f>
        <v>Abrir facsímil</v>
      </c>
      <c r="K4333" s="3" t="s">
        <v>23</v>
      </c>
    </row>
    <row r="4334" spans="1:11" ht="42" customHeight="1">
      <c r="A4334" s="2" t="s">
        <v>8722</v>
      </c>
      <c r="B4334" s="2" t="s">
        <v>8722</v>
      </c>
      <c r="C4334" s="2" t="s">
        <v>79</v>
      </c>
      <c r="D4334" s="2" t="s">
        <v>74</v>
      </c>
      <c r="E4334" s="5">
        <v>-28003</v>
      </c>
      <c r="F4334" s="3" t="s">
        <v>26</v>
      </c>
      <c r="G4334" s="3" t="s">
        <v>1114</v>
      </c>
      <c r="H4334" s="2" t="s">
        <v>21</v>
      </c>
      <c r="I4334" s="2" t="s">
        <v>8738</v>
      </c>
      <c r="J4334" s="3" t="str">
        <f>HYPERLINK("https://www.boe.es/gazeta/dias/1823/04/30/pdfs/GES-1823-20.pdf#page=6","Abrir facsímil")</f>
        <v>Abrir facsímil</v>
      </c>
      <c r="K4334" s="3" t="s">
        <v>23</v>
      </c>
    </row>
    <row r="4335" spans="1:11" ht="42" customHeight="1">
      <c r="A4335" s="2" t="s">
        <v>8722</v>
      </c>
      <c r="B4335" s="2" t="s">
        <v>8722</v>
      </c>
      <c r="C4335" s="2" t="s">
        <v>79</v>
      </c>
      <c r="D4335" s="2" t="s">
        <v>74</v>
      </c>
      <c r="E4335" s="5">
        <v>-28002</v>
      </c>
      <c r="F4335" s="3" t="s">
        <v>245</v>
      </c>
      <c r="G4335" s="3" t="s">
        <v>39</v>
      </c>
      <c r="H4335" s="2" t="s">
        <v>21</v>
      </c>
      <c r="I4335" s="2" t="s">
        <v>8739</v>
      </c>
      <c r="J4335" s="3" t="str">
        <f>HYPERLINK("https://www.boe.es/gazeta/dias/1823/05/01/pdfs/GMD-1823-82.pdf#page=1","Abrir facsímil")</f>
        <v>Abrir facsímil</v>
      </c>
      <c r="K4335" s="3" t="s">
        <v>23</v>
      </c>
    </row>
    <row r="4336" spans="1:11" ht="42" customHeight="1">
      <c r="A4336" s="2" t="s">
        <v>8722</v>
      </c>
      <c r="B4336" s="2" t="s">
        <v>8722</v>
      </c>
      <c r="C4336" s="2" t="s">
        <v>17</v>
      </c>
      <c r="D4336" s="2" t="s">
        <v>18</v>
      </c>
      <c r="E4336" s="5">
        <v>-28001</v>
      </c>
      <c r="F4336" s="3" t="s">
        <v>768</v>
      </c>
      <c r="G4336" s="3" t="s">
        <v>2756</v>
      </c>
      <c r="H4336" s="2" t="s">
        <v>21</v>
      </c>
      <c r="I4336" s="2" t="s">
        <v>8740</v>
      </c>
      <c r="J4336" s="3" t="str">
        <f>HYPERLINK("https://www.boe.es/gazeta/dias/1823/05/02/pdfs/GES-1823-22.pdf#page=6","Abrir facsímil")</f>
        <v>Abrir facsímil</v>
      </c>
      <c r="K4336" s="3" t="s">
        <v>23</v>
      </c>
    </row>
    <row r="4337" spans="1:11" ht="42" customHeight="1">
      <c r="A4337" s="2" t="s">
        <v>8722</v>
      </c>
      <c r="B4337" s="2" t="s">
        <v>8722</v>
      </c>
      <c r="C4337" s="2" t="s">
        <v>17</v>
      </c>
      <c r="D4337" s="2" t="s">
        <v>18</v>
      </c>
      <c r="E4337" s="5">
        <v>-27991</v>
      </c>
      <c r="F4337" s="3" t="s">
        <v>328</v>
      </c>
      <c r="G4337" s="3" t="s">
        <v>34</v>
      </c>
      <c r="H4337" s="2" t="s">
        <v>21</v>
      </c>
      <c r="I4337" s="2" t="s">
        <v>8741</v>
      </c>
      <c r="J4337" s="3" t="str">
        <f>HYPERLINK("https://www.boe.es/gazeta/dias/1823/05/12/pdfs/GES-1823-32.pdf#page=5","Abrir facsímil")</f>
        <v>Abrir facsímil</v>
      </c>
      <c r="K4337" s="3" t="s">
        <v>23</v>
      </c>
    </row>
    <row r="4338" spans="1:11" ht="42" customHeight="1">
      <c r="A4338" s="2" t="s">
        <v>8722</v>
      </c>
      <c r="B4338" s="2" t="s">
        <v>8722</v>
      </c>
      <c r="C4338" s="2" t="s">
        <v>17</v>
      </c>
      <c r="D4338" s="2" t="s">
        <v>18</v>
      </c>
      <c r="E4338" s="5">
        <v>-27984</v>
      </c>
      <c r="F4338" s="3" t="s">
        <v>335</v>
      </c>
      <c r="G4338" s="3" t="s">
        <v>27</v>
      </c>
      <c r="H4338" s="2" t="s">
        <v>21</v>
      </c>
      <c r="I4338" s="2" t="s">
        <v>8742</v>
      </c>
      <c r="J4338" s="3" t="str">
        <f>HYPERLINK("https://www.boe.es/gazeta/dias/1823/05/19/pdfs/GES-1823-39.pdf#page=2","Abrir facsímil")</f>
        <v>Abrir facsímil</v>
      </c>
      <c r="K4338" s="3" t="s">
        <v>23</v>
      </c>
    </row>
    <row r="4339" spans="1:11" ht="42" customHeight="1">
      <c r="A4339" s="2" t="s">
        <v>8722</v>
      </c>
      <c r="B4339" s="2" t="s">
        <v>8722</v>
      </c>
      <c r="C4339" s="2" t="s">
        <v>17</v>
      </c>
      <c r="D4339" s="2" t="s">
        <v>117</v>
      </c>
      <c r="E4339" s="5">
        <v>-27983</v>
      </c>
      <c r="F4339" s="3" t="s">
        <v>8743</v>
      </c>
      <c r="G4339" s="3" t="s">
        <v>39</v>
      </c>
      <c r="H4339" s="2" t="s">
        <v>21</v>
      </c>
      <c r="I4339" s="2" t="s">
        <v>8744</v>
      </c>
      <c r="J4339" s="3" t="str">
        <f>HYPERLINK("https://www.boe.es/gazeta/dias/1823/05/20/pdfs/GES-1823-41E.pdf#page=1","Abrir facsímil")</f>
        <v>Abrir facsímil</v>
      </c>
      <c r="K4339" s="3" t="s">
        <v>23</v>
      </c>
    </row>
    <row r="4340" spans="1:11" ht="42" customHeight="1">
      <c r="A4340" s="2" t="s">
        <v>8722</v>
      </c>
      <c r="B4340" s="2" t="s">
        <v>8722</v>
      </c>
      <c r="C4340" s="2" t="s">
        <v>79</v>
      </c>
      <c r="D4340" s="2" t="s">
        <v>74</v>
      </c>
      <c r="E4340" s="5">
        <v>-27972</v>
      </c>
      <c r="F4340" s="3" t="s">
        <v>1515</v>
      </c>
      <c r="G4340" s="3" t="s">
        <v>39</v>
      </c>
      <c r="H4340" s="2" t="s">
        <v>21</v>
      </c>
      <c r="I4340" s="2" t="s">
        <v>8745</v>
      </c>
      <c r="J4340" s="3" t="str">
        <f>HYPERLINK("https://www.boe.es/gazeta/dias/1823/05/31/pdfs/GMD-1823-33.pdf#page=1","Abrir facsímil")</f>
        <v>Abrir facsímil</v>
      </c>
      <c r="K4340" s="3" t="s">
        <v>23</v>
      </c>
    </row>
    <row r="4341" spans="1:11" ht="42" customHeight="1">
      <c r="A4341" s="2" t="s">
        <v>8722</v>
      </c>
      <c r="B4341" s="2" t="s">
        <v>8722</v>
      </c>
      <c r="C4341" s="2" t="s">
        <v>79</v>
      </c>
      <c r="D4341" s="2" t="s">
        <v>74</v>
      </c>
      <c r="E4341" s="5">
        <v>-27970</v>
      </c>
      <c r="F4341" s="3" t="s">
        <v>1030</v>
      </c>
      <c r="G4341" s="3" t="s">
        <v>48</v>
      </c>
      <c r="H4341" s="2" t="s">
        <v>21</v>
      </c>
      <c r="I4341" s="2" t="s">
        <v>8746</v>
      </c>
      <c r="J4341" s="3" t="str">
        <f>HYPERLINK("https://www.boe.es/gazeta/dias/1823/06/02/pdfs/GES-1823-56.pdf#page=3","Abrir facsímil")</f>
        <v>Abrir facsímil</v>
      </c>
      <c r="K4341" s="3" t="s">
        <v>23</v>
      </c>
    </row>
    <row r="4342" spans="1:11" ht="42" customHeight="1">
      <c r="A4342" s="2" t="s">
        <v>8722</v>
      </c>
      <c r="B4342" s="2" t="s">
        <v>8722</v>
      </c>
      <c r="C4342" s="2" t="s">
        <v>56</v>
      </c>
      <c r="D4342" s="2" t="s">
        <v>57</v>
      </c>
      <c r="E4342" s="5">
        <v>-27965</v>
      </c>
      <c r="F4342" s="3" t="s">
        <v>208</v>
      </c>
      <c r="G4342" s="3" t="s">
        <v>48</v>
      </c>
      <c r="H4342" s="2" t="s">
        <v>21</v>
      </c>
      <c r="I4342" s="2" t="s">
        <v>8747</v>
      </c>
      <c r="J4342" s="3" t="str">
        <f>HYPERLINK("https://www.boe.es/gazeta/dias/1823/06/07/pdfs/GES-1823-61.pdf#page=3","Abrir facsímil")</f>
        <v>Abrir facsímil</v>
      </c>
      <c r="K4342" s="3" t="s">
        <v>23</v>
      </c>
    </row>
    <row r="4343" spans="1:11" ht="42" customHeight="1">
      <c r="A4343" s="2" t="s">
        <v>8722</v>
      </c>
      <c r="B4343" s="2" t="s">
        <v>8722</v>
      </c>
      <c r="C4343" s="2" t="s">
        <v>73</v>
      </c>
      <c r="D4343" s="2" t="s">
        <v>74</v>
      </c>
      <c r="E4343" s="5">
        <v>-27952</v>
      </c>
      <c r="F4343" s="3" t="s">
        <v>929</v>
      </c>
      <c r="G4343" s="3" t="s">
        <v>27</v>
      </c>
      <c r="H4343" s="2" t="s">
        <v>21</v>
      </c>
      <c r="I4343" s="2" t="s">
        <v>8748</v>
      </c>
      <c r="J4343" s="3" t="str">
        <f>HYPERLINK("https://www.boe.es/gazeta/dias/1823/06/20/pdfs/GES-1823-68.pdf#page=2","Abrir facsímil")</f>
        <v>Abrir facsímil</v>
      </c>
      <c r="K4343" s="3" t="s">
        <v>23</v>
      </c>
    </row>
    <row r="4344" spans="1:11" ht="42" customHeight="1">
      <c r="A4344" s="2" t="s">
        <v>8722</v>
      </c>
      <c r="B4344" s="2" t="s">
        <v>8722</v>
      </c>
      <c r="C4344" s="2" t="s">
        <v>79</v>
      </c>
      <c r="D4344" s="2" t="s">
        <v>74</v>
      </c>
      <c r="E4344" s="5">
        <v>-27944</v>
      </c>
      <c r="F4344" s="3" t="s">
        <v>658</v>
      </c>
      <c r="G4344" s="3" t="s">
        <v>20</v>
      </c>
      <c r="H4344" s="2" t="s">
        <v>21</v>
      </c>
      <c r="I4344" s="2" t="s">
        <v>8749</v>
      </c>
      <c r="J4344" s="3" t="str">
        <f>HYPERLINK("https://www.boe.es/gazeta/dias/1823/06/28/pdfs/GMD-1823-303.pdf#page=4","Abrir facsímil")</f>
        <v>Abrir facsímil</v>
      </c>
      <c r="K4344" s="3" t="s">
        <v>23</v>
      </c>
    </row>
    <row r="4345" spans="1:11" ht="42" customHeight="1">
      <c r="A4345" s="2" t="s">
        <v>8722</v>
      </c>
      <c r="B4345" s="2" t="s">
        <v>8722</v>
      </c>
      <c r="C4345" s="2" t="s">
        <v>84</v>
      </c>
      <c r="D4345" s="2" t="s">
        <v>74</v>
      </c>
      <c r="E4345" s="5">
        <v>-27937</v>
      </c>
      <c r="F4345" s="3" t="s">
        <v>897</v>
      </c>
      <c r="G4345" s="3" t="s">
        <v>1257</v>
      </c>
      <c r="H4345" s="2" t="s">
        <v>21</v>
      </c>
      <c r="I4345" s="2" t="s">
        <v>8750</v>
      </c>
      <c r="J4345" s="3" t="str">
        <f>HYPERLINK("https://www.boe.es/gazeta/dias/1823/07/05/pdfs/GMD-1823-343.pdf#page=6","Abrir facsímil")</f>
        <v>Abrir facsímil</v>
      </c>
      <c r="K4345" s="3" t="s">
        <v>23</v>
      </c>
    </row>
    <row r="4346" spans="1:11" ht="42" customHeight="1">
      <c r="A4346" s="2" t="s">
        <v>8722</v>
      </c>
      <c r="B4346" s="2" t="s">
        <v>8722</v>
      </c>
      <c r="C4346" s="2" t="s">
        <v>79</v>
      </c>
      <c r="D4346" s="2" t="s">
        <v>74</v>
      </c>
      <c r="E4346" s="5">
        <v>-27920</v>
      </c>
      <c r="F4346" s="3" t="s">
        <v>1334</v>
      </c>
      <c r="G4346" s="3" t="s">
        <v>715</v>
      </c>
      <c r="H4346" s="2" t="s">
        <v>21</v>
      </c>
      <c r="I4346" s="2" t="s">
        <v>8751</v>
      </c>
      <c r="J4346" s="3" t="str">
        <f>HYPERLINK("https://www.boe.es/gazeta/dias/1823/07/22/pdfs/GMD-1823-443.pdf#page=8","Abrir facsímil")</f>
        <v>Abrir facsímil</v>
      </c>
      <c r="K4346" s="3" t="s">
        <v>23</v>
      </c>
    </row>
    <row r="4347" spans="1:11" ht="42" customHeight="1">
      <c r="A4347" s="2" t="s">
        <v>8722</v>
      </c>
      <c r="B4347" s="2" t="s">
        <v>8722</v>
      </c>
      <c r="C4347" s="2" t="s">
        <v>17</v>
      </c>
      <c r="D4347" s="2" t="s">
        <v>18</v>
      </c>
      <c r="E4347" s="5">
        <v>-27918</v>
      </c>
      <c r="F4347" s="3" t="s">
        <v>3181</v>
      </c>
      <c r="G4347" s="3" t="s">
        <v>20</v>
      </c>
      <c r="H4347" s="2" t="s">
        <v>21</v>
      </c>
      <c r="I4347" s="2" t="s">
        <v>8752</v>
      </c>
      <c r="J4347" s="3" t="str">
        <f>HYPERLINK("https://www.boe.es/gazeta/dias/1823/07/24/pdfs/GES-1823-105.pdf#page=4","Abrir facsímil")</f>
        <v>Abrir facsímil</v>
      </c>
      <c r="K4347" s="3" t="s">
        <v>23</v>
      </c>
    </row>
    <row r="4348" spans="1:11" ht="42" customHeight="1">
      <c r="A4348" s="2" t="s">
        <v>8722</v>
      </c>
      <c r="B4348" s="2" t="s">
        <v>8722</v>
      </c>
      <c r="C4348" s="2" t="s">
        <v>56</v>
      </c>
      <c r="D4348" s="2" t="s">
        <v>57</v>
      </c>
      <c r="E4348" s="5">
        <v>-27913</v>
      </c>
      <c r="F4348" s="3" t="s">
        <v>829</v>
      </c>
      <c r="G4348" s="3" t="s">
        <v>715</v>
      </c>
      <c r="H4348" s="2" t="s">
        <v>21</v>
      </c>
      <c r="I4348" s="2" t="s">
        <v>8753</v>
      </c>
      <c r="J4348" s="3" t="str">
        <f>HYPERLINK("https://www.boe.es/gazeta/dias/1823/07/29/pdfs/GMD-1823-483.pdf#page=8","Abrir facsímil")</f>
        <v>Abrir facsímil</v>
      </c>
      <c r="K4348" s="3" t="s">
        <v>23</v>
      </c>
    </row>
    <row r="4349" spans="1:11" ht="42" customHeight="1">
      <c r="A4349" s="2" t="s">
        <v>8722</v>
      </c>
      <c r="B4349" s="2" t="s">
        <v>8722</v>
      </c>
      <c r="C4349" s="2" t="s">
        <v>56</v>
      </c>
      <c r="D4349" s="2" t="s">
        <v>57</v>
      </c>
      <c r="E4349" s="5">
        <v>-27904</v>
      </c>
      <c r="F4349" s="3" t="s">
        <v>1227</v>
      </c>
      <c r="G4349" s="3" t="s">
        <v>59</v>
      </c>
      <c r="H4349" s="2" t="s">
        <v>21</v>
      </c>
      <c r="I4349" s="2" t="s">
        <v>8754</v>
      </c>
      <c r="J4349" s="3" t="str">
        <f>HYPERLINK("https://www.boe.es/gazeta/dias/1823/08/07/pdfs/GMD-1823-543.pdf#page=6","Abrir facsímil")</f>
        <v>Abrir facsímil</v>
      </c>
      <c r="K4349" s="3" t="s">
        <v>23</v>
      </c>
    </row>
    <row r="4350" spans="1:11" ht="42" customHeight="1">
      <c r="A4350" s="2" t="s">
        <v>8722</v>
      </c>
      <c r="B4350" s="2" t="s">
        <v>8722</v>
      </c>
      <c r="C4350" s="2" t="s">
        <v>56</v>
      </c>
      <c r="D4350" s="2" t="s">
        <v>57</v>
      </c>
      <c r="E4350" s="5">
        <v>-27898</v>
      </c>
      <c r="F4350" s="3" t="s">
        <v>5169</v>
      </c>
      <c r="G4350" s="3" t="s">
        <v>20</v>
      </c>
      <c r="H4350" s="2" t="s">
        <v>21</v>
      </c>
      <c r="I4350" s="2" t="s">
        <v>8755</v>
      </c>
      <c r="J4350" s="3" t="str">
        <f>HYPERLINK("https://www.boe.es/gazeta/dias/1823/08/13/pdfs/GES-1823-126.pdf#page=4","Abrir facsímil")</f>
        <v>Abrir facsímil</v>
      </c>
      <c r="K4350" s="3" t="s">
        <v>23</v>
      </c>
    </row>
    <row r="4351" spans="1:11" ht="42" customHeight="1">
      <c r="A4351" s="2" t="s">
        <v>8722</v>
      </c>
      <c r="B4351" s="2" t="s">
        <v>8722</v>
      </c>
      <c r="C4351" s="2" t="s">
        <v>17</v>
      </c>
      <c r="D4351" s="2" t="s">
        <v>18</v>
      </c>
      <c r="E4351" s="5">
        <v>-27895</v>
      </c>
      <c r="F4351" s="3" t="s">
        <v>734</v>
      </c>
      <c r="G4351" s="3" t="s">
        <v>20</v>
      </c>
      <c r="H4351" s="2" t="s">
        <v>21</v>
      </c>
      <c r="I4351" s="2" t="s">
        <v>8756</v>
      </c>
      <c r="J4351" s="3" t="str">
        <f>HYPERLINK("https://www.boe.es/gazeta/dias/1823/08/16/pdfs/GES-1823-129.pdf#page=4","Abrir facsímil")</f>
        <v>Abrir facsímil</v>
      </c>
      <c r="K4351" s="3" t="s">
        <v>23</v>
      </c>
    </row>
    <row r="4352" spans="1:11" ht="42" customHeight="1">
      <c r="A4352" s="2" t="s">
        <v>8722</v>
      </c>
      <c r="B4352" s="2" t="s">
        <v>8722</v>
      </c>
      <c r="C4352" s="2" t="s">
        <v>79</v>
      </c>
      <c r="D4352" s="2" t="s">
        <v>74</v>
      </c>
      <c r="E4352" s="5">
        <v>-27893</v>
      </c>
      <c r="F4352" s="3" t="s">
        <v>1893</v>
      </c>
      <c r="G4352" s="3" t="s">
        <v>1894</v>
      </c>
      <c r="H4352" s="2" t="s">
        <v>21</v>
      </c>
      <c r="I4352" s="2" t="s">
        <v>8757</v>
      </c>
      <c r="J4352" s="3" t="str">
        <f>HYPERLINK("https://www.boe.es/gazeta/dias/1823/08/18/pdfs/GES-1823-131.pdf#page=4","Abrir facsímil")</f>
        <v>Abrir facsímil</v>
      </c>
      <c r="K4352" s="3" t="s">
        <v>23</v>
      </c>
    </row>
    <row r="4353" spans="1:11" ht="42" customHeight="1">
      <c r="A4353" s="2" t="s">
        <v>8722</v>
      </c>
      <c r="B4353" s="2" t="s">
        <v>8722</v>
      </c>
      <c r="C4353" s="2" t="s">
        <v>17</v>
      </c>
      <c r="D4353" s="2" t="s">
        <v>18</v>
      </c>
      <c r="E4353" s="5">
        <v>-27887</v>
      </c>
      <c r="F4353" s="3" t="s">
        <v>1196</v>
      </c>
      <c r="G4353" s="3" t="s">
        <v>20</v>
      </c>
      <c r="H4353" s="2" t="s">
        <v>21</v>
      </c>
      <c r="I4353" s="2" t="s">
        <v>8758</v>
      </c>
      <c r="J4353" s="3" t="str">
        <f>HYPERLINK("https://www.boe.es/gazeta/dias/1823/08/24/pdfs/GES-1823-137.pdf#page=4","Abrir facsímil")</f>
        <v>Abrir facsímil</v>
      </c>
      <c r="K4353" s="3" t="s">
        <v>23</v>
      </c>
    </row>
    <row r="4354" spans="1:11" ht="42" customHeight="1">
      <c r="A4354" s="2" t="s">
        <v>8722</v>
      </c>
      <c r="B4354" s="2" t="s">
        <v>8722</v>
      </c>
      <c r="C4354" s="2" t="s">
        <v>17</v>
      </c>
      <c r="D4354" s="2" t="s">
        <v>18</v>
      </c>
      <c r="E4354" s="5">
        <v>-27881</v>
      </c>
      <c r="F4354" s="3" t="s">
        <v>725</v>
      </c>
      <c r="G4354" s="3" t="s">
        <v>39</v>
      </c>
      <c r="H4354" s="2" t="s">
        <v>21</v>
      </c>
      <c r="I4354" s="2" t="s">
        <v>8759</v>
      </c>
      <c r="J4354" s="3" t="str">
        <f>HYPERLINK("https://www.boe.es/gazeta/dias/1823/08/30/pdfs/GMD-1823-673.pdf#page=1","Abrir facsímil")</f>
        <v>Abrir facsímil</v>
      </c>
      <c r="K4354" s="3" t="s">
        <v>23</v>
      </c>
    </row>
    <row r="4355" spans="1:11" ht="42" customHeight="1">
      <c r="A4355" s="2" t="s">
        <v>8722</v>
      </c>
      <c r="B4355" s="2" t="s">
        <v>8722</v>
      </c>
      <c r="C4355" s="2" t="s">
        <v>109</v>
      </c>
      <c r="D4355" s="2" t="s">
        <v>74</v>
      </c>
      <c r="E4355" s="5">
        <v>-27881</v>
      </c>
      <c r="F4355" s="3" t="s">
        <v>725</v>
      </c>
      <c r="G4355" s="3" t="s">
        <v>20</v>
      </c>
      <c r="H4355" s="2" t="s">
        <v>21</v>
      </c>
      <c r="I4355" s="2" t="s">
        <v>8760</v>
      </c>
      <c r="J4355" s="3" t="str">
        <f>HYPERLINK("https://www.boe.es/gazeta/dias/1823/08/30/pdfs/GMD-1823-673.pdf#page=4","Abrir facsímil")</f>
        <v>Abrir facsímil</v>
      </c>
      <c r="K4355" s="3" t="s">
        <v>23</v>
      </c>
    </row>
    <row r="4356" spans="1:11" ht="42" customHeight="1">
      <c r="A4356" s="2" t="s">
        <v>8722</v>
      </c>
      <c r="B4356" s="2" t="s">
        <v>8722</v>
      </c>
      <c r="C4356" s="2" t="s">
        <v>17</v>
      </c>
      <c r="D4356" s="2" t="s">
        <v>18</v>
      </c>
      <c r="E4356" s="5">
        <v>-27877</v>
      </c>
      <c r="F4356" s="3" t="s">
        <v>844</v>
      </c>
      <c r="G4356" s="3" t="s">
        <v>48</v>
      </c>
      <c r="H4356" s="2" t="s">
        <v>21</v>
      </c>
      <c r="I4356" s="2" t="s">
        <v>8761</v>
      </c>
      <c r="J4356" s="3" t="str">
        <f>HYPERLINK("https://www.boe.es/gazeta/dias/1823/09/03/pdfs/GES-1823-147.pdf#page=3","Abrir facsímil")</f>
        <v>Abrir facsímil</v>
      </c>
      <c r="K4356" s="3" t="s">
        <v>23</v>
      </c>
    </row>
    <row r="4357" spans="1:11" ht="42" customHeight="1">
      <c r="A4357" s="2" t="s">
        <v>8722</v>
      </c>
      <c r="B4357" s="2" t="s">
        <v>8722</v>
      </c>
      <c r="C4357" s="2" t="s">
        <v>17</v>
      </c>
      <c r="D4357" s="2" t="s">
        <v>18</v>
      </c>
      <c r="E4357" s="5">
        <v>-27857</v>
      </c>
      <c r="F4357" s="3" t="s">
        <v>378</v>
      </c>
      <c r="G4357" s="3" t="s">
        <v>48</v>
      </c>
      <c r="H4357" s="2" t="s">
        <v>21</v>
      </c>
      <c r="I4357" s="2" t="s">
        <v>8762</v>
      </c>
      <c r="J4357" s="3" t="str">
        <f>HYPERLINK("https://www.boe.es/gazeta/dias/1823/09/23/pdfs/GMD-1823-833.pdf#page=3","Abrir facsímil")</f>
        <v>Abrir facsímil</v>
      </c>
      <c r="K4357" s="3" t="s">
        <v>23</v>
      </c>
    </row>
    <row r="4358" spans="1:11" ht="42" customHeight="1">
      <c r="A4358" s="2" t="s">
        <v>8722</v>
      </c>
      <c r="B4358" s="2" t="s">
        <v>8722</v>
      </c>
      <c r="C4358" s="2" t="s">
        <v>293</v>
      </c>
      <c r="D4358" s="2" t="s">
        <v>74</v>
      </c>
      <c r="E4358" s="5">
        <v>-27787</v>
      </c>
      <c r="F4358" s="3" t="s">
        <v>865</v>
      </c>
      <c r="G4358" s="3" t="s">
        <v>39</v>
      </c>
      <c r="H4358" s="2" t="s">
        <v>21</v>
      </c>
      <c r="I4358" s="2" t="s">
        <v>8763</v>
      </c>
      <c r="J4358" s="3" t="str">
        <f>HYPERLINK("https://www.boe.es/gazeta/dias/1823/12/02/pdfs/GMD-1823-1193.pdf#page=1","Abrir facsímil")</f>
        <v>Abrir facsímil</v>
      </c>
      <c r="K4358" s="3" t="s">
        <v>23</v>
      </c>
    </row>
    <row r="4359" spans="1:11" ht="42" customHeight="1">
      <c r="A4359" s="2" t="s">
        <v>8722</v>
      </c>
      <c r="B4359" s="2" t="s">
        <v>8722</v>
      </c>
      <c r="C4359" s="2" t="s">
        <v>17</v>
      </c>
      <c r="D4359" s="2" t="s">
        <v>18</v>
      </c>
      <c r="E4359" s="5">
        <v>-27764</v>
      </c>
      <c r="F4359" s="3" t="s">
        <v>3370</v>
      </c>
      <c r="G4359" s="3" t="s">
        <v>48</v>
      </c>
      <c r="H4359" s="2" t="s">
        <v>21</v>
      </c>
      <c r="I4359" s="2" t="s">
        <v>8764</v>
      </c>
      <c r="J4359" s="3" t="str">
        <f>HYPERLINK("https://www.boe.es/gazeta/dias/1823/12/25/pdfs/GMD-1823-1293.pdf#page=3","Abrir facsímil")</f>
        <v>Abrir facsímil</v>
      </c>
      <c r="K4359" s="3" t="s">
        <v>23</v>
      </c>
    </row>
    <row r="4360" spans="1:11" ht="42" customHeight="1">
      <c r="A4360" s="2" t="s">
        <v>8765</v>
      </c>
      <c r="B4360" s="2" t="s">
        <v>8766</v>
      </c>
      <c r="C4360" s="2" t="s">
        <v>109</v>
      </c>
      <c r="D4360" s="2" t="s">
        <v>74</v>
      </c>
      <c r="E4360" s="5">
        <v>-28056</v>
      </c>
      <c r="F4360" s="3" t="s">
        <v>572</v>
      </c>
      <c r="G4360" s="3" t="s">
        <v>59</v>
      </c>
      <c r="H4360" s="2" t="s">
        <v>21</v>
      </c>
      <c r="I4360" s="2" t="s">
        <v>8767</v>
      </c>
      <c r="J4360" s="3" t="str">
        <f>HYPERLINK("https://www.boe.es/gazeta/dias/1823/03/08/pdfs/GMD-1823-71.pdf#page=6","Abrir facsímil")</f>
        <v>Abrir facsímil</v>
      </c>
      <c r="K4360" s="3" t="s">
        <v>23</v>
      </c>
    </row>
    <row r="4361" spans="1:11" ht="42" customHeight="1">
      <c r="A4361" s="2" t="s">
        <v>8768</v>
      </c>
      <c r="B4361" s="2" t="s">
        <v>8769</v>
      </c>
      <c r="C4361" s="2" t="s">
        <v>293</v>
      </c>
      <c r="D4361" s="2" t="s">
        <v>74</v>
      </c>
      <c r="E4361" s="5">
        <v>-27904</v>
      </c>
      <c r="F4361" s="3" t="s">
        <v>1227</v>
      </c>
      <c r="G4361" s="3" t="s">
        <v>59</v>
      </c>
      <c r="H4361" s="2" t="s">
        <v>21</v>
      </c>
      <c r="I4361" s="2" t="s">
        <v>8770</v>
      </c>
      <c r="J4361" s="3" t="str">
        <f>HYPERLINK("https://www.boe.es/gazeta/dias/1823/08/07/pdfs/GMD-1823-543.pdf#page=6","Abrir facsímil")</f>
        <v>Abrir facsímil</v>
      </c>
      <c r="K4361" s="3" t="s">
        <v>23</v>
      </c>
    </row>
    <row r="4362" spans="1:11" ht="42" customHeight="1">
      <c r="A4362" s="2" t="s">
        <v>8771</v>
      </c>
      <c r="B4362" s="2" t="s">
        <v>8772</v>
      </c>
      <c r="C4362" s="2" t="s">
        <v>17</v>
      </c>
      <c r="D4362" s="2" t="s">
        <v>18</v>
      </c>
      <c r="E4362" s="5">
        <v>-27773</v>
      </c>
      <c r="F4362" s="3" t="s">
        <v>513</v>
      </c>
      <c r="G4362" s="3" t="s">
        <v>39</v>
      </c>
      <c r="H4362" s="2" t="s">
        <v>21</v>
      </c>
      <c r="I4362" s="2" t="s">
        <v>8773</v>
      </c>
      <c r="J4362" s="3" t="str">
        <f>HYPERLINK("https://www.boe.es/gazeta/dias/1823/12/16/pdfs/GMD-1823-1253.pdf#page=1","Abrir facsímil")</f>
        <v>Abrir facsímil</v>
      </c>
      <c r="K4362" s="3" t="s">
        <v>23</v>
      </c>
    </row>
    <row r="4363" spans="1:11" ht="42" customHeight="1">
      <c r="A4363" s="2" t="s">
        <v>8774</v>
      </c>
      <c r="B4363" s="2" t="s">
        <v>8774</v>
      </c>
      <c r="C4363" s="2" t="s">
        <v>56</v>
      </c>
      <c r="D4363" s="2" t="s">
        <v>57</v>
      </c>
      <c r="E4363" s="5">
        <v>-28047</v>
      </c>
      <c r="F4363" s="3" t="s">
        <v>2269</v>
      </c>
      <c r="G4363" s="3" t="s">
        <v>20</v>
      </c>
      <c r="H4363" s="2" t="s">
        <v>21</v>
      </c>
      <c r="I4363" s="2" t="s">
        <v>8775</v>
      </c>
      <c r="J4363" s="3" t="str">
        <f>HYPERLINK("https://www.boe.es/gazeta/dias/1823/03/17/pdfs/GMD-1823-80.pdf#page=4","Abrir facsímil")</f>
        <v>Abrir facsímil</v>
      </c>
      <c r="K4363" s="3" t="s">
        <v>23</v>
      </c>
    </row>
    <row r="4364" spans="1:11" ht="42" customHeight="1">
      <c r="A4364" s="2" t="s">
        <v>8776</v>
      </c>
      <c r="B4364" s="2" t="s">
        <v>8776</v>
      </c>
      <c r="C4364" s="2" t="s">
        <v>17</v>
      </c>
      <c r="D4364" s="2" t="s">
        <v>18</v>
      </c>
      <c r="E4364" s="5">
        <v>-27991</v>
      </c>
      <c r="F4364" s="3" t="s">
        <v>328</v>
      </c>
      <c r="G4364" s="3" t="s">
        <v>34</v>
      </c>
      <c r="H4364" s="2" t="s">
        <v>21</v>
      </c>
      <c r="I4364" s="2" t="s">
        <v>8777</v>
      </c>
      <c r="J4364" s="3" t="str">
        <f>HYPERLINK("https://www.boe.es/gazeta/dias/1823/05/12/pdfs/GES-1823-32.pdf#page=5","Abrir facsímil")</f>
        <v>Abrir facsímil</v>
      </c>
      <c r="K4364" s="3" t="s">
        <v>23</v>
      </c>
    </row>
    <row r="4365" spans="1:11" ht="42" customHeight="1">
      <c r="A4365" s="2" t="s">
        <v>8778</v>
      </c>
      <c r="B4365" s="2" t="s">
        <v>8779</v>
      </c>
      <c r="C4365" s="2" t="s">
        <v>17</v>
      </c>
      <c r="D4365" s="2" t="s">
        <v>18</v>
      </c>
      <c r="E4365" s="5">
        <v>-28017</v>
      </c>
      <c r="F4365" s="3" t="s">
        <v>2912</v>
      </c>
      <c r="G4365" s="3" t="s">
        <v>20</v>
      </c>
      <c r="H4365" s="2" t="s">
        <v>21</v>
      </c>
      <c r="I4365" s="2" t="s">
        <v>8780</v>
      </c>
      <c r="J4365" s="3" t="str">
        <f>HYPERLINK("https://www.boe.es/gazeta/dias/1823/04/16/pdfs/GES-1823-6.pdf#page=4","Abrir facsímil")</f>
        <v>Abrir facsímil</v>
      </c>
      <c r="K4365" s="3" t="s">
        <v>23</v>
      </c>
    </row>
    <row r="4366" spans="1:11" ht="42" customHeight="1">
      <c r="A4366" s="2" t="s">
        <v>8781</v>
      </c>
      <c r="B4366" s="2" t="s">
        <v>8781</v>
      </c>
      <c r="C4366" s="2" t="s">
        <v>79</v>
      </c>
      <c r="D4366" s="2" t="s">
        <v>74</v>
      </c>
      <c r="E4366" s="5">
        <v>-28063</v>
      </c>
      <c r="F4366" s="3" t="s">
        <v>2493</v>
      </c>
      <c r="G4366" s="3" t="s">
        <v>48</v>
      </c>
      <c r="H4366" s="2" t="s">
        <v>21</v>
      </c>
      <c r="I4366" s="2" t="s">
        <v>8782</v>
      </c>
      <c r="J4366" s="3" t="str">
        <f>HYPERLINK("https://www.boe.es/gazeta/dias/1823/03/01/pdfs/GMD-1823-63.pdf#page=3","Abrir facsímil")</f>
        <v>Abrir facsímil</v>
      </c>
      <c r="K4366" s="3" t="s">
        <v>23</v>
      </c>
    </row>
    <row r="4367" spans="1:11" ht="42" customHeight="1">
      <c r="A4367" s="2" t="s">
        <v>8783</v>
      </c>
      <c r="B4367" s="2" t="s">
        <v>8784</v>
      </c>
      <c r="C4367" s="2" t="s">
        <v>17</v>
      </c>
      <c r="D4367" s="2" t="s">
        <v>18</v>
      </c>
      <c r="E4367" s="5">
        <v>-28009</v>
      </c>
      <c r="F4367" s="3" t="s">
        <v>307</v>
      </c>
      <c r="G4367" s="3" t="s">
        <v>39</v>
      </c>
      <c r="H4367" s="2" t="s">
        <v>21</v>
      </c>
      <c r="I4367" s="2" t="s">
        <v>8785</v>
      </c>
      <c r="J4367" s="3" t="str">
        <f>HYPERLINK("https://www.boe.es/gazeta/dias/1823/04/24/pdfs/GES-1823-14.pdf#page=1","Abrir facsímil")</f>
        <v>Abrir facsímil</v>
      </c>
      <c r="K4367" s="3" t="s">
        <v>23</v>
      </c>
    </row>
    <row r="4368" spans="1:11" ht="42" customHeight="1">
      <c r="A4368" s="2" t="s">
        <v>8786</v>
      </c>
      <c r="B4368" s="2" t="s">
        <v>8787</v>
      </c>
      <c r="C4368" s="2" t="s">
        <v>17</v>
      </c>
      <c r="D4368" s="2" t="s">
        <v>18</v>
      </c>
      <c r="E4368" s="5">
        <v>-28013</v>
      </c>
      <c r="F4368" s="3" t="s">
        <v>105</v>
      </c>
      <c r="G4368" s="3" t="s">
        <v>27</v>
      </c>
      <c r="H4368" s="2" t="s">
        <v>21</v>
      </c>
      <c r="I4368" s="2" t="s">
        <v>8788</v>
      </c>
      <c r="J4368" s="3" t="str">
        <f>HYPERLINK("https://www.boe.es/gazeta/dias/1823/04/20/pdfs/GMD-1823-32.pdf#page=2","Abrir facsímil")</f>
        <v>Abrir facsímil</v>
      </c>
      <c r="K4368" s="3" t="s">
        <v>23</v>
      </c>
    </row>
    <row r="4369" spans="1:11" ht="42" customHeight="1">
      <c r="A4369" s="2" t="s">
        <v>8789</v>
      </c>
      <c r="B4369" s="2" t="s">
        <v>8789</v>
      </c>
      <c r="C4369" s="2" t="s">
        <v>17</v>
      </c>
      <c r="D4369" s="2" t="s">
        <v>18</v>
      </c>
      <c r="E4369" s="5">
        <v>-27983</v>
      </c>
      <c r="F4369" s="3" t="s">
        <v>337</v>
      </c>
      <c r="G4369" s="3" t="s">
        <v>39</v>
      </c>
      <c r="H4369" s="2" t="s">
        <v>21</v>
      </c>
      <c r="I4369" s="2" t="s">
        <v>8790</v>
      </c>
      <c r="J4369" s="3" t="str">
        <f>HYPERLINK("https://www.boe.es/gazeta/dias/1823/05/20/pdfs/GES-1823-40.pdf#page=1","Abrir facsímil")</f>
        <v>Abrir facsímil</v>
      </c>
      <c r="K4369" s="3" t="s">
        <v>23</v>
      </c>
    </row>
    <row r="4370" spans="1:11" ht="42" customHeight="1">
      <c r="A4370" s="2" t="s">
        <v>8789</v>
      </c>
      <c r="B4370" s="2" t="s">
        <v>8789</v>
      </c>
      <c r="C4370" s="2" t="s">
        <v>109</v>
      </c>
      <c r="D4370" s="2" t="s">
        <v>74</v>
      </c>
      <c r="E4370" s="5">
        <v>-27969</v>
      </c>
      <c r="F4370" s="3" t="s">
        <v>855</v>
      </c>
      <c r="G4370" s="3" t="s">
        <v>39</v>
      </c>
      <c r="H4370" s="2" t="s">
        <v>21</v>
      </c>
      <c r="I4370" s="2" t="s">
        <v>8791</v>
      </c>
      <c r="J4370" s="3" t="str">
        <f>HYPERLINK("https://www.boe.es/gazeta/dias/1823/06/03/pdfs/GES-1823-57.pdf#page=1","Abrir facsímil")</f>
        <v>Abrir facsímil</v>
      </c>
      <c r="K4370" s="3" t="s">
        <v>23</v>
      </c>
    </row>
    <row r="4371" spans="1:11" ht="42" customHeight="1">
      <c r="A4371" s="2" t="s">
        <v>8789</v>
      </c>
      <c r="B4371" s="2" t="s">
        <v>8789</v>
      </c>
      <c r="C4371" s="2" t="s">
        <v>56</v>
      </c>
      <c r="D4371" s="2" t="s">
        <v>57</v>
      </c>
      <c r="E4371" s="5">
        <v>-27967</v>
      </c>
      <c r="F4371" s="3" t="s">
        <v>412</v>
      </c>
      <c r="G4371" s="3" t="s">
        <v>27</v>
      </c>
      <c r="H4371" s="2" t="s">
        <v>21</v>
      </c>
      <c r="I4371" s="2" t="s">
        <v>8792</v>
      </c>
      <c r="J4371" s="3" t="str">
        <f>HYPERLINK("https://www.boe.es/gazeta/dias/1823/06/05/pdfs/GES-1823-59.pdf#page=2","Abrir facsímil")</f>
        <v>Abrir facsímil</v>
      </c>
      <c r="K4371" s="3" t="s">
        <v>23</v>
      </c>
    </row>
    <row r="4372" spans="1:11" ht="42" customHeight="1">
      <c r="A4372" s="2" t="s">
        <v>8793</v>
      </c>
      <c r="B4372" s="2" t="s">
        <v>8793</v>
      </c>
      <c r="C4372" s="2" t="s">
        <v>17</v>
      </c>
      <c r="D4372" s="2" t="s">
        <v>18</v>
      </c>
      <c r="E4372" s="5">
        <v>-27964</v>
      </c>
      <c r="F4372" s="3" t="s">
        <v>58</v>
      </c>
      <c r="G4372" s="3" t="s">
        <v>20</v>
      </c>
      <c r="H4372" s="2" t="s">
        <v>21</v>
      </c>
      <c r="I4372" s="2" t="s">
        <v>8794</v>
      </c>
      <c r="J4372" s="3" t="str">
        <f>HYPERLINK("https://www.boe.es/gazeta/dias/1823/06/08/pdfs/GES-1823-62.pdf#page=4","Abrir facsímil")</f>
        <v>Abrir facsímil</v>
      </c>
      <c r="K4372" s="3" t="s">
        <v>23</v>
      </c>
    </row>
    <row r="4373" spans="1:11" ht="42" customHeight="1">
      <c r="A4373" s="2" t="s">
        <v>8793</v>
      </c>
      <c r="B4373" s="2" t="s">
        <v>8793</v>
      </c>
      <c r="C4373" s="2" t="s">
        <v>17</v>
      </c>
      <c r="D4373" s="2" t="s">
        <v>18</v>
      </c>
      <c r="E4373" s="5">
        <v>-27960</v>
      </c>
      <c r="F4373" s="3" t="s">
        <v>682</v>
      </c>
      <c r="G4373" s="3" t="s">
        <v>3173</v>
      </c>
      <c r="H4373" s="2" t="s">
        <v>21</v>
      </c>
      <c r="I4373" s="2" t="s">
        <v>8795</v>
      </c>
      <c r="J4373" s="3" t="str">
        <f>HYPERLINK("https://www.boe.es/gazeta/dias/1823/06/12/pdfs/GMD-1823-123.pdf#page=4","Abrir facsímil")</f>
        <v>Abrir facsímil</v>
      </c>
      <c r="K4373" s="3" t="s">
        <v>23</v>
      </c>
    </row>
    <row r="4374" spans="1:11" ht="42" customHeight="1">
      <c r="A4374" s="2" t="s">
        <v>8789</v>
      </c>
      <c r="B4374" s="2" t="s">
        <v>8789</v>
      </c>
      <c r="C4374" s="2" t="s">
        <v>17</v>
      </c>
      <c r="D4374" s="2" t="s">
        <v>18</v>
      </c>
      <c r="E4374" s="5">
        <v>-27891</v>
      </c>
      <c r="F4374" s="3" t="s">
        <v>825</v>
      </c>
      <c r="G4374" s="3" t="s">
        <v>20</v>
      </c>
      <c r="H4374" s="2" t="s">
        <v>21</v>
      </c>
      <c r="I4374" s="2" t="s">
        <v>8796</v>
      </c>
      <c r="J4374" s="3" t="str">
        <f>HYPERLINK("https://www.boe.es/gazeta/dias/1823/08/20/pdfs/GES-1823-133.pdf#page=4","Abrir facsímil")</f>
        <v>Abrir facsímil</v>
      </c>
      <c r="K4374" s="3" t="s">
        <v>23</v>
      </c>
    </row>
    <row r="4375" spans="1:11" ht="42" customHeight="1">
      <c r="A4375" s="2" t="s">
        <v>8797</v>
      </c>
      <c r="B4375" s="2" t="s">
        <v>8798</v>
      </c>
      <c r="C4375" s="2" t="s">
        <v>17</v>
      </c>
      <c r="D4375" s="2" t="s">
        <v>18</v>
      </c>
      <c r="E4375" s="5">
        <v>-28101</v>
      </c>
      <c r="F4375" s="3" t="s">
        <v>1041</v>
      </c>
      <c r="G4375" s="3" t="s">
        <v>20</v>
      </c>
      <c r="H4375" s="2" t="s">
        <v>21</v>
      </c>
      <c r="I4375" s="2" t="s">
        <v>8799</v>
      </c>
      <c r="J4375" s="3" t="str">
        <f>HYPERLINK("https://www.boe.es/gazeta/dias/1823/01/22/pdfs/GMD-1823-23.pdf#page=4","Abrir facsímil")</f>
        <v>Abrir facsímil</v>
      </c>
      <c r="K4375" s="3" t="s">
        <v>23</v>
      </c>
    </row>
    <row r="4376" spans="1:11" ht="42" customHeight="1">
      <c r="A4376" s="2" t="s">
        <v>8800</v>
      </c>
      <c r="B4376" s="2" t="s">
        <v>8801</v>
      </c>
      <c r="C4376" s="2" t="s">
        <v>17</v>
      </c>
      <c r="D4376" s="2" t="s">
        <v>18</v>
      </c>
      <c r="E4376" s="5">
        <v>-28053</v>
      </c>
      <c r="F4376" s="3" t="s">
        <v>303</v>
      </c>
      <c r="G4376" s="3" t="s">
        <v>20</v>
      </c>
      <c r="H4376" s="2" t="s">
        <v>21</v>
      </c>
      <c r="I4376" s="2" t="s">
        <v>8802</v>
      </c>
      <c r="J4376" s="3" t="str">
        <f>HYPERLINK("https://www.boe.es/gazeta/dias/1823/03/11/pdfs/GMD-1823-74.pdf#page=4","Abrir facsímil")</f>
        <v>Abrir facsímil</v>
      </c>
      <c r="K4376" s="3" t="s">
        <v>23</v>
      </c>
    </row>
    <row r="4377" spans="1:11" ht="42" customHeight="1">
      <c r="A4377" s="2" t="s">
        <v>8803</v>
      </c>
      <c r="B4377" s="2" t="s">
        <v>8804</v>
      </c>
      <c r="C4377" s="2" t="s">
        <v>17</v>
      </c>
      <c r="D4377" s="2" t="s">
        <v>18</v>
      </c>
      <c r="E4377" s="5">
        <v>-28015</v>
      </c>
      <c r="F4377" s="3" t="s">
        <v>985</v>
      </c>
      <c r="G4377" s="3" t="s">
        <v>20</v>
      </c>
      <c r="H4377" s="2" t="s">
        <v>21</v>
      </c>
      <c r="I4377" s="2" t="s">
        <v>8805</v>
      </c>
      <c r="J4377" s="3" t="str">
        <f>HYPERLINK("https://www.boe.es/gazeta/dias/1823/04/18/pdfs/GES-1823-8.pdf#page=4","Abrir facsímil")</f>
        <v>Abrir facsímil</v>
      </c>
      <c r="K4377" s="3" t="s">
        <v>23</v>
      </c>
    </row>
    <row r="4378" spans="1:11" ht="42" customHeight="1">
      <c r="A4378" s="2" t="s">
        <v>8803</v>
      </c>
      <c r="B4378" s="2" t="s">
        <v>8804</v>
      </c>
      <c r="C4378" s="2" t="s">
        <v>17</v>
      </c>
      <c r="D4378" s="2" t="s">
        <v>18</v>
      </c>
      <c r="E4378" s="5">
        <v>-28005</v>
      </c>
      <c r="F4378" s="3" t="s">
        <v>1648</v>
      </c>
      <c r="G4378" s="3" t="s">
        <v>20</v>
      </c>
      <c r="H4378" s="2" t="s">
        <v>21</v>
      </c>
      <c r="I4378" s="2" t="s">
        <v>8806</v>
      </c>
      <c r="J4378" s="3" t="str">
        <f>HYPERLINK("https://www.boe.es/gazeta/dias/1823/04/28/pdfs/GES-1823-18.pdf#page=4","Abrir facsímil")</f>
        <v>Abrir facsímil</v>
      </c>
      <c r="K4378" s="3" t="s">
        <v>23</v>
      </c>
    </row>
    <row r="4379" spans="1:11" ht="42" customHeight="1">
      <c r="A4379" s="2" t="s">
        <v>8803</v>
      </c>
      <c r="B4379" s="2" t="s">
        <v>8804</v>
      </c>
      <c r="C4379" s="2" t="s">
        <v>79</v>
      </c>
      <c r="D4379" s="2" t="s">
        <v>74</v>
      </c>
      <c r="E4379" s="5">
        <v>-27992</v>
      </c>
      <c r="F4379" s="3" t="s">
        <v>565</v>
      </c>
      <c r="G4379" s="3" t="s">
        <v>20</v>
      </c>
      <c r="H4379" s="2" t="s">
        <v>21</v>
      </c>
      <c r="I4379" s="2" t="s">
        <v>8807</v>
      </c>
      <c r="J4379" s="3" t="str">
        <f>HYPERLINK("https://www.boe.es/gazeta/dias/1823/05/11/pdfs/GES-1823-31.pdf#page=4","Abrir facsímil")</f>
        <v>Abrir facsímil</v>
      </c>
      <c r="K4379" s="3" t="s">
        <v>23</v>
      </c>
    </row>
    <row r="4380" spans="1:11" ht="42" customHeight="1">
      <c r="A4380" s="2" t="s">
        <v>8803</v>
      </c>
      <c r="B4380" s="2" t="s">
        <v>8804</v>
      </c>
      <c r="C4380" s="2" t="s">
        <v>79</v>
      </c>
      <c r="D4380" s="2" t="s">
        <v>74</v>
      </c>
      <c r="E4380" s="5">
        <v>-27985</v>
      </c>
      <c r="F4380" s="3" t="s">
        <v>951</v>
      </c>
      <c r="G4380" s="3" t="s">
        <v>1140</v>
      </c>
      <c r="H4380" s="2" t="s">
        <v>21</v>
      </c>
      <c r="I4380" s="2" t="s">
        <v>8808</v>
      </c>
      <c r="J4380" s="3" t="str">
        <f>HYPERLINK("https://www.boe.es/gazeta/dias/1823/05/18/pdfs/GES-1823-38.pdf#page=5","Abrir facsímil")</f>
        <v>Abrir facsímil</v>
      </c>
      <c r="K4380" s="3" t="s">
        <v>23</v>
      </c>
    </row>
    <row r="4381" spans="1:11" ht="42" customHeight="1">
      <c r="A4381" s="2" t="s">
        <v>8809</v>
      </c>
      <c r="B4381" s="2" t="s">
        <v>8810</v>
      </c>
      <c r="C4381" s="2" t="s">
        <v>17</v>
      </c>
      <c r="D4381" s="2" t="s">
        <v>18</v>
      </c>
      <c r="E4381" s="5">
        <v>-27964</v>
      </c>
      <c r="F4381" s="3" t="s">
        <v>58</v>
      </c>
      <c r="G4381" s="3" t="s">
        <v>48</v>
      </c>
      <c r="H4381" s="2" t="s">
        <v>21</v>
      </c>
      <c r="I4381" s="2" t="s">
        <v>8811</v>
      </c>
      <c r="J4381" s="3" t="str">
        <f>HYPERLINK("https://www.boe.es/gazeta/dias/1823/06/08/pdfs/GES-1823-62.pdf#page=3","Abrir facsímil")</f>
        <v>Abrir facsímil</v>
      </c>
      <c r="K4381" s="3" t="s">
        <v>23</v>
      </c>
    </row>
    <row r="4382" spans="1:11" ht="42" customHeight="1">
      <c r="A4382" s="2" t="s">
        <v>8812</v>
      </c>
      <c r="B4382" s="2" t="s">
        <v>8813</v>
      </c>
      <c r="C4382" s="2" t="s">
        <v>17</v>
      </c>
      <c r="D4382" s="2" t="s">
        <v>18</v>
      </c>
      <c r="E4382" s="5">
        <v>-27971</v>
      </c>
      <c r="F4382" s="3" t="s">
        <v>4211</v>
      </c>
      <c r="G4382" s="3" t="s">
        <v>20</v>
      </c>
      <c r="H4382" s="2" t="s">
        <v>21</v>
      </c>
      <c r="I4382" s="2" t="s">
        <v>8814</v>
      </c>
      <c r="J4382" s="3" t="str">
        <f>HYPERLINK("https://www.boe.es/gazeta/dias/1823/06/01/pdfs/GES-1823-55.pdf#page=4","Abrir facsímil")</f>
        <v>Abrir facsímil</v>
      </c>
      <c r="K4382" s="3" t="s">
        <v>23</v>
      </c>
    </row>
    <row r="4383" spans="1:11" ht="42" customHeight="1">
      <c r="A4383" s="2" t="s">
        <v>8815</v>
      </c>
      <c r="B4383" s="2" t="s">
        <v>8816</v>
      </c>
      <c r="C4383" s="2" t="s">
        <v>79</v>
      </c>
      <c r="D4383" s="2" t="s">
        <v>74</v>
      </c>
      <c r="E4383" s="5">
        <v>-27907</v>
      </c>
      <c r="F4383" s="3" t="s">
        <v>370</v>
      </c>
      <c r="G4383" s="3" t="s">
        <v>20</v>
      </c>
      <c r="H4383" s="2" t="s">
        <v>21</v>
      </c>
      <c r="I4383" s="2" t="s">
        <v>8817</v>
      </c>
      <c r="J4383" s="3" t="str">
        <f>HYPERLINK("https://www.boe.es/gazeta/dias/1823/08/04/pdfs/GES-1823-116.pdf#page=4","Abrir facsímil")</f>
        <v>Abrir facsímil</v>
      </c>
      <c r="K4383" s="3" t="s">
        <v>23</v>
      </c>
    </row>
    <row r="4384" spans="1:11" ht="42" customHeight="1">
      <c r="A4384" s="2" t="s">
        <v>8818</v>
      </c>
      <c r="B4384" s="2" t="s">
        <v>8819</v>
      </c>
      <c r="C4384" s="2" t="s">
        <v>73</v>
      </c>
      <c r="D4384" s="2" t="s">
        <v>74</v>
      </c>
      <c r="E4384" s="5">
        <v>-27787</v>
      </c>
      <c r="F4384" s="3" t="s">
        <v>865</v>
      </c>
      <c r="G4384" s="3" t="s">
        <v>39</v>
      </c>
      <c r="H4384" s="2" t="s">
        <v>21</v>
      </c>
      <c r="I4384" s="2" t="s">
        <v>8820</v>
      </c>
      <c r="J4384" s="3" t="str">
        <f>HYPERLINK("https://www.boe.es/gazeta/dias/1823/12/02/pdfs/GMD-1823-1193.pdf#page=1","Abrir facsímil")</f>
        <v>Abrir facsímil</v>
      </c>
      <c r="K4384" s="3" t="s">
        <v>23</v>
      </c>
    </row>
    <row r="4385" spans="1:11" ht="42" customHeight="1">
      <c r="A4385" s="2" t="s">
        <v>8821</v>
      </c>
      <c r="B4385" s="2" t="s">
        <v>8821</v>
      </c>
      <c r="C4385" s="2" t="s">
        <v>17</v>
      </c>
      <c r="D4385" s="2" t="s">
        <v>18</v>
      </c>
      <c r="E4385" s="5">
        <v>-28020</v>
      </c>
      <c r="F4385" s="3" t="s">
        <v>448</v>
      </c>
      <c r="G4385" s="3" t="s">
        <v>48</v>
      </c>
      <c r="H4385" s="2" t="s">
        <v>21</v>
      </c>
      <c r="I4385" s="2" t="s">
        <v>8822</v>
      </c>
      <c r="J4385" s="3" t="str">
        <f>HYPERLINK("https://www.boe.es/gazeta/dias/1823/04/13/pdfs/GES-1823-3.pdf#page=3","Abrir facsímil")</f>
        <v>Abrir facsímil</v>
      </c>
      <c r="K4385" s="3" t="s">
        <v>23</v>
      </c>
    </row>
    <row r="4386" spans="1:11" ht="42" customHeight="1">
      <c r="A4386" s="2" t="s">
        <v>8823</v>
      </c>
      <c r="B4386" s="2" t="s">
        <v>8824</v>
      </c>
      <c r="C4386" s="2" t="s">
        <v>17</v>
      </c>
      <c r="D4386" s="2" t="s">
        <v>18</v>
      </c>
      <c r="E4386" s="5">
        <v>-28003</v>
      </c>
      <c r="F4386" s="3" t="s">
        <v>26</v>
      </c>
      <c r="G4386" s="3" t="s">
        <v>27</v>
      </c>
      <c r="H4386" s="2" t="s">
        <v>21</v>
      </c>
      <c r="I4386" s="2" t="s">
        <v>8825</v>
      </c>
      <c r="J4386" s="3" t="str">
        <f>HYPERLINK("https://www.boe.es/gazeta/dias/1823/04/30/pdfs/GES-1823-20.pdf#page=2","Abrir facsímil")</f>
        <v>Abrir facsímil</v>
      </c>
      <c r="K4386" s="3" t="s">
        <v>23</v>
      </c>
    </row>
    <row r="4387" spans="1:11" ht="42" customHeight="1">
      <c r="A4387" s="2" t="s">
        <v>8826</v>
      </c>
      <c r="B4387" s="2" t="s">
        <v>8827</v>
      </c>
      <c r="C4387" s="2" t="s">
        <v>17</v>
      </c>
      <c r="D4387" s="2" t="s">
        <v>18</v>
      </c>
      <c r="E4387" s="5">
        <v>-27970</v>
      </c>
      <c r="F4387" s="3" t="s">
        <v>1030</v>
      </c>
      <c r="G4387" s="3" t="s">
        <v>20</v>
      </c>
      <c r="H4387" s="2" t="s">
        <v>21</v>
      </c>
      <c r="I4387" s="2" t="s">
        <v>8828</v>
      </c>
      <c r="J4387" s="3" t="str">
        <f>HYPERLINK("https://www.boe.es/gazeta/dias/1823/06/02/pdfs/GES-1823-56.pdf#page=4","Abrir facsímil")</f>
        <v>Abrir facsímil</v>
      </c>
      <c r="K4387" s="3" t="s">
        <v>23</v>
      </c>
    </row>
    <row r="4388" spans="1:11" ht="42" customHeight="1">
      <c r="A4388" s="2" t="s">
        <v>8829</v>
      </c>
      <c r="B4388" s="2" t="s">
        <v>8830</v>
      </c>
      <c r="C4388" s="2" t="s">
        <v>17</v>
      </c>
      <c r="D4388" s="2" t="s">
        <v>18</v>
      </c>
      <c r="E4388" s="5">
        <v>-28028</v>
      </c>
      <c r="F4388" s="3" t="s">
        <v>893</v>
      </c>
      <c r="G4388" s="3" t="s">
        <v>27</v>
      </c>
      <c r="H4388" s="2" t="s">
        <v>21</v>
      </c>
      <c r="I4388" s="2" t="s">
        <v>8831</v>
      </c>
      <c r="J4388" s="3" t="str">
        <f>HYPERLINK("https://www.boe.es/gazeta/dias/1823/04/05/pdfs/GMD-1823-99.pdf#page=2","Abrir facsímil")</f>
        <v>Abrir facsímil</v>
      </c>
      <c r="K4388" s="3" t="s">
        <v>23</v>
      </c>
    </row>
    <row r="4389" spans="1:11" ht="42" customHeight="1">
      <c r="A4389" s="2" t="s">
        <v>8832</v>
      </c>
      <c r="B4389" s="2" t="s">
        <v>8833</v>
      </c>
      <c r="C4389" s="2" t="s">
        <v>56</v>
      </c>
      <c r="D4389" s="2" t="s">
        <v>57</v>
      </c>
      <c r="E4389" s="5">
        <v>-28051</v>
      </c>
      <c r="F4389" s="3" t="s">
        <v>305</v>
      </c>
      <c r="G4389" s="3" t="s">
        <v>48</v>
      </c>
      <c r="H4389" s="2" t="s">
        <v>21</v>
      </c>
      <c r="I4389" s="2" t="s">
        <v>8834</v>
      </c>
      <c r="J4389" s="3" t="str">
        <f>HYPERLINK("https://www.boe.es/gazeta/dias/1823/03/13/pdfs/GMD-1823-76.pdf#page=3","Abrir facsímil")</f>
        <v>Abrir facsímil</v>
      </c>
      <c r="K4389" s="3" t="s">
        <v>23</v>
      </c>
    </row>
    <row r="4390" spans="1:11" ht="42" customHeight="1">
      <c r="A4390" s="2" t="s">
        <v>8835</v>
      </c>
      <c r="B4390" s="2" t="s">
        <v>8835</v>
      </c>
      <c r="C4390" s="2" t="s">
        <v>325</v>
      </c>
      <c r="D4390" s="2" t="s">
        <v>74</v>
      </c>
      <c r="E4390" s="5">
        <v>-28064</v>
      </c>
      <c r="F4390" s="3" t="s">
        <v>1190</v>
      </c>
      <c r="G4390" s="3" t="s">
        <v>39</v>
      </c>
      <c r="H4390" s="2" t="s">
        <v>21</v>
      </c>
      <c r="I4390" s="2" t="s">
        <v>8836</v>
      </c>
      <c r="J4390" s="3" t="str">
        <f>HYPERLINK("https://www.boe.es/gazeta/dias/1823/02/28/pdfs/GMD-1823-62.pdf#page=1","Abrir facsímil")</f>
        <v>Abrir facsímil</v>
      </c>
      <c r="K4390" s="3" t="s">
        <v>23</v>
      </c>
    </row>
    <row r="4391" spans="1:11" ht="42" customHeight="1">
      <c r="A4391" s="2" t="s">
        <v>8837</v>
      </c>
      <c r="B4391" s="2" t="s">
        <v>8838</v>
      </c>
      <c r="C4391" s="2" t="s">
        <v>17</v>
      </c>
      <c r="D4391" s="2" t="s">
        <v>18</v>
      </c>
      <c r="E4391" s="5">
        <v>-28061</v>
      </c>
      <c r="F4391" s="3" t="s">
        <v>704</v>
      </c>
      <c r="G4391" s="3" t="s">
        <v>59</v>
      </c>
      <c r="H4391" s="2" t="s">
        <v>21</v>
      </c>
      <c r="I4391" s="2" t="s">
        <v>8839</v>
      </c>
      <c r="J4391" s="3" t="str">
        <f>HYPERLINK("https://www.boe.es/gazeta/dias/1823/03/03/pdfs/GMD-1823-66.pdf#page=6","Abrir facsímil")</f>
        <v>Abrir facsímil</v>
      </c>
      <c r="K4391" s="3" t="s">
        <v>23</v>
      </c>
    </row>
    <row r="4392" spans="1:11" ht="42" customHeight="1">
      <c r="A4392" s="2" t="s">
        <v>8840</v>
      </c>
      <c r="B4392" s="2" t="s">
        <v>8841</v>
      </c>
      <c r="C4392" s="2" t="s">
        <v>56</v>
      </c>
      <c r="D4392" s="2" t="s">
        <v>57</v>
      </c>
      <c r="E4392" s="5">
        <v>-27906</v>
      </c>
      <c r="F4392" s="3" t="s">
        <v>1527</v>
      </c>
      <c r="G4392" s="3" t="s">
        <v>39</v>
      </c>
      <c r="H4392" s="2" t="s">
        <v>21</v>
      </c>
      <c r="I4392" s="2" t="s">
        <v>8842</v>
      </c>
      <c r="J4392" s="3" t="str">
        <f>HYPERLINK("https://www.boe.es/gazeta/dias/1823/08/05/pdfs/GMD-1823-533.pdf#page=1","Abrir facsímil")</f>
        <v>Abrir facsímil</v>
      </c>
      <c r="K4392" s="3" t="s">
        <v>23</v>
      </c>
    </row>
    <row r="4393" spans="1:11" ht="42" customHeight="1">
      <c r="A4393" s="2" t="s">
        <v>8843</v>
      </c>
      <c r="B4393" s="2" t="s">
        <v>8844</v>
      </c>
      <c r="C4393" s="2" t="s">
        <v>17</v>
      </c>
      <c r="D4393" s="2" t="s">
        <v>18</v>
      </c>
      <c r="E4393" s="5">
        <v>-28068</v>
      </c>
      <c r="F4393" s="3" t="s">
        <v>1325</v>
      </c>
      <c r="G4393" s="3" t="s">
        <v>20</v>
      </c>
      <c r="H4393" s="2" t="s">
        <v>21</v>
      </c>
      <c r="I4393" s="2" t="s">
        <v>8845</v>
      </c>
      <c r="J4393" s="3" t="str">
        <f>HYPERLINK("https://www.boe.es/gazeta/dias/1823/02/24/pdfs/GMD-1823-58.pdf#page=4","Abrir facsímil")</f>
        <v>Abrir facsímil</v>
      </c>
      <c r="K4393" s="3" t="s">
        <v>23</v>
      </c>
    </row>
    <row r="4394" spans="1:11" ht="42" customHeight="1">
      <c r="A4394" s="2" t="s">
        <v>8846</v>
      </c>
      <c r="B4394" s="2" t="s">
        <v>8846</v>
      </c>
      <c r="C4394" s="2" t="s">
        <v>79</v>
      </c>
      <c r="D4394" s="2" t="s">
        <v>74</v>
      </c>
      <c r="E4394" s="5">
        <v>-27895</v>
      </c>
      <c r="F4394" s="3" t="s">
        <v>734</v>
      </c>
      <c r="G4394" s="3" t="s">
        <v>48</v>
      </c>
      <c r="H4394" s="2" t="s">
        <v>21</v>
      </c>
      <c r="I4394" s="2" t="s">
        <v>8847</v>
      </c>
      <c r="J4394" s="3" t="str">
        <f>HYPERLINK("https://www.boe.es/gazeta/dias/1823/08/16/pdfs/GES-1823-129.pdf#page=3","Abrir facsímil")</f>
        <v>Abrir facsímil</v>
      </c>
      <c r="K4394" s="3" t="s">
        <v>23</v>
      </c>
    </row>
    <row r="4395" spans="1:11" ht="42" customHeight="1">
      <c r="A4395" s="2" t="s">
        <v>8848</v>
      </c>
      <c r="B4395" s="2" t="s">
        <v>8849</v>
      </c>
      <c r="C4395" s="2" t="s">
        <v>73</v>
      </c>
      <c r="D4395" s="2" t="s">
        <v>74</v>
      </c>
      <c r="E4395" s="5">
        <v>-28031</v>
      </c>
      <c r="F4395" s="3" t="s">
        <v>1211</v>
      </c>
      <c r="G4395" s="3" t="s">
        <v>20</v>
      </c>
      <c r="H4395" s="2" t="s">
        <v>21</v>
      </c>
      <c r="I4395" s="2" t="s">
        <v>8850</v>
      </c>
      <c r="J4395" s="3" t="str">
        <f>HYPERLINK("https://www.boe.es/gazeta/dias/1823/04/02/pdfs/GMD-1823-96.pdf#page=4","Abrir facsímil")</f>
        <v>Abrir facsímil</v>
      </c>
      <c r="K4395" s="3" t="s">
        <v>23</v>
      </c>
    </row>
    <row r="4396" spans="1:11" ht="42" customHeight="1">
      <c r="A4396" s="2" t="s">
        <v>8848</v>
      </c>
      <c r="B4396" s="2" t="s">
        <v>8849</v>
      </c>
      <c r="C4396" s="2" t="s">
        <v>56</v>
      </c>
      <c r="D4396" s="2" t="s">
        <v>57</v>
      </c>
      <c r="E4396" s="5">
        <v>-27992</v>
      </c>
      <c r="F4396" s="3" t="s">
        <v>565</v>
      </c>
      <c r="G4396" s="3" t="s">
        <v>20</v>
      </c>
      <c r="H4396" s="2" t="s">
        <v>21</v>
      </c>
      <c r="I4396" s="2" t="s">
        <v>8851</v>
      </c>
      <c r="J4396" s="3" t="str">
        <f>HYPERLINK("https://www.boe.es/gazeta/dias/1823/05/11/pdfs/GES-1823-31.pdf#page=4","Abrir facsímil")</f>
        <v>Abrir facsímil</v>
      </c>
      <c r="K4396" s="3" t="s">
        <v>23</v>
      </c>
    </row>
    <row r="4397" spans="1:11" ht="42" customHeight="1">
      <c r="A4397" s="2" t="s">
        <v>8848</v>
      </c>
      <c r="B4397" s="2" t="s">
        <v>8849</v>
      </c>
      <c r="C4397" s="2" t="s">
        <v>109</v>
      </c>
      <c r="D4397" s="2" t="s">
        <v>74</v>
      </c>
      <c r="E4397" s="5">
        <v>-27904</v>
      </c>
      <c r="F4397" s="3" t="s">
        <v>1748</v>
      </c>
      <c r="G4397" s="3" t="s">
        <v>20</v>
      </c>
      <c r="H4397" s="2" t="s">
        <v>21</v>
      </c>
      <c r="I4397" s="2" t="s">
        <v>8852</v>
      </c>
      <c r="J4397" s="3" t="str">
        <f>HYPERLINK("https://www.boe.es/gazeta/dias/1823/08/07/pdfs/GES-1823-120.pdf#page=4","Abrir facsímil")</f>
        <v>Abrir facsímil</v>
      </c>
      <c r="K4397" s="3" t="s">
        <v>23</v>
      </c>
    </row>
    <row r="4398" spans="1:11" ht="42" customHeight="1">
      <c r="A4398" s="2" t="s">
        <v>8848</v>
      </c>
      <c r="B4398" s="2" t="s">
        <v>8849</v>
      </c>
      <c r="C4398" s="2" t="s">
        <v>73</v>
      </c>
      <c r="D4398" s="2" t="s">
        <v>74</v>
      </c>
      <c r="E4398" s="5">
        <v>-27863</v>
      </c>
      <c r="F4398" s="3" t="s">
        <v>651</v>
      </c>
      <c r="G4398" s="3" t="s">
        <v>20</v>
      </c>
      <c r="H4398" s="2" t="s">
        <v>21</v>
      </c>
      <c r="I4398" s="2" t="s">
        <v>8853</v>
      </c>
      <c r="J4398" s="3" t="str">
        <f>HYPERLINK("https://www.boe.es/gazeta/dias/1823/09/17/pdfs/GES-1823-161.pdf#page=4","Abrir facsímil")</f>
        <v>Abrir facsímil</v>
      </c>
      <c r="K4398" s="3" t="s">
        <v>23</v>
      </c>
    </row>
    <row r="4399" spans="1:11" ht="42" customHeight="1">
      <c r="A4399" s="2" t="s">
        <v>8854</v>
      </c>
      <c r="B4399" s="2" t="s">
        <v>8855</v>
      </c>
      <c r="C4399" s="2" t="s">
        <v>17</v>
      </c>
      <c r="D4399" s="2" t="s">
        <v>18</v>
      </c>
      <c r="E4399" s="5">
        <v>-28061</v>
      </c>
      <c r="F4399" s="3" t="s">
        <v>704</v>
      </c>
      <c r="G4399" s="3" t="s">
        <v>59</v>
      </c>
      <c r="H4399" s="2" t="s">
        <v>21</v>
      </c>
      <c r="I4399" s="2" t="s">
        <v>8856</v>
      </c>
      <c r="J4399" s="3" t="str">
        <f>HYPERLINK("https://www.boe.es/gazeta/dias/1823/03/03/pdfs/GMD-1823-66.pdf#page=6","Abrir facsímil")</f>
        <v>Abrir facsímil</v>
      </c>
      <c r="K4399" s="3" t="s">
        <v>23</v>
      </c>
    </row>
    <row r="4400" spans="1:11" ht="42" customHeight="1">
      <c r="A4400" s="2" t="s">
        <v>8857</v>
      </c>
      <c r="B4400" s="2" t="s">
        <v>8858</v>
      </c>
      <c r="C4400" s="2" t="s">
        <v>17</v>
      </c>
      <c r="D4400" s="2" t="s">
        <v>18</v>
      </c>
      <c r="E4400" s="5">
        <v>-27905</v>
      </c>
      <c r="F4400" s="3" t="s">
        <v>236</v>
      </c>
      <c r="G4400" s="3" t="s">
        <v>27</v>
      </c>
      <c r="H4400" s="2" t="s">
        <v>21</v>
      </c>
      <c r="I4400" s="2" t="s">
        <v>8859</v>
      </c>
      <c r="J4400" s="3" t="str">
        <f>HYPERLINK("https://www.boe.es/gazeta/dias/1823/08/06/pdfs/GES-1823-119.pdf#page=2","Abrir facsímil")</f>
        <v>Abrir facsímil</v>
      </c>
      <c r="K4400" s="3" t="s">
        <v>23</v>
      </c>
    </row>
    <row r="4401" spans="1:11" ht="42" customHeight="1">
      <c r="A4401" s="2" t="s">
        <v>8860</v>
      </c>
      <c r="B4401" s="2" t="s">
        <v>8861</v>
      </c>
      <c r="C4401" s="2" t="s">
        <v>56</v>
      </c>
      <c r="D4401" s="2" t="s">
        <v>57</v>
      </c>
      <c r="E4401" s="5">
        <v>-28089</v>
      </c>
      <c r="F4401" s="3" t="s">
        <v>1979</v>
      </c>
      <c r="G4401" s="3" t="s">
        <v>59</v>
      </c>
      <c r="H4401" s="2" t="s">
        <v>21</v>
      </c>
      <c r="I4401" s="2" t="s">
        <v>8862</v>
      </c>
      <c r="J4401" s="3" t="str">
        <f>HYPERLINK("https://www.boe.es/gazeta/dias/1823/02/03/pdfs/GMD-1823-36.pdf#page=6","Abrir facsímil")</f>
        <v>Abrir facsímil</v>
      </c>
      <c r="K4401" s="3" t="s">
        <v>23</v>
      </c>
    </row>
    <row r="4402" spans="1:11" ht="42" customHeight="1">
      <c r="A4402" s="2" t="s">
        <v>8863</v>
      </c>
      <c r="B4402" s="2" t="s">
        <v>8864</v>
      </c>
      <c r="C4402" s="2" t="s">
        <v>79</v>
      </c>
      <c r="D4402" s="2" t="s">
        <v>74</v>
      </c>
      <c r="E4402" s="5">
        <v>-27926</v>
      </c>
      <c r="F4402" s="3" t="s">
        <v>2158</v>
      </c>
      <c r="G4402" s="3" t="s">
        <v>48</v>
      </c>
      <c r="H4402" s="2" t="s">
        <v>21</v>
      </c>
      <c r="I4402" s="2" t="s">
        <v>8865</v>
      </c>
      <c r="J4402" s="3" t="str">
        <f>HYPERLINK("https://www.boe.es/gazeta/dias/1823/07/16/pdfs/GES-1823-96.pdf#page=3","Abrir facsímil")</f>
        <v>Abrir facsímil</v>
      </c>
      <c r="K4402" s="3" t="s">
        <v>23</v>
      </c>
    </row>
    <row r="4403" spans="1:11" ht="42" customHeight="1">
      <c r="A4403" s="2" t="s">
        <v>8866</v>
      </c>
      <c r="B4403" s="2" t="s">
        <v>8867</v>
      </c>
      <c r="C4403" s="2" t="s">
        <v>84</v>
      </c>
      <c r="D4403" s="2" t="s">
        <v>74</v>
      </c>
      <c r="E4403" s="5">
        <v>-28064</v>
      </c>
      <c r="F4403" s="3" t="s">
        <v>1190</v>
      </c>
      <c r="G4403" s="3" t="s">
        <v>20</v>
      </c>
      <c r="H4403" s="2" t="s">
        <v>21</v>
      </c>
      <c r="I4403" s="2" t="s">
        <v>8868</v>
      </c>
      <c r="J4403" s="3" t="str">
        <f>HYPERLINK("https://www.boe.es/gazeta/dias/1823/02/28/pdfs/GMD-1823-62.pdf#page=4","Abrir facsímil")</f>
        <v>Abrir facsímil</v>
      </c>
      <c r="K4403" s="3" t="s">
        <v>23</v>
      </c>
    </row>
    <row r="4404" spans="1:11" ht="42" customHeight="1">
      <c r="A4404" s="2" t="s">
        <v>8869</v>
      </c>
      <c r="B4404" s="2" t="s">
        <v>8870</v>
      </c>
      <c r="C4404" s="2" t="s">
        <v>17</v>
      </c>
      <c r="D4404" s="2" t="s">
        <v>18</v>
      </c>
      <c r="E4404" s="5">
        <v>-28003</v>
      </c>
      <c r="F4404" s="3" t="s">
        <v>26</v>
      </c>
      <c r="G4404" s="3" t="s">
        <v>27</v>
      </c>
      <c r="H4404" s="2" t="s">
        <v>21</v>
      </c>
      <c r="I4404" s="2" t="s">
        <v>8871</v>
      </c>
      <c r="J4404" s="3" t="str">
        <f>HYPERLINK("https://www.boe.es/gazeta/dias/1823/04/30/pdfs/GES-1823-20.pdf#page=2","Abrir facsímil")</f>
        <v>Abrir facsímil</v>
      </c>
      <c r="K4404" s="3" t="s">
        <v>23</v>
      </c>
    </row>
    <row r="4405" spans="1:11" ht="42" customHeight="1">
      <c r="A4405" s="2" t="s">
        <v>8872</v>
      </c>
      <c r="B4405" s="2" t="s">
        <v>8873</v>
      </c>
      <c r="C4405" s="2" t="s">
        <v>17</v>
      </c>
      <c r="D4405" s="2" t="s">
        <v>18</v>
      </c>
      <c r="E4405" s="5">
        <v>-28093</v>
      </c>
      <c r="F4405" s="3" t="s">
        <v>1044</v>
      </c>
      <c r="G4405" s="3" t="s">
        <v>59</v>
      </c>
      <c r="H4405" s="2" t="s">
        <v>21</v>
      </c>
      <c r="I4405" s="2" t="s">
        <v>8874</v>
      </c>
      <c r="J4405" s="3" t="str">
        <f>HYPERLINK("https://www.boe.es/gazeta/dias/1823/01/30/pdfs/GMD-1823-31.pdf#page=6","Abrir facsímil")</f>
        <v>Abrir facsímil</v>
      </c>
      <c r="K4405" s="3" t="s">
        <v>23</v>
      </c>
    </row>
    <row r="4406" spans="1:11" ht="42" customHeight="1">
      <c r="A4406" s="2" t="s">
        <v>8875</v>
      </c>
      <c r="B4406" s="2" t="s">
        <v>8875</v>
      </c>
      <c r="C4406" s="2" t="s">
        <v>109</v>
      </c>
      <c r="D4406" s="2" t="s">
        <v>74</v>
      </c>
      <c r="E4406" s="5">
        <v>-28073</v>
      </c>
      <c r="F4406" s="3" t="s">
        <v>204</v>
      </c>
      <c r="G4406" s="3" t="s">
        <v>39</v>
      </c>
      <c r="H4406" s="2" t="s">
        <v>21</v>
      </c>
      <c r="I4406" s="2" t="s">
        <v>8876</v>
      </c>
      <c r="J4406" s="3" t="str">
        <f>HYPERLINK("https://www.boe.es/gazeta/dias/1823/02/19/pdfs/GMD-1823-53.pdf#page=1","Abrir facsímil")</f>
        <v>Abrir facsímil</v>
      </c>
      <c r="K4406" s="3" t="s">
        <v>23</v>
      </c>
    </row>
    <row r="4407" spans="1:11" ht="42" customHeight="1">
      <c r="A4407" s="2" t="s">
        <v>8877</v>
      </c>
      <c r="B4407" s="2" t="s">
        <v>8877</v>
      </c>
      <c r="C4407" s="2" t="s">
        <v>79</v>
      </c>
      <c r="D4407" s="2" t="s">
        <v>74</v>
      </c>
      <c r="E4407" s="5">
        <v>-27940</v>
      </c>
      <c r="F4407" s="3" t="s">
        <v>348</v>
      </c>
      <c r="G4407" s="3" t="s">
        <v>20</v>
      </c>
      <c r="H4407" s="2" t="s">
        <v>21</v>
      </c>
      <c r="I4407" s="2" t="s">
        <v>8878</v>
      </c>
      <c r="J4407" s="3" t="str">
        <f>HYPERLINK("https://www.boe.es/gazeta/dias/1823/07/02/pdfs/GES-1823-82.pdf#page=4","Abrir facsímil")</f>
        <v>Abrir facsímil</v>
      </c>
      <c r="K4407" s="3" t="s">
        <v>23</v>
      </c>
    </row>
    <row r="4408" spans="1:11" ht="42" customHeight="1">
      <c r="A4408" s="2" t="s">
        <v>8879</v>
      </c>
      <c r="B4408" s="2" t="s">
        <v>8879</v>
      </c>
      <c r="C4408" s="2" t="s">
        <v>79</v>
      </c>
      <c r="D4408" s="2" t="s">
        <v>74</v>
      </c>
      <c r="E4408" s="5">
        <v>-28029</v>
      </c>
      <c r="F4408" s="3" t="s">
        <v>141</v>
      </c>
      <c r="G4408" s="3" t="s">
        <v>27</v>
      </c>
      <c r="H4408" s="2" t="s">
        <v>21</v>
      </c>
      <c r="I4408" s="2" t="s">
        <v>8880</v>
      </c>
      <c r="J4408" s="3" t="str">
        <f>HYPERLINK("https://www.boe.es/gazeta/dias/1823/04/04/pdfs/GMD-1823-98.pdf#page=2","Abrir facsímil")</f>
        <v>Abrir facsímil</v>
      </c>
      <c r="K4408" s="3" t="s">
        <v>23</v>
      </c>
    </row>
    <row r="4409" spans="1:11" ht="42" customHeight="1">
      <c r="A4409" s="2" t="s">
        <v>8881</v>
      </c>
      <c r="B4409" s="2" t="s">
        <v>8882</v>
      </c>
      <c r="C4409" s="2" t="s">
        <v>79</v>
      </c>
      <c r="D4409" s="2" t="s">
        <v>74</v>
      </c>
      <c r="E4409" s="5">
        <v>-28049</v>
      </c>
      <c r="F4409" s="3" t="s">
        <v>198</v>
      </c>
      <c r="G4409" s="3" t="s">
        <v>48</v>
      </c>
      <c r="H4409" s="2" t="s">
        <v>21</v>
      </c>
      <c r="I4409" s="2" t="s">
        <v>8883</v>
      </c>
      <c r="J4409" s="3" t="str">
        <f>HYPERLINK("https://www.boe.es/gazeta/dias/1823/03/15/pdfs/GMD-1823-78.pdf#page=3","Abrir facsímil")</f>
        <v>Abrir facsímil</v>
      </c>
      <c r="K4409" s="3" t="s">
        <v>23</v>
      </c>
    </row>
    <row r="4410" spans="1:11" ht="42" customHeight="1">
      <c r="A4410" s="2" t="s">
        <v>8884</v>
      </c>
      <c r="B4410" s="2" t="s">
        <v>8885</v>
      </c>
      <c r="C4410" s="2" t="s">
        <v>56</v>
      </c>
      <c r="D4410" s="2" t="s">
        <v>57</v>
      </c>
      <c r="E4410" s="5">
        <v>-27920</v>
      </c>
      <c r="F4410" s="3" t="s">
        <v>1334</v>
      </c>
      <c r="G4410" s="3" t="s">
        <v>276</v>
      </c>
      <c r="H4410" s="2" t="s">
        <v>28</v>
      </c>
      <c r="I4410" s="2" t="s">
        <v>8886</v>
      </c>
      <c r="J4410" s="3" t="str">
        <f>HYPERLINK("https://www.boe.es/gazeta/dias/1823/07/22/pdfs/GMD-1823-443.pdf#page=7","Abrir facsímil")</f>
        <v>Abrir facsímil</v>
      </c>
      <c r="K4410" s="3" t="s">
        <v>30</v>
      </c>
    </row>
    <row r="4411" spans="1:11" ht="42" customHeight="1">
      <c r="A4411" s="2" t="s">
        <v>8887</v>
      </c>
      <c r="B4411" s="2" t="s">
        <v>8888</v>
      </c>
      <c r="C4411" s="2" t="s">
        <v>17</v>
      </c>
      <c r="D4411" s="2" t="s">
        <v>18</v>
      </c>
      <c r="E4411" s="5">
        <v>-28022</v>
      </c>
      <c r="F4411" s="3" t="s">
        <v>439</v>
      </c>
      <c r="G4411" s="3" t="s">
        <v>48</v>
      </c>
      <c r="H4411" s="2" t="s">
        <v>28</v>
      </c>
      <c r="I4411" s="2" t="s">
        <v>8889</v>
      </c>
      <c r="J4411" s="3" t="str">
        <f>HYPERLINK("https://www.boe.es/gazeta/dias/1823/04/11/pdfs/GMD-1823-106.pdf#page=3","Abrir facsímil")</f>
        <v>Abrir facsímil</v>
      </c>
      <c r="K4411" s="3" t="s">
        <v>30</v>
      </c>
    </row>
    <row r="4412" spans="1:11" ht="42" customHeight="1">
      <c r="A4412" s="2" t="s">
        <v>8890</v>
      </c>
      <c r="B4412" s="2" t="s">
        <v>8891</v>
      </c>
      <c r="C4412" s="2" t="s">
        <v>17</v>
      </c>
      <c r="D4412" s="2" t="s">
        <v>18</v>
      </c>
      <c r="E4412" s="5">
        <v>-27875</v>
      </c>
      <c r="F4412" s="3" t="s">
        <v>1858</v>
      </c>
      <c r="G4412" s="3" t="s">
        <v>2437</v>
      </c>
      <c r="H4412" s="2" t="s">
        <v>28</v>
      </c>
      <c r="I4412" s="2" t="s">
        <v>8892</v>
      </c>
      <c r="J4412" s="3" t="str">
        <f>HYPERLINK("https://www.boe.es/gazeta/dias/1823/09/05/pdfs/GES-1823-149.pdf#page=2","Abrir facsímil")</f>
        <v>Abrir facsímil</v>
      </c>
      <c r="K4412" s="3" t="s">
        <v>30</v>
      </c>
    </row>
    <row r="4413" spans="1:11" ht="42" customHeight="1">
      <c r="A4413" s="2" t="s">
        <v>8893</v>
      </c>
      <c r="B4413" s="2" t="s">
        <v>8893</v>
      </c>
      <c r="C4413" s="2" t="s">
        <v>17</v>
      </c>
      <c r="D4413" s="2" t="s">
        <v>18</v>
      </c>
      <c r="E4413" s="5">
        <v>-28109</v>
      </c>
      <c r="F4413" s="3" t="s">
        <v>889</v>
      </c>
      <c r="G4413" s="3" t="s">
        <v>48</v>
      </c>
      <c r="H4413" s="2" t="s">
        <v>21</v>
      </c>
      <c r="I4413" s="2" t="s">
        <v>8894</v>
      </c>
      <c r="J4413" s="3" t="str">
        <f>HYPERLINK("https://www.boe.es/gazeta/dias/1823/01/14/pdfs/GMD-1823-14.pdf#page=3","Abrir facsímil")</f>
        <v>Abrir facsímil</v>
      </c>
      <c r="K4413" s="3" t="s">
        <v>23</v>
      </c>
    </row>
    <row r="4414" spans="1:11" ht="42" customHeight="1">
      <c r="A4414" s="2" t="s">
        <v>8893</v>
      </c>
      <c r="B4414" s="2" t="s">
        <v>8893</v>
      </c>
      <c r="C4414" s="2" t="s">
        <v>17</v>
      </c>
      <c r="D4414" s="2" t="s">
        <v>18</v>
      </c>
      <c r="E4414" s="5">
        <v>-28074</v>
      </c>
      <c r="F4414" s="3" t="s">
        <v>212</v>
      </c>
      <c r="G4414" s="3" t="s">
        <v>39</v>
      </c>
      <c r="H4414" s="2" t="s">
        <v>21</v>
      </c>
      <c r="I4414" s="2" t="s">
        <v>8895</v>
      </c>
      <c r="J4414" s="3" t="str">
        <f>HYPERLINK("https://www.boe.es/gazeta/dias/1823/02/18/pdfs/GMD-1823-52.pdf#page=1","Abrir facsímil")</f>
        <v>Abrir facsímil</v>
      </c>
      <c r="K4414" s="3" t="s">
        <v>23</v>
      </c>
    </row>
    <row r="4415" spans="1:11" ht="42" customHeight="1">
      <c r="A4415" s="2" t="s">
        <v>8893</v>
      </c>
      <c r="B4415" s="2" t="s">
        <v>8893</v>
      </c>
      <c r="C4415" s="2" t="s">
        <v>17</v>
      </c>
      <c r="D4415" s="2" t="s">
        <v>117</v>
      </c>
      <c r="E4415" s="5">
        <v>-27952</v>
      </c>
      <c r="F4415" s="3" t="s">
        <v>1844</v>
      </c>
      <c r="G4415" s="3" t="s">
        <v>27</v>
      </c>
      <c r="H4415" s="2" t="s">
        <v>21</v>
      </c>
      <c r="I4415" s="2" t="s">
        <v>8896</v>
      </c>
      <c r="J4415" s="3" t="str">
        <f>HYPERLINK("https://www.boe.es/gazeta/dias/1823/06/20/pdfs/GMD-1823-213E.pdf#page=2","Abrir facsímil")</f>
        <v>Abrir facsímil</v>
      </c>
      <c r="K4415" s="3" t="s">
        <v>23</v>
      </c>
    </row>
    <row r="4416" spans="1:11" ht="42" customHeight="1">
      <c r="A4416" s="2" t="s">
        <v>8893</v>
      </c>
      <c r="B4416" s="2" t="s">
        <v>8893</v>
      </c>
      <c r="C4416" s="2" t="s">
        <v>56</v>
      </c>
      <c r="D4416" s="2" t="s">
        <v>57</v>
      </c>
      <c r="E4416" s="5">
        <v>-27951</v>
      </c>
      <c r="F4416" s="3" t="s">
        <v>548</v>
      </c>
      <c r="G4416" s="3" t="s">
        <v>20</v>
      </c>
      <c r="H4416" s="2" t="s">
        <v>21</v>
      </c>
      <c r="I4416" s="2" t="s">
        <v>8897</v>
      </c>
      <c r="J4416" s="3" t="str">
        <f>HYPERLINK("https://www.boe.es/gazeta/dias/1823/06/21/pdfs/GES-1823-69.pdf#page=4","Abrir facsímil")</f>
        <v>Abrir facsímil</v>
      </c>
      <c r="K4416" s="3" t="s">
        <v>23</v>
      </c>
    </row>
    <row r="4417" spans="1:11" ht="42" customHeight="1">
      <c r="A4417" s="2" t="s">
        <v>8893</v>
      </c>
      <c r="B4417" s="2" t="s">
        <v>8893</v>
      </c>
      <c r="C4417" s="2" t="s">
        <v>79</v>
      </c>
      <c r="D4417" s="2" t="s">
        <v>74</v>
      </c>
      <c r="E4417" s="5">
        <v>-27949</v>
      </c>
      <c r="F4417" s="3" t="s">
        <v>1162</v>
      </c>
      <c r="G4417" s="3" t="s">
        <v>39</v>
      </c>
      <c r="H4417" s="2" t="s">
        <v>21</v>
      </c>
      <c r="I4417" s="2" t="s">
        <v>8898</v>
      </c>
      <c r="J4417" s="3" t="str">
        <f>HYPERLINK("https://www.boe.es/gazeta/dias/1823/06/23/pdfs/GES-1823-71.pdf#page=1","Abrir facsímil")</f>
        <v>Abrir facsímil</v>
      </c>
      <c r="K4417" s="3" t="s">
        <v>23</v>
      </c>
    </row>
    <row r="4418" spans="1:11" ht="42" customHeight="1">
      <c r="A4418" s="2" t="s">
        <v>8893</v>
      </c>
      <c r="B4418" s="2" t="s">
        <v>8893</v>
      </c>
      <c r="C4418" s="2" t="s">
        <v>84</v>
      </c>
      <c r="D4418" s="2" t="s">
        <v>74</v>
      </c>
      <c r="E4418" s="5">
        <v>-27947</v>
      </c>
      <c r="F4418" s="3" t="s">
        <v>2144</v>
      </c>
      <c r="G4418" s="3" t="s">
        <v>27</v>
      </c>
      <c r="H4418" s="2" t="s">
        <v>21</v>
      </c>
      <c r="I4418" s="2" t="s">
        <v>8899</v>
      </c>
      <c r="J4418" s="3" t="str">
        <f>HYPERLINK("https://www.boe.es/gazeta/dias/1823/06/25/pdfs/GES-1823-75.pdf#page=2","Abrir facsímil")</f>
        <v>Abrir facsímil</v>
      </c>
      <c r="K4418" s="3" t="s">
        <v>23</v>
      </c>
    </row>
    <row r="4419" spans="1:11" ht="42" customHeight="1">
      <c r="A4419" s="2" t="s">
        <v>8900</v>
      </c>
      <c r="B4419" s="2" t="s">
        <v>8900</v>
      </c>
      <c r="C4419" s="2" t="s">
        <v>17</v>
      </c>
      <c r="D4419" s="2" t="s">
        <v>18</v>
      </c>
      <c r="E4419" s="5">
        <v>-28113</v>
      </c>
      <c r="F4419" s="3" t="s">
        <v>2088</v>
      </c>
      <c r="G4419" s="3" t="s">
        <v>276</v>
      </c>
      <c r="H4419" s="2" t="s">
        <v>21</v>
      </c>
      <c r="I4419" s="2" t="s">
        <v>8901</v>
      </c>
      <c r="J4419" s="3" t="str">
        <f>HYPERLINK("https://www.boe.es/gazeta/dias/1823/01/10/pdfs/GMD-1823-10.pdf#page=7","Abrir facsímil")</f>
        <v>Abrir facsímil</v>
      </c>
      <c r="K4419" s="3" t="s">
        <v>23</v>
      </c>
    </row>
    <row r="4420" spans="1:11" ht="42" customHeight="1">
      <c r="A4420" s="2" t="s">
        <v>8902</v>
      </c>
      <c r="B4420" s="2" t="s">
        <v>8903</v>
      </c>
      <c r="C4420" s="2" t="s">
        <v>56</v>
      </c>
      <c r="D4420" s="2" t="s">
        <v>57</v>
      </c>
      <c r="E4420" s="5">
        <v>-28081</v>
      </c>
      <c r="F4420" s="3" t="s">
        <v>170</v>
      </c>
      <c r="G4420" s="3" t="s">
        <v>20</v>
      </c>
      <c r="H4420" s="2" t="s">
        <v>21</v>
      </c>
      <c r="I4420" s="2" t="s">
        <v>8904</v>
      </c>
      <c r="J4420" s="3" t="str">
        <f>HYPERLINK("https://www.boe.es/gazeta/dias/1823/02/11/pdfs/GMD-1823-45.pdf#page=4","Abrir facsímil")</f>
        <v>Abrir facsímil</v>
      </c>
      <c r="K4420" s="3" t="s">
        <v>23</v>
      </c>
    </row>
    <row r="4421" spans="1:11" ht="42" customHeight="1">
      <c r="A4421" s="2" t="s">
        <v>8905</v>
      </c>
      <c r="B4421" s="2" t="s">
        <v>8905</v>
      </c>
      <c r="C4421" s="2" t="s">
        <v>79</v>
      </c>
      <c r="D4421" s="2" t="s">
        <v>74</v>
      </c>
      <c r="E4421" s="5">
        <v>-28115</v>
      </c>
      <c r="F4421" s="3" t="s">
        <v>579</v>
      </c>
      <c r="G4421" s="3" t="s">
        <v>27</v>
      </c>
      <c r="H4421" s="2" t="s">
        <v>21</v>
      </c>
      <c r="I4421" s="2" t="s">
        <v>8906</v>
      </c>
      <c r="J4421" s="3" t="str">
        <f>HYPERLINK("https://www.boe.es/gazeta/dias/1823/01/08/pdfs/GMD-1823-8.pdf#page=2","Abrir facsímil")</f>
        <v>Abrir facsímil</v>
      </c>
      <c r="K4421" s="3" t="s">
        <v>23</v>
      </c>
    </row>
    <row r="4422" spans="1:11" ht="42" customHeight="1">
      <c r="A4422" s="2" t="s">
        <v>8907</v>
      </c>
      <c r="B4422" s="2" t="s">
        <v>8907</v>
      </c>
      <c r="C4422" s="2" t="s">
        <v>17</v>
      </c>
      <c r="D4422" s="2" t="s">
        <v>18</v>
      </c>
      <c r="E4422" s="5">
        <v>-27937</v>
      </c>
      <c r="F4422" s="3" t="s">
        <v>897</v>
      </c>
      <c r="G4422" s="3" t="s">
        <v>34</v>
      </c>
      <c r="H4422" s="2" t="s">
        <v>21</v>
      </c>
      <c r="I4422" s="2" t="s">
        <v>8908</v>
      </c>
      <c r="J4422" s="3" t="str">
        <f>HYPERLINK("https://www.boe.es/gazeta/dias/1823/07/05/pdfs/GMD-1823-343.pdf#page=5","Abrir facsímil")</f>
        <v>Abrir facsímil</v>
      </c>
      <c r="K4422" s="3" t="s">
        <v>23</v>
      </c>
    </row>
    <row r="4423" spans="1:11" ht="42" customHeight="1">
      <c r="A4423" s="2" t="s">
        <v>8909</v>
      </c>
      <c r="B4423" s="2" t="s">
        <v>8910</v>
      </c>
      <c r="C4423" s="2" t="s">
        <v>17</v>
      </c>
      <c r="D4423" s="2" t="s">
        <v>18</v>
      </c>
      <c r="E4423" s="5">
        <v>-27937</v>
      </c>
      <c r="F4423" s="3" t="s">
        <v>897</v>
      </c>
      <c r="G4423" s="3" t="s">
        <v>34</v>
      </c>
      <c r="H4423" s="2" t="s">
        <v>21</v>
      </c>
      <c r="I4423" s="2" t="s">
        <v>8911</v>
      </c>
      <c r="J4423" s="3" t="str">
        <f>HYPERLINK("https://www.boe.es/gazeta/dias/1823/07/05/pdfs/GMD-1823-343.pdf#page=5","Abrir facsímil")</f>
        <v>Abrir facsímil</v>
      </c>
      <c r="K4423" s="3" t="s">
        <v>23</v>
      </c>
    </row>
    <row r="4424" spans="1:11" ht="42" customHeight="1">
      <c r="A4424" s="2" t="s">
        <v>8912</v>
      </c>
      <c r="B4424" s="2" t="s">
        <v>8913</v>
      </c>
      <c r="C4424" s="2" t="s">
        <v>56</v>
      </c>
      <c r="D4424" s="2" t="s">
        <v>57</v>
      </c>
      <c r="E4424" s="5">
        <v>-27944</v>
      </c>
      <c r="F4424" s="3" t="s">
        <v>658</v>
      </c>
      <c r="G4424" s="3" t="s">
        <v>59</v>
      </c>
      <c r="H4424" s="2" t="s">
        <v>21</v>
      </c>
      <c r="I4424" s="2" t="s">
        <v>8914</v>
      </c>
      <c r="J4424" s="3" t="str">
        <f>HYPERLINK("https://www.boe.es/gazeta/dias/1823/06/28/pdfs/GMD-1823-303.pdf#page=6","Abrir facsímil")</f>
        <v>Abrir facsímil</v>
      </c>
      <c r="K4424" s="3" t="s">
        <v>23</v>
      </c>
    </row>
    <row r="4425" spans="1:11" ht="42" customHeight="1">
      <c r="A4425" s="2" t="s">
        <v>8915</v>
      </c>
      <c r="B4425" s="2" t="s">
        <v>8915</v>
      </c>
      <c r="C4425" s="2" t="s">
        <v>293</v>
      </c>
      <c r="D4425" s="2" t="s">
        <v>74</v>
      </c>
      <c r="E4425" s="5">
        <v>-28106</v>
      </c>
      <c r="F4425" s="3" t="s">
        <v>280</v>
      </c>
      <c r="G4425" s="3" t="s">
        <v>20</v>
      </c>
      <c r="H4425" s="2" t="s">
        <v>21</v>
      </c>
      <c r="I4425" s="2" t="s">
        <v>8916</v>
      </c>
      <c r="J4425" s="3" t="str">
        <f>HYPERLINK("https://www.boe.es/gazeta/dias/1823/01/17/pdfs/GMD-1823-17.pdf#page=4","Abrir facsímil")</f>
        <v>Abrir facsímil</v>
      </c>
      <c r="K4425" s="3" t="s">
        <v>23</v>
      </c>
    </row>
    <row r="4426" spans="1:11" ht="42" customHeight="1">
      <c r="A4426" s="2" t="s">
        <v>8915</v>
      </c>
      <c r="B4426" s="2" t="s">
        <v>8915</v>
      </c>
      <c r="C4426" s="2" t="s">
        <v>17</v>
      </c>
      <c r="D4426" s="2" t="s">
        <v>18</v>
      </c>
      <c r="E4426" s="5">
        <v>-27885</v>
      </c>
      <c r="F4426" s="3" t="s">
        <v>6503</v>
      </c>
      <c r="G4426" s="3" t="s">
        <v>48</v>
      </c>
      <c r="H4426" s="2" t="s">
        <v>21</v>
      </c>
      <c r="I4426" s="2" t="s">
        <v>8917</v>
      </c>
      <c r="J4426" s="3" t="str">
        <f>HYPERLINK("https://www.boe.es/gazeta/dias/1823/08/26/pdfs/GES-1823-139.pdf#page=3","Abrir facsímil")</f>
        <v>Abrir facsímil</v>
      </c>
      <c r="K4426" s="3" t="s">
        <v>23</v>
      </c>
    </row>
    <row r="4427" spans="1:11" ht="42" customHeight="1">
      <c r="A4427" s="2" t="s">
        <v>8915</v>
      </c>
      <c r="B4427" s="2" t="s">
        <v>8915</v>
      </c>
      <c r="C4427" s="2" t="s">
        <v>79</v>
      </c>
      <c r="D4427" s="2" t="s">
        <v>74</v>
      </c>
      <c r="E4427" s="5">
        <v>-27787</v>
      </c>
      <c r="F4427" s="3" t="s">
        <v>865</v>
      </c>
      <c r="G4427" s="3" t="s">
        <v>39</v>
      </c>
      <c r="H4427" s="2" t="s">
        <v>21</v>
      </c>
      <c r="I4427" s="2" t="s">
        <v>8918</v>
      </c>
      <c r="J4427" s="3" t="str">
        <f>HYPERLINK("https://www.boe.es/gazeta/dias/1823/12/02/pdfs/GMD-1823-1193.pdf#page=1","Abrir facsímil")</f>
        <v>Abrir facsímil</v>
      </c>
      <c r="K4427" s="3" t="s">
        <v>23</v>
      </c>
    </row>
    <row r="4428" spans="1:11" ht="42" customHeight="1">
      <c r="A4428" s="2" t="s">
        <v>8919</v>
      </c>
      <c r="B4428" s="2" t="s">
        <v>8920</v>
      </c>
      <c r="C4428" s="2" t="s">
        <v>56</v>
      </c>
      <c r="D4428" s="2" t="s">
        <v>57</v>
      </c>
      <c r="E4428" s="5">
        <v>-27864</v>
      </c>
      <c r="F4428" s="3" t="s">
        <v>1301</v>
      </c>
      <c r="G4428" s="3" t="s">
        <v>48</v>
      </c>
      <c r="H4428" s="2" t="s">
        <v>21</v>
      </c>
      <c r="I4428" s="2" t="s">
        <v>8921</v>
      </c>
      <c r="J4428" s="3" t="str">
        <f>HYPERLINK("https://www.boe.es/gazeta/dias/1823/09/16/pdfs/GES-1823-160.pdf#page=3","Abrir facsímil")</f>
        <v>Abrir facsímil</v>
      </c>
      <c r="K4428" s="3" t="s">
        <v>23</v>
      </c>
    </row>
    <row r="4429" spans="1:11" ht="42" customHeight="1">
      <c r="A4429" s="2" t="s">
        <v>8922</v>
      </c>
      <c r="B4429" s="2" t="s">
        <v>8922</v>
      </c>
      <c r="C4429" s="2" t="s">
        <v>79</v>
      </c>
      <c r="D4429" s="2" t="s">
        <v>74</v>
      </c>
      <c r="E4429" s="5">
        <v>-28113</v>
      </c>
      <c r="F4429" s="3" t="s">
        <v>2088</v>
      </c>
      <c r="G4429" s="3" t="s">
        <v>276</v>
      </c>
      <c r="H4429" s="2" t="s">
        <v>21</v>
      </c>
      <c r="I4429" s="2" t="s">
        <v>8923</v>
      </c>
      <c r="J4429" s="3" t="str">
        <f>HYPERLINK("https://www.boe.es/gazeta/dias/1823/01/10/pdfs/GMD-1823-10.pdf#page=7","Abrir facsímil")</f>
        <v>Abrir facsímil</v>
      </c>
      <c r="K4429" s="3" t="s">
        <v>23</v>
      </c>
    </row>
    <row r="4430" spans="1:11" ht="42" customHeight="1">
      <c r="A4430" s="2" t="s">
        <v>8922</v>
      </c>
      <c r="B4430" s="2" t="s">
        <v>8922</v>
      </c>
      <c r="C4430" s="2" t="s">
        <v>17</v>
      </c>
      <c r="D4430" s="2" t="s">
        <v>18</v>
      </c>
      <c r="E4430" s="5">
        <v>-27976</v>
      </c>
      <c r="F4430" s="3" t="s">
        <v>1156</v>
      </c>
      <c r="G4430" s="3" t="s">
        <v>39</v>
      </c>
      <c r="H4430" s="2" t="s">
        <v>21</v>
      </c>
      <c r="I4430" s="2" t="s">
        <v>8924</v>
      </c>
      <c r="J4430" s="3" t="str">
        <f>HYPERLINK("https://www.boe.es/gazeta/dias/1823/05/27/pdfs/GES-1823-49.pdf#page=1","Abrir facsímil")</f>
        <v>Abrir facsímil</v>
      </c>
      <c r="K4430" s="3" t="s">
        <v>23</v>
      </c>
    </row>
    <row r="4431" spans="1:11" ht="42" customHeight="1">
      <c r="A4431" s="2" t="s">
        <v>8925</v>
      </c>
      <c r="B4431" s="2" t="s">
        <v>8925</v>
      </c>
      <c r="C4431" s="2" t="s">
        <v>109</v>
      </c>
      <c r="D4431" s="2" t="s">
        <v>74</v>
      </c>
      <c r="E4431" s="5">
        <v>-28050</v>
      </c>
      <c r="F4431" s="3" t="s">
        <v>473</v>
      </c>
      <c r="G4431" s="3" t="s">
        <v>27</v>
      </c>
      <c r="H4431" s="2" t="s">
        <v>21</v>
      </c>
      <c r="I4431" s="2" t="s">
        <v>8926</v>
      </c>
      <c r="J4431" s="3" t="str">
        <f>HYPERLINK("https://www.boe.es/gazeta/dias/1823/03/14/pdfs/GMD-1823-77.pdf#page=2","Abrir facsímil")</f>
        <v>Abrir facsímil</v>
      </c>
      <c r="K4431" s="3" t="s">
        <v>23</v>
      </c>
    </row>
    <row r="4432" spans="1:11" ht="42" customHeight="1">
      <c r="A4432" s="2" t="s">
        <v>8925</v>
      </c>
      <c r="B4432" s="2" t="s">
        <v>8925</v>
      </c>
      <c r="C4432" s="2" t="s">
        <v>79</v>
      </c>
      <c r="D4432" s="2" t="s">
        <v>74</v>
      </c>
      <c r="E4432" s="5">
        <v>-28050</v>
      </c>
      <c r="F4432" s="3" t="s">
        <v>473</v>
      </c>
      <c r="G4432" s="3" t="s">
        <v>20</v>
      </c>
      <c r="H4432" s="2" t="s">
        <v>21</v>
      </c>
      <c r="I4432" s="2" t="s">
        <v>8927</v>
      </c>
      <c r="J4432" s="3" t="str">
        <f>HYPERLINK("https://www.boe.es/gazeta/dias/1823/03/14/pdfs/GMD-1823-77.pdf#page=4","Abrir facsímil")</f>
        <v>Abrir facsímil</v>
      </c>
      <c r="K4432" s="3" t="s">
        <v>23</v>
      </c>
    </row>
    <row r="4433" spans="1:11" ht="42" customHeight="1">
      <c r="A4433" s="2" t="s">
        <v>8925</v>
      </c>
      <c r="B4433" s="2" t="s">
        <v>8925</v>
      </c>
      <c r="C4433" s="2" t="s">
        <v>109</v>
      </c>
      <c r="D4433" s="2" t="s">
        <v>74</v>
      </c>
      <c r="E4433" s="5">
        <v>-28009</v>
      </c>
      <c r="F4433" s="3" t="s">
        <v>307</v>
      </c>
      <c r="G4433" s="3" t="s">
        <v>2107</v>
      </c>
      <c r="H4433" s="2" t="s">
        <v>21</v>
      </c>
      <c r="I4433" s="2" t="s">
        <v>8928</v>
      </c>
      <c r="J4433" s="3" t="str">
        <f>HYPERLINK("https://www.boe.es/gazeta/dias/1823/04/24/pdfs/GES-1823-14.pdf#page=4","Abrir facsímil")</f>
        <v>Abrir facsímil</v>
      </c>
      <c r="K4433" s="3" t="s">
        <v>23</v>
      </c>
    </row>
    <row r="4434" spans="1:11" ht="42" customHeight="1">
      <c r="A4434" s="2" t="s">
        <v>8925</v>
      </c>
      <c r="B4434" s="2" t="s">
        <v>8925</v>
      </c>
      <c r="C4434" s="2" t="s">
        <v>109</v>
      </c>
      <c r="D4434" s="2" t="s">
        <v>74</v>
      </c>
      <c r="E4434" s="5">
        <v>-28004</v>
      </c>
      <c r="F4434" s="3" t="s">
        <v>33</v>
      </c>
      <c r="G4434" s="3" t="s">
        <v>39</v>
      </c>
      <c r="H4434" s="2" t="s">
        <v>21</v>
      </c>
      <c r="I4434" s="2" t="s">
        <v>8929</v>
      </c>
      <c r="J4434" s="3" t="str">
        <f>HYPERLINK("https://www.boe.es/gazeta/dias/1823/04/29/pdfs/GES-1823-19.pdf#page=1","Abrir facsímil")</f>
        <v>Abrir facsímil</v>
      </c>
      <c r="K4434" s="3" t="s">
        <v>23</v>
      </c>
    </row>
    <row r="4435" spans="1:11" ht="42" customHeight="1">
      <c r="A4435" s="2" t="s">
        <v>8925</v>
      </c>
      <c r="B4435" s="2" t="s">
        <v>8925</v>
      </c>
      <c r="C4435" s="2" t="s">
        <v>79</v>
      </c>
      <c r="D4435" s="2" t="s">
        <v>74</v>
      </c>
      <c r="E4435" s="5">
        <v>-28004</v>
      </c>
      <c r="F4435" s="3" t="s">
        <v>33</v>
      </c>
      <c r="G4435" s="3" t="s">
        <v>27</v>
      </c>
      <c r="H4435" s="2" t="s">
        <v>21</v>
      </c>
      <c r="I4435" s="2" t="s">
        <v>8930</v>
      </c>
      <c r="J4435" s="3" t="str">
        <f>HYPERLINK("https://www.boe.es/gazeta/dias/1823/04/29/pdfs/GES-1823-19.pdf#page=2","Abrir facsímil")</f>
        <v>Abrir facsímil</v>
      </c>
      <c r="K4435" s="3" t="s">
        <v>23</v>
      </c>
    </row>
    <row r="4436" spans="1:11" ht="42" customHeight="1">
      <c r="A4436" s="2" t="s">
        <v>8925</v>
      </c>
      <c r="B4436" s="2" t="s">
        <v>8925</v>
      </c>
      <c r="C4436" s="2" t="s">
        <v>56</v>
      </c>
      <c r="D4436" s="2" t="s">
        <v>117</v>
      </c>
      <c r="E4436" s="5">
        <v>-27952</v>
      </c>
      <c r="F4436" s="3" t="s">
        <v>1844</v>
      </c>
      <c r="G4436" s="3" t="s">
        <v>27</v>
      </c>
      <c r="H4436" s="2" t="s">
        <v>21</v>
      </c>
      <c r="I4436" s="2" t="s">
        <v>8931</v>
      </c>
      <c r="J4436" s="3" t="str">
        <f>HYPERLINK("https://www.boe.es/gazeta/dias/1823/06/20/pdfs/GMD-1823-213E.pdf#page=2","Abrir facsímil")</f>
        <v>Abrir facsímil</v>
      </c>
      <c r="K4436" s="3" t="s">
        <v>23</v>
      </c>
    </row>
    <row r="4437" spans="1:11" ht="42" customHeight="1">
      <c r="A4437" s="2" t="s">
        <v>8925</v>
      </c>
      <c r="B4437" s="2" t="s">
        <v>8925</v>
      </c>
      <c r="C4437" s="2" t="s">
        <v>325</v>
      </c>
      <c r="D4437" s="2" t="s">
        <v>74</v>
      </c>
      <c r="E4437" s="5">
        <v>-27944</v>
      </c>
      <c r="F4437" s="3" t="s">
        <v>2823</v>
      </c>
      <c r="G4437" s="3" t="s">
        <v>27</v>
      </c>
      <c r="H4437" s="2" t="s">
        <v>21</v>
      </c>
      <c r="I4437" s="2" t="s">
        <v>8932</v>
      </c>
      <c r="J4437" s="3" t="str">
        <f>HYPERLINK("https://www.boe.es/gazeta/dias/1823/06/28/pdfs/GES-1823-78.pdf#page=2","Abrir facsímil")</f>
        <v>Abrir facsímil</v>
      </c>
      <c r="K4437" s="3" t="s">
        <v>23</v>
      </c>
    </row>
    <row r="4438" spans="1:11" ht="42" customHeight="1">
      <c r="A4438" s="2" t="s">
        <v>8933</v>
      </c>
      <c r="B4438" s="2" t="s">
        <v>8934</v>
      </c>
      <c r="C4438" s="2" t="s">
        <v>56</v>
      </c>
      <c r="D4438" s="2" t="s">
        <v>57</v>
      </c>
      <c r="E4438" s="5">
        <v>-27934</v>
      </c>
      <c r="F4438" s="3" t="s">
        <v>634</v>
      </c>
      <c r="G4438" s="3" t="s">
        <v>39</v>
      </c>
      <c r="H4438" s="2" t="s">
        <v>21</v>
      </c>
      <c r="I4438" s="2" t="s">
        <v>8935</v>
      </c>
      <c r="J4438" s="3" t="str">
        <f>HYPERLINK("https://www.boe.es/gazeta/dias/1823/07/08/pdfs/GMD-1823-353.pdf#page=1","Abrir facsímil")</f>
        <v>Abrir facsímil</v>
      </c>
      <c r="K4438" s="3" t="s">
        <v>23</v>
      </c>
    </row>
    <row r="4439" spans="1:11" ht="42" customHeight="1">
      <c r="A4439" s="2" t="s">
        <v>8936</v>
      </c>
      <c r="B4439" s="2" t="s">
        <v>8937</v>
      </c>
      <c r="C4439" s="2" t="s">
        <v>79</v>
      </c>
      <c r="D4439" s="2" t="s">
        <v>74</v>
      </c>
      <c r="E4439" s="5">
        <v>-28000</v>
      </c>
      <c r="F4439" s="3" t="s">
        <v>1118</v>
      </c>
      <c r="G4439" s="3" t="s">
        <v>39</v>
      </c>
      <c r="H4439" s="2" t="s">
        <v>21</v>
      </c>
      <c r="I4439" s="2" t="s">
        <v>8938</v>
      </c>
      <c r="J4439" s="3" t="str">
        <f>HYPERLINK("https://www.boe.es/gazeta/dias/1823/05/03/pdfs/GES-1823-23.pdf#page=1","Abrir facsímil")</f>
        <v>Abrir facsímil</v>
      </c>
      <c r="K4439" s="3" t="s">
        <v>23</v>
      </c>
    </row>
    <row r="4440" spans="1:11" ht="42" customHeight="1">
      <c r="A4440" s="2" t="s">
        <v>8939</v>
      </c>
      <c r="B4440" s="2" t="s">
        <v>8940</v>
      </c>
      <c r="C4440" s="2" t="s">
        <v>17</v>
      </c>
      <c r="D4440" s="2" t="s">
        <v>18</v>
      </c>
      <c r="E4440" s="5">
        <v>-28066</v>
      </c>
      <c r="F4440" s="3" t="s">
        <v>19</v>
      </c>
      <c r="G4440" s="3" t="s">
        <v>20</v>
      </c>
      <c r="H4440" s="2" t="s">
        <v>21</v>
      </c>
      <c r="I4440" s="2" t="s">
        <v>8941</v>
      </c>
      <c r="J4440" s="3" t="str">
        <f>HYPERLINK("https://www.boe.es/gazeta/dias/1823/02/26/pdfs/GMD-1823-60.pdf#page=4","Abrir facsímil")</f>
        <v>Abrir facsímil</v>
      </c>
      <c r="K4440" s="3" t="s">
        <v>23</v>
      </c>
    </row>
    <row r="4441" spans="1:11" ht="42" customHeight="1">
      <c r="A4441" s="2" t="s">
        <v>8942</v>
      </c>
      <c r="B4441" s="2" t="s">
        <v>8942</v>
      </c>
      <c r="C4441" s="2" t="s">
        <v>56</v>
      </c>
      <c r="D4441" s="2" t="s">
        <v>57</v>
      </c>
      <c r="E4441" s="5">
        <v>-28117</v>
      </c>
      <c r="F4441" s="3" t="s">
        <v>271</v>
      </c>
      <c r="G4441" s="3" t="s">
        <v>34</v>
      </c>
      <c r="H4441" s="2" t="s">
        <v>21</v>
      </c>
      <c r="I4441" s="2" t="s">
        <v>8943</v>
      </c>
      <c r="J4441" s="3" t="str">
        <f>HYPERLINK("https://www.boe.es/gazeta/dias/1823/01/06/pdfs/GMD-1823-6.pdf#page=5","Abrir facsímil")</f>
        <v>Abrir facsímil</v>
      </c>
      <c r="K4441" s="3" t="s">
        <v>23</v>
      </c>
    </row>
    <row r="4442" spans="1:11" ht="42" customHeight="1">
      <c r="A4442" s="2" t="s">
        <v>8942</v>
      </c>
      <c r="B4442" s="2" t="s">
        <v>8942</v>
      </c>
      <c r="C4442" s="2" t="s">
        <v>109</v>
      </c>
      <c r="D4442" s="2" t="s">
        <v>74</v>
      </c>
      <c r="E4442" s="5">
        <v>-28045</v>
      </c>
      <c r="F4442" s="3" t="s">
        <v>245</v>
      </c>
      <c r="G4442" s="3" t="s">
        <v>27</v>
      </c>
      <c r="H4442" s="2" t="s">
        <v>21</v>
      </c>
      <c r="I4442" s="2" t="s">
        <v>8944</v>
      </c>
      <c r="J4442" s="3" t="str">
        <f>HYPERLINK("https://www.boe.es/gazeta/dias/1823/03/19/pdfs/GMD-1823-82.pdf#page=2","Abrir facsímil")</f>
        <v>Abrir facsímil</v>
      </c>
      <c r="K4442" s="3" t="s">
        <v>23</v>
      </c>
    </row>
    <row r="4443" spans="1:11" ht="42" customHeight="1">
      <c r="A4443" s="2" t="s">
        <v>8942</v>
      </c>
      <c r="B4443" s="2" t="s">
        <v>8942</v>
      </c>
      <c r="C4443" s="2" t="s">
        <v>56</v>
      </c>
      <c r="D4443" s="2" t="s">
        <v>57</v>
      </c>
      <c r="E4443" s="5">
        <v>-27980</v>
      </c>
      <c r="F4443" s="3" t="s">
        <v>1068</v>
      </c>
      <c r="G4443" s="3" t="s">
        <v>48</v>
      </c>
      <c r="H4443" s="2" t="s">
        <v>21</v>
      </c>
      <c r="I4443" s="2" t="s">
        <v>8945</v>
      </c>
      <c r="J4443" s="3" t="str">
        <f>HYPERLINK("https://www.boe.es/gazeta/dias/1823/05/23/pdfs/GES-1823-44.pdf#page=3","Abrir facsímil")</f>
        <v>Abrir facsímil</v>
      </c>
      <c r="K4443" s="3" t="s">
        <v>23</v>
      </c>
    </row>
    <row r="4444" spans="1:11" ht="42" customHeight="1">
      <c r="A4444" s="2" t="s">
        <v>8942</v>
      </c>
      <c r="B4444" s="2" t="s">
        <v>8942</v>
      </c>
      <c r="C4444" s="2" t="s">
        <v>79</v>
      </c>
      <c r="D4444" s="2" t="s">
        <v>74</v>
      </c>
      <c r="E4444" s="5">
        <v>-27912</v>
      </c>
      <c r="F4444" s="3" t="s">
        <v>365</v>
      </c>
      <c r="G4444" s="3" t="s">
        <v>48</v>
      </c>
      <c r="H4444" s="2" t="s">
        <v>21</v>
      </c>
      <c r="I4444" s="2" t="s">
        <v>8946</v>
      </c>
      <c r="J4444" s="3" t="str">
        <f>HYPERLINK("https://www.boe.es/gazeta/dias/1823/07/30/pdfs/GES-1823-111.pdf#page=3","Abrir facsímil")</f>
        <v>Abrir facsímil</v>
      </c>
      <c r="K4444" s="3" t="s">
        <v>23</v>
      </c>
    </row>
    <row r="4445" spans="1:11" ht="42" customHeight="1">
      <c r="A4445" s="2" t="s">
        <v>8947</v>
      </c>
      <c r="B4445" s="2" t="s">
        <v>8947</v>
      </c>
      <c r="C4445" s="2" t="s">
        <v>79</v>
      </c>
      <c r="D4445" s="2" t="s">
        <v>74</v>
      </c>
      <c r="E4445" s="5">
        <v>-28075</v>
      </c>
      <c r="F4445" s="3" t="s">
        <v>2327</v>
      </c>
      <c r="G4445" s="3" t="s">
        <v>48</v>
      </c>
      <c r="H4445" s="2" t="s">
        <v>21</v>
      </c>
      <c r="I4445" s="2" t="s">
        <v>8948</v>
      </c>
      <c r="J4445" s="3" t="str">
        <f>HYPERLINK("https://www.boe.es/gazeta/dias/1823/02/17/pdfs/GMD-1823-51.pdf#page=3","Abrir facsímil")</f>
        <v>Abrir facsímil</v>
      </c>
      <c r="K4445" s="3" t="s">
        <v>23</v>
      </c>
    </row>
    <row r="4446" spans="1:11" ht="42" customHeight="1">
      <c r="A4446" s="2" t="s">
        <v>8947</v>
      </c>
      <c r="B4446" s="2" t="s">
        <v>8947</v>
      </c>
      <c r="C4446" s="2" t="s">
        <v>17</v>
      </c>
      <c r="D4446" s="2" t="s">
        <v>18</v>
      </c>
      <c r="E4446" s="5">
        <v>-28051</v>
      </c>
      <c r="F4446" s="3" t="s">
        <v>305</v>
      </c>
      <c r="G4446" s="3" t="s">
        <v>20</v>
      </c>
      <c r="H4446" s="2" t="s">
        <v>21</v>
      </c>
      <c r="I4446" s="2" t="s">
        <v>8949</v>
      </c>
      <c r="J4446" s="3" t="str">
        <f>HYPERLINK("https://www.boe.es/gazeta/dias/1823/03/13/pdfs/GMD-1823-76.pdf#page=4","Abrir facsímil")</f>
        <v>Abrir facsímil</v>
      </c>
      <c r="K4446" s="3" t="s">
        <v>23</v>
      </c>
    </row>
    <row r="4447" spans="1:11" ht="42" customHeight="1">
      <c r="A4447" s="2" t="s">
        <v>8950</v>
      </c>
      <c r="B4447" s="2" t="s">
        <v>8951</v>
      </c>
      <c r="C4447" s="2" t="s">
        <v>17</v>
      </c>
      <c r="D4447" s="2" t="s">
        <v>18</v>
      </c>
      <c r="E4447" s="5">
        <v>-27778</v>
      </c>
      <c r="F4447" s="3" t="s">
        <v>1343</v>
      </c>
      <c r="G4447" s="3" t="s">
        <v>20</v>
      </c>
      <c r="H4447" s="2" t="s">
        <v>28</v>
      </c>
      <c r="I4447" s="2" t="s">
        <v>8952</v>
      </c>
      <c r="J4447" s="3" t="str">
        <f>HYPERLINK("https://www.boe.es/gazeta/dias/1823/12/11/pdfs/GMD-1823-1233.pdf#page=4","Abrir facsímil")</f>
        <v>Abrir facsímil</v>
      </c>
      <c r="K4447" s="3" t="s">
        <v>30</v>
      </c>
    </row>
    <row r="4448" spans="1:11" ht="42" customHeight="1">
      <c r="A4448" s="2" t="s">
        <v>8953</v>
      </c>
      <c r="B4448" s="2" t="s">
        <v>8953</v>
      </c>
      <c r="C4448" s="2" t="s">
        <v>109</v>
      </c>
      <c r="D4448" s="2" t="s">
        <v>74</v>
      </c>
      <c r="E4448" s="5">
        <v>-27907</v>
      </c>
      <c r="F4448" s="3" t="s">
        <v>370</v>
      </c>
      <c r="G4448" s="3" t="s">
        <v>48</v>
      </c>
      <c r="H4448" s="2" t="s">
        <v>21</v>
      </c>
      <c r="I4448" s="2" t="s">
        <v>8954</v>
      </c>
      <c r="J4448" s="3" t="str">
        <f>HYPERLINK("https://www.boe.es/gazeta/dias/1823/08/04/pdfs/GES-1823-116.pdf#page=3","Abrir facsímil")</f>
        <v>Abrir facsímil</v>
      </c>
      <c r="K4448" s="3" t="s">
        <v>23</v>
      </c>
    </row>
    <row r="4449" spans="1:11" ht="42" customHeight="1">
      <c r="A4449" s="2" t="s">
        <v>8955</v>
      </c>
      <c r="B4449" s="2" t="s">
        <v>8956</v>
      </c>
      <c r="C4449" s="2" t="s">
        <v>17</v>
      </c>
      <c r="D4449" s="2" t="s">
        <v>18</v>
      </c>
      <c r="E4449" s="5">
        <v>-28065</v>
      </c>
      <c r="F4449" s="3" t="s">
        <v>686</v>
      </c>
      <c r="G4449" s="3" t="s">
        <v>48</v>
      </c>
      <c r="H4449" s="2" t="s">
        <v>21</v>
      </c>
      <c r="I4449" s="2" t="s">
        <v>8957</v>
      </c>
      <c r="J4449" s="3" t="str">
        <f>HYPERLINK("https://www.boe.es/gazeta/dias/1823/02/27/pdfs/GMD-1823-61.pdf#page=3","Abrir facsímil")</f>
        <v>Abrir facsímil</v>
      </c>
      <c r="K4449" s="3" t="s">
        <v>23</v>
      </c>
    </row>
    <row r="4450" spans="1:11" ht="42" customHeight="1">
      <c r="A4450" s="2" t="s">
        <v>8958</v>
      </c>
      <c r="B4450" s="2" t="s">
        <v>8959</v>
      </c>
      <c r="C4450" s="2" t="s">
        <v>17</v>
      </c>
      <c r="D4450" s="2" t="s">
        <v>18</v>
      </c>
      <c r="E4450" s="5">
        <v>-27910</v>
      </c>
      <c r="F4450" s="3" t="s">
        <v>38</v>
      </c>
      <c r="G4450" s="3" t="s">
        <v>39</v>
      </c>
      <c r="H4450" s="2" t="s">
        <v>21</v>
      </c>
      <c r="I4450" s="2" t="s">
        <v>8960</v>
      </c>
      <c r="J4450" s="3" t="str">
        <f>HYPERLINK("https://www.boe.es/gazeta/dias/1823/08/01/pdfs/GES-1823-113.pdf#page=1","Abrir facsímil")</f>
        <v>Abrir facsímil</v>
      </c>
      <c r="K4450" s="3" t="s">
        <v>23</v>
      </c>
    </row>
    <row r="4451" spans="1:11" ht="42" customHeight="1">
      <c r="A4451" s="2" t="s">
        <v>8961</v>
      </c>
      <c r="B4451" s="2" t="s">
        <v>8961</v>
      </c>
      <c r="C4451" s="2" t="s">
        <v>109</v>
      </c>
      <c r="D4451" s="2" t="s">
        <v>74</v>
      </c>
      <c r="E4451" s="5">
        <v>-27960</v>
      </c>
      <c r="F4451" s="3" t="s">
        <v>741</v>
      </c>
      <c r="G4451" s="3" t="s">
        <v>27</v>
      </c>
      <c r="H4451" s="2" t="s">
        <v>21</v>
      </c>
      <c r="I4451" s="2" t="s">
        <v>8962</v>
      </c>
      <c r="J4451" s="3" t="str">
        <f>HYPERLINK("https://www.boe.es/gazeta/dias/1823/06/12/pdfs/GES-1823-66.pdf#page=2","Abrir facsímil")</f>
        <v>Abrir facsímil</v>
      </c>
      <c r="K4451" s="3" t="s">
        <v>23</v>
      </c>
    </row>
    <row r="4452" spans="1:11" ht="42" customHeight="1">
      <c r="A4452" s="2" t="s">
        <v>8961</v>
      </c>
      <c r="B4452" s="2" t="s">
        <v>8961</v>
      </c>
      <c r="C4452" s="2" t="s">
        <v>17</v>
      </c>
      <c r="D4452" s="2" t="s">
        <v>18</v>
      </c>
      <c r="E4452" s="5">
        <v>-27944</v>
      </c>
      <c r="F4452" s="3" t="s">
        <v>2823</v>
      </c>
      <c r="G4452" s="3" t="s">
        <v>39</v>
      </c>
      <c r="H4452" s="2" t="s">
        <v>21</v>
      </c>
      <c r="I4452" s="2" t="s">
        <v>8963</v>
      </c>
      <c r="J4452" s="3" t="str">
        <f>HYPERLINK("https://www.boe.es/gazeta/dias/1823/06/28/pdfs/GES-1823-78.pdf#page=1","Abrir facsímil")</f>
        <v>Abrir facsímil</v>
      </c>
      <c r="K4452" s="3" t="s">
        <v>23</v>
      </c>
    </row>
    <row r="4453" spans="1:11" ht="42" customHeight="1">
      <c r="A4453" s="2" t="s">
        <v>8964</v>
      </c>
      <c r="B4453" s="2" t="s">
        <v>8964</v>
      </c>
      <c r="C4453" s="2" t="s">
        <v>109</v>
      </c>
      <c r="D4453" s="2" t="s">
        <v>74</v>
      </c>
      <c r="E4453" s="5">
        <v>-28117</v>
      </c>
      <c r="F4453" s="3" t="s">
        <v>271</v>
      </c>
      <c r="G4453" s="3" t="s">
        <v>20</v>
      </c>
      <c r="H4453" s="2" t="s">
        <v>21</v>
      </c>
      <c r="I4453" s="2" t="s">
        <v>8965</v>
      </c>
      <c r="J4453" s="3" t="str">
        <f>HYPERLINK("https://www.boe.es/gazeta/dias/1823/01/06/pdfs/GMD-1823-6.pdf#page=4","Abrir facsímil")</f>
        <v>Abrir facsímil</v>
      </c>
      <c r="K4453" s="3" t="s">
        <v>23</v>
      </c>
    </row>
    <row r="4454" spans="1:11" ht="42" customHeight="1">
      <c r="A4454" s="2" t="s">
        <v>8964</v>
      </c>
      <c r="B4454" s="2" t="s">
        <v>8964</v>
      </c>
      <c r="C4454" s="2" t="s">
        <v>56</v>
      </c>
      <c r="D4454" s="2" t="s">
        <v>57</v>
      </c>
      <c r="E4454" s="5">
        <v>-28113</v>
      </c>
      <c r="F4454" s="3" t="s">
        <v>2088</v>
      </c>
      <c r="G4454" s="3" t="s">
        <v>276</v>
      </c>
      <c r="H4454" s="2" t="s">
        <v>21</v>
      </c>
      <c r="I4454" s="2" t="s">
        <v>8966</v>
      </c>
      <c r="J4454" s="3" t="str">
        <f>HYPERLINK("https://www.boe.es/gazeta/dias/1823/01/10/pdfs/GMD-1823-10.pdf#page=7","Abrir facsímil")</f>
        <v>Abrir facsímil</v>
      </c>
      <c r="K4454" s="3" t="s">
        <v>23</v>
      </c>
    </row>
    <row r="4455" spans="1:11" ht="42" customHeight="1">
      <c r="A4455" s="2" t="s">
        <v>8964</v>
      </c>
      <c r="B4455" s="2" t="s">
        <v>8964</v>
      </c>
      <c r="C4455" s="2" t="s">
        <v>109</v>
      </c>
      <c r="D4455" s="2" t="s">
        <v>74</v>
      </c>
      <c r="E4455" s="5">
        <v>-28111</v>
      </c>
      <c r="F4455" s="3" t="s">
        <v>275</v>
      </c>
      <c r="G4455" s="3" t="s">
        <v>39</v>
      </c>
      <c r="H4455" s="2" t="s">
        <v>21</v>
      </c>
      <c r="I4455" s="2" t="s">
        <v>8967</v>
      </c>
      <c r="J4455" s="3" t="str">
        <f>HYPERLINK("https://www.boe.es/gazeta/dias/1823/01/12/pdfs/GMD-1823-12.pdf#page=1","Abrir facsímil")</f>
        <v>Abrir facsímil</v>
      </c>
      <c r="K4455" s="3" t="s">
        <v>23</v>
      </c>
    </row>
    <row r="4456" spans="1:11" ht="42" customHeight="1">
      <c r="A4456" s="2" t="s">
        <v>8964</v>
      </c>
      <c r="B4456" s="2" t="s">
        <v>8964</v>
      </c>
      <c r="C4456" s="2" t="s">
        <v>56</v>
      </c>
      <c r="D4456" s="2" t="s">
        <v>57</v>
      </c>
      <c r="E4456" s="5">
        <v>-28111</v>
      </c>
      <c r="F4456" s="3" t="s">
        <v>275</v>
      </c>
      <c r="G4456" s="3" t="s">
        <v>276</v>
      </c>
      <c r="H4456" s="2" t="s">
        <v>21</v>
      </c>
      <c r="I4456" s="2" t="s">
        <v>8968</v>
      </c>
      <c r="J4456" s="3" t="str">
        <f>HYPERLINK("https://www.boe.es/gazeta/dias/1823/01/12/pdfs/GMD-1823-12.pdf#page=7","Abrir facsímil")</f>
        <v>Abrir facsímil</v>
      </c>
      <c r="K4456" s="3" t="s">
        <v>23</v>
      </c>
    </row>
    <row r="4457" spans="1:11" ht="42" customHeight="1">
      <c r="A4457" s="2" t="s">
        <v>8964</v>
      </c>
      <c r="B4457" s="2" t="s">
        <v>8964</v>
      </c>
      <c r="C4457" s="2" t="s">
        <v>17</v>
      </c>
      <c r="D4457" s="2" t="s">
        <v>18</v>
      </c>
      <c r="E4457" s="5">
        <v>-28051</v>
      </c>
      <c r="F4457" s="3" t="s">
        <v>305</v>
      </c>
      <c r="G4457" s="3" t="s">
        <v>20</v>
      </c>
      <c r="H4457" s="2" t="s">
        <v>21</v>
      </c>
      <c r="I4457" s="2" t="s">
        <v>8969</v>
      </c>
      <c r="J4457" s="3" t="str">
        <f>HYPERLINK("https://www.boe.es/gazeta/dias/1823/03/13/pdfs/GMD-1823-76.pdf#page=4","Abrir facsímil")</f>
        <v>Abrir facsímil</v>
      </c>
      <c r="K4457" s="3" t="s">
        <v>23</v>
      </c>
    </row>
    <row r="4458" spans="1:11" ht="42" customHeight="1">
      <c r="A4458" s="2" t="s">
        <v>8964</v>
      </c>
      <c r="B4458" s="2" t="s">
        <v>8964</v>
      </c>
      <c r="C4458" s="2" t="s">
        <v>56</v>
      </c>
      <c r="D4458" s="2" t="s">
        <v>57</v>
      </c>
      <c r="E4458" s="5">
        <v>-28009</v>
      </c>
      <c r="F4458" s="3" t="s">
        <v>307</v>
      </c>
      <c r="G4458" s="3" t="s">
        <v>27</v>
      </c>
      <c r="H4458" s="2" t="s">
        <v>21</v>
      </c>
      <c r="I4458" s="2" t="s">
        <v>8970</v>
      </c>
      <c r="J4458" s="3" t="str">
        <f>HYPERLINK("https://www.boe.es/gazeta/dias/1823/04/24/pdfs/GES-1823-14.pdf#page=2","Abrir facsímil")</f>
        <v>Abrir facsímil</v>
      </c>
      <c r="K4458" s="3" t="s">
        <v>23</v>
      </c>
    </row>
    <row r="4459" spans="1:11" ht="42" customHeight="1">
      <c r="A4459" s="2" t="s">
        <v>8964</v>
      </c>
      <c r="B4459" s="2" t="s">
        <v>8964</v>
      </c>
      <c r="C4459" s="2" t="s">
        <v>56</v>
      </c>
      <c r="D4459" s="2" t="s">
        <v>57</v>
      </c>
      <c r="E4459" s="5">
        <v>-28009</v>
      </c>
      <c r="F4459" s="3" t="s">
        <v>307</v>
      </c>
      <c r="G4459" s="3" t="s">
        <v>48</v>
      </c>
      <c r="H4459" s="2" t="s">
        <v>21</v>
      </c>
      <c r="I4459" s="2" t="s">
        <v>8971</v>
      </c>
      <c r="J4459" s="3" t="str">
        <f>HYPERLINK("https://www.boe.es/gazeta/dias/1823/04/24/pdfs/GES-1823-14.pdf#page=3","Abrir facsímil")</f>
        <v>Abrir facsímil</v>
      </c>
      <c r="K4459" s="3" t="s">
        <v>23</v>
      </c>
    </row>
    <row r="4460" spans="1:11" ht="42" customHeight="1">
      <c r="A4460" s="2" t="s">
        <v>8972</v>
      </c>
      <c r="B4460" s="2" t="s">
        <v>8972</v>
      </c>
      <c r="C4460" s="2" t="s">
        <v>17</v>
      </c>
      <c r="D4460" s="2" t="s">
        <v>18</v>
      </c>
      <c r="E4460" s="5">
        <v>-28004</v>
      </c>
      <c r="F4460" s="3" t="s">
        <v>313</v>
      </c>
      <c r="G4460" s="3" t="s">
        <v>48</v>
      </c>
      <c r="H4460" s="2" t="s">
        <v>21</v>
      </c>
      <c r="I4460" s="2" t="s">
        <v>8973</v>
      </c>
      <c r="J4460" s="3" t="str">
        <f>HYPERLINK("https://www.boe.es/gazeta/dias/1823/04/29/pdfs/GMD-1823-72.pdf#page=3","Abrir facsímil")</f>
        <v>Abrir facsímil</v>
      </c>
      <c r="K4460" s="3" t="s">
        <v>23</v>
      </c>
    </row>
    <row r="4461" spans="1:11" ht="42" customHeight="1">
      <c r="A4461" s="2" t="s">
        <v>8964</v>
      </c>
      <c r="B4461" s="2" t="s">
        <v>8964</v>
      </c>
      <c r="C4461" s="2" t="s">
        <v>109</v>
      </c>
      <c r="D4461" s="2" t="s">
        <v>74</v>
      </c>
      <c r="E4461" s="5">
        <v>-28001</v>
      </c>
      <c r="F4461" s="3" t="s">
        <v>768</v>
      </c>
      <c r="G4461" s="3" t="s">
        <v>4465</v>
      </c>
      <c r="H4461" s="2" t="s">
        <v>21</v>
      </c>
      <c r="I4461" s="2" t="s">
        <v>8974</v>
      </c>
      <c r="J4461" s="3" t="str">
        <f>HYPERLINK("https://www.boe.es/gazeta/dias/1823/05/02/pdfs/GES-1823-22.pdf#page=4","Abrir facsímil")</f>
        <v>Abrir facsímil</v>
      </c>
      <c r="K4461" s="3" t="s">
        <v>23</v>
      </c>
    </row>
    <row r="4462" spans="1:11" ht="42" customHeight="1">
      <c r="A4462" s="2" t="s">
        <v>8964</v>
      </c>
      <c r="B4462" s="2" t="s">
        <v>8964</v>
      </c>
      <c r="C4462" s="2" t="s">
        <v>17</v>
      </c>
      <c r="D4462" s="2" t="s">
        <v>18</v>
      </c>
      <c r="E4462" s="5">
        <v>-28000</v>
      </c>
      <c r="F4462" s="3" t="s">
        <v>1118</v>
      </c>
      <c r="G4462" s="3" t="s">
        <v>48</v>
      </c>
      <c r="H4462" s="2" t="s">
        <v>21</v>
      </c>
      <c r="I4462" s="2" t="s">
        <v>8975</v>
      </c>
      <c r="J4462" s="3" t="str">
        <f>HYPERLINK("https://www.boe.es/gazeta/dias/1823/05/03/pdfs/GES-1823-23.pdf#page=3","Abrir facsímil")</f>
        <v>Abrir facsímil</v>
      </c>
      <c r="K4462" s="3" t="s">
        <v>23</v>
      </c>
    </row>
    <row r="4463" spans="1:11" ht="42" customHeight="1">
      <c r="A4463" s="2" t="s">
        <v>8964</v>
      </c>
      <c r="B4463" s="2" t="s">
        <v>8964</v>
      </c>
      <c r="C4463" s="2" t="s">
        <v>56</v>
      </c>
      <c r="D4463" s="2" t="s">
        <v>57</v>
      </c>
      <c r="E4463" s="5">
        <v>-27999</v>
      </c>
      <c r="F4463" s="3" t="s">
        <v>97</v>
      </c>
      <c r="G4463" s="3" t="s">
        <v>20</v>
      </c>
      <c r="H4463" s="2" t="s">
        <v>21</v>
      </c>
      <c r="I4463" s="2" t="s">
        <v>8976</v>
      </c>
      <c r="J4463" s="3" t="str">
        <f>HYPERLINK("https://www.boe.es/gazeta/dias/1823/05/04/pdfs/GES-1823-24.pdf#page=4","Abrir facsímil")</f>
        <v>Abrir facsímil</v>
      </c>
      <c r="K4463" s="3" t="s">
        <v>23</v>
      </c>
    </row>
    <row r="4464" spans="1:11" ht="42" customHeight="1">
      <c r="A4464" s="2" t="s">
        <v>8964</v>
      </c>
      <c r="B4464" s="2" t="s">
        <v>8964</v>
      </c>
      <c r="C4464" s="2" t="s">
        <v>293</v>
      </c>
      <c r="D4464" s="2" t="s">
        <v>74</v>
      </c>
      <c r="E4464" s="5">
        <v>-27998</v>
      </c>
      <c r="F4464" s="3" t="s">
        <v>1058</v>
      </c>
      <c r="G4464" s="3" t="s">
        <v>59</v>
      </c>
      <c r="H4464" s="2" t="s">
        <v>21</v>
      </c>
      <c r="I4464" s="2" t="s">
        <v>8977</v>
      </c>
      <c r="J4464" s="3" t="str">
        <f>HYPERLINK("https://www.boe.es/gazeta/dias/1823/05/05/pdfs/GES-1823-25.pdf#page=6","Abrir facsímil")</f>
        <v>Abrir facsímil</v>
      </c>
      <c r="K4464" s="3" t="s">
        <v>23</v>
      </c>
    </row>
    <row r="4465" spans="1:11" ht="42" customHeight="1">
      <c r="A4465" s="2" t="s">
        <v>8964</v>
      </c>
      <c r="B4465" s="2" t="s">
        <v>8964</v>
      </c>
      <c r="C4465" s="2" t="s">
        <v>17</v>
      </c>
      <c r="D4465" s="2" t="s">
        <v>18</v>
      </c>
      <c r="E4465" s="5">
        <v>-27997</v>
      </c>
      <c r="F4465" s="3" t="s">
        <v>937</v>
      </c>
      <c r="G4465" s="3" t="s">
        <v>48</v>
      </c>
      <c r="H4465" s="2" t="s">
        <v>21</v>
      </c>
      <c r="I4465" s="2" t="s">
        <v>8978</v>
      </c>
      <c r="J4465" s="3" t="str">
        <f>HYPERLINK("https://www.boe.es/gazeta/dias/1823/05/06/pdfs/GMD-1823-102.pdf#page=3","Abrir facsímil")</f>
        <v>Abrir facsímil</v>
      </c>
      <c r="K4465" s="3" t="s">
        <v>23</v>
      </c>
    </row>
    <row r="4466" spans="1:11" ht="42" customHeight="1">
      <c r="A4466" s="2" t="s">
        <v>8964</v>
      </c>
      <c r="B4466" s="2" t="s">
        <v>8964</v>
      </c>
      <c r="C4466" s="2" t="s">
        <v>79</v>
      </c>
      <c r="D4466" s="2" t="s">
        <v>74</v>
      </c>
      <c r="E4466" s="5">
        <v>-27994</v>
      </c>
      <c r="F4466" s="3" t="s">
        <v>714</v>
      </c>
      <c r="G4466" s="3" t="s">
        <v>4475</v>
      </c>
      <c r="H4466" s="2" t="s">
        <v>21</v>
      </c>
      <c r="I4466" s="2" t="s">
        <v>8979</v>
      </c>
      <c r="J4466" s="3" t="str">
        <f>HYPERLINK("https://www.boe.es/gazeta/dias/1823/05/09/pdfs/GES-1823-29.pdf#page=3","Abrir facsímil")</f>
        <v>Abrir facsímil</v>
      </c>
      <c r="K4466" s="3" t="s">
        <v>23</v>
      </c>
    </row>
    <row r="4467" spans="1:11" ht="42" customHeight="1">
      <c r="A4467" s="2" t="s">
        <v>8964</v>
      </c>
      <c r="B4467" s="2" t="s">
        <v>8964</v>
      </c>
      <c r="C4467" s="2" t="s">
        <v>17</v>
      </c>
      <c r="D4467" s="2" t="s">
        <v>18</v>
      </c>
      <c r="E4467" s="5">
        <v>-27994</v>
      </c>
      <c r="F4467" s="3" t="s">
        <v>714</v>
      </c>
      <c r="G4467" s="3" t="s">
        <v>34</v>
      </c>
      <c r="H4467" s="2" t="s">
        <v>21</v>
      </c>
      <c r="I4467" s="2" t="s">
        <v>8980</v>
      </c>
      <c r="J4467" s="3" t="str">
        <f>HYPERLINK("https://www.boe.es/gazeta/dias/1823/05/09/pdfs/GES-1823-29.pdf#page=5","Abrir facsímil")</f>
        <v>Abrir facsímil</v>
      </c>
      <c r="K4467" s="3" t="s">
        <v>23</v>
      </c>
    </row>
    <row r="4468" spans="1:11" ht="42" customHeight="1">
      <c r="A4468" s="2" t="s">
        <v>8964</v>
      </c>
      <c r="B4468" s="2" t="s">
        <v>8964</v>
      </c>
      <c r="C4468" s="2" t="s">
        <v>73</v>
      </c>
      <c r="D4468" s="2" t="s">
        <v>74</v>
      </c>
      <c r="E4468" s="5">
        <v>-27993</v>
      </c>
      <c r="F4468" s="3" t="s">
        <v>977</v>
      </c>
      <c r="G4468" s="3" t="s">
        <v>48</v>
      </c>
      <c r="H4468" s="2" t="s">
        <v>21</v>
      </c>
      <c r="I4468" s="2" t="s">
        <v>8981</v>
      </c>
      <c r="J4468" s="3" t="str">
        <f>HYPERLINK("https://www.boe.es/gazeta/dias/1823/05/10/pdfs/GES-1823-30.pdf#page=3","Abrir facsímil")</f>
        <v>Abrir facsímil</v>
      </c>
      <c r="K4468" s="3" t="s">
        <v>23</v>
      </c>
    </row>
    <row r="4469" spans="1:11" ht="42" customHeight="1">
      <c r="A4469" s="2" t="s">
        <v>8964</v>
      </c>
      <c r="B4469" s="2" t="s">
        <v>8964</v>
      </c>
      <c r="C4469" s="2" t="s">
        <v>17</v>
      </c>
      <c r="D4469" s="2" t="s">
        <v>18</v>
      </c>
      <c r="E4469" s="5">
        <v>-27989</v>
      </c>
      <c r="F4469" s="3" t="s">
        <v>1134</v>
      </c>
      <c r="G4469" s="3" t="s">
        <v>48</v>
      </c>
      <c r="H4469" s="2" t="s">
        <v>21</v>
      </c>
      <c r="I4469" s="2" t="s">
        <v>8982</v>
      </c>
      <c r="J4469" s="3" t="str">
        <f>HYPERLINK("https://www.boe.es/gazeta/dias/1823/05/14/pdfs/GES-1823-34.pdf#page=3","Abrir facsímil")</f>
        <v>Abrir facsímil</v>
      </c>
      <c r="K4469" s="3" t="s">
        <v>23</v>
      </c>
    </row>
    <row r="4470" spans="1:11" ht="42" customHeight="1">
      <c r="A4470" s="2" t="s">
        <v>8964</v>
      </c>
      <c r="B4470" s="2" t="s">
        <v>8964</v>
      </c>
      <c r="C4470" s="2" t="s">
        <v>17</v>
      </c>
      <c r="D4470" s="2" t="s">
        <v>18</v>
      </c>
      <c r="E4470" s="5">
        <v>-27986</v>
      </c>
      <c r="F4470" s="3" t="s">
        <v>607</v>
      </c>
      <c r="G4470" s="3" t="s">
        <v>27</v>
      </c>
      <c r="H4470" s="2" t="s">
        <v>21</v>
      </c>
      <c r="I4470" s="2" t="s">
        <v>8983</v>
      </c>
      <c r="J4470" s="3" t="str">
        <f>HYPERLINK("https://www.boe.es/gazeta/dias/1823/05/17/pdfs/GMD-1823-152.pdf#page=2","Abrir facsímil")</f>
        <v>Abrir facsímil</v>
      </c>
      <c r="K4470" s="3" t="s">
        <v>23</v>
      </c>
    </row>
    <row r="4471" spans="1:11" ht="42" customHeight="1">
      <c r="A4471" s="2" t="s">
        <v>8964</v>
      </c>
      <c r="B4471" s="2" t="s">
        <v>8964</v>
      </c>
      <c r="C4471" s="2" t="s">
        <v>109</v>
      </c>
      <c r="D4471" s="2" t="s">
        <v>74</v>
      </c>
      <c r="E4471" s="5">
        <v>-27985</v>
      </c>
      <c r="F4471" s="3" t="s">
        <v>951</v>
      </c>
      <c r="G4471" s="3" t="s">
        <v>20</v>
      </c>
      <c r="H4471" s="2" t="s">
        <v>21</v>
      </c>
      <c r="I4471" s="2" t="s">
        <v>8984</v>
      </c>
      <c r="J4471" s="3" t="str">
        <f>HYPERLINK("https://www.boe.es/gazeta/dias/1823/05/18/pdfs/GES-1823-38.pdf#page=4","Abrir facsímil")</f>
        <v>Abrir facsímil</v>
      </c>
      <c r="K4471" s="3" t="s">
        <v>23</v>
      </c>
    </row>
    <row r="4472" spans="1:11" ht="42" customHeight="1">
      <c r="A4472" s="2" t="s">
        <v>8964</v>
      </c>
      <c r="B4472" s="2" t="s">
        <v>8964</v>
      </c>
      <c r="C4472" s="2" t="s">
        <v>109</v>
      </c>
      <c r="D4472" s="2" t="s">
        <v>74</v>
      </c>
      <c r="E4472" s="5">
        <v>-27983</v>
      </c>
      <c r="F4472" s="3" t="s">
        <v>337</v>
      </c>
      <c r="G4472" s="3" t="s">
        <v>48</v>
      </c>
      <c r="H4472" s="2" t="s">
        <v>21</v>
      </c>
      <c r="I4472" s="2" t="s">
        <v>8985</v>
      </c>
      <c r="J4472" s="3" t="str">
        <f>HYPERLINK("https://www.boe.es/gazeta/dias/1823/05/20/pdfs/GES-1823-40.pdf#page=3","Abrir facsímil")</f>
        <v>Abrir facsímil</v>
      </c>
      <c r="K4472" s="3" t="s">
        <v>23</v>
      </c>
    </row>
    <row r="4473" spans="1:11" ht="42" customHeight="1">
      <c r="A4473" s="2" t="s">
        <v>8964</v>
      </c>
      <c r="B4473" s="2" t="s">
        <v>8964</v>
      </c>
      <c r="C4473" s="2" t="s">
        <v>79</v>
      </c>
      <c r="D4473" s="2" t="s">
        <v>74</v>
      </c>
      <c r="E4473" s="5">
        <v>-27981</v>
      </c>
      <c r="F4473" s="3" t="s">
        <v>1521</v>
      </c>
      <c r="G4473" s="3" t="s">
        <v>2395</v>
      </c>
      <c r="H4473" s="2" t="s">
        <v>21</v>
      </c>
      <c r="I4473" s="2" t="s">
        <v>8986</v>
      </c>
      <c r="J4473" s="3" t="str">
        <f>HYPERLINK("https://www.boe.es/gazeta/dias/1823/05/22/pdfs/GES-1823-43.pdf#page=2","Abrir facsímil")</f>
        <v>Abrir facsímil</v>
      </c>
      <c r="K4473" s="3" t="s">
        <v>23</v>
      </c>
    </row>
    <row r="4474" spans="1:11" ht="42" customHeight="1">
      <c r="A4474" s="2" t="s">
        <v>8964</v>
      </c>
      <c r="B4474" s="2" t="s">
        <v>8964</v>
      </c>
      <c r="C4474" s="2" t="s">
        <v>109</v>
      </c>
      <c r="D4474" s="2" t="s">
        <v>74</v>
      </c>
      <c r="E4474" s="5">
        <v>-27980</v>
      </c>
      <c r="F4474" s="3" t="s">
        <v>1068</v>
      </c>
      <c r="G4474" s="3" t="s">
        <v>48</v>
      </c>
      <c r="H4474" s="2" t="s">
        <v>21</v>
      </c>
      <c r="I4474" s="2" t="s">
        <v>8987</v>
      </c>
      <c r="J4474" s="3" t="str">
        <f>HYPERLINK("https://www.boe.es/gazeta/dias/1823/05/23/pdfs/GES-1823-44.pdf#page=3","Abrir facsímil")</f>
        <v>Abrir facsímil</v>
      </c>
      <c r="K4474" s="3" t="s">
        <v>23</v>
      </c>
    </row>
    <row r="4475" spans="1:11" ht="42" customHeight="1">
      <c r="A4475" s="2" t="s">
        <v>8964</v>
      </c>
      <c r="B4475" s="2" t="s">
        <v>8964</v>
      </c>
      <c r="C4475" s="2" t="s">
        <v>56</v>
      </c>
      <c r="D4475" s="2" t="s">
        <v>57</v>
      </c>
      <c r="E4475" s="5">
        <v>-27979</v>
      </c>
      <c r="F4475" s="3" t="s">
        <v>1071</v>
      </c>
      <c r="G4475" s="3" t="s">
        <v>27</v>
      </c>
      <c r="H4475" s="2" t="s">
        <v>21</v>
      </c>
      <c r="I4475" s="2" t="s">
        <v>8988</v>
      </c>
      <c r="J4475" s="3" t="str">
        <f>HYPERLINK("https://www.boe.es/gazeta/dias/1823/05/24/pdfs/GES-1823-45.pdf#page=2","Abrir facsímil")</f>
        <v>Abrir facsímil</v>
      </c>
      <c r="K4475" s="3" t="s">
        <v>23</v>
      </c>
    </row>
    <row r="4476" spans="1:11" ht="42" customHeight="1">
      <c r="A4476" s="2" t="s">
        <v>8964</v>
      </c>
      <c r="B4476" s="2" t="s">
        <v>8964</v>
      </c>
      <c r="C4476" s="2" t="s">
        <v>109</v>
      </c>
      <c r="D4476" s="2" t="s">
        <v>74</v>
      </c>
      <c r="E4476" s="5">
        <v>-27979</v>
      </c>
      <c r="F4476" s="3" t="s">
        <v>1071</v>
      </c>
      <c r="G4476" s="3" t="s">
        <v>34</v>
      </c>
      <c r="H4476" s="2" t="s">
        <v>21</v>
      </c>
      <c r="I4476" s="2" t="s">
        <v>8989</v>
      </c>
      <c r="J4476" s="3" t="str">
        <f>HYPERLINK("https://www.boe.es/gazeta/dias/1823/05/24/pdfs/GES-1823-45.pdf#page=5","Abrir facsímil")</f>
        <v>Abrir facsímil</v>
      </c>
      <c r="K4476" s="3" t="s">
        <v>23</v>
      </c>
    </row>
    <row r="4477" spans="1:11" ht="42" customHeight="1">
      <c r="A4477" s="2" t="s">
        <v>8964</v>
      </c>
      <c r="B4477" s="2" t="s">
        <v>8964</v>
      </c>
      <c r="C4477" s="2" t="s">
        <v>56</v>
      </c>
      <c r="D4477" s="2" t="s">
        <v>57</v>
      </c>
      <c r="E4477" s="5">
        <v>-27978</v>
      </c>
      <c r="F4477" s="3" t="s">
        <v>342</v>
      </c>
      <c r="G4477" s="3" t="s">
        <v>27</v>
      </c>
      <c r="H4477" s="2" t="s">
        <v>21</v>
      </c>
      <c r="I4477" s="2" t="s">
        <v>8990</v>
      </c>
      <c r="J4477" s="3" t="str">
        <f>HYPERLINK("https://www.boe.es/gazeta/dias/1823/05/25/pdfs/GES-1823-46.pdf#page=2","Abrir facsímil")</f>
        <v>Abrir facsímil</v>
      </c>
      <c r="K4477" s="3" t="s">
        <v>23</v>
      </c>
    </row>
    <row r="4478" spans="1:11" ht="42" customHeight="1">
      <c r="A4478" s="2" t="s">
        <v>8964</v>
      </c>
      <c r="B4478" s="2" t="s">
        <v>8964</v>
      </c>
      <c r="C4478" s="2" t="s">
        <v>56</v>
      </c>
      <c r="D4478" s="2" t="s">
        <v>57</v>
      </c>
      <c r="E4478" s="5">
        <v>-27964</v>
      </c>
      <c r="F4478" s="3" t="s">
        <v>58</v>
      </c>
      <c r="G4478" s="3" t="s">
        <v>48</v>
      </c>
      <c r="H4478" s="2" t="s">
        <v>21</v>
      </c>
      <c r="I4478" s="2" t="s">
        <v>8991</v>
      </c>
      <c r="J4478" s="3" t="str">
        <f>HYPERLINK("https://www.boe.es/gazeta/dias/1823/06/08/pdfs/GES-1823-62.pdf#page=3","Abrir facsímil")</f>
        <v>Abrir facsímil</v>
      </c>
      <c r="K4478" s="3" t="s">
        <v>23</v>
      </c>
    </row>
    <row r="4479" spans="1:11" ht="42" customHeight="1">
      <c r="A4479" s="2" t="s">
        <v>8964</v>
      </c>
      <c r="B4479" s="2" t="s">
        <v>8964</v>
      </c>
      <c r="C4479" s="2" t="s">
        <v>79</v>
      </c>
      <c r="D4479" s="2" t="s">
        <v>74</v>
      </c>
      <c r="E4479" s="5">
        <v>-27963</v>
      </c>
      <c r="F4479" s="3" t="s">
        <v>344</v>
      </c>
      <c r="G4479" s="3" t="s">
        <v>39</v>
      </c>
      <c r="H4479" s="2" t="s">
        <v>21</v>
      </c>
      <c r="I4479" s="2" t="s">
        <v>8992</v>
      </c>
      <c r="J4479" s="3" t="str">
        <f>HYPERLINK("https://www.boe.es/gazeta/dias/1823/06/09/pdfs/GES-1823-63.pdf#page=1","Abrir facsímil")</f>
        <v>Abrir facsímil</v>
      </c>
      <c r="K4479" s="3" t="s">
        <v>23</v>
      </c>
    </row>
    <row r="4480" spans="1:11" ht="42" customHeight="1">
      <c r="A4480" s="2" t="s">
        <v>8964</v>
      </c>
      <c r="B4480" s="2" t="s">
        <v>8964</v>
      </c>
      <c r="C4480" s="2" t="s">
        <v>56</v>
      </c>
      <c r="D4480" s="2" t="s">
        <v>57</v>
      </c>
      <c r="E4480" s="5">
        <v>-27963</v>
      </c>
      <c r="F4480" s="3" t="s">
        <v>344</v>
      </c>
      <c r="G4480" s="3" t="s">
        <v>27</v>
      </c>
      <c r="H4480" s="2" t="s">
        <v>21</v>
      </c>
      <c r="I4480" s="2" t="s">
        <v>8993</v>
      </c>
      <c r="J4480" s="3" t="str">
        <f>HYPERLINK("https://www.boe.es/gazeta/dias/1823/06/09/pdfs/GES-1823-63.pdf#page=2","Abrir facsímil")</f>
        <v>Abrir facsímil</v>
      </c>
      <c r="K4480" s="3" t="s">
        <v>23</v>
      </c>
    </row>
    <row r="4481" spans="1:11" ht="42" customHeight="1">
      <c r="A4481" s="2" t="s">
        <v>8964</v>
      </c>
      <c r="B4481" s="2" t="s">
        <v>8964</v>
      </c>
      <c r="C4481" s="2" t="s">
        <v>17</v>
      </c>
      <c r="D4481" s="2" t="s">
        <v>18</v>
      </c>
      <c r="E4481" s="5">
        <v>-27960</v>
      </c>
      <c r="F4481" s="3" t="s">
        <v>741</v>
      </c>
      <c r="G4481" s="3" t="s">
        <v>27</v>
      </c>
      <c r="H4481" s="2" t="s">
        <v>21</v>
      </c>
      <c r="I4481" s="2" t="s">
        <v>8994</v>
      </c>
      <c r="J4481" s="3" t="str">
        <f>HYPERLINK("https://www.boe.es/gazeta/dias/1823/06/12/pdfs/GES-1823-66.pdf#page=2","Abrir facsímil")</f>
        <v>Abrir facsímil</v>
      </c>
      <c r="K4481" s="3" t="s">
        <v>23</v>
      </c>
    </row>
    <row r="4482" spans="1:11" ht="42" customHeight="1">
      <c r="A4482" s="2" t="s">
        <v>8964</v>
      </c>
      <c r="B4482" s="2" t="s">
        <v>8964</v>
      </c>
      <c r="C4482" s="2" t="s">
        <v>17</v>
      </c>
      <c r="D4482" s="2" t="s">
        <v>18</v>
      </c>
      <c r="E4482" s="5">
        <v>-27960</v>
      </c>
      <c r="F4482" s="3" t="s">
        <v>741</v>
      </c>
      <c r="G4482" s="3" t="s">
        <v>48</v>
      </c>
      <c r="H4482" s="2" t="s">
        <v>21</v>
      </c>
      <c r="I4482" s="2" t="s">
        <v>8995</v>
      </c>
      <c r="J4482" s="3" t="str">
        <f>HYPERLINK("https://www.boe.es/gazeta/dias/1823/06/12/pdfs/GES-1823-66.pdf#page=3","Abrir facsímil")</f>
        <v>Abrir facsímil</v>
      </c>
      <c r="K4482" s="3" t="s">
        <v>23</v>
      </c>
    </row>
    <row r="4483" spans="1:11" ht="42" customHeight="1">
      <c r="A4483" s="2" t="s">
        <v>8964</v>
      </c>
      <c r="B4483" s="2" t="s">
        <v>8964</v>
      </c>
      <c r="C4483" s="2" t="s">
        <v>17</v>
      </c>
      <c r="D4483" s="2" t="s">
        <v>18</v>
      </c>
      <c r="E4483" s="5">
        <v>-27960</v>
      </c>
      <c r="F4483" s="3" t="s">
        <v>741</v>
      </c>
      <c r="G4483" s="3" t="s">
        <v>20</v>
      </c>
      <c r="H4483" s="2" t="s">
        <v>21</v>
      </c>
      <c r="I4483" s="2" t="s">
        <v>8996</v>
      </c>
      <c r="J4483" s="3" t="str">
        <f>HYPERLINK("https://www.boe.es/gazeta/dias/1823/06/12/pdfs/GES-1823-66.pdf#page=4","Abrir facsímil")</f>
        <v>Abrir facsímil</v>
      </c>
      <c r="K4483" s="3" t="s">
        <v>23</v>
      </c>
    </row>
    <row r="4484" spans="1:11" ht="42" customHeight="1">
      <c r="A4484" s="2" t="s">
        <v>8964</v>
      </c>
      <c r="B4484" s="2" t="s">
        <v>8964</v>
      </c>
      <c r="C4484" s="2" t="s">
        <v>79</v>
      </c>
      <c r="D4484" s="2" t="s">
        <v>74</v>
      </c>
      <c r="E4484" s="5">
        <v>-27960</v>
      </c>
      <c r="F4484" s="3" t="s">
        <v>741</v>
      </c>
      <c r="G4484" s="3" t="s">
        <v>34</v>
      </c>
      <c r="H4484" s="2" t="s">
        <v>21</v>
      </c>
      <c r="I4484" s="2" t="s">
        <v>8997</v>
      </c>
      <c r="J4484" s="3" t="str">
        <f>HYPERLINK("https://www.boe.es/gazeta/dias/1823/06/12/pdfs/GES-1823-66.pdf#page=5","Abrir facsímil")</f>
        <v>Abrir facsímil</v>
      </c>
      <c r="K4484" s="3" t="s">
        <v>23</v>
      </c>
    </row>
    <row r="4485" spans="1:11" ht="42" customHeight="1">
      <c r="A4485" s="2" t="s">
        <v>8964</v>
      </c>
      <c r="B4485" s="2" t="s">
        <v>8964</v>
      </c>
      <c r="C4485" s="2" t="s">
        <v>109</v>
      </c>
      <c r="D4485" s="2" t="s">
        <v>117</v>
      </c>
      <c r="E4485" s="5">
        <v>-27952</v>
      </c>
      <c r="F4485" s="3" t="s">
        <v>1844</v>
      </c>
      <c r="G4485" s="3" t="s">
        <v>39</v>
      </c>
      <c r="H4485" s="2" t="s">
        <v>21</v>
      </c>
      <c r="I4485" s="2" t="s">
        <v>8998</v>
      </c>
      <c r="J4485" s="3" t="str">
        <f>HYPERLINK("https://www.boe.es/gazeta/dias/1823/06/20/pdfs/GMD-1823-213E.pdf#page=1","Abrir facsímil")</f>
        <v>Abrir facsímil</v>
      </c>
      <c r="K4485" s="3" t="s">
        <v>23</v>
      </c>
    </row>
    <row r="4486" spans="1:11" ht="42" customHeight="1">
      <c r="A4486" s="2" t="s">
        <v>8964</v>
      </c>
      <c r="B4486" s="2" t="s">
        <v>8964</v>
      </c>
      <c r="C4486" s="2" t="s">
        <v>56</v>
      </c>
      <c r="D4486" s="2" t="s">
        <v>117</v>
      </c>
      <c r="E4486" s="5">
        <v>-27952</v>
      </c>
      <c r="F4486" s="3" t="s">
        <v>1844</v>
      </c>
      <c r="G4486" s="3" t="s">
        <v>27</v>
      </c>
      <c r="H4486" s="2" t="s">
        <v>21</v>
      </c>
      <c r="I4486" s="2" t="s">
        <v>8999</v>
      </c>
      <c r="J4486" s="3" t="str">
        <f>HYPERLINK("https://www.boe.es/gazeta/dias/1823/06/20/pdfs/GMD-1823-213E.pdf#page=2","Abrir facsímil")</f>
        <v>Abrir facsímil</v>
      </c>
      <c r="K4486" s="3" t="s">
        <v>23</v>
      </c>
    </row>
    <row r="4487" spans="1:11" ht="42" customHeight="1">
      <c r="A4487" s="2" t="s">
        <v>8964</v>
      </c>
      <c r="B4487" s="2" t="s">
        <v>8964</v>
      </c>
      <c r="C4487" s="2" t="s">
        <v>56</v>
      </c>
      <c r="D4487" s="2" t="s">
        <v>57</v>
      </c>
      <c r="E4487" s="5">
        <v>-27951</v>
      </c>
      <c r="F4487" s="3" t="s">
        <v>548</v>
      </c>
      <c r="G4487" s="3" t="s">
        <v>20</v>
      </c>
      <c r="H4487" s="2" t="s">
        <v>21</v>
      </c>
      <c r="I4487" s="2" t="s">
        <v>9000</v>
      </c>
      <c r="J4487" s="3" t="str">
        <f>HYPERLINK("https://www.boe.es/gazeta/dias/1823/06/21/pdfs/GES-1823-69.pdf#page=4","Abrir facsímil")</f>
        <v>Abrir facsímil</v>
      </c>
      <c r="K4487" s="3" t="s">
        <v>23</v>
      </c>
    </row>
    <row r="4488" spans="1:11" ht="42" customHeight="1">
      <c r="A4488" s="2" t="s">
        <v>8964</v>
      </c>
      <c r="B4488" s="2" t="s">
        <v>8964</v>
      </c>
      <c r="C4488" s="2" t="s">
        <v>17</v>
      </c>
      <c r="D4488" s="2" t="s">
        <v>18</v>
      </c>
      <c r="E4488" s="5">
        <v>-27948</v>
      </c>
      <c r="F4488" s="3" t="s">
        <v>959</v>
      </c>
      <c r="G4488" s="3" t="s">
        <v>39</v>
      </c>
      <c r="H4488" s="2" t="s">
        <v>21</v>
      </c>
      <c r="I4488" s="2" t="s">
        <v>9001</v>
      </c>
      <c r="J4488" s="3" t="str">
        <f>HYPERLINK("https://www.boe.es/gazeta/dias/1823/06/24/pdfs/GES-1823-72.pdf#page=1","Abrir facsímil")</f>
        <v>Abrir facsímil</v>
      </c>
      <c r="K4488" s="3" t="s">
        <v>23</v>
      </c>
    </row>
    <row r="4489" spans="1:11" ht="42" customHeight="1">
      <c r="A4489" s="2" t="s">
        <v>8964</v>
      </c>
      <c r="B4489" s="2" t="s">
        <v>8964</v>
      </c>
      <c r="C4489" s="2" t="s">
        <v>84</v>
      </c>
      <c r="D4489" s="2" t="s">
        <v>74</v>
      </c>
      <c r="E4489" s="5">
        <v>-27947</v>
      </c>
      <c r="F4489" s="3" t="s">
        <v>2144</v>
      </c>
      <c r="G4489" s="3" t="s">
        <v>27</v>
      </c>
      <c r="H4489" s="2" t="s">
        <v>21</v>
      </c>
      <c r="I4489" s="2" t="s">
        <v>9002</v>
      </c>
      <c r="J4489" s="3" t="str">
        <f>HYPERLINK("https://www.boe.es/gazeta/dias/1823/06/25/pdfs/GES-1823-75.pdf#page=2","Abrir facsímil")</f>
        <v>Abrir facsímil</v>
      </c>
      <c r="K4489" s="3" t="s">
        <v>23</v>
      </c>
    </row>
    <row r="4490" spans="1:11" ht="42" customHeight="1">
      <c r="A4490" s="2" t="s">
        <v>8964</v>
      </c>
      <c r="B4490" s="2" t="s">
        <v>8964</v>
      </c>
      <c r="C4490" s="2" t="s">
        <v>84</v>
      </c>
      <c r="D4490" s="2" t="s">
        <v>74</v>
      </c>
      <c r="E4490" s="5">
        <v>-27947</v>
      </c>
      <c r="F4490" s="3" t="s">
        <v>2144</v>
      </c>
      <c r="G4490" s="3" t="s">
        <v>48</v>
      </c>
      <c r="H4490" s="2" t="s">
        <v>21</v>
      </c>
      <c r="I4490" s="2" t="s">
        <v>9003</v>
      </c>
      <c r="J4490" s="3" t="str">
        <f>HYPERLINK("https://www.boe.es/gazeta/dias/1823/06/25/pdfs/GES-1823-75.pdf#page=3","Abrir facsímil")</f>
        <v>Abrir facsímil</v>
      </c>
      <c r="K4490" s="3" t="s">
        <v>23</v>
      </c>
    </row>
    <row r="4491" spans="1:11" ht="42" customHeight="1">
      <c r="A4491" s="2" t="s">
        <v>8964</v>
      </c>
      <c r="B4491" s="2" t="s">
        <v>8964</v>
      </c>
      <c r="C4491" s="2" t="s">
        <v>79</v>
      </c>
      <c r="D4491" s="2" t="s">
        <v>74</v>
      </c>
      <c r="E4491" s="5">
        <v>-27941</v>
      </c>
      <c r="F4491" s="3" t="s">
        <v>527</v>
      </c>
      <c r="G4491" s="3" t="s">
        <v>39</v>
      </c>
      <c r="H4491" s="2" t="s">
        <v>21</v>
      </c>
      <c r="I4491" s="2" t="s">
        <v>9004</v>
      </c>
      <c r="J4491" s="3" t="str">
        <f>HYPERLINK("https://www.boe.es/gazeta/dias/1823/07/01/pdfs/GES-1823-81.pdf#page=1","Abrir facsímil")</f>
        <v>Abrir facsímil</v>
      </c>
      <c r="K4491" s="3" t="s">
        <v>23</v>
      </c>
    </row>
    <row r="4492" spans="1:11" ht="42" customHeight="1">
      <c r="A4492" s="2" t="s">
        <v>8964</v>
      </c>
      <c r="B4492" s="2" t="s">
        <v>8964</v>
      </c>
      <c r="C4492" s="2" t="s">
        <v>79</v>
      </c>
      <c r="D4492" s="2" t="s">
        <v>74</v>
      </c>
      <c r="E4492" s="5">
        <v>-27941</v>
      </c>
      <c r="F4492" s="3" t="s">
        <v>527</v>
      </c>
      <c r="G4492" s="3" t="s">
        <v>27</v>
      </c>
      <c r="H4492" s="2" t="s">
        <v>21</v>
      </c>
      <c r="I4492" s="2" t="s">
        <v>9005</v>
      </c>
      <c r="J4492" s="3" t="str">
        <f>HYPERLINK("https://www.boe.es/gazeta/dias/1823/07/01/pdfs/GES-1823-81.pdf#page=2","Abrir facsímil")</f>
        <v>Abrir facsímil</v>
      </c>
      <c r="K4492" s="3" t="s">
        <v>23</v>
      </c>
    </row>
    <row r="4493" spans="1:11" ht="42" customHeight="1">
      <c r="A4493" s="2" t="s">
        <v>8964</v>
      </c>
      <c r="B4493" s="2" t="s">
        <v>8964</v>
      </c>
      <c r="C4493" s="2" t="s">
        <v>56</v>
      </c>
      <c r="D4493" s="2" t="s">
        <v>57</v>
      </c>
      <c r="E4493" s="5">
        <v>-27941</v>
      </c>
      <c r="F4493" s="3" t="s">
        <v>527</v>
      </c>
      <c r="G4493" s="3" t="s">
        <v>20</v>
      </c>
      <c r="H4493" s="2" t="s">
        <v>21</v>
      </c>
      <c r="I4493" s="2" t="s">
        <v>9006</v>
      </c>
      <c r="J4493" s="3" t="str">
        <f>HYPERLINK("https://www.boe.es/gazeta/dias/1823/07/01/pdfs/GES-1823-81.pdf#page=4","Abrir facsímil")</f>
        <v>Abrir facsímil</v>
      </c>
      <c r="K4493" s="3" t="s">
        <v>23</v>
      </c>
    </row>
    <row r="4494" spans="1:11" ht="42" customHeight="1">
      <c r="A4494" s="2" t="s">
        <v>8964</v>
      </c>
      <c r="B4494" s="2" t="s">
        <v>8964</v>
      </c>
      <c r="C4494" s="2" t="s">
        <v>17</v>
      </c>
      <c r="D4494" s="2" t="s">
        <v>18</v>
      </c>
      <c r="E4494" s="5">
        <v>-27917</v>
      </c>
      <c r="F4494" s="3" t="s">
        <v>363</v>
      </c>
      <c r="G4494" s="3" t="s">
        <v>48</v>
      </c>
      <c r="H4494" s="2" t="s">
        <v>21</v>
      </c>
      <c r="I4494" s="2" t="s">
        <v>9007</v>
      </c>
      <c r="J4494" s="3" t="str">
        <f>HYPERLINK("https://www.boe.es/gazeta/dias/1823/07/25/pdfs/GES-1823-106.pdf#page=3","Abrir facsímil")</f>
        <v>Abrir facsímil</v>
      </c>
      <c r="K4494" s="3" t="s">
        <v>23</v>
      </c>
    </row>
    <row r="4495" spans="1:11" ht="42" customHeight="1">
      <c r="A4495" s="2" t="s">
        <v>8964</v>
      </c>
      <c r="B4495" s="2" t="s">
        <v>8964</v>
      </c>
      <c r="C4495" s="2" t="s">
        <v>17</v>
      </c>
      <c r="D4495" s="2" t="s">
        <v>18</v>
      </c>
      <c r="E4495" s="5">
        <v>-27916</v>
      </c>
      <c r="F4495" s="3" t="s">
        <v>772</v>
      </c>
      <c r="G4495" s="3" t="s">
        <v>27</v>
      </c>
      <c r="H4495" s="2" t="s">
        <v>21</v>
      </c>
      <c r="I4495" s="2" t="s">
        <v>9008</v>
      </c>
      <c r="J4495" s="3" t="str">
        <f>HYPERLINK("https://www.boe.es/gazeta/dias/1823/07/26/pdfs/GES-1823-107.pdf#page=2","Abrir facsímil")</f>
        <v>Abrir facsímil</v>
      </c>
      <c r="K4495" s="3" t="s">
        <v>23</v>
      </c>
    </row>
    <row r="4496" spans="1:11" ht="42" customHeight="1">
      <c r="A4496" s="2" t="s">
        <v>8964</v>
      </c>
      <c r="B4496" s="2" t="s">
        <v>8964</v>
      </c>
      <c r="C4496" s="2" t="s">
        <v>17</v>
      </c>
      <c r="D4496" s="2" t="s">
        <v>18</v>
      </c>
      <c r="E4496" s="5">
        <v>-27915</v>
      </c>
      <c r="F4496" s="3" t="s">
        <v>524</v>
      </c>
      <c r="G4496" s="3" t="s">
        <v>27</v>
      </c>
      <c r="H4496" s="2" t="s">
        <v>21</v>
      </c>
      <c r="I4496" s="2" t="s">
        <v>9009</v>
      </c>
      <c r="J4496" s="3" t="str">
        <f>HYPERLINK("https://www.boe.es/gazeta/dias/1823/07/27/pdfs/GES-1823-108.pdf#page=2","Abrir facsímil")</f>
        <v>Abrir facsímil</v>
      </c>
      <c r="K4496" s="3" t="s">
        <v>23</v>
      </c>
    </row>
    <row r="4497" spans="1:11" ht="42" customHeight="1">
      <c r="A4497" s="2" t="s">
        <v>8964</v>
      </c>
      <c r="B4497" s="2" t="s">
        <v>8964</v>
      </c>
      <c r="C4497" s="2" t="s">
        <v>56</v>
      </c>
      <c r="D4497" s="2" t="s">
        <v>57</v>
      </c>
      <c r="E4497" s="5">
        <v>-27912</v>
      </c>
      <c r="F4497" s="3" t="s">
        <v>365</v>
      </c>
      <c r="G4497" s="3" t="s">
        <v>366</v>
      </c>
      <c r="H4497" s="2" t="s">
        <v>21</v>
      </c>
      <c r="I4497" s="2" t="s">
        <v>9010</v>
      </c>
      <c r="J4497" s="3" t="str">
        <f>HYPERLINK("https://www.boe.es/gazeta/dias/1823/07/30/pdfs/GES-1823-111.pdf#page=4","Abrir facsímil")</f>
        <v>Abrir facsímil</v>
      </c>
      <c r="K4497" s="3" t="s">
        <v>23</v>
      </c>
    </row>
    <row r="4498" spans="1:11" ht="42" customHeight="1">
      <c r="A4498" s="2" t="s">
        <v>8964</v>
      </c>
      <c r="B4498" s="2" t="s">
        <v>8964</v>
      </c>
      <c r="C4498" s="2" t="s">
        <v>109</v>
      </c>
      <c r="D4498" s="2" t="s">
        <v>74</v>
      </c>
      <c r="E4498" s="5">
        <v>-27906</v>
      </c>
      <c r="F4498" s="3" t="s">
        <v>241</v>
      </c>
      <c r="G4498" s="3" t="s">
        <v>39</v>
      </c>
      <c r="H4498" s="2" t="s">
        <v>21</v>
      </c>
      <c r="I4498" s="2" t="s">
        <v>9011</v>
      </c>
      <c r="J4498" s="3" t="str">
        <f>HYPERLINK("https://www.boe.es/gazeta/dias/1823/08/05/pdfs/GES-1823-117.pdf#page=1","Abrir facsímil")</f>
        <v>Abrir facsímil</v>
      </c>
      <c r="K4498" s="3" t="s">
        <v>23</v>
      </c>
    </row>
    <row r="4499" spans="1:11" ht="42" customHeight="1">
      <c r="A4499" s="2" t="s">
        <v>8964</v>
      </c>
      <c r="B4499" s="2" t="s">
        <v>8964</v>
      </c>
      <c r="C4499" s="2" t="s">
        <v>56</v>
      </c>
      <c r="D4499" s="2" t="s">
        <v>57</v>
      </c>
      <c r="E4499" s="5">
        <v>-27873</v>
      </c>
      <c r="F4499" s="3" t="s">
        <v>160</v>
      </c>
      <c r="G4499" s="3" t="s">
        <v>48</v>
      </c>
      <c r="H4499" s="2" t="s">
        <v>21</v>
      </c>
      <c r="I4499" s="2" t="s">
        <v>9012</v>
      </c>
      <c r="J4499" s="3" t="str">
        <f>HYPERLINK("https://www.boe.es/gazeta/dias/1823/09/07/pdfs/GES-1823-151.pdf#page=3","Abrir facsímil")</f>
        <v>Abrir facsímil</v>
      </c>
      <c r="K4499" s="3" t="s">
        <v>23</v>
      </c>
    </row>
    <row r="4500" spans="1:11" ht="42" customHeight="1">
      <c r="A4500" s="2" t="s">
        <v>8964</v>
      </c>
      <c r="B4500" s="2" t="s">
        <v>8964</v>
      </c>
      <c r="C4500" s="2" t="s">
        <v>17</v>
      </c>
      <c r="D4500" s="2" t="s">
        <v>18</v>
      </c>
      <c r="E4500" s="5">
        <v>-27872</v>
      </c>
      <c r="F4500" s="3" t="s">
        <v>374</v>
      </c>
      <c r="G4500" s="3" t="s">
        <v>39</v>
      </c>
      <c r="H4500" s="2" t="s">
        <v>21</v>
      </c>
      <c r="I4500" s="2" t="s">
        <v>9013</v>
      </c>
      <c r="J4500" s="3" t="str">
        <f>HYPERLINK("https://www.boe.es/gazeta/dias/1823/09/08/pdfs/GES-1823-152.pdf#page=1","Abrir facsímil")</f>
        <v>Abrir facsímil</v>
      </c>
      <c r="K4500" s="3" t="s">
        <v>23</v>
      </c>
    </row>
    <row r="4501" spans="1:11" ht="42" customHeight="1">
      <c r="A4501" s="2" t="s">
        <v>8964</v>
      </c>
      <c r="B4501" s="2" t="s">
        <v>8964</v>
      </c>
      <c r="C4501" s="2" t="s">
        <v>109</v>
      </c>
      <c r="D4501" s="2" t="s">
        <v>74</v>
      </c>
      <c r="E4501" s="5">
        <v>-27872</v>
      </c>
      <c r="F4501" s="3" t="s">
        <v>374</v>
      </c>
      <c r="G4501" s="3" t="s">
        <v>27</v>
      </c>
      <c r="H4501" s="2" t="s">
        <v>21</v>
      </c>
      <c r="I4501" s="2" t="s">
        <v>9014</v>
      </c>
      <c r="J4501" s="3" t="str">
        <f>HYPERLINK("https://www.boe.es/gazeta/dias/1823/09/08/pdfs/GES-1823-152.pdf#page=2","Abrir facsímil")</f>
        <v>Abrir facsímil</v>
      </c>
      <c r="K4501" s="3" t="s">
        <v>23</v>
      </c>
    </row>
    <row r="4502" spans="1:11" ht="42" customHeight="1">
      <c r="A4502" s="2" t="s">
        <v>8964</v>
      </c>
      <c r="B4502" s="2" t="s">
        <v>8964</v>
      </c>
      <c r="C4502" s="2" t="s">
        <v>17</v>
      </c>
      <c r="D4502" s="2" t="s">
        <v>18</v>
      </c>
      <c r="E4502" s="5">
        <v>-27855</v>
      </c>
      <c r="F4502" s="3" t="s">
        <v>380</v>
      </c>
      <c r="G4502" s="3" t="s">
        <v>27</v>
      </c>
      <c r="H4502" s="2" t="s">
        <v>21</v>
      </c>
      <c r="I4502" s="2" t="s">
        <v>9015</v>
      </c>
      <c r="J4502" s="3" t="str">
        <f>HYPERLINK("https://www.boe.es/gazeta/dias/1823/09/25/pdfs/GMD-1823-853.pdf#page=2","Abrir facsímil")</f>
        <v>Abrir facsímil</v>
      </c>
      <c r="K4502" s="3" t="s">
        <v>23</v>
      </c>
    </row>
    <row r="4503" spans="1:11" ht="42" customHeight="1">
      <c r="A4503" s="2" t="s">
        <v>8964</v>
      </c>
      <c r="B4503" s="2" t="s">
        <v>8964</v>
      </c>
      <c r="C4503" s="2" t="s">
        <v>56</v>
      </c>
      <c r="D4503" s="2" t="s">
        <v>57</v>
      </c>
      <c r="E4503" s="5">
        <v>-27855</v>
      </c>
      <c r="F4503" s="3" t="s">
        <v>380</v>
      </c>
      <c r="G4503" s="3" t="s">
        <v>48</v>
      </c>
      <c r="H4503" s="2" t="s">
        <v>21</v>
      </c>
      <c r="I4503" s="2" t="s">
        <v>9016</v>
      </c>
      <c r="J4503" s="3" t="str">
        <f>HYPERLINK("https://www.boe.es/gazeta/dias/1823/09/25/pdfs/GMD-1823-853.pdf#page=3","Abrir facsímil")</f>
        <v>Abrir facsímil</v>
      </c>
      <c r="K4503" s="3" t="s">
        <v>23</v>
      </c>
    </row>
    <row r="4504" spans="1:11" ht="42" customHeight="1">
      <c r="A4504" s="2" t="s">
        <v>9017</v>
      </c>
      <c r="B4504" s="2" t="s">
        <v>9017</v>
      </c>
      <c r="C4504" s="2" t="s">
        <v>79</v>
      </c>
      <c r="D4504" s="2" t="s">
        <v>74</v>
      </c>
      <c r="E4504" s="5">
        <v>-28112</v>
      </c>
      <c r="F4504" s="3" t="s">
        <v>43</v>
      </c>
      <c r="G4504" s="3" t="s">
        <v>48</v>
      </c>
      <c r="H4504" s="2" t="s">
        <v>21</v>
      </c>
      <c r="I4504" s="2" t="s">
        <v>9018</v>
      </c>
      <c r="J4504" s="3" t="str">
        <f>HYPERLINK("https://www.boe.es/gazeta/dias/1823/01/11/pdfs/GMD-1823-11.pdf#page=3","Abrir facsímil")</f>
        <v>Abrir facsímil</v>
      </c>
      <c r="K4504" s="3" t="s">
        <v>23</v>
      </c>
    </row>
    <row r="4505" spans="1:11" ht="42" customHeight="1">
      <c r="A4505" s="2" t="s">
        <v>9019</v>
      </c>
      <c r="B4505" s="2" t="s">
        <v>9019</v>
      </c>
      <c r="C4505" s="2" t="s">
        <v>17</v>
      </c>
      <c r="D4505" s="2" t="s">
        <v>18</v>
      </c>
      <c r="E4505" s="5">
        <v>-27855</v>
      </c>
      <c r="F4505" s="3" t="s">
        <v>380</v>
      </c>
      <c r="G4505" s="3" t="s">
        <v>48</v>
      </c>
      <c r="H4505" s="2" t="s">
        <v>21</v>
      </c>
      <c r="I4505" s="2" t="s">
        <v>9020</v>
      </c>
      <c r="J4505" s="3" t="str">
        <f>HYPERLINK("https://www.boe.es/gazeta/dias/1823/09/25/pdfs/GMD-1823-853.pdf#page=3","Abrir facsímil")</f>
        <v>Abrir facsímil</v>
      </c>
      <c r="K4505" s="3" t="s">
        <v>23</v>
      </c>
    </row>
    <row r="4506" spans="1:11" ht="42" customHeight="1">
      <c r="A4506" s="2" t="s">
        <v>9021</v>
      </c>
      <c r="B4506" s="2" t="s">
        <v>9021</v>
      </c>
      <c r="C4506" s="2" t="s">
        <v>56</v>
      </c>
      <c r="D4506" s="2" t="s">
        <v>57</v>
      </c>
      <c r="E4506" s="5">
        <v>-28112</v>
      </c>
      <c r="F4506" s="3" t="s">
        <v>43</v>
      </c>
      <c r="G4506" s="3" t="s">
        <v>48</v>
      </c>
      <c r="H4506" s="2" t="s">
        <v>21</v>
      </c>
      <c r="I4506" s="2" t="s">
        <v>9022</v>
      </c>
      <c r="J4506" s="3" t="str">
        <f>HYPERLINK("https://www.boe.es/gazeta/dias/1823/01/11/pdfs/GMD-1823-11.pdf#page=3","Abrir facsímil")</f>
        <v>Abrir facsímil</v>
      </c>
      <c r="K4506" s="3" t="s">
        <v>23</v>
      </c>
    </row>
    <row r="4507" spans="1:11" ht="42" customHeight="1">
      <c r="A4507" s="2" t="s">
        <v>9021</v>
      </c>
      <c r="B4507" s="2" t="s">
        <v>9021</v>
      </c>
      <c r="C4507" s="2" t="s">
        <v>56</v>
      </c>
      <c r="D4507" s="2" t="s">
        <v>57</v>
      </c>
      <c r="E4507" s="5">
        <v>-27944</v>
      </c>
      <c r="F4507" s="3" t="s">
        <v>2823</v>
      </c>
      <c r="G4507" s="3" t="s">
        <v>39</v>
      </c>
      <c r="H4507" s="2" t="s">
        <v>21</v>
      </c>
      <c r="I4507" s="2" t="s">
        <v>9023</v>
      </c>
      <c r="J4507" s="3" t="str">
        <f>HYPERLINK("https://www.boe.es/gazeta/dias/1823/06/28/pdfs/GES-1823-78.pdf#page=1","Abrir facsímil")</f>
        <v>Abrir facsímil</v>
      </c>
      <c r="K4507" s="3" t="s">
        <v>23</v>
      </c>
    </row>
    <row r="4508" spans="1:11" ht="42" customHeight="1">
      <c r="A4508" s="2" t="s">
        <v>9024</v>
      </c>
      <c r="B4508" s="2" t="s">
        <v>9024</v>
      </c>
      <c r="C4508" s="2" t="s">
        <v>17</v>
      </c>
      <c r="D4508" s="2" t="s">
        <v>18</v>
      </c>
      <c r="E4508" s="5">
        <v>-28112</v>
      </c>
      <c r="F4508" s="3" t="s">
        <v>43</v>
      </c>
      <c r="G4508" s="3" t="s">
        <v>39</v>
      </c>
      <c r="H4508" s="2" t="s">
        <v>21</v>
      </c>
      <c r="I4508" s="2" t="s">
        <v>9025</v>
      </c>
      <c r="J4508" s="3" t="str">
        <f>HYPERLINK("https://www.boe.es/gazeta/dias/1823/01/11/pdfs/GMD-1823-11.pdf#page=1","Abrir facsímil")</f>
        <v>Abrir facsímil</v>
      </c>
      <c r="K4508" s="3" t="s">
        <v>23</v>
      </c>
    </row>
    <row r="4509" spans="1:11" ht="42" customHeight="1">
      <c r="A4509" s="2" t="s">
        <v>9026</v>
      </c>
      <c r="B4509" s="2" t="s">
        <v>9027</v>
      </c>
      <c r="C4509" s="2" t="s">
        <v>17</v>
      </c>
      <c r="D4509" s="2" t="s">
        <v>18</v>
      </c>
      <c r="E4509" s="5">
        <v>-28116</v>
      </c>
      <c r="F4509" s="3" t="s">
        <v>134</v>
      </c>
      <c r="G4509" s="3" t="s">
        <v>59</v>
      </c>
      <c r="H4509" s="2" t="s">
        <v>21</v>
      </c>
      <c r="I4509" s="2" t="s">
        <v>9028</v>
      </c>
      <c r="J4509" s="3" t="str">
        <f>HYPERLINK("https://www.boe.es/gazeta/dias/1823/01/07/pdfs/GMD-1823-7.pdf#page=6","Abrir facsímil")</f>
        <v>Abrir facsímil</v>
      </c>
      <c r="K4509" s="3" t="s">
        <v>23</v>
      </c>
    </row>
    <row r="4510" spans="1:11" ht="42" customHeight="1">
      <c r="A4510" s="2" t="s">
        <v>9029</v>
      </c>
      <c r="B4510" s="2" t="s">
        <v>9030</v>
      </c>
      <c r="C4510" s="2" t="s">
        <v>109</v>
      </c>
      <c r="D4510" s="2" t="s">
        <v>74</v>
      </c>
      <c r="E4510" s="5">
        <v>-27759</v>
      </c>
      <c r="F4510" s="3" t="s">
        <v>415</v>
      </c>
      <c r="G4510" s="3" t="s">
        <v>20</v>
      </c>
      <c r="H4510" s="2" t="s">
        <v>21</v>
      </c>
      <c r="I4510" s="2" t="s">
        <v>9031</v>
      </c>
      <c r="J4510" s="3" t="str">
        <f>HYPERLINK("https://www.boe.es/gazeta/dias/1823/12/30/pdfs/GMD-1823-1313.pdf#page=4","Abrir facsímil")</f>
        <v>Abrir facsímil</v>
      </c>
      <c r="K4510" s="3" t="s">
        <v>23</v>
      </c>
    </row>
    <row r="4511" spans="1:11" ht="42" customHeight="1">
      <c r="A4511" s="2" t="s">
        <v>9032</v>
      </c>
      <c r="B4511" s="2" t="s">
        <v>9033</v>
      </c>
      <c r="C4511" s="2" t="s">
        <v>56</v>
      </c>
      <c r="D4511" s="2" t="s">
        <v>57</v>
      </c>
      <c r="E4511" s="5">
        <v>-28043</v>
      </c>
      <c r="F4511" s="3" t="s">
        <v>69</v>
      </c>
      <c r="G4511" s="3" t="s">
        <v>59</v>
      </c>
      <c r="H4511" s="2" t="s">
        <v>21</v>
      </c>
      <c r="I4511" s="2" t="s">
        <v>9034</v>
      </c>
      <c r="J4511" s="3" t="str">
        <f>HYPERLINK("https://www.boe.es/gazeta/dias/1823/03/21/pdfs/GMD-1823-84.pdf#page=6","Abrir facsímil")</f>
        <v>Abrir facsímil</v>
      </c>
      <c r="K4511" s="3" t="s">
        <v>23</v>
      </c>
    </row>
    <row r="4512" spans="1:11" ht="42" customHeight="1">
      <c r="A4512" s="2" t="s">
        <v>9035</v>
      </c>
      <c r="B4512" s="2" t="s">
        <v>9036</v>
      </c>
      <c r="C4512" s="2" t="s">
        <v>109</v>
      </c>
      <c r="D4512" s="2" t="s">
        <v>74</v>
      </c>
      <c r="E4512" s="5">
        <v>-27925</v>
      </c>
      <c r="F4512" s="3" t="s">
        <v>89</v>
      </c>
      <c r="G4512" s="3" t="s">
        <v>39</v>
      </c>
      <c r="H4512" s="2" t="s">
        <v>21</v>
      </c>
      <c r="I4512" s="2" t="s">
        <v>9037</v>
      </c>
      <c r="J4512" s="3" t="str">
        <f>HYPERLINK("https://www.boe.es/gazeta/dias/1823/07/17/pdfs/GES-1823-97.pdf#page=1","Abrir facsímil")</f>
        <v>Abrir facsímil</v>
      </c>
      <c r="K4512" s="3" t="s">
        <v>23</v>
      </c>
    </row>
    <row r="4513" spans="1:11" ht="42" customHeight="1">
      <c r="A4513" s="2" t="s">
        <v>9035</v>
      </c>
      <c r="B4513" s="2" t="s">
        <v>9036</v>
      </c>
      <c r="C4513" s="2" t="s">
        <v>73</v>
      </c>
      <c r="D4513" s="2" t="s">
        <v>74</v>
      </c>
      <c r="E4513" s="5">
        <v>-27921</v>
      </c>
      <c r="F4513" s="3" t="s">
        <v>356</v>
      </c>
      <c r="G4513" s="3" t="s">
        <v>27</v>
      </c>
      <c r="H4513" s="2" t="s">
        <v>21</v>
      </c>
      <c r="I4513" s="2" t="s">
        <v>9038</v>
      </c>
      <c r="J4513" s="3" t="str">
        <f>HYPERLINK("https://www.boe.es/gazeta/dias/1823/07/21/pdfs/GES-1823-102.pdf#page=2","Abrir facsímil")</f>
        <v>Abrir facsímil</v>
      </c>
      <c r="K4513" s="3" t="s">
        <v>23</v>
      </c>
    </row>
    <row r="4514" spans="1:11" ht="42" customHeight="1">
      <c r="A4514" s="2" t="s">
        <v>9039</v>
      </c>
      <c r="B4514" s="2" t="s">
        <v>9039</v>
      </c>
      <c r="C4514" s="2" t="s">
        <v>109</v>
      </c>
      <c r="D4514" s="2" t="s">
        <v>74</v>
      </c>
      <c r="E4514" s="5">
        <v>-28000</v>
      </c>
      <c r="F4514" s="3" t="s">
        <v>1118</v>
      </c>
      <c r="G4514" s="3" t="s">
        <v>48</v>
      </c>
      <c r="H4514" s="2" t="s">
        <v>21</v>
      </c>
      <c r="I4514" s="2" t="s">
        <v>9040</v>
      </c>
      <c r="J4514" s="3" t="str">
        <f>HYPERLINK("https://www.boe.es/gazeta/dias/1823/05/03/pdfs/GES-1823-23.pdf#page=3","Abrir facsímil")</f>
        <v>Abrir facsímil</v>
      </c>
      <c r="K4514" s="3" t="s">
        <v>23</v>
      </c>
    </row>
    <row r="4515" spans="1:11" ht="42" customHeight="1">
      <c r="A4515" s="2" t="s">
        <v>9041</v>
      </c>
      <c r="B4515" s="2" t="s">
        <v>9042</v>
      </c>
      <c r="C4515" s="2" t="s">
        <v>109</v>
      </c>
      <c r="D4515" s="2" t="s">
        <v>74</v>
      </c>
      <c r="E4515" s="5">
        <v>-28056</v>
      </c>
      <c r="F4515" s="3" t="s">
        <v>572</v>
      </c>
      <c r="G4515" s="3" t="s">
        <v>59</v>
      </c>
      <c r="H4515" s="2" t="s">
        <v>21</v>
      </c>
      <c r="I4515" s="2" t="s">
        <v>9043</v>
      </c>
      <c r="J4515" s="3" t="str">
        <f>HYPERLINK("https://www.boe.es/gazeta/dias/1823/03/08/pdfs/GMD-1823-71.pdf#page=6","Abrir facsímil")</f>
        <v>Abrir facsímil</v>
      </c>
      <c r="K4515" s="3" t="s">
        <v>23</v>
      </c>
    </row>
    <row r="4516" spans="1:11" ht="42" customHeight="1">
      <c r="A4516" s="2" t="s">
        <v>9044</v>
      </c>
      <c r="B4516" s="2" t="s">
        <v>9045</v>
      </c>
      <c r="C4516" s="2" t="s">
        <v>56</v>
      </c>
      <c r="D4516" s="2" t="s">
        <v>57</v>
      </c>
      <c r="E4516" s="5">
        <v>-28043</v>
      </c>
      <c r="F4516" s="3" t="s">
        <v>69</v>
      </c>
      <c r="G4516" s="3" t="s">
        <v>59</v>
      </c>
      <c r="H4516" s="2" t="s">
        <v>21</v>
      </c>
      <c r="I4516" s="2" t="s">
        <v>9046</v>
      </c>
      <c r="J4516" s="3" t="str">
        <f>HYPERLINK("https://www.boe.es/gazeta/dias/1823/03/21/pdfs/GMD-1823-84.pdf#page=6","Abrir facsímil")</f>
        <v>Abrir facsímil</v>
      </c>
      <c r="K4516" s="3" t="s">
        <v>23</v>
      </c>
    </row>
    <row r="4517" spans="1:11" ht="42" customHeight="1">
      <c r="A4517" s="2" t="s">
        <v>9047</v>
      </c>
      <c r="B4517" s="2" t="s">
        <v>9048</v>
      </c>
      <c r="C4517" s="2" t="s">
        <v>79</v>
      </c>
      <c r="D4517" s="2" t="s">
        <v>74</v>
      </c>
      <c r="E4517" s="5">
        <v>-28061</v>
      </c>
      <c r="F4517" s="3" t="s">
        <v>704</v>
      </c>
      <c r="G4517" s="3" t="s">
        <v>59</v>
      </c>
      <c r="H4517" s="2" t="s">
        <v>21</v>
      </c>
      <c r="I4517" s="2" t="s">
        <v>9049</v>
      </c>
      <c r="J4517" s="3" t="str">
        <f>HYPERLINK("https://www.boe.es/gazeta/dias/1823/03/03/pdfs/GMD-1823-66.pdf#page=6","Abrir facsímil")</f>
        <v>Abrir facsímil</v>
      </c>
      <c r="K4517" s="3" t="s">
        <v>23</v>
      </c>
    </row>
    <row r="4518" spans="1:11" ht="42" customHeight="1">
      <c r="A4518" s="2" t="s">
        <v>9050</v>
      </c>
      <c r="B4518" s="2" t="s">
        <v>9051</v>
      </c>
      <c r="C4518" s="2" t="s">
        <v>17</v>
      </c>
      <c r="D4518" s="2" t="s">
        <v>18</v>
      </c>
      <c r="E4518" s="5">
        <v>-27951</v>
      </c>
      <c r="F4518" s="3" t="s">
        <v>4670</v>
      </c>
      <c r="G4518" s="3" t="s">
        <v>20</v>
      </c>
      <c r="H4518" s="2" t="s">
        <v>21</v>
      </c>
      <c r="I4518" s="2" t="s">
        <v>9052</v>
      </c>
      <c r="J4518" s="3" t="str">
        <f>HYPERLINK("https://www.boe.es/gazeta/dias/1823/06/21/pdfs/GMD-1823-223.pdf#page=4","Abrir facsímil")</f>
        <v>Abrir facsímil</v>
      </c>
      <c r="K4518" s="3" t="s">
        <v>23</v>
      </c>
    </row>
    <row r="4519" spans="1:11" ht="42" customHeight="1">
      <c r="A4519" s="2" t="s">
        <v>9053</v>
      </c>
      <c r="B4519" s="2" t="s">
        <v>9054</v>
      </c>
      <c r="C4519" s="2" t="s">
        <v>17</v>
      </c>
      <c r="D4519" s="2" t="s">
        <v>18</v>
      </c>
      <c r="E4519" s="5">
        <v>-27993</v>
      </c>
      <c r="F4519" s="3" t="s">
        <v>977</v>
      </c>
      <c r="G4519" s="3" t="s">
        <v>978</v>
      </c>
      <c r="H4519" s="2" t="s">
        <v>21</v>
      </c>
      <c r="I4519" s="2" t="s">
        <v>9055</v>
      </c>
      <c r="J4519" s="3" t="str">
        <f>HYPERLINK("https://www.boe.es/gazeta/dias/1823/05/10/pdfs/GES-1823-30.pdf#page=4","Abrir facsímil")</f>
        <v>Abrir facsímil</v>
      </c>
      <c r="K4519" s="3" t="s">
        <v>23</v>
      </c>
    </row>
    <row r="4520" spans="1:11" ht="42" customHeight="1">
      <c r="A4520" s="2" t="s">
        <v>9056</v>
      </c>
      <c r="B4520" s="2" t="s">
        <v>9057</v>
      </c>
      <c r="C4520" s="2" t="s">
        <v>17</v>
      </c>
      <c r="D4520" s="2" t="s">
        <v>18</v>
      </c>
      <c r="E4520" s="5">
        <v>-27764</v>
      </c>
      <c r="F4520" s="3" t="s">
        <v>3370</v>
      </c>
      <c r="G4520" s="3" t="s">
        <v>48</v>
      </c>
      <c r="H4520" s="2" t="s">
        <v>21</v>
      </c>
      <c r="I4520" s="2" t="s">
        <v>9058</v>
      </c>
      <c r="J4520" s="3" t="str">
        <f>HYPERLINK("https://www.boe.es/gazeta/dias/1823/12/25/pdfs/GMD-1823-1293.pdf#page=3","Abrir facsímil")</f>
        <v>Abrir facsímil</v>
      </c>
      <c r="K4520" s="3" t="s">
        <v>23</v>
      </c>
    </row>
    <row r="4521" spans="1:11" ht="42" customHeight="1">
      <c r="A4521" s="2" t="s">
        <v>9059</v>
      </c>
      <c r="B4521" s="2" t="s">
        <v>9060</v>
      </c>
      <c r="C4521" s="2" t="s">
        <v>79</v>
      </c>
      <c r="D4521" s="2" t="s">
        <v>74</v>
      </c>
      <c r="E4521" s="5">
        <v>-27925</v>
      </c>
      <c r="F4521" s="3" t="s">
        <v>89</v>
      </c>
      <c r="G4521" s="3" t="s">
        <v>27</v>
      </c>
      <c r="H4521" s="2" t="s">
        <v>21</v>
      </c>
      <c r="I4521" s="2" t="s">
        <v>9061</v>
      </c>
      <c r="J4521" s="3" t="str">
        <f>HYPERLINK("https://www.boe.es/gazeta/dias/1823/07/17/pdfs/GES-1823-97.pdf#page=2","Abrir facsímil")</f>
        <v>Abrir facsímil</v>
      </c>
      <c r="K4521" s="3" t="s">
        <v>23</v>
      </c>
    </row>
    <row r="4522" spans="1:11" ht="42" customHeight="1">
      <c r="A4522" s="2" t="s">
        <v>9062</v>
      </c>
      <c r="B4522" s="2" t="s">
        <v>9062</v>
      </c>
      <c r="C4522" s="2" t="s">
        <v>17</v>
      </c>
      <c r="D4522" s="2" t="s">
        <v>18</v>
      </c>
      <c r="E4522" s="5">
        <v>-27878</v>
      </c>
      <c r="F4522" s="3" t="s">
        <v>130</v>
      </c>
      <c r="G4522" s="3" t="s">
        <v>48</v>
      </c>
      <c r="H4522" s="2" t="s">
        <v>21</v>
      </c>
      <c r="I4522" s="2" t="s">
        <v>9063</v>
      </c>
      <c r="J4522" s="3" t="str">
        <f>HYPERLINK("https://www.boe.es/gazeta/dias/1823/09/02/pdfs/GES-1823-146.pdf#page=3","Abrir facsímil")</f>
        <v>Abrir facsímil</v>
      </c>
      <c r="K4522" s="3" t="s">
        <v>23</v>
      </c>
    </row>
    <row r="4523" spans="1:11" ht="42" customHeight="1">
      <c r="A4523" s="2" t="s">
        <v>9064</v>
      </c>
      <c r="B4523" s="2" t="s">
        <v>9064</v>
      </c>
      <c r="C4523" s="2" t="s">
        <v>17</v>
      </c>
      <c r="D4523" s="2" t="s">
        <v>18</v>
      </c>
      <c r="E4523" s="5">
        <v>-27855</v>
      </c>
      <c r="F4523" s="3" t="s">
        <v>380</v>
      </c>
      <c r="G4523" s="3" t="s">
        <v>39</v>
      </c>
      <c r="H4523" s="2" t="s">
        <v>21</v>
      </c>
      <c r="I4523" s="2" t="s">
        <v>9065</v>
      </c>
      <c r="J4523" s="3" t="str">
        <f>HYPERLINK("https://www.boe.es/gazeta/dias/1823/09/25/pdfs/GMD-1823-853.pdf#page=1","Abrir facsímil")</f>
        <v>Abrir facsímil</v>
      </c>
      <c r="K4523" s="3" t="s">
        <v>23</v>
      </c>
    </row>
    <row r="4524" spans="1:11" ht="42" customHeight="1">
      <c r="A4524" s="2" t="s">
        <v>9066</v>
      </c>
      <c r="B4524" s="2" t="s">
        <v>9067</v>
      </c>
      <c r="C4524" s="2" t="s">
        <v>84</v>
      </c>
      <c r="D4524" s="2" t="s">
        <v>74</v>
      </c>
      <c r="E4524" s="5">
        <v>-28064</v>
      </c>
      <c r="F4524" s="3" t="s">
        <v>1190</v>
      </c>
      <c r="G4524" s="3" t="s">
        <v>20</v>
      </c>
      <c r="H4524" s="2" t="s">
        <v>21</v>
      </c>
      <c r="I4524" s="2" t="s">
        <v>9068</v>
      </c>
      <c r="J4524" s="3" t="str">
        <f>HYPERLINK("https://www.boe.es/gazeta/dias/1823/02/28/pdfs/GMD-1823-62.pdf#page=4","Abrir facsímil")</f>
        <v>Abrir facsímil</v>
      </c>
      <c r="K4524" s="3" t="s">
        <v>23</v>
      </c>
    </row>
    <row r="4525" spans="1:11" ht="42" customHeight="1">
      <c r="A4525" s="2" t="s">
        <v>9066</v>
      </c>
      <c r="B4525" s="2" t="s">
        <v>9067</v>
      </c>
      <c r="C4525" s="2" t="s">
        <v>79</v>
      </c>
      <c r="D4525" s="2" t="s">
        <v>74</v>
      </c>
      <c r="E4525" s="5">
        <v>-28037</v>
      </c>
      <c r="F4525" s="3" t="s">
        <v>192</v>
      </c>
      <c r="G4525" s="3" t="s">
        <v>48</v>
      </c>
      <c r="H4525" s="2" t="s">
        <v>21</v>
      </c>
      <c r="I4525" s="2" t="s">
        <v>9069</v>
      </c>
      <c r="J4525" s="3" t="str">
        <f>HYPERLINK("https://www.boe.es/gazeta/dias/1823/03/27/pdfs/GMD-1823-90.pdf#page=3","Abrir facsímil")</f>
        <v>Abrir facsímil</v>
      </c>
      <c r="K4525" s="3" t="s">
        <v>23</v>
      </c>
    </row>
    <row r="4526" spans="1:11" ht="42" customHeight="1">
      <c r="A4526" s="2" t="s">
        <v>9066</v>
      </c>
      <c r="B4526" s="2" t="s">
        <v>9067</v>
      </c>
      <c r="C4526" s="2" t="s">
        <v>84</v>
      </c>
      <c r="D4526" s="2" t="s">
        <v>74</v>
      </c>
      <c r="E4526" s="5">
        <v>-28037</v>
      </c>
      <c r="F4526" s="3" t="s">
        <v>192</v>
      </c>
      <c r="G4526" s="3" t="s">
        <v>20</v>
      </c>
      <c r="H4526" s="2" t="s">
        <v>21</v>
      </c>
      <c r="I4526" s="2" t="s">
        <v>9070</v>
      </c>
      <c r="J4526" s="3" t="str">
        <f>HYPERLINK("https://www.boe.es/gazeta/dias/1823/03/27/pdfs/GMD-1823-90.pdf#page=4","Abrir facsímil")</f>
        <v>Abrir facsímil</v>
      </c>
      <c r="K4526" s="3" t="s">
        <v>23</v>
      </c>
    </row>
    <row r="4527" spans="1:11" ht="42" customHeight="1">
      <c r="A4527" s="2" t="s">
        <v>9071</v>
      </c>
      <c r="B4527" s="2" t="s">
        <v>9072</v>
      </c>
      <c r="C4527" s="2" t="s">
        <v>293</v>
      </c>
      <c r="D4527" s="2" t="s">
        <v>74</v>
      </c>
      <c r="E4527" s="5">
        <v>-28037</v>
      </c>
      <c r="F4527" s="3" t="s">
        <v>192</v>
      </c>
      <c r="G4527" s="3" t="s">
        <v>20</v>
      </c>
      <c r="H4527" s="2" t="s">
        <v>28</v>
      </c>
      <c r="I4527" s="2" t="s">
        <v>9073</v>
      </c>
      <c r="J4527" s="3" t="str">
        <f>HYPERLINK("https://www.boe.es/gazeta/dias/1823/03/27/pdfs/GMD-1823-90.pdf#page=4","Abrir facsímil")</f>
        <v>Abrir facsímil</v>
      </c>
      <c r="K4527" s="3" t="s">
        <v>30</v>
      </c>
    </row>
    <row r="4528" spans="1:11" ht="42" customHeight="1">
      <c r="A4528" s="2" t="s">
        <v>9074</v>
      </c>
      <c r="B4528" s="2" t="s">
        <v>9074</v>
      </c>
      <c r="C4528" s="2" t="s">
        <v>109</v>
      </c>
      <c r="D4528" s="2" t="s">
        <v>74</v>
      </c>
      <c r="E4528" s="5">
        <v>-27972</v>
      </c>
      <c r="F4528" s="3" t="s">
        <v>429</v>
      </c>
      <c r="G4528" s="3" t="s">
        <v>48</v>
      </c>
      <c r="H4528" s="2" t="s">
        <v>21</v>
      </c>
      <c r="I4528" s="2" t="s">
        <v>9075</v>
      </c>
      <c r="J4528" s="3" t="str">
        <f>HYPERLINK("https://www.boe.es/gazeta/dias/1823/05/31/pdfs/GES-1823-54.pdf#page=3","Abrir facsímil")</f>
        <v>Abrir facsímil</v>
      </c>
      <c r="K4528" s="3" t="s">
        <v>23</v>
      </c>
    </row>
    <row r="4529" spans="1:11" ht="42" customHeight="1">
      <c r="A4529" s="2" t="s">
        <v>9074</v>
      </c>
      <c r="B4529" s="2" t="s">
        <v>9074</v>
      </c>
      <c r="C4529" s="2" t="s">
        <v>84</v>
      </c>
      <c r="D4529" s="2" t="s">
        <v>74</v>
      </c>
      <c r="E4529" s="5">
        <v>-27951</v>
      </c>
      <c r="F4529" s="3" t="s">
        <v>548</v>
      </c>
      <c r="G4529" s="3" t="s">
        <v>27</v>
      </c>
      <c r="H4529" s="2" t="s">
        <v>21</v>
      </c>
      <c r="I4529" s="2" t="s">
        <v>9076</v>
      </c>
      <c r="J4529" s="3" t="str">
        <f>HYPERLINK("https://www.boe.es/gazeta/dias/1823/06/21/pdfs/GES-1823-69.pdf#page=2","Abrir facsímil")</f>
        <v>Abrir facsímil</v>
      </c>
      <c r="K4529" s="3" t="s">
        <v>23</v>
      </c>
    </row>
    <row r="4530" spans="1:11" ht="42" customHeight="1">
      <c r="A4530" s="2" t="s">
        <v>9077</v>
      </c>
      <c r="B4530" s="2" t="s">
        <v>9077</v>
      </c>
      <c r="C4530" s="2" t="s">
        <v>17</v>
      </c>
      <c r="D4530" s="2" t="s">
        <v>18</v>
      </c>
      <c r="E4530" s="5">
        <v>-27936</v>
      </c>
      <c r="F4530" s="3" t="s">
        <v>4620</v>
      </c>
      <c r="G4530" s="3" t="s">
        <v>39</v>
      </c>
      <c r="H4530" s="2" t="s">
        <v>21</v>
      </c>
      <c r="I4530" s="2" t="s">
        <v>9078</v>
      </c>
      <c r="J4530" s="3" t="str">
        <f>HYPERLINK("https://www.boe.es/gazeta/dias/1823/07/06/pdfs/GES-1823-86.pdf#page=1","Abrir facsímil")</f>
        <v>Abrir facsímil</v>
      </c>
      <c r="K4530" s="3" t="s">
        <v>23</v>
      </c>
    </row>
    <row r="4531" spans="1:11" ht="42" customHeight="1">
      <c r="A4531" s="2" t="s">
        <v>9079</v>
      </c>
      <c r="B4531" s="2" t="s">
        <v>9080</v>
      </c>
      <c r="C4531" s="2" t="s">
        <v>17</v>
      </c>
      <c r="D4531" s="2" t="s">
        <v>18</v>
      </c>
      <c r="E4531" s="5">
        <v>-27785</v>
      </c>
      <c r="F4531" s="3" t="s">
        <v>1397</v>
      </c>
      <c r="G4531" s="3" t="s">
        <v>48</v>
      </c>
      <c r="H4531" s="2" t="s">
        <v>21</v>
      </c>
      <c r="I4531" s="2" t="s">
        <v>9081</v>
      </c>
      <c r="J4531" s="3" t="str">
        <f>HYPERLINK("https://www.boe.es/gazeta/dias/1823/12/04/pdfs/GMD-1823-1203.pdf#page=3","Abrir facsímil")</f>
        <v>Abrir facsímil</v>
      </c>
      <c r="K4531" s="3" t="s">
        <v>23</v>
      </c>
    </row>
    <row r="4532" spans="1:11" ht="42" customHeight="1">
      <c r="A4532" s="2" t="s">
        <v>9082</v>
      </c>
      <c r="B4532" s="2" t="s">
        <v>9083</v>
      </c>
      <c r="C4532" s="2" t="s">
        <v>17</v>
      </c>
      <c r="D4532" s="2" t="s">
        <v>18</v>
      </c>
      <c r="E4532" s="5">
        <v>-27932</v>
      </c>
      <c r="F4532" s="3" t="s">
        <v>786</v>
      </c>
      <c r="G4532" s="3" t="s">
        <v>715</v>
      </c>
      <c r="H4532" s="2" t="s">
        <v>21</v>
      </c>
      <c r="I4532" s="2" t="s">
        <v>9084</v>
      </c>
      <c r="J4532" s="3" t="str">
        <f>HYPERLINK("https://www.boe.es/gazeta/dias/1823/07/10/pdfs/GMD-1823-363.pdf#page=8","Abrir facsímil")</f>
        <v>Abrir facsímil</v>
      </c>
      <c r="K4532" s="3" t="s">
        <v>23</v>
      </c>
    </row>
    <row r="4533" spans="1:11" ht="42" customHeight="1">
      <c r="A4533" s="2" t="s">
        <v>9082</v>
      </c>
      <c r="B4533" s="2" t="s">
        <v>9083</v>
      </c>
      <c r="C4533" s="2" t="s">
        <v>17</v>
      </c>
      <c r="D4533" s="2" t="s">
        <v>18</v>
      </c>
      <c r="E4533" s="5">
        <v>-27811</v>
      </c>
      <c r="F4533" s="3" t="s">
        <v>834</v>
      </c>
      <c r="G4533" s="3" t="s">
        <v>20</v>
      </c>
      <c r="H4533" s="2" t="s">
        <v>21</v>
      </c>
      <c r="I4533" s="2" t="s">
        <v>9085</v>
      </c>
      <c r="J4533" s="3" t="str">
        <f>HYPERLINK("https://www.boe.es/gazeta/dias/1823/11/08/pdfs/GMD-1823-1083.pdf#page=4","Abrir facsímil")</f>
        <v>Abrir facsímil</v>
      </c>
      <c r="K4533" s="3" t="s">
        <v>23</v>
      </c>
    </row>
    <row r="4534" spans="1:11" ht="42" customHeight="1">
      <c r="A4534" s="2" t="s">
        <v>9086</v>
      </c>
      <c r="B4534" s="2" t="s">
        <v>9087</v>
      </c>
      <c r="C4534" s="2" t="s">
        <v>56</v>
      </c>
      <c r="D4534" s="2" t="s">
        <v>57</v>
      </c>
      <c r="E4534" s="5">
        <v>-27876</v>
      </c>
      <c r="F4534" s="3" t="s">
        <v>8384</v>
      </c>
      <c r="G4534" s="3" t="s">
        <v>39</v>
      </c>
      <c r="H4534" s="2" t="s">
        <v>21</v>
      </c>
      <c r="I4534" s="2" t="s">
        <v>9088</v>
      </c>
      <c r="J4534" s="3" t="str">
        <f>HYPERLINK("https://www.boe.es/gazeta/dias/1823/09/04/pdfs/GMD-1823-693.pdf#page=1","Abrir facsímil")</f>
        <v>Abrir facsímil</v>
      </c>
      <c r="K4534" s="3" t="s">
        <v>23</v>
      </c>
    </row>
    <row r="4535" spans="1:11" ht="42" customHeight="1">
      <c r="A4535" s="2" t="s">
        <v>9089</v>
      </c>
      <c r="B4535" s="2" t="s">
        <v>9090</v>
      </c>
      <c r="C4535" s="2" t="s">
        <v>17</v>
      </c>
      <c r="D4535" s="2" t="s">
        <v>18</v>
      </c>
      <c r="E4535" s="5">
        <v>-28102</v>
      </c>
      <c r="F4535" s="3" t="s">
        <v>287</v>
      </c>
      <c r="G4535" s="3" t="s">
        <v>27</v>
      </c>
      <c r="H4535" s="2" t="s">
        <v>21</v>
      </c>
      <c r="I4535" s="2" t="s">
        <v>9091</v>
      </c>
      <c r="J4535" s="3" t="str">
        <f>HYPERLINK("https://www.boe.es/gazeta/dias/1823/01/21/pdfs/GMD-1823-22.pdf#page=2","Abrir facsímil")</f>
        <v>Abrir facsímil</v>
      </c>
      <c r="K4535" s="3" t="s">
        <v>23</v>
      </c>
    </row>
    <row r="4536" spans="1:11" ht="42" customHeight="1">
      <c r="A4536" s="2" t="s">
        <v>9092</v>
      </c>
      <c r="B4536" s="2" t="s">
        <v>9093</v>
      </c>
      <c r="C4536" s="2" t="s">
        <v>17</v>
      </c>
      <c r="D4536" s="2" t="s">
        <v>18</v>
      </c>
      <c r="E4536" s="5">
        <v>-28112</v>
      </c>
      <c r="F4536" s="3" t="s">
        <v>43</v>
      </c>
      <c r="G4536" s="3" t="s">
        <v>48</v>
      </c>
      <c r="H4536" s="2" t="s">
        <v>21</v>
      </c>
      <c r="I4536" s="2" t="s">
        <v>9094</v>
      </c>
      <c r="J4536" s="3" t="str">
        <f>HYPERLINK("https://www.boe.es/gazeta/dias/1823/01/11/pdfs/GMD-1823-11.pdf#page=3","Abrir facsímil")</f>
        <v>Abrir facsímil</v>
      </c>
      <c r="K4536" s="3" t="s">
        <v>23</v>
      </c>
    </row>
    <row r="4537" spans="1:11" ht="42" customHeight="1">
      <c r="A4537" s="2" t="s">
        <v>9095</v>
      </c>
      <c r="B4537" s="2" t="s">
        <v>9095</v>
      </c>
      <c r="C4537" s="2" t="s">
        <v>56</v>
      </c>
      <c r="D4537" s="2" t="s">
        <v>57</v>
      </c>
      <c r="E4537" s="5">
        <v>-27964</v>
      </c>
      <c r="F4537" s="3" t="s">
        <v>58</v>
      </c>
      <c r="G4537" s="3" t="s">
        <v>39</v>
      </c>
      <c r="H4537" s="2" t="s">
        <v>21</v>
      </c>
      <c r="I4537" s="2" t="s">
        <v>9096</v>
      </c>
      <c r="J4537" s="3" t="str">
        <f>HYPERLINK("https://www.boe.es/gazeta/dias/1823/06/08/pdfs/GES-1823-62.pdf#page=1","Abrir facsímil")</f>
        <v>Abrir facsímil</v>
      </c>
      <c r="K4537" s="3" t="s">
        <v>23</v>
      </c>
    </row>
    <row r="4538" spans="1:11" ht="42" customHeight="1">
      <c r="A4538" s="2" t="s">
        <v>9097</v>
      </c>
      <c r="B4538" s="2" t="s">
        <v>9098</v>
      </c>
      <c r="C4538" s="2" t="s">
        <v>17</v>
      </c>
      <c r="D4538" s="2" t="s">
        <v>18</v>
      </c>
      <c r="E4538" s="5">
        <v>-27930</v>
      </c>
      <c r="F4538" s="3" t="s">
        <v>2334</v>
      </c>
      <c r="G4538" s="3" t="s">
        <v>48</v>
      </c>
      <c r="H4538" s="2" t="s">
        <v>21</v>
      </c>
      <c r="I4538" s="2" t="s">
        <v>9099</v>
      </c>
      <c r="J4538" s="3" t="str">
        <f>HYPERLINK("https://www.boe.es/gazeta/dias/1823/07/12/pdfs/GES-1823-92.pdf#page=3","Abrir facsímil")</f>
        <v>Abrir facsímil</v>
      </c>
      <c r="K4538" s="3" t="s">
        <v>23</v>
      </c>
    </row>
    <row r="4539" spans="1:11" ht="42" customHeight="1">
      <c r="A4539" s="2" t="s">
        <v>9100</v>
      </c>
      <c r="B4539" s="2" t="s">
        <v>9101</v>
      </c>
      <c r="C4539" s="2" t="s">
        <v>79</v>
      </c>
      <c r="D4539" s="2" t="s">
        <v>74</v>
      </c>
      <c r="E4539" s="5">
        <v>-27968</v>
      </c>
      <c r="F4539" s="3" t="s">
        <v>1160</v>
      </c>
      <c r="G4539" s="3" t="s">
        <v>715</v>
      </c>
      <c r="H4539" s="2" t="s">
        <v>21</v>
      </c>
      <c r="I4539" s="2" t="s">
        <v>9102</v>
      </c>
      <c r="J4539" s="3" t="str">
        <f>HYPERLINK("https://www.boe.es/gazeta/dias/1823/06/04/pdfs/GES-1823-58.pdf#page=8","Abrir facsímil")</f>
        <v>Abrir facsímil</v>
      </c>
      <c r="K4539" s="3" t="s">
        <v>23</v>
      </c>
    </row>
    <row r="4540" spans="1:11" ht="42" customHeight="1">
      <c r="A4540" s="2" t="s">
        <v>9103</v>
      </c>
      <c r="B4540" s="2" t="s">
        <v>9104</v>
      </c>
      <c r="C4540" s="2" t="s">
        <v>79</v>
      </c>
      <c r="D4540" s="2" t="s">
        <v>74</v>
      </c>
      <c r="E4540" s="5">
        <v>-27889</v>
      </c>
      <c r="F4540" s="3" t="s">
        <v>1306</v>
      </c>
      <c r="G4540" s="3" t="s">
        <v>20</v>
      </c>
      <c r="H4540" s="2" t="s">
        <v>21</v>
      </c>
      <c r="I4540" s="2" t="s">
        <v>9105</v>
      </c>
      <c r="J4540" s="3" t="str">
        <f>HYPERLINK("https://www.boe.es/gazeta/dias/1823/08/22/pdfs/GES-1823-135.pdf#page=4","Abrir facsímil")</f>
        <v>Abrir facsímil</v>
      </c>
      <c r="K4540" s="3" t="s">
        <v>23</v>
      </c>
    </row>
    <row r="4541" spans="1:11" ht="42" customHeight="1">
      <c r="A4541" s="2" t="s">
        <v>9106</v>
      </c>
      <c r="B4541" s="2" t="s">
        <v>9106</v>
      </c>
      <c r="C4541" s="2" t="s">
        <v>84</v>
      </c>
      <c r="D4541" s="2" t="s">
        <v>74</v>
      </c>
      <c r="E4541" s="5">
        <v>-28081</v>
      </c>
      <c r="F4541" s="3" t="s">
        <v>170</v>
      </c>
      <c r="G4541" s="3" t="s">
        <v>20</v>
      </c>
      <c r="H4541" s="2" t="s">
        <v>21</v>
      </c>
      <c r="I4541" s="2" t="s">
        <v>9107</v>
      </c>
      <c r="J4541" s="3" t="str">
        <f>HYPERLINK("https://www.boe.es/gazeta/dias/1823/02/11/pdfs/GMD-1823-45.pdf#page=4","Abrir facsímil")</f>
        <v>Abrir facsímil</v>
      </c>
      <c r="K4541" s="3" t="s">
        <v>23</v>
      </c>
    </row>
    <row r="4542" spans="1:11" ht="42" customHeight="1">
      <c r="A4542" s="2" t="s">
        <v>9108</v>
      </c>
      <c r="B4542" s="2" t="s">
        <v>9109</v>
      </c>
      <c r="C4542" s="2" t="s">
        <v>17</v>
      </c>
      <c r="D4542" s="2" t="s">
        <v>18</v>
      </c>
      <c r="E4542" s="5">
        <v>-27863</v>
      </c>
      <c r="F4542" s="3" t="s">
        <v>651</v>
      </c>
      <c r="G4542" s="3" t="s">
        <v>27</v>
      </c>
      <c r="H4542" s="2" t="s">
        <v>21</v>
      </c>
      <c r="I4542" s="2" t="s">
        <v>9110</v>
      </c>
      <c r="J4542" s="3" t="str">
        <f>HYPERLINK("https://www.boe.es/gazeta/dias/1823/09/17/pdfs/GES-1823-161.pdf#page=2","Abrir facsímil")</f>
        <v>Abrir facsímil</v>
      </c>
      <c r="K4542" s="3" t="s">
        <v>23</v>
      </c>
    </row>
    <row r="4543" spans="1:11" ht="42" customHeight="1">
      <c r="A4543" s="2" t="s">
        <v>9111</v>
      </c>
      <c r="B4543" s="2" t="s">
        <v>9112</v>
      </c>
      <c r="C4543" s="2" t="s">
        <v>79</v>
      </c>
      <c r="D4543" s="2" t="s">
        <v>74</v>
      </c>
      <c r="E4543" s="5">
        <v>-27968</v>
      </c>
      <c r="F4543" s="3" t="s">
        <v>1160</v>
      </c>
      <c r="G4543" s="3" t="s">
        <v>715</v>
      </c>
      <c r="H4543" s="2" t="s">
        <v>21</v>
      </c>
      <c r="I4543" s="2" t="s">
        <v>9113</v>
      </c>
      <c r="J4543" s="3" t="str">
        <f>HYPERLINK("https://www.boe.es/gazeta/dias/1823/06/04/pdfs/GES-1823-58.pdf#page=8","Abrir facsímil")</f>
        <v>Abrir facsímil</v>
      </c>
      <c r="K4543" s="3" t="s">
        <v>23</v>
      </c>
    </row>
    <row r="4544" spans="1:11" ht="42" customHeight="1">
      <c r="A4544" s="2" t="s">
        <v>9114</v>
      </c>
      <c r="B4544" s="2" t="s">
        <v>9115</v>
      </c>
      <c r="C4544" s="2" t="s">
        <v>17</v>
      </c>
      <c r="D4544" s="2" t="s">
        <v>18</v>
      </c>
      <c r="E4544" s="5">
        <v>-28053</v>
      </c>
      <c r="F4544" s="3" t="s">
        <v>303</v>
      </c>
      <c r="G4544" s="3" t="s">
        <v>20</v>
      </c>
      <c r="H4544" s="2" t="s">
        <v>21</v>
      </c>
      <c r="I4544" s="2" t="s">
        <v>9116</v>
      </c>
      <c r="J4544" s="3" t="str">
        <f>HYPERLINK("https://www.boe.es/gazeta/dias/1823/03/11/pdfs/GMD-1823-74.pdf#page=4","Abrir facsímil")</f>
        <v>Abrir facsímil</v>
      </c>
      <c r="K4544" s="3" t="s">
        <v>23</v>
      </c>
    </row>
    <row r="4545" spans="1:11" ht="42" customHeight="1">
      <c r="A4545" s="2" t="s">
        <v>9114</v>
      </c>
      <c r="B4545" s="2" t="s">
        <v>9115</v>
      </c>
      <c r="C4545" s="2" t="s">
        <v>73</v>
      </c>
      <c r="D4545" s="2" t="s">
        <v>74</v>
      </c>
      <c r="E4545" s="5">
        <v>-27985</v>
      </c>
      <c r="F4545" s="3" t="s">
        <v>951</v>
      </c>
      <c r="G4545" s="3" t="s">
        <v>27</v>
      </c>
      <c r="H4545" s="2" t="s">
        <v>21</v>
      </c>
      <c r="I4545" s="2" t="s">
        <v>9117</v>
      </c>
      <c r="J4545" s="3" t="str">
        <f>HYPERLINK("https://www.boe.es/gazeta/dias/1823/05/18/pdfs/GES-1823-38.pdf#page=2","Abrir facsímil")</f>
        <v>Abrir facsímil</v>
      </c>
      <c r="K4545" s="3" t="s">
        <v>23</v>
      </c>
    </row>
    <row r="4546" spans="1:11" ht="42" customHeight="1">
      <c r="A4546" s="2" t="s">
        <v>9114</v>
      </c>
      <c r="B4546" s="2" t="s">
        <v>9115</v>
      </c>
      <c r="C4546" s="2" t="s">
        <v>17</v>
      </c>
      <c r="D4546" s="2" t="s">
        <v>18</v>
      </c>
      <c r="E4546" s="5">
        <v>-27879</v>
      </c>
      <c r="F4546" s="3" t="s">
        <v>638</v>
      </c>
      <c r="G4546" s="3" t="s">
        <v>39</v>
      </c>
      <c r="H4546" s="2" t="s">
        <v>21</v>
      </c>
      <c r="I4546" s="2" t="s">
        <v>9118</v>
      </c>
      <c r="J4546" s="3" t="str">
        <f>HYPERLINK("https://www.boe.es/gazeta/dias/1823/09/01/pdfs/GES-1823-145.pdf#page=1","Abrir facsímil")</f>
        <v>Abrir facsímil</v>
      </c>
      <c r="K4546" s="3" t="s">
        <v>23</v>
      </c>
    </row>
    <row r="4547" spans="1:11" ht="42" customHeight="1">
      <c r="A4547" s="2" t="s">
        <v>9114</v>
      </c>
      <c r="B4547" s="2" t="s">
        <v>9115</v>
      </c>
      <c r="C4547" s="2" t="s">
        <v>17</v>
      </c>
      <c r="D4547" s="2" t="s">
        <v>18</v>
      </c>
      <c r="E4547" s="5">
        <v>-27879</v>
      </c>
      <c r="F4547" s="3" t="s">
        <v>638</v>
      </c>
      <c r="G4547" s="3" t="s">
        <v>27</v>
      </c>
      <c r="H4547" s="2" t="s">
        <v>21</v>
      </c>
      <c r="I4547" s="2" t="s">
        <v>9119</v>
      </c>
      <c r="J4547" s="3" t="str">
        <f>HYPERLINK("https://www.boe.es/gazeta/dias/1823/09/01/pdfs/GES-1823-145.pdf#page=2","Abrir facsímil")</f>
        <v>Abrir facsímil</v>
      </c>
      <c r="K4547" s="3" t="s">
        <v>23</v>
      </c>
    </row>
    <row r="4548" spans="1:11" ht="42" customHeight="1">
      <c r="A4548" s="2" t="s">
        <v>9120</v>
      </c>
      <c r="B4548" s="2" t="s">
        <v>9121</v>
      </c>
      <c r="C4548" s="2" t="s">
        <v>17</v>
      </c>
      <c r="D4548" s="2" t="s">
        <v>18</v>
      </c>
      <c r="E4548" s="5">
        <v>-28063</v>
      </c>
      <c r="F4548" s="3" t="s">
        <v>2493</v>
      </c>
      <c r="G4548" s="3" t="s">
        <v>20</v>
      </c>
      <c r="H4548" s="2" t="s">
        <v>21</v>
      </c>
      <c r="I4548" s="2" t="s">
        <v>9122</v>
      </c>
      <c r="J4548" s="3" t="str">
        <f>HYPERLINK("https://www.boe.es/gazeta/dias/1823/03/01/pdfs/GMD-1823-63.pdf#page=4","Abrir facsímil")</f>
        <v>Abrir facsímil</v>
      </c>
      <c r="K4548" s="3" t="s">
        <v>23</v>
      </c>
    </row>
    <row r="4549" spans="1:11" ht="42" customHeight="1">
      <c r="A4549" s="2" t="s">
        <v>9123</v>
      </c>
      <c r="B4549" s="2" t="s">
        <v>9124</v>
      </c>
      <c r="C4549" s="2" t="s">
        <v>17</v>
      </c>
      <c r="D4549" s="2" t="s">
        <v>18</v>
      </c>
      <c r="E4549" s="5">
        <v>-27884</v>
      </c>
      <c r="F4549" s="3" t="s">
        <v>61</v>
      </c>
      <c r="G4549" s="3" t="s">
        <v>48</v>
      </c>
      <c r="H4549" s="2" t="s">
        <v>21</v>
      </c>
      <c r="I4549" s="2" t="s">
        <v>9125</v>
      </c>
      <c r="J4549" s="3" t="str">
        <f>HYPERLINK("https://www.boe.es/gazeta/dias/1823/08/27/pdfs/GES-1823-140.pdf#page=3","Abrir facsímil")</f>
        <v>Abrir facsímil</v>
      </c>
      <c r="K4549" s="3" t="s">
        <v>23</v>
      </c>
    </row>
    <row r="4550" spans="1:11" ht="42" customHeight="1">
      <c r="A4550" s="2" t="s">
        <v>9126</v>
      </c>
      <c r="B4550" s="2" t="s">
        <v>9127</v>
      </c>
      <c r="C4550" s="2" t="s">
        <v>17</v>
      </c>
      <c r="D4550" s="2" t="s">
        <v>18</v>
      </c>
      <c r="E4550" s="5">
        <v>-27764</v>
      </c>
      <c r="F4550" s="3" t="s">
        <v>3370</v>
      </c>
      <c r="G4550" s="3" t="s">
        <v>48</v>
      </c>
      <c r="H4550" s="2" t="s">
        <v>21</v>
      </c>
      <c r="I4550" s="2" t="s">
        <v>9128</v>
      </c>
      <c r="J4550" s="3" t="str">
        <f>HYPERLINK("https://www.boe.es/gazeta/dias/1823/12/25/pdfs/GMD-1823-1293.pdf#page=3","Abrir facsímil")</f>
        <v>Abrir facsímil</v>
      </c>
      <c r="K4550" s="3" t="s">
        <v>23</v>
      </c>
    </row>
    <row r="4551" spans="1:11" ht="42" customHeight="1">
      <c r="A4551" s="2" t="s">
        <v>9129</v>
      </c>
      <c r="B4551" s="2" t="s">
        <v>9130</v>
      </c>
      <c r="C4551" s="2" t="s">
        <v>325</v>
      </c>
      <c r="D4551" s="2" t="s">
        <v>74</v>
      </c>
      <c r="E4551" s="5">
        <v>-27983</v>
      </c>
      <c r="F4551" s="3" t="s">
        <v>337</v>
      </c>
      <c r="G4551" s="3" t="s">
        <v>27</v>
      </c>
      <c r="H4551" s="2" t="s">
        <v>21</v>
      </c>
      <c r="I4551" s="2" t="s">
        <v>9131</v>
      </c>
      <c r="J4551" s="3" t="str">
        <f>HYPERLINK("https://www.boe.es/gazeta/dias/1823/05/20/pdfs/GES-1823-40.pdf#page=2","Abrir facsímil")</f>
        <v>Abrir facsímil</v>
      </c>
      <c r="K4551" s="3" t="s">
        <v>23</v>
      </c>
    </row>
    <row r="4552" spans="1:11" ht="42" customHeight="1">
      <c r="A4552" s="2" t="s">
        <v>9132</v>
      </c>
      <c r="B4552" s="2" t="s">
        <v>9133</v>
      </c>
      <c r="C4552" s="2" t="s">
        <v>17</v>
      </c>
      <c r="D4552" s="2" t="s">
        <v>18</v>
      </c>
      <c r="E4552" s="5">
        <v>-28037</v>
      </c>
      <c r="F4552" s="3" t="s">
        <v>192</v>
      </c>
      <c r="G4552" s="3" t="s">
        <v>48</v>
      </c>
      <c r="H4552" s="2" t="s">
        <v>21</v>
      </c>
      <c r="I4552" s="2" t="s">
        <v>9134</v>
      </c>
      <c r="J4552" s="3" t="str">
        <f>HYPERLINK("https://www.boe.es/gazeta/dias/1823/03/27/pdfs/GMD-1823-90.pdf#page=3","Abrir facsímil")</f>
        <v>Abrir facsímil</v>
      </c>
      <c r="K4552" s="3" t="s">
        <v>23</v>
      </c>
    </row>
    <row r="4553" spans="1:11" ht="42" customHeight="1">
      <c r="A4553" s="2" t="s">
        <v>9132</v>
      </c>
      <c r="B4553" s="2" t="s">
        <v>9133</v>
      </c>
      <c r="C4553" s="2" t="s">
        <v>17</v>
      </c>
      <c r="D4553" s="2" t="s">
        <v>18</v>
      </c>
      <c r="E4553" s="5">
        <v>-28001</v>
      </c>
      <c r="F4553" s="3" t="s">
        <v>768</v>
      </c>
      <c r="G4553" s="3" t="s">
        <v>2756</v>
      </c>
      <c r="H4553" s="2" t="s">
        <v>21</v>
      </c>
      <c r="I4553" s="2" t="s">
        <v>9135</v>
      </c>
      <c r="J4553" s="3" t="str">
        <f>HYPERLINK("https://www.boe.es/gazeta/dias/1823/05/02/pdfs/GES-1823-22.pdf#page=6","Abrir facsímil")</f>
        <v>Abrir facsímil</v>
      </c>
      <c r="K4553" s="3" t="s">
        <v>23</v>
      </c>
    </row>
    <row r="4554" spans="1:11" ht="42" customHeight="1">
      <c r="A4554" s="2" t="s">
        <v>9136</v>
      </c>
      <c r="B4554" s="2" t="s">
        <v>9137</v>
      </c>
      <c r="C4554" s="2" t="s">
        <v>79</v>
      </c>
      <c r="D4554" s="2" t="s">
        <v>74</v>
      </c>
      <c r="E4554" s="5">
        <v>-28052</v>
      </c>
      <c r="F4554" s="3" t="s">
        <v>1025</v>
      </c>
      <c r="G4554" s="3" t="s">
        <v>59</v>
      </c>
      <c r="H4554" s="2" t="s">
        <v>21</v>
      </c>
      <c r="I4554" s="2" t="s">
        <v>9138</v>
      </c>
      <c r="J4554" s="3" t="str">
        <f>HYPERLINK("https://www.boe.es/gazeta/dias/1823/03/12/pdfs/GMD-1823-75.pdf#page=6","Abrir facsímil")</f>
        <v>Abrir facsímil</v>
      </c>
      <c r="K4554" s="3" t="s">
        <v>23</v>
      </c>
    </row>
    <row r="4555" spans="1:11" ht="42" customHeight="1">
      <c r="A4555" s="2" t="s">
        <v>9139</v>
      </c>
      <c r="B4555" s="2" t="s">
        <v>9140</v>
      </c>
      <c r="C4555" s="2" t="s">
        <v>17</v>
      </c>
      <c r="D4555" s="2" t="s">
        <v>18</v>
      </c>
      <c r="E4555" s="5">
        <v>-28033</v>
      </c>
      <c r="F4555" s="3" t="s">
        <v>1372</v>
      </c>
      <c r="G4555" s="3" t="s">
        <v>20</v>
      </c>
      <c r="H4555" s="2" t="s">
        <v>21</v>
      </c>
      <c r="I4555" s="2" t="s">
        <v>9141</v>
      </c>
      <c r="J4555" s="3" t="str">
        <f>HYPERLINK("https://www.boe.es/gazeta/dias/1823/03/31/pdfs/GMD-1823-94.pdf#page=4","Abrir facsímil")</f>
        <v>Abrir facsímil</v>
      </c>
      <c r="K4555" s="3" t="s">
        <v>23</v>
      </c>
    </row>
    <row r="4556" spans="1:11" ht="42" customHeight="1">
      <c r="A4556" s="2" t="s">
        <v>9139</v>
      </c>
      <c r="B4556" s="2" t="s">
        <v>9140</v>
      </c>
      <c r="C4556" s="2" t="s">
        <v>79</v>
      </c>
      <c r="D4556" s="2" t="s">
        <v>74</v>
      </c>
      <c r="E4556" s="5">
        <v>-27992</v>
      </c>
      <c r="F4556" s="3" t="s">
        <v>565</v>
      </c>
      <c r="G4556" s="3" t="s">
        <v>20</v>
      </c>
      <c r="H4556" s="2" t="s">
        <v>21</v>
      </c>
      <c r="I4556" s="2" t="s">
        <v>9142</v>
      </c>
      <c r="J4556" s="3" t="str">
        <f>HYPERLINK("https://www.boe.es/gazeta/dias/1823/05/11/pdfs/GES-1823-31.pdf#page=4","Abrir facsímil")</f>
        <v>Abrir facsímil</v>
      </c>
      <c r="K4556" s="3" t="s">
        <v>23</v>
      </c>
    </row>
    <row r="4557" spans="1:11" ht="42" customHeight="1">
      <c r="A4557" s="2" t="s">
        <v>9139</v>
      </c>
      <c r="B4557" s="2" t="s">
        <v>9140</v>
      </c>
      <c r="C4557" s="2" t="s">
        <v>17</v>
      </c>
      <c r="D4557" s="2" t="s">
        <v>18</v>
      </c>
      <c r="E4557" s="5">
        <v>-27897</v>
      </c>
      <c r="F4557" s="3" t="s">
        <v>1569</v>
      </c>
      <c r="G4557" s="3" t="s">
        <v>20</v>
      </c>
      <c r="H4557" s="2" t="s">
        <v>21</v>
      </c>
      <c r="I4557" s="2" t="s">
        <v>9143</v>
      </c>
      <c r="J4557" s="3" t="str">
        <f>HYPERLINK("https://www.boe.es/gazeta/dias/1823/08/14/pdfs/GMD-1823-593.pdf#page=4","Abrir facsímil")</f>
        <v>Abrir facsímil</v>
      </c>
      <c r="K4557" s="3" t="s">
        <v>23</v>
      </c>
    </row>
    <row r="4558" spans="1:11" ht="42" customHeight="1">
      <c r="A4558" s="2" t="s">
        <v>9144</v>
      </c>
      <c r="B4558" s="2" t="s">
        <v>9145</v>
      </c>
      <c r="C4558" s="2" t="s">
        <v>84</v>
      </c>
      <c r="D4558" s="2" t="s">
        <v>117</v>
      </c>
      <c r="E4558" s="5">
        <v>-27949</v>
      </c>
      <c r="F4558" s="3" t="s">
        <v>1545</v>
      </c>
      <c r="G4558" s="3" t="s">
        <v>39</v>
      </c>
      <c r="H4558" s="2" t="s">
        <v>21</v>
      </c>
      <c r="I4558" s="2" t="s">
        <v>9146</v>
      </c>
      <c r="J4558" s="3" t="str">
        <f>HYPERLINK("https://www.boe.es/gazeta/dias/1823/06/23/pdfs/GMD-1823-253E.pdf#page=1","Abrir facsímil")</f>
        <v>Abrir facsímil</v>
      </c>
      <c r="K4558" s="3" t="s">
        <v>23</v>
      </c>
    </row>
    <row r="4559" spans="1:11" ht="42" customHeight="1">
      <c r="A4559" s="2" t="s">
        <v>9147</v>
      </c>
      <c r="B4559" s="2" t="s">
        <v>9148</v>
      </c>
      <c r="C4559" s="2" t="s">
        <v>56</v>
      </c>
      <c r="D4559" s="2" t="s">
        <v>57</v>
      </c>
      <c r="E4559" s="5">
        <v>-27992</v>
      </c>
      <c r="F4559" s="3" t="s">
        <v>565</v>
      </c>
      <c r="G4559" s="3" t="s">
        <v>20</v>
      </c>
      <c r="H4559" s="2" t="s">
        <v>21</v>
      </c>
      <c r="I4559" s="2" t="s">
        <v>9149</v>
      </c>
      <c r="J4559" s="3" t="str">
        <f>HYPERLINK("https://www.boe.es/gazeta/dias/1823/05/11/pdfs/GES-1823-31.pdf#page=4","Abrir facsímil")</f>
        <v>Abrir facsímil</v>
      </c>
      <c r="K4559" s="3" t="s">
        <v>23</v>
      </c>
    </row>
    <row r="4560" spans="1:11" ht="42" customHeight="1">
      <c r="A4560" s="2" t="s">
        <v>9147</v>
      </c>
      <c r="B4560" s="2" t="s">
        <v>9148</v>
      </c>
      <c r="C4560" s="2" t="s">
        <v>56</v>
      </c>
      <c r="D4560" s="2" t="s">
        <v>57</v>
      </c>
      <c r="E4560" s="5">
        <v>-27972</v>
      </c>
      <c r="F4560" s="3" t="s">
        <v>1515</v>
      </c>
      <c r="G4560" s="3" t="s">
        <v>39</v>
      </c>
      <c r="H4560" s="2" t="s">
        <v>21</v>
      </c>
      <c r="I4560" s="2" t="s">
        <v>9150</v>
      </c>
      <c r="J4560" s="3" t="str">
        <f>HYPERLINK("https://www.boe.es/gazeta/dias/1823/05/31/pdfs/GMD-1823-33.pdf#page=1","Abrir facsímil")</f>
        <v>Abrir facsímil</v>
      </c>
      <c r="K4560" s="3" t="s">
        <v>23</v>
      </c>
    </row>
    <row r="4561" spans="1:11" ht="42" customHeight="1">
      <c r="A4561" s="2" t="s">
        <v>9147</v>
      </c>
      <c r="B4561" s="2" t="s">
        <v>9148</v>
      </c>
      <c r="C4561" s="2" t="s">
        <v>79</v>
      </c>
      <c r="D4561" s="2" t="s">
        <v>74</v>
      </c>
      <c r="E4561" s="5">
        <v>-27927</v>
      </c>
      <c r="F4561" s="3" t="s">
        <v>1426</v>
      </c>
      <c r="G4561" s="3" t="s">
        <v>20</v>
      </c>
      <c r="H4561" s="2" t="s">
        <v>21</v>
      </c>
      <c r="I4561" s="2" t="s">
        <v>9151</v>
      </c>
      <c r="J4561" s="3" t="str">
        <f>HYPERLINK("https://www.boe.es/gazeta/dias/1823/07/15/pdfs/GES-1823-95.pdf#page=4","Abrir facsímil")</f>
        <v>Abrir facsímil</v>
      </c>
      <c r="K4561" s="3" t="s">
        <v>23</v>
      </c>
    </row>
    <row r="4562" spans="1:11" ht="42" customHeight="1">
      <c r="A4562" s="2" t="s">
        <v>9147</v>
      </c>
      <c r="B4562" s="2" t="s">
        <v>9148</v>
      </c>
      <c r="C4562" s="2" t="s">
        <v>109</v>
      </c>
      <c r="D4562" s="2" t="s">
        <v>74</v>
      </c>
      <c r="E4562" s="5">
        <v>-27902</v>
      </c>
      <c r="F4562" s="3" t="s">
        <v>259</v>
      </c>
      <c r="G4562" s="3" t="s">
        <v>39</v>
      </c>
      <c r="H4562" s="2" t="s">
        <v>21</v>
      </c>
      <c r="I4562" s="2" t="s">
        <v>9152</v>
      </c>
      <c r="J4562" s="3" t="str">
        <f>HYPERLINK("https://www.boe.es/gazeta/dias/1823/08/09/pdfs/GMD-1823-563.pdf#page=1","Abrir facsímil")</f>
        <v>Abrir facsímil</v>
      </c>
      <c r="K4562" s="3" t="s">
        <v>23</v>
      </c>
    </row>
    <row r="4563" spans="1:11" ht="42" customHeight="1">
      <c r="A4563" s="2" t="s">
        <v>9147</v>
      </c>
      <c r="B4563" s="2" t="s">
        <v>9148</v>
      </c>
      <c r="C4563" s="2" t="s">
        <v>79</v>
      </c>
      <c r="D4563" s="2" t="s">
        <v>74</v>
      </c>
      <c r="E4563" s="5">
        <v>-27888</v>
      </c>
      <c r="F4563" s="3" t="s">
        <v>232</v>
      </c>
      <c r="G4563" s="3" t="s">
        <v>27</v>
      </c>
      <c r="H4563" s="2" t="s">
        <v>21</v>
      </c>
      <c r="I4563" s="2" t="s">
        <v>9153</v>
      </c>
      <c r="J4563" s="3" t="str">
        <f>HYPERLINK("https://www.boe.es/gazeta/dias/1823/08/23/pdfs/GMD-1823-633.pdf#page=2","Abrir facsímil")</f>
        <v>Abrir facsímil</v>
      </c>
      <c r="K4563" s="3" t="s">
        <v>23</v>
      </c>
    </row>
    <row r="4564" spans="1:11" ht="42" customHeight="1">
      <c r="A4564" s="2" t="s">
        <v>9147</v>
      </c>
      <c r="B4564" s="2" t="s">
        <v>9148</v>
      </c>
      <c r="C4564" s="2" t="s">
        <v>56</v>
      </c>
      <c r="D4564" s="2" t="s">
        <v>57</v>
      </c>
      <c r="E4564" s="5">
        <v>-27785</v>
      </c>
      <c r="F4564" s="3" t="s">
        <v>1397</v>
      </c>
      <c r="G4564" s="3" t="s">
        <v>39</v>
      </c>
      <c r="H4564" s="2" t="s">
        <v>21</v>
      </c>
      <c r="I4564" s="2" t="s">
        <v>9154</v>
      </c>
      <c r="J4564" s="3" t="str">
        <f>HYPERLINK("https://www.boe.es/gazeta/dias/1823/12/04/pdfs/GMD-1823-1203.pdf#page=1","Abrir facsímil")</f>
        <v>Abrir facsímil</v>
      </c>
      <c r="K4564" s="3" t="s">
        <v>23</v>
      </c>
    </row>
    <row r="4565" spans="1:11" ht="42" customHeight="1">
      <c r="A4565" s="2" t="s">
        <v>9155</v>
      </c>
      <c r="B4565" s="2" t="s">
        <v>9156</v>
      </c>
      <c r="C4565" s="2" t="s">
        <v>56</v>
      </c>
      <c r="D4565" s="2" t="s">
        <v>57</v>
      </c>
      <c r="E4565" s="5">
        <v>-27794</v>
      </c>
      <c r="F4565" s="3" t="s">
        <v>747</v>
      </c>
      <c r="G4565" s="3" t="s">
        <v>39</v>
      </c>
      <c r="H4565" s="2" t="s">
        <v>21</v>
      </c>
      <c r="I4565" s="2" t="s">
        <v>9157</v>
      </c>
      <c r="J4565" s="3" t="str">
        <f>HYPERLINK("https://www.boe.es/gazeta/dias/1823/11/25/pdfs/GMD-1823-1163.pdf#page=1","Abrir facsímil")</f>
        <v>Abrir facsímil</v>
      </c>
      <c r="K4565" s="3" t="s">
        <v>23</v>
      </c>
    </row>
    <row r="4566" spans="1:11" ht="42" customHeight="1">
      <c r="A4566" s="2" t="s">
        <v>9158</v>
      </c>
      <c r="B4566" s="2" t="s">
        <v>9159</v>
      </c>
      <c r="C4566" s="2" t="s">
        <v>17</v>
      </c>
      <c r="D4566" s="2" t="s">
        <v>18</v>
      </c>
      <c r="E4566" s="5">
        <v>-27829</v>
      </c>
      <c r="F4566" s="3" t="s">
        <v>228</v>
      </c>
      <c r="G4566" s="3" t="s">
        <v>20</v>
      </c>
      <c r="H4566" s="2" t="s">
        <v>21</v>
      </c>
      <c r="I4566" s="2" t="s">
        <v>9160</v>
      </c>
      <c r="J4566" s="3" t="str">
        <f>HYPERLINK("https://www.boe.es/gazeta/dias/1823/10/21/pdfs/GMD-1823-1003.pdf#page=4","Abrir facsímil")</f>
        <v>Abrir facsímil</v>
      </c>
      <c r="K4566" s="3" t="s">
        <v>23</v>
      </c>
    </row>
    <row r="4567" spans="1:11" ht="42" customHeight="1">
      <c r="A4567" s="2" t="s">
        <v>9161</v>
      </c>
      <c r="B4567" s="2" t="s">
        <v>9162</v>
      </c>
      <c r="C4567" s="2" t="s">
        <v>79</v>
      </c>
      <c r="D4567" s="2" t="s">
        <v>74</v>
      </c>
      <c r="E4567" s="5">
        <v>-27934</v>
      </c>
      <c r="F4567" s="3" t="s">
        <v>634</v>
      </c>
      <c r="G4567" s="3" t="s">
        <v>27</v>
      </c>
      <c r="H4567" s="2" t="s">
        <v>21</v>
      </c>
      <c r="I4567" s="2" t="s">
        <v>9163</v>
      </c>
      <c r="J4567" s="3" t="str">
        <f>HYPERLINK("https://www.boe.es/gazeta/dias/1823/07/08/pdfs/GMD-1823-353.pdf#page=2","Abrir facsímil")</f>
        <v>Abrir facsímil</v>
      </c>
      <c r="K4567" s="3" t="s">
        <v>23</v>
      </c>
    </row>
    <row r="4568" spans="1:11" ht="42" customHeight="1">
      <c r="A4568" s="2" t="s">
        <v>9164</v>
      </c>
      <c r="B4568" s="2" t="s">
        <v>9165</v>
      </c>
      <c r="C4568" s="2" t="s">
        <v>79</v>
      </c>
      <c r="D4568" s="2" t="s">
        <v>74</v>
      </c>
      <c r="E4568" s="5">
        <v>-28048</v>
      </c>
      <c r="F4568" s="3" t="s">
        <v>399</v>
      </c>
      <c r="G4568" s="3" t="s">
        <v>20</v>
      </c>
      <c r="H4568" s="2" t="s">
        <v>21</v>
      </c>
      <c r="I4568" s="2" t="s">
        <v>9166</v>
      </c>
      <c r="J4568" s="3" t="str">
        <f>HYPERLINK("https://www.boe.es/gazeta/dias/1823/03/16/pdfs/GMD-1823-79.pdf#page=4","Abrir facsímil")</f>
        <v>Abrir facsímil</v>
      </c>
      <c r="K4568" s="3" t="s">
        <v>23</v>
      </c>
    </row>
    <row r="4569" spans="1:11" ht="42" customHeight="1">
      <c r="A4569" s="2" t="s">
        <v>9167</v>
      </c>
      <c r="B4569" s="2" t="s">
        <v>9168</v>
      </c>
      <c r="C4569" s="2" t="s">
        <v>109</v>
      </c>
      <c r="D4569" s="2" t="s">
        <v>74</v>
      </c>
      <c r="E4569" s="5">
        <v>-28057</v>
      </c>
      <c r="F4569" s="3" t="s">
        <v>301</v>
      </c>
      <c r="G4569" s="3" t="s">
        <v>48</v>
      </c>
      <c r="H4569" s="2" t="s">
        <v>21</v>
      </c>
      <c r="I4569" s="2" t="s">
        <v>9169</v>
      </c>
      <c r="J4569" s="3" t="str">
        <f>HYPERLINK("https://www.boe.es/gazeta/dias/1823/03/07/pdfs/GMD-1823-70.pdf#page=3","Abrir facsímil")</f>
        <v>Abrir facsímil</v>
      </c>
      <c r="K4569" s="3" t="s">
        <v>23</v>
      </c>
    </row>
    <row r="4570" spans="1:11" ht="42" customHeight="1">
      <c r="A4570" s="2" t="s">
        <v>9167</v>
      </c>
      <c r="B4570" s="2" t="s">
        <v>9168</v>
      </c>
      <c r="C4570" s="2" t="s">
        <v>17</v>
      </c>
      <c r="D4570" s="2" t="s">
        <v>18</v>
      </c>
      <c r="E4570" s="5">
        <v>-28056</v>
      </c>
      <c r="F4570" s="3" t="s">
        <v>572</v>
      </c>
      <c r="G4570" s="3" t="s">
        <v>48</v>
      </c>
      <c r="H4570" s="2" t="s">
        <v>21</v>
      </c>
      <c r="I4570" s="2" t="s">
        <v>9170</v>
      </c>
      <c r="J4570" s="3" t="str">
        <f>HYPERLINK("https://www.boe.es/gazeta/dias/1823/03/08/pdfs/GMD-1823-71.pdf#page=3","Abrir facsímil")</f>
        <v>Abrir facsímil</v>
      </c>
      <c r="K4570" s="3" t="s">
        <v>23</v>
      </c>
    </row>
    <row r="4571" spans="1:11" ht="42" customHeight="1">
      <c r="A4571" s="2" t="s">
        <v>9171</v>
      </c>
      <c r="B4571" s="2" t="s">
        <v>9172</v>
      </c>
      <c r="C4571" s="2" t="s">
        <v>109</v>
      </c>
      <c r="D4571" s="2" t="s">
        <v>74</v>
      </c>
      <c r="E4571" s="5">
        <v>-28059</v>
      </c>
      <c r="F4571" s="3" t="s">
        <v>149</v>
      </c>
      <c r="G4571" s="3" t="s">
        <v>27</v>
      </c>
      <c r="H4571" s="2" t="s">
        <v>21</v>
      </c>
      <c r="I4571" s="2" t="s">
        <v>9173</v>
      </c>
      <c r="J4571" s="3" t="str">
        <f>HYPERLINK("https://www.boe.es/gazeta/dias/1823/03/05/pdfs/GMD-1823-68.pdf#page=2","Abrir facsímil")</f>
        <v>Abrir facsímil</v>
      </c>
      <c r="K4571" s="3" t="s">
        <v>23</v>
      </c>
    </row>
    <row r="4572" spans="1:11" ht="42" customHeight="1">
      <c r="A4572" s="2" t="s">
        <v>9174</v>
      </c>
      <c r="B4572" s="2" t="s">
        <v>9175</v>
      </c>
      <c r="C4572" s="2" t="s">
        <v>109</v>
      </c>
      <c r="D4572" s="2" t="s">
        <v>74</v>
      </c>
      <c r="E4572" s="5">
        <v>-28045</v>
      </c>
      <c r="F4572" s="3" t="s">
        <v>245</v>
      </c>
      <c r="G4572" s="3" t="s">
        <v>48</v>
      </c>
      <c r="H4572" s="2" t="s">
        <v>21</v>
      </c>
      <c r="I4572" s="2" t="s">
        <v>9176</v>
      </c>
      <c r="J4572" s="3" t="str">
        <f>HYPERLINK("https://www.boe.es/gazeta/dias/1823/03/19/pdfs/GMD-1823-82.pdf#page=3","Abrir facsímil")</f>
        <v>Abrir facsímil</v>
      </c>
      <c r="K4572" s="3" t="s">
        <v>23</v>
      </c>
    </row>
    <row r="4573" spans="1:11" ht="42" customHeight="1">
      <c r="A4573" s="2" t="s">
        <v>9177</v>
      </c>
      <c r="B4573" s="2" t="s">
        <v>9178</v>
      </c>
      <c r="C4573" s="2" t="s">
        <v>84</v>
      </c>
      <c r="D4573" s="2" t="s">
        <v>74</v>
      </c>
      <c r="E4573" s="5">
        <v>-27993</v>
      </c>
      <c r="F4573" s="3" t="s">
        <v>977</v>
      </c>
      <c r="G4573" s="3" t="s">
        <v>48</v>
      </c>
      <c r="H4573" s="2" t="s">
        <v>21</v>
      </c>
      <c r="I4573" s="2" t="s">
        <v>9179</v>
      </c>
      <c r="J4573" s="3" t="str">
        <f>HYPERLINK("https://www.boe.es/gazeta/dias/1823/05/10/pdfs/GES-1823-30.pdf#page=3","Abrir facsímil")</f>
        <v>Abrir facsímil</v>
      </c>
      <c r="K4573" s="3" t="s">
        <v>23</v>
      </c>
    </row>
    <row r="4574" spans="1:11" ht="42" customHeight="1">
      <c r="A4574" s="2" t="s">
        <v>9180</v>
      </c>
      <c r="B4574" s="2" t="s">
        <v>9181</v>
      </c>
      <c r="C4574" s="2" t="s">
        <v>17</v>
      </c>
      <c r="D4574" s="2" t="s">
        <v>18</v>
      </c>
      <c r="E4574" s="5">
        <v>-27911</v>
      </c>
      <c r="F4574" s="3" t="s">
        <v>1393</v>
      </c>
      <c r="G4574" s="3" t="s">
        <v>20</v>
      </c>
      <c r="H4574" s="2" t="s">
        <v>21</v>
      </c>
      <c r="I4574" s="2" t="s">
        <v>9182</v>
      </c>
      <c r="J4574" s="3" t="str">
        <f>HYPERLINK("https://www.boe.es/gazeta/dias/1823/07/31/pdfs/GMD-1823-503.pdf#page=4","Abrir facsímil")</f>
        <v>Abrir facsímil</v>
      </c>
      <c r="K4574" s="3" t="s">
        <v>23</v>
      </c>
    </row>
    <row r="4575" spans="1:11" ht="42" customHeight="1">
      <c r="A4575" s="2" t="s">
        <v>9183</v>
      </c>
      <c r="B4575" s="2" t="s">
        <v>9184</v>
      </c>
      <c r="C4575" s="2" t="s">
        <v>17</v>
      </c>
      <c r="D4575" s="2" t="s">
        <v>18</v>
      </c>
      <c r="E4575" s="5">
        <v>-28077</v>
      </c>
      <c r="F4575" s="3" t="s">
        <v>536</v>
      </c>
      <c r="G4575" s="3" t="s">
        <v>59</v>
      </c>
      <c r="H4575" s="2" t="s">
        <v>21</v>
      </c>
      <c r="I4575" s="2" t="s">
        <v>9185</v>
      </c>
      <c r="J4575" s="3" t="str">
        <f>HYPERLINK("https://www.boe.es/gazeta/dias/1823/02/15/pdfs/GMD-1823-49.pdf#page=6","Abrir facsímil")</f>
        <v>Abrir facsímil</v>
      </c>
      <c r="K4575" s="3" t="s">
        <v>23</v>
      </c>
    </row>
    <row r="4576" spans="1:11" ht="42" customHeight="1">
      <c r="A4576" s="2" t="s">
        <v>9183</v>
      </c>
      <c r="B4576" s="2" t="s">
        <v>9184</v>
      </c>
      <c r="C4576" s="2" t="s">
        <v>17</v>
      </c>
      <c r="D4576" s="2" t="s">
        <v>18</v>
      </c>
      <c r="E4576" s="5">
        <v>-28065</v>
      </c>
      <c r="F4576" s="3" t="s">
        <v>686</v>
      </c>
      <c r="G4576" s="3" t="s">
        <v>20</v>
      </c>
      <c r="H4576" s="2" t="s">
        <v>21</v>
      </c>
      <c r="I4576" s="2" t="s">
        <v>9186</v>
      </c>
      <c r="J4576" s="3" t="str">
        <f>HYPERLINK("https://www.boe.es/gazeta/dias/1823/02/27/pdfs/GMD-1823-61.pdf#page=4","Abrir facsímil")</f>
        <v>Abrir facsímil</v>
      </c>
      <c r="K4576" s="3" t="s">
        <v>23</v>
      </c>
    </row>
    <row r="4577" spans="1:11" ht="42" customHeight="1">
      <c r="A4577" s="2" t="s">
        <v>9183</v>
      </c>
      <c r="B4577" s="2" t="s">
        <v>9184</v>
      </c>
      <c r="C4577" s="2" t="s">
        <v>17</v>
      </c>
      <c r="D4577" s="2" t="s">
        <v>18</v>
      </c>
      <c r="E4577" s="5">
        <v>-28061</v>
      </c>
      <c r="F4577" s="3" t="s">
        <v>704</v>
      </c>
      <c r="G4577" s="3" t="s">
        <v>59</v>
      </c>
      <c r="H4577" s="2" t="s">
        <v>21</v>
      </c>
      <c r="I4577" s="2" t="s">
        <v>9187</v>
      </c>
      <c r="J4577" s="3" t="str">
        <f>HYPERLINK("https://www.boe.es/gazeta/dias/1823/03/03/pdfs/GMD-1823-66.pdf#page=6","Abrir facsímil")</f>
        <v>Abrir facsímil</v>
      </c>
      <c r="K4577" s="3" t="s">
        <v>23</v>
      </c>
    </row>
    <row r="4578" spans="1:11" ht="42" customHeight="1">
      <c r="A4578" s="2" t="s">
        <v>9183</v>
      </c>
      <c r="B4578" s="2" t="s">
        <v>9184</v>
      </c>
      <c r="C4578" s="2" t="s">
        <v>293</v>
      </c>
      <c r="D4578" s="2" t="s">
        <v>74</v>
      </c>
      <c r="E4578" s="5">
        <v>-28013</v>
      </c>
      <c r="F4578" s="3" t="s">
        <v>105</v>
      </c>
      <c r="G4578" s="3" t="s">
        <v>20</v>
      </c>
      <c r="H4578" s="2" t="s">
        <v>21</v>
      </c>
      <c r="I4578" s="2" t="s">
        <v>9188</v>
      </c>
      <c r="J4578" s="3" t="str">
        <f>HYPERLINK("https://www.boe.es/gazeta/dias/1823/04/20/pdfs/GMD-1823-32.pdf#page=4","Abrir facsímil")</f>
        <v>Abrir facsímil</v>
      </c>
      <c r="K4578" s="3" t="s">
        <v>23</v>
      </c>
    </row>
    <row r="4579" spans="1:11" ht="42" customHeight="1">
      <c r="A4579" s="2" t="s">
        <v>9189</v>
      </c>
      <c r="B4579" s="2" t="s">
        <v>9190</v>
      </c>
      <c r="C4579" s="2" t="s">
        <v>56</v>
      </c>
      <c r="D4579" s="2" t="s">
        <v>57</v>
      </c>
      <c r="E4579" s="5">
        <v>-28075</v>
      </c>
      <c r="F4579" s="3" t="s">
        <v>2327</v>
      </c>
      <c r="G4579" s="3" t="s">
        <v>20</v>
      </c>
      <c r="H4579" s="2" t="s">
        <v>21</v>
      </c>
      <c r="I4579" s="2" t="s">
        <v>9191</v>
      </c>
      <c r="J4579" s="3" t="str">
        <f>HYPERLINK("https://www.boe.es/gazeta/dias/1823/02/17/pdfs/GMD-1823-51.pdf#page=4","Abrir facsímil")</f>
        <v>Abrir facsímil</v>
      </c>
      <c r="K4579" s="3" t="s">
        <v>23</v>
      </c>
    </row>
    <row r="4580" spans="1:11" ht="42" customHeight="1">
      <c r="A4580" s="2" t="s">
        <v>9192</v>
      </c>
      <c r="B4580" s="2" t="s">
        <v>9193</v>
      </c>
      <c r="C4580" s="2" t="s">
        <v>79</v>
      </c>
      <c r="D4580" s="2" t="s">
        <v>74</v>
      </c>
      <c r="E4580" s="5">
        <v>-28091</v>
      </c>
      <c r="F4580" s="3" t="s">
        <v>1047</v>
      </c>
      <c r="G4580" s="3" t="s">
        <v>27</v>
      </c>
      <c r="H4580" s="2" t="s">
        <v>28</v>
      </c>
      <c r="I4580" s="2" t="s">
        <v>9194</v>
      </c>
      <c r="J4580" s="3" t="str">
        <f>HYPERLINK("https://www.boe.es/gazeta/dias/1823/02/01/pdfs/GMD-1823-34.pdf#page=2","Abrir facsímil")</f>
        <v>Abrir facsímil</v>
      </c>
      <c r="K4580" s="3" t="s">
        <v>30</v>
      </c>
    </row>
    <row r="4581" spans="1:11" ht="42" customHeight="1">
      <c r="A4581" s="2" t="s">
        <v>9195</v>
      </c>
      <c r="B4581" s="2" t="s">
        <v>9196</v>
      </c>
      <c r="C4581" s="2" t="s">
        <v>17</v>
      </c>
      <c r="D4581" s="2" t="s">
        <v>18</v>
      </c>
      <c r="E4581" s="5">
        <v>-28001</v>
      </c>
      <c r="F4581" s="3" t="s">
        <v>768</v>
      </c>
      <c r="G4581" s="3" t="s">
        <v>2756</v>
      </c>
      <c r="H4581" s="2" t="s">
        <v>21</v>
      </c>
      <c r="I4581" s="2" t="s">
        <v>9197</v>
      </c>
      <c r="J4581" s="3" t="str">
        <f>HYPERLINK("https://www.boe.es/gazeta/dias/1823/05/02/pdfs/GES-1823-22.pdf#page=6","Abrir facsímil")</f>
        <v>Abrir facsímil</v>
      </c>
      <c r="K4581" s="3" t="s">
        <v>23</v>
      </c>
    </row>
    <row r="4582" spans="1:11" ht="42" customHeight="1">
      <c r="A4582" s="2" t="s">
        <v>9198</v>
      </c>
      <c r="B4582" s="2" t="s">
        <v>9199</v>
      </c>
      <c r="C4582" s="2" t="s">
        <v>17</v>
      </c>
      <c r="D4582" s="2" t="s">
        <v>18</v>
      </c>
      <c r="E4582" s="5">
        <v>-28051</v>
      </c>
      <c r="F4582" s="3" t="s">
        <v>305</v>
      </c>
      <c r="G4582" s="3" t="s">
        <v>27</v>
      </c>
      <c r="H4582" s="2" t="s">
        <v>21</v>
      </c>
      <c r="I4582" s="2" t="s">
        <v>9200</v>
      </c>
      <c r="J4582" s="3" t="str">
        <f>HYPERLINK("https://www.boe.es/gazeta/dias/1823/03/13/pdfs/GMD-1823-76.pdf#page=2","Abrir facsímil")</f>
        <v>Abrir facsímil</v>
      </c>
      <c r="K4582" s="3" t="s">
        <v>23</v>
      </c>
    </row>
    <row r="4583" spans="1:11" ht="42" customHeight="1">
      <c r="A4583" s="2" t="s">
        <v>9201</v>
      </c>
      <c r="B4583" s="2" t="s">
        <v>9202</v>
      </c>
      <c r="C4583" s="2" t="s">
        <v>17</v>
      </c>
      <c r="D4583" s="2" t="s">
        <v>18</v>
      </c>
      <c r="E4583" s="5">
        <v>-27853</v>
      </c>
      <c r="F4583" s="3" t="s">
        <v>539</v>
      </c>
      <c r="G4583" s="3" t="s">
        <v>27</v>
      </c>
      <c r="H4583" s="2" t="s">
        <v>21</v>
      </c>
      <c r="I4583" s="2" t="s">
        <v>9203</v>
      </c>
      <c r="J4583" s="3" t="str">
        <f>HYPERLINK("https://www.boe.es/gazeta/dias/1823/09/27/pdfs/GMD-1823-863.pdf#page=2","Abrir facsímil")</f>
        <v>Abrir facsímil</v>
      </c>
      <c r="K4583" s="3" t="s">
        <v>23</v>
      </c>
    </row>
    <row r="4584" spans="1:11" ht="42" customHeight="1">
      <c r="A4584" s="2" t="s">
        <v>9204</v>
      </c>
      <c r="B4584" s="2" t="s">
        <v>9205</v>
      </c>
      <c r="C4584" s="2" t="s">
        <v>79</v>
      </c>
      <c r="D4584" s="2" t="s">
        <v>74</v>
      </c>
      <c r="E4584" s="5">
        <v>-27924</v>
      </c>
      <c r="F4584" s="3" t="s">
        <v>2385</v>
      </c>
      <c r="G4584" s="3" t="s">
        <v>39</v>
      </c>
      <c r="H4584" s="2" t="s">
        <v>21</v>
      </c>
      <c r="I4584" s="2" t="s">
        <v>9206</v>
      </c>
      <c r="J4584" s="3" t="str">
        <f>HYPERLINK("https://www.boe.es/gazeta/dias/1823/07/18/pdfs/GES-1823-99.pdf#page=1","Abrir facsímil")</f>
        <v>Abrir facsímil</v>
      </c>
      <c r="K4584" s="3" t="s">
        <v>23</v>
      </c>
    </row>
    <row r="4585" spans="1:11" ht="42" customHeight="1">
      <c r="A4585" s="2" t="s">
        <v>9207</v>
      </c>
      <c r="B4585" s="2" t="s">
        <v>9208</v>
      </c>
      <c r="C4585" s="2" t="s">
        <v>17</v>
      </c>
      <c r="D4585" s="2" t="s">
        <v>18</v>
      </c>
      <c r="E4585" s="5">
        <v>-28105</v>
      </c>
      <c r="F4585" s="3" t="s">
        <v>502</v>
      </c>
      <c r="G4585" s="3" t="s">
        <v>34</v>
      </c>
      <c r="H4585" s="2" t="s">
        <v>21</v>
      </c>
      <c r="I4585" s="2" t="s">
        <v>9209</v>
      </c>
      <c r="J4585" s="3" t="str">
        <f>HYPERLINK("https://www.boe.es/gazeta/dias/1823/01/18/pdfs/GMD-1823-18.pdf#page=5","Abrir facsímil")</f>
        <v>Abrir facsímil</v>
      </c>
      <c r="K4585" s="3" t="s">
        <v>23</v>
      </c>
    </row>
    <row r="4586" spans="1:11" ht="42" customHeight="1">
      <c r="A4586" s="2" t="s">
        <v>9210</v>
      </c>
      <c r="B4586" s="2" t="s">
        <v>9211</v>
      </c>
      <c r="C4586" s="2" t="s">
        <v>17</v>
      </c>
      <c r="D4586" s="2" t="s">
        <v>18</v>
      </c>
      <c r="E4586" s="5">
        <v>-28004</v>
      </c>
      <c r="F4586" s="3" t="s">
        <v>313</v>
      </c>
      <c r="G4586" s="3" t="s">
        <v>27</v>
      </c>
      <c r="H4586" s="2" t="s">
        <v>21</v>
      </c>
      <c r="I4586" s="2" t="s">
        <v>9212</v>
      </c>
      <c r="J4586" s="3" t="str">
        <f>HYPERLINK("https://www.boe.es/gazeta/dias/1823/04/29/pdfs/GMD-1823-72.pdf#page=2","Abrir facsímil")</f>
        <v>Abrir facsímil</v>
      </c>
      <c r="K4586" s="3" t="s">
        <v>23</v>
      </c>
    </row>
    <row r="4587" spans="1:11" ht="42" customHeight="1">
      <c r="A4587" s="2" t="s">
        <v>9210</v>
      </c>
      <c r="B4587" s="2" t="s">
        <v>9211</v>
      </c>
      <c r="C4587" s="2" t="s">
        <v>17</v>
      </c>
      <c r="D4587" s="2" t="s">
        <v>18</v>
      </c>
      <c r="E4587" s="5">
        <v>-28001</v>
      </c>
      <c r="F4587" s="3" t="s">
        <v>768</v>
      </c>
      <c r="G4587" s="3" t="s">
        <v>34</v>
      </c>
      <c r="H4587" s="2" t="s">
        <v>21</v>
      </c>
      <c r="I4587" s="2" t="s">
        <v>9213</v>
      </c>
      <c r="J4587" s="3" t="str">
        <f>HYPERLINK("https://www.boe.es/gazeta/dias/1823/05/02/pdfs/GES-1823-22.pdf#page=5","Abrir facsímil")</f>
        <v>Abrir facsímil</v>
      </c>
      <c r="K4587" s="3" t="s">
        <v>23</v>
      </c>
    </row>
    <row r="4588" spans="1:11" ht="42" customHeight="1">
      <c r="A4588" s="2" t="s">
        <v>9214</v>
      </c>
      <c r="B4588" s="2" t="s">
        <v>9215</v>
      </c>
      <c r="C4588" s="2" t="s">
        <v>17</v>
      </c>
      <c r="D4588" s="2" t="s">
        <v>18</v>
      </c>
      <c r="E4588" s="5">
        <v>-27920</v>
      </c>
      <c r="F4588" s="3" t="s">
        <v>1334</v>
      </c>
      <c r="G4588" s="3" t="s">
        <v>276</v>
      </c>
      <c r="H4588" s="2" t="s">
        <v>21</v>
      </c>
      <c r="I4588" s="2" t="s">
        <v>9216</v>
      </c>
      <c r="J4588" s="3" t="str">
        <f>HYPERLINK("https://www.boe.es/gazeta/dias/1823/07/22/pdfs/GMD-1823-443.pdf#page=7","Abrir facsímil")</f>
        <v>Abrir facsímil</v>
      </c>
      <c r="K4588" s="3" t="s">
        <v>23</v>
      </c>
    </row>
    <row r="4589" spans="1:11" ht="42" customHeight="1">
      <c r="A4589" s="2" t="s">
        <v>9217</v>
      </c>
      <c r="B4589" s="2" t="s">
        <v>9218</v>
      </c>
      <c r="C4589" s="2" t="s">
        <v>79</v>
      </c>
      <c r="D4589" s="2" t="s">
        <v>74</v>
      </c>
      <c r="E4589" s="5">
        <v>-28076</v>
      </c>
      <c r="F4589" s="3" t="s">
        <v>1638</v>
      </c>
      <c r="G4589" s="3" t="s">
        <v>34</v>
      </c>
      <c r="H4589" s="2" t="s">
        <v>21</v>
      </c>
      <c r="I4589" s="2" t="s">
        <v>9219</v>
      </c>
      <c r="J4589" s="3" t="str">
        <f>HYPERLINK("https://www.boe.es/gazeta/dias/1823/02/16/pdfs/GMD-1823-50.pdf#page=5","Abrir facsímil")</f>
        <v>Abrir facsímil</v>
      </c>
      <c r="K4589" s="3" t="s">
        <v>23</v>
      </c>
    </row>
    <row r="4590" spans="1:11" ht="42" customHeight="1">
      <c r="A4590" s="2" t="s">
        <v>9217</v>
      </c>
      <c r="B4590" s="2" t="s">
        <v>9218</v>
      </c>
      <c r="C4590" s="2" t="s">
        <v>17</v>
      </c>
      <c r="D4590" s="2" t="s">
        <v>18</v>
      </c>
      <c r="E4590" s="5">
        <v>-27897</v>
      </c>
      <c r="F4590" s="3" t="s">
        <v>1569</v>
      </c>
      <c r="G4590" s="3" t="s">
        <v>20</v>
      </c>
      <c r="H4590" s="2" t="s">
        <v>21</v>
      </c>
      <c r="I4590" s="2" t="s">
        <v>9220</v>
      </c>
      <c r="J4590" s="3" t="str">
        <f>HYPERLINK("https://www.boe.es/gazeta/dias/1823/08/14/pdfs/GMD-1823-593.pdf#page=4","Abrir facsímil")</f>
        <v>Abrir facsímil</v>
      </c>
      <c r="K4590" s="3" t="s">
        <v>23</v>
      </c>
    </row>
    <row r="4591" spans="1:11" ht="42" customHeight="1">
      <c r="A4591" s="2" t="s">
        <v>9221</v>
      </c>
      <c r="B4591" s="2" t="s">
        <v>9221</v>
      </c>
      <c r="C4591" s="2" t="s">
        <v>79</v>
      </c>
      <c r="D4591" s="2" t="s">
        <v>74</v>
      </c>
      <c r="E4591" s="5">
        <v>-27964</v>
      </c>
      <c r="F4591" s="3" t="s">
        <v>58</v>
      </c>
      <c r="G4591" s="3" t="s">
        <v>27</v>
      </c>
      <c r="H4591" s="2" t="s">
        <v>21</v>
      </c>
      <c r="I4591" s="2" t="s">
        <v>9222</v>
      </c>
      <c r="J4591" s="3" t="str">
        <f>HYPERLINK("https://www.boe.es/gazeta/dias/1823/06/08/pdfs/GES-1823-62.pdf#page=2","Abrir facsímil")</f>
        <v>Abrir facsímil</v>
      </c>
      <c r="K4591" s="3" t="s">
        <v>23</v>
      </c>
    </row>
    <row r="4592" spans="1:11" ht="42" customHeight="1">
      <c r="A4592" s="2" t="s">
        <v>9223</v>
      </c>
      <c r="B4592" s="2" t="s">
        <v>9224</v>
      </c>
      <c r="C4592" s="2" t="s">
        <v>17</v>
      </c>
      <c r="D4592" s="2" t="s">
        <v>18</v>
      </c>
      <c r="E4592" s="5">
        <v>-28025</v>
      </c>
      <c r="F4592" s="3" t="s">
        <v>477</v>
      </c>
      <c r="G4592" s="3" t="s">
        <v>20</v>
      </c>
      <c r="H4592" s="2" t="s">
        <v>21</v>
      </c>
      <c r="I4592" s="2" t="s">
        <v>9225</v>
      </c>
      <c r="J4592" s="3" t="str">
        <f>HYPERLINK("https://www.boe.es/gazeta/dias/1823/04/08/pdfs/GMD-1823-103.pdf#page=4","Abrir facsímil")</f>
        <v>Abrir facsímil</v>
      </c>
      <c r="K4592" s="3" t="s">
        <v>23</v>
      </c>
    </row>
    <row r="4593" spans="1:11" ht="42" customHeight="1">
      <c r="A4593" s="2" t="s">
        <v>9226</v>
      </c>
      <c r="B4593" s="2" t="s">
        <v>9226</v>
      </c>
      <c r="C4593" s="2" t="s">
        <v>17</v>
      </c>
      <c r="D4593" s="2" t="s">
        <v>18</v>
      </c>
      <c r="E4593" s="5">
        <v>-27936</v>
      </c>
      <c r="F4593" s="3" t="s">
        <v>4620</v>
      </c>
      <c r="G4593" s="3" t="s">
        <v>39</v>
      </c>
      <c r="H4593" s="2" t="s">
        <v>21</v>
      </c>
      <c r="I4593" s="2" t="s">
        <v>9227</v>
      </c>
      <c r="J4593" s="3" t="str">
        <f>HYPERLINK("https://www.boe.es/gazeta/dias/1823/07/06/pdfs/GES-1823-86.pdf#page=1","Abrir facsímil")</f>
        <v>Abrir facsímil</v>
      </c>
      <c r="K4593" s="3" t="s">
        <v>23</v>
      </c>
    </row>
    <row r="4594" spans="1:11" ht="42" customHeight="1">
      <c r="A4594" s="2" t="s">
        <v>9228</v>
      </c>
      <c r="B4594" s="2" t="s">
        <v>9228</v>
      </c>
      <c r="C4594" s="2" t="s">
        <v>17</v>
      </c>
      <c r="D4594" s="2" t="s">
        <v>18</v>
      </c>
      <c r="E4594" s="5">
        <v>-27898</v>
      </c>
      <c r="F4594" s="3" t="s">
        <v>5169</v>
      </c>
      <c r="G4594" s="3" t="s">
        <v>39</v>
      </c>
      <c r="H4594" s="2" t="s">
        <v>21</v>
      </c>
      <c r="I4594" s="2" t="s">
        <v>9229</v>
      </c>
      <c r="J4594" s="3" t="str">
        <f>HYPERLINK("https://www.boe.es/gazeta/dias/1823/08/13/pdfs/GES-1823-126.pdf#page=1","Abrir facsímil")</f>
        <v>Abrir facsímil</v>
      </c>
      <c r="K4594" s="3" t="s">
        <v>23</v>
      </c>
    </row>
    <row r="4595" spans="1:11" ht="42" customHeight="1">
      <c r="A4595" s="2" t="s">
        <v>9230</v>
      </c>
      <c r="B4595" s="2" t="s">
        <v>9231</v>
      </c>
      <c r="C4595" s="2" t="s">
        <v>56</v>
      </c>
      <c r="D4595" s="2" t="s">
        <v>57</v>
      </c>
      <c r="E4595" s="5">
        <v>-28048</v>
      </c>
      <c r="F4595" s="3" t="s">
        <v>399</v>
      </c>
      <c r="G4595" s="3" t="s">
        <v>59</v>
      </c>
      <c r="H4595" s="2" t="s">
        <v>21</v>
      </c>
      <c r="I4595" s="2" t="s">
        <v>9232</v>
      </c>
      <c r="J4595" s="3" t="str">
        <f>HYPERLINK("https://www.boe.es/gazeta/dias/1823/03/16/pdfs/GMD-1823-79.pdf#page=6","Abrir facsímil")</f>
        <v>Abrir facsímil</v>
      </c>
      <c r="K4595" s="3" t="s">
        <v>23</v>
      </c>
    </row>
    <row r="4596" spans="1:11" ht="42" customHeight="1">
      <c r="A4596" s="2" t="s">
        <v>9233</v>
      </c>
      <c r="B4596" s="2" t="s">
        <v>9234</v>
      </c>
      <c r="C4596" s="2" t="s">
        <v>79</v>
      </c>
      <c r="D4596" s="2" t="s">
        <v>74</v>
      </c>
      <c r="E4596" s="5">
        <v>-27869</v>
      </c>
      <c r="F4596" s="3" t="s">
        <v>520</v>
      </c>
      <c r="G4596" s="3" t="s">
        <v>48</v>
      </c>
      <c r="H4596" s="2" t="s">
        <v>21</v>
      </c>
      <c r="I4596" s="2" t="s">
        <v>9235</v>
      </c>
      <c r="J4596" s="3" t="str">
        <f>HYPERLINK("https://www.boe.es/gazeta/dias/1823/09/11/pdfs/GMD-1823-753.pdf#page=3","Abrir facsímil")</f>
        <v>Abrir facsímil</v>
      </c>
      <c r="K4596" s="3" t="s">
        <v>23</v>
      </c>
    </row>
    <row r="4597" spans="1:11" ht="42" customHeight="1">
      <c r="A4597" s="2" t="s">
        <v>9236</v>
      </c>
      <c r="B4597" s="2" t="s">
        <v>9237</v>
      </c>
      <c r="C4597" s="2" t="s">
        <v>17</v>
      </c>
      <c r="D4597" s="2" t="s">
        <v>18</v>
      </c>
      <c r="E4597" s="5">
        <v>-28080</v>
      </c>
      <c r="F4597" s="3" t="s">
        <v>1010</v>
      </c>
      <c r="G4597" s="3" t="s">
        <v>1382</v>
      </c>
      <c r="H4597" s="2" t="s">
        <v>21</v>
      </c>
      <c r="I4597" s="2" t="s">
        <v>9238</v>
      </c>
      <c r="J4597" s="3" t="str">
        <f>HYPERLINK("https://www.boe.es/gazeta/dias/1823/02/12/pdfs/GMD-1823-46.pdf#page=4","Abrir facsímil")</f>
        <v>Abrir facsímil</v>
      </c>
      <c r="K4597" s="3" t="s">
        <v>23</v>
      </c>
    </row>
    <row r="4598" spans="1:11" ht="42" customHeight="1">
      <c r="A4598" s="2" t="s">
        <v>9239</v>
      </c>
      <c r="B4598" s="2" t="s">
        <v>9240</v>
      </c>
      <c r="C4598" s="2" t="s">
        <v>17</v>
      </c>
      <c r="D4598" s="2" t="s">
        <v>18</v>
      </c>
      <c r="E4598" s="5">
        <v>-27981</v>
      </c>
      <c r="F4598" s="3" t="s">
        <v>1521</v>
      </c>
      <c r="G4598" s="3" t="s">
        <v>20</v>
      </c>
      <c r="H4598" s="2" t="s">
        <v>21</v>
      </c>
      <c r="I4598" s="2" t="s">
        <v>9241</v>
      </c>
      <c r="J4598" s="3" t="str">
        <f>HYPERLINK("https://www.boe.es/gazeta/dias/1823/05/22/pdfs/GES-1823-43.pdf#page=4","Abrir facsímil")</f>
        <v>Abrir facsímil</v>
      </c>
      <c r="K4598" s="3" t="s">
        <v>23</v>
      </c>
    </row>
    <row r="4599" spans="1:11" ht="42" customHeight="1">
      <c r="A4599" s="2" t="s">
        <v>9242</v>
      </c>
      <c r="B4599" s="2" t="s">
        <v>9243</v>
      </c>
      <c r="C4599" s="2" t="s">
        <v>109</v>
      </c>
      <c r="D4599" s="2" t="s">
        <v>74</v>
      </c>
      <c r="E4599" s="5">
        <v>-28060</v>
      </c>
      <c r="F4599" s="3" t="s">
        <v>180</v>
      </c>
      <c r="G4599" s="3" t="s">
        <v>181</v>
      </c>
      <c r="H4599" s="2" t="s">
        <v>21</v>
      </c>
      <c r="I4599" s="2" t="s">
        <v>9244</v>
      </c>
      <c r="J4599" s="3" t="str">
        <f>HYPERLINK("https://www.boe.es/gazeta/dias/1823/03/04/pdfs/GMD-1823-67.pdf#page=6","Abrir facsímil")</f>
        <v>Abrir facsímil</v>
      </c>
      <c r="K4599" s="3" t="s">
        <v>23</v>
      </c>
    </row>
    <row r="4600" spans="1:11" ht="42" customHeight="1">
      <c r="A4600" s="2" t="s">
        <v>9245</v>
      </c>
      <c r="B4600" s="2" t="s">
        <v>9245</v>
      </c>
      <c r="C4600" s="2" t="s">
        <v>79</v>
      </c>
      <c r="D4600" s="2" t="s">
        <v>74</v>
      </c>
      <c r="E4600" s="5">
        <v>-28081</v>
      </c>
      <c r="F4600" s="3" t="s">
        <v>170</v>
      </c>
      <c r="G4600" s="3" t="s">
        <v>27</v>
      </c>
      <c r="H4600" s="2" t="s">
        <v>21</v>
      </c>
      <c r="I4600" s="2" t="s">
        <v>9246</v>
      </c>
      <c r="J4600" s="3" t="str">
        <f>HYPERLINK("https://www.boe.es/gazeta/dias/1823/02/11/pdfs/GMD-1823-45.pdf#page=2","Abrir facsímil")</f>
        <v>Abrir facsímil</v>
      </c>
      <c r="K4600" s="3" t="s">
        <v>23</v>
      </c>
    </row>
    <row r="4601" spans="1:11" ht="42" customHeight="1">
      <c r="A4601" s="2" t="s">
        <v>9247</v>
      </c>
      <c r="B4601" s="2" t="s">
        <v>9247</v>
      </c>
      <c r="C4601" s="2" t="s">
        <v>109</v>
      </c>
      <c r="D4601" s="2" t="s">
        <v>74</v>
      </c>
      <c r="E4601" s="5">
        <v>-28118</v>
      </c>
      <c r="F4601" s="3" t="s">
        <v>252</v>
      </c>
      <c r="G4601" s="3" t="s">
        <v>253</v>
      </c>
      <c r="H4601" s="2" t="s">
        <v>21</v>
      </c>
      <c r="I4601" s="2" t="s">
        <v>9248</v>
      </c>
      <c r="J4601" s="3" t="str">
        <f>HYPERLINK("https://www.boe.es/gazeta/dias/1823/01/05/pdfs/GMD-1823-5.pdf#page=2","Abrir facsímil")</f>
        <v>Abrir facsímil</v>
      </c>
      <c r="K4601" s="3" t="s">
        <v>23</v>
      </c>
    </row>
    <row r="4602" spans="1:11" ht="42" customHeight="1">
      <c r="A4602" s="2" t="s">
        <v>9249</v>
      </c>
      <c r="B4602" s="2" t="s">
        <v>9249</v>
      </c>
      <c r="C4602" s="2" t="s">
        <v>56</v>
      </c>
      <c r="D4602" s="2" t="s">
        <v>57</v>
      </c>
      <c r="E4602" s="5">
        <v>-28084</v>
      </c>
      <c r="F4602" s="3" t="s">
        <v>1049</v>
      </c>
      <c r="G4602" s="3" t="s">
        <v>3129</v>
      </c>
      <c r="H4602" s="2" t="s">
        <v>21</v>
      </c>
      <c r="I4602" s="2" t="s">
        <v>9250</v>
      </c>
      <c r="J4602" s="3" t="str">
        <f>HYPERLINK("https://www.boe.es/gazeta/dias/1823/02/08/pdfs/GMD-1823-41.pdf#page=2","Abrir facsímil")</f>
        <v>Abrir facsímil</v>
      </c>
      <c r="K4602" s="3" t="s">
        <v>23</v>
      </c>
    </row>
    <row r="4603" spans="1:11" ht="42" customHeight="1">
      <c r="A4603" s="2" t="s">
        <v>9247</v>
      </c>
      <c r="B4603" s="2" t="s">
        <v>9247</v>
      </c>
      <c r="C4603" s="2" t="s">
        <v>17</v>
      </c>
      <c r="D4603" s="2" t="s">
        <v>18</v>
      </c>
      <c r="E4603" s="5">
        <v>-28079</v>
      </c>
      <c r="F4603" s="3" t="s">
        <v>178</v>
      </c>
      <c r="G4603" s="3" t="s">
        <v>20</v>
      </c>
      <c r="H4603" s="2" t="s">
        <v>21</v>
      </c>
      <c r="I4603" s="2" t="s">
        <v>9251</v>
      </c>
      <c r="J4603" s="3" t="str">
        <f>HYPERLINK("https://www.boe.es/gazeta/dias/1823/02/13/pdfs/GMD-1823-47.pdf#page=4","Abrir facsímil")</f>
        <v>Abrir facsímil</v>
      </c>
      <c r="K4603" s="3" t="s">
        <v>23</v>
      </c>
    </row>
    <row r="4604" spans="1:11" ht="42" customHeight="1">
      <c r="A4604" s="2" t="s">
        <v>9247</v>
      </c>
      <c r="B4604" s="2" t="s">
        <v>9247</v>
      </c>
      <c r="C4604" s="2" t="s">
        <v>56</v>
      </c>
      <c r="D4604" s="2" t="s">
        <v>57</v>
      </c>
      <c r="E4604" s="5">
        <v>-28057</v>
      </c>
      <c r="F4604" s="3" t="s">
        <v>301</v>
      </c>
      <c r="G4604" s="3" t="s">
        <v>20</v>
      </c>
      <c r="H4604" s="2" t="s">
        <v>21</v>
      </c>
      <c r="I4604" s="2" t="s">
        <v>9252</v>
      </c>
      <c r="J4604" s="3" t="str">
        <f>HYPERLINK("https://www.boe.es/gazeta/dias/1823/03/07/pdfs/GMD-1823-70.pdf#page=4","Abrir facsímil")</f>
        <v>Abrir facsímil</v>
      </c>
      <c r="K4604" s="3" t="s">
        <v>23</v>
      </c>
    </row>
    <row r="4605" spans="1:11" ht="42" customHeight="1">
      <c r="A4605" s="2" t="s">
        <v>9247</v>
      </c>
      <c r="B4605" s="2" t="s">
        <v>9247</v>
      </c>
      <c r="C4605" s="2" t="s">
        <v>17</v>
      </c>
      <c r="D4605" s="2" t="s">
        <v>18</v>
      </c>
      <c r="E4605" s="5">
        <v>-27940</v>
      </c>
      <c r="F4605" s="3" t="s">
        <v>348</v>
      </c>
      <c r="G4605" s="3" t="s">
        <v>39</v>
      </c>
      <c r="H4605" s="2" t="s">
        <v>21</v>
      </c>
      <c r="I4605" s="2" t="s">
        <v>9253</v>
      </c>
      <c r="J4605" s="3" t="str">
        <f>HYPERLINK("https://www.boe.es/gazeta/dias/1823/07/02/pdfs/GES-1823-82.pdf#page=1","Abrir facsímil")</f>
        <v>Abrir facsímil</v>
      </c>
      <c r="K4605" s="3" t="s">
        <v>23</v>
      </c>
    </row>
    <row r="4606" spans="1:11" ht="42" customHeight="1">
      <c r="A4606" s="2" t="s">
        <v>9247</v>
      </c>
      <c r="B4606" s="2" t="s">
        <v>9247</v>
      </c>
      <c r="C4606" s="2" t="s">
        <v>17</v>
      </c>
      <c r="D4606" s="2" t="s">
        <v>18</v>
      </c>
      <c r="E4606" s="5">
        <v>-27919</v>
      </c>
      <c r="F4606" s="3" t="s">
        <v>361</v>
      </c>
      <c r="G4606" s="3" t="s">
        <v>39</v>
      </c>
      <c r="H4606" s="2" t="s">
        <v>21</v>
      </c>
      <c r="I4606" s="2" t="s">
        <v>9254</v>
      </c>
      <c r="J4606" s="3" t="str">
        <f>HYPERLINK("https://www.boe.es/gazeta/dias/1823/07/23/pdfs/GES-1823-104.pdf#page=1","Abrir facsímil")</f>
        <v>Abrir facsímil</v>
      </c>
      <c r="K4606" s="3" t="s">
        <v>23</v>
      </c>
    </row>
    <row r="4607" spans="1:11" ht="42" customHeight="1">
      <c r="A4607" s="2" t="s">
        <v>9255</v>
      </c>
      <c r="B4607" s="2" t="s">
        <v>9256</v>
      </c>
      <c r="C4607" s="2" t="s">
        <v>17</v>
      </c>
      <c r="D4607" s="2" t="s">
        <v>18</v>
      </c>
      <c r="E4607" s="5">
        <v>-27861</v>
      </c>
      <c r="F4607" s="3" t="s">
        <v>425</v>
      </c>
      <c r="G4607" s="3" t="s">
        <v>39</v>
      </c>
      <c r="H4607" s="2" t="s">
        <v>21</v>
      </c>
      <c r="I4607" s="2" t="s">
        <v>9257</v>
      </c>
      <c r="J4607" s="3" t="str">
        <f>HYPERLINK("https://www.boe.es/gazeta/dias/1823/09/19/pdfs/GES-1823-163.pdf#page=1","Abrir facsímil")</f>
        <v>Abrir facsímil</v>
      </c>
      <c r="K4607" s="3" t="s">
        <v>23</v>
      </c>
    </row>
    <row r="4608" spans="1:11" ht="42" customHeight="1">
      <c r="A4608" s="2" t="s">
        <v>9258</v>
      </c>
      <c r="B4608" s="2" t="s">
        <v>9259</v>
      </c>
      <c r="C4608" s="2" t="s">
        <v>73</v>
      </c>
      <c r="D4608" s="2" t="s">
        <v>74</v>
      </c>
      <c r="E4608" s="5">
        <v>-27999</v>
      </c>
      <c r="F4608" s="3" t="s">
        <v>97</v>
      </c>
      <c r="G4608" s="3" t="s">
        <v>48</v>
      </c>
      <c r="H4608" s="2" t="s">
        <v>21</v>
      </c>
      <c r="I4608" s="2" t="s">
        <v>9260</v>
      </c>
      <c r="J4608" s="3" t="str">
        <f>HYPERLINK("https://www.boe.es/gazeta/dias/1823/05/04/pdfs/GES-1823-24.pdf#page=3","Abrir facsímil")</f>
        <v>Abrir facsímil</v>
      </c>
      <c r="K4608" s="3" t="s">
        <v>23</v>
      </c>
    </row>
    <row r="4609" spans="1:11" ht="42" customHeight="1">
      <c r="A4609" s="2" t="s">
        <v>9261</v>
      </c>
      <c r="B4609" s="2" t="s">
        <v>9261</v>
      </c>
      <c r="C4609" s="2" t="s">
        <v>109</v>
      </c>
      <c r="D4609" s="2" t="s">
        <v>74</v>
      </c>
      <c r="E4609" s="5">
        <v>-28107</v>
      </c>
      <c r="F4609" s="3" t="s">
        <v>278</v>
      </c>
      <c r="G4609" s="3" t="s">
        <v>20</v>
      </c>
      <c r="H4609" s="2" t="s">
        <v>21</v>
      </c>
      <c r="I4609" s="2" t="s">
        <v>9262</v>
      </c>
      <c r="J4609" s="3" t="str">
        <f>HYPERLINK("https://www.boe.es/gazeta/dias/1823/01/16/pdfs/GMD-1823-16.pdf#page=4","Abrir facsímil")</f>
        <v>Abrir facsímil</v>
      </c>
      <c r="K4609" s="3" t="s">
        <v>23</v>
      </c>
    </row>
    <row r="4610" spans="1:11" ht="42" customHeight="1">
      <c r="A4610" s="2" t="s">
        <v>9261</v>
      </c>
      <c r="B4610" s="2" t="s">
        <v>9261</v>
      </c>
      <c r="C4610" s="2" t="s">
        <v>73</v>
      </c>
      <c r="D4610" s="2" t="s">
        <v>74</v>
      </c>
      <c r="E4610" s="5">
        <v>-28102</v>
      </c>
      <c r="F4610" s="3" t="s">
        <v>287</v>
      </c>
      <c r="G4610" s="3" t="s">
        <v>48</v>
      </c>
      <c r="H4610" s="2" t="s">
        <v>21</v>
      </c>
      <c r="I4610" s="2" t="s">
        <v>9263</v>
      </c>
      <c r="J4610" s="3" t="str">
        <f>HYPERLINK("https://www.boe.es/gazeta/dias/1823/01/21/pdfs/GMD-1823-22.pdf#page=3","Abrir facsímil")</f>
        <v>Abrir facsímil</v>
      </c>
      <c r="K4610" s="3" t="s">
        <v>23</v>
      </c>
    </row>
    <row r="4611" spans="1:11" ht="42" customHeight="1">
      <c r="A4611" s="2" t="s">
        <v>9261</v>
      </c>
      <c r="B4611" s="2" t="s">
        <v>9261</v>
      </c>
      <c r="C4611" s="2" t="s">
        <v>79</v>
      </c>
      <c r="D4611" s="2" t="s">
        <v>74</v>
      </c>
      <c r="E4611" s="5">
        <v>-28059</v>
      </c>
      <c r="F4611" s="3" t="s">
        <v>149</v>
      </c>
      <c r="G4611" s="3" t="s">
        <v>48</v>
      </c>
      <c r="H4611" s="2" t="s">
        <v>21</v>
      </c>
      <c r="I4611" s="2" t="s">
        <v>9264</v>
      </c>
      <c r="J4611" s="3" t="str">
        <f>HYPERLINK("https://www.boe.es/gazeta/dias/1823/03/05/pdfs/GMD-1823-68.pdf#page=3","Abrir facsímil")</f>
        <v>Abrir facsímil</v>
      </c>
      <c r="K4611" s="3" t="s">
        <v>23</v>
      </c>
    </row>
    <row r="4612" spans="1:11" ht="42" customHeight="1">
      <c r="A4612" s="2" t="s">
        <v>9261</v>
      </c>
      <c r="B4612" s="2" t="s">
        <v>9261</v>
      </c>
      <c r="C4612" s="2" t="s">
        <v>73</v>
      </c>
      <c r="D4612" s="2" t="s">
        <v>74</v>
      </c>
      <c r="E4612" s="5">
        <v>-28057</v>
      </c>
      <c r="F4612" s="3" t="s">
        <v>301</v>
      </c>
      <c r="G4612" s="3" t="s">
        <v>20</v>
      </c>
      <c r="H4612" s="2" t="s">
        <v>21</v>
      </c>
      <c r="I4612" s="2" t="s">
        <v>9265</v>
      </c>
      <c r="J4612" s="3" t="str">
        <f>HYPERLINK("https://www.boe.es/gazeta/dias/1823/03/07/pdfs/GMD-1823-70.pdf#page=4","Abrir facsímil")</f>
        <v>Abrir facsímil</v>
      </c>
      <c r="K4612" s="3" t="s">
        <v>23</v>
      </c>
    </row>
    <row r="4613" spans="1:11" ht="42" customHeight="1">
      <c r="A4613" s="2" t="s">
        <v>9261</v>
      </c>
      <c r="B4613" s="2" t="s">
        <v>9261</v>
      </c>
      <c r="C4613" s="2" t="s">
        <v>109</v>
      </c>
      <c r="D4613" s="2" t="s">
        <v>74</v>
      </c>
      <c r="E4613" s="5">
        <v>-27994</v>
      </c>
      <c r="F4613" s="3" t="s">
        <v>714</v>
      </c>
      <c r="G4613" s="3" t="s">
        <v>59</v>
      </c>
      <c r="H4613" s="2" t="s">
        <v>21</v>
      </c>
      <c r="I4613" s="2" t="s">
        <v>9266</v>
      </c>
      <c r="J4613" s="3" t="str">
        <f>HYPERLINK("https://www.boe.es/gazeta/dias/1823/05/09/pdfs/GES-1823-29.pdf#page=6","Abrir facsímil")</f>
        <v>Abrir facsímil</v>
      </c>
      <c r="K4613" s="3" t="s">
        <v>23</v>
      </c>
    </row>
    <row r="4614" spans="1:11" ht="42" customHeight="1">
      <c r="A4614" s="2" t="s">
        <v>9261</v>
      </c>
      <c r="B4614" s="2" t="s">
        <v>9261</v>
      </c>
      <c r="C4614" s="2" t="s">
        <v>109</v>
      </c>
      <c r="D4614" s="2" t="s">
        <v>74</v>
      </c>
      <c r="E4614" s="5">
        <v>-27988</v>
      </c>
      <c r="F4614" s="3" t="s">
        <v>2022</v>
      </c>
      <c r="G4614" s="3" t="s">
        <v>27</v>
      </c>
      <c r="H4614" s="2" t="s">
        <v>21</v>
      </c>
      <c r="I4614" s="2" t="s">
        <v>9267</v>
      </c>
      <c r="J4614" s="3" t="str">
        <f>HYPERLINK("https://www.boe.es/gazeta/dias/1823/05/15/pdfs/GMD-1823-142.pdf#page=2","Abrir facsímil")</f>
        <v>Abrir facsímil</v>
      </c>
      <c r="K4614" s="3" t="s">
        <v>23</v>
      </c>
    </row>
    <row r="4615" spans="1:11" ht="42" customHeight="1">
      <c r="A4615" s="2" t="s">
        <v>9261</v>
      </c>
      <c r="B4615" s="2" t="s">
        <v>9261</v>
      </c>
      <c r="C4615" s="2" t="s">
        <v>79</v>
      </c>
      <c r="D4615" s="2" t="s">
        <v>74</v>
      </c>
      <c r="E4615" s="5">
        <v>-27945</v>
      </c>
      <c r="F4615" s="3" t="s">
        <v>628</v>
      </c>
      <c r="G4615" s="3" t="s">
        <v>27</v>
      </c>
      <c r="H4615" s="2" t="s">
        <v>21</v>
      </c>
      <c r="I4615" s="2" t="s">
        <v>9268</v>
      </c>
      <c r="J4615" s="3" t="str">
        <f>HYPERLINK("https://www.boe.es/gazeta/dias/1823/06/27/pdfs/GES-1823-77.pdf#page=2","Abrir facsímil")</f>
        <v>Abrir facsímil</v>
      </c>
      <c r="K4615" s="3" t="s">
        <v>23</v>
      </c>
    </row>
    <row r="4616" spans="1:11" ht="42" customHeight="1">
      <c r="A4616" s="2" t="s">
        <v>9269</v>
      </c>
      <c r="B4616" s="2" t="s">
        <v>9270</v>
      </c>
      <c r="C4616" s="2" t="s">
        <v>17</v>
      </c>
      <c r="D4616" s="2" t="s">
        <v>18</v>
      </c>
      <c r="E4616" s="5">
        <v>-27920</v>
      </c>
      <c r="F4616" s="3" t="s">
        <v>1334</v>
      </c>
      <c r="G4616" s="3" t="s">
        <v>276</v>
      </c>
      <c r="H4616" s="2" t="s">
        <v>21</v>
      </c>
      <c r="I4616" s="2" t="s">
        <v>9271</v>
      </c>
      <c r="J4616" s="3" t="str">
        <f>HYPERLINK("https://www.boe.es/gazeta/dias/1823/07/22/pdfs/GMD-1823-443.pdf#page=7","Abrir facsímil")</f>
        <v>Abrir facsímil</v>
      </c>
      <c r="K4616" s="3" t="s">
        <v>23</v>
      </c>
    </row>
    <row r="4617" spans="1:11" ht="42" customHeight="1">
      <c r="A4617" s="2" t="s">
        <v>9272</v>
      </c>
      <c r="B4617" s="2" t="s">
        <v>9272</v>
      </c>
      <c r="C4617" s="2" t="s">
        <v>17</v>
      </c>
      <c r="D4617" s="2" t="s">
        <v>18</v>
      </c>
      <c r="E4617" s="5">
        <v>-28074</v>
      </c>
      <c r="F4617" s="3" t="s">
        <v>212</v>
      </c>
      <c r="G4617" s="3" t="s">
        <v>20</v>
      </c>
      <c r="H4617" s="2" t="s">
        <v>21</v>
      </c>
      <c r="I4617" s="2" t="s">
        <v>9273</v>
      </c>
      <c r="J4617" s="3" t="str">
        <f>HYPERLINK("https://www.boe.es/gazeta/dias/1823/02/18/pdfs/GMD-1823-52.pdf#page=4","Abrir facsímil")</f>
        <v>Abrir facsímil</v>
      </c>
      <c r="K4617" s="3" t="s">
        <v>23</v>
      </c>
    </row>
    <row r="4618" spans="1:11" ht="42" customHeight="1">
      <c r="A4618" s="2" t="s">
        <v>9274</v>
      </c>
      <c r="B4618" s="2" t="s">
        <v>9275</v>
      </c>
      <c r="C4618" s="2" t="s">
        <v>17</v>
      </c>
      <c r="D4618" s="2" t="s">
        <v>18</v>
      </c>
      <c r="E4618" s="5">
        <v>-28104</v>
      </c>
      <c r="F4618" s="3" t="s">
        <v>114</v>
      </c>
      <c r="G4618" s="3" t="s">
        <v>34</v>
      </c>
      <c r="H4618" s="2" t="s">
        <v>21</v>
      </c>
      <c r="I4618" s="2" t="s">
        <v>9276</v>
      </c>
      <c r="J4618" s="3" t="str">
        <f>HYPERLINK("https://www.boe.es/gazeta/dias/1823/01/19/pdfs/GMD-1823-19.pdf#page=5","Abrir facsímil")</f>
        <v>Abrir facsímil</v>
      </c>
      <c r="K4618" s="3" t="s">
        <v>23</v>
      </c>
    </row>
    <row r="4619" spans="1:11" ht="42" customHeight="1">
      <c r="A4619" s="2" t="s">
        <v>9277</v>
      </c>
      <c r="B4619" s="2" t="s">
        <v>9278</v>
      </c>
      <c r="C4619" s="2" t="s">
        <v>293</v>
      </c>
      <c r="D4619" s="2" t="s">
        <v>74</v>
      </c>
      <c r="E4619" s="5">
        <v>-28056</v>
      </c>
      <c r="F4619" s="3" t="s">
        <v>572</v>
      </c>
      <c r="G4619" s="3" t="s">
        <v>59</v>
      </c>
      <c r="H4619" s="2" t="s">
        <v>21</v>
      </c>
      <c r="I4619" s="2" t="s">
        <v>9279</v>
      </c>
      <c r="J4619" s="3" t="str">
        <f>HYPERLINK("https://www.boe.es/gazeta/dias/1823/03/08/pdfs/GMD-1823-71.pdf#page=6","Abrir facsímil")</f>
        <v>Abrir facsímil</v>
      </c>
      <c r="K4619" s="3" t="s">
        <v>23</v>
      </c>
    </row>
    <row r="4620" spans="1:11" ht="42" customHeight="1">
      <c r="A4620" s="2" t="s">
        <v>9280</v>
      </c>
      <c r="B4620" s="2" t="s">
        <v>9281</v>
      </c>
      <c r="C4620" s="2" t="s">
        <v>17</v>
      </c>
      <c r="D4620" s="2" t="s">
        <v>18</v>
      </c>
      <c r="E4620" s="5">
        <v>-27853</v>
      </c>
      <c r="F4620" s="3" t="s">
        <v>539</v>
      </c>
      <c r="G4620" s="3" t="s">
        <v>20</v>
      </c>
      <c r="H4620" s="2" t="s">
        <v>21</v>
      </c>
      <c r="I4620" s="2" t="s">
        <v>9282</v>
      </c>
      <c r="J4620" s="3" t="str">
        <f>HYPERLINK("https://www.boe.es/gazeta/dias/1823/09/27/pdfs/GMD-1823-863.pdf#page=4","Abrir facsímil")</f>
        <v>Abrir facsímil</v>
      </c>
      <c r="K4620" s="3" t="s">
        <v>23</v>
      </c>
    </row>
    <row r="4621" spans="1:11" ht="42" customHeight="1">
      <c r="A4621" s="2" t="s">
        <v>9283</v>
      </c>
      <c r="B4621" s="2" t="s">
        <v>9284</v>
      </c>
      <c r="C4621" s="2" t="s">
        <v>79</v>
      </c>
      <c r="D4621" s="2" t="s">
        <v>74</v>
      </c>
      <c r="E4621" s="5">
        <v>-28001</v>
      </c>
      <c r="F4621" s="3" t="s">
        <v>768</v>
      </c>
      <c r="G4621" s="3" t="s">
        <v>34</v>
      </c>
      <c r="H4621" s="2" t="s">
        <v>21</v>
      </c>
      <c r="I4621" s="2" t="s">
        <v>9285</v>
      </c>
      <c r="J4621" s="3" t="str">
        <f>HYPERLINK("https://www.boe.es/gazeta/dias/1823/05/02/pdfs/GES-1823-22.pdf#page=5","Abrir facsímil")</f>
        <v>Abrir facsímil</v>
      </c>
      <c r="K4621" s="3" t="s">
        <v>23</v>
      </c>
    </row>
    <row r="4622" spans="1:11" ht="42" customHeight="1">
      <c r="A4622" s="2" t="s">
        <v>9286</v>
      </c>
      <c r="B4622" s="2" t="s">
        <v>9287</v>
      </c>
      <c r="C4622" s="2" t="s">
        <v>17</v>
      </c>
      <c r="D4622" s="2" t="s">
        <v>18</v>
      </c>
      <c r="E4622" s="5">
        <v>-27848</v>
      </c>
      <c r="F4622" s="3" t="s">
        <v>2665</v>
      </c>
      <c r="G4622" s="3" t="s">
        <v>20</v>
      </c>
      <c r="H4622" s="2" t="s">
        <v>21</v>
      </c>
      <c r="I4622" s="2" t="s">
        <v>9288</v>
      </c>
      <c r="J4622" s="3" t="str">
        <f>HYPERLINK("https://www.boe.es/gazeta/dias/1823/10/02/pdfs/GMD-1823-893.pdf#page=4","Abrir facsímil")</f>
        <v>Abrir facsímil</v>
      </c>
      <c r="K4622" s="3" t="s">
        <v>23</v>
      </c>
    </row>
    <row r="4623" spans="1:11" ht="42" customHeight="1">
      <c r="A4623" s="2" t="s">
        <v>9289</v>
      </c>
      <c r="B4623" s="2" t="s">
        <v>9290</v>
      </c>
      <c r="C4623" s="2" t="s">
        <v>17</v>
      </c>
      <c r="D4623" s="2" t="s">
        <v>18</v>
      </c>
      <c r="E4623" s="5">
        <v>-28028</v>
      </c>
      <c r="F4623" s="3" t="s">
        <v>893</v>
      </c>
      <c r="G4623" s="3" t="s">
        <v>20</v>
      </c>
      <c r="H4623" s="2" t="s">
        <v>21</v>
      </c>
      <c r="I4623" s="2" t="s">
        <v>9291</v>
      </c>
      <c r="J4623" s="3" t="str">
        <f>HYPERLINK("https://www.boe.es/gazeta/dias/1823/04/05/pdfs/GMD-1823-99.pdf#page=4","Abrir facsímil")</f>
        <v>Abrir facsímil</v>
      </c>
      <c r="K4623" s="3" t="s">
        <v>23</v>
      </c>
    </row>
    <row r="4624" spans="1:11" ht="42" customHeight="1">
      <c r="A4624" s="2" t="s">
        <v>9292</v>
      </c>
      <c r="B4624" s="2" t="s">
        <v>9293</v>
      </c>
      <c r="C4624" s="2" t="s">
        <v>17</v>
      </c>
      <c r="D4624" s="2" t="s">
        <v>18</v>
      </c>
      <c r="E4624" s="5">
        <v>-27910</v>
      </c>
      <c r="F4624" s="3" t="s">
        <v>38</v>
      </c>
      <c r="G4624" s="3" t="s">
        <v>39</v>
      </c>
      <c r="H4624" s="2" t="s">
        <v>21</v>
      </c>
      <c r="I4624" s="2" t="s">
        <v>9294</v>
      </c>
      <c r="J4624" s="3" t="str">
        <f>HYPERLINK("https://www.boe.es/gazeta/dias/1823/08/01/pdfs/GES-1823-113.pdf#page=1","Abrir facsímil")</f>
        <v>Abrir facsímil</v>
      </c>
      <c r="K4624" s="3" t="s">
        <v>23</v>
      </c>
    </row>
    <row r="4625" spans="1:11" ht="42" customHeight="1">
      <c r="A4625" s="2" t="s">
        <v>9295</v>
      </c>
      <c r="B4625" s="2" t="s">
        <v>9296</v>
      </c>
      <c r="C4625" s="2" t="s">
        <v>17</v>
      </c>
      <c r="D4625" s="2" t="s">
        <v>18</v>
      </c>
      <c r="E4625" s="5">
        <v>-28080</v>
      </c>
      <c r="F4625" s="3" t="s">
        <v>1010</v>
      </c>
      <c r="G4625" s="3" t="s">
        <v>1382</v>
      </c>
      <c r="H4625" s="2" t="s">
        <v>21</v>
      </c>
      <c r="I4625" s="2" t="s">
        <v>9297</v>
      </c>
      <c r="J4625" s="3" t="str">
        <f>HYPERLINK("https://www.boe.es/gazeta/dias/1823/02/12/pdfs/GMD-1823-46.pdf#page=4","Abrir facsímil")</f>
        <v>Abrir facsímil</v>
      </c>
      <c r="K4625" s="3" t="s">
        <v>23</v>
      </c>
    </row>
    <row r="4626" spans="1:11" ht="42" customHeight="1">
      <c r="A4626" s="2" t="s">
        <v>9295</v>
      </c>
      <c r="B4626" s="2" t="s">
        <v>9296</v>
      </c>
      <c r="C4626" s="2" t="s">
        <v>17</v>
      </c>
      <c r="D4626" s="2" t="s">
        <v>18</v>
      </c>
      <c r="E4626" s="5">
        <v>-27884</v>
      </c>
      <c r="F4626" s="3" t="s">
        <v>61</v>
      </c>
      <c r="G4626" s="3" t="s">
        <v>48</v>
      </c>
      <c r="H4626" s="2" t="s">
        <v>21</v>
      </c>
      <c r="I4626" s="2" t="s">
        <v>9298</v>
      </c>
      <c r="J4626" s="3" t="str">
        <f>HYPERLINK("https://www.boe.es/gazeta/dias/1823/08/27/pdfs/GES-1823-140.pdf#page=3","Abrir facsímil")</f>
        <v>Abrir facsímil</v>
      </c>
      <c r="K4626" s="3" t="s">
        <v>23</v>
      </c>
    </row>
    <row r="4627" spans="1:11" ht="42" customHeight="1">
      <c r="A4627" s="2" t="s">
        <v>9299</v>
      </c>
      <c r="B4627" s="2" t="s">
        <v>9300</v>
      </c>
      <c r="C4627" s="2" t="s">
        <v>17</v>
      </c>
      <c r="D4627" s="2" t="s">
        <v>18</v>
      </c>
      <c r="E4627" s="5">
        <v>-28089</v>
      </c>
      <c r="F4627" s="3" t="s">
        <v>1979</v>
      </c>
      <c r="G4627" s="3" t="s">
        <v>27</v>
      </c>
      <c r="H4627" s="2" t="s">
        <v>21</v>
      </c>
      <c r="I4627" s="2" t="s">
        <v>9301</v>
      </c>
      <c r="J4627" s="3" t="str">
        <f>HYPERLINK("https://www.boe.es/gazeta/dias/1823/02/03/pdfs/GMD-1823-36.pdf#page=2","Abrir facsímil")</f>
        <v>Abrir facsímil</v>
      </c>
      <c r="K4627" s="3" t="s">
        <v>23</v>
      </c>
    </row>
    <row r="4628" spans="1:11" ht="42" customHeight="1">
      <c r="A4628" s="2" t="s">
        <v>9302</v>
      </c>
      <c r="B4628" s="2" t="s">
        <v>9303</v>
      </c>
      <c r="C4628" s="2" t="s">
        <v>17</v>
      </c>
      <c r="D4628" s="2" t="s">
        <v>18</v>
      </c>
      <c r="E4628" s="5">
        <v>-28122</v>
      </c>
      <c r="F4628" s="3" t="s">
        <v>269</v>
      </c>
      <c r="G4628" s="3" t="s">
        <v>20</v>
      </c>
      <c r="H4628" s="2" t="s">
        <v>21</v>
      </c>
      <c r="I4628" s="2" t="s">
        <v>9304</v>
      </c>
      <c r="J4628" s="3" t="str">
        <f>HYPERLINK("https://www.boe.es/gazeta/dias/1823/01/01/pdfs/GMD-1823-1.pdf#page=4","Abrir facsímil")</f>
        <v>Abrir facsímil</v>
      </c>
      <c r="K4628" s="3" t="s">
        <v>23</v>
      </c>
    </row>
    <row r="4629" spans="1:11" ht="42" customHeight="1">
      <c r="A4629" s="2" t="s">
        <v>9302</v>
      </c>
      <c r="B4629" s="2" t="s">
        <v>9303</v>
      </c>
      <c r="C4629" s="2" t="s">
        <v>17</v>
      </c>
      <c r="D4629" s="2" t="s">
        <v>18</v>
      </c>
      <c r="E4629" s="5">
        <v>-28041</v>
      </c>
      <c r="F4629" s="3" t="s">
        <v>873</v>
      </c>
      <c r="G4629" s="3" t="s">
        <v>366</v>
      </c>
      <c r="H4629" s="2" t="s">
        <v>21</v>
      </c>
      <c r="I4629" s="2" t="s">
        <v>9305</v>
      </c>
      <c r="J4629" s="3" t="str">
        <f>HYPERLINK("https://www.boe.es/gazeta/dias/1823/03/23/pdfs/GMD-1823-86.pdf#page=4","Abrir facsímil")</f>
        <v>Abrir facsímil</v>
      </c>
      <c r="K4629" s="3" t="s">
        <v>23</v>
      </c>
    </row>
    <row r="4630" spans="1:11" ht="42" customHeight="1">
      <c r="A4630" s="2" t="s">
        <v>9302</v>
      </c>
      <c r="B4630" s="2" t="s">
        <v>9303</v>
      </c>
      <c r="C4630" s="2" t="s">
        <v>56</v>
      </c>
      <c r="D4630" s="2" t="s">
        <v>57</v>
      </c>
      <c r="E4630" s="5">
        <v>-27998</v>
      </c>
      <c r="F4630" s="3" t="s">
        <v>1058</v>
      </c>
      <c r="G4630" s="3" t="s">
        <v>59</v>
      </c>
      <c r="H4630" s="2" t="s">
        <v>21</v>
      </c>
      <c r="I4630" s="2" t="s">
        <v>9306</v>
      </c>
      <c r="J4630" s="3" t="str">
        <f>HYPERLINK("https://www.boe.es/gazeta/dias/1823/05/05/pdfs/GES-1823-25.pdf#page=6","Abrir facsímil")</f>
        <v>Abrir facsímil</v>
      </c>
      <c r="K4630" s="3" t="s">
        <v>23</v>
      </c>
    </row>
    <row r="4631" spans="1:11" ht="42" customHeight="1">
      <c r="A4631" s="2" t="s">
        <v>9302</v>
      </c>
      <c r="B4631" s="2" t="s">
        <v>9303</v>
      </c>
      <c r="C4631" s="2" t="s">
        <v>293</v>
      </c>
      <c r="D4631" s="2" t="s">
        <v>74</v>
      </c>
      <c r="E4631" s="5">
        <v>-27980</v>
      </c>
      <c r="F4631" s="3" t="s">
        <v>1068</v>
      </c>
      <c r="G4631" s="3" t="s">
        <v>59</v>
      </c>
      <c r="H4631" s="2" t="s">
        <v>21</v>
      </c>
      <c r="I4631" s="2" t="s">
        <v>9307</v>
      </c>
      <c r="J4631" s="3" t="str">
        <f>HYPERLINK("https://www.boe.es/gazeta/dias/1823/05/23/pdfs/GES-1823-44.pdf#page=6","Abrir facsímil")</f>
        <v>Abrir facsímil</v>
      </c>
      <c r="K4631" s="3" t="s">
        <v>23</v>
      </c>
    </row>
    <row r="4632" spans="1:11" ht="42" customHeight="1">
      <c r="A4632" s="2" t="s">
        <v>9308</v>
      </c>
      <c r="B4632" s="2" t="s">
        <v>9309</v>
      </c>
      <c r="C4632" s="2" t="s">
        <v>17</v>
      </c>
      <c r="D4632" s="2" t="s">
        <v>18</v>
      </c>
      <c r="E4632" s="5">
        <v>-28120</v>
      </c>
      <c r="F4632" s="3" t="s">
        <v>2772</v>
      </c>
      <c r="G4632" s="3" t="s">
        <v>27</v>
      </c>
      <c r="H4632" s="2" t="s">
        <v>21</v>
      </c>
      <c r="I4632" s="2" t="s">
        <v>9310</v>
      </c>
      <c r="J4632" s="3" t="str">
        <f>HYPERLINK("https://www.boe.es/gazeta/dias/1823/01/03/pdfs/GMD-1823-3.pdf#page=2","Abrir facsímil")</f>
        <v>Abrir facsímil</v>
      </c>
      <c r="K4632" s="3" t="s">
        <v>23</v>
      </c>
    </row>
    <row r="4633" spans="1:11" ht="42" customHeight="1">
      <c r="A4633" s="2" t="s">
        <v>9311</v>
      </c>
      <c r="B4633" s="2" t="s">
        <v>9311</v>
      </c>
      <c r="C4633" s="2" t="s">
        <v>109</v>
      </c>
      <c r="D4633" s="2" t="s">
        <v>74</v>
      </c>
      <c r="E4633" s="5">
        <v>-28082</v>
      </c>
      <c r="F4633" s="3" t="s">
        <v>468</v>
      </c>
      <c r="G4633" s="3" t="s">
        <v>59</v>
      </c>
      <c r="H4633" s="2" t="s">
        <v>21</v>
      </c>
      <c r="I4633" s="2" t="s">
        <v>9312</v>
      </c>
      <c r="J4633" s="3" t="str">
        <f>HYPERLINK("https://www.boe.es/gazeta/dias/1823/02/10/pdfs/GMD-1823-44.pdf#page=6","Abrir facsímil")</f>
        <v>Abrir facsímil</v>
      </c>
      <c r="K4633" s="3" t="s">
        <v>23</v>
      </c>
    </row>
    <row r="4634" spans="1:11" ht="42" customHeight="1">
      <c r="A4634" s="2" t="s">
        <v>9311</v>
      </c>
      <c r="B4634" s="2" t="s">
        <v>9311</v>
      </c>
      <c r="C4634" s="2" t="s">
        <v>325</v>
      </c>
      <c r="D4634" s="2" t="s">
        <v>74</v>
      </c>
      <c r="E4634" s="5">
        <v>-28037</v>
      </c>
      <c r="F4634" s="3" t="s">
        <v>192</v>
      </c>
      <c r="G4634" s="3" t="s">
        <v>20</v>
      </c>
      <c r="H4634" s="2" t="s">
        <v>21</v>
      </c>
      <c r="I4634" s="2" t="s">
        <v>9313</v>
      </c>
      <c r="J4634" s="3" t="str">
        <f>HYPERLINK("https://www.boe.es/gazeta/dias/1823/03/27/pdfs/GMD-1823-90.pdf#page=4","Abrir facsímil")</f>
        <v>Abrir facsímil</v>
      </c>
      <c r="K4634" s="3" t="s">
        <v>23</v>
      </c>
    </row>
    <row r="4635" spans="1:11" ht="42" customHeight="1">
      <c r="A4635" s="2" t="s">
        <v>9311</v>
      </c>
      <c r="B4635" s="2" t="s">
        <v>9311</v>
      </c>
      <c r="C4635" s="2" t="s">
        <v>56</v>
      </c>
      <c r="D4635" s="2" t="s">
        <v>57</v>
      </c>
      <c r="E4635" s="5">
        <v>-27848</v>
      </c>
      <c r="F4635" s="3" t="s">
        <v>1083</v>
      </c>
      <c r="G4635" s="3" t="s">
        <v>3622</v>
      </c>
      <c r="H4635" s="2" t="s">
        <v>21</v>
      </c>
      <c r="I4635" s="2" t="s">
        <v>9314</v>
      </c>
      <c r="J4635" s="3" t="str">
        <f>HYPERLINK("https://www.boe.es/gazeta/dias/1823/10/02/pdfs/GES-1823-176.pdf#page=4","Abrir facsímil")</f>
        <v>Abrir facsímil</v>
      </c>
      <c r="K4635" s="3" t="s">
        <v>23</v>
      </c>
    </row>
    <row r="4636" spans="1:11" ht="42" customHeight="1">
      <c r="A4636" s="2" t="s">
        <v>9315</v>
      </c>
      <c r="B4636" s="2" t="s">
        <v>9315</v>
      </c>
      <c r="C4636" s="2" t="s">
        <v>17</v>
      </c>
      <c r="D4636" s="2" t="s">
        <v>18</v>
      </c>
      <c r="E4636" s="5">
        <v>-28078</v>
      </c>
      <c r="F4636" s="3" t="s">
        <v>508</v>
      </c>
      <c r="G4636" s="3" t="s">
        <v>59</v>
      </c>
      <c r="H4636" s="2" t="s">
        <v>21</v>
      </c>
      <c r="I4636" s="2" t="s">
        <v>9316</v>
      </c>
      <c r="J4636" s="3" t="str">
        <f>HYPERLINK("https://www.boe.es/gazeta/dias/1823/02/14/pdfs/GMD-1823-48.pdf#page=6","Abrir facsímil")</f>
        <v>Abrir facsímil</v>
      </c>
      <c r="K4636" s="3" t="s">
        <v>23</v>
      </c>
    </row>
    <row r="4637" spans="1:11" ht="42" customHeight="1">
      <c r="A4637" s="2" t="s">
        <v>9317</v>
      </c>
      <c r="B4637" s="2" t="s">
        <v>9317</v>
      </c>
      <c r="C4637" s="2" t="s">
        <v>79</v>
      </c>
      <c r="D4637" s="2" t="s">
        <v>74</v>
      </c>
      <c r="E4637" s="5">
        <v>-27882</v>
      </c>
      <c r="F4637" s="3" t="s">
        <v>5179</v>
      </c>
      <c r="G4637" s="3" t="s">
        <v>27</v>
      </c>
      <c r="H4637" s="2" t="s">
        <v>21</v>
      </c>
      <c r="I4637" s="2" t="s">
        <v>9318</v>
      </c>
      <c r="J4637" s="3" t="str">
        <f>HYPERLINK("https://www.boe.es/gazeta/dias/1823/08/29/pdfs/GES-1823-142.pdf#page=2","Abrir facsímil")</f>
        <v>Abrir facsímil</v>
      </c>
      <c r="K4637" s="3" t="s">
        <v>23</v>
      </c>
    </row>
    <row r="4638" spans="1:11" ht="42" customHeight="1">
      <c r="A4638" s="2" t="s">
        <v>9319</v>
      </c>
      <c r="B4638" s="2" t="s">
        <v>9320</v>
      </c>
      <c r="C4638" s="2" t="s">
        <v>73</v>
      </c>
      <c r="D4638" s="2" t="s">
        <v>74</v>
      </c>
      <c r="E4638" s="5">
        <v>-28025</v>
      </c>
      <c r="F4638" s="3" t="s">
        <v>477</v>
      </c>
      <c r="G4638" s="3" t="s">
        <v>20</v>
      </c>
      <c r="H4638" s="2" t="s">
        <v>21</v>
      </c>
      <c r="I4638" s="2" t="s">
        <v>9321</v>
      </c>
      <c r="J4638" s="3" t="str">
        <f>HYPERLINK("https://www.boe.es/gazeta/dias/1823/04/08/pdfs/GMD-1823-103.pdf#page=4","Abrir facsímil")</f>
        <v>Abrir facsímil</v>
      </c>
      <c r="K4638" s="3" t="s">
        <v>23</v>
      </c>
    </row>
    <row r="4639" spans="1:11" ht="42" customHeight="1">
      <c r="A4639" s="2" t="s">
        <v>9322</v>
      </c>
      <c r="B4639" s="2" t="s">
        <v>9323</v>
      </c>
      <c r="C4639" s="2" t="s">
        <v>79</v>
      </c>
      <c r="D4639" s="2" t="s">
        <v>74</v>
      </c>
      <c r="E4639" s="5">
        <v>-28025</v>
      </c>
      <c r="F4639" s="3" t="s">
        <v>477</v>
      </c>
      <c r="G4639" s="3" t="s">
        <v>20</v>
      </c>
      <c r="H4639" s="2" t="s">
        <v>21</v>
      </c>
      <c r="I4639" s="2" t="s">
        <v>9324</v>
      </c>
      <c r="J4639" s="3" t="str">
        <f>HYPERLINK("https://www.boe.es/gazeta/dias/1823/04/08/pdfs/GMD-1823-103.pdf#page=4","Abrir facsímil")</f>
        <v>Abrir facsímil</v>
      </c>
      <c r="K4639" s="3" t="s">
        <v>23</v>
      </c>
    </row>
    <row r="4640" spans="1:11" ht="42" customHeight="1">
      <c r="A4640" s="2" t="s">
        <v>9325</v>
      </c>
      <c r="B4640" s="2" t="s">
        <v>9326</v>
      </c>
      <c r="C4640" s="2" t="s">
        <v>109</v>
      </c>
      <c r="D4640" s="2" t="s">
        <v>74</v>
      </c>
      <c r="E4640" s="5">
        <v>-28011</v>
      </c>
      <c r="F4640" s="3" t="s">
        <v>3326</v>
      </c>
      <c r="G4640" s="3" t="s">
        <v>20</v>
      </c>
      <c r="H4640" s="2" t="s">
        <v>21</v>
      </c>
      <c r="I4640" s="2" t="s">
        <v>9327</v>
      </c>
      <c r="J4640" s="3" t="str">
        <f>HYPERLINK("https://www.boe.es/gazeta/dias/1823/04/22/pdfs/GES-1823-12.pdf#page=4","Abrir facsímil")</f>
        <v>Abrir facsímil</v>
      </c>
      <c r="K4640" s="3" t="s">
        <v>23</v>
      </c>
    </row>
    <row r="4641" spans="1:11" ht="42" customHeight="1">
      <c r="A4641" s="2" t="s">
        <v>9328</v>
      </c>
      <c r="B4641" s="2" t="s">
        <v>9328</v>
      </c>
      <c r="C4641" s="2" t="s">
        <v>79</v>
      </c>
      <c r="D4641" s="2" t="s">
        <v>74</v>
      </c>
      <c r="E4641" s="5">
        <v>-28112</v>
      </c>
      <c r="F4641" s="3" t="s">
        <v>43</v>
      </c>
      <c r="G4641" s="3" t="s">
        <v>39</v>
      </c>
      <c r="H4641" s="2" t="s">
        <v>21</v>
      </c>
      <c r="I4641" s="2" t="s">
        <v>9329</v>
      </c>
      <c r="J4641" s="3" t="str">
        <f>HYPERLINK("https://www.boe.es/gazeta/dias/1823/01/11/pdfs/GMD-1823-11.pdf#page=1","Abrir facsímil")</f>
        <v>Abrir facsímil</v>
      </c>
      <c r="K4641" s="3" t="s">
        <v>23</v>
      </c>
    </row>
    <row r="4642" spans="1:11" ht="42" customHeight="1">
      <c r="A4642" s="2" t="s">
        <v>9328</v>
      </c>
      <c r="B4642" s="2" t="s">
        <v>9328</v>
      </c>
      <c r="C4642" s="2" t="s">
        <v>17</v>
      </c>
      <c r="D4642" s="2" t="s">
        <v>18</v>
      </c>
      <c r="E4642" s="5">
        <v>-28102</v>
      </c>
      <c r="F4642" s="3" t="s">
        <v>287</v>
      </c>
      <c r="G4642" s="3" t="s">
        <v>27</v>
      </c>
      <c r="H4642" s="2" t="s">
        <v>21</v>
      </c>
      <c r="I4642" s="2" t="s">
        <v>9330</v>
      </c>
      <c r="J4642" s="3" t="str">
        <f>HYPERLINK("https://www.boe.es/gazeta/dias/1823/01/21/pdfs/GMD-1823-22.pdf#page=2","Abrir facsímil")</f>
        <v>Abrir facsímil</v>
      </c>
      <c r="K4642" s="3" t="s">
        <v>23</v>
      </c>
    </row>
    <row r="4643" spans="1:11" ht="42" customHeight="1">
      <c r="A4643" s="2" t="s">
        <v>9328</v>
      </c>
      <c r="B4643" s="2" t="s">
        <v>9328</v>
      </c>
      <c r="C4643" s="2" t="s">
        <v>17</v>
      </c>
      <c r="D4643" s="2" t="s">
        <v>18</v>
      </c>
      <c r="E4643" s="5">
        <v>-28085</v>
      </c>
      <c r="F4643" s="3" t="s">
        <v>458</v>
      </c>
      <c r="G4643" s="3" t="s">
        <v>20</v>
      </c>
      <c r="H4643" s="2" t="s">
        <v>21</v>
      </c>
      <c r="I4643" s="2" t="s">
        <v>9331</v>
      </c>
      <c r="J4643" s="3" t="str">
        <f>HYPERLINK("https://www.boe.es/gazeta/dias/1823/02/07/pdfs/GMD-1823-40.pdf#page=4","Abrir facsímil")</f>
        <v>Abrir facsímil</v>
      </c>
      <c r="K4643" s="3" t="s">
        <v>23</v>
      </c>
    </row>
    <row r="4644" spans="1:11" ht="42" customHeight="1">
      <c r="A4644" s="2" t="s">
        <v>9328</v>
      </c>
      <c r="B4644" s="2" t="s">
        <v>9328</v>
      </c>
      <c r="C4644" s="2" t="s">
        <v>109</v>
      </c>
      <c r="D4644" s="2" t="s">
        <v>74</v>
      </c>
      <c r="E4644" s="5">
        <v>-28051</v>
      </c>
      <c r="F4644" s="3" t="s">
        <v>305</v>
      </c>
      <c r="G4644" s="3" t="s">
        <v>48</v>
      </c>
      <c r="H4644" s="2" t="s">
        <v>21</v>
      </c>
      <c r="I4644" s="2" t="s">
        <v>9332</v>
      </c>
      <c r="J4644" s="3" t="str">
        <f>HYPERLINK("https://www.boe.es/gazeta/dias/1823/03/13/pdfs/GMD-1823-76.pdf#page=3","Abrir facsímil")</f>
        <v>Abrir facsímil</v>
      </c>
      <c r="K4644" s="3" t="s">
        <v>23</v>
      </c>
    </row>
    <row r="4645" spans="1:11" ht="42" customHeight="1">
      <c r="A4645" s="2" t="s">
        <v>9333</v>
      </c>
      <c r="B4645" s="2" t="s">
        <v>9334</v>
      </c>
      <c r="C4645" s="2" t="s">
        <v>17</v>
      </c>
      <c r="D4645" s="2" t="s">
        <v>18</v>
      </c>
      <c r="E4645" s="5">
        <v>-28085</v>
      </c>
      <c r="F4645" s="3" t="s">
        <v>458</v>
      </c>
      <c r="G4645" s="3" t="s">
        <v>59</v>
      </c>
      <c r="H4645" s="2" t="s">
        <v>21</v>
      </c>
      <c r="I4645" s="2" t="s">
        <v>9335</v>
      </c>
      <c r="J4645" s="3" t="str">
        <f>HYPERLINK("https://www.boe.es/gazeta/dias/1823/02/07/pdfs/GMD-1823-40.pdf#page=6","Abrir facsímil")</f>
        <v>Abrir facsímil</v>
      </c>
      <c r="K4645" s="3" t="s">
        <v>23</v>
      </c>
    </row>
    <row r="4646" spans="1:11" ht="42" customHeight="1">
      <c r="A4646" s="2" t="s">
        <v>9336</v>
      </c>
      <c r="B4646" s="2" t="s">
        <v>9337</v>
      </c>
      <c r="C4646" s="2" t="s">
        <v>79</v>
      </c>
      <c r="D4646" s="2" t="s">
        <v>74</v>
      </c>
      <c r="E4646" s="5">
        <v>-28082</v>
      </c>
      <c r="F4646" s="3" t="s">
        <v>468</v>
      </c>
      <c r="G4646" s="3" t="s">
        <v>34</v>
      </c>
      <c r="H4646" s="2" t="s">
        <v>21</v>
      </c>
      <c r="I4646" s="2" t="s">
        <v>9338</v>
      </c>
      <c r="J4646" s="3" t="str">
        <f>HYPERLINK("https://www.boe.es/gazeta/dias/1823/02/10/pdfs/GMD-1823-44.pdf#page=5","Abrir facsímil")</f>
        <v>Abrir facsímil</v>
      </c>
      <c r="K4646" s="3" t="s">
        <v>23</v>
      </c>
    </row>
    <row r="4647" spans="1:11" ht="42" customHeight="1">
      <c r="A4647" s="2" t="s">
        <v>9339</v>
      </c>
      <c r="B4647" s="2" t="s">
        <v>9339</v>
      </c>
      <c r="C4647" s="2" t="s">
        <v>79</v>
      </c>
      <c r="D4647" s="2" t="s">
        <v>74</v>
      </c>
      <c r="E4647" s="5">
        <v>-28112</v>
      </c>
      <c r="F4647" s="3" t="s">
        <v>43</v>
      </c>
      <c r="G4647" s="3" t="s">
        <v>39</v>
      </c>
      <c r="H4647" s="2" t="s">
        <v>21</v>
      </c>
      <c r="I4647" s="2" t="s">
        <v>9340</v>
      </c>
      <c r="J4647" s="3" t="str">
        <f>HYPERLINK("https://www.boe.es/gazeta/dias/1823/01/11/pdfs/GMD-1823-11.pdf#page=1","Abrir facsímil")</f>
        <v>Abrir facsímil</v>
      </c>
      <c r="K4647" s="3" t="s">
        <v>23</v>
      </c>
    </row>
    <row r="4648" spans="1:11" ht="42" customHeight="1">
      <c r="A4648" s="2" t="s">
        <v>9341</v>
      </c>
      <c r="B4648" s="2" t="s">
        <v>9341</v>
      </c>
      <c r="C4648" s="2" t="s">
        <v>17</v>
      </c>
      <c r="D4648" s="2" t="s">
        <v>18</v>
      </c>
      <c r="E4648" s="5">
        <v>-27918</v>
      </c>
      <c r="F4648" s="3" t="s">
        <v>218</v>
      </c>
      <c r="G4648" s="3" t="s">
        <v>34</v>
      </c>
      <c r="H4648" s="2" t="s">
        <v>21</v>
      </c>
      <c r="I4648" s="2" t="s">
        <v>9342</v>
      </c>
      <c r="J4648" s="3" t="str">
        <f>HYPERLINK("https://www.boe.es/gazeta/dias/1823/07/24/pdfs/GMD-1823-463.pdf#page=5","Abrir facsímil")</f>
        <v>Abrir facsímil</v>
      </c>
      <c r="K4648" s="3" t="s">
        <v>23</v>
      </c>
    </row>
    <row r="4649" spans="1:11" ht="42" customHeight="1">
      <c r="A4649" s="2" t="s">
        <v>9343</v>
      </c>
      <c r="B4649" s="2" t="s">
        <v>9344</v>
      </c>
      <c r="C4649" s="2" t="s">
        <v>293</v>
      </c>
      <c r="D4649" s="2" t="s">
        <v>74</v>
      </c>
      <c r="E4649" s="5">
        <v>-28118</v>
      </c>
      <c r="F4649" s="3" t="s">
        <v>252</v>
      </c>
      <c r="G4649" s="3" t="s">
        <v>59</v>
      </c>
      <c r="H4649" s="2" t="s">
        <v>21</v>
      </c>
      <c r="I4649" s="2" t="s">
        <v>9345</v>
      </c>
      <c r="J4649" s="3" t="str">
        <f>HYPERLINK("https://www.boe.es/gazeta/dias/1823/01/05/pdfs/GMD-1823-5.pdf#page=6","Abrir facsímil")</f>
        <v>Abrir facsímil</v>
      </c>
      <c r="K4649" s="3" t="s">
        <v>23</v>
      </c>
    </row>
    <row r="4650" spans="1:11" ht="42" customHeight="1">
      <c r="A4650" s="2" t="s">
        <v>9346</v>
      </c>
      <c r="B4650" s="2" t="s">
        <v>9347</v>
      </c>
      <c r="C4650" s="2" t="s">
        <v>17</v>
      </c>
      <c r="D4650" s="2" t="s">
        <v>18</v>
      </c>
      <c r="E4650" s="5">
        <v>-28118</v>
      </c>
      <c r="F4650" s="3" t="s">
        <v>252</v>
      </c>
      <c r="G4650" s="3" t="s">
        <v>59</v>
      </c>
      <c r="H4650" s="2" t="s">
        <v>21</v>
      </c>
      <c r="I4650" s="2" t="s">
        <v>9348</v>
      </c>
      <c r="J4650" s="3" t="str">
        <f>HYPERLINK("https://www.boe.es/gazeta/dias/1823/01/05/pdfs/GMD-1823-5.pdf#page=6","Abrir facsímil")</f>
        <v>Abrir facsímil</v>
      </c>
      <c r="K4650" s="3" t="s">
        <v>23</v>
      </c>
    </row>
    <row r="4651" spans="1:11" ht="42" customHeight="1">
      <c r="A4651" s="2" t="s">
        <v>9349</v>
      </c>
      <c r="B4651" s="2" t="s">
        <v>9350</v>
      </c>
      <c r="C4651" s="2" t="s">
        <v>79</v>
      </c>
      <c r="D4651" s="2" t="s">
        <v>74</v>
      </c>
      <c r="E4651" s="5">
        <v>-27906</v>
      </c>
      <c r="F4651" s="3" t="s">
        <v>1527</v>
      </c>
      <c r="G4651" s="3" t="s">
        <v>59</v>
      </c>
      <c r="H4651" s="2" t="s">
        <v>21</v>
      </c>
      <c r="I4651" s="2" t="s">
        <v>9351</v>
      </c>
      <c r="J4651" s="3" t="str">
        <f>HYPERLINK("https://www.boe.es/gazeta/dias/1823/08/05/pdfs/GMD-1823-533.pdf#page=6","Abrir facsímil")</f>
        <v>Abrir facsímil</v>
      </c>
      <c r="K4651" s="3" t="s">
        <v>23</v>
      </c>
    </row>
    <row r="4652" spans="1:11" ht="42" customHeight="1">
      <c r="A4652" s="2" t="s">
        <v>9352</v>
      </c>
      <c r="B4652" s="2" t="s">
        <v>9353</v>
      </c>
      <c r="C4652" s="2" t="s">
        <v>293</v>
      </c>
      <c r="D4652" s="2" t="s">
        <v>74</v>
      </c>
      <c r="E4652" s="5">
        <v>-28093</v>
      </c>
      <c r="F4652" s="3" t="s">
        <v>1044</v>
      </c>
      <c r="G4652" s="3" t="s">
        <v>27</v>
      </c>
      <c r="H4652" s="2" t="s">
        <v>21</v>
      </c>
      <c r="I4652" s="2" t="s">
        <v>9354</v>
      </c>
      <c r="J4652" s="3" t="str">
        <f>HYPERLINK("https://www.boe.es/gazeta/dias/1823/01/30/pdfs/GMD-1823-31.pdf#page=2","Abrir facsímil")</f>
        <v>Abrir facsímil</v>
      </c>
      <c r="K4652" s="3" t="s">
        <v>23</v>
      </c>
    </row>
    <row r="4653" spans="1:11" ht="42" customHeight="1">
      <c r="A4653" s="2" t="s">
        <v>9355</v>
      </c>
      <c r="B4653" s="2" t="s">
        <v>9356</v>
      </c>
      <c r="C4653" s="2" t="s">
        <v>73</v>
      </c>
      <c r="D4653" s="2" t="s">
        <v>74</v>
      </c>
      <c r="E4653" s="5">
        <v>-27905</v>
      </c>
      <c r="F4653" s="3" t="s">
        <v>236</v>
      </c>
      <c r="G4653" s="3" t="s">
        <v>237</v>
      </c>
      <c r="H4653" s="2" t="s">
        <v>21</v>
      </c>
      <c r="I4653" s="2" t="s">
        <v>9357</v>
      </c>
      <c r="J4653" s="3" t="str">
        <f>HYPERLINK("https://www.boe.es/gazeta/dias/1823/08/06/pdfs/GES-1823-119.pdf#page=4","Abrir facsímil")</f>
        <v>Abrir facsímil</v>
      </c>
      <c r="K4653" s="3" t="s">
        <v>23</v>
      </c>
    </row>
    <row r="4654" spans="1:11" ht="42" customHeight="1">
      <c r="A4654" s="2" t="s">
        <v>9358</v>
      </c>
      <c r="B4654" s="2" t="s">
        <v>9359</v>
      </c>
      <c r="C4654" s="2" t="s">
        <v>73</v>
      </c>
      <c r="D4654" s="2" t="s">
        <v>74</v>
      </c>
      <c r="E4654" s="5">
        <v>-27992</v>
      </c>
      <c r="F4654" s="3" t="s">
        <v>565</v>
      </c>
      <c r="G4654" s="3" t="s">
        <v>20</v>
      </c>
      <c r="H4654" s="2" t="s">
        <v>21</v>
      </c>
      <c r="I4654" s="2" t="s">
        <v>9360</v>
      </c>
      <c r="J4654" s="3" t="str">
        <f>HYPERLINK("https://www.boe.es/gazeta/dias/1823/05/11/pdfs/GES-1823-31.pdf#page=4","Abrir facsímil")</f>
        <v>Abrir facsímil</v>
      </c>
      <c r="K4654" s="3" t="s">
        <v>23</v>
      </c>
    </row>
    <row r="4655" spans="1:11" ht="42" customHeight="1">
      <c r="A4655" s="2" t="s">
        <v>9361</v>
      </c>
      <c r="B4655" s="2" t="s">
        <v>9361</v>
      </c>
      <c r="C4655" s="2" t="s">
        <v>17</v>
      </c>
      <c r="D4655" s="2" t="s">
        <v>18</v>
      </c>
      <c r="E4655" s="5">
        <v>-27931</v>
      </c>
      <c r="F4655" s="3" t="s">
        <v>1833</v>
      </c>
      <c r="G4655" s="3" t="s">
        <v>48</v>
      </c>
      <c r="H4655" s="2" t="s">
        <v>21</v>
      </c>
      <c r="I4655" s="2" t="s">
        <v>9362</v>
      </c>
      <c r="J4655" s="3" t="str">
        <f>HYPERLINK("https://www.boe.es/gazeta/dias/1823/07/11/pdfs/GES-1823-91.pdf#page=3","Abrir facsímil")</f>
        <v>Abrir facsímil</v>
      </c>
      <c r="K4655" s="3" t="s">
        <v>23</v>
      </c>
    </row>
    <row r="4656" spans="1:11" ht="42" customHeight="1">
      <c r="A4656" s="2" t="s">
        <v>9363</v>
      </c>
      <c r="B4656" s="2" t="s">
        <v>9363</v>
      </c>
      <c r="C4656" s="2" t="s">
        <v>17</v>
      </c>
      <c r="D4656" s="2" t="s">
        <v>18</v>
      </c>
      <c r="E4656" s="5">
        <v>-28083</v>
      </c>
      <c r="F4656" s="3" t="s">
        <v>291</v>
      </c>
      <c r="G4656" s="3" t="s">
        <v>27</v>
      </c>
      <c r="H4656" s="2" t="s">
        <v>21</v>
      </c>
      <c r="I4656" s="2" t="s">
        <v>9364</v>
      </c>
      <c r="J4656" s="3" t="str">
        <f>HYPERLINK("https://www.boe.es/gazeta/dias/1823/02/09/pdfs/GMD-1823-43.pdf#page=2","Abrir facsímil")</f>
        <v>Abrir facsímil</v>
      </c>
      <c r="K4656" s="3" t="s">
        <v>23</v>
      </c>
    </row>
    <row r="4657" spans="1:11" ht="42" customHeight="1">
      <c r="A4657" s="2" t="s">
        <v>9365</v>
      </c>
      <c r="B4657" s="2" t="s">
        <v>9365</v>
      </c>
      <c r="C4657" s="2" t="s">
        <v>17</v>
      </c>
      <c r="D4657" s="2" t="s">
        <v>18</v>
      </c>
      <c r="E4657" s="5">
        <v>-27966</v>
      </c>
      <c r="F4657" s="3" t="s">
        <v>675</v>
      </c>
      <c r="G4657" s="3" t="s">
        <v>48</v>
      </c>
      <c r="H4657" s="2" t="s">
        <v>21</v>
      </c>
      <c r="I4657" s="2" t="s">
        <v>9366</v>
      </c>
      <c r="J4657" s="3" t="str">
        <f>HYPERLINK("https://www.boe.es/gazeta/dias/1823/06/06/pdfs/GES-1823-60.pdf#page=3","Abrir facsímil")</f>
        <v>Abrir facsímil</v>
      </c>
      <c r="K4657" s="3" t="s">
        <v>23</v>
      </c>
    </row>
    <row r="4658" spans="1:11" ht="42" customHeight="1">
      <c r="A4658" s="2" t="s">
        <v>9365</v>
      </c>
      <c r="B4658" s="2" t="s">
        <v>9365</v>
      </c>
      <c r="C4658" s="2" t="s">
        <v>17</v>
      </c>
      <c r="D4658" s="2" t="s">
        <v>18</v>
      </c>
      <c r="E4658" s="5">
        <v>-27890</v>
      </c>
      <c r="F4658" s="3" t="s">
        <v>1573</v>
      </c>
      <c r="G4658" s="3" t="s">
        <v>39</v>
      </c>
      <c r="H4658" s="2" t="s">
        <v>21</v>
      </c>
      <c r="I4658" s="2" t="s">
        <v>9367</v>
      </c>
      <c r="J4658" s="3" t="str">
        <f>HYPERLINK("https://www.boe.es/gazeta/dias/1823/08/21/pdfs/GMD-1823-623.pdf#page=1","Abrir facsímil")</f>
        <v>Abrir facsímil</v>
      </c>
      <c r="K4658" s="3" t="s">
        <v>23</v>
      </c>
    </row>
    <row r="4659" spans="1:11" ht="42" customHeight="1">
      <c r="A4659" s="2" t="s">
        <v>9365</v>
      </c>
      <c r="B4659" s="2" t="s">
        <v>9365</v>
      </c>
      <c r="C4659" s="2" t="s">
        <v>17</v>
      </c>
      <c r="D4659" s="2" t="s">
        <v>18</v>
      </c>
      <c r="E4659" s="5">
        <v>-27848</v>
      </c>
      <c r="F4659" s="3" t="s">
        <v>2665</v>
      </c>
      <c r="G4659" s="3" t="s">
        <v>48</v>
      </c>
      <c r="H4659" s="2" t="s">
        <v>21</v>
      </c>
      <c r="I4659" s="2" t="s">
        <v>9368</v>
      </c>
      <c r="J4659" s="3" t="str">
        <f>HYPERLINK("https://www.boe.es/gazeta/dias/1823/10/02/pdfs/GMD-1823-893.pdf#page=3","Abrir facsímil")</f>
        <v>Abrir facsímil</v>
      </c>
      <c r="K4659" s="3" t="s">
        <v>23</v>
      </c>
    </row>
    <row r="4660" spans="1:11" ht="42" customHeight="1">
      <c r="A4660" s="2" t="s">
        <v>9369</v>
      </c>
      <c r="B4660" s="2" t="s">
        <v>9369</v>
      </c>
      <c r="C4660" s="2" t="s">
        <v>79</v>
      </c>
      <c r="D4660" s="2" t="s">
        <v>74</v>
      </c>
      <c r="E4660" s="5">
        <v>-28062</v>
      </c>
      <c r="F4660" s="3" t="s">
        <v>1357</v>
      </c>
      <c r="G4660" s="3" t="s">
        <v>27</v>
      </c>
      <c r="H4660" s="2" t="s">
        <v>21</v>
      </c>
      <c r="I4660" s="2" t="s">
        <v>9370</v>
      </c>
      <c r="J4660" s="3" t="str">
        <f>HYPERLINK("https://www.boe.es/gazeta/dias/1823/03/02/pdfs/GMD-1823-65.pdf#page=2","Abrir facsímil")</f>
        <v>Abrir facsímil</v>
      </c>
      <c r="K4660" s="3" t="s">
        <v>23</v>
      </c>
    </row>
    <row r="4661" spans="1:11" ht="42" customHeight="1">
      <c r="A4661" s="2" t="s">
        <v>9369</v>
      </c>
      <c r="B4661" s="2" t="s">
        <v>9369</v>
      </c>
      <c r="C4661" s="2" t="s">
        <v>17</v>
      </c>
      <c r="D4661" s="2" t="s">
        <v>18</v>
      </c>
      <c r="E4661" s="5">
        <v>-27991</v>
      </c>
      <c r="F4661" s="3" t="s">
        <v>328</v>
      </c>
      <c r="G4661" s="3" t="s">
        <v>34</v>
      </c>
      <c r="H4661" s="2" t="s">
        <v>21</v>
      </c>
      <c r="I4661" s="2" t="s">
        <v>9371</v>
      </c>
      <c r="J4661" s="3" t="str">
        <f>HYPERLINK("https://www.boe.es/gazeta/dias/1823/05/12/pdfs/GES-1823-32.pdf#page=5","Abrir facsímil")</f>
        <v>Abrir facsímil</v>
      </c>
      <c r="K4661" s="3" t="s">
        <v>23</v>
      </c>
    </row>
    <row r="4662" spans="1:11" ht="42" customHeight="1">
      <c r="A4662" s="2" t="s">
        <v>9369</v>
      </c>
      <c r="B4662" s="2" t="s">
        <v>9369</v>
      </c>
      <c r="C4662" s="2" t="s">
        <v>17</v>
      </c>
      <c r="D4662" s="2" t="s">
        <v>18</v>
      </c>
      <c r="E4662" s="5">
        <v>-27944</v>
      </c>
      <c r="F4662" s="3" t="s">
        <v>2823</v>
      </c>
      <c r="G4662" s="3" t="s">
        <v>20</v>
      </c>
      <c r="H4662" s="2" t="s">
        <v>21</v>
      </c>
      <c r="I4662" s="2" t="s">
        <v>9372</v>
      </c>
      <c r="J4662" s="3" t="str">
        <f>HYPERLINK("https://www.boe.es/gazeta/dias/1823/06/28/pdfs/GES-1823-78.pdf#page=4","Abrir facsímil")</f>
        <v>Abrir facsímil</v>
      </c>
      <c r="K4662" s="3" t="s">
        <v>23</v>
      </c>
    </row>
    <row r="4663" spans="1:11" ht="42" customHeight="1">
      <c r="A4663" s="2" t="s">
        <v>9369</v>
      </c>
      <c r="B4663" s="2" t="s">
        <v>9369</v>
      </c>
      <c r="C4663" s="2" t="s">
        <v>73</v>
      </c>
      <c r="D4663" s="2" t="s">
        <v>74</v>
      </c>
      <c r="E4663" s="5">
        <v>-27914</v>
      </c>
      <c r="F4663" s="3" t="s">
        <v>776</v>
      </c>
      <c r="G4663" s="3" t="s">
        <v>20</v>
      </c>
      <c r="H4663" s="2" t="s">
        <v>21</v>
      </c>
      <c r="I4663" s="2" t="s">
        <v>9373</v>
      </c>
      <c r="J4663" s="3" t="str">
        <f>HYPERLINK("https://www.boe.es/gazeta/dias/1823/07/28/pdfs/GES-1823-109.pdf#page=4","Abrir facsímil")</f>
        <v>Abrir facsímil</v>
      </c>
      <c r="K4663" s="3" t="s">
        <v>23</v>
      </c>
    </row>
    <row r="4664" spans="1:11" ht="42" customHeight="1">
      <c r="A4664" s="2" t="s">
        <v>9369</v>
      </c>
      <c r="B4664" s="2" t="s">
        <v>9369</v>
      </c>
      <c r="C4664" s="2" t="s">
        <v>17</v>
      </c>
      <c r="D4664" s="2" t="s">
        <v>18</v>
      </c>
      <c r="E4664" s="5">
        <v>-27857</v>
      </c>
      <c r="F4664" s="3" t="s">
        <v>378</v>
      </c>
      <c r="G4664" s="3" t="s">
        <v>20</v>
      </c>
      <c r="H4664" s="2" t="s">
        <v>21</v>
      </c>
      <c r="I4664" s="2" t="s">
        <v>9374</v>
      </c>
      <c r="J4664" s="3" t="str">
        <f>HYPERLINK("https://www.boe.es/gazeta/dias/1823/09/23/pdfs/GMD-1823-833.pdf#page=4","Abrir facsímil")</f>
        <v>Abrir facsímil</v>
      </c>
      <c r="K4664" s="3" t="s">
        <v>23</v>
      </c>
    </row>
    <row r="4665" spans="1:11" ht="42" customHeight="1">
      <c r="A4665" s="2" t="s">
        <v>9375</v>
      </c>
      <c r="B4665" s="2" t="s">
        <v>9376</v>
      </c>
      <c r="C4665" s="2" t="s">
        <v>17</v>
      </c>
      <c r="D4665" s="2" t="s">
        <v>18</v>
      </c>
      <c r="E4665" s="5">
        <v>-27984</v>
      </c>
      <c r="F4665" s="3" t="s">
        <v>335</v>
      </c>
      <c r="G4665" s="3" t="s">
        <v>59</v>
      </c>
      <c r="H4665" s="2" t="s">
        <v>21</v>
      </c>
      <c r="I4665" s="2" t="s">
        <v>9377</v>
      </c>
      <c r="J4665" s="3" t="str">
        <f>HYPERLINK("https://www.boe.es/gazeta/dias/1823/05/19/pdfs/GES-1823-39.pdf#page=6","Abrir facsímil")</f>
        <v>Abrir facsímil</v>
      </c>
      <c r="K4665" s="3" t="s">
        <v>23</v>
      </c>
    </row>
    <row r="4666" spans="1:11" ht="42" customHeight="1">
      <c r="A4666" s="2" t="s">
        <v>9378</v>
      </c>
      <c r="B4666" s="2" t="s">
        <v>9379</v>
      </c>
      <c r="C4666" s="2" t="s">
        <v>56</v>
      </c>
      <c r="D4666" s="2" t="s">
        <v>57</v>
      </c>
      <c r="E4666" s="5">
        <v>-27801</v>
      </c>
      <c r="F4666" s="3" t="s">
        <v>800</v>
      </c>
      <c r="G4666" s="3" t="s">
        <v>20</v>
      </c>
      <c r="H4666" s="2" t="s">
        <v>21</v>
      </c>
      <c r="I4666" s="2" t="s">
        <v>9380</v>
      </c>
      <c r="J4666" s="3" t="str">
        <f>HYPERLINK("https://www.boe.es/gazeta/dias/1823/11/18/pdfs/GMD-1823-1133.pdf#page=4","Abrir facsímil")</f>
        <v>Abrir facsímil</v>
      </c>
      <c r="K4666" s="3" t="s">
        <v>23</v>
      </c>
    </row>
    <row r="4667" spans="1:11" ht="42" customHeight="1">
      <c r="A4667" s="2" t="s">
        <v>9381</v>
      </c>
      <c r="B4667" s="2" t="s">
        <v>9382</v>
      </c>
      <c r="C4667" s="2" t="s">
        <v>293</v>
      </c>
      <c r="D4667" s="2" t="s">
        <v>74</v>
      </c>
      <c r="E4667" s="5">
        <v>-28013</v>
      </c>
      <c r="F4667" s="3" t="s">
        <v>105</v>
      </c>
      <c r="G4667" s="3" t="s">
        <v>20</v>
      </c>
      <c r="H4667" s="2" t="s">
        <v>21</v>
      </c>
      <c r="I4667" s="2" t="s">
        <v>9383</v>
      </c>
      <c r="J4667" s="3" t="str">
        <f>HYPERLINK("https://www.boe.es/gazeta/dias/1823/04/20/pdfs/GMD-1823-32.pdf#page=4","Abrir facsímil")</f>
        <v>Abrir facsímil</v>
      </c>
      <c r="K4667" s="3" t="s">
        <v>23</v>
      </c>
    </row>
    <row r="4668" spans="1:11" ht="42" customHeight="1">
      <c r="A4668" s="2" t="s">
        <v>9384</v>
      </c>
      <c r="B4668" s="2" t="s">
        <v>9384</v>
      </c>
      <c r="C4668" s="2" t="s">
        <v>79</v>
      </c>
      <c r="D4668" s="2" t="s">
        <v>74</v>
      </c>
      <c r="E4668" s="5">
        <v>-27848</v>
      </c>
      <c r="F4668" s="3" t="s">
        <v>2665</v>
      </c>
      <c r="G4668" s="3" t="s">
        <v>27</v>
      </c>
      <c r="H4668" s="2" t="s">
        <v>21</v>
      </c>
      <c r="I4668" s="2" t="s">
        <v>9385</v>
      </c>
      <c r="J4668" s="3" t="str">
        <f>HYPERLINK("https://www.boe.es/gazeta/dias/1823/10/02/pdfs/GMD-1823-893.pdf#page=2","Abrir facsímil")</f>
        <v>Abrir facsímil</v>
      </c>
      <c r="K4668" s="3" t="s">
        <v>23</v>
      </c>
    </row>
    <row r="4669" spans="1:11" ht="42" customHeight="1">
      <c r="A4669" s="2" t="s">
        <v>9386</v>
      </c>
      <c r="B4669" s="2" t="s">
        <v>9386</v>
      </c>
      <c r="C4669" s="2" t="s">
        <v>73</v>
      </c>
      <c r="D4669" s="2" t="s">
        <v>74</v>
      </c>
      <c r="E4669" s="5">
        <v>-28048</v>
      </c>
      <c r="F4669" s="3" t="s">
        <v>399</v>
      </c>
      <c r="G4669" s="3" t="s">
        <v>20</v>
      </c>
      <c r="H4669" s="2" t="s">
        <v>21</v>
      </c>
      <c r="I4669" s="2" t="s">
        <v>9387</v>
      </c>
      <c r="J4669" s="3" t="str">
        <f>HYPERLINK("https://www.boe.es/gazeta/dias/1823/03/16/pdfs/GMD-1823-79.pdf#page=4","Abrir facsímil")</f>
        <v>Abrir facsímil</v>
      </c>
      <c r="K4669" s="3" t="s">
        <v>23</v>
      </c>
    </row>
    <row r="4670" spans="1:11" ht="42" customHeight="1">
      <c r="A4670" s="2" t="s">
        <v>9388</v>
      </c>
      <c r="B4670" s="2" t="s">
        <v>9389</v>
      </c>
      <c r="C4670" s="2" t="s">
        <v>17</v>
      </c>
      <c r="D4670" s="2" t="s">
        <v>18</v>
      </c>
      <c r="E4670" s="5">
        <v>-27836</v>
      </c>
      <c r="F4670" s="3" t="s">
        <v>4069</v>
      </c>
      <c r="G4670" s="3" t="s">
        <v>20</v>
      </c>
      <c r="H4670" s="2" t="s">
        <v>21</v>
      </c>
      <c r="I4670" s="2" t="s">
        <v>9390</v>
      </c>
      <c r="J4670" s="3" t="str">
        <f>HYPERLINK("https://www.boe.es/gazeta/dias/1823/10/14/pdfs/GMD-1823-973.pdf#page=4","Abrir facsímil")</f>
        <v>Abrir facsímil</v>
      </c>
      <c r="K4670" s="3" t="s">
        <v>23</v>
      </c>
    </row>
    <row r="4671" spans="1:11" ht="42" customHeight="1">
      <c r="A4671" s="2" t="s">
        <v>9391</v>
      </c>
      <c r="B4671" s="2" t="s">
        <v>9391</v>
      </c>
      <c r="C4671" s="2" t="s">
        <v>17</v>
      </c>
      <c r="D4671" s="2" t="s">
        <v>18</v>
      </c>
      <c r="E4671" s="5">
        <v>-27879</v>
      </c>
      <c r="F4671" s="3" t="s">
        <v>638</v>
      </c>
      <c r="G4671" s="3" t="s">
        <v>39</v>
      </c>
      <c r="H4671" s="2" t="s">
        <v>21</v>
      </c>
      <c r="I4671" s="2" t="s">
        <v>9392</v>
      </c>
      <c r="J4671" s="3" t="str">
        <f>HYPERLINK("https://www.boe.es/gazeta/dias/1823/09/01/pdfs/GES-1823-145.pdf#page=1","Abrir facsímil")</f>
        <v>Abrir facsímil</v>
      </c>
      <c r="K4671" s="3" t="s">
        <v>23</v>
      </c>
    </row>
    <row r="4672" spans="1:11" ht="42" customHeight="1">
      <c r="A4672" s="2" t="s">
        <v>9391</v>
      </c>
      <c r="B4672" s="2" t="s">
        <v>9391</v>
      </c>
      <c r="C4672" s="2" t="s">
        <v>17</v>
      </c>
      <c r="D4672" s="2" t="s">
        <v>18</v>
      </c>
      <c r="E4672" s="5">
        <v>-27863</v>
      </c>
      <c r="F4672" s="3" t="s">
        <v>651</v>
      </c>
      <c r="G4672" s="3" t="s">
        <v>39</v>
      </c>
      <c r="H4672" s="2" t="s">
        <v>21</v>
      </c>
      <c r="I4672" s="2" t="s">
        <v>9393</v>
      </c>
      <c r="J4672" s="3" t="str">
        <f>HYPERLINK("https://www.boe.es/gazeta/dias/1823/09/17/pdfs/GES-1823-161.pdf#page=1","Abrir facsímil")</f>
        <v>Abrir facsímil</v>
      </c>
      <c r="K4672" s="3" t="s">
        <v>23</v>
      </c>
    </row>
    <row r="4673" spans="1:11" ht="42" customHeight="1">
      <c r="A4673" s="2" t="s">
        <v>9391</v>
      </c>
      <c r="B4673" s="2" t="s">
        <v>9391</v>
      </c>
      <c r="C4673" s="2" t="s">
        <v>17</v>
      </c>
      <c r="D4673" s="2" t="s">
        <v>18</v>
      </c>
      <c r="E4673" s="5">
        <v>-27848</v>
      </c>
      <c r="F4673" s="3" t="s">
        <v>2665</v>
      </c>
      <c r="G4673" s="3" t="s">
        <v>48</v>
      </c>
      <c r="H4673" s="2" t="s">
        <v>21</v>
      </c>
      <c r="I4673" s="2" t="s">
        <v>9394</v>
      </c>
      <c r="J4673" s="3" t="str">
        <f>HYPERLINK("https://www.boe.es/gazeta/dias/1823/10/02/pdfs/GMD-1823-893.pdf#page=3","Abrir facsímil")</f>
        <v>Abrir facsímil</v>
      </c>
      <c r="K4673" s="3" t="s">
        <v>23</v>
      </c>
    </row>
    <row r="4674" spans="1:11" ht="42" customHeight="1">
      <c r="A4674" s="2" t="s">
        <v>9391</v>
      </c>
      <c r="B4674" s="2" t="s">
        <v>9391</v>
      </c>
      <c r="C4674" s="2" t="s">
        <v>17</v>
      </c>
      <c r="D4674" s="2" t="s">
        <v>18</v>
      </c>
      <c r="E4674" s="5">
        <v>-27843</v>
      </c>
      <c r="F4674" s="3" t="s">
        <v>790</v>
      </c>
      <c r="G4674" s="3" t="s">
        <v>48</v>
      </c>
      <c r="H4674" s="2" t="s">
        <v>21</v>
      </c>
      <c r="I4674" s="2" t="s">
        <v>9395</v>
      </c>
      <c r="J4674" s="3" t="str">
        <f>HYPERLINK("https://www.boe.es/gazeta/dias/1823/10/07/pdfs/GMD-1823-933.pdf#page=3","Abrir facsímil")</f>
        <v>Abrir facsímil</v>
      </c>
      <c r="K4674" s="3" t="s">
        <v>23</v>
      </c>
    </row>
    <row r="4675" spans="1:11" ht="42" customHeight="1">
      <c r="A4675" s="2" t="s">
        <v>9391</v>
      </c>
      <c r="B4675" s="2" t="s">
        <v>9391</v>
      </c>
      <c r="C4675" s="2" t="s">
        <v>17</v>
      </c>
      <c r="D4675" s="2" t="s">
        <v>18</v>
      </c>
      <c r="E4675" s="5">
        <v>-27822</v>
      </c>
      <c r="F4675" s="3" t="s">
        <v>992</v>
      </c>
      <c r="G4675" s="3" t="s">
        <v>27</v>
      </c>
      <c r="H4675" s="2" t="s">
        <v>21</v>
      </c>
      <c r="I4675" s="2" t="s">
        <v>9396</v>
      </c>
      <c r="J4675" s="3" t="str">
        <f>HYPERLINK("https://www.boe.es/gazeta/dias/1823/10/28/pdfs/GMD-1823-1033.pdf#page=2","Abrir facsímil")</f>
        <v>Abrir facsímil</v>
      </c>
      <c r="K4675" s="3" t="s">
        <v>23</v>
      </c>
    </row>
    <row r="4676" spans="1:11" ht="42" customHeight="1">
      <c r="A4676" s="2" t="s">
        <v>9391</v>
      </c>
      <c r="B4676" s="2" t="s">
        <v>9391</v>
      </c>
      <c r="C4676" s="2" t="s">
        <v>17</v>
      </c>
      <c r="D4676" s="2" t="s">
        <v>18</v>
      </c>
      <c r="E4676" s="5">
        <v>-27811</v>
      </c>
      <c r="F4676" s="3" t="s">
        <v>834</v>
      </c>
      <c r="G4676" s="3" t="s">
        <v>27</v>
      </c>
      <c r="H4676" s="2" t="s">
        <v>21</v>
      </c>
      <c r="I4676" s="2" t="s">
        <v>9397</v>
      </c>
      <c r="J4676" s="3" t="str">
        <f>HYPERLINK("https://www.boe.es/gazeta/dias/1823/11/08/pdfs/GMD-1823-1083.pdf#page=2","Abrir facsímil")</f>
        <v>Abrir facsímil</v>
      </c>
      <c r="K4676" s="3" t="s">
        <v>23</v>
      </c>
    </row>
    <row r="4677" spans="1:11" ht="42" customHeight="1">
      <c r="A4677" s="2" t="s">
        <v>9391</v>
      </c>
      <c r="B4677" s="2" t="s">
        <v>9391</v>
      </c>
      <c r="C4677" s="2" t="s">
        <v>17</v>
      </c>
      <c r="D4677" s="2" t="s">
        <v>18</v>
      </c>
      <c r="E4677" s="5">
        <v>-27766</v>
      </c>
      <c r="F4677" s="3" t="s">
        <v>3450</v>
      </c>
      <c r="G4677" s="3" t="s">
        <v>39</v>
      </c>
      <c r="H4677" s="2" t="s">
        <v>21</v>
      </c>
      <c r="I4677" s="2" t="s">
        <v>9398</v>
      </c>
      <c r="J4677" s="3" t="str">
        <f>HYPERLINK("https://www.boe.es/gazeta/dias/1823/12/23/pdfs/GMD-1823-1283.pdf#page=1","Abrir facsímil")</f>
        <v>Abrir facsímil</v>
      </c>
      <c r="K4677" s="3" t="s">
        <v>23</v>
      </c>
    </row>
    <row r="4678" spans="1:11" ht="42" customHeight="1">
      <c r="A4678" s="2" t="s">
        <v>9399</v>
      </c>
      <c r="B4678" s="2" t="s">
        <v>9400</v>
      </c>
      <c r="C4678" s="2" t="s">
        <v>17</v>
      </c>
      <c r="D4678" s="2" t="s">
        <v>18</v>
      </c>
      <c r="E4678" s="5">
        <v>-27794</v>
      </c>
      <c r="F4678" s="3" t="s">
        <v>747</v>
      </c>
      <c r="G4678" s="3" t="s">
        <v>48</v>
      </c>
      <c r="H4678" s="2" t="s">
        <v>21</v>
      </c>
      <c r="I4678" s="2" t="s">
        <v>9401</v>
      </c>
      <c r="J4678" s="3" t="str">
        <f>HYPERLINK("https://www.boe.es/gazeta/dias/1823/11/25/pdfs/GMD-1823-1163.pdf#page=3","Abrir facsímil")</f>
        <v>Abrir facsímil</v>
      </c>
      <c r="K4678" s="3" t="s">
        <v>23</v>
      </c>
    </row>
    <row r="4679" spans="1:11" ht="42" customHeight="1">
      <c r="A4679" s="2" t="s">
        <v>9402</v>
      </c>
      <c r="B4679" s="2" t="s">
        <v>9403</v>
      </c>
      <c r="C4679" s="2" t="s">
        <v>17</v>
      </c>
      <c r="D4679" s="2" t="s">
        <v>18</v>
      </c>
      <c r="E4679" s="5">
        <v>-27832</v>
      </c>
      <c r="F4679" s="3" t="s">
        <v>1815</v>
      </c>
      <c r="G4679" s="3" t="s">
        <v>27</v>
      </c>
      <c r="H4679" s="2" t="s">
        <v>21</v>
      </c>
      <c r="I4679" s="2" t="s">
        <v>9404</v>
      </c>
      <c r="J4679" s="3" t="str">
        <f>HYPERLINK("https://www.boe.es/gazeta/dias/1823/10/18/pdfs/GMD-1823-993.pdf#page=2","Abrir facsímil")</f>
        <v>Abrir facsímil</v>
      </c>
      <c r="K4679" s="3" t="s">
        <v>23</v>
      </c>
    </row>
    <row r="4680" spans="1:11" ht="42" customHeight="1">
      <c r="A4680" s="2" t="s">
        <v>9405</v>
      </c>
      <c r="B4680" s="2" t="s">
        <v>9405</v>
      </c>
      <c r="C4680" s="2" t="s">
        <v>17</v>
      </c>
      <c r="D4680" s="2" t="s">
        <v>18</v>
      </c>
      <c r="E4680" s="5">
        <v>-27909</v>
      </c>
      <c r="F4680" s="3" t="s">
        <v>1525</v>
      </c>
      <c r="G4680" s="3" t="s">
        <v>48</v>
      </c>
      <c r="H4680" s="2" t="s">
        <v>21</v>
      </c>
      <c r="I4680" s="2" t="s">
        <v>9406</v>
      </c>
      <c r="J4680" s="3" t="str">
        <f>HYPERLINK("https://www.boe.es/gazeta/dias/1823/08/02/pdfs/GMD-1823-513.pdf#page=3","Abrir facsímil")</f>
        <v>Abrir facsímil</v>
      </c>
      <c r="K4680" s="3" t="s">
        <v>23</v>
      </c>
    </row>
    <row r="4681" spans="1:11" ht="42" customHeight="1">
      <c r="A4681" s="2" t="s">
        <v>9407</v>
      </c>
      <c r="B4681" s="2" t="s">
        <v>9407</v>
      </c>
      <c r="C4681" s="2" t="s">
        <v>79</v>
      </c>
      <c r="D4681" s="2" t="s">
        <v>74</v>
      </c>
      <c r="E4681" s="5">
        <v>-27953</v>
      </c>
      <c r="F4681" s="3" t="s">
        <v>1543</v>
      </c>
      <c r="G4681" s="3" t="s">
        <v>39</v>
      </c>
      <c r="H4681" s="2" t="s">
        <v>21</v>
      </c>
      <c r="I4681" s="2" t="s">
        <v>9408</v>
      </c>
      <c r="J4681" s="3" t="str">
        <f>HYPERLINK("https://www.boe.es/gazeta/dias/1823/06/19/pdfs/GMD-1823-193.pdf#page=1","Abrir facsímil")</f>
        <v>Abrir facsímil</v>
      </c>
      <c r="K4681" s="3" t="s">
        <v>23</v>
      </c>
    </row>
    <row r="4682" spans="1:11" ht="42" customHeight="1">
      <c r="A4682" s="2" t="s">
        <v>9407</v>
      </c>
      <c r="B4682" s="2" t="s">
        <v>9407</v>
      </c>
      <c r="C4682" s="2" t="s">
        <v>17</v>
      </c>
      <c r="D4682" s="2" t="s">
        <v>18</v>
      </c>
      <c r="E4682" s="5">
        <v>-27897</v>
      </c>
      <c r="F4682" s="3" t="s">
        <v>1569</v>
      </c>
      <c r="G4682" s="3" t="s">
        <v>20</v>
      </c>
      <c r="H4682" s="2" t="s">
        <v>21</v>
      </c>
      <c r="I4682" s="2" t="s">
        <v>9409</v>
      </c>
      <c r="J4682" s="3" t="str">
        <f>HYPERLINK("https://www.boe.es/gazeta/dias/1823/08/14/pdfs/GMD-1823-593.pdf#page=4","Abrir facsímil")</f>
        <v>Abrir facsímil</v>
      </c>
      <c r="K4682" s="3" t="s">
        <v>23</v>
      </c>
    </row>
    <row r="4683" spans="1:11" ht="42" customHeight="1">
      <c r="A4683" s="2" t="s">
        <v>9410</v>
      </c>
      <c r="B4683" s="2" t="s">
        <v>9410</v>
      </c>
      <c r="C4683" s="2" t="s">
        <v>79</v>
      </c>
      <c r="D4683" s="2" t="s">
        <v>74</v>
      </c>
      <c r="E4683" s="5">
        <v>-27944</v>
      </c>
      <c r="F4683" s="3" t="s">
        <v>2823</v>
      </c>
      <c r="G4683" s="3" t="s">
        <v>27</v>
      </c>
      <c r="H4683" s="2" t="s">
        <v>21</v>
      </c>
      <c r="I4683" s="2" t="s">
        <v>9411</v>
      </c>
      <c r="J4683" s="3" t="str">
        <f>HYPERLINK("https://www.boe.es/gazeta/dias/1823/06/28/pdfs/GES-1823-78.pdf#page=2","Abrir facsímil")</f>
        <v>Abrir facsímil</v>
      </c>
      <c r="K4683" s="3" t="s">
        <v>23</v>
      </c>
    </row>
    <row r="4684" spans="1:11" ht="42" customHeight="1">
      <c r="A4684" s="2" t="s">
        <v>9412</v>
      </c>
      <c r="B4684" s="2" t="s">
        <v>9412</v>
      </c>
      <c r="C4684" s="2" t="s">
        <v>56</v>
      </c>
      <c r="D4684" s="2" t="s">
        <v>57</v>
      </c>
      <c r="E4684" s="5">
        <v>-27960</v>
      </c>
      <c r="F4684" s="3" t="s">
        <v>682</v>
      </c>
      <c r="G4684" s="3" t="s">
        <v>48</v>
      </c>
      <c r="H4684" s="2" t="s">
        <v>21</v>
      </c>
      <c r="I4684" s="2" t="s">
        <v>9413</v>
      </c>
      <c r="J4684" s="3" t="str">
        <f>HYPERLINK("https://www.boe.es/gazeta/dias/1823/06/12/pdfs/GMD-1823-123.pdf#page=3","Abrir facsímil")</f>
        <v>Abrir facsímil</v>
      </c>
      <c r="K4684" s="3" t="s">
        <v>23</v>
      </c>
    </row>
    <row r="4685" spans="1:11" ht="42" customHeight="1">
      <c r="A4685" s="2" t="s">
        <v>9414</v>
      </c>
      <c r="B4685" s="2" t="s">
        <v>9414</v>
      </c>
      <c r="C4685" s="2" t="s">
        <v>79</v>
      </c>
      <c r="D4685" s="2" t="s">
        <v>74</v>
      </c>
      <c r="E4685" s="5">
        <v>-28117</v>
      </c>
      <c r="F4685" s="3" t="s">
        <v>271</v>
      </c>
      <c r="G4685" s="3" t="s">
        <v>34</v>
      </c>
      <c r="H4685" s="2" t="s">
        <v>21</v>
      </c>
      <c r="I4685" s="2" t="s">
        <v>9415</v>
      </c>
      <c r="J4685" s="3" t="str">
        <f>HYPERLINK("https://www.boe.es/gazeta/dias/1823/01/06/pdfs/GMD-1823-6.pdf#page=5","Abrir facsímil")</f>
        <v>Abrir facsímil</v>
      </c>
      <c r="K4685" s="3" t="s">
        <v>23</v>
      </c>
    </row>
    <row r="4686" spans="1:11" ht="42" customHeight="1">
      <c r="A4686" s="2" t="s">
        <v>9416</v>
      </c>
      <c r="B4686" s="2" t="s">
        <v>9417</v>
      </c>
      <c r="C4686" s="2" t="s">
        <v>17</v>
      </c>
      <c r="D4686" s="2" t="s">
        <v>18</v>
      </c>
      <c r="E4686" s="5">
        <v>-28021</v>
      </c>
      <c r="F4686" s="3" t="s">
        <v>1054</v>
      </c>
      <c r="G4686" s="3" t="s">
        <v>1055</v>
      </c>
      <c r="H4686" s="2" t="s">
        <v>21</v>
      </c>
      <c r="I4686" s="2" t="s">
        <v>9418</v>
      </c>
      <c r="J4686" s="3" t="str">
        <f>HYPERLINK("https://www.boe.es/gazeta/dias/1823/04/12/pdfs/GMD-1823-107.pdf#page=4","Abrir facsímil")</f>
        <v>Abrir facsímil</v>
      </c>
      <c r="K4686" s="3" t="s">
        <v>23</v>
      </c>
    </row>
    <row r="4687" spans="1:11" ht="42" customHeight="1">
      <c r="A4687" s="2" t="s">
        <v>9419</v>
      </c>
      <c r="B4687" s="2" t="s">
        <v>9420</v>
      </c>
      <c r="C4687" s="2" t="s">
        <v>17</v>
      </c>
      <c r="D4687" s="2" t="s">
        <v>18</v>
      </c>
      <c r="E4687" s="5">
        <v>-28002</v>
      </c>
      <c r="F4687" s="3" t="s">
        <v>315</v>
      </c>
      <c r="G4687" s="3" t="s">
        <v>27</v>
      </c>
      <c r="H4687" s="2" t="s">
        <v>21</v>
      </c>
      <c r="I4687" s="2" t="s">
        <v>9421</v>
      </c>
      <c r="J4687" s="3" t="str">
        <f>HYPERLINK("https://www.boe.es/gazeta/dias/1823/05/01/pdfs/GES-1823-21.pdf#page=2","Abrir facsímil")</f>
        <v>Abrir facsímil</v>
      </c>
      <c r="K4687" s="3" t="s">
        <v>23</v>
      </c>
    </row>
    <row r="4688" spans="1:11" ht="42" customHeight="1">
      <c r="A4688" s="2" t="s">
        <v>9422</v>
      </c>
      <c r="B4688" s="2" t="s">
        <v>9422</v>
      </c>
      <c r="C4688" s="2" t="s">
        <v>109</v>
      </c>
      <c r="D4688" s="2" t="s">
        <v>74</v>
      </c>
      <c r="E4688" s="5">
        <v>-28103</v>
      </c>
      <c r="F4688" s="3" t="s">
        <v>285</v>
      </c>
      <c r="G4688" s="3" t="s">
        <v>27</v>
      </c>
      <c r="H4688" s="2" t="s">
        <v>21</v>
      </c>
      <c r="I4688" s="2" t="s">
        <v>9423</v>
      </c>
      <c r="J4688" s="3" t="str">
        <f>HYPERLINK("https://www.boe.es/gazeta/dias/1823/01/20/pdfs/GMD-1823-20.pdf#page=2","Abrir facsímil")</f>
        <v>Abrir facsímil</v>
      </c>
      <c r="K4688" s="3" t="s">
        <v>23</v>
      </c>
    </row>
    <row r="4689" spans="1:11" ht="42" customHeight="1">
      <c r="A4689" s="2" t="s">
        <v>9422</v>
      </c>
      <c r="B4689" s="2" t="s">
        <v>9422</v>
      </c>
      <c r="C4689" s="2" t="s">
        <v>109</v>
      </c>
      <c r="D4689" s="2" t="s">
        <v>74</v>
      </c>
      <c r="E4689" s="5">
        <v>-28084</v>
      </c>
      <c r="F4689" s="3" t="s">
        <v>1049</v>
      </c>
      <c r="G4689" s="3" t="s">
        <v>3129</v>
      </c>
      <c r="H4689" s="2" t="s">
        <v>21</v>
      </c>
      <c r="I4689" s="2" t="s">
        <v>9424</v>
      </c>
      <c r="J4689" s="3" t="str">
        <f>HYPERLINK("https://www.boe.es/gazeta/dias/1823/02/08/pdfs/GMD-1823-41.pdf#page=2","Abrir facsímil")</f>
        <v>Abrir facsímil</v>
      </c>
      <c r="K4689" s="3" t="s">
        <v>23</v>
      </c>
    </row>
    <row r="4690" spans="1:11" ht="42" customHeight="1">
      <c r="A4690" s="2" t="s">
        <v>9422</v>
      </c>
      <c r="B4690" s="2" t="s">
        <v>9422</v>
      </c>
      <c r="C4690" s="2" t="s">
        <v>17</v>
      </c>
      <c r="D4690" s="2" t="s">
        <v>18</v>
      </c>
      <c r="E4690" s="5">
        <v>-28006</v>
      </c>
      <c r="F4690" s="3" t="s">
        <v>183</v>
      </c>
      <c r="G4690" s="3" t="s">
        <v>59</v>
      </c>
      <c r="H4690" s="2" t="s">
        <v>21</v>
      </c>
      <c r="I4690" s="2" t="s">
        <v>9425</v>
      </c>
      <c r="J4690" s="3" t="str">
        <f>HYPERLINK("https://www.boe.es/gazeta/dias/1823/04/27/pdfs/GES-1823-17.pdf#page=6","Abrir facsímil")</f>
        <v>Abrir facsímil</v>
      </c>
      <c r="K4690" s="3" t="s">
        <v>23</v>
      </c>
    </row>
    <row r="4691" spans="1:11" ht="42" customHeight="1">
      <c r="A4691" s="2" t="s">
        <v>9426</v>
      </c>
      <c r="B4691" s="2" t="s">
        <v>9427</v>
      </c>
      <c r="C4691" s="2" t="s">
        <v>17</v>
      </c>
      <c r="D4691" s="2" t="s">
        <v>18</v>
      </c>
      <c r="E4691" s="5">
        <v>-28048</v>
      </c>
      <c r="F4691" s="3" t="s">
        <v>399</v>
      </c>
      <c r="G4691" s="3" t="s">
        <v>20</v>
      </c>
      <c r="H4691" s="2" t="s">
        <v>21</v>
      </c>
      <c r="I4691" s="2" t="s">
        <v>9428</v>
      </c>
      <c r="J4691" s="3" t="str">
        <f>HYPERLINK("https://www.boe.es/gazeta/dias/1823/03/16/pdfs/GMD-1823-79.pdf#page=4","Abrir facsímil")</f>
        <v>Abrir facsímil</v>
      </c>
      <c r="K4691" s="3" t="s">
        <v>23</v>
      </c>
    </row>
    <row r="4692" spans="1:11" ht="42" customHeight="1">
      <c r="A4692" s="2" t="s">
        <v>9429</v>
      </c>
      <c r="B4692" s="2" t="s">
        <v>9430</v>
      </c>
      <c r="C4692" s="2" t="s">
        <v>17</v>
      </c>
      <c r="D4692" s="2" t="s">
        <v>18</v>
      </c>
      <c r="E4692" s="5">
        <v>-27983</v>
      </c>
      <c r="F4692" s="3" t="s">
        <v>337</v>
      </c>
      <c r="G4692" s="3" t="s">
        <v>39</v>
      </c>
      <c r="H4692" s="2" t="s">
        <v>21</v>
      </c>
      <c r="I4692" s="2" t="s">
        <v>9431</v>
      </c>
      <c r="J4692" s="3" t="str">
        <f>HYPERLINK("https://www.boe.es/gazeta/dias/1823/05/20/pdfs/GES-1823-40.pdf#page=1","Abrir facsímil")</f>
        <v>Abrir facsímil</v>
      </c>
      <c r="K4692" s="3" t="s">
        <v>23</v>
      </c>
    </row>
    <row r="4693" spans="1:11" ht="42" customHeight="1">
      <c r="A4693" s="2" t="s">
        <v>9429</v>
      </c>
      <c r="B4693" s="2" t="s">
        <v>9430</v>
      </c>
      <c r="C4693" s="2" t="s">
        <v>17</v>
      </c>
      <c r="D4693" s="2" t="s">
        <v>18</v>
      </c>
      <c r="E4693" s="5">
        <v>-27862</v>
      </c>
      <c r="F4693" s="3" t="s">
        <v>1530</v>
      </c>
      <c r="G4693" s="3" t="s">
        <v>39</v>
      </c>
      <c r="H4693" s="2" t="s">
        <v>21</v>
      </c>
      <c r="I4693" s="2" t="s">
        <v>9432</v>
      </c>
      <c r="J4693" s="3" t="str">
        <f>HYPERLINK("https://www.boe.es/gazeta/dias/1823/09/18/pdfs/GMD-1823-803.pdf#page=1","Abrir facsímil")</f>
        <v>Abrir facsímil</v>
      </c>
      <c r="K4693" s="3" t="s">
        <v>23</v>
      </c>
    </row>
    <row r="4694" spans="1:11" ht="42" customHeight="1">
      <c r="A4694" s="2" t="s">
        <v>9433</v>
      </c>
      <c r="B4694" s="2" t="s">
        <v>9434</v>
      </c>
      <c r="C4694" s="2" t="s">
        <v>79</v>
      </c>
      <c r="D4694" s="2" t="s">
        <v>74</v>
      </c>
      <c r="E4694" s="5">
        <v>-28040</v>
      </c>
      <c r="F4694" s="3" t="s">
        <v>2971</v>
      </c>
      <c r="G4694" s="3" t="s">
        <v>20</v>
      </c>
      <c r="H4694" s="2" t="s">
        <v>21</v>
      </c>
      <c r="I4694" s="2" t="s">
        <v>9435</v>
      </c>
      <c r="J4694" s="3" t="str">
        <f>HYPERLINK("https://www.boe.es/gazeta/dias/1823/03/24/pdfs/GMD-1823-87.pdf#page=4","Abrir facsímil")</f>
        <v>Abrir facsímil</v>
      </c>
      <c r="K4694" s="3" t="s">
        <v>23</v>
      </c>
    </row>
    <row r="4695" spans="1:11" ht="42" customHeight="1">
      <c r="A4695" s="2" t="s">
        <v>9436</v>
      </c>
      <c r="B4695" s="2" t="s">
        <v>9437</v>
      </c>
      <c r="C4695" s="2" t="s">
        <v>79</v>
      </c>
      <c r="D4695" s="2" t="s">
        <v>74</v>
      </c>
      <c r="E4695" s="5">
        <v>-28037</v>
      </c>
      <c r="F4695" s="3" t="s">
        <v>192</v>
      </c>
      <c r="G4695" s="3" t="s">
        <v>48</v>
      </c>
      <c r="H4695" s="2" t="s">
        <v>21</v>
      </c>
      <c r="I4695" s="2" t="s">
        <v>9438</v>
      </c>
      <c r="J4695" s="3" t="str">
        <f>HYPERLINK("https://www.boe.es/gazeta/dias/1823/03/27/pdfs/GMD-1823-90.pdf#page=3","Abrir facsímil")</f>
        <v>Abrir facsímil</v>
      </c>
      <c r="K4695" s="3" t="s">
        <v>23</v>
      </c>
    </row>
    <row r="4696" spans="1:11" ht="42" customHeight="1">
      <c r="A4696" s="2" t="s">
        <v>9439</v>
      </c>
      <c r="B4696" s="2" t="s">
        <v>9440</v>
      </c>
      <c r="C4696" s="2" t="s">
        <v>17</v>
      </c>
      <c r="D4696" s="2" t="s">
        <v>18</v>
      </c>
      <c r="E4696" s="5">
        <v>-28013</v>
      </c>
      <c r="F4696" s="3" t="s">
        <v>2466</v>
      </c>
      <c r="G4696" s="3" t="s">
        <v>2467</v>
      </c>
      <c r="H4696" s="2" t="s">
        <v>21</v>
      </c>
      <c r="I4696" s="2" t="s">
        <v>9441</v>
      </c>
      <c r="J4696" s="3" t="str">
        <f>HYPERLINK("https://www.boe.es/gazeta/dias/1823/04/20/pdfs/GES-1823-10.pdf#page=3","Abrir facsímil")</f>
        <v>Abrir facsímil</v>
      </c>
      <c r="K4696" s="3" t="s">
        <v>23</v>
      </c>
    </row>
    <row r="4697" spans="1:11" ht="42" customHeight="1">
      <c r="A4697" s="2" t="s">
        <v>9442</v>
      </c>
      <c r="B4697" s="2" t="s">
        <v>9443</v>
      </c>
      <c r="C4697" s="2" t="s">
        <v>17</v>
      </c>
      <c r="D4697" s="2" t="s">
        <v>18</v>
      </c>
      <c r="E4697" s="5">
        <v>-27920</v>
      </c>
      <c r="F4697" s="3" t="s">
        <v>1334</v>
      </c>
      <c r="G4697" s="3" t="s">
        <v>276</v>
      </c>
      <c r="H4697" s="2" t="s">
        <v>21</v>
      </c>
      <c r="I4697" s="2" t="s">
        <v>9444</v>
      </c>
      <c r="J4697" s="3" t="str">
        <f>HYPERLINK("https://www.boe.es/gazeta/dias/1823/07/22/pdfs/GMD-1823-443.pdf#page=7","Abrir facsímil")</f>
        <v>Abrir facsímil</v>
      </c>
      <c r="K4697" s="3" t="s">
        <v>23</v>
      </c>
    </row>
    <row r="4698" spans="1:11" ht="42" customHeight="1">
      <c r="A4698" s="2" t="s">
        <v>9445</v>
      </c>
      <c r="B4698" s="2" t="s">
        <v>9446</v>
      </c>
      <c r="C4698" s="2" t="s">
        <v>17</v>
      </c>
      <c r="D4698" s="2" t="s">
        <v>18</v>
      </c>
      <c r="E4698" s="5">
        <v>-27939</v>
      </c>
      <c r="F4698" s="3" t="s">
        <v>1403</v>
      </c>
      <c r="G4698" s="3" t="s">
        <v>715</v>
      </c>
      <c r="H4698" s="2" t="s">
        <v>21</v>
      </c>
      <c r="I4698" s="2" t="s">
        <v>9447</v>
      </c>
      <c r="J4698" s="3" t="str">
        <f>HYPERLINK("https://www.boe.es/gazeta/dias/1823/07/03/pdfs/GMD-1823-333.pdf#page=8","Abrir facsímil")</f>
        <v>Abrir facsímil</v>
      </c>
      <c r="K4698" s="3" t="s">
        <v>23</v>
      </c>
    </row>
    <row r="4699" spans="1:11" ht="42" customHeight="1">
      <c r="A4699" s="2" t="s">
        <v>9448</v>
      </c>
      <c r="B4699" s="2" t="s">
        <v>9449</v>
      </c>
      <c r="C4699" s="2" t="s">
        <v>17</v>
      </c>
      <c r="D4699" s="2" t="s">
        <v>18</v>
      </c>
      <c r="E4699" s="5">
        <v>-28006</v>
      </c>
      <c r="F4699" s="3" t="s">
        <v>183</v>
      </c>
      <c r="G4699" s="3" t="s">
        <v>59</v>
      </c>
      <c r="H4699" s="2" t="s">
        <v>21</v>
      </c>
      <c r="I4699" s="2" t="s">
        <v>9450</v>
      </c>
      <c r="J4699" s="3" t="str">
        <f>HYPERLINK("https://www.boe.es/gazeta/dias/1823/04/27/pdfs/GES-1823-17.pdf#page=6","Abrir facsímil")</f>
        <v>Abrir facsímil</v>
      </c>
      <c r="K4699" s="3" t="s">
        <v>23</v>
      </c>
    </row>
    <row r="4700" spans="1:11" ht="42" customHeight="1">
      <c r="A4700" s="2" t="s">
        <v>9451</v>
      </c>
      <c r="B4700" s="2" t="s">
        <v>9452</v>
      </c>
      <c r="C4700" s="2" t="s">
        <v>17</v>
      </c>
      <c r="D4700" s="2" t="s">
        <v>18</v>
      </c>
      <c r="E4700" s="5">
        <v>-28116</v>
      </c>
      <c r="F4700" s="3" t="s">
        <v>134</v>
      </c>
      <c r="G4700" s="3" t="s">
        <v>59</v>
      </c>
      <c r="H4700" s="2" t="s">
        <v>21</v>
      </c>
      <c r="I4700" s="2" t="s">
        <v>9453</v>
      </c>
      <c r="J4700" s="3" t="str">
        <f>HYPERLINK("https://www.boe.es/gazeta/dias/1823/01/07/pdfs/GMD-1823-7.pdf#page=6","Abrir facsímil")</f>
        <v>Abrir facsímil</v>
      </c>
      <c r="K4700" s="3" t="s">
        <v>23</v>
      </c>
    </row>
    <row r="4701" spans="1:11" ht="42" customHeight="1">
      <c r="A4701" s="2" t="s">
        <v>9454</v>
      </c>
      <c r="B4701" s="2" t="s">
        <v>9455</v>
      </c>
      <c r="C4701" s="2" t="s">
        <v>56</v>
      </c>
      <c r="D4701" s="2" t="s">
        <v>57</v>
      </c>
      <c r="E4701" s="5">
        <v>-27792</v>
      </c>
      <c r="F4701" s="3" t="s">
        <v>611</v>
      </c>
      <c r="G4701" s="3" t="s">
        <v>20</v>
      </c>
      <c r="H4701" s="2" t="s">
        <v>21</v>
      </c>
      <c r="I4701" s="2" t="s">
        <v>9456</v>
      </c>
      <c r="J4701" s="3" t="str">
        <f>HYPERLINK("https://www.boe.es/gazeta/dias/1823/11/27/pdfs/GMD-1823-1173.pdf#page=4","Abrir facsímil")</f>
        <v>Abrir facsímil</v>
      </c>
      <c r="K4701" s="3" t="s">
        <v>23</v>
      </c>
    </row>
    <row r="4702" spans="1:11" ht="42" customHeight="1">
      <c r="A4702" s="2" t="s">
        <v>9454</v>
      </c>
      <c r="B4702" s="2" t="s">
        <v>9455</v>
      </c>
      <c r="C4702" s="2" t="s">
        <v>56</v>
      </c>
      <c r="D4702" s="2" t="s">
        <v>57</v>
      </c>
      <c r="E4702" s="5">
        <v>-27785</v>
      </c>
      <c r="F4702" s="3" t="s">
        <v>1397</v>
      </c>
      <c r="G4702" s="3" t="s">
        <v>20</v>
      </c>
      <c r="H4702" s="2" t="s">
        <v>21</v>
      </c>
      <c r="I4702" s="2" t="s">
        <v>9457</v>
      </c>
      <c r="J4702" s="3" t="str">
        <f>HYPERLINK("https://www.boe.es/gazeta/dias/1823/12/04/pdfs/GMD-1823-1203.pdf#page=4","Abrir facsímil")</f>
        <v>Abrir facsímil</v>
      </c>
      <c r="K4702" s="3" t="s">
        <v>23</v>
      </c>
    </row>
    <row r="4703" spans="1:11" ht="42" customHeight="1">
      <c r="A4703" s="2" t="s">
        <v>9454</v>
      </c>
      <c r="B4703" s="2" t="s">
        <v>9455</v>
      </c>
      <c r="C4703" s="2" t="s">
        <v>56</v>
      </c>
      <c r="D4703" s="2" t="s">
        <v>57</v>
      </c>
      <c r="E4703" s="5">
        <v>-27759</v>
      </c>
      <c r="F4703" s="3" t="s">
        <v>415</v>
      </c>
      <c r="G4703" s="3" t="s">
        <v>20</v>
      </c>
      <c r="H4703" s="2" t="s">
        <v>21</v>
      </c>
      <c r="I4703" s="2" t="s">
        <v>9458</v>
      </c>
      <c r="J4703" s="3" t="str">
        <f>HYPERLINK("https://www.boe.es/gazeta/dias/1823/12/30/pdfs/GMD-1823-1313.pdf#page=4","Abrir facsímil")</f>
        <v>Abrir facsímil</v>
      </c>
      <c r="K4703" s="3" t="s">
        <v>23</v>
      </c>
    </row>
    <row r="4704" spans="1:11" ht="42" customHeight="1">
      <c r="A4704" s="2" t="s">
        <v>9459</v>
      </c>
      <c r="B4704" s="2" t="s">
        <v>9460</v>
      </c>
      <c r="C4704" s="2" t="s">
        <v>79</v>
      </c>
      <c r="D4704" s="2" t="s">
        <v>74</v>
      </c>
      <c r="E4704" s="5">
        <v>-28048</v>
      </c>
      <c r="F4704" s="3" t="s">
        <v>399</v>
      </c>
      <c r="G4704" s="3" t="s">
        <v>20</v>
      </c>
      <c r="H4704" s="2" t="s">
        <v>21</v>
      </c>
      <c r="I4704" s="2" t="s">
        <v>9461</v>
      </c>
      <c r="J4704" s="3" t="str">
        <f>HYPERLINK("https://www.boe.es/gazeta/dias/1823/03/16/pdfs/GMD-1823-79.pdf#page=4","Abrir facsímil")</f>
        <v>Abrir facsímil</v>
      </c>
      <c r="K4704" s="3" t="s">
        <v>23</v>
      </c>
    </row>
    <row r="4705" spans="1:11" ht="42" customHeight="1">
      <c r="A4705" s="2" t="s">
        <v>9462</v>
      </c>
      <c r="B4705" s="2" t="s">
        <v>9462</v>
      </c>
      <c r="C4705" s="2" t="s">
        <v>56</v>
      </c>
      <c r="D4705" s="2" t="s">
        <v>57</v>
      </c>
      <c r="E4705" s="5">
        <v>-28113</v>
      </c>
      <c r="F4705" s="3" t="s">
        <v>2088</v>
      </c>
      <c r="G4705" s="3" t="s">
        <v>276</v>
      </c>
      <c r="H4705" s="2" t="s">
        <v>21</v>
      </c>
      <c r="I4705" s="2" t="s">
        <v>9463</v>
      </c>
      <c r="J4705" s="3" t="str">
        <f>HYPERLINK("https://www.boe.es/gazeta/dias/1823/01/10/pdfs/GMD-1823-10.pdf#page=7","Abrir facsímil")</f>
        <v>Abrir facsímil</v>
      </c>
      <c r="K4705" s="3" t="s">
        <v>23</v>
      </c>
    </row>
    <row r="4706" spans="1:11" ht="42" customHeight="1">
      <c r="A4706" s="2" t="s">
        <v>9464</v>
      </c>
      <c r="B4706" s="2" t="s">
        <v>9465</v>
      </c>
      <c r="C4706" s="2" t="s">
        <v>17</v>
      </c>
      <c r="D4706" s="2" t="s">
        <v>18</v>
      </c>
      <c r="E4706" s="5">
        <v>-27902</v>
      </c>
      <c r="F4706" s="3" t="s">
        <v>259</v>
      </c>
      <c r="G4706" s="3" t="s">
        <v>48</v>
      </c>
      <c r="H4706" s="2" t="s">
        <v>21</v>
      </c>
      <c r="I4706" s="2" t="s">
        <v>9466</v>
      </c>
      <c r="J4706" s="3" t="str">
        <f>HYPERLINK("https://www.boe.es/gazeta/dias/1823/08/09/pdfs/GMD-1823-563.pdf#page=3","Abrir facsímil")</f>
        <v>Abrir facsímil</v>
      </c>
      <c r="K4706" s="3" t="s">
        <v>23</v>
      </c>
    </row>
    <row r="4707" spans="1:11" ht="42" customHeight="1">
      <c r="A4707" s="2" t="s">
        <v>9467</v>
      </c>
      <c r="B4707" s="2" t="s">
        <v>9467</v>
      </c>
      <c r="C4707" s="2" t="s">
        <v>17</v>
      </c>
      <c r="D4707" s="2" t="s">
        <v>18</v>
      </c>
      <c r="E4707" s="5">
        <v>-27967</v>
      </c>
      <c r="F4707" s="3" t="s">
        <v>412</v>
      </c>
      <c r="G4707" s="3" t="s">
        <v>27</v>
      </c>
      <c r="H4707" s="2" t="s">
        <v>21</v>
      </c>
      <c r="I4707" s="2" t="s">
        <v>9468</v>
      </c>
      <c r="J4707" s="3" t="str">
        <f>HYPERLINK("https://www.boe.es/gazeta/dias/1823/06/05/pdfs/GES-1823-59.pdf#page=2","Abrir facsímil")</f>
        <v>Abrir facsímil</v>
      </c>
      <c r="K4707" s="3" t="s">
        <v>23</v>
      </c>
    </row>
    <row r="4708" spans="1:11" ht="42" customHeight="1">
      <c r="A4708" s="2" t="s">
        <v>9469</v>
      </c>
      <c r="B4708" s="2" t="s">
        <v>9469</v>
      </c>
      <c r="C4708" s="2" t="s">
        <v>56</v>
      </c>
      <c r="D4708" s="2" t="s">
        <v>57</v>
      </c>
      <c r="E4708" s="5">
        <v>-27963</v>
      </c>
      <c r="F4708" s="3" t="s">
        <v>344</v>
      </c>
      <c r="G4708" s="3" t="s">
        <v>48</v>
      </c>
      <c r="H4708" s="2" t="s">
        <v>21</v>
      </c>
      <c r="I4708" s="2" t="s">
        <v>9470</v>
      </c>
      <c r="J4708" s="3" t="str">
        <f>HYPERLINK("https://www.boe.es/gazeta/dias/1823/06/09/pdfs/GES-1823-63.pdf#page=3","Abrir facsímil")</f>
        <v>Abrir facsímil</v>
      </c>
      <c r="K4708" s="3" t="s">
        <v>23</v>
      </c>
    </row>
    <row r="4709" spans="1:11" ht="42" customHeight="1">
      <c r="A4709" s="2" t="s">
        <v>9471</v>
      </c>
      <c r="B4709" s="2" t="s">
        <v>9472</v>
      </c>
      <c r="C4709" s="2" t="s">
        <v>17</v>
      </c>
      <c r="D4709" s="2" t="s">
        <v>18</v>
      </c>
      <c r="E4709" s="5">
        <v>-28017</v>
      </c>
      <c r="F4709" s="3" t="s">
        <v>2912</v>
      </c>
      <c r="G4709" s="3" t="s">
        <v>20</v>
      </c>
      <c r="H4709" s="2" t="s">
        <v>21</v>
      </c>
      <c r="I4709" s="2" t="s">
        <v>9473</v>
      </c>
      <c r="J4709" s="3" t="str">
        <f>HYPERLINK("https://www.boe.es/gazeta/dias/1823/04/16/pdfs/GES-1823-6.pdf#page=4","Abrir facsímil")</f>
        <v>Abrir facsímil</v>
      </c>
      <c r="K4709" s="3" t="s">
        <v>23</v>
      </c>
    </row>
    <row r="4710" spans="1:11" ht="42" customHeight="1">
      <c r="A4710" s="2" t="s">
        <v>9471</v>
      </c>
      <c r="B4710" s="2" t="s">
        <v>9472</v>
      </c>
      <c r="C4710" s="2" t="s">
        <v>17</v>
      </c>
      <c r="D4710" s="2" t="s">
        <v>18</v>
      </c>
      <c r="E4710" s="5">
        <v>-28007</v>
      </c>
      <c r="F4710" s="3" t="s">
        <v>311</v>
      </c>
      <c r="G4710" s="3" t="s">
        <v>48</v>
      </c>
      <c r="H4710" s="2" t="s">
        <v>21</v>
      </c>
      <c r="I4710" s="2" t="s">
        <v>9474</v>
      </c>
      <c r="J4710" s="3" t="str">
        <f>HYPERLINK("https://www.boe.es/gazeta/dias/1823/04/26/pdfs/GES-1823-16.pdf#page=3","Abrir facsímil")</f>
        <v>Abrir facsímil</v>
      </c>
      <c r="K4710" s="3" t="s">
        <v>23</v>
      </c>
    </row>
    <row r="4711" spans="1:11" ht="42" customHeight="1">
      <c r="A4711" s="2" t="s">
        <v>9471</v>
      </c>
      <c r="B4711" s="2" t="s">
        <v>9472</v>
      </c>
      <c r="C4711" s="2" t="s">
        <v>17</v>
      </c>
      <c r="D4711" s="2" t="s">
        <v>18</v>
      </c>
      <c r="E4711" s="5">
        <v>-28002</v>
      </c>
      <c r="F4711" s="3" t="s">
        <v>315</v>
      </c>
      <c r="G4711" s="3" t="s">
        <v>3998</v>
      </c>
      <c r="H4711" s="2" t="s">
        <v>21</v>
      </c>
      <c r="I4711" s="2" t="s">
        <v>9475</v>
      </c>
      <c r="J4711" s="3" t="str">
        <f>HYPERLINK("https://www.boe.es/gazeta/dias/1823/05/01/pdfs/GES-1823-21.pdf#page=6","Abrir facsímil")</f>
        <v>Abrir facsímil</v>
      </c>
      <c r="K4711" s="3" t="s">
        <v>23</v>
      </c>
    </row>
    <row r="4712" spans="1:11" ht="42" customHeight="1">
      <c r="A4712" s="2" t="s">
        <v>9476</v>
      </c>
      <c r="B4712" s="2" t="s">
        <v>9477</v>
      </c>
      <c r="C4712" s="2" t="s">
        <v>17</v>
      </c>
      <c r="D4712" s="2" t="s">
        <v>18</v>
      </c>
      <c r="E4712" s="5">
        <v>-28053</v>
      </c>
      <c r="F4712" s="3" t="s">
        <v>303</v>
      </c>
      <c r="G4712" s="3" t="s">
        <v>20</v>
      </c>
      <c r="H4712" s="2" t="s">
        <v>21</v>
      </c>
      <c r="I4712" s="2" t="s">
        <v>9478</v>
      </c>
      <c r="J4712" s="3" t="str">
        <f>HYPERLINK("https://www.boe.es/gazeta/dias/1823/03/11/pdfs/GMD-1823-74.pdf#page=4","Abrir facsímil")</f>
        <v>Abrir facsímil</v>
      </c>
      <c r="K4712" s="3" t="s">
        <v>23</v>
      </c>
    </row>
    <row r="4713" spans="1:11" ht="42" customHeight="1">
      <c r="A4713" s="2" t="s">
        <v>9479</v>
      </c>
      <c r="B4713" s="2" t="s">
        <v>9480</v>
      </c>
      <c r="C4713" s="2" t="s">
        <v>17</v>
      </c>
      <c r="D4713" s="2" t="s">
        <v>18</v>
      </c>
      <c r="E4713" s="5">
        <v>-28098</v>
      </c>
      <c r="F4713" s="3" t="s">
        <v>1101</v>
      </c>
      <c r="G4713" s="3" t="s">
        <v>20</v>
      </c>
      <c r="H4713" s="2" t="s">
        <v>21</v>
      </c>
      <c r="I4713" s="2" t="s">
        <v>9481</v>
      </c>
      <c r="J4713" s="3" t="str">
        <f>HYPERLINK("https://www.boe.es/gazeta/dias/1823/01/25/pdfs/GMD-1823-26.pdf#page=4","Abrir facsímil")</f>
        <v>Abrir facsímil</v>
      </c>
      <c r="K4713" s="3" t="s">
        <v>23</v>
      </c>
    </row>
    <row r="4714" spans="1:11" ht="42" customHeight="1">
      <c r="A4714" s="2" t="s">
        <v>9482</v>
      </c>
      <c r="B4714" s="2" t="s">
        <v>9482</v>
      </c>
      <c r="C4714" s="2" t="s">
        <v>17</v>
      </c>
      <c r="D4714" s="2" t="s">
        <v>117</v>
      </c>
      <c r="E4714" s="5">
        <v>-27966</v>
      </c>
      <c r="F4714" s="3" t="s">
        <v>962</v>
      </c>
      <c r="G4714" s="3" t="s">
        <v>39</v>
      </c>
      <c r="H4714" s="2" t="s">
        <v>21</v>
      </c>
      <c r="I4714" s="2" t="s">
        <v>9483</v>
      </c>
      <c r="J4714" s="3" t="str">
        <f>HYPERLINK("https://www.boe.es/gazeta/dias/1823/06/06/pdfs/GMD-1823-73E.pdf#page=1","Abrir facsímil")</f>
        <v>Abrir facsímil</v>
      </c>
      <c r="K4714" s="3" t="s">
        <v>23</v>
      </c>
    </row>
    <row r="4715" spans="1:11" ht="42" customHeight="1">
      <c r="A4715" s="2" t="s">
        <v>9484</v>
      </c>
      <c r="B4715" s="2" t="s">
        <v>9485</v>
      </c>
      <c r="C4715" s="2" t="s">
        <v>17</v>
      </c>
      <c r="D4715" s="2" t="s">
        <v>18</v>
      </c>
      <c r="E4715" s="5">
        <v>-28043</v>
      </c>
      <c r="F4715" s="3" t="s">
        <v>69</v>
      </c>
      <c r="G4715" s="3" t="s">
        <v>27</v>
      </c>
      <c r="H4715" s="2" t="s">
        <v>21</v>
      </c>
      <c r="I4715" s="2" t="s">
        <v>9486</v>
      </c>
      <c r="J4715" s="3" t="str">
        <f>HYPERLINK("https://www.boe.es/gazeta/dias/1823/03/21/pdfs/GMD-1823-84.pdf#page=2","Abrir facsímil")</f>
        <v>Abrir facsímil</v>
      </c>
      <c r="K4715" s="3" t="s">
        <v>23</v>
      </c>
    </row>
    <row r="4716" spans="1:11" ht="42" customHeight="1">
      <c r="A4716" s="2" t="s">
        <v>9487</v>
      </c>
      <c r="B4716" s="2" t="s">
        <v>9487</v>
      </c>
      <c r="C4716" s="2" t="s">
        <v>56</v>
      </c>
      <c r="D4716" s="2" t="s">
        <v>57</v>
      </c>
      <c r="E4716" s="5">
        <v>-28100</v>
      </c>
      <c r="F4716" s="3" t="s">
        <v>737</v>
      </c>
      <c r="G4716" s="3" t="s">
        <v>27</v>
      </c>
      <c r="H4716" s="2" t="s">
        <v>21</v>
      </c>
      <c r="I4716" s="2" t="s">
        <v>9488</v>
      </c>
      <c r="J4716" s="3" t="str">
        <f>HYPERLINK("https://www.boe.es/gazeta/dias/1823/01/23/pdfs/GMD-1823-24.pdf#page=2","Abrir facsímil")</f>
        <v>Abrir facsímil</v>
      </c>
      <c r="K4716" s="3" t="s">
        <v>23</v>
      </c>
    </row>
    <row r="4717" spans="1:11" ht="42" customHeight="1">
      <c r="A4717" s="2" t="s">
        <v>9489</v>
      </c>
      <c r="B4717" s="2" t="s">
        <v>9490</v>
      </c>
      <c r="C4717" s="2" t="s">
        <v>17</v>
      </c>
      <c r="D4717" s="2" t="s">
        <v>18</v>
      </c>
      <c r="E4717" s="5">
        <v>-27997</v>
      </c>
      <c r="F4717" s="3" t="s">
        <v>937</v>
      </c>
      <c r="G4717" s="3" t="s">
        <v>39</v>
      </c>
      <c r="H4717" s="2" t="s">
        <v>21</v>
      </c>
      <c r="I4717" s="2" t="s">
        <v>9491</v>
      </c>
      <c r="J4717" s="3" t="str">
        <f>HYPERLINK("https://www.boe.es/gazeta/dias/1823/05/06/pdfs/GMD-1823-102.pdf#page=1","Abrir facsímil")</f>
        <v>Abrir facsímil</v>
      </c>
      <c r="K4717" s="3" t="s">
        <v>23</v>
      </c>
    </row>
    <row r="4718" spans="1:11" ht="42" customHeight="1">
      <c r="A4718" s="2" t="s">
        <v>9492</v>
      </c>
      <c r="B4718" s="2" t="s">
        <v>9492</v>
      </c>
      <c r="C4718" s="2" t="s">
        <v>17</v>
      </c>
      <c r="D4718" s="2" t="s">
        <v>18</v>
      </c>
      <c r="E4718" s="5">
        <v>-28043</v>
      </c>
      <c r="F4718" s="3" t="s">
        <v>69</v>
      </c>
      <c r="G4718" s="3" t="s">
        <v>39</v>
      </c>
      <c r="H4718" s="2" t="s">
        <v>21</v>
      </c>
      <c r="I4718" s="2" t="s">
        <v>9493</v>
      </c>
      <c r="J4718" s="3" t="str">
        <f>HYPERLINK("https://www.boe.es/gazeta/dias/1823/03/21/pdfs/GMD-1823-84.pdf#page=1","Abrir facsímil")</f>
        <v>Abrir facsímil</v>
      </c>
      <c r="K4718" s="3" t="s">
        <v>23</v>
      </c>
    </row>
    <row r="4719" spans="1:11" ht="42" customHeight="1">
      <c r="A4719" s="2" t="s">
        <v>9494</v>
      </c>
      <c r="B4719" s="2" t="s">
        <v>9494</v>
      </c>
      <c r="C4719" s="2" t="s">
        <v>17</v>
      </c>
      <c r="D4719" s="2" t="s">
        <v>18</v>
      </c>
      <c r="E4719" s="5">
        <v>-28044</v>
      </c>
      <c r="F4719" s="3" t="s">
        <v>1930</v>
      </c>
      <c r="G4719" s="3" t="s">
        <v>27</v>
      </c>
      <c r="H4719" s="2" t="s">
        <v>21</v>
      </c>
      <c r="I4719" s="2" t="s">
        <v>9495</v>
      </c>
      <c r="J4719" s="3" t="str">
        <f>HYPERLINK("https://www.boe.es/gazeta/dias/1823/03/20/pdfs/GMD-1823-83.pdf#page=2","Abrir facsímil")</f>
        <v>Abrir facsímil</v>
      </c>
      <c r="K4719" s="3" t="s">
        <v>23</v>
      </c>
    </row>
    <row r="4720" spans="1:11" ht="42" customHeight="1">
      <c r="A4720" s="2" t="s">
        <v>9496</v>
      </c>
      <c r="B4720" s="2" t="s">
        <v>9496</v>
      </c>
      <c r="C4720" s="2" t="s">
        <v>17</v>
      </c>
      <c r="D4720" s="2" t="s">
        <v>18</v>
      </c>
      <c r="E4720" s="5">
        <v>-28052</v>
      </c>
      <c r="F4720" s="3" t="s">
        <v>1025</v>
      </c>
      <c r="G4720" s="3" t="s">
        <v>1794</v>
      </c>
      <c r="H4720" s="2" t="s">
        <v>21</v>
      </c>
      <c r="I4720" s="2" t="s">
        <v>9497</v>
      </c>
      <c r="J4720" s="3" t="str">
        <f>HYPERLINK("https://www.boe.es/gazeta/dias/1823/03/12/pdfs/GMD-1823-75.pdf#page=1","Abrir facsímil")</f>
        <v>Abrir facsímil</v>
      </c>
      <c r="K4720" s="3" t="s">
        <v>23</v>
      </c>
    </row>
    <row r="4721" spans="1:11" ht="42" customHeight="1">
      <c r="A4721" s="2" t="s">
        <v>9498</v>
      </c>
      <c r="B4721" s="2" t="s">
        <v>9499</v>
      </c>
      <c r="C4721" s="2" t="s">
        <v>17</v>
      </c>
      <c r="D4721" s="2" t="s">
        <v>18</v>
      </c>
      <c r="E4721" s="5">
        <v>-27934</v>
      </c>
      <c r="F4721" s="3" t="s">
        <v>634</v>
      </c>
      <c r="G4721" s="3" t="s">
        <v>48</v>
      </c>
      <c r="H4721" s="2" t="s">
        <v>21</v>
      </c>
      <c r="I4721" s="2" t="s">
        <v>9500</v>
      </c>
      <c r="J4721" s="3" t="str">
        <f>HYPERLINK("https://www.boe.es/gazeta/dias/1823/07/08/pdfs/GMD-1823-353.pdf#page=3","Abrir facsímil")</f>
        <v>Abrir facsímil</v>
      </c>
      <c r="K4721" s="3" t="s">
        <v>23</v>
      </c>
    </row>
    <row r="4722" spans="1:11" ht="42" customHeight="1">
      <c r="A4722" s="2" t="s">
        <v>9501</v>
      </c>
      <c r="B4722" s="2" t="s">
        <v>9501</v>
      </c>
      <c r="C4722" s="2" t="s">
        <v>17</v>
      </c>
      <c r="D4722" s="2" t="s">
        <v>18</v>
      </c>
      <c r="E4722" s="5">
        <v>-28045</v>
      </c>
      <c r="F4722" s="3" t="s">
        <v>245</v>
      </c>
      <c r="G4722" s="3" t="s">
        <v>39</v>
      </c>
      <c r="H4722" s="2" t="s">
        <v>21</v>
      </c>
      <c r="I4722" s="2" t="s">
        <v>9502</v>
      </c>
      <c r="J4722" s="3" t="str">
        <f>HYPERLINK("https://www.boe.es/gazeta/dias/1823/03/19/pdfs/GMD-1823-82.pdf#page=1","Abrir facsímil")</f>
        <v>Abrir facsímil</v>
      </c>
      <c r="K4722" s="3" t="s">
        <v>23</v>
      </c>
    </row>
    <row r="4723" spans="1:11" ht="42" customHeight="1">
      <c r="A4723" s="2" t="s">
        <v>9503</v>
      </c>
      <c r="B4723" s="2" t="s">
        <v>9503</v>
      </c>
      <c r="C4723" s="2" t="s">
        <v>79</v>
      </c>
      <c r="D4723" s="2" t="s">
        <v>74</v>
      </c>
      <c r="E4723" s="5">
        <v>-28060</v>
      </c>
      <c r="F4723" s="3" t="s">
        <v>180</v>
      </c>
      <c r="G4723" s="3" t="s">
        <v>181</v>
      </c>
      <c r="H4723" s="2" t="s">
        <v>21</v>
      </c>
      <c r="I4723" s="2" t="s">
        <v>9504</v>
      </c>
      <c r="J4723" s="3" t="str">
        <f>HYPERLINK("https://www.boe.es/gazeta/dias/1823/03/04/pdfs/GMD-1823-67.pdf#page=6","Abrir facsímil")</f>
        <v>Abrir facsímil</v>
      </c>
      <c r="K4723" s="3" t="s">
        <v>23</v>
      </c>
    </row>
    <row r="4724" spans="1:11" ht="42" customHeight="1">
      <c r="A4724" s="2" t="s">
        <v>9503</v>
      </c>
      <c r="B4724" s="2" t="s">
        <v>9503</v>
      </c>
      <c r="C4724" s="2" t="s">
        <v>17</v>
      </c>
      <c r="D4724" s="2" t="s">
        <v>18</v>
      </c>
      <c r="E4724" s="5">
        <v>-27992</v>
      </c>
      <c r="F4724" s="3" t="s">
        <v>565</v>
      </c>
      <c r="G4724" s="3" t="s">
        <v>1279</v>
      </c>
      <c r="H4724" s="2" t="s">
        <v>21</v>
      </c>
      <c r="I4724" s="2" t="s">
        <v>9505</v>
      </c>
      <c r="J4724" s="3" t="str">
        <f>HYPERLINK("https://www.boe.es/gazeta/dias/1823/05/11/pdfs/GES-1823-31.pdf#page=2","Abrir facsímil")</f>
        <v>Abrir facsímil</v>
      </c>
      <c r="K4724" s="3" t="s">
        <v>23</v>
      </c>
    </row>
    <row r="4725" spans="1:11" ht="42" customHeight="1">
      <c r="A4725" s="2" t="s">
        <v>9503</v>
      </c>
      <c r="B4725" s="2" t="s">
        <v>9503</v>
      </c>
      <c r="C4725" s="2" t="s">
        <v>79</v>
      </c>
      <c r="D4725" s="2" t="s">
        <v>74</v>
      </c>
      <c r="E4725" s="5">
        <v>-27980</v>
      </c>
      <c r="F4725" s="3" t="s">
        <v>1068</v>
      </c>
      <c r="G4725" s="3" t="s">
        <v>39</v>
      </c>
      <c r="H4725" s="2" t="s">
        <v>21</v>
      </c>
      <c r="I4725" s="2" t="s">
        <v>9506</v>
      </c>
      <c r="J4725" s="3" t="str">
        <f>HYPERLINK("https://www.boe.es/gazeta/dias/1823/05/23/pdfs/GES-1823-44.pdf#page=1","Abrir facsímil")</f>
        <v>Abrir facsímil</v>
      </c>
      <c r="K4725" s="3" t="s">
        <v>23</v>
      </c>
    </row>
    <row r="4726" spans="1:11" ht="42" customHeight="1">
      <c r="A4726" s="2" t="s">
        <v>9503</v>
      </c>
      <c r="B4726" s="2" t="s">
        <v>9503</v>
      </c>
      <c r="C4726" s="2" t="s">
        <v>109</v>
      </c>
      <c r="D4726" s="2" t="s">
        <v>74</v>
      </c>
      <c r="E4726" s="5">
        <v>-27977</v>
      </c>
      <c r="F4726" s="3" t="s">
        <v>1489</v>
      </c>
      <c r="G4726" s="3" t="s">
        <v>39</v>
      </c>
      <c r="H4726" s="2" t="s">
        <v>21</v>
      </c>
      <c r="I4726" s="2" t="s">
        <v>9507</v>
      </c>
      <c r="J4726" s="3" t="str">
        <f>HYPERLINK("https://www.boe.es/gazeta/dias/1823/05/26/pdfs/GES-1823-47.pdf#page=1","Abrir facsímil")</f>
        <v>Abrir facsímil</v>
      </c>
      <c r="K4726" s="3" t="s">
        <v>23</v>
      </c>
    </row>
    <row r="4727" spans="1:11" ht="42" customHeight="1">
      <c r="A4727" s="2" t="s">
        <v>9503</v>
      </c>
      <c r="B4727" s="2" t="s">
        <v>9503</v>
      </c>
      <c r="C4727" s="2" t="s">
        <v>109</v>
      </c>
      <c r="D4727" s="2" t="s">
        <v>74</v>
      </c>
      <c r="E4727" s="5">
        <v>-27921</v>
      </c>
      <c r="F4727" s="3" t="s">
        <v>356</v>
      </c>
      <c r="G4727" s="3" t="s">
        <v>48</v>
      </c>
      <c r="H4727" s="2" t="s">
        <v>21</v>
      </c>
      <c r="I4727" s="2" t="s">
        <v>9508</v>
      </c>
      <c r="J4727" s="3" t="str">
        <f>HYPERLINK("https://www.boe.es/gazeta/dias/1823/07/21/pdfs/GES-1823-102.pdf#page=3","Abrir facsímil")</f>
        <v>Abrir facsímil</v>
      </c>
      <c r="K4727" s="3" t="s">
        <v>23</v>
      </c>
    </row>
    <row r="4728" spans="1:11" ht="42" customHeight="1">
      <c r="A4728" s="2" t="s">
        <v>9503</v>
      </c>
      <c r="B4728" s="2" t="s">
        <v>9503</v>
      </c>
      <c r="C4728" s="2" t="s">
        <v>56</v>
      </c>
      <c r="D4728" s="2" t="s">
        <v>57</v>
      </c>
      <c r="E4728" s="5">
        <v>-27857</v>
      </c>
      <c r="F4728" s="3" t="s">
        <v>378</v>
      </c>
      <c r="G4728" s="3" t="s">
        <v>34</v>
      </c>
      <c r="H4728" s="2" t="s">
        <v>21</v>
      </c>
      <c r="I4728" s="2" t="s">
        <v>9509</v>
      </c>
      <c r="J4728" s="3" t="str">
        <f>HYPERLINK("https://www.boe.es/gazeta/dias/1823/09/23/pdfs/GMD-1823-833.pdf#page=5","Abrir facsímil")</f>
        <v>Abrir facsímil</v>
      </c>
      <c r="K4728" s="3" t="s">
        <v>23</v>
      </c>
    </row>
    <row r="4729" spans="1:11" ht="42" customHeight="1">
      <c r="A4729" s="2" t="s">
        <v>9510</v>
      </c>
      <c r="B4729" s="2" t="s">
        <v>9511</v>
      </c>
      <c r="C4729" s="2" t="s">
        <v>109</v>
      </c>
      <c r="D4729" s="2" t="s">
        <v>74</v>
      </c>
      <c r="E4729" s="5">
        <v>-27921</v>
      </c>
      <c r="F4729" s="3" t="s">
        <v>356</v>
      </c>
      <c r="G4729" s="3" t="s">
        <v>27</v>
      </c>
      <c r="H4729" s="2" t="s">
        <v>28</v>
      </c>
      <c r="I4729" s="2" t="s">
        <v>9512</v>
      </c>
      <c r="J4729" s="3" t="str">
        <f>HYPERLINK("https://www.boe.es/gazeta/dias/1823/07/21/pdfs/GES-1823-102.pdf#page=2","Abrir facsímil")</f>
        <v>Abrir facsímil</v>
      </c>
      <c r="K4729" s="3" t="s">
        <v>30</v>
      </c>
    </row>
    <row r="4730" spans="1:11" ht="42" customHeight="1">
      <c r="A4730" s="2" t="s">
        <v>9513</v>
      </c>
      <c r="B4730" s="2" t="s">
        <v>9514</v>
      </c>
      <c r="C4730" s="2" t="s">
        <v>17</v>
      </c>
      <c r="D4730" s="2" t="s">
        <v>18</v>
      </c>
      <c r="E4730" s="5">
        <v>-28116</v>
      </c>
      <c r="F4730" s="3" t="s">
        <v>134</v>
      </c>
      <c r="G4730" s="3" t="s">
        <v>59</v>
      </c>
      <c r="H4730" s="2" t="s">
        <v>21</v>
      </c>
      <c r="I4730" s="2" t="s">
        <v>9515</v>
      </c>
      <c r="J4730" s="3" t="str">
        <f>HYPERLINK("https://www.boe.es/gazeta/dias/1823/01/07/pdfs/GMD-1823-7.pdf#page=6","Abrir facsímil")</f>
        <v>Abrir facsímil</v>
      </c>
      <c r="K4730" s="3" t="s">
        <v>23</v>
      </c>
    </row>
    <row r="4731" spans="1:11" ht="42" customHeight="1">
      <c r="A4731" s="2" t="s">
        <v>9516</v>
      </c>
      <c r="B4731" s="2" t="s">
        <v>9517</v>
      </c>
      <c r="C4731" s="2" t="s">
        <v>17</v>
      </c>
      <c r="D4731" s="2" t="s">
        <v>18</v>
      </c>
      <c r="E4731" s="5">
        <v>-27970</v>
      </c>
      <c r="F4731" s="3" t="s">
        <v>1030</v>
      </c>
      <c r="G4731" s="3" t="s">
        <v>59</v>
      </c>
      <c r="H4731" s="2" t="s">
        <v>21</v>
      </c>
      <c r="I4731" s="2" t="s">
        <v>9518</v>
      </c>
      <c r="J4731" s="3" t="str">
        <f>HYPERLINK("https://www.boe.es/gazeta/dias/1823/06/02/pdfs/GES-1823-56.pdf#page=6","Abrir facsímil")</f>
        <v>Abrir facsímil</v>
      </c>
      <c r="K4731" s="3" t="s">
        <v>23</v>
      </c>
    </row>
    <row r="4732" spans="1:11" ht="42" customHeight="1">
      <c r="A4732" s="2" t="s">
        <v>9519</v>
      </c>
      <c r="B4732" s="2" t="s">
        <v>9519</v>
      </c>
      <c r="C4732" s="2" t="s">
        <v>79</v>
      </c>
      <c r="D4732" s="2" t="s">
        <v>74</v>
      </c>
      <c r="E4732" s="5">
        <v>-27939</v>
      </c>
      <c r="F4732" s="3" t="s">
        <v>1076</v>
      </c>
      <c r="G4732" s="3" t="s">
        <v>27</v>
      </c>
      <c r="H4732" s="2" t="s">
        <v>21</v>
      </c>
      <c r="I4732" s="2" t="s">
        <v>9520</v>
      </c>
      <c r="J4732" s="3" t="str">
        <f>HYPERLINK("https://www.boe.es/gazeta/dias/1823/07/03/pdfs/GES-1823-83.pdf#page=2","Abrir facsímil")</f>
        <v>Abrir facsímil</v>
      </c>
      <c r="K4732" s="3" t="s">
        <v>23</v>
      </c>
    </row>
    <row r="4733" spans="1:11" ht="42" customHeight="1">
      <c r="A4733" s="2" t="s">
        <v>9519</v>
      </c>
      <c r="B4733" s="2" t="s">
        <v>9519</v>
      </c>
      <c r="C4733" s="2" t="s">
        <v>84</v>
      </c>
      <c r="D4733" s="2" t="s">
        <v>74</v>
      </c>
      <c r="E4733" s="5">
        <v>-27880</v>
      </c>
      <c r="F4733" s="3" t="s">
        <v>6307</v>
      </c>
      <c r="G4733" s="3" t="s">
        <v>27</v>
      </c>
      <c r="H4733" s="2" t="s">
        <v>21</v>
      </c>
      <c r="I4733" s="2" t="s">
        <v>9521</v>
      </c>
      <c r="J4733" s="3" t="str">
        <f>HYPERLINK("https://www.boe.es/gazeta/dias/1823/08/31/pdfs/GES-1823-144.pdf#page=2","Abrir facsímil")</f>
        <v>Abrir facsímil</v>
      </c>
      <c r="K4733" s="3" t="s">
        <v>23</v>
      </c>
    </row>
    <row r="4734" spans="1:11" ht="42" customHeight="1">
      <c r="A4734" s="2" t="s">
        <v>9519</v>
      </c>
      <c r="B4734" s="2" t="s">
        <v>9519</v>
      </c>
      <c r="C4734" s="2" t="s">
        <v>17</v>
      </c>
      <c r="D4734" s="2" t="s">
        <v>18</v>
      </c>
      <c r="E4734" s="5">
        <v>-27762</v>
      </c>
      <c r="F4734" s="3" t="s">
        <v>1614</v>
      </c>
      <c r="G4734" s="3" t="s">
        <v>20</v>
      </c>
      <c r="H4734" s="2" t="s">
        <v>21</v>
      </c>
      <c r="I4734" s="2" t="s">
        <v>9522</v>
      </c>
      <c r="J4734" s="3" t="str">
        <f>HYPERLINK("https://www.boe.es/gazeta/dias/1823/12/27/pdfs/GMD-1823-1303.pdf#page=4","Abrir facsímil")</f>
        <v>Abrir facsímil</v>
      </c>
      <c r="K4734" s="3" t="s">
        <v>23</v>
      </c>
    </row>
    <row r="4735" spans="1:11" ht="42" customHeight="1">
      <c r="A4735" s="2" t="s">
        <v>9523</v>
      </c>
      <c r="B4735" s="2" t="s">
        <v>9524</v>
      </c>
      <c r="C4735" s="2" t="s">
        <v>17</v>
      </c>
      <c r="D4735" s="2" t="s">
        <v>18</v>
      </c>
      <c r="E4735" s="5">
        <v>-27857</v>
      </c>
      <c r="F4735" s="3" t="s">
        <v>378</v>
      </c>
      <c r="G4735" s="3" t="s">
        <v>59</v>
      </c>
      <c r="H4735" s="2" t="s">
        <v>21</v>
      </c>
      <c r="I4735" s="2" t="s">
        <v>9525</v>
      </c>
      <c r="J4735" s="3" t="str">
        <f>HYPERLINK("https://www.boe.es/gazeta/dias/1823/09/23/pdfs/GMD-1823-833.pdf#page=6","Abrir facsímil")</f>
        <v>Abrir facsímil</v>
      </c>
      <c r="K4735" s="3" t="s">
        <v>23</v>
      </c>
    </row>
    <row r="4736" spans="1:11" ht="42" customHeight="1">
      <c r="A4736" s="2" t="s">
        <v>9526</v>
      </c>
      <c r="B4736" s="2" t="s">
        <v>9527</v>
      </c>
      <c r="C4736" s="2" t="s">
        <v>56</v>
      </c>
      <c r="D4736" s="2" t="s">
        <v>57</v>
      </c>
      <c r="E4736" s="5">
        <v>-27932</v>
      </c>
      <c r="F4736" s="3" t="s">
        <v>786</v>
      </c>
      <c r="G4736" s="3" t="s">
        <v>27</v>
      </c>
      <c r="H4736" s="2" t="s">
        <v>21</v>
      </c>
      <c r="I4736" s="2" t="s">
        <v>9528</v>
      </c>
      <c r="J4736" s="3" t="str">
        <f>HYPERLINK("https://www.boe.es/gazeta/dias/1823/07/10/pdfs/GMD-1823-363.pdf#page=2","Abrir facsímil")</f>
        <v>Abrir facsímil</v>
      </c>
      <c r="K4736" s="3" t="s">
        <v>23</v>
      </c>
    </row>
    <row r="4737" spans="1:11" ht="42" customHeight="1">
      <c r="A4737" s="2" t="s">
        <v>9529</v>
      </c>
      <c r="B4737" s="2" t="s">
        <v>9530</v>
      </c>
      <c r="C4737" s="2" t="s">
        <v>56</v>
      </c>
      <c r="D4737" s="2" t="s">
        <v>57</v>
      </c>
      <c r="E4737" s="5">
        <v>-28080</v>
      </c>
      <c r="F4737" s="3" t="s">
        <v>1010</v>
      </c>
      <c r="G4737" s="3" t="s">
        <v>27</v>
      </c>
      <c r="H4737" s="2" t="s">
        <v>21</v>
      </c>
      <c r="I4737" s="2" t="s">
        <v>9531</v>
      </c>
      <c r="J4737" s="3" t="str">
        <f>HYPERLINK("https://www.boe.es/gazeta/dias/1823/02/12/pdfs/GMD-1823-46.pdf#page=2","Abrir facsímil")</f>
        <v>Abrir facsímil</v>
      </c>
      <c r="K4737" s="3" t="s">
        <v>23</v>
      </c>
    </row>
    <row r="4738" spans="1:11" ht="42" customHeight="1">
      <c r="A4738" s="2" t="s">
        <v>9532</v>
      </c>
      <c r="B4738" s="2" t="s">
        <v>9533</v>
      </c>
      <c r="C4738" s="2" t="s">
        <v>109</v>
      </c>
      <c r="D4738" s="2" t="s">
        <v>74</v>
      </c>
      <c r="E4738" s="5">
        <v>-28045</v>
      </c>
      <c r="F4738" s="3" t="s">
        <v>245</v>
      </c>
      <c r="G4738" s="3" t="s">
        <v>27</v>
      </c>
      <c r="H4738" s="2" t="s">
        <v>21</v>
      </c>
      <c r="I4738" s="2" t="s">
        <v>9534</v>
      </c>
      <c r="J4738" s="3" t="str">
        <f>HYPERLINK("https://www.boe.es/gazeta/dias/1823/03/19/pdfs/GMD-1823-82.pdf#page=2","Abrir facsímil")</f>
        <v>Abrir facsímil</v>
      </c>
      <c r="K4738" s="3" t="s">
        <v>23</v>
      </c>
    </row>
    <row r="4739" spans="1:11" ht="42" customHeight="1">
      <c r="A4739" s="2" t="s">
        <v>9535</v>
      </c>
      <c r="B4739" s="2" t="s">
        <v>9535</v>
      </c>
      <c r="C4739" s="2" t="s">
        <v>17</v>
      </c>
      <c r="D4739" s="2" t="s">
        <v>18</v>
      </c>
      <c r="E4739" s="5">
        <v>-27899</v>
      </c>
      <c r="F4739" s="3" t="s">
        <v>215</v>
      </c>
      <c r="G4739" s="3" t="s">
        <v>27</v>
      </c>
      <c r="H4739" s="2" t="s">
        <v>21</v>
      </c>
      <c r="I4739" s="2" t="s">
        <v>9536</v>
      </c>
      <c r="J4739" s="3" t="str">
        <f>HYPERLINK("https://www.boe.es/gazeta/dias/1823/08/12/pdfs/GMD-1823-583.pdf#page=2","Abrir facsímil")</f>
        <v>Abrir facsímil</v>
      </c>
      <c r="K4739" s="3" t="s">
        <v>23</v>
      </c>
    </row>
    <row r="4740" spans="1:11" ht="42" customHeight="1">
      <c r="A4740" s="2" t="s">
        <v>9537</v>
      </c>
      <c r="B4740" s="2" t="s">
        <v>9538</v>
      </c>
      <c r="C4740" s="2" t="s">
        <v>73</v>
      </c>
      <c r="D4740" s="2" t="s">
        <v>74</v>
      </c>
      <c r="E4740" s="5">
        <v>-28092</v>
      </c>
      <c r="F4740" s="3" t="s">
        <v>105</v>
      </c>
      <c r="G4740" s="3" t="s">
        <v>20</v>
      </c>
      <c r="H4740" s="2" t="s">
        <v>21</v>
      </c>
      <c r="I4740" s="2" t="s">
        <v>9539</v>
      </c>
      <c r="J4740" s="3" t="str">
        <f>HYPERLINK("https://www.boe.es/gazeta/dias/1823/01/31/pdfs/GMD-1823-32.pdf#page=4","Abrir facsímil")</f>
        <v>Abrir facsímil</v>
      </c>
      <c r="K4740" s="3" t="s">
        <v>23</v>
      </c>
    </row>
    <row r="4741" spans="1:11" ht="42" customHeight="1">
      <c r="A4741" s="2" t="s">
        <v>9540</v>
      </c>
      <c r="B4741" s="2" t="s">
        <v>9541</v>
      </c>
      <c r="C4741" s="2" t="s">
        <v>325</v>
      </c>
      <c r="D4741" s="2" t="s">
        <v>74</v>
      </c>
      <c r="E4741" s="5">
        <v>-27780</v>
      </c>
      <c r="F4741" s="3" t="s">
        <v>1609</v>
      </c>
      <c r="G4741" s="3" t="s">
        <v>27</v>
      </c>
      <c r="H4741" s="2" t="s">
        <v>21</v>
      </c>
      <c r="I4741" s="2" t="s">
        <v>9542</v>
      </c>
      <c r="J4741" s="3" t="str">
        <f>HYPERLINK("https://www.boe.es/gazeta/dias/1823/12/09/pdfs/GMD-1823-1223.pdf#page=2","Abrir facsímil")</f>
        <v>Abrir facsímil</v>
      </c>
      <c r="K4741" s="3" t="s">
        <v>23</v>
      </c>
    </row>
    <row r="4742" spans="1:11" ht="42" customHeight="1">
      <c r="A4742" s="2" t="s">
        <v>9543</v>
      </c>
      <c r="B4742" s="2" t="s">
        <v>9544</v>
      </c>
      <c r="C4742" s="2" t="s">
        <v>17</v>
      </c>
      <c r="D4742" s="2" t="s">
        <v>18</v>
      </c>
      <c r="E4742" s="5">
        <v>-28001</v>
      </c>
      <c r="F4742" s="3" t="s">
        <v>768</v>
      </c>
      <c r="G4742" s="3" t="s">
        <v>2756</v>
      </c>
      <c r="H4742" s="2" t="s">
        <v>21</v>
      </c>
      <c r="I4742" s="2" t="s">
        <v>9545</v>
      </c>
      <c r="J4742" s="3" t="str">
        <f>HYPERLINK("https://www.boe.es/gazeta/dias/1823/05/02/pdfs/GES-1823-22.pdf#page=6","Abrir facsímil")</f>
        <v>Abrir facsímil</v>
      </c>
      <c r="K4742" s="3" t="s">
        <v>23</v>
      </c>
    </row>
    <row r="4743" spans="1:11" ht="42" customHeight="1">
      <c r="A4743" s="2" t="s">
        <v>9546</v>
      </c>
      <c r="B4743" s="2" t="s">
        <v>9547</v>
      </c>
      <c r="C4743" s="2" t="s">
        <v>109</v>
      </c>
      <c r="D4743" s="2" t="s">
        <v>74</v>
      </c>
      <c r="E4743" s="5">
        <v>-27881</v>
      </c>
      <c r="F4743" s="3" t="s">
        <v>485</v>
      </c>
      <c r="G4743" s="3" t="s">
        <v>20</v>
      </c>
      <c r="H4743" s="2" t="s">
        <v>21</v>
      </c>
      <c r="I4743" s="2" t="s">
        <v>9548</v>
      </c>
      <c r="J4743" s="3" t="str">
        <f>HYPERLINK("https://www.boe.es/gazeta/dias/1823/08/30/pdfs/GES-1823-143.pdf#page=4","Abrir facsímil")</f>
        <v>Abrir facsímil</v>
      </c>
      <c r="K4743" s="3" t="s">
        <v>23</v>
      </c>
    </row>
    <row r="4744" spans="1:11" ht="42" customHeight="1">
      <c r="A4744" s="2" t="s">
        <v>9549</v>
      </c>
      <c r="B4744" s="2" t="s">
        <v>9550</v>
      </c>
      <c r="C4744" s="2" t="s">
        <v>56</v>
      </c>
      <c r="D4744" s="2" t="s">
        <v>57</v>
      </c>
      <c r="E4744" s="5">
        <v>-27972</v>
      </c>
      <c r="F4744" s="3" t="s">
        <v>429</v>
      </c>
      <c r="G4744" s="3" t="s">
        <v>20</v>
      </c>
      <c r="H4744" s="2" t="s">
        <v>21</v>
      </c>
      <c r="I4744" s="2" t="s">
        <v>9551</v>
      </c>
      <c r="J4744" s="3" t="str">
        <f>HYPERLINK("https://www.boe.es/gazeta/dias/1823/05/31/pdfs/GES-1823-54.pdf#page=4","Abrir facsímil")</f>
        <v>Abrir facsímil</v>
      </c>
      <c r="K4744" s="3" t="s">
        <v>23</v>
      </c>
    </row>
    <row r="4745" spans="1:11" ht="42" customHeight="1">
      <c r="A4745" s="2" t="s">
        <v>9552</v>
      </c>
      <c r="B4745" s="2" t="s">
        <v>9553</v>
      </c>
      <c r="C4745" s="2" t="s">
        <v>56</v>
      </c>
      <c r="D4745" s="2" t="s">
        <v>57</v>
      </c>
      <c r="E4745" s="5">
        <v>-27888</v>
      </c>
      <c r="F4745" s="3" t="s">
        <v>232</v>
      </c>
      <c r="G4745" s="3" t="s">
        <v>27</v>
      </c>
      <c r="H4745" s="2" t="s">
        <v>21</v>
      </c>
      <c r="I4745" s="2" t="s">
        <v>9554</v>
      </c>
      <c r="J4745" s="3" t="str">
        <f>HYPERLINK("https://www.boe.es/gazeta/dias/1823/08/23/pdfs/GMD-1823-633.pdf#page=2","Abrir facsímil")</f>
        <v>Abrir facsímil</v>
      </c>
      <c r="K4745" s="3" t="s">
        <v>23</v>
      </c>
    </row>
    <row r="4746" spans="1:11" ht="42" customHeight="1">
      <c r="A4746" s="2" t="s">
        <v>9555</v>
      </c>
      <c r="B4746" s="2" t="s">
        <v>9556</v>
      </c>
      <c r="C4746" s="2" t="s">
        <v>17</v>
      </c>
      <c r="D4746" s="2" t="s">
        <v>18</v>
      </c>
      <c r="E4746" s="5">
        <v>-27888</v>
      </c>
      <c r="F4746" s="3" t="s">
        <v>232</v>
      </c>
      <c r="G4746" s="3" t="s">
        <v>27</v>
      </c>
      <c r="H4746" s="2" t="s">
        <v>21</v>
      </c>
      <c r="I4746" s="2" t="s">
        <v>9557</v>
      </c>
      <c r="J4746" s="3" t="str">
        <f>HYPERLINK("https://www.boe.es/gazeta/dias/1823/08/23/pdfs/GMD-1823-633.pdf#page=2","Abrir facsímil")</f>
        <v>Abrir facsímil</v>
      </c>
      <c r="K4746" s="3" t="s">
        <v>23</v>
      </c>
    </row>
    <row r="4747" spans="1:11" ht="42" customHeight="1">
      <c r="A4747" s="2" t="s">
        <v>9558</v>
      </c>
      <c r="B4747" s="2" t="s">
        <v>9558</v>
      </c>
      <c r="C4747" s="2" t="s">
        <v>17</v>
      </c>
      <c r="D4747" s="2" t="s">
        <v>18</v>
      </c>
      <c r="E4747" s="5">
        <v>-27874</v>
      </c>
      <c r="F4747" s="3" t="s">
        <v>122</v>
      </c>
      <c r="G4747" s="3" t="s">
        <v>48</v>
      </c>
      <c r="H4747" s="2" t="s">
        <v>21</v>
      </c>
      <c r="I4747" s="2" t="s">
        <v>9559</v>
      </c>
      <c r="J4747" s="3" t="str">
        <f>HYPERLINK("https://www.boe.es/gazeta/dias/1823/09/06/pdfs/GMD-1823-713.pdf#page=3","Abrir facsímil")</f>
        <v>Abrir facsímil</v>
      </c>
      <c r="K4747" s="3" t="s">
        <v>23</v>
      </c>
    </row>
    <row r="4748" spans="1:11" ht="42" customHeight="1">
      <c r="A4748" s="2" t="s">
        <v>9560</v>
      </c>
      <c r="B4748" s="2" t="s">
        <v>9560</v>
      </c>
      <c r="C4748" s="2" t="s">
        <v>293</v>
      </c>
      <c r="D4748" s="2" t="s">
        <v>74</v>
      </c>
      <c r="E4748" s="5">
        <v>-28023</v>
      </c>
      <c r="F4748" s="3" t="s">
        <v>384</v>
      </c>
      <c r="G4748" s="3" t="s">
        <v>20</v>
      </c>
      <c r="H4748" s="2" t="s">
        <v>21</v>
      </c>
      <c r="I4748" s="2" t="s">
        <v>9561</v>
      </c>
      <c r="J4748" s="3" t="str">
        <f>HYPERLINK("https://www.boe.es/gazeta/dias/1823/04/10/pdfs/GMD-1823-105.pdf#page=4","Abrir facsímil")</f>
        <v>Abrir facsímil</v>
      </c>
      <c r="K4748" s="3" t="s">
        <v>23</v>
      </c>
    </row>
    <row r="4749" spans="1:11" ht="42" customHeight="1">
      <c r="A4749" s="2" t="s">
        <v>9562</v>
      </c>
      <c r="B4749" s="2" t="s">
        <v>9563</v>
      </c>
      <c r="C4749" s="2" t="s">
        <v>17</v>
      </c>
      <c r="D4749" s="2" t="s">
        <v>18</v>
      </c>
      <c r="E4749" s="5">
        <v>-27848</v>
      </c>
      <c r="F4749" s="3" t="s">
        <v>1083</v>
      </c>
      <c r="G4749" s="3" t="s">
        <v>27</v>
      </c>
      <c r="H4749" s="2" t="s">
        <v>21</v>
      </c>
      <c r="I4749" s="2" t="s">
        <v>9564</v>
      </c>
      <c r="J4749" s="3" t="str">
        <f>HYPERLINK("https://www.boe.es/gazeta/dias/1823/10/02/pdfs/GES-1823-176.pdf#page=2","Abrir facsímil")</f>
        <v>Abrir facsímil</v>
      </c>
      <c r="K4749" s="3" t="s">
        <v>23</v>
      </c>
    </row>
    <row r="4750" spans="1:11" ht="42" customHeight="1">
      <c r="A4750" s="2" t="s">
        <v>9565</v>
      </c>
      <c r="B4750" s="2" t="s">
        <v>9565</v>
      </c>
      <c r="C4750" s="2" t="s">
        <v>17</v>
      </c>
      <c r="D4750" s="2" t="s">
        <v>18</v>
      </c>
      <c r="E4750" s="5">
        <v>-27906</v>
      </c>
      <c r="F4750" s="3" t="s">
        <v>241</v>
      </c>
      <c r="G4750" s="3" t="s">
        <v>20</v>
      </c>
      <c r="H4750" s="2" t="s">
        <v>21</v>
      </c>
      <c r="I4750" s="2" t="s">
        <v>9566</v>
      </c>
      <c r="J4750" s="3" t="str">
        <f>HYPERLINK("https://www.boe.es/gazeta/dias/1823/08/05/pdfs/GES-1823-117.pdf#page=4","Abrir facsímil")</f>
        <v>Abrir facsímil</v>
      </c>
      <c r="K4750" s="3" t="s">
        <v>23</v>
      </c>
    </row>
    <row r="4751" spans="1:11" ht="42" customHeight="1">
      <c r="A4751" s="2" t="s">
        <v>9567</v>
      </c>
      <c r="B4751" s="2" t="s">
        <v>9568</v>
      </c>
      <c r="C4751" s="2" t="s">
        <v>17</v>
      </c>
      <c r="D4751" s="2" t="s">
        <v>18</v>
      </c>
      <c r="E4751" s="5">
        <v>-28006</v>
      </c>
      <c r="F4751" s="3" t="s">
        <v>183</v>
      </c>
      <c r="G4751" s="3" t="s">
        <v>59</v>
      </c>
      <c r="H4751" s="2" t="s">
        <v>21</v>
      </c>
      <c r="I4751" s="2" t="s">
        <v>9569</v>
      </c>
      <c r="J4751" s="3" t="str">
        <f>HYPERLINK("https://www.boe.es/gazeta/dias/1823/04/27/pdfs/GES-1823-17.pdf#page=6","Abrir facsímil")</f>
        <v>Abrir facsímil</v>
      </c>
      <c r="K4751" s="3" t="s">
        <v>23</v>
      </c>
    </row>
    <row r="4752" spans="1:11" ht="42" customHeight="1">
      <c r="A4752" s="2" t="s">
        <v>9570</v>
      </c>
      <c r="B4752" s="2" t="s">
        <v>9571</v>
      </c>
      <c r="C4752" s="2" t="s">
        <v>17</v>
      </c>
      <c r="D4752" s="2" t="s">
        <v>18</v>
      </c>
      <c r="E4752" s="5">
        <v>-28001</v>
      </c>
      <c r="F4752" s="3" t="s">
        <v>768</v>
      </c>
      <c r="G4752" s="3" t="s">
        <v>34</v>
      </c>
      <c r="H4752" s="2" t="s">
        <v>21</v>
      </c>
      <c r="I4752" s="2" t="s">
        <v>9572</v>
      </c>
      <c r="J4752" s="3" t="str">
        <f>HYPERLINK("https://www.boe.es/gazeta/dias/1823/05/02/pdfs/GES-1823-22.pdf#page=5","Abrir facsímil")</f>
        <v>Abrir facsímil</v>
      </c>
      <c r="K4752" s="3" t="s">
        <v>23</v>
      </c>
    </row>
    <row r="4753" spans="1:11" ht="42" customHeight="1">
      <c r="A4753" s="2" t="s">
        <v>9570</v>
      </c>
      <c r="B4753" s="2" t="s">
        <v>9571</v>
      </c>
      <c r="C4753" s="2" t="s">
        <v>17</v>
      </c>
      <c r="D4753" s="2" t="s">
        <v>18</v>
      </c>
      <c r="E4753" s="5">
        <v>-27965</v>
      </c>
      <c r="F4753" s="3" t="s">
        <v>208</v>
      </c>
      <c r="G4753" s="3" t="s">
        <v>20</v>
      </c>
      <c r="H4753" s="2" t="s">
        <v>21</v>
      </c>
      <c r="I4753" s="2" t="s">
        <v>9573</v>
      </c>
      <c r="J4753" s="3" t="str">
        <f>HYPERLINK("https://www.boe.es/gazeta/dias/1823/06/07/pdfs/GES-1823-61.pdf#page=4","Abrir facsímil")</f>
        <v>Abrir facsímil</v>
      </c>
      <c r="K4753" s="3" t="s">
        <v>23</v>
      </c>
    </row>
    <row r="4754" spans="1:11" ht="42" customHeight="1">
      <c r="A4754" s="2" t="s">
        <v>9570</v>
      </c>
      <c r="B4754" s="2" t="s">
        <v>9571</v>
      </c>
      <c r="C4754" s="2" t="s">
        <v>17</v>
      </c>
      <c r="D4754" s="2" t="s">
        <v>117</v>
      </c>
      <c r="E4754" s="5">
        <v>-27925</v>
      </c>
      <c r="F4754" s="3" t="s">
        <v>3911</v>
      </c>
      <c r="G4754" s="3" t="s">
        <v>39</v>
      </c>
      <c r="H4754" s="2" t="s">
        <v>21</v>
      </c>
      <c r="I4754" s="2" t="s">
        <v>9574</v>
      </c>
      <c r="J4754" s="3" t="str">
        <f>HYPERLINK("https://www.boe.es/gazeta/dias/1823/07/17/pdfs/GES-1823-98E.pdf#page=1","Abrir facsímil")</f>
        <v>Abrir facsímil</v>
      </c>
      <c r="K4754" s="3" t="s">
        <v>23</v>
      </c>
    </row>
    <row r="4755" spans="1:11" ht="42" customHeight="1">
      <c r="A4755" s="2" t="s">
        <v>9570</v>
      </c>
      <c r="B4755" s="2" t="s">
        <v>9571</v>
      </c>
      <c r="C4755" s="2" t="s">
        <v>17</v>
      </c>
      <c r="D4755" s="2" t="s">
        <v>18</v>
      </c>
      <c r="E4755" s="5">
        <v>-27906</v>
      </c>
      <c r="F4755" s="3" t="s">
        <v>241</v>
      </c>
      <c r="G4755" s="3" t="s">
        <v>20</v>
      </c>
      <c r="H4755" s="2" t="s">
        <v>21</v>
      </c>
      <c r="I4755" s="2" t="s">
        <v>9575</v>
      </c>
      <c r="J4755" s="3" t="str">
        <f>HYPERLINK("https://www.boe.es/gazeta/dias/1823/08/05/pdfs/GES-1823-117.pdf#page=4","Abrir facsímil")</f>
        <v>Abrir facsímil</v>
      </c>
      <c r="K4755" s="3" t="s">
        <v>23</v>
      </c>
    </row>
    <row r="4756" spans="1:11" ht="42" customHeight="1">
      <c r="A4756" s="2" t="s">
        <v>9576</v>
      </c>
      <c r="B4756" s="2" t="s">
        <v>9576</v>
      </c>
      <c r="C4756" s="2" t="s">
        <v>109</v>
      </c>
      <c r="D4756" s="2" t="s">
        <v>74</v>
      </c>
      <c r="E4756" s="5">
        <v>-28086</v>
      </c>
      <c r="F4756" s="3" t="s">
        <v>289</v>
      </c>
      <c r="G4756" s="3" t="s">
        <v>39</v>
      </c>
      <c r="H4756" s="2" t="s">
        <v>21</v>
      </c>
      <c r="I4756" s="2" t="s">
        <v>9577</v>
      </c>
      <c r="J4756" s="3" t="str">
        <f>HYPERLINK("https://www.boe.es/gazeta/dias/1823/02/06/pdfs/GMD-1823-39.pdf#page=1","Abrir facsímil")</f>
        <v>Abrir facsímil</v>
      </c>
      <c r="K4756" s="3" t="s">
        <v>23</v>
      </c>
    </row>
    <row r="4757" spans="1:11" ht="42" customHeight="1">
      <c r="A4757" s="2" t="s">
        <v>9578</v>
      </c>
      <c r="B4757" s="2" t="s">
        <v>9579</v>
      </c>
      <c r="C4757" s="2" t="s">
        <v>56</v>
      </c>
      <c r="D4757" s="2" t="s">
        <v>57</v>
      </c>
      <c r="E4757" s="5">
        <v>-28048</v>
      </c>
      <c r="F4757" s="3" t="s">
        <v>399</v>
      </c>
      <c r="G4757" s="3" t="s">
        <v>34</v>
      </c>
      <c r="H4757" s="2" t="s">
        <v>21</v>
      </c>
      <c r="I4757" s="2" t="s">
        <v>9580</v>
      </c>
      <c r="J4757" s="3" t="str">
        <f>HYPERLINK("https://www.boe.es/gazeta/dias/1823/03/16/pdfs/GMD-1823-79.pdf#page=5","Abrir facsímil")</f>
        <v>Abrir facsímil</v>
      </c>
      <c r="K4757" s="3" t="s">
        <v>23</v>
      </c>
    </row>
    <row r="4758" spans="1:11" ht="42" customHeight="1">
      <c r="A4758" s="2" t="s">
        <v>9581</v>
      </c>
      <c r="B4758" s="2" t="s">
        <v>9582</v>
      </c>
      <c r="C4758" s="2" t="s">
        <v>73</v>
      </c>
      <c r="D4758" s="2" t="s">
        <v>74</v>
      </c>
      <c r="E4758" s="5">
        <v>-28106</v>
      </c>
      <c r="F4758" s="3" t="s">
        <v>280</v>
      </c>
      <c r="G4758" s="3" t="s">
        <v>20</v>
      </c>
      <c r="H4758" s="2" t="s">
        <v>21</v>
      </c>
      <c r="I4758" s="2" t="s">
        <v>9583</v>
      </c>
      <c r="J4758" s="3" t="str">
        <f>HYPERLINK("https://www.boe.es/gazeta/dias/1823/01/17/pdfs/GMD-1823-17.pdf#page=4","Abrir facsímil")</f>
        <v>Abrir facsímil</v>
      </c>
      <c r="K4758" s="3" t="s">
        <v>23</v>
      </c>
    </row>
    <row r="4759" spans="1:11" ht="42" customHeight="1">
      <c r="A4759" s="2" t="s">
        <v>9584</v>
      </c>
      <c r="B4759" s="2" t="s">
        <v>9584</v>
      </c>
      <c r="C4759" s="2" t="s">
        <v>79</v>
      </c>
      <c r="D4759" s="2" t="s">
        <v>74</v>
      </c>
      <c r="E4759" s="5">
        <v>-28119</v>
      </c>
      <c r="F4759" s="3" t="s">
        <v>545</v>
      </c>
      <c r="G4759" s="3" t="s">
        <v>48</v>
      </c>
      <c r="H4759" s="2" t="s">
        <v>21</v>
      </c>
      <c r="I4759" s="2" t="s">
        <v>9585</v>
      </c>
      <c r="J4759" s="3" t="str">
        <f>HYPERLINK("https://www.boe.es/gazeta/dias/1823/01/04/pdfs/GMD-1823-4.pdf#page=3","Abrir facsímil")</f>
        <v>Abrir facsímil</v>
      </c>
      <c r="K4759" s="3" t="s">
        <v>23</v>
      </c>
    </row>
    <row r="4760" spans="1:11" ht="42" customHeight="1">
      <c r="A4760" s="2" t="s">
        <v>9586</v>
      </c>
      <c r="B4760" s="2" t="s">
        <v>9586</v>
      </c>
      <c r="C4760" s="2" t="s">
        <v>56</v>
      </c>
      <c r="D4760" s="2" t="s">
        <v>57</v>
      </c>
      <c r="E4760" s="5">
        <v>-28099</v>
      </c>
      <c r="F4760" s="3" t="s">
        <v>1689</v>
      </c>
      <c r="G4760" s="3" t="s">
        <v>48</v>
      </c>
      <c r="H4760" s="2" t="s">
        <v>21</v>
      </c>
      <c r="I4760" s="2" t="s">
        <v>9587</v>
      </c>
      <c r="J4760" s="3" t="str">
        <f>HYPERLINK("https://www.boe.es/gazeta/dias/1823/01/24/pdfs/GMD-1823-25.pdf#page=3","Abrir facsímil")</f>
        <v>Abrir facsímil</v>
      </c>
      <c r="K4760" s="3" t="s">
        <v>23</v>
      </c>
    </row>
    <row r="4761" spans="1:11" ht="42" customHeight="1">
      <c r="A4761" s="2" t="s">
        <v>9588</v>
      </c>
      <c r="B4761" s="2" t="s">
        <v>9588</v>
      </c>
      <c r="C4761" s="2" t="s">
        <v>109</v>
      </c>
      <c r="D4761" s="2" t="s">
        <v>74</v>
      </c>
      <c r="E4761" s="5">
        <v>-27987</v>
      </c>
      <c r="F4761" s="3" t="s">
        <v>332</v>
      </c>
      <c r="G4761" s="3" t="s">
        <v>48</v>
      </c>
      <c r="H4761" s="2" t="s">
        <v>21</v>
      </c>
      <c r="I4761" s="2" t="s">
        <v>9589</v>
      </c>
      <c r="J4761" s="3" t="str">
        <f>HYPERLINK("https://www.boe.es/gazeta/dias/1823/05/16/pdfs/GES-1823-36.pdf#page=3","Abrir facsímil")</f>
        <v>Abrir facsímil</v>
      </c>
      <c r="K4761" s="3" t="s">
        <v>23</v>
      </c>
    </row>
    <row r="4762" spans="1:11" ht="42" customHeight="1">
      <c r="A4762" s="2" t="s">
        <v>9588</v>
      </c>
      <c r="B4762" s="2" t="s">
        <v>9588</v>
      </c>
      <c r="C4762" s="2" t="s">
        <v>79</v>
      </c>
      <c r="D4762" s="2" t="s">
        <v>74</v>
      </c>
      <c r="E4762" s="5">
        <v>-27951</v>
      </c>
      <c r="F4762" s="3" t="s">
        <v>548</v>
      </c>
      <c r="G4762" s="3" t="s">
        <v>39</v>
      </c>
      <c r="H4762" s="2" t="s">
        <v>21</v>
      </c>
      <c r="I4762" s="2" t="s">
        <v>9590</v>
      </c>
      <c r="J4762" s="3" t="str">
        <f>HYPERLINK("https://www.boe.es/gazeta/dias/1823/06/21/pdfs/GES-1823-69.pdf#page=1","Abrir facsímil")</f>
        <v>Abrir facsímil</v>
      </c>
      <c r="K4762" s="3" t="s">
        <v>23</v>
      </c>
    </row>
    <row r="4763" spans="1:11" ht="42" customHeight="1">
      <c r="A4763" s="2" t="s">
        <v>9591</v>
      </c>
      <c r="B4763" s="2" t="s">
        <v>9591</v>
      </c>
      <c r="C4763" s="2" t="s">
        <v>84</v>
      </c>
      <c r="D4763" s="2" t="s">
        <v>74</v>
      </c>
      <c r="E4763" s="5">
        <v>-28120</v>
      </c>
      <c r="F4763" s="3" t="s">
        <v>2772</v>
      </c>
      <c r="G4763" s="3" t="s">
        <v>20</v>
      </c>
      <c r="H4763" s="2" t="s">
        <v>21</v>
      </c>
      <c r="I4763" s="2" t="s">
        <v>9592</v>
      </c>
      <c r="J4763" s="3" t="str">
        <f>HYPERLINK("https://www.boe.es/gazeta/dias/1823/01/03/pdfs/GMD-1823-3.pdf#page=4","Abrir facsímil")</f>
        <v>Abrir facsímil</v>
      </c>
      <c r="K4763" s="3" t="s">
        <v>23</v>
      </c>
    </row>
    <row r="4764" spans="1:11" ht="42" customHeight="1">
      <c r="A4764" s="2" t="s">
        <v>9591</v>
      </c>
      <c r="B4764" s="2" t="s">
        <v>9591</v>
      </c>
      <c r="C4764" s="2" t="s">
        <v>293</v>
      </c>
      <c r="D4764" s="2" t="s">
        <v>74</v>
      </c>
      <c r="E4764" s="5">
        <v>-28116</v>
      </c>
      <c r="F4764" s="3" t="s">
        <v>134</v>
      </c>
      <c r="G4764" s="3" t="s">
        <v>20</v>
      </c>
      <c r="H4764" s="2" t="s">
        <v>21</v>
      </c>
      <c r="I4764" s="2" t="s">
        <v>9593</v>
      </c>
      <c r="J4764" s="3" t="str">
        <f>HYPERLINK("https://www.boe.es/gazeta/dias/1823/01/07/pdfs/GMD-1823-7.pdf#page=4","Abrir facsímil")</f>
        <v>Abrir facsímil</v>
      </c>
      <c r="K4764" s="3" t="s">
        <v>23</v>
      </c>
    </row>
    <row r="4765" spans="1:11" ht="42" customHeight="1">
      <c r="A4765" s="2" t="s">
        <v>9591</v>
      </c>
      <c r="B4765" s="2" t="s">
        <v>9591</v>
      </c>
      <c r="C4765" s="2" t="s">
        <v>56</v>
      </c>
      <c r="D4765" s="2" t="s">
        <v>57</v>
      </c>
      <c r="E4765" s="5">
        <v>-28115</v>
      </c>
      <c r="F4765" s="3" t="s">
        <v>579</v>
      </c>
      <c r="G4765" s="3" t="s">
        <v>27</v>
      </c>
      <c r="H4765" s="2" t="s">
        <v>21</v>
      </c>
      <c r="I4765" s="2" t="s">
        <v>9594</v>
      </c>
      <c r="J4765" s="3" t="str">
        <f>HYPERLINK("https://www.boe.es/gazeta/dias/1823/01/08/pdfs/GMD-1823-8.pdf#page=2","Abrir facsímil")</f>
        <v>Abrir facsímil</v>
      </c>
      <c r="K4765" s="3" t="s">
        <v>23</v>
      </c>
    </row>
    <row r="4766" spans="1:11" ht="42" customHeight="1">
      <c r="A4766" s="2" t="s">
        <v>9591</v>
      </c>
      <c r="B4766" s="2" t="s">
        <v>9591</v>
      </c>
      <c r="C4766" s="2" t="s">
        <v>109</v>
      </c>
      <c r="D4766" s="2" t="s">
        <v>74</v>
      </c>
      <c r="E4766" s="5">
        <v>-28114</v>
      </c>
      <c r="F4766" s="3" t="s">
        <v>153</v>
      </c>
      <c r="G4766" s="3" t="s">
        <v>27</v>
      </c>
      <c r="H4766" s="2" t="s">
        <v>21</v>
      </c>
      <c r="I4766" s="2" t="s">
        <v>9595</v>
      </c>
      <c r="J4766" s="3" t="str">
        <f>HYPERLINK("https://www.boe.es/gazeta/dias/1823/01/09/pdfs/GMD-1823-9.pdf#page=2","Abrir facsímil")</f>
        <v>Abrir facsímil</v>
      </c>
      <c r="K4766" s="3" t="s">
        <v>23</v>
      </c>
    </row>
    <row r="4767" spans="1:11" ht="42" customHeight="1">
      <c r="A4767" s="2" t="s">
        <v>9591</v>
      </c>
      <c r="B4767" s="2" t="s">
        <v>9591</v>
      </c>
      <c r="C4767" s="2" t="s">
        <v>79</v>
      </c>
      <c r="D4767" s="2" t="s">
        <v>74</v>
      </c>
      <c r="E4767" s="5">
        <v>-28109</v>
      </c>
      <c r="F4767" s="3" t="s">
        <v>889</v>
      </c>
      <c r="G4767" s="3" t="s">
        <v>27</v>
      </c>
      <c r="H4767" s="2" t="s">
        <v>21</v>
      </c>
      <c r="I4767" s="2" t="s">
        <v>9596</v>
      </c>
      <c r="J4767" s="3" t="str">
        <f>HYPERLINK("https://www.boe.es/gazeta/dias/1823/01/14/pdfs/GMD-1823-14.pdf#page=2","Abrir facsímil")</f>
        <v>Abrir facsímil</v>
      </c>
      <c r="K4767" s="3" t="s">
        <v>23</v>
      </c>
    </row>
    <row r="4768" spans="1:11" ht="42" customHeight="1">
      <c r="A4768" s="2" t="s">
        <v>9591</v>
      </c>
      <c r="B4768" s="2" t="s">
        <v>9591</v>
      </c>
      <c r="C4768" s="2" t="s">
        <v>17</v>
      </c>
      <c r="D4768" s="2" t="s">
        <v>18</v>
      </c>
      <c r="E4768" s="5">
        <v>-28105</v>
      </c>
      <c r="F4768" s="3" t="s">
        <v>502</v>
      </c>
      <c r="G4768" s="3" t="s">
        <v>34</v>
      </c>
      <c r="H4768" s="2" t="s">
        <v>21</v>
      </c>
      <c r="I4768" s="2" t="s">
        <v>9597</v>
      </c>
      <c r="J4768" s="3" t="str">
        <f>HYPERLINK("https://www.boe.es/gazeta/dias/1823/01/18/pdfs/GMD-1823-18.pdf#page=5","Abrir facsímil")</f>
        <v>Abrir facsímil</v>
      </c>
      <c r="K4768" s="3" t="s">
        <v>23</v>
      </c>
    </row>
    <row r="4769" spans="1:11" ht="42" customHeight="1">
      <c r="A4769" s="2" t="s">
        <v>9591</v>
      </c>
      <c r="B4769" s="2" t="s">
        <v>9591</v>
      </c>
      <c r="C4769" s="2" t="s">
        <v>17</v>
      </c>
      <c r="D4769" s="2" t="s">
        <v>18</v>
      </c>
      <c r="E4769" s="5">
        <v>-28102</v>
      </c>
      <c r="F4769" s="3" t="s">
        <v>287</v>
      </c>
      <c r="G4769" s="3" t="s">
        <v>48</v>
      </c>
      <c r="H4769" s="2" t="s">
        <v>21</v>
      </c>
      <c r="I4769" s="2" t="s">
        <v>9598</v>
      </c>
      <c r="J4769" s="3" t="str">
        <f>HYPERLINK("https://www.boe.es/gazeta/dias/1823/01/21/pdfs/GMD-1823-22.pdf#page=3","Abrir facsímil")</f>
        <v>Abrir facsímil</v>
      </c>
      <c r="K4769" s="3" t="s">
        <v>23</v>
      </c>
    </row>
    <row r="4770" spans="1:11" ht="42" customHeight="1">
      <c r="A4770" s="2" t="s">
        <v>9591</v>
      </c>
      <c r="B4770" s="2" t="s">
        <v>9591</v>
      </c>
      <c r="C4770" s="2" t="s">
        <v>56</v>
      </c>
      <c r="D4770" s="2" t="s">
        <v>57</v>
      </c>
      <c r="E4770" s="5">
        <v>-28099</v>
      </c>
      <c r="F4770" s="3" t="s">
        <v>1689</v>
      </c>
      <c r="G4770" s="3" t="s">
        <v>39</v>
      </c>
      <c r="H4770" s="2" t="s">
        <v>21</v>
      </c>
      <c r="I4770" s="2" t="s">
        <v>9599</v>
      </c>
      <c r="J4770" s="3" t="str">
        <f>HYPERLINK("https://www.boe.es/gazeta/dias/1823/01/24/pdfs/GMD-1823-25.pdf#page=1","Abrir facsímil")</f>
        <v>Abrir facsímil</v>
      </c>
      <c r="K4770" s="3" t="s">
        <v>23</v>
      </c>
    </row>
    <row r="4771" spans="1:11" ht="42" customHeight="1">
      <c r="A4771" s="2" t="s">
        <v>9591</v>
      </c>
      <c r="B4771" s="2" t="s">
        <v>9591</v>
      </c>
      <c r="C4771" s="2" t="s">
        <v>109</v>
      </c>
      <c r="D4771" s="2" t="s">
        <v>74</v>
      </c>
      <c r="E4771" s="5">
        <v>-28095</v>
      </c>
      <c r="F4771" s="3" t="s">
        <v>1770</v>
      </c>
      <c r="G4771" s="3" t="s">
        <v>20</v>
      </c>
      <c r="H4771" s="2" t="s">
        <v>21</v>
      </c>
      <c r="I4771" s="2" t="s">
        <v>9600</v>
      </c>
      <c r="J4771" s="3" t="str">
        <f>HYPERLINK("https://www.boe.es/gazeta/dias/1823/01/28/pdfs/GMD-1823-29.pdf#page=4","Abrir facsímil")</f>
        <v>Abrir facsímil</v>
      </c>
      <c r="K4771" s="3" t="s">
        <v>23</v>
      </c>
    </row>
    <row r="4772" spans="1:11" ht="42" customHeight="1">
      <c r="A4772" s="2" t="s">
        <v>9591</v>
      </c>
      <c r="B4772" s="2" t="s">
        <v>9591</v>
      </c>
      <c r="C4772" s="2" t="s">
        <v>79</v>
      </c>
      <c r="D4772" s="2" t="s">
        <v>74</v>
      </c>
      <c r="E4772" s="5">
        <v>-28092</v>
      </c>
      <c r="F4772" s="3" t="s">
        <v>105</v>
      </c>
      <c r="G4772" s="3" t="s">
        <v>27</v>
      </c>
      <c r="H4772" s="2" t="s">
        <v>21</v>
      </c>
      <c r="I4772" s="2" t="s">
        <v>9601</v>
      </c>
      <c r="J4772" s="3" t="str">
        <f>HYPERLINK("https://www.boe.es/gazeta/dias/1823/01/31/pdfs/GMD-1823-32.pdf#page=2","Abrir facsímil")</f>
        <v>Abrir facsímil</v>
      </c>
      <c r="K4772" s="3" t="s">
        <v>23</v>
      </c>
    </row>
    <row r="4773" spans="1:11" ht="42" customHeight="1">
      <c r="A4773" s="2" t="s">
        <v>9591</v>
      </c>
      <c r="B4773" s="2" t="s">
        <v>9591</v>
      </c>
      <c r="C4773" s="2" t="s">
        <v>79</v>
      </c>
      <c r="D4773" s="2" t="s">
        <v>74</v>
      </c>
      <c r="E4773" s="5">
        <v>-28092</v>
      </c>
      <c r="F4773" s="3" t="s">
        <v>105</v>
      </c>
      <c r="G4773" s="3" t="s">
        <v>48</v>
      </c>
      <c r="H4773" s="2" t="s">
        <v>21</v>
      </c>
      <c r="I4773" s="2" t="s">
        <v>9602</v>
      </c>
      <c r="J4773" s="3" t="str">
        <f>HYPERLINK("https://www.boe.es/gazeta/dias/1823/01/31/pdfs/GMD-1823-32.pdf#page=3","Abrir facsímil")</f>
        <v>Abrir facsímil</v>
      </c>
      <c r="K4773" s="3" t="s">
        <v>23</v>
      </c>
    </row>
    <row r="4774" spans="1:11" ht="42" customHeight="1">
      <c r="A4774" s="2" t="s">
        <v>9591</v>
      </c>
      <c r="B4774" s="2" t="s">
        <v>9591</v>
      </c>
      <c r="C4774" s="2" t="s">
        <v>79</v>
      </c>
      <c r="D4774" s="2" t="s">
        <v>74</v>
      </c>
      <c r="E4774" s="5">
        <v>-28087</v>
      </c>
      <c r="F4774" s="3" t="s">
        <v>3125</v>
      </c>
      <c r="G4774" s="3" t="s">
        <v>20</v>
      </c>
      <c r="H4774" s="2" t="s">
        <v>21</v>
      </c>
      <c r="I4774" s="2" t="s">
        <v>9603</v>
      </c>
      <c r="J4774" s="3" t="str">
        <f>HYPERLINK("https://www.boe.es/gazeta/dias/1823/02/05/pdfs/GMD-1823-38.pdf#page=4","Abrir facsímil")</f>
        <v>Abrir facsímil</v>
      </c>
      <c r="K4774" s="3" t="s">
        <v>23</v>
      </c>
    </row>
    <row r="4775" spans="1:11" ht="42" customHeight="1">
      <c r="A4775" s="2" t="s">
        <v>9591</v>
      </c>
      <c r="B4775" s="2" t="s">
        <v>9591</v>
      </c>
      <c r="C4775" s="2" t="s">
        <v>56</v>
      </c>
      <c r="D4775" s="2" t="s">
        <v>57</v>
      </c>
      <c r="E4775" s="5">
        <v>-28054</v>
      </c>
      <c r="F4775" s="3" t="s">
        <v>1292</v>
      </c>
      <c r="G4775" s="3" t="s">
        <v>48</v>
      </c>
      <c r="H4775" s="2" t="s">
        <v>21</v>
      </c>
      <c r="I4775" s="2" t="s">
        <v>9604</v>
      </c>
      <c r="J4775" s="3" t="str">
        <f>HYPERLINK("https://www.boe.es/gazeta/dias/1823/03/10/pdfs/GMD-1823-73.pdf#page=3","Abrir facsímil")</f>
        <v>Abrir facsímil</v>
      </c>
      <c r="K4775" s="3" t="s">
        <v>23</v>
      </c>
    </row>
    <row r="4776" spans="1:11" ht="42" customHeight="1">
      <c r="A4776" s="2" t="s">
        <v>9591</v>
      </c>
      <c r="B4776" s="2" t="s">
        <v>9591</v>
      </c>
      <c r="C4776" s="2" t="s">
        <v>17</v>
      </c>
      <c r="D4776" s="2" t="s">
        <v>18</v>
      </c>
      <c r="E4776" s="5">
        <v>-28042</v>
      </c>
      <c r="F4776" s="3" t="s">
        <v>1218</v>
      </c>
      <c r="G4776" s="3" t="s">
        <v>48</v>
      </c>
      <c r="H4776" s="2" t="s">
        <v>21</v>
      </c>
      <c r="I4776" s="2" t="s">
        <v>9605</v>
      </c>
      <c r="J4776" s="3" t="str">
        <f>HYPERLINK("https://www.boe.es/gazeta/dias/1823/03/22/pdfs/GMD-1823-85.pdf#page=3","Abrir facsímil")</f>
        <v>Abrir facsímil</v>
      </c>
      <c r="K4776" s="3" t="s">
        <v>23</v>
      </c>
    </row>
    <row r="4777" spans="1:11" ht="42" customHeight="1">
      <c r="A4777" s="2" t="s">
        <v>9591</v>
      </c>
      <c r="B4777" s="2" t="s">
        <v>9591</v>
      </c>
      <c r="C4777" s="2" t="s">
        <v>109</v>
      </c>
      <c r="D4777" s="2" t="s">
        <v>74</v>
      </c>
      <c r="E4777" s="5">
        <v>-27996</v>
      </c>
      <c r="F4777" s="3" t="s">
        <v>695</v>
      </c>
      <c r="G4777" s="3" t="s">
        <v>48</v>
      </c>
      <c r="H4777" s="2" t="s">
        <v>21</v>
      </c>
      <c r="I4777" s="2" t="s">
        <v>9606</v>
      </c>
      <c r="J4777" s="3" t="str">
        <f>HYPERLINK("https://www.boe.es/gazeta/dias/1823/05/07/pdfs/GES-1823-27.pdf#page=3","Abrir facsímil")</f>
        <v>Abrir facsímil</v>
      </c>
      <c r="K4777" s="3" t="s">
        <v>23</v>
      </c>
    </row>
    <row r="4778" spans="1:11" ht="42" customHeight="1">
      <c r="A4778" s="2" t="s">
        <v>9591</v>
      </c>
      <c r="B4778" s="2" t="s">
        <v>9591</v>
      </c>
      <c r="C4778" s="2" t="s">
        <v>56</v>
      </c>
      <c r="D4778" s="2" t="s">
        <v>57</v>
      </c>
      <c r="E4778" s="5">
        <v>-27993</v>
      </c>
      <c r="F4778" s="3" t="s">
        <v>977</v>
      </c>
      <c r="G4778" s="3" t="s">
        <v>27</v>
      </c>
      <c r="H4778" s="2" t="s">
        <v>21</v>
      </c>
      <c r="I4778" s="2" t="s">
        <v>9607</v>
      </c>
      <c r="J4778" s="3" t="str">
        <f>HYPERLINK("https://www.boe.es/gazeta/dias/1823/05/10/pdfs/GES-1823-30.pdf#page=2","Abrir facsímil")</f>
        <v>Abrir facsímil</v>
      </c>
      <c r="K4778" s="3" t="s">
        <v>23</v>
      </c>
    </row>
    <row r="4779" spans="1:11" ht="42" customHeight="1">
      <c r="A4779" s="2" t="s">
        <v>9591</v>
      </c>
      <c r="B4779" s="2" t="s">
        <v>9591</v>
      </c>
      <c r="C4779" s="2" t="s">
        <v>109</v>
      </c>
      <c r="D4779" s="2" t="s">
        <v>74</v>
      </c>
      <c r="E4779" s="5">
        <v>-27991</v>
      </c>
      <c r="F4779" s="3" t="s">
        <v>328</v>
      </c>
      <c r="G4779" s="3" t="s">
        <v>48</v>
      </c>
      <c r="H4779" s="2" t="s">
        <v>21</v>
      </c>
      <c r="I4779" s="2" t="s">
        <v>9608</v>
      </c>
      <c r="J4779" s="3" t="str">
        <f>HYPERLINK("https://www.boe.es/gazeta/dias/1823/05/12/pdfs/GES-1823-32.pdf#page=3","Abrir facsímil")</f>
        <v>Abrir facsímil</v>
      </c>
      <c r="K4779" s="3" t="s">
        <v>23</v>
      </c>
    </row>
    <row r="4780" spans="1:11" ht="42" customHeight="1">
      <c r="A4780" s="2" t="s">
        <v>9591</v>
      </c>
      <c r="B4780" s="2" t="s">
        <v>9591</v>
      </c>
      <c r="C4780" s="2" t="s">
        <v>17</v>
      </c>
      <c r="D4780" s="2" t="s">
        <v>18</v>
      </c>
      <c r="E4780" s="5">
        <v>-27984</v>
      </c>
      <c r="F4780" s="3" t="s">
        <v>335</v>
      </c>
      <c r="G4780" s="3" t="s">
        <v>27</v>
      </c>
      <c r="H4780" s="2" t="s">
        <v>21</v>
      </c>
      <c r="I4780" s="2" t="s">
        <v>9609</v>
      </c>
      <c r="J4780" s="3" t="str">
        <f>HYPERLINK("https://www.boe.es/gazeta/dias/1823/05/19/pdfs/GES-1823-39.pdf#page=2","Abrir facsímil")</f>
        <v>Abrir facsímil</v>
      </c>
      <c r="K4780" s="3" t="s">
        <v>23</v>
      </c>
    </row>
    <row r="4781" spans="1:11" ht="42" customHeight="1">
      <c r="A4781" s="2" t="s">
        <v>9591</v>
      </c>
      <c r="B4781" s="2" t="s">
        <v>9591</v>
      </c>
      <c r="C4781" s="2" t="s">
        <v>79</v>
      </c>
      <c r="D4781" s="2" t="s">
        <v>74</v>
      </c>
      <c r="E4781" s="5">
        <v>-27982</v>
      </c>
      <c r="F4781" s="3" t="s">
        <v>340</v>
      </c>
      <c r="G4781" s="3" t="s">
        <v>27</v>
      </c>
      <c r="H4781" s="2" t="s">
        <v>21</v>
      </c>
      <c r="I4781" s="2" t="s">
        <v>9610</v>
      </c>
      <c r="J4781" s="3" t="str">
        <f>HYPERLINK("https://www.boe.es/gazeta/dias/1823/05/21/pdfs/GES-1823-42.pdf#page=2","Abrir facsímil")</f>
        <v>Abrir facsímil</v>
      </c>
      <c r="K4781" s="3" t="s">
        <v>23</v>
      </c>
    </row>
    <row r="4782" spans="1:11" ht="42" customHeight="1">
      <c r="A4782" s="2" t="s">
        <v>9591</v>
      </c>
      <c r="B4782" s="2" t="s">
        <v>9591</v>
      </c>
      <c r="C4782" s="2" t="s">
        <v>79</v>
      </c>
      <c r="D4782" s="2" t="s">
        <v>74</v>
      </c>
      <c r="E4782" s="5">
        <v>-27980</v>
      </c>
      <c r="F4782" s="3" t="s">
        <v>1068</v>
      </c>
      <c r="G4782" s="3" t="s">
        <v>20</v>
      </c>
      <c r="H4782" s="2" t="s">
        <v>21</v>
      </c>
      <c r="I4782" s="2" t="s">
        <v>9611</v>
      </c>
      <c r="J4782" s="3" t="str">
        <f>HYPERLINK("https://www.boe.es/gazeta/dias/1823/05/23/pdfs/GES-1823-44.pdf#page=4","Abrir facsímil")</f>
        <v>Abrir facsímil</v>
      </c>
      <c r="K4782" s="3" t="s">
        <v>23</v>
      </c>
    </row>
    <row r="4783" spans="1:11" ht="42" customHeight="1">
      <c r="A4783" s="2" t="s">
        <v>9591</v>
      </c>
      <c r="B4783" s="2" t="s">
        <v>9591</v>
      </c>
      <c r="C4783" s="2" t="s">
        <v>17</v>
      </c>
      <c r="D4783" s="2" t="s">
        <v>18</v>
      </c>
      <c r="E4783" s="5">
        <v>-27980</v>
      </c>
      <c r="F4783" s="3" t="s">
        <v>1068</v>
      </c>
      <c r="G4783" s="3" t="s">
        <v>34</v>
      </c>
      <c r="H4783" s="2" t="s">
        <v>21</v>
      </c>
      <c r="I4783" s="2" t="s">
        <v>9612</v>
      </c>
      <c r="J4783" s="3" t="str">
        <f>HYPERLINK("https://www.boe.es/gazeta/dias/1823/05/23/pdfs/GES-1823-44.pdf#page=5","Abrir facsímil")</f>
        <v>Abrir facsímil</v>
      </c>
      <c r="K4783" s="3" t="s">
        <v>23</v>
      </c>
    </row>
    <row r="4784" spans="1:11" ht="42" customHeight="1">
      <c r="A4784" s="2" t="s">
        <v>9591</v>
      </c>
      <c r="B4784" s="2" t="s">
        <v>9591</v>
      </c>
      <c r="C4784" s="2" t="s">
        <v>17</v>
      </c>
      <c r="D4784" s="2" t="s">
        <v>18</v>
      </c>
      <c r="E4784" s="5">
        <v>-27975</v>
      </c>
      <c r="F4784" s="3" t="s">
        <v>47</v>
      </c>
      <c r="G4784" s="3" t="s">
        <v>27</v>
      </c>
      <c r="H4784" s="2" t="s">
        <v>21</v>
      </c>
      <c r="I4784" s="2" t="s">
        <v>9613</v>
      </c>
      <c r="J4784" s="3" t="str">
        <f>HYPERLINK("https://www.boe.es/gazeta/dias/1823/05/28/pdfs/GES-1823-50.pdf#page=2","Abrir facsímil")</f>
        <v>Abrir facsímil</v>
      </c>
      <c r="K4784" s="3" t="s">
        <v>23</v>
      </c>
    </row>
    <row r="4785" spans="1:11" ht="42" customHeight="1">
      <c r="A4785" s="2" t="s">
        <v>9591</v>
      </c>
      <c r="B4785" s="2" t="s">
        <v>9591</v>
      </c>
      <c r="C4785" s="2" t="s">
        <v>17</v>
      </c>
      <c r="D4785" s="2" t="s">
        <v>18</v>
      </c>
      <c r="E4785" s="5">
        <v>-27965</v>
      </c>
      <c r="F4785" s="3" t="s">
        <v>208</v>
      </c>
      <c r="G4785" s="3" t="s">
        <v>20</v>
      </c>
      <c r="H4785" s="2" t="s">
        <v>21</v>
      </c>
      <c r="I4785" s="2" t="s">
        <v>9614</v>
      </c>
      <c r="J4785" s="3" t="str">
        <f>HYPERLINK("https://www.boe.es/gazeta/dias/1823/06/07/pdfs/GES-1823-61.pdf#page=4","Abrir facsímil")</f>
        <v>Abrir facsímil</v>
      </c>
      <c r="K4785" s="3" t="s">
        <v>23</v>
      </c>
    </row>
    <row r="4786" spans="1:11" ht="42" customHeight="1">
      <c r="A4786" s="2" t="s">
        <v>9591</v>
      </c>
      <c r="B4786" s="2" t="s">
        <v>9591</v>
      </c>
      <c r="C4786" s="2" t="s">
        <v>293</v>
      </c>
      <c r="D4786" s="2" t="s">
        <v>74</v>
      </c>
      <c r="E4786" s="5">
        <v>-27964</v>
      </c>
      <c r="F4786" s="3" t="s">
        <v>58</v>
      </c>
      <c r="G4786" s="3" t="s">
        <v>27</v>
      </c>
      <c r="H4786" s="2" t="s">
        <v>21</v>
      </c>
      <c r="I4786" s="2" t="s">
        <v>9615</v>
      </c>
      <c r="J4786" s="3" t="str">
        <f>HYPERLINK("https://www.boe.es/gazeta/dias/1823/06/08/pdfs/GES-1823-62.pdf#page=2","Abrir facsímil")</f>
        <v>Abrir facsímil</v>
      </c>
      <c r="K4786" s="3" t="s">
        <v>23</v>
      </c>
    </row>
    <row r="4787" spans="1:11" ht="42" customHeight="1">
      <c r="A4787" s="2" t="s">
        <v>9591</v>
      </c>
      <c r="B4787" s="2" t="s">
        <v>9591</v>
      </c>
      <c r="C4787" s="2" t="s">
        <v>56</v>
      </c>
      <c r="D4787" s="2" t="s">
        <v>57</v>
      </c>
      <c r="E4787" s="5">
        <v>-27962</v>
      </c>
      <c r="F4787" s="3" t="s">
        <v>594</v>
      </c>
      <c r="G4787" s="3" t="s">
        <v>39</v>
      </c>
      <c r="H4787" s="2" t="s">
        <v>21</v>
      </c>
      <c r="I4787" s="2" t="s">
        <v>9616</v>
      </c>
      <c r="J4787" s="3" t="str">
        <f>HYPERLINK("https://www.boe.es/gazeta/dias/1823/06/10/pdfs/GES-1823-64.pdf#page=1","Abrir facsímil")</f>
        <v>Abrir facsímil</v>
      </c>
      <c r="K4787" s="3" t="s">
        <v>23</v>
      </c>
    </row>
    <row r="4788" spans="1:11" ht="42" customHeight="1">
      <c r="A4788" s="2" t="s">
        <v>9591</v>
      </c>
      <c r="B4788" s="2" t="s">
        <v>9591</v>
      </c>
      <c r="C4788" s="2" t="s">
        <v>109</v>
      </c>
      <c r="D4788" s="2" t="s">
        <v>74</v>
      </c>
      <c r="E4788" s="5">
        <v>-27949</v>
      </c>
      <c r="F4788" s="3" t="s">
        <v>1162</v>
      </c>
      <c r="G4788" s="3" t="s">
        <v>27</v>
      </c>
      <c r="H4788" s="2" t="s">
        <v>21</v>
      </c>
      <c r="I4788" s="2" t="s">
        <v>9617</v>
      </c>
      <c r="J4788" s="3" t="str">
        <f>HYPERLINK("https://www.boe.es/gazeta/dias/1823/06/23/pdfs/GES-1823-71.pdf#page=2","Abrir facsímil")</f>
        <v>Abrir facsímil</v>
      </c>
      <c r="K4788" s="3" t="s">
        <v>23</v>
      </c>
    </row>
    <row r="4789" spans="1:11" ht="42" customHeight="1">
      <c r="A4789" s="2" t="s">
        <v>9591</v>
      </c>
      <c r="B4789" s="2" t="s">
        <v>9591</v>
      </c>
      <c r="C4789" s="2" t="s">
        <v>84</v>
      </c>
      <c r="D4789" s="2" t="s">
        <v>74</v>
      </c>
      <c r="E4789" s="5">
        <v>-27947</v>
      </c>
      <c r="F4789" s="3" t="s">
        <v>2144</v>
      </c>
      <c r="G4789" s="3" t="s">
        <v>27</v>
      </c>
      <c r="H4789" s="2" t="s">
        <v>21</v>
      </c>
      <c r="I4789" s="2" t="s">
        <v>9618</v>
      </c>
      <c r="J4789" s="3" t="str">
        <f>HYPERLINK("https://www.boe.es/gazeta/dias/1823/06/25/pdfs/GES-1823-75.pdf#page=2","Abrir facsímil")</f>
        <v>Abrir facsímil</v>
      </c>
      <c r="K4789" s="3" t="s">
        <v>23</v>
      </c>
    </row>
    <row r="4790" spans="1:11" ht="42" customHeight="1">
      <c r="A4790" s="2" t="s">
        <v>9591</v>
      </c>
      <c r="B4790" s="2" t="s">
        <v>9591</v>
      </c>
      <c r="C4790" s="2" t="s">
        <v>73</v>
      </c>
      <c r="D4790" s="2" t="s">
        <v>74</v>
      </c>
      <c r="E4790" s="5">
        <v>-27942</v>
      </c>
      <c r="F4790" s="3" t="s">
        <v>596</v>
      </c>
      <c r="G4790" s="3" t="s">
        <v>27</v>
      </c>
      <c r="H4790" s="2" t="s">
        <v>21</v>
      </c>
      <c r="I4790" s="2" t="s">
        <v>9619</v>
      </c>
      <c r="J4790" s="3" t="str">
        <f>HYPERLINK("https://www.boe.es/gazeta/dias/1823/06/30/pdfs/GES-1823-80.pdf#page=2","Abrir facsímil")</f>
        <v>Abrir facsímil</v>
      </c>
      <c r="K4790" s="3" t="s">
        <v>23</v>
      </c>
    </row>
    <row r="4791" spans="1:11" ht="42" customHeight="1">
      <c r="A4791" s="2" t="s">
        <v>9591</v>
      </c>
      <c r="B4791" s="2" t="s">
        <v>9591</v>
      </c>
      <c r="C4791" s="2" t="s">
        <v>56</v>
      </c>
      <c r="D4791" s="2" t="s">
        <v>57</v>
      </c>
      <c r="E4791" s="5">
        <v>-27941</v>
      </c>
      <c r="F4791" s="3" t="s">
        <v>527</v>
      </c>
      <c r="G4791" s="3" t="s">
        <v>20</v>
      </c>
      <c r="H4791" s="2" t="s">
        <v>21</v>
      </c>
      <c r="I4791" s="2" t="s">
        <v>9620</v>
      </c>
      <c r="J4791" s="3" t="str">
        <f>HYPERLINK("https://www.boe.es/gazeta/dias/1823/07/01/pdfs/GES-1823-81.pdf#page=4","Abrir facsímil")</f>
        <v>Abrir facsímil</v>
      </c>
      <c r="K4791" s="3" t="s">
        <v>23</v>
      </c>
    </row>
    <row r="4792" spans="1:11" ht="42" customHeight="1">
      <c r="A4792" s="2" t="s">
        <v>9591</v>
      </c>
      <c r="B4792" s="2" t="s">
        <v>9591</v>
      </c>
      <c r="C4792" s="2" t="s">
        <v>109</v>
      </c>
      <c r="D4792" s="2" t="s">
        <v>74</v>
      </c>
      <c r="E4792" s="5">
        <v>-27932</v>
      </c>
      <c r="F4792" s="3" t="s">
        <v>707</v>
      </c>
      <c r="G4792" s="3" t="s">
        <v>27</v>
      </c>
      <c r="H4792" s="2" t="s">
        <v>21</v>
      </c>
      <c r="I4792" s="2" t="s">
        <v>9621</v>
      </c>
      <c r="J4792" s="3" t="str">
        <f>HYPERLINK("https://www.boe.es/gazeta/dias/1823/07/10/pdfs/GES-1823-90.pdf#page=2","Abrir facsímil")</f>
        <v>Abrir facsímil</v>
      </c>
      <c r="K4792" s="3" t="s">
        <v>23</v>
      </c>
    </row>
    <row r="4793" spans="1:11" ht="42" customHeight="1">
      <c r="A4793" s="2" t="s">
        <v>9591</v>
      </c>
      <c r="B4793" s="2" t="s">
        <v>9591</v>
      </c>
      <c r="C4793" s="2" t="s">
        <v>79</v>
      </c>
      <c r="D4793" s="2" t="s">
        <v>74</v>
      </c>
      <c r="E4793" s="5">
        <v>-27920</v>
      </c>
      <c r="F4793" s="3" t="s">
        <v>358</v>
      </c>
      <c r="G4793" s="3" t="s">
        <v>27</v>
      </c>
      <c r="H4793" s="2" t="s">
        <v>21</v>
      </c>
      <c r="I4793" s="2" t="s">
        <v>9622</v>
      </c>
      <c r="J4793" s="3" t="str">
        <f>HYPERLINK("https://www.boe.es/gazeta/dias/1823/07/22/pdfs/GES-1823-103.pdf#page=2","Abrir facsímil")</f>
        <v>Abrir facsímil</v>
      </c>
      <c r="K4793" s="3" t="s">
        <v>23</v>
      </c>
    </row>
    <row r="4794" spans="1:11" ht="42" customHeight="1">
      <c r="A4794" s="2" t="s">
        <v>9591</v>
      </c>
      <c r="B4794" s="2" t="s">
        <v>9591</v>
      </c>
      <c r="C4794" s="2" t="s">
        <v>79</v>
      </c>
      <c r="D4794" s="2" t="s">
        <v>74</v>
      </c>
      <c r="E4794" s="5">
        <v>-27914</v>
      </c>
      <c r="F4794" s="3" t="s">
        <v>776</v>
      </c>
      <c r="G4794" s="3" t="s">
        <v>39</v>
      </c>
      <c r="H4794" s="2" t="s">
        <v>21</v>
      </c>
      <c r="I4794" s="2" t="s">
        <v>9623</v>
      </c>
      <c r="J4794" s="3" t="str">
        <f>HYPERLINK("https://www.boe.es/gazeta/dias/1823/07/28/pdfs/GES-1823-109.pdf#page=1","Abrir facsímil")</f>
        <v>Abrir facsímil</v>
      </c>
      <c r="K4794" s="3" t="s">
        <v>23</v>
      </c>
    </row>
    <row r="4795" spans="1:11" ht="42" customHeight="1">
      <c r="A4795" s="2" t="s">
        <v>9591</v>
      </c>
      <c r="B4795" s="2" t="s">
        <v>9591</v>
      </c>
      <c r="C4795" s="2" t="s">
        <v>17</v>
      </c>
      <c r="D4795" s="2" t="s">
        <v>18</v>
      </c>
      <c r="E4795" s="5">
        <v>-27913</v>
      </c>
      <c r="F4795" s="3" t="s">
        <v>821</v>
      </c>
      <c r="G4795" s="3" t="s">
        <v>1204</v>
      </c>
      <c r="H4795" s="2" t="s">
        <v>21</v>
      </c>
      <c r="I4795" s="2" t="s">
        <v>9624</v>
      </c>
      <c r="J4795" s="3" t="str">
        <f>HYPERLINK("https://www.boe.es/gazeta/dias/1823/07/29/pdfs/GES-1823-110.pdf#page=2","Abrir facsímil")</f>
        <v>Abrir facsímil</v>
      </c>
      <c r="K4795" s="3" t="s">
        <v>23</v>
      </c>
    </row>
    <row r="4796" spans="1:11" ht="42" customHeight="1">
      <c r="A4796" s="2" t="s">
        <v>9591</v>
      </c>
      <c r="B4796" s="2" t="s">
        <v>9591</v>
      </c>
      <c r="C4796" s="2" t="s">
        <v>17</v>
      </c>
      <c r="D4796" s="2" t="s">
        <v>18</v>
      </c>
      <c r="E4796" s="5">
        <v>-27878</v>
      </c>
      <c r="F4796" s="3" t="s">
        <v>1581</v>
      </c>
      <c r="G4796" s="3" t="s">
        <v>48</v>
      </c>
      <c r="H4796" s="2" t="s">
        <v>21</v>
      </c>
      <c r="I4796" s="2" t="s">
        <v>9625</v>
      </c>
      <c r="J4796" s="3" t="str">
        <f>HYPERLINK("https://www.boe.es/gazeta/dias/1823/09/02/pdfs/GMD-1823-683.pdf#page=3","Abrir facsímil")</f>
        <v>Abrir facsímil</v>
      </c>
      <c r="K4796" s="3" t="s">
        <v>23</v>
      </c>
    </row>
    <row r="4797" spans="1:11" ht="42" customHeight="1">
      <c r="A4797" s="2" t="s">
        <v>9626</v>
      </c>
      <c r="B4797" s="2" t="s">
        <v>9627</v>
      </c>
      <c r="C4797" s="2" t="s">
        <v>56</v>
      </c>
      <c r="D4797" s="2" t="s">
        <v>57</v>
      </c>
      <c r="E4797" s="5">
        <v>-28053</v>
      </c>
      <c r="F4797" s="3" t="s">
        <v>303</v>
      </c>
      <c r="G4797" s="3" t="s">
        <v>20</v>
      </c>
      <c r="H4797" s="2" t="s">
        <v>21</v>
      </c>
      <c r="I4797" s="2" t="s">
        <v>9628</v>
      </c>
      <c r="J4797" s="3" t="str">
        <f>HYPERLINK("https://www.boe.es/gazeta/dias/1823/03/11/pdfs/GMD-1823-74.pdf#page=4","Abrir facsímil")</f>
        <v>Abrir facsímil</v>
      </c>
      <c r="K4797" s="3" t="s">
        <v>23</v>
      </c>
    </row>
    <row r="4798" spans="1:11" ht="42" customHeight="1">
      <c r="A4798" s="2" t="s">
        <v>9629</v>
      </c>
      <c r="B4798" s="2" t="s">
        <v>9630</v>
      </c>
      <c r="C4798" s="2" t="s">
        <v>109</v>
      </c>
      <c r="D4798" s="2" t="s">
        <v>74</v>
      </c>
      <c r="E4798" s="5">
        <v>-27972</v>
      </c>
      <c r="F4798" s="3" t="s">
        <v>1515</v>
      </c>
      <c r="G4798" s="3" t="s">
        <v>48</v>
      </c>
      <c r="H4798" s="2" t="s">
        <v>21</v>
      </c>
      <c r="I4798" s="2" t="s">
        <v>9631</v>
      </c>
      <c r="J4798" s="3" t="str">
        <f>HYPERLINK("https://www.boe.es/gazeta/dias/1823/05/31/pdfs/GMD-1823-33.pdf#page=3","Abrir facsímil")</f>
        <v>Abrir facsímil</v>
      </c>
      <c r="K4798" s="3" t="s">
        <v>23</v>
      </c>
    </row>
    <row r="4799" spans="1:11" ht="42" customHeight="1">
      <c r="A4799" s="2" t="s">
        <v>9632</v>
      </c>
      <c r="B4799" s="2" t="s">
        <v>9633</v>
      </c>
      <c r="C4799" s="2" t="s">
        <v>17</v>
      </c>
      <c r="D4799" s="2" t="s">
        <v>18</v>
      </c>
      <c r="E4799" s="5">
        <v>-28007</v>
      </c>
      <c r="F4799" s="3" t="s">
        <v>1190</v>
      </c>
      <c r="G4799" s="3" t="s">
        <v>20</v>
      </c>
      <c r="H4799" s="2" t="s">
        <v>21</v>
      </c>
      <c r="I4799" s="2" t="s">
        <v>9634</v>
      </c>
      <c r="J4799" s="3" t="str">
        <f>HYPERLINK("https://www.boe.es/gazeta/dias/1823/04/26/pdfs/GMD-1823-62.pdf#page=4","Abrir facsímil")</f>
        <v>Abrir facsímil</v>
      </c>
      <c r="K4799" s="3" t="s">
        <v>23</v>
      </c>
    </row>
    <row r="4800" spans="1:11" ht="42" customHeight="1">
      <c r="A4800" s="2" t="s">
        <v>9632</v>
      </c>
      <c r="B4800" s="2" t="s">
        <v>9633</v>
      </c>
      <c r="C4800" s="2" t="s">
        <v>79</v>
      </c>
      <c r="D4800" s="2" t="s">
        <v>74</v>
      </c>
      <c r="E4800" s="5">
        <v>-27906</v>
      </c>
      <c r="F4800" s="3" t="s">
        <v>241</v>
      </c>
      <c r="G4800" s="3" t="s">
        <v>48</v>
      </c>
      <c r="H4800" s="2" t="s">
        <v>21</v>
      </c>
      <c r="I4800" s="2" t="s">
        <v>9635</v>
      </c>
      <c r="J4800" s="3" t="str">
        <f>HYPERLINK("https://www.boe.es/gazeta/dias/1823/08/05/pdfs/GES-1823-117.pdf#page=3","Abrir facsímil")</f>
        <v>Abrir facsímil</v>
      </c>
      <c r="K4800" s="3" t="s">
        <v>23</v>
      </c>
    </row>
    <row r="4801" spans="1:11" ht="42" customHeight="1">
      <c r="A4801" s="2" t="s">
        <v>9636</v>
      </c>
      <c r="B4801" s="2" t="s">
        <v>9637</v>
      </c>
      <c r="C4801" s="2" t="s">
        <v>325</v>
      </c>
      <c r="D4801" s="2" t="s">
        <v>74</v>
      </c>
      <c r="E4801" s="5">
        <v>-27906</v>
      </c>
      <c r="F4801" s="3" t="s">
        <v>1527</v>
      </c>
      <c r="G4801" s="3" t="s">
        <v>59</v>
      </c>
      <c r="H4801" s="2" t="s">
        <v>21</v>
      </c>
      <c r="I4801" s="2" t="s">
        <v>9638</v>
      </c>
      <c r="J4801" s="3" t="str">
        <f>HYPERLINK("https://www.boe.es/gazeta/dias/1823/08/05/pdfs/GMD-1823-533.pdf#page=6","Abrir facsímil")</f>
        <v>Abrir facsímil</v>
      </c>
      <c r="K4801" s="3" t="s">
        <v>23</v>
      </c>
    </row>
    <row r="4802" spans="1:11" ht="42" customHeight="1">
      <c r="A4802" s="2" t="s">
        <v>9639</v>
      </c>
      <c r="B4802" s="2" t="s">
        <v>9640</v>
      </c>
      <c r="C4802" s="2" t="s">
        <v>17</v>
      </c>
      <c r="D4802" s="2" t="s">
        <v>18</v>
      </c>
      <c r="E4802" s="5">
        <v>-28003</v>
      </c>
      <c r="F4802" s="3" t="s">
        <v>26</v>
      </c>
      <c r="G4802" s="3" t="s">
        <v>27</v>
      </c>
      <c r="H4802" s="2" t="s">
        <v>21</v>
      </c>
      <c r="I4802" s="2" t="s">
        <v>9641</v>
      </c>
      <c r="J4802" s="3" t="str">
        <f>HYPERLINK("https://www.boe.es/gazeta/dias/1823/04/30/pdfs/GES-1823-20.pdf#page=2","Abrir facsímil")</f>
        <v>Abrir facsímil</v>
      </c>
      <c r="K4802" s="3" t="s">
        <v>23</v>
      </c>
    </row>
    <row r="4803" spans="1:11" ht="42" customHeight="1">
      <c r="A4803" s="2" t="s">
        <v>9642</v>
      </c>
      <c r="B4803" s="2" t="s">
        <v>9643</v>
      </c>
      <c r="C4803" s="2" t="s">
        <v>17</v>
      </c>
      <c r="D4803" s="2" t="s">
        <v>18</v>
      </c>
      <c r="E4803" s="5">
        <v>-27927</v>
      </c>
      <c r="F4803" s="3" t="s">
        <v>2409</v>
      </c>
      <c r="G4803" s="3" t="s">
        <v>39</v>
      </c>
      <c r="H4803" s="2" t="s">
        <v>21</v>
      </c>
      <c r="I4803" s="2" t="s">
        <v>9644</v>
      </c>
      <c r="J4803" s="3" t="str">
        <f>HYPERLINK("https://www.boe.es/gazeta/dias/1823/07/15/pdfs/GMD-1823-403.pdf#page=1","Abrir facsímil")</f>
        <v>Abrir facsímil</v>
      </c>
      <c r="K4803" s="3" t="s">
        <v>23</v>
      </c>
    </row>
    <row r="4804" spans="1:11" ht="42" customHeight="1">
      <c r="A4804" s="2" t="s">
        <v>9645</v>
      </c>
      <c r="B4804" s="2" t="s">
        <v>9646</v>
      </c>
      <c r="C4804" s="2" t="s">
        <v>109</v>
      </c>
      <c r="D4804" s="2" t="s">
        <v>74</v>
      </c>
      <c r="E4804" s="5">
        <v>-27983</v>
      </c>
      <c r="F4804" s="3" t="s">
        <v>337</v>
      </c>
      <c r="G4804" s="3" t="s">
        <v>27</v>
      </c>
      <c r="H4804" s="2" t="s">
        <v>21</v>
      </c>
      <c r="I4804" s="2" t="s">
        <v>9647</v>
      </c>
      <c r="J4804" s="3" t="str">
        <f>HYPERLINK("https://www.boe.es/gazeta/dias/1823/05/20/pdfs/GES-1823-40.pdf#page=2","Abrir facsímil")</f>
        <v>Abrir facsímil</v>
      </c>
      <c r="K4804" s="3" t="s">
        <v>23</v>
      </c>
    </row>
    <row r="4805" spans="1:11" ht="42" customHeight="1">
      <c r="A4805" s="2" t="s">
        <v>9648</v>
      </c>
      <c r="B4805" s="2" t="s">
        <v>9649</v>
      </c>
      <c r="C4805" s="2" t="s">
        <v>56</v>
      </c>
      <c r="D4805" s="2" t="s">
        <v>57</v>
      </c>
      <c r="E4805" s="5">
        <v>-27792</v>
      </c>
      <c r="F4805" s="3" t="s">
        <v>611</v>
      </c>
      <c r="G4805" s="3" t="s">
        <v>48</v>
      </c>
      <c r="H4805" s="2" t="s">
        <v>21</v>
      </c>
      <c r="I4805" s="2" t="s">
        <v>9650</v>
      </c>
      <c r="J4805" s="3" t="str">
        <f>HYPERLINK("https://www.boe.es/gazeta/dias/1823/11/27/pdfs/GMD-1823-1173.pdf#page=3","Abrir facsímil")</f>
        <v>Abrir facsímil</v>
      </c>
      <c r="K4805" s="3" t="s">
        <v>23</v>
      </c>
    </row>
    <row r="4806" spans="1:11" ht="42" customHeight="1">
      <c r="A4806" s="2" t="s">
        <v>9651</v>
      </c>
      <c r="B4806" s="2" t="s">
        <v>9652</v>
      </c>
      <c r="C4806" s="2" t="s">
        <v>325</v>
      </c>
      <c r="D4806" s="2" t="s">
        <v>74</v>
      </c>
      <c r="E4806" s="5">
        <v>-28116</v>
      </c>
      <c r="F4806" s="3" t="s">
        <v>134</v>
      </c>
      <c r="G4806" s="3" t="s">
        <v>59</v>
      </c>
      <c r="H4806" s="2" t="s">
        <v>21</v>
      </c>
      <c r="I4806" s="2" t="s">
        <v>9653</v>
      </c>
      <c r="J4806" s="3" t="str">
        <f>HYPERLINK("https://www.boe.es/gazeta/dias/1823/01/07/pdfs/GMD-1823-7.pdf#page=6","Abrir facsímil")</f>
        <v>Abrir facsímil</v>
      </c>
      <c r="K4806" s="3" t="s">
        <v>23</v>
      </c>
    </row>
    <row r="4807" spans="1:11" ht="42" customHeight="1">
      <c r="A4807" s="2" t="s">
        <v>9654</v>
      </c>
      <c r="B4807" s="2" t="s">
        <v>9655</v>
      </c>
      <c r="C4807" s="2" t="s">
        <v>17</v>
      </c>
      <c r="D4807" s="2" t="s">
        <v>18</v>
      </c>
      <c r="E4807" s="5">
        <v>-28119</v>
      </c>
      <c r="F4807" s="3" t="s">
        <v>545</v>
      </c>
      <c r="G4807" s="3" t="s">
        <v>59</v>
      </c>
      <c r="H4807" s="2" t="s">
        <v>21</v>
      </c>
      <c r="I4807" s="2" t="s">
        <v>9656</v>
      </c>
      <c r="J4807" s="3" t="str">
        <f>HYPERLINK("https://www.boe.es/gazeta/dias/1823/01/04/pdfs/GMD-1823-4.pdf#page=6","Abrir facsímil")</f>
        <v>Abrir facsímil</v>
      </c>
      <c r="K4807" s="3" t="s">
        <v>23</v>
      </c>
    </row>
    <row r="4808" spans="1:11" ht="42" customHeight="1">
      <c r="A4808" s="2" t="s">
        <v>9654</v>
      </c>
      <c r="B4808" s="2" t="s">
        <v>9655</v>
      </c>
      <c r="C4808" s="2" t="s">
        <v>17</v>
      </c>
      <c r="D4808" s="2" t="s">
        <v>18</v>
      </c>
      <c r="E4808" s="5">
        <v>-28089</v>
      </c>
      <c r="F4808" s="3" t="s">
        <v>1979</v>
      </c>
      <c r="G4808" s="3" t="s">
        <v>59</v>
      </c>
      <c r="H4808" s="2" t="s">
        <v>21</v>
      </c>
      <c r="I4808" s="2" t="s">
        <v>9657</v>
      </c>
      <c r="J4808" s="3" t="str">
        <f>HYPERLINK("https://www.boe.es/gazeta/dias/1823/02/03/pdfs/GMD-1823-36.pdf#page=6","Abrir facsímil")</f>
        <v>Abrir facsímil</v>
      </c>
      <c r="K4808" s="3" t="s">
        <v>23</v>
      </c>
    </row>
    <row r="4809" spans="1:11" ht="42" customHeight="1">
      <c r="A4809" s="2" t="s">
        <v>9654</v>
      </c>
      <c r="B4809" s="2" t="s">
        <v>9655</v>
      </c>
      <c r="C4809" s="2" t="s">
        <v>17</v>
      </c>
      <c r="D4809" s="2" t="s">
        <v>18</v>
      </c>
      <c r="E4809" s="5">
        <v>-28016</v>
      </c>
      <c r="F4809" s="3" t="s">
        <v>2259</v>
      </c>
      <c r="G4809" s="3" t="s">
        <v>20</v>
      </c>
      <c r="H4809" s="2" t="s">
        <v>21</v>
      </c>
      <c r="I4809" s="2" t="s">
        <v>9658</v>
      </c>
      <c r="J4809" s="3" t="str">
        <f>HYPERLINK("https://www.boe.es/gazeta/dias/1823/04/17/pdfs/GES-1823-7.pdf#page=4","Abrir facsímil")</f>
        <v>Abrir facsímil</v>
      </c>
      <c r="K4809" s="3" t="s">
        <v>23</v>
      </c>
    </row>
    <row r="4810" spans="1:11" ht="42" customHeight="1">
      <c r="A4810" s="2" t="s">
        <v>9659</v>
      </c>
      <c r="B4810" s="2" t="s">
        <v>9660</v>
      </c>
      <c r="C4810" s="2" t="s">
        <v>17</v>
      </c>
      <c r="D4810" s="2" t="s">
        <v>18</v>
      </c>
      <c r="E4810" s="5">
        <v>-27879</v>
      </c>
      <c r="F4810" s="3" t="s">
        <v>638</v>
      </c>
      <c r="G4810" s="3" t="s">
        <v>39</v>
      </c>
      <c r="H4810" s="2" t="s">
        <v>21</v>
      </c>
      <c r="I4810" s="2" t="s">
        <v>9661</v>
      </c>
      <c r="J4810" s="3" t="str">
        <f>HYPERLINK("https://www.boe.es/gazeta/dias/1823/09/01/pdfs/GES-1823-145.pdf#page=1","Abrir facsímil")</f>
        <v>Abrir facsímil</v>
      </c>
      <c r="K4810" s="3" t="s">
        <v>23</v>
      </c>
    </row>
    <row r="4811" spans="1:11" ht="42" customHeight="1">
      <c r="A4811" s="2" t="s">
        <v>9662</v>
      </c>
      <c r="B4811" s="2" t="s">
        <v>9663</v>
      </c>
      <c r="C4811" s="2" t="s">
        <v>17</v>
      </c>
      <c r="D4811" s="2" t="s">
        <v>18</v>
      </c>
      <c r="E4811" s="5">
        <v>-27906</v>
      </c>
      <c r="F4811" s="3" t="s">
        <v>241</v>
      </c>
      <c r="G4811" s="3" t="s">
        <v>20</v>
      </c>
      <c r="H4811" s="2" t="s">
        <v>21</v>
      </c>
      <c r="I4811" s="2" t="s">
        <v>9664</v>
      </c>
      <c r="J4811" s="3" t="str">
        <f>HYPERLINK("https://www.boe.es/gazeta/dias/1823/08/05/pdfs/GES-1823-117.pdf#page=4","Abrir facsímil")</f>
        <v>Abrir facsímil</v>
      </c>
      <c r="K4811" s="3" t="s">
        <v>23</v>
      </c>
    </row>
    <row r="4812" spans="1:11" ht="42" customHeight="1">
      <c r="A4812" s="2" t="s">
        <v>9665</v>
      </c>
      <c r="B4812" s="2" t="s">
        <v>9666</v>
      </c>
      <c r="C4812" s="2" t="s">
        <v>79</v>
      </c>
      <c r="D4812" s="2" t="s">
        <v>74</v>
      </c>
      <c r="E4812" s="5">
        <v>-28057</v>
      </c>
      <c r="F4812" s="3" t="s">
        <v>301</v>
      </c>
      <c r="G4812" s="3" t="s">
        <v>20</v>
      </c>
      <c r="H4812" s="2" t="s">
        <v>21</v>
      </c>
      <c r="I4812" s="2" t="s">
        <v>9667</v>
      </c>
      <c r="J4812" s="3" t="str">
        <f>HYPERLINK("https://www.boe.es/gazeta/dias/1823/03/07/pdfs/GMD-1823-70.pdf#page=4","Abrir facsímil")</f>
        <v>Abrir facsímil</v>
      </c>
      <c r="K4812" s="3" t="s">
        <v>23</v>
      </c>
    </row>
    <row r="4813" spans="1:11" ht="42" customHeight="1">
      <c r="A4813" s="2" t="s">
        <v>9668</v>
      </c>
      <c r="B4813" s="2" t="s">
        <v>9669</v>
      </c>
      <c r="C4813" s="2" t="s">
        <v>17</v>
      </c>
      <c r="D4813" s="2" t="s">
        <v>18</v>
      </c>
      <c r="E4813" s="5">
        <v>-28030</v>
      </c>
      <c r="F4813" s="3" t="s">
        <v>145</v>
      </c>
      <c r="G4813" s="3" t="s">
        <v>39</v>
      </c>
      <c r="H4813" s="2" t="s">
        <v>21</v>
      </c>
      <c r="I4813" s="2" t="s">
        <v>9670</v>
      </c>
      <c r="J4813" s="3" t="str">
        <f>HYPERLINK("https://www.boe.es/gazeta/dias/1823/04/03/pdfs/GMD-1823-97.pdf#page=1","Abrir facsímil")</f>
        <v>Abrir facsímil</v>
      </c>
      <c r="K4813" s="3" t="s">
        <v>23</v>
      </c>
    </row>
    <row r="4814" spans="1:11" ht="42" customHeight="1">
      <c r="A4814" s="2" t="s">
        <v>9671</v>
      </c>
      <c r="B4814" s="2" t="s">
        <v>9671</v>
      </c>
      <c r="C4814" s="2" t="s">
        <v>79</v>
      </c>
      <c r="D4814" s="2" t="s">
        <v>74</v>
      </c>
      <c r="E4814" s="5">
        <v>-27913</v>
      </c>
      <c r="F4814" s="3" t="s">
        <v>821</v>
      </c>
      <c r="G4814" s="3" t="s">
        <v>39</v>
      </c>
      <c r="H4814" s="2" t="s">
        <v>21</v>
      </c>
      <c r="I4814" s="2" t="s">
        <v>9672</v>
      </c>
      <c r="J4814" s="3" t="str">
        <f>HYPERLINK("https://www.boe.es/gazeta/dias/1823/07/29/pdfs/GES-1823-110.pdf#page=1","Abrir facsímil")</f>
        <v>Abrir facsímil</v>
      </c>
      <c r="K4814" s="3" t="s">
        <v>23</v>
      </c>
    </row>
    <row r="4815" spans="1:11" ht="42" customHeight="1">
      <c r="A4815" s="2" t="s">
        <v>9673</v>
      </c>
      <c r="B4815" s="2" t="s">
        <v>9674</v>
      </c>
      <c r="C4815" s="2" t="s">
        <v>79</v>
      </c>
      <c r="D4815" s="2" t="s">
        <v>74</v>
      </c>
      <c r="E4815" s="5">
        <v>-27785</v>
      </c>
      <c r="F4815" s="3" t="s">
        <v>1397</v>
      </c>
      <c r="G4815" s="3" t="s">
        <v>48</v>
      </c>
      <c r="H4815" s="2" t="s">
        <v>21</v>
      </c>
      <c r="I4815" s="2" t="s">
        <v>9675</v>
      </c>
      <c r="J4815" s="3" t="str">
        <f>HYPERLINK("https://www.boe.es/gazeta/dias/1823/12/04/pdfs/GMD-1823-1203.pdf#page=3","Abrir facsímil")</f>
        <v>Abrir facsímil</v>
      </c>
      <c r="K4815" s="3" t="s">
        <v>23</v>
      </c>
    </row>
    <row r="4816" spans="1:11" ht="42" customHeight="1">
      <c r="A4816" s="2" t="s">
        <v>9676</v>
      </c>
      <c r="B4816" s="2" t="s">
        <v>9677</v>
      </c>
      <c r="C4816" s="2" t="s">
        <v>79</v>
      </c>
      <c r="D4816" s="2" t="s">
        <v>74</v>
      </c>
      <c r="E4816" s="5">
        <v>-27906</v>
      </c>
      <c r="F4816" s="3" t="s">
        <v>1527</v>
      </c>
      <c r="G4816" s="3" t="s">
        <v>59</v>
      </c>
      <c r="H4816" s="2" t="s">
        <v>21</v>
      </c>
      <c r="I4816" s="2" t="s">
        <v>9678</v>
      </c>
      <c r="J4816" s="3" t="str">
        <f>HYPERLINK("https://www.boe.es/gazeta/dias/1823/08/05/pdfs/GMD-1823-533.pdf#page=6","Abrir facsímil")</f>
        <v>Abrir facsímil</v>
      </c>
      <c r="K4816" s="3" t="s">
        <v>23</v>
      </c>
    </row>
    <row r="4817" spans="1:11" ht="42" customHeight="1">
      <c r="A4817" s="2" t="s">
        <v>9676</v>
      </c>
      <c r="B4817" s="2" t="s">
        <v>9677</v>
      </c>
      <c r="C4817" s="2" t="s">
        <v>17</v>
      </c>
      <c r="D4817" s="2" t="s">
        <v>18</v>
      </c>
      <c r="E4817" s="5">
        <v>-27820</v>
      </c>
      <c r="F4817" s="3" t="s">
        <v>6283</v>
      </c>
      <c r="G4817" s="3" t="s">
        <v>20</v>
      </c>
      <c r="H4817" s="2" t="s">
        <v>21</v>
      </c>
      <c r="I4817" s="2" t="s">
        <v>9679</v>
      </c>
      <c r="J4817" s="3" t="str">
        <f>HYPERLINK("https://www.boe.es/gazeta/dias/1823/10/30/pdfs/GMD-1823-1043.pdf#page=4","Abrir facsímil")</f>
        <v>Abrir facsímil</v>
      </c>
      <c r="K4817" s="3" t="s">
        <v>23</v>
      </c>
    </row>
    <row r="4818" spans="1:11" ht="42" customHeight="1">
      <c r="A4818" s="2" t="s">
        <v>9680</v>
      </c>
      <c r="B4818" s="2" t="s">
        <v>9681</v>
      </c>
      <c r="C4818" s="2" t="s">
        <v>17</v>
      </c>
      <c r="D4818" s="2" t="s">
        <v>18</v>
      </c>
      <c r="E4818" s="5">
        <v>-27787</v>
      </c>
      <c r="F4818" s="3" t="s">
        <v>865</v>
      </c>
      <c r="G4818" s="3" t="s">
        <v>39</v>
      </c>
      <c r="H4818" s="2" t="s">
        <v>28</v>
      </c>
      <c r="I4818" s="2" t="s">
        <v>9682</v>
      </c>
      <c r="J4818" s="3" t="str">
        <f>HYPERLINK("https://www.boe.es/gazeta/dias/1823/12/02/pdfs/GMD-1823-1193.pdf#page=1","Abrir facsímil")</f>
        <v>Abrir facsímil</v>
      </c>
      <c r="K4818" s="3" t="s">
        <v>30</v>
      </c>
    </row>
    <row r="4819" spans="1:11" ht="42" customHeight="1">
      <c r="A4819" s="2" t="s">
        <v>9683</v>
      </c>
      <c r="B4819" s="2" t="s">
        <v>9684</v>
      </c>
      <c r="C4819" s="2" t="s">
        <v>293</v>
      </c>
      <c r="D4819" s="2" t="s">
        <v>74</v>
      </c>
      <c r="E4819" s="5">
        <v>-27993</v>
      </c>
      <c r="F4819" s="3" t="s">
        <v>977</v>
      </c>
      <c r="G4819" s="3" t="s">
        <v>27</v>
      </c>
      <c r="H4819" s="2" t="s">
        <v>21</v>
      </c>
      <c r="I4819" s="2" t="s">
        <v>9685</v>
      </c>
      <c r="J4819" s="3" t="str">
        <f>HYPERLINK("https://www.boe.es/gazeta/dias/1823/05/10/pdfs/GES-1823-30.pdf#page=2","Abrir facsímil")</f>
        <v>Abrir facsímil</v>
      </c>
      <c r="K4819" s="3" t="s">
        <v>23</v>
      </c>
    </row>
    <row r="4820" spans="1:11" ht="42" customHeight="1">
      <c r="A4820" s="2" t="s">
        <v>9686</v>
      </c>
      <c r="B4820" s="2" t="s">
        <v>9687</v>
      </c>
      <c r="C4820" s="2" t="s">
        <v>17</v>
      </c>
      <c r="D4820" s="2" t="s">
        <v>18</v>
      </c>
      <c r="E4820" s="5">
        <v>-28107</v>
      </c>
      <c r="F4820" s="3" t="s">
        <v>278</v>
      </c>
      <c r="G4820" s="3" t="s">
        <v>2827</v>
      </c>
      <c r="H4820" s="2" t="s">
        <v>21</v>
      </c>
      <c r="I4820" s="2" t="s">
        <v>9688</v>
      </c>
      <c r="J4820" s="3" t="str">
        <f>HYPERLINK("https://www.boe.es/gazeta/dias/1823/01/16/pdfs/GMD-1823-16.pdf#page=6","Abrir facsímil")</f>
        <v>Abrir facsímil</v>
      </c>
      <c r="K4820" s="3" t="s">
        <v>23</v>
      </c>
    </row>
    <row r="4821" spans="1:11" ht="42" customHeight="1">
      <c r="A4821" s="2" t="s">
        <v>9689</v>
      </c>
      <c r="B4821" s="2" t="s">
        <v>9690</v>
      </c>
      <c r="C4821" s="2" t="s">
        <v>17</v>
      </c>
      <c r="D4821" s="2" t="s">
        <v>18</v>
      </c>
      <c r="E4821" s="5">
        <v>-27995</v>
      </c>
      <c r="F4821" s="3" t="s">
        <v>326</v>
      </c>
      <c r="G4821" s="3" t="s">
        <v>39</v>
      </c>
      <c r="H4821" s="2" t="s">
        <v>21</v>
      </c>
      <c r="I4821" s="2" t="s">
        <v>9691</v>
      </c>
      <c r="J4821" s="3" t="str">
        <f>HYPERLINK("https://www.boe.es/gazeta/dias/1823/05/08/pdfs/GMD-1823-112.pdf#page=1","Abrir facsímil")</f>
        <v>Abrir facsímil</v>
      </c>
      <c r="K4821" s="3" t="s">
        <v>23</v>
      </c>
    </row>
    <row r="4822" spans="1:11" ht="42" customHeight="1">
      <c r="A4822" s="2" t="s">
        <v>9692</v>
      </c>
      <c r="B4822" s="2" t="s">
        <v>9692</v>
      </c>
      <c r="C4822" s="2" t="s">
        <v>109</v>
      </c>
      <c r="D4822" s="2" t="s">
        <v>74</v>
      </c>
      <c r="E4822" s="5">
        <v>-28076</v>
      </c>
      <c r="F4822" s="3" t="s">
        <v>1638</v>
      </c>
      <c r="G4822" s="3" t="s">
        <v>39</v>
      </c>
      <c r="H4822" s="2" t="s">
        <v>21</v>
      </c>
      <c r="I4822" s="2" t="s">
        <v>9693</v>
      </c>
      <c r="J4822" s="3" t="str">
        <f>HYPERLINK("https://www.boe.es/gazeta/dias/1823/02/16/pdfs/GMD-1823-50.pdf#page=1","Abrir facsímil")</f>
        <v>Abrir facsímil</v>
      </c>
      <c r="K4822" s="3" t="s">
        <v>23</v>
      </c>
    </row>
    <row r="4823" spans="1:11" ht="42" customHeight="1">
      <c r="A4823" s="2" t="s">
        <v>9692</v>
      </c>
      <c r="B4823" s="2" t="s">
        <v>9692</v>
      </c>
      <c r="C4823" s="2" t="s">
        <v>17</v>
      </c>
      <c r="D4823" s="2" t="s">
        <v>18</v>
      </c>
      <c r="E4823" s="5">
        <v>-28076</v>
      </c>
      <c r="F4823" s="3" t="s">
        <v>1638</v>
      </c>
      <c r="G4823" s="3" t="s">
        <v>59</v>
      </c>
      <c r="H4823" s="2" t="s">
        <v>21</v>
      </c>
      <c r="I4823" s="2" t="s">
        <v>9694</v>
      </c>
      <c r="J4823" s="3" t="str">
        <f>HYPERLINK("https://www.boe.es/gazeta/dias/1823/02/16/pdfs/GMD-1823-50.pdf#page=6","Abrir facsímil")</f>
        <v>Abrir facsímil</v>
      </c>
      <c r="K4823" s="3" t="s">
        <v>23</v>
      </c>
    </row>
    <row r="4824" spans="1:11" ht="42" customHeight="1">
      <c r="A4824" s="2" t="s">
        <v>9695</v>
      </c>
      <c r="B4824" s="2" t="s">
        <v>9696</v>
      </c>
      <c r="C4824" s="2" t="s">
        <v>109</v>
      </c>
      <c r="D4824" s="2" t="s">
        <v>74</v>
      </c>
      <c r="E4824" s="5">
        <v>-27891</v>
      </c>
      <c r="F4824" s="3" t="s">
        <v>825</v>
      </c>
      <c r="G4824" s="3" t="s">
        <v>48</v>
      </c>
      <c r="H4824" s="2" t="s">
        <v>21</v>
      </c>
      <c r="I4824" s="2" t="s">
        <v>9697</v>
      </c>
      <c r="J4824" s="3" t="str">
        <f>HYPERLINK("https://www.boe.es/gazeta/dias/1823/08/20/pdfs/GES-1823-133.pdf#page=3","Abrir facsímil")</f>
        <v>Abrir facsímil</v>
      </c>
      <c r="K4824" s="3" t="s">
        <v>23</v>
      </c>
    </row>
    <row r="4825" spans="1:11" ht="42" customHeight="1">
      <c r="A4825" s="2" t="s">
        <v>9698</v>
      </c>
      <c r="B4825" s="2" t="s">
        <v>9699</v>
      </c>
      <c r="C4825" s="2" t="s">
        <v>325</v>
      </c>
      <c r="D4825" s="2" t="s">
        <v>74</v>
      </c>
      <c r="E4825" s="5">
        <v>-28039</v>
      </c>
      <c r="F4825" s="3" t="s">
        <v>126</v>
      </c>
      <c r="G4825" s="3" t="s">
        <v>20</v>
      </c>
      <c r="H4825" s="2" t="s">
        <v>21</v>
      </c>
      <c r="I4825" s="2" t="s">
        <v>9700</v>
      </c>
      <c r="J4825" s="3" t="str">
        <f>HYPERLINK("https://www.boe.es/gazeta/dias/1823/03/25/pdfs/GMD-1823-88.pdf#page=4","Abrir facsímil")</f>
        <v>Abrir facsímil</v>
      </c>
      <c r="K4825" s="3" t="s">
        <v>23</v>
      </c>
    </row>
    <row r="4826" spans="1:11" ht="42" customHeight="1">
      <c r="A4826" s="2" t="s">
        <v>9701</v>
      </c>
      <c r="B4826" s="2" t="s">
        <v>9702</v>
      </c>
      <c r="C4826" s="2" t="s">
        <v>325</v>
      </c>
      <c r="D4826" s="2" t="s">
        <v>74</v>
      </c>
      <c r="E4826" s="5">
        <v>-28039</v>
      </c>
      <c r="F4826" s="3" t="s">
        <v>126</v>
      </c>
      <c r="G4826" s="3" t="s">
        <v>20</v>
      </c>
      <c r="H4826" s="2" t="s">
        <v>21</v>
      </c>
      <c r="I4826" s="2" t="s">
        <v>9703</v>
      </c>
      <c r="J4826" s="3" t="str">
        <f>HYPERLINK("https://www.boe.es/gazeta/dias/1823/03/25/pdfs/GMD-1823-88.pdf#page=4","Abrir facsímil")</f>
        <v>Abrir facsímil</v>
      </c>
      <c r="K4826" s="3" t="s">
        <v>23</v>
      </c>
    </row>
    <row r="4827" spans="1:11" ht="42" customHeight="1">
      <c r="A4827" s="2" t="s">
        <v>9704</v>
      </c>
      <c r="B4827" s="2" t="s">
        <v>9705</v>
      </c>
      <c r="C4827" s="2" t="s">
        <v>17</v>
      </c>
      <c r="D4827" s="2" t="s">
        <v>18</v>
      </c>
      <c r="E4827" s="5">
        <v>-27972</v>
      </c>
      <c r="F4827" s="3" t="s">
        <v>1515</v>
      </c>
      <c r="G4827" s="3" t="s">
        <v>27</v>
      </c>
      <c r="H4827" s="2" t="s">
        <v>21</v>
      </c>
      <c r="I4827" s="2" t="s">
        <v>9706</v>
      </c>
      <c r="J4827" s="3" t="str">
        <f>HYPERLINK("https://www.boe.es/gazeta/dias/1823/05/31/pdfs/GMD-1823-33.pdf#page=2","Abrir facsímil")</f>
        <v>Abrir facsímil</v>
      </c>
      <c r="K4827" s="3" t="s">
        <v>23</v>
      </c>
    </row>
    <row r="4828" spans="1:11" ht="42" customHeight="1">
      <c r="A4828" s="2" t="s">
        <v>9707</v>
      </c>
      <c r="B4828" s="2" t="s">
        <v>9708</v>
      </c>
      <c r="C4828" s="2" t="s">
        <v>17</v>
      </c>
      <c r="D4828" s="2" t="s">
        <v>18</v>
      </c>
      <c r="E4828" s="5">
        <v>-27877</v>
      </c>
      <c r="F4828" s="3" t="s">
        <v>844</v>
      </c>
      <c r="G4828" s="3" t="s">
        <v>20</v>
      </c>
      <c r="H4828" s="2" t="s">
        <v>21</v>
      </c>
      <c r="I4828" s="2" t="s">
        <v>9709</v>
      </c>
      <c r="J4828" s="3" t="str">
        <f>HYPERLINK("https://www.boe.es/gazeta/dias/1823/09/03/pdfs/GES-1823-147.pdf#page=4","Abrir facsímil")</f>
        <v>Abrir facsímil</v>
      </c>
      <c r="K4828" s="3" t="s">
        <v>23</v>
      </c>
    </row>
    <row r="4829" spans="1:11" ht="42" customHeight="1">
      <c r="A4829" s="2" t="s">
        <v>9710</v>
      </c>
      <c r="B4829" s="2" t="s">
        <v>9711</v>
      </c>
      <c r="C4829" s="2" t="s">
        <v>17</v>
      </c>
      <c r="D4829" s="2" t="s">
        <v>18</v>
      </c>
      <c r="E4829" s="5">
        <v>-28086</v>
      </c>
      <c r="F4829" s="3" t="s">
        <v>289</v>
      </c>
      <c r="G4829" s="3" t="s">
        <v>20</v>
      </c>
      <c r="H4829" s="2" t="s">
        <v>21</v>
      </c>
      <c r="I4829" s="2" t="s">
        <v>9712</v>
      </c>
      <c r="J4829" s="3" t="str">
        <f>HYPERLINK("https://www.boe.es/gazeta/dias/1823/02/06/pdfs/GMD-1823-39.pdf#page=4","Abrir facsímil")</f>
        <v>Abrir facsímil</v>
      </c>
      <c r="K4829" s="3" t="s">
        <v>23</v>
      </c>
    </row>
    <row r="4830" spans="1:11" ht="42" customHeight="1">
      <c r="A4830" s="2" t="s">
        <v>9713</v>
      </c>
      <c r="B4830" s="2" t="s">
        <v>9714</v>
      </c>
      <c r="C4830" s="2" t="s">
        <v>17</v>
      </c>
      <c r="D4830" s="2" t="s">
        <v>18</v>
      </c>
      <c r="E4830" s="5">
        <v>-27907</v>
      </c>
      <c r="F4830" s="3" t="s">
        <v>370</v>
      </c>
      <c r="G4830" s="3" t="s">
        <v>20</v>
      </c>
      <c r="H4830" s="2" t="s">
        <v>21</v>
      </c>
      <c r="I4830" s="2" t="s">
        <v>9715</v>
      </c>
      <c r="J4830" s="3" t="str">
        <f>HYPERLINK("https://www.boe.es/gazeta/dias/1823/08/04/pdfs/GES-1823-116.pdf#page=4","Abrir facsímil")</f>
        <v>Abrir facsímil</v>
      </c>
      <c r="K4830" s="3" t="s">
        <v>23</v>
      </c>
    </row>
    <row r="4831" spans="1:11" ht="42" customHeight="1">
      <c r="A4831" s="2" t="s">
        <v>9716</v>
      </c>
      <c r="B4831" s="2" t="s">
        <v>9717</v>
      </c>
      <c r="C4831" s="2" t="s">
        <v>17</v>
      </c>
      <c r="D4831" s="2" t="s">
        <v>18</v>
      </c>
      <c r="E4831" s="5">
        <v>-28041</v>
      </c>
      <c r="F4831" s="3" t="s">
        <v>873</v>
      </c>
      <c r="G4831" s="3" t="s">
        <v>366</v>
      </c>
      <c r="H4831" s="2" t="s">
        <v>21</v>
      </c>
      <c r="I4831" s="2" t="s">
        <v>9718</v>
      </c>
      <c r="J4831" s="3" t="str">
        <f>HYPERLINK("https://www.boe.es/gazeta/dias/1823/03/23/pdfs/GMD-1823-86.pdf#page=4","Abrir facsímil")</f>
        <v>Abrir facsímil</v>
      </c>
      <c r="K4831" s="3" t="s">
        <v>23</v>
      </c>
    </row>
    <row r="4832" spans="1:11" ht="42" customHeight="1">
      <c r="A4832" s="2" t="s">
        <v>9719</v>
      </c>
      <c r="B4832" s="2" t="s">
        <v>9719</v>
      </c>
      <c r="C4832" s="2" t="s">
        <v>17</v>
      </c>
      <c r="D4832" s="2" t="s">
        <v>18</v>
      </c>
      <c r="E4832" s="5">
        <v>-28018</v>
      </c>
      <c r="F4832" s="3" t="s">
        <v>2613</v>
      </c>
      <c r="G4832" s="3" t="s">
        <v>27</v>
      </c>
      <c r="H4832" s="2" t="s">
        <v>21</v>
      </c>
      <c r="I4832" s="2" t="s">
        <v>9720</v>
      </c>
      <c r="J4832" s="3" t="str">
        <f>HYPERLINK("https://www.boe.es/gazeta/dias/1823/04/15/pdfs/GES-1823-5.pdf#page=2","Abrir facsímil")</f>
        <v>Abrir facsímil</v>
      </c>
      <c r="K4832" s="3" t="s">
        <v>23</v>
      </c>
    </row>
    <row r="4833" spans="1:11" ht="42" customHeight="1">
      <c r="A4833" s="2" t="s">
        <v>9721</v>
      </c>
      <c r="B4833" s="2" t="s">
        <v>9722</v>
      </c>
      <c r="C4833" s="2" t="s">
        <v>56</v>
      </c>
      <c r="D4833" s="2" t="s">
        <v>57</v>
      </c>
      <c r="E4833" s="5">
        <v>-27914</v>
      </c>
      <c r="F4833" s="3" t="s">
        <v>776</v>
      </c>
      <c r="G4833" s="3" t="s">
        <v>27</v>
      </c>
      <c r="H4833" s="2" t="s">
        <v>21</v>
      </c>
      <c r="I4833" s="2" t="s">
        <v>9723</v>
      </c>
      <c r="J4833" s="3" t="str">
        <f>HYPERLINK("https://www.boe.es/gazeta/dias/1823/07/28/pdfs/GES-1823-109.pdf#page=2","Abrir facsímil")</f>
        <v>Abrir facsímil</v>
      </c>
      <c r="K4833" s="3" t="s">
        <v>23</v>
      </c>
    </row>
    <row r="4834" spans="1:11" ht="42" customHeight="1">
      <c r="A4834" s="2" t="s">
        <v>9724</v>
      </c>
      <c r="B4834" s="2" t="s">
        <v>9725</v>
      </c>
      <c r="C4834" s="2" t="s">
        <v>79</v>
      </c>
      <c r="D4834" s="2" t="s">
        <v>74</v>
      </c>
      <c r="E4834" s="5">
        <v>-28050</v>
      </c>
      <c r="F4834" s="3" t="s">
        <v>473</v>
      </c>
      <c r="G4834" s="3" t="s">
        <v>27</v>
      </c>
      <c r="H4834" s="2" t="s">
        <v>21</v>
      </c>
      <c r="I4834" s="2" t="s">
        <v>9726</v>
      </c>
      <c r="J4834" s="3" t="str">
        <f>HYPERLINK("https://www.boe.es/gazeta/dias/1823/03/14/pdfs/GMD-1823-77.pdf#page=2","Abrir facsímil")</f>
        <v>Abrir facsímil</v>
      </c>
      <c r="K4834" s="3" t="s">
        <v>23</v>
      </c>
    </row>
    <row r="4835" spans="1:11" ht="42" customHeight="1">
      <c r="A4835" s="2" t="s">
        <v>9727</v>
      </c>
      <c r="B4835" s="2" t="s">
        <v>9728</v>
      </c>
      <c r="C4835" s="2" t="s">
        <v>56</v>
      </c>
      <c r="D4835" s="2" t="s">
        <v>57</v>
      </c>
      <c r="E4835" s="5">
        <v>-27937</v>
      </c>
      <c r="F4835" s="3" t="s">
        <v>897</v>
      </c>
      <c r="G4835" s="3" t="s">
        <v>1257</v>
      </c>
      <c r="H4835" s="2" t="s">
        <v>21</v>
      </c>
      <c r="I4835" s="2" t="s">
        <v>9729</v>
      </c>
      <c r="J4835" s="3" t="str">
        <f>HYPERLINK("https://www.boe.es/gazeta/dias/1823/07/05/pdfs/GMD-1823-343.pdf#page=6","Abrir facsímil")</f>
        <v>Abrir facsímil</v>
      </c>
      <c r="K4835" s="3" t="s">
        <v>23</v>
      </c>
    </row>
    <row r="4836" spans="1:11" ht="42" customHeight="1">
      <c r="A4836" s="2" t="s">
        <v>9730</v>
      </c>
      <c r="B4836" s="2" t="s">
        <v>9731</v>
      </c>
      <c r="C4836" s="2" t="s">
        <v>79</v>
      </c>
      <c r="D4836" s="2" t="s">
        <v>74</v>
      </c>
      <c r="E4836" s="5">
        <v>-27971</v>
      </c>
      <c r="F4836" s="3" t="s">
        <v>4211</v>
      </c>
      <c r="G4836" s="3" t="s">
        <v>34</v>
      </c>
      <c r="H4836" s="2" t="s">
        <v>21</v>
      </c>
      <c r="I4836" s="2" t="s">
        <v>9732</v>
      </c>
      <c r="J4836" s="3" t="str">
        <f>HYPERLINK("https://www.boe.es/gazeta/dias/1823/06/01/pdfs/GES-1823-55.pdf#page=5","Abrir facsímil")</f>
        <v>Abrir facsímil</v>
      </c>
      <c r="K4836" s="3" t="s">
        <v>23</v>
      </c>
    </row>
    <row r="4837" spans="1:11" ht="42" customHeight="1">
      <c r="A4837" s="2" t="s">
        <v>9733</v>
      </c>
      <c r="B4837" s="2" t="s">
        <v>9734</v>
      </c>
      <c r="C4837" s="2" t="s">
        <v>73</v>
      </c>
      <c r="D4837" s="2" t="s">
        <v>74</v>
      </c>
      <c r="E4837" s="5">
        <v>-28049</v>
      </c>
      <c r="F4837" s="3" t="s">
        <v>198</v>
      </c>
      <c r="G4837" s="3" t="s">
        <v>48</v>
      </c>
      <c r="H4837" s="2" t="s">
        <v>21</v>
      </c>
      <c r="I4837" s="2" t="s">
        <v>9735</v>
      </c>
      <c r="J4837" s="3" t="str">
        <f>HYPERLINK("https://www.boe.es/gazeta/dias/1823/03/15/pdfs/GMD-1823-78.pdf#page=3","Abrir facsímil")</f>
        <v>Abrir facsímil</v>
      </c>
      <c r="K4837" s="3" t="s">
        <v>23</v>
      </c>
    </row>
    <row r="4838" spans="1:11" ht="42" customHeight="1">
      <c r="A4838" s="2" t="s">
        <v>9736</v>
      </c>
      <c r="B4838" s="2" t="s">
        <v>9736</v>
      </c>
      <c r="C4838" s="2" t="s">
        <v>109</v>
      </c>
      <c r="D4838" s="2" t="s">
        <v>74</v>
      </c>
      <c r="E4838" s="5">
        <v>-28005</v>
      </c>
      <c r="F4838" s="3" t="s">
        <v>1648</v>
      </c>
      <c r="G4838" s="3" t="s">
        <v>20</v>
      </c>
      <c r="H4838" s="2" t="s">
        <v>21</v>
      </c>
      <c r="I4838" s="2" t="s">
        <v>9737</v>
      </c>
      <c r="J4838" s="3" t="str">
        <f>HYPERLINK("https://www.boe.es/gazeta/dias/1823/04/28/pdfs/GES-1823-18.pdf#page=4","Abrir facsímil")</f>
        <v>Abrir facsímil</v>
      </c>
      <c r="K4838" s="3" t="s">
        <v>23</v>
      </c>
    </row>
    <row r="4839" spans="1:11" ht="42" customHeight="1">
      <c r="A4839" s="2" t="s">
        <v>9736</v>
      </c>
      <c r="B4839" s="2" t="s">
        <v>9736</v>
      </c>
      <c r="C4839" s="2" t="s">
        <v>17</v>
      </c>
      <c r="D4839" s="2" t="s">
        <v>18</v>
      </c>
      <c r="E4839" s="5">
        <v>-27983</v>
      </c>
      <c r="F4839" s="3" t="s">
        <v>337</v>
      </c>
      <c r="G4839" s="3" t="s">
        <v>34</v>
      </c>
      <c r="H4839" s="2" t="s">
        <v>21</v>
      </c>
      <c r="I4839" s="2" t="s">
        <v>9738</v>
      </c>
      <c r="J4839" s="3" t="str">
        <f>HYPERLINK("https://www.boe.es/gazeta/dias/1823/05/20/pdfs/GES-1823-40.pdf#page=5","Abrir facsímil")</f>
        <v>Abrir facsímil</v>
      </c>
      <c r="K4839" s="3" t="s">
        <v>23</v>
      </c>
    </row>
    <row r="4840" spans="1:11" ht="42" customHeight="1">
      <c r="A4840" s="2" t="s">
        <v>9736</v>
      </c>
      <c r="B4840" s="2" t="s">
        <v>9736</v>
      </c>
      <c r="C4840" s="2" t="s">
        <v>109</v>
      </c>
      <c r="D4840" s="2" t="s">
        <v>74</v>
      </c>
      <c r="E4840" s="5">
        <v>-27953</v>
      </c>
      <c r="F4840" s="3" t="s">
        <v>1783</v>
      </c>
      <c r="G4840" s="3" t="s">
        <v>27</v>
      </c>
      <c r="H4840" s="2" t="s">
        <v>21</v>
      </c>
      <c r="I4840" s="2" t="s">
        <v>9739</v>
      </c>
      <c r="J4840" s="3" t="str">
        <f>HYPERLINK("https://www.boe.es/gazeta/dias/1823/06/19/pdfs/GES-1823-67.pdf#page=2","Abrir facsímil")</f>
        <v>Abrir facsímil</v>
      </c>
      <c r="K4840" s="3" t="s">
        <v>23</v>
      </c>
    </row>
    <row r="4841" spans="1:11" ht="42" customHeight="1">
      <c r="A4841" s="2" t="s">
        <v>9736</v>
      </c>
      <c r="B4841" s="2" t="s">
        <v>9736</v>
      </c>
      <c r="C4841" s="2" t="s">
        <v>56</v>
      </c>
      <c r="D4841" s="2" t="s">
        <v>57</v>
      </c>
      <c r="E4841" s="5">
        <v>-27929</v>
      </c>
      <c r="F4841" s="3" t="s">
        <v>598</v>
      </c>
      <c r="G4841" s="3" t="s">
        <v>27</v>
      </c>
      <c r="H4841" s="2" t="s">
        <v>21</v>
      </c>
      <c r="I4841" s="2" t="s">
        <v>9740</v>
      </c>
      <c r="J4841" s="3" t="str">
        <f>HYPERLINK("https://www.boe.es/gazeta/dias/1823/07/13/pdfs/GES-1823-93.pdf#page=2","Abrir facsímil")</f>
        <v>Abrir facsímil</v>
      </c>
      <c r="K4841" s="3" t="s">
        <v>23</v>
      </c>
    </row>
    <row r="4842" spans="1:11" ht="42" customHeight="1">
      <c r="A4842" s="2" t="s">
        <v>9736</v>
      </c>
      <c r="B4842" s="2" t="s">
        <v>9736</v>
      </c>
      <c r="C4842" s="2" t="s">
        <v>17</v>
      </c>
      <c r="D4842" s="2" t="s">
        <v>18</v>
      </c>
      <c r="E4842" s="5">
        <v>-27908</v>
      </c>
      <c r="F4842" s="3" t="s">
        <v>80</v>
      </c>
      <c r="G4842" s="3" t="s">
        <v>27</v>
      </c>
      <c r="H4842" s="2" t="s">
        <v>21</v>
      </c>
      <c r="I4842" s="2" t="s">
        <v>9741</v>
      </c>
      <c r="J4842" s="3" t="str">
        <f>HYPERLINK("https://www.boe.es/gazeta/dias/1823/08/03/pdfs/GES-1823-115.pdf#page=2","Abrir facsímil")</f>
        <v>Abrir facsímil</v>
      </c>
      <c r="K4842" s="3" t="s">
        <v>23</v>
      </c>
    </row>
    <row r="4843" spans="1:11" ht="42" customHeight="1">
      <c r="A4843" s="2" t="s">
        <v>9742</v>
      </c>
      <c r="B4843" s="2" t="s">
        <v>9743</v>
      </c>
      <c r="C4843" s="2" t="s">
        <v>17</v>
      </c>
      <c r="D4843" s="2" t="s">
        <v>18</v>
      </c>
      <c r="E4843" s="5">
        <v>-28121</v>
      </c>
      <c r="F4843" s="3" t="s">
        <v>575</v>
      </c>
      <c r="G4843" s="3" t="s">
        <v>3416</v>
      </c>
      <c r="H4843" s="2" t="s">
        <v>21</v>
      </c>
      <c r="I4843" s="2" t="s">
        <v>9744</v>
      </c>
      <c r="J4843" s="3" t="str">
        <f>HYPERLINK("https://www.boe.es/gazeta/dias/1823/01/02/pdfs/GMD-1823-2.pdf#page=4","Abrir facsímil")</f>
        <v>Abrir facsímil</v>
      </c>
      <c r="K4843" s="3" t="s">
        <v>23</v>
      </c>
    </row>
    <row r="4844" spans="1:11" ht="42" customHeight="1">
      <c r="A4844" s="2" t="s">
        <v>9742</v>
      </c>
      <c r="B4844" s="2" t="s">
        <v>9743</v>
      </c>
      <c r="C4844" s="2" t="s">
        <v>17</v>
      </c>
      <c r="D4844" s="2" t="s">
        <v>18</v>
      </c>
      <c r="E4844" s="5">
        <v>-28032</v>
      </c>
      <c r="F4844" s="3" t="s">
        <v>668</v>
      </c>
      <c r="G4844" s="3" t="s">
        <v>20</v>
      </c>
      <c r="H4844" s="2" t="s">
        <v>21</v>
      </c>
      <c r="I4844" s="2" t="s">
        <v>9745</v>
      </c>
      <c r="J4844" s="3" t="str">
        <f>HYPERLINK("https://www.boe.es/gazeta/dias/1823/04/01/pdfs/GMD-1823-95.pdf#page=4","Abrir facsímil")</f>
        <v>Abrir facsímil</v>
      </c>
      <c r="K4844" s="3" t="s">
        <v>23</v>
      </c>
    </row>
    <row r="4845" spans="1:11" ht="42" customHeight="1">
      <c r="A4845" s="2" t="s">
        <v>9746</v>
      </c>
      <c r="B4845" s="2" t="s">
        <v>9747</v>
      </c>
      <c r="C4845" s="2" t="s">
        <v>17</v>
      </c>
      <c r="D4845" s="2" t="s">
        <v>18</v>
      </c>
      <c r="E4845" s="5">
        <v>-27983</v>
      </c>
      <c r="F4845" s="3" t="s">
        <v>337</v>
      </c>
      <c r="G4845" s="3" t="s">
        <v>27</v>
      </c>
      <c r="H4845" s="2" t="s">
        <v>21</v>
      </c>
      <c r="I4845" s="2" t="s">
        <v>9748</v>
      </c>
      <c r="J4845" s="3" t="str">
        <f>HYPERLINK("https://www.boe.es/gazeta/dias/1823/05/20/pdfs/GES-1823-40.pdf#page=2","Abrir facsímil")</f>
        <v>Abrir facsímil</v>
      </c>
      <c r="K4845" s="3" t="s">
        <v>23</v>
      </c>
    </row>
    <row r="4846" spans="1:11" ht="42" customHeight="1">
      <c r="A4846" s="2" t="s">
        <v>9749</v>
      </c>
      <c r="B4846" s="2" t="s">
        <v>9750</v>
      </c>
      <c r="C4846" s="2" t="s">
        <v>73</v>
      </c>
      <c r="D4846" s="2" t="s">
        <v>74</v>
      </c>
      <c r="E4846" s="5">
        <v>-28049</v>
      </c>
      <c r="F4846" s="3" t="s">
        <v>198</v>
      </c>
      <c r="G4846" s="3" t="s">
        <v>48</v>
      </c>
      <c r="H4846" s="2" t="s">
        <v>21</v>
      </c>
      <c r="I4846" s="2" t="s">
        <v>9751</v>
      </c>
      <c r="J4846" s="3" t="str">
        <f>HYPERLINK("https://www.boe.es/gazeta/dias/1823/03/15/pdfs/GMD-1823-78.pdf#page=3","Abrir facsímil")</f>
        <v>Abrir facsímil</v>
      </c>
      <c r="K4846" s="3" t="s">
        <v>23</v>
      </c>
    </row>
    <row r="4847" spans="1:11" ht="42" customHeight="1">
      <c r="A4847" s="2" t="s">
        <v>9749</v>
      </c>
      <c r="B4847" s="2" t="s">
        <v>9750</v>
      </c>
      <c r="C4847" s="2" t="s">
        <v>56</v>
      </c>
      <c r="D4847" s="2" t="s">
        <v>57</v>
      </c>
      <c r="E4847" s="5">
        <v>-27921</v>
      </c>
      <c r="F4847" s="3" t="s">
        <v>356</v>
      </c>
      <c r="G4847" s="3" t="s">
        <v>39</v>
      </c>
      <c r="H4847" s="2" t="s">
        <v>21</v>
      </c>
      <c r="I4847" s="2" t="s">
        <v>9752</v>
      </c>
      <c r="J4847" s="3" t="str">
        <f>HYPERLINK("https://www.boe.es/gazeta/dias/1823/07/21/pdfs/GES-1823-102.pdf#page=1","Abrir facsímil")</f>
        <v>Abrir facsímil</v>
      </c>
      <c r="K4847" s="3" t="s">
        <v>23</v>
      </c>
    </row>
    <row r="4848" spans="1:11" ht="42" customHeight="1">
      <c r="A4848" s="2" t="s">
        <v>9749</v>
      </c>
      <c r="B4848" s="2" t="s">
        <v>9750</v>
      </c>
      <c r="C4848" s="2" t="s">
        <v>17</v>
      </c>
      <c r="D4848" s="2" t="s">
        <v>18</v>
      </c>
      <c r="E4848" s="5">
        <v>-27920</v>
      </c>
      <c r="F4848" s="3" t="s">
        <v>358</v>
      </c>
      <c r="G4848" s="3" t="s">
        <v>48</v>
      </c>
      <c r="H4848" s="2" t="s">
        <v>21</v>
      </c>
      <c r="I4848" s="2" t="s">
        <v>9753</v>
      </c>
      <c r="J4848" s="3" t="str">
        <f>HYPERLINK("https://www.boe.es/gazeta/dias/1823/07/22/pdfs/GES-1823-103.pdf#page=3","Abrir facsímil")</f>
        <v>Abrir facsímil</v>
      </c>
      <c r="K4848" s="3" t="s">
        <v>23</v>
      </c>
    </row>
    <row r="4849" spans="1:11" ht="42" customHeight="1">
      <c r="A4849" s="2" t="s">
        <v>9754</v>
      </c>
      <c r="B4849" s="2" t="s">
        <v>9755</v>
      </c>
      <c r="C4849" s="2" t="s">
        <v>56</v>
      </c>
      <c r="D4849" s="2" t="s">
        <v>57</v>
      </c>
      <c r="E4849" s="5">
        <v>-28049</v>
      </c>
      <c r="F4849" s="3" t="s">
        <v>198</v>
      </c>
      <c r="G4849" s="3" t="s">
        <v>48</v>
      </c>
      <c r="H4849" s="2" t="s">
        <v>21</v>
      </c>
      <c r="I4849" s="2" t="s">
        <v>9756</v>
      </c>
      <c r="J4849" s="3" t="str">
        <f>HYPERLINK("https://www.boe.es/gazeta/dias/1823/03/15/pdfs/GMD-1823-78.pdf#page=3","Abrir facsímil")</f>
        <v>Abrir facsímil</v>
      </c>
      <c r="K4849" s="3" t="s">
        <v>23</v>
      </c>
    </row>
    <row r="4850" spans="1:11" ht="42" customHeight="1">
      <c r="A4850" s="2" t="s">
        <v>9757</v>
      </c>
      <c r="B4850" s="2" t="s">
        <v>9758</v>
      </c>
      <c r="C4850" s="2" t="s">
        <v>56</v>
      </c>
      <c r="D4850" s="2" t="s">
        <v>57</v>
      </c>
      <c r="E4850" s="5">
        <v>-28089</v>
      </c>
      <c r="F4850" s="3" t="s">
        <v>1979</v>
      </c>
      <c r="G4850" s="3" t="s">
        <v>27</v>
      </c>
      <c r="H4850" s="2" t="s">
        <v>21</v>
      </c>
      <c r="I4850" s="2" t="s">
        <v>9759</v>
      </c>
      <c r="J4850" s="3" t="str">
        <f>HYPERLINK("https://www.boe.es/gazeta/dias/1823/02/03/pdfs/GMD-1823-36.pdf#page=2","Abrir facsímil")</f>
        <v>Abrir facsímil</v>
      </c>
      <c r="K4850" s="3" t="s">
        <v>23</v>
      </c>
    </row>
    <row r="4851" spans="1:11" ht="42" customHeight="1">
      <c r="A4851" s="2" t="s">
        <v>9757</v>
      </c>
      <c r="B4851" s="2" t="s">
        <v>9758</v>
      </c>
      <c r="C4851" s="2" t="s">
        <v>17</v>
      </c>
      <c r="D4851" s="2" t="s">
        <v>18</v>
      </c>
      <c r="E4851" s="5">
        <v>-28030</v>
      </c>
      <c r="F4851" s="3" t="s">
        <v>145</v>
      </c>
      <c r="G4851" s="3" t="s">
        <v>27</v>
      </c>
      <c r="H4851" s="2" t="s">
        <v>21</v>
      </c>
      <c r="I4851" s="2" t="s">
        <v>9760</v>
      </c>
      <c r="J4851" s="3" t="str">
        <f>HYPERLINK("https://www.boe.es/gazeta/dias/1823/04/03/pdfs/GMD-1823-97.pdf#page=2","Abrir facsímil")</f>
        <v>Abrir facsímil</v>
      </c>
      <c r="K4851" s="3" t="s">
        <v>23</v>
      </c>
    </row>
    <row r="4852" spans="1:11" ht="42" customHeight="1">
      <c r="A4852" s="2" t="s">
        <v>9757</v>
      </c>
      <c r="B4852" s="2" t="s">
        <v>9758</v>
      </c>
      <c r="C4852" s="2" t="s">
        <v>56</v>
      </c>
      <c r="D4852" s="2" t="s">
        <v>57</v>
      </c>
      <c r="E4852" s="5">
        <v>-27873</v>
      </c>
      <c r="F4852" s="3" t="s">
        <v>160</v>
      </c>
      <c r="G4852" s="3" t="s">
        <v>20</v>
      </c>
      <c r="H4852" s="2" t="s">
        <v>21</v>
      </c>
      <c r="I4852" s="2" t="s">
        <v>9761</v>
      </c>
      <c r="J4852" s="3" t="str">
        <f>HYPERLINK("https://www.boe.es/gazeta/dias/1823/09/07/pdfs/GES-1823-151.pdf#page=4","Abrir facsímil")</f>
        <v>Abrir facsímil</v>
      </c>
      <c r="K4852" s="3" t="s">
        <v>23</v>
      </c>
    </row>
    <row r="4853" spans="1:11" ht="42" customHeight="1">
      <c r="A4853" s="2" t="s">
        <v>9762</v>
      </c>
      <c r="B4853" s="2" t="s">
        <v>9763</v>
      </c>
      <c r="C4853" s="2" t="s">
        <v>56</v>
      </c>
      <c r="D4853" s="2" t="s">
        <v>57</v>
      </c>
      <c r="E4853" s="5">
        <v>-28032</v>
      </c>
      <c r="F4853" s="3" t="s">
        <v>668</v>
      </c>
      <c r="G4853" s="3" t="s">
        <v>39</v>
      </c>
      <c r="H4853" s="2" t="s">
        <v>21</v>
      </c>
      <c r="I4853" s="2" t="s">
        <v>9764</v>
      </c>
      <c r="J4853" s="3" t="str">
        <f>HYPERLINK("https://www.boe.es/gazeta/dias/1823/04/01/pdfs/GMD-1823-95.pdf#page=1","Abrir facsímil")</f>
        <v>Abrir facsímil</v>
      </c>
      <c r="K4853" s="3" t="s">
        <v>23</v>
      </c>
    </row>
    <row r="4854" spans="1:11" ht="42" customHeight="1">
      <c r="A4854" s="2" t="s">
        <v>9765</v>
      </c>
      <c r="B4854" s="2" t="s">
        <v>9766</v>
      </c>
      <c r="C4854" s="2" t="s">
        <v>17</v>
      </c>
      <c r="D4854" s="2" t="s">
        <v>18</v>
      </c>
      <c r="E4854" s="5">
        <v>-27906</v>
      </c>
      <c r="F4854" s="3" t="s">
        <v>241</v>
      </c>
      <c r="G4854" s="3" t="s">
        <v>59</v>
      </c>
      <c r="H4854" s="2" t="s">
        <v>21</v>
      </c>
      <c r="I4854" s="2" t="s">
        <v>9767</v>
      </c>
      <c r="J4854" s="3" t="str">
        <f>HYPERLINK("https://www.boe.es/gazeta/dias/1823/08/05/pdfs/GES-1823-117.pdf#page=6","Abrir facsímil")</f>
        <v>Abrir facsímil</v>
      </c>
      <c r="K4854" s="3" t="s">
        <v>23</v>
      </c>
    </row>
    <row r="4855" spans="1:11" ht="42" customHeight="1">
      <c r="A4855" s="2" t="s">
        <v>9768</v>
      </c>
      <c r="B4855" s="2" t="s">
        <v>9769</v>
      </c>
      <c r="C4855" s="2" t="s">
        <v>17</v>
      </c>
      <c r="D4855" s="2" t="s">
        <v>18</v>
      </c>
      <c r="E4855" s="5">
        <v>-28027</v>
      </c>
      <c r="F4855" s="3" t="s">
        <v>4234</v>
      </c>
      <c r="G4855" s="3" t="s">
        <v>27</v>
      </c>
      <c r="H4855" s="2" t="s">
        <v>21</v>
      </c>
      <c r="I4855" s="2" t="s">
        <v>9770</v>
      </c>
      <c r="J4855" s="3" t="str">
        <f>HYPERLINK("https://www.boe.es/gazeta/dias/1823/04/06/pdfs/GMD-1823-101.pdf#page=2","Abrir facsímil")</f>
        <v>Abrir facsímil</v>
      </c>
      <c r="K4855" s="3" t="s">
        <v>23</v>
      </c>
    </row>
    <row r="4856" spans="1:11" ht="42" customHeight="1">
      <c r="A4856" s="2" t="s">
        <v>9771</v>
      </c>
      <c r="B4856" s="2" t="s">
        <v>9772</v>
      </c>
      <c r="C4856" s="2" t="s">
        <v>79</v>
      </c>
      <c r="D4856" s="2" t="s">
        <v>74</v>
      </c>
      <c r="E4856" s="5">
        <v>-28104</v>
      </c>
      <c r="F4856" s="3" t="s">
        <v>114</v>
      </c>
      <c r="G4856" s="3" t="s">
        <v>59</v>
      </c>
      <c r="H4856" s="2" t="s">
        <v>21</v>
      </c>
      <c r="I4856" s="2" t="s">
        <v>9773</v>
      </c>
      <c r="J4856" s="3" t="str">
        <f>HYPERLINK("https://www.boe.es/gazeta/dias/1823/01/19/pdfs/GMD-1823-19.pdf#page=6","Abrir facsímil")</f>
        <v>Abrir facsímil</v>
      </c>
      <c r="K4856" s="3" t="s">
        <v>23</v>
      </c>
    </row>
    <row r="4857" spans="1:11" ht="42" customHeight="1">
      <c r="A4857" s="2" t="s">
        <v>9774</v>
      </c>
      <c r="B4857" s="2" t="s">
        <v>9775</v>
      </c>
      <c r="C4857" s="2" t="s">
        <v>17</v>
      </c>
      <c r="D4857" s="2" t="s">
        <v>18</v>
      </c>
      <c r="E4857" s="5">
        <v>-28056</v>
      </c>
      <c r="F4857" s="3" t="s">
        <v>572</v>
      </c>
      <c r="G4857" s="3" t="s">
        <v>48</v>
      </c>
      <c r="H4857" s="2" t="s">
        <v>21</v>
      </c>
      <c r="I4857" s="2" t="s">
        <v>9776</v>
      </c>
      <c r="J4857" s="3" t="str">
        <f>HYPERLINK("https://www.boe.es/gazeta/dias/1823/03/08/pdfs/GMD-1823-71.pdf#page=3","Abrir facsímil")</f>
        <v>Abrir facsímil</v>
      </c>
      <c r="K4857" s="3" t="s">
        <v>23</v>
      </c>
    </row>
    <row r="4858" spans="1:11" ht="42" customHeight="1">
      <c r="A4858" s="2" t="s">
        <v>9777</v>
      </c>
      <c r="B4858" s="2" t="s">
        <v>9778</v>
      </c>
      <c r="C4858" s="2" t="s">
        <v>79</v>
      </c>
      <c r="D4858" s="2" t="s">
        <v>74</v>
      </c>
      <c r="E4858" s="5">
        <v>-28012</v>
      </c>
      <c r="F4858" s="3" t="s">
        <v>4707</v>
      </c>
      <c r="G4858" s="3" t="s">
        <v>20</v>
      </c>
      <c r="H4858" s="2" t="s">
        <v>21</v>
      </c>
      <c r="I4858" s="2" t="s">
        <v>9779</v>
      </c>
      <c r="J4858" s="3" t="str">
        <f>HYPERLINK("https://www.boe.es/gazeta/dias/1823/04/21/pdfs/GES-1823-11.pdf#page=4","Abrir facsímil")</f>
        <v>Abrir facsímil</v>
      </c>
      <c r="K4858" s="3" t="s">
        <v>23</v>
      </c>
    </row>
    <row r="4859" spans="1:11" ht="42" customHeight="1">
      <c r="A4859" s="2" t="s">
        <v>9780</v>
      </c>
      <c r="B4859" s="2" t="s">
        <v>9781</v>
      </c>
      <c r="C4859" s="2" t="s">
        <v>17</v>
      </c>
      <c r="D4859" s="2" t="s">
        <v>18</v>
      </c>
      <c r="E4859" s="5">
        <v>-28009</v>
      </c>
      <c r="F4859" s="3" t="s">
        <v>307</v>
      </c>
      <c r="G4859" s="3" t="s">
        <v>59</v>
      </c>
      <c r="H4859" s="2" t="s">
        <v>21</v>
      </c>
      <c r="I4859" s="2" t="s">
        <v>9782</v>
      </c>
      <c r="J4859" s="3" t="str">
        <f>HYPERLINK("https://www.boe.es/gazeta/dias/1823/04/24/pdfs/GES-1823-14.pdf#page=6","Abrir facsímil")</f>
        <v>Abrir facsímil</v>
      </c>
      <c r="K4859" s="3" t="s">
        <v>23</v>
      </c>
    </row>
    <row r="4860" spans="1:11" ht="42" customHeight="1">
      <c r="A4860" s="2" t="s">
        <v>9780</v>
      </c>
      <c r="B4860" s="2" t="s">
        <v>9781</v>
      </c>
      <c r="C4860" s="2" t="s">
        <v>17</v>
      </c>
      <c r="D4860" s="2" t="s">
        <v>18</v>
      </c>
      <c r="E4860" s="5">
        <v>-28000</v>
      </c>
      <c r="F4860" s="3" t="s">
        <v>1118</v>
      </c>
      <c r="G4860" s="3" t="s">
        <v>34</v>
      </c>
      <c r="H4860" s="2" t="s">
        <v>21</v>
      </c>
      <c r="I4860" s="2" t="s">
        <v>9783</v>
      </c>
      <c r="J4860" s="3" t="str">
        <f>HYPERLINK("https://www.boe.es/gazeta/dias/1823/05/03/pdfs/GES-1823-23.pdf#page=5","Abrir facsímil")</f>
        <v>Abrir facsímil</v>
      </c>
      <c r="K4860" s="3" t="s">
        <v>23</v>
      </c>
    </row>
    <row r="4861" spans="1:11" ht="42" customHeight="1">
      <c r="A4861" s="2" t="s">
        <v>9777</v>
      </c>
      <c r="B4861" s="2" t="s">
        <v>9778</v>
      </c>
      <c r="C4861" s="2" t="s">
        <v>17</v>
      </c>
      <c r="D4861" s="2" t="s">
        <v>18</v>
      </c>
      <c r="E4861" s="5">
        <v>-27965</v>
      </c>
      <c r="F4861" s="3" t="s">
        <v>208</v>
      </c>
      <c r="G4861" s="3" t="s">
        <v>20</v>
      </c>
      <c r="H4861" s="2" t="s">
        <v>21</v>
      </c>
      <c r="I4861" s="2" t="s">
        <v>9784</v>
      </c>
      <c r="J4861" s="3" t="str">
        <f>HYPERLINK("https://www.boe.es/gazeta/dias/1823/06/07/pdfs/GES-1823-61.pdf#page=4","Abrir facsímil")</f>
        <v>Abrir facsímil</v>
      </c>
      <c r="K4861" s="3" t="s">
        <v>23</v>
      </c>
    </row>
    <row r="4862" spans="1:11" ht="42" customHeight="1">
      <c r="A4862" s="2" t="s">
        <v>9785</v>
      </c>
      <c r="B4862" s="2" t="s">
        <v>9786</v>
      </c>
      <c r="C4862" s="2" t="s">
        <v>84</v>
      </c>
      <c r="D4862" s="2" t="s">
        <v>74</v>
      </c>
      <c r="E4862" s="5">
        <v>-27870</v>
      </c>
      <c r="F4862" s="3" t="s">
        <v>376</v>
      </c>
      <c r="G4862" s="3" t="s">
        <v>20</v>
      </c>
      <c r="H4862" s="2" t="s">
        <v>21</v>
      </c>
      <c r="I4862" s="2" t="s">
        <v>9787</v>
      </c>
      <c r="J4862" s="3" t="str">
        <f>HYPERLINK("https://www.boe.es/gazeta/dias/1823/09/10/pdfs/GES-1823-154.pdf#page=4","Abrir facsímil")</f>
        <v>Abrir facsímil</v>
      </c>
      <c r="K4862" s="3" t="s">
        <v>23</v>
      </c>
    </row>
    <row r="4863" spans="1:11" ht="42" customHeight="1">
      <c r="A4863" s="2" t="s">
        <v>9788</v>
      </c>
      <c r="B4863" s="2" t="s">
        <v>9789</v>
      </c>
      <c r="C4863" s="2" t="s">
        <v>56</v>
      </c>
      <c r="D4863" s="2" t="s">
        <v>57</v>
      </c>
      <c r="E4863" s="5">
        <v>-28009</v>
      </c>
      <c r="F4863" s="3" t="s">
        <v>307</v>
      </c>
      <c r="G4863" s="3" t="s">
        <v>27</v>
      </c>
      <c r="H4863" s="2" t="s">
        <v>21</v>
      </c>
      <c r="I4863" s="2" t="s">
        <v>9790</v>
      </c>
      <c r="J4863" s="3" t="str">
        <f>HYPERLINK("https://www.boe.es/gazeta/dias/1823/04/24/pdfs/GES-1823-14.pdf#page=2","Abrir facsímil")</f>
        <v>Abrir facsímil</v>
      </c>
      <c r="K4863" s="3" t="s">
        <v>23</v>
      </c>
    </row>
    <row r="4864" spans="1:11" ht="42" customHeight="1">
      <c r="A4864" s="2" t="s">
        <v>9791</v>
      </c>
      <c r="B4864" s="2" t="s">
        <v>9792</v>
      </c>
      <c r="C4864" s="2" t="s">
        <v>17</v>
      </c>
      <c r="D4864" s="2" t="s">
        <v>18</v>
      </c>
      <c r="E4864" s="5">
        <v>-28048</v>
      </c>
      <c r="F4864" s="3" t="s">
        <v>399</v>
      </c>
      <c r="G4864" s="3" t="s">
        <v>20</v>
      </c>
      <c r="H4864" s="2" t="s">
        <v>21</v>
      </c>
      <c r="I4864" s="2" t="s">
        <v>9793</v>
      </c>
      <c r="J4864" s="3" t="str">
        <f>HYPERLINK("https://www.boe.es/gazeta/dias/1823/03/16/pdfs/GMD-1823-79.pdf#page=4","Abrir facsímil")</f>
        <v>Abrir facsímil</v>
      </c>
      <c r="K4864" s="3" t="s">
        <v>23</v>
      </c>
    </row>
    <row r="4865" spans="1:11" ht="42" customHeight="1">
      <c r="A4865" s="2" t="s">
        <v>9791</v>
      </c>
      <c r="B4865" s="2" t="s">
        <v>9792</v>
      </c>
      <c r="C4865" s="2" t="s">
        <v>17</v>
      </c>
      <c r="D4865" s="2" t="s">
        <v>18</v>
      </c>
      <c r="E4865" s="5">
        <v>-27993</v>
      </c>
      <c r="F4865" s="3" t="s">
        <v>977</v>
      </c>
      <c r="G4865" s="3" t="s">
        <v>978</v>
      </c>
      <c r="H4865" s="2" t="s">
        <v>21</v>
      </c>
      <c r="I4865" s="2" t="s">
        <v>9794</v>
      </c>
      <c r="J4865" s="3" t="str">
        <f>HYPERLINK("https://www.boe.es/gazeta/dias/1823/05/10/pdfs/GES-1823-30.pdf#page=4","Abrir facsímil")</f>
        <v>Abrir facsímil</v>
      </c>
      <c r="K4865" s="3" t="s">
        <v>23</v>
      </c>
    </row>
    <row r="4866" spans="1:11" ht="42" customHeight="1">
      <c r="A4866" s="2" t="s">
        <v>9791</v>
      </c>
      <c r="B4866" s="2" t="s">
        <v>9792</v>
      </c>
      <c r="C4866" s="2" t="s">
        <v>17</v>
      </c>
      <c r="D4866" s="2" t="s">
        <v>18</v>
      </c>
      <c r="E4866" s="5">
        <v>-27890</v>
      </c>
      <c r="F4866" s="3" t="s">
        <v>1573</v>
      </c>
      <c r="G4866" s="3" t="s">
        <v>39</v>
      </c>
      <c r="H4866" s="2" t="s">
        <v>21</v>
      </c>
      <c r="I4866" s="2" t="s">
        <v>9795</v>
      </c>
      <c r="J4866" s="3" t="str">
        <f>HYPERLINK("https://www.boe.es/gazeta/dias/1823/08/21/pdfs/GMD-1823-623.pdf#page=1","Abrir facsímil")</f>
        <v>Abrir facsímil</v>
      </c>
      <c r="K4866" s="3" t="s">
        <v>23</v>
      </c>
    </row>
    <row r="4867" spans="1:11" ht="42" customHeight="1">
      <c r="A4867" s="2" t="s">
        <v>9796</v>
      </c>
      <c r="B4867" s="2" t="s">
        <v>9797</v>
      </c>
      <c r="C4867" s="2" t="s">
        <v>109</v>
      </c>
      <c r="D4867" s="2" t="s">
        <v>74</v>
      </c>
      <c r="E4867" s="5">
        <v>-28037</v>
      </c>
      <c r="F4867" s="3" t="s">
        <v>192</v>
      </c>
      <c r="G4867" s="3" t="s">
        <v>20</v>
      </c>
      <c r="H4867" s="2" t="s">
        <v>21</v>
      </c>
      <c r="I4867" s="2" t="s">
        <v>9798</v>
      </c>
      <c r="J4867" s="3" t="str">
        <f>HYPERLINK("https://www.boe.es/gazeta/dias/1823/03/27/pdfs/GMD-1823-90.pdf#page=4","Abrir facsímil")</f>
        <v>Abrir facsímil</v>
      </c>
      <c r="K4867" s="3" t="s">
        <v>23</v>
      </c>
    </row>
    <row r="4868" spans="1:11" ht="42" customHeight="1">
      <c r="A4868" s="2" t="s">
        <v>9796</v>
      </c>
      <c r="B4868" s="2" t="s">
        <v>9797</v>
      </c>
      <c r="C4868" s="2" t="s">
        <v>109</v>
      </c>
      <c r="D4868" s="2" t="s">
        <v>74</v>
      </c>
      <c r="E4868" s="5">
        <v>-28031</v>
      </c>
      <c r="F4868" s="3" t="s">
        <v>1211</v>
      </c>
      <c r="G4868" s="3" t="s">
        <v>20</v>
      </c>
      <c r="H4868" s="2" t="s">
        <v>21</v>
      </c>
      <c r="I4868" s="2" t="s">
        <v>9799</v>
      </c>
      <c r="J4868" s="3" t="str">
        <f>HYPERLINK("https://www.boe.es/gazeta/dias/1823/04/02/pdfs/GMD-1823-96.pdf#page=4","Abrir facsímil")</f>
        <v>Abrir facsímil</v>
      </c>
      <c r="K4868" s="3" t="s">
        <v>23</v>
      </c>
    </row>
    <row r="4869" spans="1:11" ht="42" customHeight="1">
      <c r="A4869" s="2" t="s">
        <v>9796</v>
      </c>
      <c r="B4869" s="2" t="s">
        <v>9797</v>
      </c>
      <c r="C4869" s="2" t="s">
        <v>109</v>
      </c>
      <c r="D4869" s="2" t="s">
        <v>74</v>
      </c>
      <c r="E4869" s="5">
        <v>-27881</v>
      </c>
      <c r="F4869" s="3" t="s">
        <v>485</v>
      </c>
      <c r="G4869" s="3" t="s">
        <v>20</v>
      </c>
      <c r="H4869" s="2" t="s">
        <v>21</v>
      </c>
      <c r="I4869" s="2" t="s">
        <v>9800</v>
      </c>
      <c r="J4869" s="3" t="str">
        <f>HYPERLINK("https://www.boe.es/gazeta/dias/1823/08/30/pdfs/GES-1823-143.pdf#page=4","Abrir facsímil")</f>
        <v>Abrir facsímil</v>
      </c>
      <c r="K4869" s="3" t="s">
        <v>23</v>
      </c>
    </row>
    <row r="4870" spans="1:11" ht="42" customHeight="1">
      <c r="A4870" s="2" t="s">
        <v>9801</v>
      </c>
      <c r="B4870" s="2" t="s">
        <v>9802</v>
      </c>
      <c r="C4870" s="2" t="s">
        <v>17</v>
      </c>
      <c r="D4870" s="2" t="s">
        <v>18</v>
      </c>
      <c r="E4870" s="5">
        <v>-27776</v>
      </c>
      <c r="F4870" s="3" t="s">
        <v>1399</v>
      </c>
      <c r="G4870" s="3" t="s">
        <v>39</v>
      </c>
      <c r="H4870" s="2" t="s">
        <v>21</v>
      </c>
      <c r="I4870" s="2" t="s">
        <v>9803</v>
      </c>
      <c r="J4870" s="3" t="str">
        <f>HYPERLINK("https://www.boe.es/gazeta/dias/1823/12/13/pdfs/GMD-1823-1243.pdf#page=1","Abrir facsímil")</f>
        <v>Abrir facsímil</v>
      </c>
      <c r="K4870" s="3" t="s">
        <v>23</v>
      </c>
    </row>
    <row r="4871" spans="1:11" ht="42" customHeight="1">
      <c r="A4871" s="2" t="s">
        <v>9804</v>
      </c>
      <c r="B4871" s="2" t="s">
        <v>9805</v>
      </c>
      <c r="C4871" s="2" t="s">
        <v>56</v>
      </c>
      <c r="D4871" s="2" t="s">
        <v>57</v>
      </c>
      <c r="E4871" s="5">
        <v>-28005</v>
      </c>
      <c r="F4871" s="3" t="s">
        <v>1648</v>
      </c>
      <c r="G4871" s="3" t="s">
        <v>7662</v>
      </c>
      <c r="H4871" s="2" t="s">
        <v>21</v>
      </c>
      <c r="I4871" s="2" t="s">
        <v>9806</v>
      </c>
      <c r="J4871" s="3" t="str">
        <f>HYPERLINK("https://www.boe.es/gazeta/dias/1823/04/28/pdfs/GES-1823-18.pdf#page=1","Abrir facsímil")</f>
        <v>Abrir facsímil</v>
      </c>
      <c r="K4871" s="3" t="s">
        <v>23</v>
      </c>
    </row>
    <row r="4872" spans="1:11" ht="42" customHeight="1">
      <c r="A4872" s="2" t="s">
        <v>9807</v>
      </c>
      <c r="B4872" s="2" t="s">
        <v>9808</v>
      </c>
      <c r="C4872" s="2" t="s">
        <v>56</v>
      </c>
      <c r="D4872" s="2" t="s">
        <v>57</v>
      </c>
      <c r="E4872" s="5">
        <v>-27997</v>
      </c>
      <c r="F4872" s="3" t="s">
        <v>937</v>
      </c>
      <c r="G4872" s="3" t="s">
        <v>27</v>
      </c>
      <c r="H4872" s="2" t="s">
        <v>21</v>
      </c>
      <c r="I4872" s="2" t="s">
        <v>9809</v>
      </c>
      <c r="J4872" s="3" t="str">
        <f>HYPERLINK("https://www.boe.es/gazeta/dias/1823/05/06/pdfs/GMD-1823-102.pdf#page=2","Abrir facsímil")</f>
        <v>Abrir facsímil</v>
      </c>
      <c r="K4872" s="3" t="s">
        <v>23</v>
      </c>
    </row>
    <row r="4873" spans="1:11" ht="42" customHeight="1">
      <c r="A4873" s="2" t="s">
        <v>9810</v>
      </c>
      <c r="B4873" s="2" t="s">
        <v>9811</v>
      </c>
      <c r="C4873" s="2" t="s">
        <v>109</v>
      </c>
      <c r="D4873" s="2" t="s">
        <v>74</v>
      </c>
      <c r="E4873" s="5">
        <v>-27972</v>
      </c>
      <c r="F4873" s="3" t="s">
        <v>429</v>
      </c>
      <c r="G4873" s="3" t="s">
        <v>39</v>
      </c>
      <c r="H4873" s="2" t="s">
        <v>21</v>
      </c>
      <c r="I4873" s="2" t="s">
        <v>9812</v>
      </c>
      <c r="J4873" s="3" t="str">
        <f>HYPERLINK("https://www.boe.es/gazeta/dias/1823/05/31/pdfs/GES-1823-54.pdf#page=1","Abrir facsímil")</f>
        <v>Abrir facsímil</v>
      </c>
      <c r="K4873" s="3" t="s">
        <v>23</v>
      </c>
    </row>
    <row r="4874" spans="1:11" ht="42" customHeight="1">
      <c r="A4874" s="2" t="s">
        <v>9813</v>
      </c>
      <c r="B4874" s="2" t="s">
        <v>9814</v>
      </c>
      <c r="C4874" s="2" t="s">
        <v>56</v>
      </c>
      <c r="D4874" s="2" t="s">
        <v>57</v>
      </c>
      <c r="E4874" s="5">
        <v>-27865</v>
      </c>
      <c r="F4874" s="3" t="s">
        <v>9815</v>
      </c>
      <c r="G4874" s="3" t="s">
        <v>20</v>
      </c>
      <c r="H4874" s="2" t="s">
        <v>21</v>
      </c>
      <c r="I4874" s="2" t="s">
        <v>9816</v>
      </c>
      <c r="J4874" s="3" t="str">
        <f>HYPERLINK("https://www.boe.es/gazeta/dias/1823/09/15/pdfs/GES-1823-159.pdf#page=4","Abrir facsímil")</f>
        <v>Abrir facsímil</v>
      </c>
      <c r="K4874" s="3" t="s">
        <v>23</v>
      </c>
    </row>
    <row r="4875" spans="1:11" ht="42" customHeight="1">
      <c r="A4875" s="2" t="s">
        <v>9817</v>
      </c>
      <c r="B4875" s="2" t="s">
        <v>9818</v>
      </c>
      <c r="C4875" s="2" t="s">
        <v>293</v>
      </c>
      <c r="D4875" s="2" t="s">
        <v>74</v>
      </c>
      <c r="E4875" s="5">
        <v>-28025</v>
      </c>
      <c r="F4875" s="3" t="s">
        <v>477</v>
      </c>
      <c r="G4875" s="3" t="s">
        <v>20</v>
      </c>
      <c r="H4875" s="2" t="s">
        <v>21</v>
      </c>
      <c r="I4875" s="2" t="s">
        <v>9819</v>
      </c>
      <c r="J4875" s="3" t="str">
        <f>HYPERLINK("https://www.boe.es/gazeta/dias/1823/04/08/pdfs/GMD-1823-103.pdf#page=4","Abrir facsímil")</f>
        <v>Abrir facsímil</v>
      </c>
      <c r="K4875" s="3" t="s">
        <v>23</v>
      </c>
    </row>
    <row r="4876" spans="1:11" ht="42" customHeight="1">
      <c r="A4876" s="2" t="s">
        <v>9817</v>
      </c>
      <c r="B4876" s="2" t="s">
        <v>9818</v>
      </c>
      <c r="C4876" s="2" t="s">
        <v>79</v>
      </c>
      <c r="D4876" s="2" t="s">
        <v>74</v>
      </c>
      <c r="E4876" s="5">
        <v>-28020</v>
      </c>
      <c r="F4876" s="3" t="s">
        <v>448</v>
      </c>
      <c r="G4876" s="3" t="s">
        <v>20</v>
      </c>
      <c r="H4876" s="2" t="s">
        <v>21</v>
      </c>
      <c r="I4876" s="2" t="s">
        <v>9820</v>
      </c>
      <c r="J4876" s="3" t="str">
        <f>HYPERLINK("https://www.boe.es/gazeta/dias/1823/04/13/pdfs/GES-1823-3.pdf#page=4","Abrir facsímil")</f>
        <v>Abrir facsímil</v>
      </c>
      <c r="K4876" s="3" t="s">
        <v>23</v>
      </c>
    </row>
    <row r="4877" spans="1:11" ht="42" customHeight="1">
      <c r="A4877" s="2" t="s">
        <v>9821</v>
      </c>
      <c r="B4877" s="2" t="s">
        <v>9822</v>
      </c>
      <c r="C4877" s="2" t="s">
        <v>56</v>
      </c>
      <c r="D4877" s="2" t="s">
        <v>57</v>
      </c>
      <c r="E4877" s="5">
        <v>-27983</v>
      </c>
      <c r="F4877" s="3" t="s">
        <v>337</v>
      </c>
      <c r="G4877" s="3" t="s">
        <v>27</v>
      </c>
      <c r="H4877" s="2" t="s">
        <v>21</v>
      </c>
      <c r="I4877" s="2" t="s">
        <v>9823</v>
      </c>
      <c r="J4877" s="3" t="str">
        <f>HYPERLINK("https://www.boe.es/gazeta/dias/1823/05/20/pdfs/GES-1823-40.pdf#page=2","Abrir facsímil")</f>
        <v>Abrir facsímil</v>
      </c>
      <c r="K4877" s="3" t="s">
        <v>23</v>
      </c>
    </row>
    <row r="4878" spans="1:11" ht="42" customHeight="1">
      <c r="A4878" s="2" t="s">
        <v>9821</v>
      </c>
      <c r="B4878" s="2" t="s">
        <v>9822</v>
      </c>
      <c r="C4878" s="2" t="s">
        <v>17</v>
      </c>
      <c r="D4878" s="2" t="s">
        <v>18</v>
      </c>
      <c r="E4878" s="5">
        <v>-27932</v>
      </c>
      <c r="F4878" s="3" t="s">
        <v>786</v>
      </c>
      <c r="G4878" s="3" t="s">
        <v>59</v>
      </c>
      <c r="H4878" s="2" t="s">
        <v>21</v>
      </c>
      <c r="I4878" s="2" t="s">
        <v>9824</v>
      </c>
      <c r="J4878" s="3" t="str">
        <f>HYPERLINK("https://www.boe.es/gazeta/dias/1823/07/10/pdfs/GMD-1823-363.pdf#page=6","Abrir facsímil")</f>
        <v>Abrir facsímil</v>
      </c>
      <c r="K4878" s="3" t="s">
        <v>23</v>
      </c>
    </row>
    <row r="4879" spans="1:11" ht="42" customHeight="1">
      <c r="A4879" s="2" t="s">
        <v>9821</v>
      </c>
      <c r="B4879" s="2" t="s">
        <v>9822</v>
      </c>
      <c r="C4879" s="2" t="s">
        <v>17</v>
      </c>
      <c r="D4879" s="2" t="s">
        <v>18</v>
      </c>
      <c r="E4879" s="5">
        <v>-27922</v>
      </c>
      <c r="F4879" s="3" t="s">
        <v>1959</v>
      </c>
      <c r="G4879" s="3" t="s">
        <v>39</v>
      </c>
      <c r="H4879" s="2" t="s">
        <v>21</v>
      </c>
      <c r="I4879" s="2" t="s">
        <v>9825</v>
      </c>
      <c r="J4879" s="3" t="str">
        <f>HYPERLINK("https://www.boe.es/gazeta/dias/1823/07/20/pdfs/GES-1823-101.pdf#page=1","Abrir facsímil")</f>
        <v>Abrir facsímil</v>
      </c>
      <c r="K4879" s="3" t="s">
        <v>23</v>
      </c>
    </row>
    <row r="4880" spans="1:11" ht="42" customHeight="1">
      <c r="A4880" s="2" t="s">
        <v>9821</v>
      </c>
      <c r="B4880" s="2" t="s">
        <v>9822</v>
      </c>
      <c r="C4880" s="2" t="s">
        <v>17</v>
      </c>
      <c r="D4880" s="2" t="s">
        <v>18</v>
      </c>
      <c r="E4880" s="5">
        <v>-27881</v>
      </c>
      <c r="F4880" s="3" t="s">
        <v>725</v>
      </c>
      <c r="G4880" s="3" t="s">
        <v>39</v>
      </c>
      <c r="H4880" s="2" t="s">
        <v>21</v>
      </c>
      <c r="I4880" s="2" t="s">
        <v>9826</v>
      </c>
      <c r="J4880" s="3" t="str">
        <f>HYPERLINK("https://www.boe.es/gazeta/dias/1823/08/30/pdfs/GMD-1823-673.pdf#page=1","Abrir facsímil")</f>
        <v>Abrir facsímil</v>
      </c>
      <c r="K4880" s="3" t="s">
        <v>23</v>
      </c>
    </row>
    <row r="4881" spans="1:11" ht="42" customHeight="1">
      <c r="A4881" s="2" t="s">
        <v>9827</v>
      </c>
      <c r="B4881" s="2" t="s">
        <v>9828</v>
      </c>
      <c r="C4881" s="2" t="s">
        <v>56</v>
      </c>
      <c r="D4881" s="2" t="s">
        <v>57</v>
      </c>
      <c r="E4881" s="5">
        <v>-28002</v>
      </c>
      <c r="F4881" s="3" t="s">
        <v>315</v>
      </c>
      <c r="G4881" s="3" t="s">
        <v>1116</v>
      </c>
      <c r="H4881" s="2" t="s">
        <v>21</v>
      </c>
      <c r="I4881" s="2" t="s">
        <v>9829</v>
      </c>
      <c r="J4881" s="3" t="str">
        <f>HYPERLINK("https://www.boe.es/gazeta/dias/1823/05/01/pdfs/GES-1823-21.pdf#page=4","Abrir facsímil")</f>
        <v>Abrir facsímil</v>
      </c>
      <c r="K4881" s="3" t="s">
        <v>23</v>
      </c>
    </row>
    <row r="4882" spans="1:11" ht="42" customHeight="1">
      <c r="A4882" s="2" t="s">
        <v>9830</v>
      </c>
      <c r="B4882" s="2" t="s">
        <v>9831</v>
      </c>
      <c r="C4882" s="2" t="s">
        <v>293</v>
      </c>
      <c r="D4882" s="2" t="s">
        <v>74</v>
      </c>
      <c r="E4882" s="5">
        <v>-28114</v>
      </c>
      <c r="F4882" s="3" t="s">
        <v>153</v>
      </c>
      <c r="G4882" s="3" t="s">
        <v>59</v>
      </c>
      <c r="H4882" s="2" t="s">
        <v>21</v>
      </c>
      <c r="I4882" s="2" t="s">
        <v>9832</v>
      </c>
      <c r="J4882" s="3" t="str">
        <f>HYPERLINK("https://www.boe.es/gazeta/dias/1823/01/09/pdfs/GMD-1823-9.pdf#page=6","Abrir facsímil")</f>
        <v>Abrir facsímil</v>
      </c>
      <c r="K4882" s="3" t="s">
        <v>23</v>
      </c>
    </row>
    <row r="4883" spans="1:11" ht="42" customHeight="1">
      <c r="A4883" s="2" t="s">
        <v>9833</v>
      </c>
      <c r="B4883" s="2" t="s">
        <v>9834</v>
      </c>
      <c r="C4883" s="2" t="s">
        <v>17</v>
      </c>
      <c r="D4883" s="2" t="s">
        <v>18</v>
      </c>
      <c r="E4883" s="5">
        <v>-27839</v>
      </c>
      <c r="F4883" s="3" t="s">
        <v>263</v>
      </c>
      <c r="G4883" s="3" t="s">
        <v>39</v>
      </c>
      <c r="H4883" s="2" t="s">
        <v>21</v>
      </c>
      <c r="I4883" s="2" t="s">
        <v>9835</v>
      </c>
      <c r="J4883" s="3" t="str">
        <f>HYPERLINK("https://www.boe.es/gazeta/dias/1823/10/11/pdfs/GMD-1823-963.pdf#page=1","Abrir facsímil")</f>
        <v>Abrir facsímil</v>
      </c>
      <c r="K4883" s="3" t="s">
        <v>23</v>
      </c>
    </row>
    <row r="4884" spans="1:11" ht="42" customHeight="1">
      <c r="A4884" s="2" t="s">
        <v>9836</v>
      </c>
      <c r="B4884" s="2" t="s">
        <v>9837</v>
      </c>
      <c r="C4884" s="2" t="s">
        <v>17</v>
      </c>
      <c r="D4884" s="2" t="s">
        <v>18</v>
      </c>
      <c r="E4884" s="5">
        <v>-27904</v>
      </c>
      <c r="F4884" s="3" t="s">
        <v>1227</v>
      </c>
      <c r="G4884" s="3" t="s">
        <v>59</v>
      </c>
      <c r="H4884" s="2" t="s">
        <v>21</v>
      </c>
      <c r="I4884" s="2" t="s">
        <v>9838</v>
      </c>
      <c r="J4884" s="3" t="str">
        <f>HYPERLINK("https://www.boe.es/gazeta/dias/1823/08/07/pdfs/GMD-1823-543.pdf#page=6","Abrir facsímil")</f>
        <v>Abrir facsímil</v>
      </c>
      <c r="K4884" s="3" t="s">
        <v>23</v>
      </c>
    </row>
    <row r="4885" spans="1:11" ht="42" customHeight="1">
      <c r="A4885" s="2" t="s">
        <v>9836</v>
      </c>
      <c r="B4885" s="2" t="s">
        <v>9837</v>
      </c>
      <c r="C4885" s="2" t="s">
        <v>79</v>
      </c>
      <c r="D4885" s="2" t="s">
        <v>74</v>
      </c>
      <c r="E4885" s="5">
        <v>-27843</v>
      </c>
      <c r="F4885" s="3" t="s">
        <v>790</v>
      </c>
      <c r="G4885" s="3" t="s">
        <v>20</v>
      </c>
      <c r="H4885" s="2" t="s">
        <v>21</v>
      </c>
      <c r="I4885" s="2" t="s">
        <v>9839</v>
      </c>
      <c r="J4885" s="3" t="str">
        <f>HYPERLINK("https://www.boe.es/gazeta/dias/1823/10/07/pdfs/GMD-1823-933.pdf#page=4","Abrir facsímil")</f>
        <v>Abrir facsímil</v>
      </c>
      <c r="K4885" s="3" t="s">
        <v>23</v>
      </c>
    </row>
    <row r="4886" spans="1:11" ht="42" customHeight="1">
      <c r="A4886" s="2" t="s">
        <v>9836</v>
      </c>
      <c r="B4886" s="2" t="s">
        <v>9837</v>
      </c>
      <c r="C4886" s="2" t="s">
        <v>17</v>
      </c>
      <c r="D4886" s="2" t="s">
        <v>18</v>
      </c>
      <c r="E4886" s="5">
        <v>-27797</v>
      </c>
      <c r="F4886" s="3" t="s">
        <v>3409</v>
      </c>
      <c r="G4886" s="3" t="s">
        <v>20</v>
      </c>
      <c r="H4886" s="2" t="s">
        <v>21</v>
      </c>
      <c r="I4886" s="2" t="s">
        <v>9840</v>
      </c>
      <c r="J4886" s="3" t="str">
        <f>HYPERLINK("https://www.boe.es/gazeta/dias/1823/11/22/pdfs/GMD-1823-1153.pdf#page=4","Abrir facsímil")</f>
        <v>Abrir facsímil</v>
      </c>
      <c r="K4886" s="3" t="s">
        <v>23</v>
      </c>
    </row>
    <row r="4887" spans="1:11" ht="42" customHeight="1">
      <c r="A4887" s="2" t="s">
        <v>9836</v>
      </c>
      <c r="B4887" s="2" t="s">
        <v>9837</v>
      </c>
      <c r="C4887" s="2" t="s">
        <v>79</v>
      </c>
      <c r="D4887" s="2" t="s">
        <v>74</v>
      </c>
      <c r="E4887" s="5">
        <v>-27766</v>
      </c>
      <c r="F4887" s="3" t="s">
        <v>3450</v>
      </c>
      <c r="G4887" s="3" t="s">
        <v>20</v>
      </c>
      <c r="H4887" s="2" t="s">
        <v>21</v>
      </c>
      <c r="I4887" s="2" t="s">
        <v>9841</v>
      </c>
      <c r="J4887" s="3" t="str">
        <f>HYPERLINK("https://www.boe.es/gazeta/dias/1823/12/23/pdfs/GMD-1823-1283.pdf#page=4","Abrir facsímil")</f>
        <v>Abrir facsímil</v>
      </c>
      <c r="K4887" s="3" t="s">
        <v>23</v>
      </c>
    </row>
    <row r="4888" spans="1:11" ht="42" customHeight="1">
      <c r="A4888" s="2" t="s">
        <v>9842</v>
      </c>
      <c r="B4888" s="2" t="s">
        <v>9843</v>
      </c>
      <c r="C4888" s="2" t="s">
        <v>17</v>
      </c>
      <c r="D4888" s="2" t="s">
        <v>18</v>
      </c>
      <c r="E4888" s="5">
        <v>-28066</v>
      </c>
      <c r="F4888" s="3" t="s">
        <v>19</v>
      </c>
      <c r="G4888" s="3" t="s">
        <v>20</v>
      </c>
      <c r="H4888" s="2" t="s">
        <v>21</v>
      </c>
      <c r="I4888" s="2" t="s">
        <v>9844</v>
      </c>
      <c r="J4888" s="3" t="str">
        <f>HYPERLINK("https://www.boe.es/gazeta/dias/1823/02/26/pdfs/GMD-1823-60.pdf#page=4","Abrir facsímil")</f>
        <v>Abrir facsímil</v>
      </c>
      <c r="K4888" s="3" t="s">
        <v>23</v>
      </c>
    </row>
    <row r="4889" spans="1:11" ht="42" customHeight="1">
      <c r="A4889" s="2" t="s">
        <v>9842</v>
      </c>
      <c r="B4889" s="2" t="s">
        <v>9843</v>
      </c>
      <c r="C4889" s="2" t="s">
        <v>109</v>
      </c>
      <c r="D4889" s="2" t="s">
        <v>74</v>
      </c>
      <c r="E4889" s="5">
        <v>-27942</v>
      </c>
      <c r="F4889" s="3" t="s">
        <v>596</v>
      </c>
      <c r="G4889" s="3" t="s">
        <v>27</v>
      </c>
      <c r="H4889" s="2" t="s">
        <v>21</v>
      </c>
      <c r="I4889" s="2" t="s">
        <v>9845</v>
      </c>
      <c r="J4889" s="3" t="str">
        <f>HYPERLINK("https://www.boe.es/gazeta/dias/1823/06/30/pdfs/GES-1823-80.pdf#page=2","Abrir facsímil")</f>
        <v>Abrir facsímil</v>
      </c>
      <c r="K4889" s="3" t="s">
        <v>23</v>
      </c>
    </row>
    <row r="4890" spans="1:11" ht="42" customHeight="1">
      <c r="A4890" s="2" t="s">
        <v>9846</v>
      </c>
      <c r="B4890" s="2" t="s">
        <v>9847</v>
      </c>
      <c r="C4890" s="2" t="s">
        <v>17</v>
      </c>
      <c r="D4890" s="2" t="s">
        <v>18</v>
      </c>
      <c r="E4890" s="5">
        <v>-28100</v>
      </c>
      <c r="F4890" s="3" t="s">
        <v>737</v>
      </c>
      <c r="G4890" s="3" t="s">
        <v>48</v>
      </c>
      <c r="H4890" s="2" t="s">
        <v>21</v>
      </c>
      <c r="I4890" s="2" t="s">
        <v>9848</v>
      </c>
      <c r="J4890" s="3" t="str">
        <f>HYPERLINK("https://www.boe.es/gazeta/dias/1823/01/23/pdfs/GMD-1823-24.pdf#page=3","Abrir facsímil")</f>
        <v>Abrir facsímil</v>
      </c>
      <c r="K4890" s="3" t="s">
        <v>23</v>
      </c>
    </row>
    <row r="4891" spans="1:11" ht="42" customHeight="1">
      <c r="A4891" s="2" t="s">
        <v>9849</v>
      </c>
      <c r="B4891" s="2" t="s">
        <v>9850</v>
      </c>
      <c r="C4891" s="2" t="s">
        <v>79</v>
      </c>
      <c r="D4891" s="2" t="s">
        <v>74</v>
      </c>
      <c r="E4891" s="5">
        <v>-27986</v>
      </c>
      <c r="F4891" s="3" t="s">
        <v>75</v>
      </c>
      <c r="G4891" s="3" t="s">
        <v>59</v>
      </c>
      <c r="H4891" s="2" t="s">
        <v>21</v>
      </c>
      <c r="I4891" s="2" t="s">
        <v>9851</v>
      </c>
      <c r="J4891" s="3" t="str">
        <f>HYPERLINK("https://www.boe.es/gazeta/dias/1823/05/17/pdfs/GES-1823-37.pdf#page=6","Abrir facsímil")</f>
        <v>Abrir facsímil</v>
      </c>
      <c r="K4891" s="3" t="s">
        <v>23</v>
      </c>
    </row>
    <row r="4892" spans="1:11" ht="42" customHeight="1">
      <c r="A4892" s="2" t="s">
        <v>9849</v>
      </c>
      <c r="B4892" s="2" t="s">
        <v>9850</v>
      </c>
      <c r="C4892" s="2" t="s">
        <v>56</v>
      </c>
      <c r="D4892" s="2" t="s">
        <v>57</v>
      </c>
      <c r="E4892" s="5">
        <v>-27944</v>
      </c>
      <c r="F4892" s="3" t="s">
        <v>2823</v>
      </c>
      <c r="G4892" s="3" t="s">
        <v>20</v>
      </c>
      <c r="H4892" s="2" t="s">
        <v>21</v>
      </c>
      <c r="I4892" s="2" t="s">
        <v>9852</v>
      </c>
      <c r="J4892" s="3" t="str">
        <f>HYPERLINK("https://www.boe.es/gazeta/dias/1823/06/28/pdfs/GES-1823-78.pdf#page=4","Abrir facsímil")</f>
        <v>Abrir facsímil</v>
      </c>
      <c r="K4892" s="3" t="s">
        <v>23</v>
      </c>
    </row>
    <row r="4893" spans="1:11" ht="42" customHeight="1">
      <c r="A4893" s="2" t="s">
        <v>9853</v>
      </c>
      <c r="B4893" s="2" t="s">
        <v>9854</v>
      </c>
      <c r="C4893" s="2" t="s">
        <v>79</v>
      </c>
      <c r="D4893" s="2" t="s">
        <v>74</v>
      </c>
      <c r="E4893" s="5">
        <v>-27944</v>
      </c>
      <c r="F4893" s="3" t="s">
        <v>2823</v>
      </c>
      <c r="G4893" s="3" t="s">
        <v>20</v>
      </c>
      <c r="H4893" s="2" t="s">
        <v>21</v>
      </c>
      <c r="I4893" s="2" t="s">
        <v>9855</v>
      </c>
      <c r="J4893" s="3" t="str">
        <f>HYPERLINK("https://www.boe.es/gazeta/dias/1823/06/28/pdfs/GES-1823-78.pdf#page=4","Abrir facsímil")</f>
        <v>Abrir facsímil</v>
      </c>
      <c r="K4893" s="3" t="s">
        <v>23</v>
      </c>
    </row>
    <row r="4894" spans="1:11" ht="42" customHeight="1">
      <c r="A4894" s="2" t="s">
        <v>9856</v>
      </c>
      <c r="B4894" s="2" t="s">
        <v>9857</v>
      </c>
      <c r="C4894" s="2" t="s">
        <v>17</v>
      </c>
      <c r="D4894" s="2" t="s">
        <v>18</v>
      </c>
      <c r="E4894" s="5">
        <v>-27977</v>
      </c>
      <c r="F4894" s="3" t="s">
        <v>1489</v>
      </c>
      <c r="G4894" s="3" t="s">
        <v>1490</v>
      </c>
      <c r="H4894" s="2" t="s">
        <v>21</v>
      </c>
      <c r="I4894" s="2" t="s">
        <v>9858</v>
      </c>
      <c r="J4894" s="3" t="str">
        <f>HYPERLINK("https://www.boe.es/gazeta/dias/1823/05/26/pdfs/GES-1823-47.pdf#page=6","Abrir facsímil")</f>
        <v>Abrir facsímil</v>
      </c>
      <c r="K4894" s="3" t="s">
        <v>23</v>
      </c>
    </row>
    <row r="4895" spans="1:11" ht="42" customHeight="1">
      <c r="A4895" s="2" t="s">
        <v>9859</v>
      </c>
      <c r="B4895" s="2" t="s">
        <v>9860</v>
      </c>
      <c r="C4895" s="2" t="s">
        <v>17</v>
      </c>
      <c r="D4895" s="2" t="s">
        <v>18</v>
      </c>
      <c r="E4895" s="5">
        <v>-28021</v>
      </c>
      <c r="F4895" s="3" t="s">
        <v>1054</v>
      </c>
      <c r="G4895" s="3" t="s">
        <v>1055</v>
      </c>
      <c r="H4895" s="2" t="s">
        <v>21</v>
      </c>
      <c r="I4895" s="2" t="s">
        <v>9861</v>
      </c>
      <c r="J4895" s="3" t="str">
        <f>HYPERLINK("https://www.boe.es/gazeta/dias/1823/04/12/pdfs/GMD-1823-107.pdf#page=4","Abrir facsímil")</f>
        <v>Abrir facsímil</v>
      </c>
      <c r="K4895" s="3" t="s">
        <v>23</v>
      </c>
    </row>
    <row r="4896" spans="1:11" ht="42" customHeight="1">
      <c r="A4896" s="2" t="s">
        <v>9862</v>
      </c>
      <c r="B4896" s="2" t="s">
        <v>9862</v>
      </c>
      <c r="C4896" s="2" t="s">
        <v>17</v>
      </c>
      <c r="D4896" s="2" t="s">
        <v>18</v>
      </c>
      <c r="E4896" s="5">
        <v>-28106</v>
      </c>
      <c r="F4896" s="3" t="s">
        <v>280</v>
      </c>
      <c r="G4896" s="3" t="s">
        <v>20</v>
      </c>
      <c r="H4896" s="2" t="s">
        <v>21</v>
      </c>
      <c r="I4896" s="2" t="s">
        <v>9863</v>
      </c>
      <c r="J4896" s="3" t="str">
        <f>HYPERLINK("https://www.boe.es/gazeta/dias/1823/01/17/pdfs/GMD-1823-17.pdf#page=4","Abrir facsímil")</f>
        <v>Abrir facsímil</v>
      </c>
      <c r="K4896" s="3" t="s">
        <v>23</v>
      </c>
    </row>
    <row r="4897" spans="1:11" ht="42" customHeight="1">
      <c r="A4897" s="2" t="s">
        <v>9864</v>
      </c>
      <c r="B4897" s="2" t="s">
        <v>9865</v>
      </c>
      <c r="C4897" s="2" t="s">
        <v>17</v>
      </c>
      <c r="D4897" s="2" t="s">
        <v>18</v>
      </c>
      <c r="E4897" s="5">
        <v>-27927</v>
      </c>
      <c r="F4897" s="3" t="s">
        <v>2409</v>
      </c>
      <c r="G4897" s="3" t="s">
        <v>20</v>
      </c>
      <c r="H4897" s="2" t="s">
        <v>21</v>
      </c>
      <c r="I4897" s="2" t="s">
        <v>9866</v>
      </c>
      <c r="J4897" s="3" t="str">
        <f>HYPERLINK("https://www.boe.es/gazeta/dias/1823/07/15/pdfs/GMD-1823-403.pdf#page=4","Abrir facsímil")</f>
        <v>Abrir facsímil</v>
      </c>
      <c r="K4897" s="3" t="s">
        <v>23</v>
      </c>
    </row>
    <row r="4898" spans="1:11" ht="42" customHeight="1">
      <c r="A4898" s="2" t="s">
        <v>9867</v>
      </c>
      <c r="B4898" s="2" t="s">
        <v>9867</v>
      </c>
      <c r="C4898" s="2" t="s">
        <v>84</v>
      </c>
      <c r="D4898" s="2" t="s">
        <v>74</v>
      </c>
      <c r="E4898" s="5">
        <v>-27947</v>
      </c>
      <c r="F4898" s="3" t="s">
        <v>2144</v>
      </c>
      <c r="G4898" s="3" t="s">
        <v>27</v>
      </c>
      <c r="H4898" s="2" t="s">
        <v>21</v>
      </c>
      <c r="I4898" s="2" t="s">
        <v>9868</v>
      </c>
      <c r="J4898" s="3" t="str">
        <f>HYPERLINK("https://www.boe.es/gazeta/dias/1823/06/25/pdfs/GES-1823-75.pdf#page=2","Abrir facsímil")</f>
        <v>Abrir facsímil</v>
      </c>
      <c r="K4898" s="3" t="s">
        <v>23</v>
      </c>
    </row>
    <row r="4899" spans="1:11" ht="42" customHeight="1">
      <c r="A4899" s="2" t="s">
        <v>9869</v>
      </c>
      <c r="B4899" s="2" t="s">
        <v>9870</v>
      </c>
      <c r="C4899" s="2" t="s">
        <v>17</v>
      </c>
      <c r="D4899" s="2" t="s">
        <v>18</v>
      </c>
      <c r="E4899" s="5">
        <v>-27995</v>
      </c>
      <c r="F4899" s="3" t="s">
        <v>326</v>
      </c>
      <c r="G4899" s="3" t="s">
        <v>27</v>
      </c>
      <c r="H4899" s="2" t="s">
        <v>21</v>
      </c>
      <c r="I4899" s="2" t="s">
        <v>9871</v>
      </c>
      <c r="J4899" s="3" t="str">
        <f>HYPERLINK("https://www.boe.es/gazeta/dias/1823/05/08/pdfs/GMD-1823-112.pdf#page=2","Abrir facsímil")</f>
        <v>Abrir facsímil</v>
      </c>
      <c r="K4899" s="3" t="s">
        <v>23</v>
      </c>
    </row>
    <row r="4900" spans="1:11" ht="42" customHeight="1">
      <c r="A4900" s="2" t="s">
        <v>9872</v>
      </c>
      <c r="B4900" s="2" t="s">
        <v>9873</v>
      </c>
      <c r="C4900" s="2" t="s">
        <v>17</v>
      </c>
      <c r="D4900" s="2" t="s">
        <v>18</v>
      </c>
      <c r="E4900" s="5">
        <v>-28002</v>
      </c>
      <c r="F4900" s="3" t="s">
        <v>315</v>
      </c>
      <c r="G4900" s="3" t="s">
        <v>27</v>
      </c>
      <c r="H4900" s="2" t="s">
        <v>21</v>
      </c>
      <c r="I4900" s="2" t="s">
        <v>9874</v>
      </c>
      <c r="J4900" s="3" t="str">
        <f>HYPERLINK("https://www.boe.es/gazeta/dias/1823/05/01/pdfs/GES-1823-21.pdf#page=2","Abrir facsímil")</f>
        <v>Abrir facsímil</v>
      </c>
      <c r="K4900" s="3" t="s">
        <v>23</v>
      </c>
    </row>
    <row r="4901" spans="1:11" ht="42" customHeight="1">
      <c r="A4901" s="2" t="s">
        <v>9872</v>
      </c>
      <c r="B4901" s="2" t="s">
        <v>9873</v>
      </c>
      <c r="C4901" s="2" t="s">
        <v>56</v>
      </c>
      <c r="D4901" s="2" t="s">
        <v>57</v>
      </c>
      <c r="E4901" s="5">
        <v>-28001</v>
      </c>
      <c r="F4901" s="3" t="s">
        <v>768</v>
      </c>
      <c r="G4901" s="3" t="s">
        <v>48</v>
      </c>
      <c r="H4901" s="2" t="s">
        <v>21</v>
      </c>
      <c r="I4901" s="2" t="s">
        <v>9875</v>
      </c>
      <c r="J4901" s="3" t="str">
        <f>HYPERLINK("https://www.boe.es/gazeta/dias/1823/05/02/pdfs/GES-1823-22.pdf#page=3","Abrir facsímil")</f>
        <v>Abrir facsímil</v>
      </c>
      <c r="K4901" s="3" t="s">
        <v>23</v>
      </c>
    </row>
    <row r="4902" spans="1:11" ht="42" customHeight="1">
      <c r="A4902" s="2" t="s">
        <v>9872</v>
      </c>
      <c r="B4902" s="2" t="s">
        <v>9873</v>
      </c>
      <c r="C4902" s="2" t="s">
        <v>17</v>
      </c>
      <c r="D4902" s="2" t="s">
        <v>18</v>
      </c>
      <c r="E4902" s="5">
        <v>-27970</v>
      </c>
      <c r="F4902" s="3" t="s">
        <v>1030</v>
      </c>
      <c r="G4902" s="3" t="s">
        <v>59</v>
      </c>
      <c r="H4902" s="2" t="s">
        <v>21</v>
      </c>
      <c r="I4902" s="2" t="s">
        <v>9876</v>
      </c>
      <c r="J4902" s="3" t="str">
        <f>HYPERLINK("https://www.boe.es/gazeta/dias/1823/06/02/pdfs/GES-1823-56.pdf#page=6","Abrir facsímil")</f>
        <v>Abrir facsímil</v>
      </c>
      <c r="K4902" s="3" t="s">
        <v>23</v>
      </c>
    </row>
    <row r="4903" spans="1:11" ht="42" customHeight="1">
      <c r="A4903" s="2" t="s">
        <v>9877</v>
      </c>
      <c r="B4903" s="2" t="s">
        <v>9878</v>
      </c>
      <c r="C4903" s="2" t="s">
        <v>79</v>
      </c>
      <c r="D4903" s="2" t="s">
        <v>74</v>
      </c>
      <c r="E4903" s="5">
        <v>-27962</v>
      </c>
      <c r="F4903" s="3" t="s">
        <v>477</v>
      </c>
      <c r="G4903" s="3" t="s">
        <v>39</v>
      </c>
      <c r="H4903" s="2" t="s">
        <v>21</v>
      </c>
      <c r="I4903" s="2" t="s">
        <v>9879</v>
      </c>
      <c r="J4903" s="3" t="str">
        <f>HYPERLINK("https://www.boe.es/gazeta/dias/1823/06/10/pdfs/GMD-1823-103.pdf#page=1","Abrir facsímil")</f>
        <v>Abrir facsímil</v>
      </c>
      <c r="K4903" s="3" t="s">
        <v>23</v>
      </c>
    </row>
    <row r="4904" spans="1:11" ht="42" customHeight="1">
      <c r="A4904" s="2" t="s">
        <v>9880</v>
      </c>
      <c r="B4904" s="2" t="s">
        <v>9881</v>
      </c>
      <c r="C4904" s="2" t="s">
        <v>17</v>
      </c>
      <c r="D4904" s="2" t="s">
        <v>18</v>
      </c>
      <c r="E4904" s="5">
        <v>-27962</v>
      </c>
      <c r="F4904" s="3" t="s">
        <v>477</v>
      </c>
      <c r="G4904" s="3" t="s">
        <v>27</v>
      </c>
      <c r="H4904" s="2" t="s">
        <v>28</v>
      </c>
      <c r="I4904" s="2" t="s">
        <v>9882</v>
      </c>
      <c r="J4904" s="3" t="str">
        <f>HYPERLINK("https://www.boe.es/gazeta/dias/1823/06/10/pdfs/GMD-1823-103.pdf#page=2","Abrir facsímil")</f>
        <v>Abrir facsímil</v>
      </c>
      <c r="K4904" s="3" t="s">
        <v>30</v>
      </c>
    </row>
    <row r="4905" spans="1:11" ht="42" customHeight="1">
      <c r="A4905" s="2" t="s">
        <v>9883</v>
      </c>
      <c r="B4905" s="2" t="s">
        <v>9884</v>
      </c>
      <c r="C4905" s="2" t="s">
        <v>84</v>
      </c>
      <c r="D4905" s="2" t="s">
        <v>74</v>
      </c>
      <c r="E4905" s="5">
        <v>-27960</v>
      </c>
      <c r="F4905" s="3" t="s">
        <v>682</v>
      </c>
      <c r="G4905" s="3" t="s">
        <v>815</v>
      </c>
      <c r="H4905" s="2" t="s">
        <v>21</v>
      </c>
      <c r="I4905" s="2" t="s">
        <v>9885</v>
      </c>
      <c r="J4905" s="3" t="str">
        <f>HYPERLINK("https://www.boe.es/gazeta/dias/1823/06/12/pdfs/GMD-1823-123.pdf#page=6","Abrir facsímil")</f>
        <v>Abrir facsímil</v>
      </c>
      <c r="K4905" s="3" t="s">
        <v>23</v>
      </c>
    </row>
    <row r="4906" spans="1:11" ht="42" customHeight="1">
      <c r="A4906" s="2" t="s">
        <v>9886</v>
      </c>
      <c r="B4906" s="2" t="s">
        <v>9886</v>
      </c>
      <c r="C4906" s="2" t="s">
        <v>17</v>
      </c>
      <c r="D4906" s="2" t="s">
        <v>18</v>
      </c>
      <c r="E4906" s="5">
        <v>-28081</v>
      </c>
      <c r="F4906" s="3" t="s">
        <v>170</v>
      </c>
      <c r="G4906" s="3" t="s">
        <v>27</v>
      </c>
      <c r="H4906" s="2" t="s">
        <v>21</v>
      </c>
      <c r="I4906" s="2" t="s">
        <v>9887</v>
      </c>
      <c r="J4906" s="3" t="str">
        <f>HYPERLINK("https://www.boe.es/gazeta/dias/1823/02/11/pdfs/GMD-1823-45.pdf#page=2","Abrir facsímil")</f>
        <v>Abrir facsímil</v>
      </c>
      <c r="K4906" s="3" t="s">
        <v>23</v>
      </c>
    </row>
    <row r="4907" spans="1:11" ht="42" customHeight="1">
      <c r="A4907" s="2" t="s">
        <v>9886</v>
      </c>
      <c r="B4907" s="2" t="s">
        <v>9886</v>
      </c>
      <c r="C4907" s="2" t="s">
        <v>79</v>
      </c>
      <c r="D4907" s="2" t="s">
        <v>74</v>
      </c>
      <c r="E4907" s="5">
        <v>-28072</v>
      </c>
      <c r="F4907" s="3" t="s">
        <v>4439</v>
      </c>
      <c r="G4907" s="3" t="s">
        <v>20</v>
      </c>
      <c r="H4907" s="2" t="s">
        <v>21</v>
      </c>
      <c r="I4907" s="2" t="s">
        <v>9888</v>
      </c>
      <c r="J4907" s="3" t="str">
        <f>HYPERLINK("https://www.boe.es/gazeta/dias/1823/02/20/pdfs/GMD-1823-54.pdf#page=4","Abrir facsímil")</f>
        <v>Abrir facsímil</v>
      </c>
      <c r="K4907" s="3" t="s">
        <v>23</v>
      </c>
    </row>
    <row r="4908" spans="1:11" ht="42" customHeight="1">
      <c r="A4908" s="2" t="s">
        <v>9886</v>
      </c>
      <c r="B4908" s="2" t="s">
        <v>9886</v>
      </c>
      <c r="C4908" s="2" t="s">
        <v>17</v>
      </c>
      <c r="D4908" s="2" t="s">
        <v>18</v>
      </c>
      <c r="E4908" s="5">
        <v>-28068</v>
      </c>
      <c r="F4908" s="3" t="s">
        <v>1325</v>
      </c>
      <c r="G4908" s="3" t="s">
        <v>27</v>
      </c>
      <c r="H4908" s="2" t="s">
        <v>21</v>
      </c>
      <c r="I4908" s="2" t="s">
        <v>9889</v>
      </c>
      <c r="J4908" s="3" t="str">
        <f>HYPERLINK("https://www.boe.es/gazeta/dias/1823/02/24/pdfs/GMD-1823-58.pdf#page=2","Abrir facsímil")</f>
        <v>Abrir facsímil</v>
      </c>
      <c r="K4908" s="3" t="s">
        <v>23</v>
      </c>
    </row>
    <row r="4909" spans="1:11" ht="42" customHeight="1">
      <c r="A4909" s="2" t="s">
        <v>9890</v>
      </c>
      <c r="B4909" s="2" t="s">
        <v>9890</v>
      </c>
      <c r="C4909" s="2" t="s">
        <v>79</v>
      </c>
      <c r="D4909" s="2" t="s">
        <v>74</v>
      </c>
      <c r="E4909" s="5">
        <v>-28027</v>
      </c>
      <c r="F4909" s="3" t="s">
        <v>4234</v>
      </c>
      <c r="G4909" s="3" t="s">
        <v>39</v>
      </c>
      <c r="H4909" s="2" t="s">
        <v>21</v>
      </c>
      <c r="I4909" s="2" t="s">
        <v>9891</v>
      </c>
      <c r="J4909" s="3" t="str">
        <f>HYPERLINK("https://www.boe.es/gazeta/dias/1823/04/06/pdfs/GMD-1823-101.pdf#page=1","Abrir facsímil")</f>
        <v>Abrir facsímil</v>
      </c>
      <c r="K4909" s="3" t="s">
        <v>23</v>
      </c>
    </row>
    <row r="4910" spans="1:11" ht="42" customHeight="1">
      <c r="A4910" s="2" t="s">
        <v>9892</v>
      </c>
      <c r="B4910" s="2" t="s">
        <v>9893</v>
      </c>
      <c r="C4910" s="2" t="s">
        <v>17</v>
      </c>
      <c r="D4910" s="2" t="s">
        <v>18</v>
      </c>
      <c r="E4910" s="5">
        <v>-27881</v>
      </c>
      <c r="F4910" s="3" t="s">
        <v>725</v>
      </c>
      <c r="G4910" s="3" t="s">
        <v>39</v>
      </c>
      <c r="H4910" s="2" t="s">
        <v>21</v>
      </c>
      <c r="I4910" s="2" t="s">
        <v>9894</v>
      </c>
      <c r="J4910" s="3" t="str">
        <f>HYPERLINK("https://www.boe.es/gazeta/dias/1823/08/30/pdfs/GMD-1823-673.pdf#page=1","Abrir facsímil")</f>
        <v>Abrir facsímil</v>
      </c>
      <c r="K4910" s="3" t="s">
        <v>23</v>
      </c>
    </row>
    <row r="4911" spans="1:11" ht="42" customHeight="1">
      <c r="A4911" s="2" t="s">
        <v>9895</v>
      </c>
      <c r="B4911" s="2" t="s">
        <v>9895</v>
      </c>
      <c r="C4911" s="2" t="s">
        <v>17</v>
      </c>
      <c r="D4911" s="2" t="s">
        <v>18</v>
      </c>
      <c r="E4911" s="5">
        <v>-27904</v>
      </c>
      <c r="F4911" s="3" t="s">
        <v>1227</v>
      </c>
      <c r="G4911" s="3" t="s">
        <v>20</v>
      </c>
      <c r="H4911" s="2" t="s">
        <v>21</v>
      </c>
      <c r="I4911" s="2" t="s">
        <v>9896</v>
      </c>
      <c r="J4911" s="3" t="str">
        <f>HYPERLINK("https://www.boe.es/gazeta/dias/1823/08/07/pdfs/GMD-1823-543.pdf#page=4","Abrir facsímil")</f>
        <v>Abrir facsímil</v>
      </c>
      <c r="K4911" s="3" t="s">
        <v>23</v>
      </c>
    </row>
    <row r="4912" spans="1:11" ht="42" customHeight="1">
      <c r="A4912" s="2" t="s">
        <v>9897</v>
      </c>
      <c r="B4912" s="2" t="s">
        <v>9898</v>
      </c>
      <c r="C4912" s="2" t="s">
        <v>79</v>
      </c>
      <c r="D4912" s="2" t="s">
        <v>74</v>
      </c>
      <c r="E4912" s="5">
        <v>-28021</v>
      </c>
      <c r="F4912" s="3" t="s">
        <v>1054</v>
      </c>
      <c r="G4912" s="3" t="s">
        <v>48</v>
      </c>
      <c r="H4912" s="2" t="s">
        <v>21</v>
      </c>
      <c r="I4912" s="2" t="s">
        <v>9899</v>
      </c>
      <c r="J4912" s="3" t="str">
        <f>HYPERLINK("https://www.boe.es/gazeta/dias/1823/04/12/pdfs/GMD-1823-107.pdf#page=3","Abrir facsímil")</f>
        <v>Abrir facsímil</v>
      </c>
      <c r="K4912" s="3" t="s">
        <v>23</v>
      </c>
    </row>
    <row r="4913" spans="1:11" ht="42" customHeight="1">
      <c r="A4913" s="2" t="s">
        <v>9900</v>
      </c>
      <c r="B4913" s="2" t="s">
        <v>9900</v>
      </c>
      <c r="C4913" s="2" t="s">
        <v>17</v>
      </c>
      <c r="D4913" s="2" t="s">
        <v>18</v>
      </c>
      <c r="E4913" s="5">
        <v>-27934</v>
      </c>
      <c r="F4913" s="3" t="s">
        <v>634</v>
      </c>
      <c r="G4913" s="3" t="s">
        <v>20</v>
      </c>
      <c r="H4913" s="2" t="s">
        <v>21</v>
      </c>
      <c r="I4913" s="2" t="s">
        <v>9901</v>
      </c>
      <c r="J4913" s="3" t="str">
        <f>HYPERLINK("https://www.boe.es/gazeta/dias/1823/07/08/pdfs/GMD-1823-353.pdf#page=4","Abrir facsímil")</f>
        <v>Abrir facsímil</v>
      </c>
      <c r="K4913" s="3" t="s">
        <v>23</v>
      </c>
    </row>
    <row r="4914" spans="1:11" ht="42" customHeight="1">
      <c r="A4914" s="2" t="s">
        <v>9902</v>
      </c>
      <c r="B4914" s="2" t="s">
        <v>9902</v>
      </c>
      <c r="C4914" s="2" t="s">
        <v>79</v>
      </c>
      <c r="D4914" s="2" t="s">
        <v>74</v>
      </c>
      <c r="E4914" s="5">
        <v>-28078</v>
      </c>
      <c r="F4914" s="3" t="s">
        <v>508</v>
      </c>
      <c r="G4914" s="3" t="s">
        <v>27</v>
      </c>
      <c r="H4914" s="2" t="s">
        <v>21</v>
      </c>
      <c r="I4914" s="2" t="s">
        <v>9903</v>
      </c>
      <c r="J4914" s="3" t="str">
        <f>HYPERLINK("https://www.boe.es/gazeta/dias/1823/02/14/pdfs/GMD-1823-48.pdf#page=2","Abrir facsímil")</f>
        <v>Abrir facsímil</v>
      </c>
      <c r="K4914" s="3" t="s">
        <v>23</v>
      </c>
    </row>
    <row r="4915" spans="1:11" ht="42" customHeight="1">
      <c r="A4915" s="2" t="s">
        <v>9904</v>
      </c>
      <c r="B4915" s="2" t="s">
        <v>9904</v>
      </c>
      <c r="C4915" s="2" t="s">
        <v>17</v>
      </c>
      <c r="D4915" s="2" t="s">
        <v>18</v>
      </c>
      <c r="E4915" s="5">
        <v>-27918</v>
      </c>
      <c r="F4915" s="3" t="s">
        <v>218</v>
      </c>
      <c r="G4915" s="3" t="s">
        <v>48</v>
      </c>
      <c r="H4915" s="2" t="s">
        <v>21</v>
      </c>
      <c r="I4915" s="2" t="s">
        <v>9905</v>
      </c>
      <c r="J4915" s="3" t="str">
        <f>HYPERLINK("https://www.boe.es/gazeta/dias/1823/07/24/pdfs/GMD-1823-463.pdf#page=3","Abrir facsímil")</f>
        <v>Abrir facsímil</v>
      </c>
      <c r="K4915" s="3" t="s">
        <v>23</v>
      </c>
    </row>
    <row r="4916" spans="1:11" ht="42" customHeight="1">
      <c r="A4916" s="2" t="s">
        <v>9906</v>
      </c>
      <c r="B4916" s="2" t="s">
        <v>9906</v>
      </c>
      <c r="C4916" s="2" t="s">
        <v>17</v>
      </c>
      <c r="D4916" s="2" t="s">
        <v>18</v>
      </c>
      <c r="E4916" s="5">
        <v>-27913</v>
      </c>
      <c r="F4916" s="3" t="s">
        <v>829</v>
      </c>
      <c r="G4916" s="3" t="s">
        <v>34</v>
      </c>
      <c r="H4916" s="2" t="s">
        <v>21</v>
      </c>
      <c r="I4916" s="2" t="s">
        <v>9907</v>
      </c>
      <c r="J4916" s="3" t="str">
        <f>HYPERLINK("https://www.boe.es/gazeta/dias/1823/07/29/pdfs/GMD-1823-483.pdf#page=5","Abrir facsímil")</f>
        <v>Abrir facsímil</v>
      </c>
      <c r="K4916" s="3" t="s">
        <v>23</v>
      </c>
    </row>
    <row r="4917" spans="1:11" ht="42" customHeight="1">
      <c r="A4917" s="2" t="s">
        <v>9908</v>
      </c>
      <c r="B4917" s="2" t="s">
        <v>9908</v>
      </c>
      <c r="C4917" s="2" t="s">
        <v>17</v>
      </c>
      <c r="D4917" s="2" t="s">
        <v>18</v>
      </c>
      <c r="E4917" s="5">
        <v>-27934</v>
      </c>
      <c r="F4917" s="3" t="s">
        <v>634</v>
      </c>
      <c r="G4917" s="3" t="s">
        <v>48</v>
      </c>
      <c r="H4917" s="2" t="s">
        <v>21</v>
      </c>
      <c r="I4917" s="2" t="s">
        <v>9909</v>
      </c>
      <c r="J4917" s="3" t="str">
        <f>HYPERLINK("https://www.boe.es/gazeta/dias/1823/07/08/pdfs/GMD-1823-353.pdf#page=3","Abrir facsímil")</f>
        <v>Abrir facsímil</v>
      </c>
      <c r="K4917" s="3" t="s">
        <v>23</v>
      </c>
    </row>
    <row r="4918" spans="1:11" ht="42" customHeight="1">
      <c r="A4918" s="2" t="s">
        <v>9910</v>
      </c>
      <c r="B4918" s="2" t="s">
        <v>9910</v>
      </c>
      <c r="C4918" s="2" t="s">
        <v>56</v>
      </c>
      <c r="D4918" s="2" t="s">
        <v>57</v>
      </c>
      <c r="E4918" s="5">
        <v>-27932</v>
      </c>
      <c r="F4918" s="3" t="s">
        <v>786</v>
      </c>
      <c r="G4918" s="3" t="s">
        <v>34</v>
      </c>
      <c r="H4918" s="2" t="s">
        <v>21</v>
      </c>
      <c r="I4918" s="2" t="s">
        <v>9911</v>
      </c>
      <c r="J4918" s="3" t="str">
        <f>HYPERLINK("https://www.boe.es/gazeta/dias/1823/07/10/pdfs/GMD-1823-363.pdf#page=5","Abrir facsímil")</f>
        <v>Abrir facsímil</v>
      </c>
      <c r="K4918" s="3" t="s">
        <v>23</v>
      </c>
    </row>
    <row r="4919" spans="1:11" ht="42" customHeight="1">
      <c r="A4919" s="2" t="s">
        <v>9912</v>
      </c>
      <c r="B4919" s="2" t="s">
        <v>9913</v>
      </c>
      <c r="C4919" s="2" t="s">
        <v>17</v>
      </c>
      <c r="D4919" s="2" t="s">
        <v>18</v>
      </c>
      <c r="E4919" s="5">
        <v>-27984</v>
      </c>
      <c r="F4919" s="3" t="s">
        <v>335</v>
      </c>
      <c r="G4919" s="3" t="s">
        <v>59</v>
      </c>
      <c r="H4919" s="2" t="s">
        <v>21</v>
      </c>
      <c r="I4919" s="2" t="s">
        <v>9914</v>
      </c>
      <c r="J4919" s="3" t="str">
        <f>HYPERLINK("https://www.boe.es/gazeta/dias/1823/05/19/pdfs/GES-1823-39.pdf#page=6","Abrir facsímil")</f>
        <v>Abrir facsímil</v>
      </c>
      <c r="K4919" s="3" t="s">
        <v>23</v>
      </c>
    </row>
    <row r="4920" spans="1:11" ht="42" customHeight="1">
      <c r="A4920" s="2" t="s">
        <v>9915</v>
      </c>
      <c r="B4920" s="2" t="s">
        <v>9916</v>
      </c>
      <c r="C4920" s="2" t="s">
        <v>17</v>
      </c>
      <c r="D4920" s="2" t="s">
        <v>18</v>
      </c>
      <c r="E4920" s="5">
        <v>-27820</v>
      </c>
      <c r="F4920" s="3" t="s">
        <v>6283</v>
      </c>
      <c r="G4920" s="3" t="s">
        <v>39</v>
      </c>
      <c r="H4920" s="2" t="s">
        <v>21</v>
      </c>
      <c r="I4920" s="2" t="s">
        <v>9917</v>
      </c>
      <c r="J4920" s="3" t="str">
        <f>HYPERLINK("https://www.boe.es/gazeta/dias/1823/10/30/pdfs/GMD-1823-1043.pdf#page=1","Abrir facsímil")</f>
        <v>Abrir facsímil</v>
      </c>
      <c r="K4920" s="3" t="s">
        <v>23</v>
      </c>
    </row>
    <row r="4921" spans="1:11" ht="42" customHeight="1">
      <c r="A4921" s="2" t="s">
        <v>9918</v>
      </c>
      <c r="B4921" s="2" t="s">
        <v>9919</v>
      </c>
      <c r="C4921" s="2" t="s">
        <v>17</v>
      </c>
      <c r="D4921" s="2" t="s">
        <v>18</v>
      </c>
      <c r="E4921" s="5">
        <v>-27906</v>
      </c>
      <c r="F4921" s="3" t="s">
        <v>241</v>
      </c>
      <c r="G4921" s="3" t="s">
        <v>59</v>
      </c>
      <c r="H4921" s="2" t="s">
        <v>21</v>
      </c>
      <c r="I4921" s="2" t="s">
        <v>9920</v>
      </c>
      <c r="J4921" s="3" t="str">
        <f>HYPERLINK("https://www.boe.es/gazeta/dias/1823/08/05/pdfs/GES-1823-117.pdf#page=6","Abrir facsímil")</f>
        <v>Abrir facsímil</v>
      </c>
      <c r="K4921" s="3" t="s">
        <v>23</v>
      </c>
    </row>
    <row r="4922" spans="1:11" ht="42" customHeight="1">
      <c r="A4922" s="2" t="s">
        <v>9921</v>
      </c>
      <c r="B4922" s="2" t="s">
        <v>9922</v>
      </c>
      <c r="C4922" s="2" t="s">
        <v>293</v>
      </c>
      <c r="D4922" s="2" t="s">
        <v>74</v>
      </c>
      <c r="E4922" s="5">
        <v>-28043</v>
      </c>
      <c r="F4922" s="3" t="s">
        <v>69</v>
      </c>
      <c r="G4922" s="3" t="s">
        <v>48</v>
      </c>
      <c r="H4922" s="2" t="s">
        <v>21</v>
      </c>
      <c r="I4922" s="2" t="s">
        <v>9923</v>
      </c>
      <c r="J4922" s="3" t="str">
        <f>HYPERLINK("https://www.boe.es/gazeta/dias/1823/03/21/pdfs/GMD-1823-84.pdf#page=3","Abrir facsímil")</f>
        <v>Abrir facsímil</v>
      </c>
      <c r="K4922" s="3" t="s">
        <v>23</v>
      </c>
    </row>
    <row r="4923" spans="1:11" ht="42" customHeight="1">
      <c r="A4923" s="2" t="s">
        <v>9924</v>
      </c>
      <c r="B4923" s="2" t="s">
        <v>9925</v>
      </c>
      <c r="C4923" s="2" t="s">
        <v>17</v>
      </c>
      <c r="D4923" s="2" t="s">
        <v>18</v>
      </c>
      <c r="E4923" s="5">
        <v>-28037</v>
      </c>
      <c r="F4923" s="3" t="s">
        <v>192</v>
      </c>
      <c r="G4923" s="3" t="s">
        <v>48</v>
      </c>
      <c r="H4923" s="2" t="s">
        <v>21</v>
      </c>
      <c r="I4923" s="2" t="s">
        <v>9926</v>
      </c>
      <c r="J4923" s="3" t="str">
        <f>HYPERLINK("https://www.boe.es/gazeta/dias/1823/03/27/pdfs/GMD-1823-90.pdf#page=3","Abrir facsímil")</f>
        <v>Abrir facsímil</v>
      </c>
      <c r="K4923" s="3" t="s">
        <v>23</v>
      </c>
    </row>
    <row r="4924" spans="1:11" ht="42" customHeight="1">
      <c r="A4924" s="2" t="s">
        <v>9927</v>
      </c>
      <c r="B4924" s="2" t="s">
        <v>9927</v>
      </c>
      <c r="C4924" s="2" t="s">
        <v>17</v>
      </c>
      <c r="D4924" s="2" t="s">
        <v>117</v>
      </c>
      <c r="E4924" s="5">
        <v>-27873</v>
      </c>
      <c r="F4924" s="3" t="s">
        <v>1668</v>
      </c>
      <c r="G4924" s="3" t="s">
        <v>3173</v>
      </c>
      <c r="H4924" s="2" t="s">
        <v>21</v>
      </c>
      <c r="I4924" s="2" t="s">
        <v>9928</v>
      </c>
      <c r="J4924" s="3" t="str">
        <f>HYPERLINK("https://www.boe.es/gazeta/dias/1823/09/07/pdfs/GMD-1823-72E.pdf#page=1","Abrir facsímil")</f>
        <v>Abrir facsímil</v>
      </c>
      <c r="K4924" s="3" t="s">
        <v>23</v>
      </c>
    </row>
    <row r="4925" spans="1:11" ht="42" customHeight="1">
      <c r="A4925" s="2" t="s">
        <v>9929</v>
      </c>
      <c r="B4925" s="2" t="s">
        <v>9930</v>
      </c>
      <c r="C4925" s="2" t="s">
        <v>17</v>
      </c>
      <c r="D4925" s="2" t="s">
        <v>18</v>
      </c>
      <c r="E4925" s="5">
        <v>-28082</v>
      </c>
      <c r="F4925" s="3" t="s">
        <v>468</v>
      </c>
      <c r="G4925" s="3" t="s">
        <v>34</v>
      </c>
      <c r="H4925" s="2" t="s">
        <v>21</v>
      </c>
      <c r="I4925" s="2" t="s">
        <v>9931</v>
      </c>
      <c r="J4925" s="3" t="str">
        <f>HYPERLINK("https://www.boe.es/gazeta/dias/1823/02/10/pdfs/GMD-1823-44.pdf#page=5","Abrir facsímil")</f>
        <v>Abrir facsímil</v>
      </c>
      <c r="K4925" s="3" t="s">
        <v>23</v>
      </c>
    </row>
    <row r="4926" spans="1:11" ht="42" customHeight="1">
      <c r="A4926" s="2" t="s">
        <v>9932</v>
      </c>
      <c r="B4926" s="2" t="s">
        <v>9933</v>
      </c>
      <c r="C4926" s="2" t="s">
        <v>293</v>
      </c>
      <c r="D4926" s="2" t="s">
        <v>74</v>
      </c>
      <c r="E4926" s="5">
        <v>-28016</v>
      </c>
      <c r="F4926" s="3" t="s">
        <v>287</v>
      </c>
      <c r="G4926" s="3" t="s">
        <v>3416</v>
      </c>
      <c r="H4926" s="2" t="s">
        <v>21</v>
      </c>
      <c r="I4926" s="2" t="s">
        <v>9934</v>
      </c>
      <c r="J4926" s="3" t="str">
        <f>HYPERLINK("https://www.boe.es/gazeta/dias/1823/04/17/pdfs/GMD-1823-22.pdf#page=4","Abrir facsímil")</f>
        <v>Abrir facsímil</v>
      </c>
      <c r="K4926" s="3" t="s">
        <v>23</v>
      </c>
    </row>
    <row r="4927" spans="1:11" ht="42" customHeight="1">
      <c r="A4927" s="2" t="s">
        <v>9935</v>
      </c>
      <c r="B4927" s="2" t="s">
        <v>9936</v>
      </c>
      <c r="C4927" s="2" t="s">
        <v>17</v>
      </c>
      <c r="D4927" s="2" t="s">
        <v>18</v>
      </c>
      <c r="E4927" s="5">
        <v>-27818</v>
      </c>
      <c r="F4927" s="3" t="s">
        <v>1597</v>
      </c>
      <c r="G4927" s="3" t="s">
        <v>20</v>
      </c>
      <c r="H4927" s="2" t="s">
        <v>21</v>
      </c>
      <c r="I4927" s="2" t="s">
        <v>9937</v>
      </c>
      <c r="J4927" s="3" t="str">
        <f>HYPERLINK("https://www.boe.es/gazeta/dias/1823/11/01/pdfs/GMD-1823-1053.pdf#page=4","Abrir facsímil")</f>
        <v>Abrir facsímil</v>
      </c>
      <c r="K4927" s="3" t="s">
        <v>23</v>
      </c>
    </row>
    <row r="4928" spans="1:11" ht="42" customHeight="1">
      <c r="A4928" s="2" t="s">
        <v>9938</v>
      </c>
      <c r="B4928" s="2" t="s">
        <v>9939</v>
      </c>
      <c r="C4928" s="2" t="s">
        <v>17</v>
      </c>
      <c r="D4928" s="2" t="s">
        <v>18</v>
      </c>
      <c r="E4928" s="5">
        <v>-27811</v>
      </c>
      <c r="F4928" s="3" t="s">
        <v>834</v>
      </c>
      <c r="G4928" s="3" t="s">
        <v>48</v>
      </c>
      <c r="H4928" s="2" t="s">
        <v>21</v>
      </c>
      <c r="I4928" s="2" t="s">
        <v>9940</v>
      </c>
      <c r="J4928" s="3" t="str">
        <f>HYPERLINK("https://www.boe.es/gazeta/dias/1823/11/08/pdfs/GMD-1823-1083.pdf#page=3","Abrir facsímil")</f>
        <v>Abrir facsímil</v>
      </c>
      <c r="K4928" s="3" t="s">
        <v>23</v>
      </c>
    </row>
    <row r="4929" spans="1:11" ht="42" customHeight="1">
      <c r="A4929" s="2" t="s">
        <v>9941</v>
      </c>
      <c r="B4929" s="2" t="s">
        <v>9942</v>
      </c>
      <c r="C4929" s="2" t="s">
        <v>56</v>
      </c>
      <c r="D4929" s="2" t="s">
        <v>57</v>
      </c>
      <c r="E4929" s="5">
        <v>-28011</v>
      </c>
      <c r="F4929" s="3" t="s">
        <v>2416</v>
      </c>
      <c r="G4929" s="3" t="s">
        <v>1966</v>
      </c>
      <c r="H4929" s="2" t="s">
        <v>21</v>
      </c>
      <c r="I4929" s="2" t="s">
        <v>9943</v>
      </c>
      <c r="J4929" s="3" t="str">
        <f>HYPERLINK("https://www.boe.es/gazeta/dias/1823/04/22/pdfs/GMD-1823-42.pdf#page=4","Abrir facsímil")</f>
        <v>Abrir facsímil</v>
      </c>
      <c r="K4929" s="3" t="s">
        <v>23</v>
      </c>
    </row>
    <row r="4930" spans="1:11" ht="42" customHeight="1">
      <c r="A4930" s="2" t="s">
        <v>9944</v>
      </c>
      <c r="B4930" s="2" t="s">
        <v>9945</v>
      </c>
      <c r="C4930" s="2" t="s">
        <v>17</v>
      </c>
      <c r="D4930" s="2" t="s">
        <v>18</v>
      </c>
      <c r="E4930" s="5">
        <v>-28051</v>
      </c>
      <c r="F4930" s="3" t="s">
        <v>305</v>
      </c>
      <c r="G4930" s="3" t="s">
        <v>27</v>
      </c>
      <c r="H4930" s="2" t="s">
        <v>21</v>
      </c>
      <c r="I4930" s="2" t="s">
        <v>9946</v>
      </c>
      <c r="J4930" s="3" t="str">
        <f>HYPERLINK("https://www.boe.es/gazeta/dias/1823/03/13/pdfs/GMD-1823-76.pdf#page=2","Abrir facsímil")</f>
        <v>Abrir facsímil</v>
      </c>
      <c r="K4930" s="3" t="s">
        <v>23</v>
      </c>
    </row>
    <row r="4931" spans="1:11" ht="42" customHeight="1">
      <c r="A4931" s="2" t="s">
        <v>9947</v>
      </c>
      <c r="B4931" s="2" t="s">
        <v>9948</v>
      </c>
      <c r="C4931" s="2" t="s">
        <v>17</v>
      </c>
      <c r="D4931" s="2" t="s">
        <v>18</v>
      </c>
      <c r="E4931" s="5">
        <v>-28051</v>
      </c>
      <c r="F4931" s="3" t="s">
        <v>305</v>
      </c>
      <c r="G4931" s="3" t="s">
        <v>27</v>
      </c>
      <c r="H4931" s="2" t="s">
        <v>21</v>
      </c>
      <c r="I4931" s="2" t="s">
        <v>9949</v>
      </c>
      <c r="J4931" s="3" t="str">
        <f>HYPERLINK("https://www.boe.es/gazeta/dias/1823/03/13/pdfs/GMD-1823-76.pdf#page=2","Abrir facsímil")</f>
        <v>Abrir facsímil</v>
      </c>
      <c r="K4931" s="3" t="s">
        <v>23</v>
      </c>
    </row>
    <row r="4932" spans="1:11" ht="42" customHeight="1">
      <c r="A4932" s="2" t="s">
        <v>9950</v>
      </c>
      <c r="B4932" s="2" t="s">
        <v>9950</v>
      </c>
      <c r="C4932" s="2" t="s">
        <v>56</v>
      </c>
      <c r="D4932" s="2" t="s">
        <v>57</v>
      </c>
      <c r="E4932" s="5">
        <v>-28111</v>
      </c>
      <c r="F4932" s="3" t="s">
        <v>275</v>
      </c>
      <c r="G4932" s="3" t="s">
        <v>276</v>
      </c>
      <c r="H4932" s="2" t="s">
        <v>21</v>
      </c>
      <c r="I4932" s="2" t="s">
        <v>9951</v>
      </c>
      <c r="J4932" s="3" t="str">
        <f>HYPERLINK("https://www.boe.es/gazeta/dias/1823/01/12/pdfs/GMD-1823-12.pdf#page=7","Abrir facsímil")</f>
        <v>Abrir facsímil</v>
      </c>
      <c r="K4932" s="3" t="s">
        <v>23</v>
      </c>
    </row>
    <row r="4933" spans="1:11" ht="42" customHeight="1">
      <c r="A4933" s="2" t="s">
        <v>9950</v>
      </c>
      <c r="B4933" s="2" t="s">
        <v>9950</v>
      </c>
      <c r="C4933" s="2" t="s">
        <v>17</v>
      </c>
      <c r="D4933" s="2" t="s">
        <v>18</v>
      </c>
      <c r="E4933" s="5">
        <v>-28094</v>
      </c>
      <c r="F4933" s="3" t="s">
        <v>93</v>
      </c>
      <c r="G4933" s="3" t="s">
        <v>27</v>
      </c>
      <c r="H4933" s="2" t="s">
        <v>21</v>
      </c>
      <c r="I4933" s="2" t="s">
        <v>9952</v>
      </c>
      <c r="J4933" s="3" t="str">
        <f>HYPERLINK("https://www.boe.es/gazeta/dias/1823/01/29/pdfs/GMD-1823-30.pdf#page=2","Abrir facsímil")</f>
        <v>Abrir facsímil</v>
      </c>
      <c r="K4933" s="3" t="s">
        <v>23</v>
      </c>
    </row>
    <row r="4934" spans="1:11" ht="42" customHeight="1">
      <c r="A4934" s="2" t="s">
        <v>9950</v>
      </c>
      <c r="B4934" s="2" t="s">
        <v>9950</v>
      </c>
      <c r="C4934" s="2" t="s">
        <v>84</v>
      </c>
      <c r="D4934" s="2" t="s">
        <v>74</v>
      </c>
      <c r="E4934" s="5">
        <v>-28074</v>
      </c>
      <c r="F4934" s="3" t="s">
        <v>212</v>
      </c>
      <c r="G4934" s="3" t="s">
        <v>39</v>
      </c>
      <c r="H4934" s="2" t="s">
        <v>21</v>
      </c>
      <c r="I4934" s="2" t="s">
        <v>9953</v>
      </c>
      <c r="J4934" s="3" t="str">
        <f>HYPERLINK("https://www.boe.es/gazeta/dias/1823/02/18/pdfs/GMD-1823-52.pdf#page=1","Abrir facsímil")</f>
        <v>Abrir facsímil</v>
      </c>
      <c r="K4934" s="3" t="s">
        <v>23</v>
      </c>
    </row>
    <row r="4935" spans="1:11" ht="42" customHeight="1">
      <c r="A4935" s="2" t="s">
        <v>9950</v>
      </c>
      <c r="B4935" s="2" t="s">
        <v>9950</v>
      </c>
      <c r="C4935" s="2" t="s">
        <v>79</v>
      </c>
      <c r="D4935" s="2" t="s">
        <v>74</v>
      </c>
      <c r="E4935" s="5">
        <v>-28003</v>
      </c>
      <c r="F4935" s="3" t="s">
        <v>26</v>
      </c>
      <c r="G4935" s="3" t="s">
        <v>48</v>
      </c>
      <c r="H4935" s="2" t="s">
        <v>21</v>
      </c>
      <c r="I4935" s="2" t="s">
        <v>9954</v>
      </c>
      <c r="J4935" s="3" t="str">
        <f>HYPERLINK("https://www.boe.es/gazeta/dias/1823/04/30/pdfs/GES-1823-20.pdf#page=3","Abrir facsímil")</f>
        <v>Abrir facsímil</v>
      </c>
      <c r="K4935" s="3" t="s">
        <v>23</v>
      </c>
    </row>
    <row r="4936" spans="1:11" ht="42" customHeight="1">
      <c r="A4936" s="2" t="s">
        <v>9950</v>
      </c>
      <c r="B4936" s="2" t="s">
        <v>9950</v>
      </c>
      <c r="C4936" s="2" t="s">
        <v>56</v>
      </c>
      <c r="D4936" s="2" t="s">
        <v>57</v>
      </c>
      <c r="E4936" s="5">
        <v>-27979</v>
      </c>
      <c r="F4936" s="3" t="s">
        <v>1071</v>
      </c>
      <c r="G4936" s="3" t="s">
        <v>27</v>
      </c>
      <c r="H4936" s="2" t="s">
        <v>21</v>
      </c>
      <c r="I4936" s="2" t="s">
        <v>9955</v>
      </c>
      <c r="J4936" s="3" t="str">
        <f>HYPERLINK("https://www.boe.es/gazeta/dias/1823/05/24/pdfs/GES-1823-45.pdf#page=2","Abrir facsímil")</f>
        <v>Abrir facsímil</v>
      </c>
      <c r="K4936" s="3" t="s">
        <v>23</v>
      </c>
    </row>
    <row r="4937" spans="1:11" ht="42" customHeight="1">
      <c r="A4937" s="2" t="s">
        <v>9950</v>
      </c>
      <c r="B4937" s="2" t="s">
        <v>9950</v>
      </c>
      <c r="C4937" s="2" t="s">
        <v>17</v>
      </c>
      <c r="D4937" s="2" t="s">
        <v>18</v>
      </c>
      <c r="E4937" s="5">
        <v>-27941</v>
      </c>
      <c r="F4937" s="3" t="s">
        <v>527</v>
      </c>
      <c r="G4937" s="3" t="s">
        <v>39</v>
      </c>
      <c r="H4937" s="2" t="s">
        <v>21</v>
      </c>
      <c r="I4937" s="2" t="s">
        <v>9956</v>
      </c>
      <c r="J4937" s="3" t="str">
        <f>HYPERLINK("https://www.boe.es/gazeta/dias/1823/07/01/pdfs/GES-1823-81.pdf#page=1","Abrir facsímil")</f>
        <v>Abrir facsímil</v>
      </c>
      <c r="K4937" s="3" t="s">
        <v>23</v>
      </c>
    </row>
    <row r="4938" spans="1:11" ht="42" customHeight="1">
      <c r="A4938" s="2" t="s">
        <v>9950</v>
      </c>
      <c r="B4938" s="2" t="s">
        <v>9950</v>
      </c>
      <c r="C4938" s="2" t="s">
        <v>17</v>
      </c>
      <c r="D4938" s="2" t="s">
        <v>18</v>
      </c>
      <c r="E4938" s="5">
        <v>-27906</v>
      </c>
      <c r="F4938" s="3" t="s">
        <v>241</v>
      </c>
      <c r="G4938" s="3" t="s">
        <v>20</v>
      </c>
      <c r="H4938" s="2" t="s">
        <v>21</v>
      </c>
      <c r="I4938" s="2" t="s">
        <v>9957</v>
      </c>
      <c r="J4938" s="3" t="str">
        <f>HYPERLINK("https://www.boe.es/gazeta/dias/1823/08/05/pdfs/GES-1823-117.pdf#page=4","Abrir facsímil")</f>
        <v>Abrir facsímil</v>
      </c>
      <c r="K4938" s="3" t="s">
        <v>23</v>
      </c>
    </row>
    <row r="4939" spans="1:11" ht="42" customHeight="1">
      <c r="A4939" s="2" t="s">
        <v>9950</v>
      </c>
      <c r="B4939" s="2" t="s">
        <v>9950</v>
      </c>
      <c r="C4939" s="2" t="s">
        <v>17</v>
      </c>
      <c r="D4939" s="2" t="s">
        <v>18</v>
      </c>
      <c r="E4939" s="5">
        <v>-27906</v>
      </c>
      <c r="F4939" s="3" t="s">
        <v>241</v>
      </c>
      <c r="G4939" s="3" t="s">
        <v>34</v>
      </c>
      <c r="H4939" s="2" t="s">
        <v>21</v>
      </c>
      <c r="I4939" s="2" t="s">
        <v>9958</v>
      </c>
      <c r="J4939" s="3" t="str">
        <f>HYPERLINK("https://www.boe.es/gazeta/dias/1823/08/05/pdfs/GES-1823-117.pdf#page=5","Abrir facsímil")</f>
        <v>Abrir facsímil</v>
      </c>
      <c r="K4939" s="3" t="s">
        <v>23</v>
      </c>
    </row>
    <row r="4940" spans="1:11" ht="42" customHeight="1">
      <c r="A4940" s="2" t="s">
        <v>9959</v>
      </c>
      <c r="B4940" s="2" t="s">
        <v>9960</v>
      </c>
      <c r="C4940" s="2" t="s">
        <v>17</v>
      </c>
      <c r="D4940" s="2" t="s">
        <v>18</v>
      </c>
      <c r="E4940" s="5">
        <v>-27946</v>
      </c>
      <c r="F4940" s="3" t="s">
        <v>2146</v>
      </c>
      <c r="G4940" s="3" t="s">
        <v>48</v>
      </c>
      <c r="H4940" s="2" t="s">
        <v>21</v>
      </c>
      <c r="I4940" s="2" t="s">
        <v>9961</v>
      </c>
      <c r="J4940" s="3" t="str">
        <f>HYPERLINK("https://www.boe.es/gazeta/dias/1823/06/26/pdfs/GES-1823-76.pdf#page=3","Abrir facsímil")</f>
        <v>Abrir facsímil</v>
      </c>
      <c r="K4940" s="3" t="s">
        <v>23</v>
      </c>
    </row>
    <row r="4941" spans="1:11" ht="42" customHeight="1">
      <c r="A4941" s="2" t="s">
        <v>9962</v>
      </c>
      <c r="B4941" s="2" t="s">
        <v>9963</v>
      </c>
      <c r="C4941" s="2" t="s">
        <v>17</v>
      </c>
      <c r="D4941" s="2" t="s">
        <v>117</v>
      </c>
      <c r="E4941" s="5">
        <v>-27925</v>
      </c>
      <c r="F4941" s="3" t="s">
        <v>3911</v>
      </c>
      <c r="G4941" s="3" t="s">
        <v>39</v>
      </c>
      <c r="H4941" s="2" t="s">
        <v>21</v>
      </c>
      <c r="I4941" s="2" t="s">
        <v>9964</v>
      </c>
      <c r="J4941" s="3" t="str">
        <f>HYPERLINK("https://www.boe.es/gazeta/dias/1823/07/17/pdfs/GES-1823-98E.pdf#page=1","Abrir facsímil")</f>
        <v>Abrir facsímil</v>
      </c>
      <c r="K4941" s="3" t="s">
        <v>23</v>
      </c>
    </row>
    <row r="4942" spans="1:11" ht="42" customHeight="1">
      <c r="A4942" s="2" t="s">
        <v>9965</v>
      </c>
      <c r="B4942" s="2" t="s">
        <v>9966</v>
      </c>
      <c r="C4942" s="2" t="s">
        <v>17</v>
      </c>
      <c r="D4942" s="2" t="s">
        <v>18</v>
      </c>
      <c r="E4942" s="5">
        <v>-28028</v>
      </c>
      <c r="F4942" s="3" t="s">
        <v>893</v>
      </c>
      <c r="G4942" s="3" t="s">
        <v>27</v>
      </c>
      <c r="H4942" s="2" t="s">
        <v>21</v>
      </c>
      <c r="I4942" s="2" t="s">
        <v>9967</v>
      </c>
      <c r="J4942" s="3" t="str">
        <f>HYPERLINK("https://www.boe.es/gazeta/dias/1823/04/05/pdfs/GMD-1823-99.pdf#page=2","Abrir facsímil")</f>
        <v>Abrir facsímil</v>
      </c>
      <c r="K4942" s="3" t="s">
        <v>23</v>
      </c>
    </row>
    <row r="4943" spans="1:11" ht="42" customHeight="1">
      <c r="A4943" s="2" t="s">
        <v>9968</v>
      </c>
      <c r="B4943" s="2" t="s">
        <v>9968</v>
      </c>
      <c r="C4943" s="2" t="s">
        <v>17</v>
      </c>
      <c r="D4943" s="2" t="s">
        <v>18</v>
      </c>
      <c r="E4943" s="5">
        <v>-28061</v>
      </c>
      <c r="F4943" s="3" t="s">
        <v>704</v>
      </c>
      <c r="G4943" s="3" t="s">
        <v>59</v>
      </c>
      <c r="H4943" s="2" t="s">
        <v>21</v>
      </c>
      <c r="I4943" s="2" t="s">
        <v>9969</v>
      </c>
      <c r="J4943" s="3" t="str">
        <f>HYPERLINK("https://www.boe.es/gazeta/dias/1823/03/03/pdfs/GMD-1823-66.pdf#page=6","Abrir facsímil")</f>
        <v>Abrir facsímil</v>
      </c>
      <c r="K4943" s="3" t="s">
        <v>23</v>
      </c>
    </row>
    <row r="4944" spans="1:11" ht="42" customHeight="1">
      <c r="A4944" s="2" t="s">
        <v>9970</v>
      </c>
      <c r="B4944" s="2" t="s">
        <v>9971</v>
      </c>
      <c r="C4944" s="2" t="s">
        <v>17</v>
      </c>
      <c r="D4944" s="2" t="s">
        <v>18</v>
      </c>
      <c r="E4944" s="5">
        <v>-27895</v>
      </c>
      <c r="F4944" s="3" t="s">
        <v>5642</v>
      </c>
      <c r="G4944" s="3" t="s">
        <v>20</v>
      </c>
      <c r="H4944" s="2" t="s">
        <v>28</v>
      </c>
      <c r="I4944" s="2" t="s">
        <v>9972</v>
      </c>
      <c r="J4944" s="3" t="str">
        <f>HYPERLINK("https://www.boe.es/gazeta/dias/1823/08/16/pdfs/GMD-1823-603.pdf#page=4","Abrir facsímil")</f>
        <v>Abrir facsímil</v>
      </c>
      <c r="K4944" s="3" t="s">
        <v>30</v>
      </c>
    </row>
    <row r="4945" spans="1:11" ht="42" customHeight="1">
      <c r="A4945" s="2" t="s">
        <v>9973</v>
      </c>
      <c r="B4945" s="2" t="s">
        <v>9973</v>
      </c>
      <c r="C4945" s="2" t="s">
        <v>17</v>
      </c>
      <c r="D4945" s="2" t="s">
        <v>18</v>
      </c>
      <c r="E4945" s="5">
        <v>-28013</v>
      </c>
      <c r="F4945" s="3" t="s">
        <v>2466</v>
      </c>
      <c r="G4945" s="3" t="s">
        <v>2467</v>
      </c>
      <c r="H4945" s="2" t="s">
        <v>21</v>
      </c>
      <c r="I4945" s="2" t="s">
        <v>9974</v>
      </c>
      <c r="J4945" s="3" t="str">
        <f>HYPERLINK("https://www.boe.es/gazeta/dias/1823/04/20/pdfs/GES-1823-10.pdf#page=3","Abrir facsímil")</f>
        <v>Abrir facsímil</v>
      </c>
      <c r="K4945" s="3" t="s">
        <v>23</v>
      </c>
    </row>
    <row r="4946" spans="1:11" ht="42" customHeight="1">
      <c r="A4946" s="2" t="s">
        <v>9975</v>
      </c>
      <c r="B4946" s="2" t="s">
        <v>9975</v>
      </c>
      <c r="C4946" s="2" t="s">
        <v>56</v>
      </c>
      <c r="D4946" s="2" t="s">
        <v>57</v>
      </c>
      <c r="E4946" s="5">
        <v>-28077</v>
      </c>
      <c r="F4946" s="3" t="s">
        <v>536</v>
      </c>
      <c r="G4946" s="3" t="s">
        <v>59</v>
      </c>
      <c r="H4946" s="2" t="s">
        <v>21</v>
      </c>
      <c r="I4946" s="2" t="s">
        <v>9976</v>
      </c>
      <c r="J4946" s="3" t="str">
        <f>HYPERLINK("https://www.boe.es/gazeta/dias/1823/02/15/pdfs/GMD-1823-49.pdf#page=6","Abrir facsímil")</f>
        <v>Abrir facsímil</v>
      </c>
      <c r="K4946" s="3" t="s">
        <v>23</v>
      </c>
    </row>
    <row r="4947" spans="1:11" ht="42" customHeight="1">
      <c r="A4947" s="2" t="s">
        <v>9977</v>
      </c>
      <c r="B4947" s="2" t="s">
        <v>9977</v>
      </c>
      <c r="C4947" s="2" t="s">
        <v>79</v>
      </c>
      <c r="D4947" s="2" t="s">
        <v>74</v>
      </c>
      <c r="E4947" s="5">
        <v>-27913</v>
      </c>
      <c r="F4947" s="3" t="s">
        <v>829</v>
      </c>
      <c r="G4947" s="3" t="s">
        <v>27</v>
      </c>
      <c r="H4947" s="2" t="s">
        <v>21</v>
      </c>
      <c r="I4947" s="2" t="s">
        <v>9978</v>
      </c>
      <c r="J4947" s="3" t="str">
        <f>HYPERLINK("https://www.boe.es/gazeta/dias/1823/07/29/pdfs/GMD-1823-483.pdf#page=2","Abrir facsímil")</f>
        <v>Abrir facsímil</v>
      </c>
      <c r="K4947" s="3" t="s">
        <v>23</v>
      </c>
    </row>
    <row r="4948" spans="1:11" ht="42" customHeight="1">
      <c r="A4948" s="2" t="s">
        <v>9979</v>
      </c>
      <c r="B4948" s="2" t="s">
        <v>9979</v>
      </c>
      <c r="C4948" s="2" t="s">
        <v>17</v>
      </c>
      <c r="D4948" s="2" t="s">
        <v>18</v>
      </c>
      <c r="E4948" s="5">
        <v>-28007</v>
      </c>
      <c r="F4948" s="3" t="s">
        <v>1190</v>
      </c>
      <c r="G4948" s="3" t="s">
        <v>39</v>
      </c>
      <c r="H4948" s="2" t="s">
        <v>21</v>
      </c>
      <c r="I4948" s="2" t="s">
        <v>9980</v>
      </c>
      <c r="J4948" s="3" t="str">
        <f>HYPERLINK("https://www.boe.es/gazeta/dias/1823/04/26/pdfs/GMD-1823-62.pdf#page=1","Abrir facsímil")</f>
        <v>Abrir facsímil</v>
      </c>
      <c r="K4948" s="3" t="s">
        <v>23</v>
      </c>
    </row>
    <row r="4949" spans="1:11" ht="42" customHeight="1">
      <c r="A4949" s="2" t="s">
        <v>9979</v>
      </c>
      <c r="B4949" s="2" t="s">
        <v>9979</v>
      </c>
      <c r="C4949" s="2" t="s">
        <v>17</v>
      </c>
      <c r="D4949" s="2" t="s">
        <v>18</v>
      </c>
      <c r="E4949" s="5">
        <v>-27931</v>
      </c>
      <c r="F4949" s="3" t="s">
        <v>1833</v>
      </c>
      <c r="G4949" s="3" t="s">
        <v>48</v>
      </c>
      <c r="H4949" s="2" t="s">
        <v>21</v>
      </c>
      <c r="I4949" s="2" t="s">
        <v>9981</v>
      </c>
      <c r="J4949" s="3" t="str">
        <f>HYPERLINK("https://www.boe.es/gazeta/dias/1823/07/11/pdfs/GES-1823-91.pdf#page=3","Abrir facsímil")</f>
        <v>Abrir facsímil</v>
      </c>
      <c r="K4949" s="3" t="s">
        <v>23</v>
      </c>
    </row>
    <row r="4950" spans="1:11" ht="42" customHeight="1">
      <c r="A4950" s="2" t="s">
        <v>9982</v>
      </c>
      <c r="B4950" s="2" t="s">
        <v>9982</v>
      </c>
      <c r="C4950" s="2" t="s">
        <v>17</v>
      </c>
      <c r="D4950" s="2" t="s">
        <v>117</v>
      </c>
      <c r="E4950" s="5">
        <v>-27932</v>
      </c>
      <c r="F4950" s="3" t="s">
        <v>1947</v>
      </c>
      <c r="G4950" s="3" t="s">
        <v>39</v>
      </c>
      <c r="H4950" s="2" t="s">
        <v>21</v>
      </c>
      <c r="I4950" s="2" t="s">
        <v>9983</v>
      </c>
      <c r="J4950" s="3" t="str">
        <f>HYPERLINK("https://www.boe.es/gazeta/dias/1823/07/10/pdfs/GMD-1823-373E.pdf#page=1","Abrir facsímil")</f>
        <v>Abrir facsímil</v>
      </c>
      <c r="K4950" s="3" t="s">
        <v>23</v>
      </c>
    </row>
    <row r="4951" spans="1:11" ht="42" customHeight="1">
      <c r="A4951" s="2" t="s">
        <v>9984</v>
      </c>
      <c r="B4951" s="2" t="s">
        <v>9985</v>
      </c>
      <c r="C4951" s="2" t="s">
        <v>17</v>
      </c>
      <c r="D4951" s="2" t="s">
        <v>18</v>
      </c>
      <c r="E4951" s="5">
        <v>-27972</v>
      </c>
      <c r="F4951" s="3" t="s">
        <v>1515</v>
      </c>
      <c r="G4951" s="3" t="s">
        <v>27</v>
      </c>
      <c r="H4951" s="2" t="s">
        <v>21</v>
      </c>
      <c r="I4951" s="2" t="s">
        <v>9986</v>
      </c>
      <c r="J4951" s="3" t="str">
        <f>HYPERLINK("https://www.boe.es/gazeta/dias/1823/05/31/pdfs/GMD-1823-33.pdf#page=2","Abrir facsímil")</f>
        <v>Abrir facsímil</v>
      </c>
      <c r="K4951" s="3" t="s">
        <v>23</v>
      </c>
    </row>
    <row r="4952" spans="1:11" ht="42" customHeight="1">
      <c r="A4952" s="2" t="s">
        <v>9984</v>
      </c>
      <c r="B4952" s="2" t="s">
        <v>9985</v>
      </c>
      <c r="C4952" s="2" t="s">
        <v>17</v>
      </c>
      <c r="D4952" s="2" t="s">
        <v>18</v>
      </c>
      <c r="E4952" s="5">
        <v>-27822</v>
      </c>
      <c r="F4952" s="3" t="s">
        <v>992</v>
      </c>
      <c r="G4952" s="3" t="s">
        <v>48</v>
      </c>
      <c r="H4952" s="2" t="s">
        <v>21</v>
      </c>
      <c r="I4952" s="2" t="s">
        <v>9987</v>
      </c>
      <c r="J4952" s="3" t="str">
        <f>HYPERLINK("https://www.boe.es/gazeta/dias/1823/10/28/pdfs/GMD-1823-1033.pdf#page=3","Abrir facsímil")</f>
        <v>Abrir facsímil</v>
      </c>
      <c r="K4952" s="3" t="s">
        <v>23</v>
      </c>
    </row>
    <row r="4953" spans="1:11" ht="42" customHeight="1">
      <c r="A4953" s="2" t="s">
        <v>9984</v>
      </c>
      <c r="B4953" s="2" t="s">
        <v>9985</v>
      </c>
      <c r="C4953" s="2" t="s">
        <v>17</v>
      </c>
      <c r="D4953" s="2" t="s">
        <v>18</v>
      </c>
      <c r="E4953" s="5">
        <v>-27773</v>
      </c>
      <c r="F4953" s="3" t="s">
        <v>513</v>
      </c>
      <c r="G4953" s="3" t="s">
        <v>39</v>
      </c>
      <c r="H4953" s="2" t="s">
        <v>21</v>
      </c>
      <c r="I4953" s="2" t="s">
        <v>9988</v>
      </c>
      <c r="J4953" s="3" t="str">
        <f>HYPERLINK("https://www.boe.es/gazeta/dias/1823/12/16/pdfs/GMD-1823-1253.pdf#page=1","Abrir facsímil")</f>
        <v>Abrir facsímil</v>
      </c>
      <c r="K4953" s="3" t="s">
        <v>23</v>
      </c>
    </row>
    <row r="4954" spans="1:11" ht="42" customHeight="1">
      <c r="A4954" s="2" t="s">
        <v>9989</v>
      </c>
      <c r="B4954" s="2" t="s">
        <v>9990</v>
      </c>
      <c r="C4954" s="2" t="s">
        <v>17</v>
      </c>
      <c r="D4954" s="2" t="s">
        <v>18</v>
      </c>
      <c r="E4954" s="5">
        <v>-27759</v>
      </c>
      <c r="F4954" s="3" t="s">
        <v>415</v>
      </c>
      <c r="G4954" s="3" t="s">
        <v>48</v>
      </c>
      <c r="H4954" s="2" t="s">
        <v>21</v>
      </c>
      <c r="I4954" s="2" t="s">
        <v>9991</v>
      </c>
      <c r="J4954" s="3" t="str">
        <f>HYPERLINK("https://www.boe.es/gazeta/dias/1823/12/30/pdfs/GMD-1823-1313.pdf#page=3","Abrir facsímil")</f>
        <v>Abrir facsímil</v>
      </c>
      <c r="K4954" s="3" t="s">
        <v>23</v>
      </c>
    </row>
    <row r="4955" spans="1:11" ht="42" customHeight="1">
      <c r="A4955" s="2" t="s">
        <v>9992</v>
      </c>
      <c r="B4955" s="2" t="s">
        <v>9993</v>
      </c>
      <c r="C4955" s="2" t="s">
        <v>325</v>
      </c>
      <c r="D4955" s="2" t="s">
        <v>74</v>
      </c>
      <c r="E4955" s="5">
        <v>-28082</v>
      </c>
      <c r="F4955" s="3" t="s">
        <v>468</v>
      </c>
      <c r="G4955" s="3" t="s">
        <v>20</v>
      </c>
      <c r="H4955" s="2" t="s">
        <v>21</v>
      </c>
      <c r="I4955" s="2" t="s">
        <v>9994</v>
      </c>
      <c r="J4955" s="3" t="str">
        <f>HYPERLINK("https://www.boe.es/gazeta/dias/1823/02/10/pdfs/GMD-1823-44.pdf#page=4","Abrir facsímil")</f>
        <v>Abrir facsímil</v>
      </c>
      <c r="K4955" s="3" t="s">
        <v>23</v>
      </c>
    </row>
    <row r="4956" spans="1:11" ht="42" customHeight="1">
      <c r="A4956" s="2" t="s">
        <v>9995</v>
      </c>
      <c r="B4956" s="2" t="s">
        <v>9996</v>
      </c>
      <c r="C4956" s="2" t="s">
        <v>17</v>
      </c>
      <c r="D4956" s="2" t="s">
        <v>18</v>
      </c>
      <c r="E4956" s="5">
        <v>-28082</v>
      </c>
      <c r="F4956" s="3" t="s">
        <v>468</v>
      </c>
      <c r="G4956" s="3" t="s">
        <v>34</v>
      </c>
      <c r="H4956" s="2" t="s">
        <v>21</v>
      </c>
      <c r="I4956" s="2" t="s">
        <v>9997</v>
      </c>
      <c r="J4956" s="3" t="str">
        <f>HYPERLINK("https://www.boe.es/gazeta/dias/1823/02/10/pdfs/GMD-1823-44.pdf#page=5","Abrir facsímil")</f>
        <v>Abrir facsímil</v>
      </c>
      <c r="K4956" s="3" t="s">
        <v>23</v>
      </c>
    </row>
    <row r="4957" spans="1:11" ht="42" customHeight="1">
      <c r="A4957" s="2" t="s">
        <v>9998</v>
      </c>
      <c r="B4957" s="2" t="s">
        <v>9998</v>
      </c>
      <c r="C4957" s="2" t="s">
        <v>17</v>
      </c>
      <c r="D4957" s="2" t="s">
        <v>18</v>
      </c>
      <c r="E4957" s="5">
        <v>-27906</v>
      </c>
      <c r="F4957" s="3" t="s">
        <v>1527</v>
      </c>
      <c r="G4957" s="3" t="s">
        <v>20</v>
      </c>
      <c r="H4957" s="2" t="s">
        <v>21</v>
      </c>
      <c r="I4957" s="2" t="s">
        <v>9999</v>
      </c>
      <c r="J4957" s="3" t="str">
        <f>HYPERLINK("https://www.boe.es/gazeta/dias/1823/08/05/pdfs/GMD-1823-533.pdf#page=4","Abrir facsímil")</f>
        <v>Abrir facsímil</v>
      </c>
      <c r="K4957" s="3" t="s">
        <v>23</v>
      </c>
    </row>
    <row r="4958" spans="1:11" ht="42" customHeight="1">
      <c r="A4958" s="2" t="s">
        <v>10000</v>
      </c>
      <c r="B4958" s="2" t="s">
        <v>10000</v>
      </c>
      <c r="C4958" s="2" t="s">
        <v>56</v>
      </c>
      <c r="D4958" s="2" t="s">
        <v>57</v>
      </c>
      <c r="E4958" s="5">
        <v>-28077</v>
      </c>
      <c r="F4958" s="3" t="s">
        <v>536</v>
      </c>
      <c r="G4958" s="3" t="s">
        <v>59</v>
      </c>
      <c r="H4958" s="2" t="s">
        <v>21</v>
      </c>
      <c r="I4958" s="2" t="s">
        <v>10001</v>
      </c>
      <c r="J4958" s="3" t="str">
        <f>HYPERLINK("https://www.boe.es/gazeta/dias/1823/02/15/pdfs/GMD-1823-49.pdf#page=6","Abrir facsímil")</f>
        <v>Abrir facsímil</v>
      </c>
      <c r="K4958" s="3" t="s">
        <v>23</v>
      </c>
    </row>
    <row r="4959" spans="1:11" ht="42" customHeight="1">
      <c r="A4959" s="2" t="s">
        <v>10002</v>
      </c>
      <c r="B4959" s="2" t="s">
        <v>10003</v>
      </c>
      <c r="C4959" s="2" t="s">
        <v>17</v>
      </c>
      <c r="D4959" s="2" t="s">
        <v>18</v>
      </c>
      <c r="E4959" s="5">
        <v>-27857</v>
      </c>
      <c r="F4959" s="3" t="s">
        <v>378</v>
      </c>
      <c r="G4959" s="3" t="s">
        <v>20</v>
      </c>
      <c r="H4959" s="2" t="s">
        <v>21</v>
      </c>
      <c r="I4959" s="2" t="s">
        <v>10004</v>
      </c>
      <c r="J4959" s="3" t="str">
        <f>HYPERLINK("https://www.boe.es/gazeta/dias/1823/09/23/pdfs/GMD-1823-833.pdf#page=4","Abrir facsímil")</f>
        <v>Abrir facsímil</v>
      </c>
      <c r="K4959" s="3" t="s">
        <v>23</v>
      </c>
    </row>
    <row r="4960" spans="1:11" ht="42" customHeight="1">
      <c r="A4960" s="2" t="s">
        <v>10005</v>
      </c>
      <c r="B4960" s="2" t="s">
        <v>10006</v>
      </c>
      <c r="C4960" s="2" t="s">
        <v>17</v>
      </c>
      <c r="D4960" s="2" t="s">
        <v>18</v>
      </c>
      <c r="E4960" s="5">
        <v>-28069</v>
      </c>
      <c r="F4960" s="3" t="s">
        <v>2006</v>
      </c>
      <c r="G4960" s="3" t="s">
        <v>20</v>
      </c>
      <c r="H4960" s="2" t="s">
        <v>21</v>
      </c>
      <c r="I4960" s="2" t="s">
        <v>10007</v>
      </c>
      <c r="J4960" s="3" t="str">
        <f>HYPERLINK("https://www.boe.es/gazeta/dias/1823/02/23/pdfs/GMD-1823-57.pdf#page=4","Abrir facsímil")</f>
        <v>Abrir facsímil</v>
      </c>
      <c r="K4960" s="3" t="s">
        <v>23</v>
      </c>
    </row>
    <row r="4961" spans="1:11" ht="42" customHeight="1">
      <c r="A4961" s="2" t="s">
        <v>10008</v>
      </c>
      <c r="B4961" s="2" t="s">
        <v>10008</v>
      </c>
      <c r="C4961" s="2" t="s">
        <v>56</v>
      </c>
      <c r="D4961" s="2" t="s">
        <v>57</v>
      </c>
      <c r="E4961" s="5">
        <v>-28058</v>
      </c>
      <c r="F4961" s="3" t="s">
        <v>1282</v>
      </c>
      <c r="G4961" s="3" t="s">
        <v>39</v>
      </c>
      <c r="H4961" s="2" t="s">
        <v>21</v>
      </c>
      <c r="I4961" s="2" t="s">
        <v>10009</v>
      </c>
      <c r="J4961" s="3" t="str">
        <f>HYPERLINK("https://www.boe.es/gazeta/dias/1823/03/06/pdfs/GMD-1823-69.pdf#page=1","Abrir facsímil")</f>
        <v>Abrir facsímil</v>
      </c>
      <c r="K4961" s="3" t="s">
        <v>23</v>
      </c>
    </row>
    <row r="4962" spans="1:11" ht="42" customHeight="1">
      <c r="A4962" s="2" t="s">
        <v>10008</v>
      </c>
      <c r="B4962" s="2" t="s">
        <v>10008</v>
      </c>
      <c r="C4962" s="2" t="s">
        <v>17</v>
      </c>
      <c r="D4962" s="2" t="s">
        <v>18</v>
      </c>
      <c r="E4962" s="5">
        <v>-27906</v>
      </c>
      <c r="F4962" s="3" t="s">
        <v>241</v>
      </c>
      <c r="G4962" s="3" t="s">
        <v>20</v>
      </c>
      <c r="H4962" s="2" t="s">
        <v>21</v>
      </c>
      <c r="I4962" s="2" t="s">
        <v>10010</v>
      </c>
      <c r="J4962" s="3" t="str">
        <f>HYPERLINK("https://www.boe.es/gazeta/dias/1823/08/05/pdfs/GES-1823-117.pdf#page=4","Abrir facsímil")</f>
        <v>Abrir facsímil</v>
      </c>
      <c r="K4962" s="3" t="s">
        <v>23</v>
      </c>
    </row>
    <row r="4963" spans="1:11" ht="42" customHeight="1">
      <c r="A4963" s="2" t="s">
        <v>10011</v>
      </c>
      <c r="B4963" s="2" t="s">
        <v>10012</v>
      </c>
      <c r="C4963" s="2" t="s">
        <v>109</v>
      </c>
      <c r="D4963" s="2" t="s">
        <v>74</v>
      </c>
      <c r="E4963" s="5">
        <v>-28088</v>
      </c>
      <c r="F4963" s="3" t="s">
        <v>542</v>
      </c>
      <c r="G4963" s="3" t="s">
        <v>27</v>
      </c>
      <c r="H4963" s="2" t="s">
        <v>21</v>
      </c>
      <c r="I4963" s="2" t="s">
        <v>10013</v>
      </c>
      <c r="J4963" s="3" t="str">
        <f>HYPERLINK("https://www.boe.es/gazeta/dias/1823/02/04/pdfs/GMD-1823-37.pdf#page=2","Abrir facsímil")</f>
        <v>Abrir facsímil</v>
      </c>
      <c r="K4963" s="3" t="s">
        <v>23</v>
      </c>
    </row>
    <row r="4964" spans="1:11" ht="42" customHeight="1">
      <c r="A4964" s="2" t="s">
        <v>10014</v>
      </c>
      <c r="B4964" s="2" t="s">
        <v>10015</v>
      </c>
      <c r="C4964" s="2" t="s">
        <v>17</v>
      </c>
      <c r="D4964" s="2" t="s">
        <v>18</v>
      </c>
      <c r="E4964" s="5">
        <v>-27783</v>
      </c>
      <c r="F4964" s="3" t="s">
        <v>941</v>
      </c>
      <c r="G4964" s="3" t="s">
        <v>48</v>
      </c>
      <c r="H4964" s="2" t="s">
        <v>21</v>
      </c>
      <c r="I4964" s="2" t="s">
        <v>10016</v>
      </c>
      <c r="J4964" s="3" t="str">
        <f>HYPERLINK("https://www.boe.es/gazeta/dias/1823/12/06/pdfs/GMD-1823-1213.pdf#page=3","Abrir facsímil")</f>
        <v>Abrir facsímil</v>
      </c>
      <c r="K4964" s="3" t="s">
        <v>23</v>
      </c>
    </row>
    <row r="4965" spans="1:11" ht="42" customHeight="1">
      <c r="A4965" s="2" t="s">
        <v>10017</v>
      </c>
      <c r="B4965" s="2" t="s">
        <v>10018</v>
      </c>
      <c r="C4965" s="2" t="s">
        <v>56</v>
      </c>
      <c r="D4965" s="2" t="s">
        <v>57</v>
      </c>
      <c r="E4965" s="5">
        <v>-28117</v>
      </c>
      <c r="F4965" s="3" t="s">
        <v>271</v>
      </c>
      <c r="G4965" s="3" t="s">
        <v>34</v>
      </c>
      <c r="H4965" s="2" t="s">
        <v>21</v>
      </c>
      <c r="I4965" s="2" t="s">
        <v>10019</v>
      </c>
      <c r="J4965" s="3" t="str">
        <f>HYPERLINK("https://www.boe.es/gazeta/dias/1823/01/06/pdfs/GMD-1823-6.pdf#page=5","Abrir facsímil")</f>
        <v>Abrir facsímil</v>
      </c>
      <c r="K4965" s="3" t="s">
        <v>23</v>
      </c>
    </row>
    <row r="4966" spans="1:11" ht="42" customHeight="1">
      <c r="A4966" s="2" t="s">
        <v>10020</v>
      </c>
      <c r="B4966" s="2" t="s">
        <v>10021</v>
      </c>
      <c r="C4966" s="2" t="s">
        <v>56</v>
      </c>
      <c r="D4966" s="2" t="s">
        <v>57</v>
      </c>
      <c r="E4966" s="5">
        <v>-28089</v>
      </c>
      <c r="F4966" s="3" t="s">
        <v>1979</v>
      </c>
      <c r="G4966" s="3" t="s">
        <v>48</v>
      </c>
      <c r="H4966" s="2" t="s">
        <v>21</v>
      </c>
      <c r="I4966" s="2" t="s">
        <v>10022</v>
      </c>
      <c r="J4966" s="3" t="str">
        <f>HYPERLINK("https://www.boe.es/gazeta/dias/1823/02/03/pdfs/GMD-1823-36.pdf#page=3","Abrir facsímil")</f>
        <v>Abrir facsímil</v>
      </c>
      <c r="K4966" s="3" t="s">
        <v>23</v>
      </c>
    </row>
    <row r="4967" spans="1:11" ht="42" customHeight="1">
      <c r="A4967" s="2" t="s">
        <v>10023</v>
      </c>
      <c r="B4967" s="2" t="s">
        <v>10024</v>
      </c>
      <c r="C4967" s="2" t="s">
        <v>79</v>
      </c>
      <c r="D4967" s="2" t="s">
        <v>74</v>
      </c>
      <c r="E4967" s="5">
        <v>-28117</v>
      </c>
      <c r="F4967" s="3" t="s">
        <v>271</v>
      </c>
      <c r="G4967" s="3" t="s">
        <v>20</v>
      </c>
      <c r="H4967" s="2" t="s">
        <v>21</v>
      </c>
      <c r="I4967" s="2" t="s">
        <v>10025</v>
      </c>
      <c r="J4967" s="3" t="str">
        <f>HYPERLINK("https://www.boe.es/gazeta/dias/1823/01/06/pdfs/GMD-1823-6.pdf#page=4","Abrir facsímil")</f>
        <v>Abrir facsímil</v>
      </c>
      <c r="K4967" s="3" t="s">
        <v>23</v>
      </c>
    </row>
    <row r="4968" spans="1:11" ht="42" customHeight="1">
      <c r="A4968" s="2" t="s">
        <v>10026</v>
      </c>
      <c r="B4968" s="2" t="s">
        <v>10026</v>
      </c>
      <c r="C4968" s="2" t="s">
        <v>84</v>
      </c>
      <c r="D4968" s="2" t="s">
        <v>74</v>
      </c>
      <c r="E4968" s="5">
        <v>-28009</v>
      </c>
      <c r="F4968" s="3" t="s">
        <v>212</v>
      </c>
      <c r="G4968" s="3" t="s">
        <v>48</v>
      </c>
      <c r="H4968" s="2" t="s">
        <v>21</v>
      </c>
      <c r="I4968" s="2" t="s">
        <v>10027</v>
      </c>
      <c r="J4968" s="3" t="str">
        <f>HYPERLINK("https://www.boe.es/gazeta/dias/1823/04/24/pdfs/GMD-1823-52.pdf#page=3","Abrir facsímil")</f>
        <v>Abrir facsímil</v>
      </c>
      <c r="K4968" s="3" t="s">
        <v>23</v>
      </c>
    </row>
    <row r="4969" spans="1:11" ht="42" customHeight="1">
      <c r="A4969" s="2" t="s">
        <v>10028</v>
      </c>
      <c r="B4969" s="2" t="s">
        <v>10029</v>
      </c>
      <c r="C4969" s="2" t="s">
        <v>79</v>
      </c>
      <c r="D4969" s="2" t="s">
        <v>74</v>
      </c>
      <c r="E4969" s="5">
        <v>-27894</v>
      </c>
      <c r="F4969" s="3" t="s">
        <v>2013</v>
      </c>
      <c r="G4969" s="3" t="s">
        <v>48</v>
      </c>
      <c r="H4969" s="2" t="s">
        <v>28</v>
      </c>
      <c r="I4969" s="2" t="s">
        <v>10030</v>
      </c>
      <c r="J4969" s="3" t="str">
        <f>HYPERLINK("https://www.boe.es/gazeta/dias/1823/08/17/pdfs/GES-1823-130.pdf#page=3","Abrir facsímil")</f>
        <v>Abrir facsímil</v>
      </c>
      <c r="K4969" s="3" t="s">
        <v>30</v>
      </c>
    </row>
    <row r="4970" spans="1:11" ht="42" customHeight="1">
      <c r="A4970" s="2" t="s">
        <v>10031</v>
      </c>
      <c r="B4970" s="2" t="s">
        <v>10032</v>
      </c>
      <c r="C4970" s="2" t="s">
        <v>73</v>
      </c>
      <c r="D4970" s="2" t="s">
        <v>74</v>
      </c>
      <c r="E4970" s="5">
        <v>-28084</v>
      </c>
      <c r="F4970" s="3" t="s">
        <v>1049</v>
      </c>
      <c r="G4970" s="3" t="s">
        <v>48</v>
      </c>
      <c r="H4970" s="2" t="s">
        <v>21</v>
      </c>
      <c r="I4970" s="2" t="s">
        <v>10033</v>
      </c>
      <c r="J4970" s="3" t="str">
        <f>HYPERLINK("https://www.boe.es/gazeta/dias/1823/02/08/pdfs/GMD-1823-41.pdf#page=3","Abrir facsímil")</f>
        <v>Abrir facsímil</v>
      </c>
      <c r="K4970" s="3" t="s">
        <v>23</v>
      </c>
    </row>
    <row r="4971" spans="1:11" ht="42" customHeight="1">
      <c r="A4971" s="2" t="s">
        <v>10034</v>
      </c>
      <c r="B4971" s="2" t="s">
        <v>10035</v>
      </c>
      <c r="C4971" s="2" t="s">
        <v>109</v>
      </c>
      <c r="D4971" s="2" t="s">
        <v>74</v>
      </c>
      <c r="E4971" s="5">
        <v>-28095</v>
      </c>
      <c r="F4971" s="3" t="s">
        <v>1770</v>
      </c>
      <c r="G4971" s="3" t="s">
        <v>20</v>
      </c>
      <c r="H4971" s="2" t="s">
        <v>21</v>
      </c>
      <c r="I4971" s="2" t="s">
        <v>10036</v>
      </c>
      <c r="J4971" s="3" t="str">
        <f>HYPERLINK("https://www.boe.es/gazeta/dias/1823/01/28/pdfs/GMD-1823-29.pdf#page=4","Abrir facsímil")</f>
        <v>Abrir facsímil</v>
      </c>
      <c r="K4971" s="3" t="s">
        <v>23</v>
      </c>
    </row>
    <row r="4972" spans="1:11" ht="42" customHeight="1">
      <c r="A4972" s="2" t="s">
        <v>10037</v>
      </c>
      <c r="B4972" s="2" t="s">
        <v>10038</v>
      </c>
      <c r="C4972" s="2" t="s">
        <v>17</v>
      </c>
      <c r="D4972" s="2" t="s">
        <v>18</v>
      </c>
      <c r="E4972" s="5">
        <v>-28006</v>
      </c>
      <c r="F4972" s="3" t="s">
        <v>183</v>
      </c>
      <c r="G4972" s="3" t="s">
        <v>59</v>
      </c>
      <c r="H4972" s="2" t="s">
        <v>21</v>
      </c>
      <c r="I4972" s="2" t="s">
        <v>10039</v>
      </c>
      <c r="J4972" s="3" t="str">
        <f>HYPERLINK("https://www.boe.es/gazeta/dias/1823/04/27/pdfs/GES-1823-17.pdf#page=6","Abrir facsímil")</f>
        <v>Abrir facsímil</v>
      </c>
      <c r="K4972" s="3" t="s">
        <v>23</v>
      </c>
    </row>
    <row r="4973" spans="1:11" ht="42" customHeight="1">
      <c r="A4973" s="2" t="s">
        <v>10040</v>
      </c>
      <c r="B4973" s="2" t="s">
        <v>10040</v>
      </c>
      <c r="C4973" s="2" t="s">
        <v>56</v>
      </c>
      <c r="D4973" s="2" t="s">
        <v>57</v>
      </c>
      <c r="E4973" s="5">
        <v>-28120</v>
      </c>
      <c r="F4973" s="3" t="s">
        <v>2772</v>
      </c>
      <c r="G4973" s="3" t="s">
        <v>39</v>
      </c>
      <c r="H4973" s="2" t="s">
        <v>21</v>
      </c>
      <c r="I4973" s="2" t="s">
        <v>10041</v>
      </c>
      <c r="J4973" s="3" t="str">
        <f>HYPERLINK("https://www.boe.es/gazeta/dias/1823/01/03/pdfs/GMD-1823-3.pdf#page=1","Abrir facsímil")</f>
        <v>Abrir facsímil</v>
      </c>
      <c r="K4973" s="3" t="s">
        <v>23</v>
      </c>
    </row>
    <row r="4974" spans="1:11" ht="42" customHeight="1">
      <c r="A4974" s="2" t="s">
        <v>10042</v>
      </c>
      <c r="B4974" s="2" t="s">
        <v>10043</v>
      </c>
      <c r="C4974" s="2" t="s">
        <v>17</v>
      </c>
      <c r="D4974" s="2" t="s">
        <v>18</v>
      </c>
      <c r="E4974" s="5">
        <v>-27874</v>
      </c>
      <c r="F4974" s="3" t="s">
        <v>122</v>
      </c>
      <c r="G4974" s="3" t="s">
        <v>48</v>
      </c>
      <c r="H4974" s="2" t="s">
        <v>21</v>
      </c>
      <c r="I4974" s="2" t="s">
        <v>10044</v>
      </c>
      <c r="J4974" s="3" t="str">
        <f>HYPERLINK("https://www.boe.es/gazeta/dias/1823/09/06/pdfs/GMD-1823-713.pdf#page=3","Abrir facsímil")</f>
        <v>Abrir facsímil</v>
      </c>
      <c r="K4974" s="3" t="s">
        <v>23</v>
      </c>
    </row>
    <row r="4975" spans="1:11" ht="42" customHeight="1">
      <c r="A4975" s="2" t="s">
        <v>10045</v>
      </c>
      <c r="B4975" s="2" t="s">
        <v>10046</v>
      </c>
      <c r="C4975" s="2" t="s">
        <v>17</v>
      </c>
      <c r="D4975" s="2" t="s">
        <v>18</v>
      </c>
      <c r="E4975" s="5">
        <v>-27773</v>
      </c>
      <c r="F4975" s="3" t="s">
        <v>513</v>
      </c>
      <c r="G4975" s="3" t="s">
        <v>20</v>
      </c>
      <c r="H4975" s="2" t="s">
        <v>21</v>
      </c>
      <c r="I4975" s="2" t="s">
        <v>10047</v>
      </c>
      <c r="J4975" s="3" t="str">
        <f>HYPERLINK("https://www.boe.es/gazeta/dias/1823/12/16/pdfs/GMD-1823-1253.pdf#page=4","Abrir facsímil")</f>
        <v>Abrir facsímil</v>
      </c>
      <c r="K4975" s="3" t="s">
        <v>23</v>
      </c>
    </row>
    <row r="4976" spans="1:11" ht="42" customHeight="1">
      <c r="A4976" s="2" t="s">
        <v>10048</v>
      </c>
      <c r="B4976" s="2" t="s">
        <v>10049</v>
      </c>
      <c r="C4976" s="2" t="s">
        <v>79</v>
      </c>
      <c r="D4976" s="2" t="s">
        <v>74</v>
      </c>
      <c r="E4976" s="5">
        <v>-28037</v>
      </c>
      <c r="F4976" s="3" t="s">
        <v>192</v>
      </c>
      <c r="G4976" s="3" t="s">
        <v>48</v>
      </c>
      <c r="H4976" s="2" t="s">
        <v>21</v>
      </c>
      <c r="I4976" s="2" t="s">
        <v>10050</v>
      </c>
      <c r="J4976" s="3" t="str">
        <f>HYPERLINK("https://www.boe.es/gazeta/dias/1823/03/27/pdfs/GMD-1823-90.pdf#page=3","Abrir facsímil")</f>
        <v>Abrir facsímil</v>
      </c>
      <c r="K4976" s="3" t="s">
        <v>23</v>
      </c>
    </row>
    <row r="4977" spans="1:11" ht="42" customHeight="1">
      <c r="A4977" s="2" t="s">
        <v>10051</v>
      </c>
      <c r="B4977" s="2" t="s">
        <v>10051</v>
      </c>
      <c r="C4977" s="2" t="s">
        <v>17</v>
      </c>
      <c r="D4977" s="2" t="s">
        <v>18</v>
      </c>
      <c r="E4977" s="5">
        <v>-27874</v>
      </c>
      <c r="F4977" s="3" t="s">
        <v>1410</v>
      </c>
      <c r="G4977" s="3" t="s">
        <v>48</v>
      </c>
      <c r="H4977" s="2" t="s">
        <v>21</v>
      </c>
      <c r="I4977" s="2" t="s">
        <v>10052</v>
      </c>
      <c r="J4977" s="3" t="str">
        <f>HYPERLINK("https://www.boe.es/gazeta/dias/1823/09/06/pdfs/GES-1823-150.pdf#page=3","Abrir facsímil")</f>
        <v>Abrir facsímil</v>
      </c>
      <c r="K4977" s="3" t="s">
        <v>23</v>
      </c>
    </row>
    <row r="4978" spans="1:11" ht="42" customHeight="1">
      <c r="A4978" s="2" t="s">
        <v>10053</v>
      </c>
      <c r="B4978" s="2" t="s">
        <v>10054</v>
      </c>
      <c r="C4978" s="2" t="s">
        <v>17</v>
      </c>
      <c r="D4978" s="2" t="s">
        <v>18</v>
      </c>
      <c r="E4978" s="5">
        <v>-27874</v>
      </c>
      <c r="F4978" s="3" t="s">
        <v>1410</v>
      </c>
      <c r="G4978" s="3" t="s">
        <v>48</v>
      </c>
      <c r="H4978" s="2" t="s">
        <v>21</v>
      </c>
      <c r="I4978" s="2" t="s">
        <v>10055</v>
      </c>
      <c r="J4978" s="3" t="str">
        <f>HYPERLINK("https://www.boe.es/gazeta/dias/1823/09/06/pdfs/GES-1823-150.pdf#page=3","Abrir facsímil")</f>
        <v>Abrir facsímil</v>
      </c>
      <c r="K4978" s="3" t="s">
        <v>23</v>
      </c>
    </row>
    <row r="4979" spans="1:11" ht="42" customHeight="1">
      <c r="A4979" s="2" t="s">
        <v>10056</v>
      </c>
      <c r="B4979" s="2" t="s">
        <v>10056</v>
      </c>
      <c r="C4979" s="2" t="s">
        <v>17</v>
      </c>
      <c r="D4979" s="2" t="s">
        <v>18</v>
      </c>
      <c r="E4979" s="5">
        <v>-27860</v>
      </c>
      <c r="F4979" s="3" t="s">
        <v>998</v>
      </c>
      <c r="G4979" s="3" t="s">
        <v>34</v>
      </c>
      <c r="H4979" s="2" t="s">
        <v>21</v>
      </c>
      <c r="I4979" s="2" t="s">
        <v>10057</v>
      </c>
      <c r="J4979" s="3" t="str">
        <f>HYPERLINK("https://www.boe.es/gazeta/dias/1823/09/20/pdfs/GMD-1823-813.pdf#page=5","Abrir facsímil")</f>
        <v>Abrir facsímil</v>
      </c>
      <c r="K4979" s="3" t="s">
        <v>23</v>
      </c>
    </row>
    <row r="4980" spans="1:11" ht="42" customHeight="1">
      <c r="A4980" s="2" t="s">
        <v>10058</v>
      </c>
      <c r="B4980" s="2" t="s">
        <v>10059</v>
      </c>
      <c r="C4980" s="2" t="s">
        <v>79</v>
      </c>
      <c r="D4980" s="2" t="s">
        <v>74</v>
      </c>
      <c r="E4980" s="5">
        <v>-28081</v>
      </c>
      <c r="F4980" s="3" t="s">
        <v>170</v>
      </c>
      <c r="G4980" s="3" t="s">
        <v>48</v>
      </c>
      <c r="H4980" s="2" t="s">
        <v>21</v>
      </c>
      <c r="I4980" s="2" t="s">
        <v>10060</v>
      </c>
      <c r="J4980" s="3" t="str">
        <f>HYPERLINK("https://www.boe.es/gazeta/dias/1823/02/11/pdfs/GMD-1823-45.pdf#page=3","Abrir facsímil")</f>
        <v>Abrir facsímil</v>
      </c>
      <c r="K4980" s="3" t="s">
        <v>23</v>
      </c>
    </row>
    <row r="4981" spans="1:11" ht="42" customHeight="1">
      <c r="A4981" s="2" t="s">
        <v>10061</v>
      </c>
      <c r="B4981" s="2" t="s">
        <v>10062</v>
      </c>
      <c r="C4981" s="2" t="s">
        <v>17</v>
      </c>
      <c r="D4981" s="2" t="s">
        <v>18</v>
      </c>
      <c r="E4981" s="5">
        <v>-27759</v>
      </c>
      <c r="F4981" s="3" t="s">
        <v>415</v>
      </c>
      <c r="G4981" s="3" t="s">
        <v>48</v>
      </c>
      <c r="H4981" s="2" t="s">
        <v>21</v>
      </c>
      <c r="I4981" s="2" t="s">
        <v>10063</v>
      </c>
      <c r="J4981" s="3" t="str">
        <f>HYPERLINK("https://www.boe.es/gazeta/dias/1823/12/30/pdfs/GMD-1823-1313.pdf#page=3","Abrir facsímil")</f>
        <v>Abrir facsímil</v>
      </c>
      <c r="K4981" s="3" t="s">
        <v>23</v>
      </c>
    </row>
    <row r="4982" spans="1:11" ht="42" customHeight="1">
      <c r="A4982" s="2" t="s">
        <v>10064</v>
      </c>
      <c r="B4982" s="2" t="s">
        <v>10064</v>
      </c>
      <c r="C4982" s="2" t="s">
        <v>17</v>
      </c>
      <c r="D4982" s="2" t="s">
        <v>18</v>
      </c>
      <c r="E4982" s="5">
        <v>-27882</v>
      </c>
      <c r="F4982" s="3" t="s">
        <v>5179</v>
      </c>
      <c r="G4982" s="3" t="s">
        <v>20</v>
      </c>
      <c r="H4982" s="2" t="s">
        <v>21</v>
      </c>
      <c r="I4982" s="2" t="s">
        <v>10065</v>
      </c>
      <c r="J4982" s="3" t="str">
        <f>HYPERLINK("https://www.boe.es/gazeta/dias/1823/08/29/pdfs/GES-1823-142.pdf#page=4","Abrir facsímil")</f>
        <v>Abrir facsímil</v>
      </c>
      <c r="K4982" s="3" t="s">
        <v>23</v>
      </c>
    </row>
    <row r="4983" spans="1:11" ht="42" customHeight="1">
      <c r="A4983" s="2" t="s">
        <v>10066</v>
      </c>
      <c r="B4983" s="2" t="s">
        <v>10067</v>
      </c>
      <c r="C4983" s="2" t="s">
        <v>17</v>
      </c>
      <c r="D4983" s="2" t="s">
        <v>18</v>
      </c>
      <c r="E4983" s="5">
        <v>-28043</v>
      </c>
      <c r="F4983" s="3" t="s">
        <v>69</v>
      </c>
      <c r="G4983" s="3" t="s">
        <v>48</v>
      </c>
      <c r="H4983" s="2" t="s">
        <v>21</v>
      </c>
      <c r="I4983" s="2" t="s">
        <v>10068</v>
      </c>
      <c r="J4983" s="3" t="str">
        <f>HYPERLINK("https://www.boe.es/gazeta/dias/1823/03/21/pdfs/GMD-1823-84.pdf#page=3","Abrir facsímil")</f>
        <v>Abrir facsímil</v>
      </c>
      <c r="K4983" s="3" t="s">
        <v>23</v>
      </c>
    </row>
    <row r="4984" spans="1:11" ht="42" customHeight="1">
      <c r="A4984" s="2" t="s">
        <v>10069</v>
      </c>
      <c r="B4984" s="2" t="s">
        <v>10070</v>
      </c>
      <c r="C4984" s="2" t="s">
        <v>17</v>
      </c>
      <c r="D4984" s="2" t="s">
        <v>18</v>
      </c>
      <c r="E4984" s="5">
        <v>-27989</v>
      </c>
      <c r="F4984" s="3" t="s">
        <v>1134</v>
      </c>
      <c r="G4984" s="3" t="s">
        <v>59</v>
      </c>
      <c r="H4984" s="2" t="s">
        <v>21</v>
      </c>
      <c r="I4984" s="2" t="s">
        <v>10071</v>
      </c>
      <c r="J4984" s="3" t="str">
        <f>HYPERLINK("https://www.boe.es/gazeta/dias/1823/05/14/pdfs/GES-1823-34.pdf#page=6","Abrir facsímil")</f>
        <v>Abrir facsímil</v>
      </c>
      <c r="K4984" s="3" t="s">
        <v>23</v>
      </c>
    </row>
    <row r="4985" spans="1:11" ht="42" customHeight="1">
      <c r="A4985" s="2" t="s">
        <v>10072</v>
      </c>
      <c r="B4985" s="2" t="s">
        <v>10073</v>
      </c>
      <c r="C4985" s="2" t="s">
        <v>17</v>
      </c>
      <c r="D4985" s="2" t="s">
        <v>18</v>
      </c>
      <c r="E4985" s="5">
        <v>-27764</v>
      </c>
      <c r="F4985" s="3" t="s">
        <v>3370</v>
      </c>
      <c r="G4985" s="3" t="s">
        <v>20</v>
      </c>
      <c r="H4985" s="2" t="s">
        <v>21</v>
      </c>
      <c r="I4985" s="2" t="s">
        <v>10074</v>
      </c>
      <c r="J4985" s="3" t="str">
        <f>HYPERLINK("https://www.boe.es/gazeta/dias/1823/12/25/pdfs/GMD-1823-1293.pdf#page=4","Abrir facsímil")</f>
        <v>Abrir facsímil</v>
      </c>
      <c r="K4985" s="3" t="s">
        <v>23</v>
      </c>
    </row>
    <row r="4986" spans="1:11" ht="42" customHeight="1">
      <c r="A4986" s="2" t="s">
        <v>10075</v>
      </c>
      <c r="B4986" s="2" t="s">
        <v>10076</v>
      </c>
      <c r="C4986" s="2" t="s">
        <v>17</v>
      </c>
      <c r="D4986" s="2" t="s">
        <v>117</v>
      </c>
      <c r="E4986" s="5">
        <v>-27975</v>
      </c>
      <c r="F4986" s="3" t="s">
        <v>1922</v>
      </c>
      <c r="G4986" s="3" t="s">
        <v>39</v>
      </c>
      <c r="H4986" s="2" t="s">
        <v>21</v>
      </c>
      <c r="I4986" s="2" t="s">
        <v>10077</v>
      </c>
      <c r="J4986" s="3" t="str">
        <f>HYPERLINK("https://www.boe.es/gazeta/dias/1823/05/28/pdfs/GES-1823-51E.pdf#page=1","Abrir facsímil")</f>
        <v>Abrir facsímil</v>
      </c>
      <c r="K4986" s="3" t="s">
        <v>23</v>
      </c>
    </row>
    <row r="4987" spans="1:11" ht="42" customHeight="1">
      <c r="A4987" s="2" t="s">
        <v>10078</v>
      </c>
      <c r="B4987" s="2" t="s">
        <v>10079</v>
      </c>
      <c r="C4987" s="2" t="s">
        <v>17</v>
      </c>
      <c r="D4987" s="2" t="s">
        <v>18</v>
      </c>
      <c r="E4987" s="5">
        <v>-28081</v>
      </c>
      <c r="F4987" s="3" t="s">
        <v>170</v>
      </c>
      <c r="G4987" s="3" t="s">
        <v>48</v>
      </c>
      <c r="H4987" s="2" t="s">
        <v>21</v>
      </c>
      <c r="I4987" s="2" t="s">
        <v>10080</v>
      </c>
      <c r="J4987" s="3" t="str">
        <f>HYPERLINK("https://www.boe.es/gazeta/dias/1823/02/11/pdfs/GMD-1823-45.pdf#page=3","Abrir facsímil")</f>
        <v>Abrir facsímil</v>
      </c>
      <c r="K4987" s="3" t="s">
        <v>23</v>
      </c>
    </row>
    <row r="4988" spans="1:11" ht="42" customHeight="1">
      <c r="A4988" s="2" t="s">
        <v>10081</v>
      </c>
      <c r="B4988" s="2" t="s">
        <v>10082</v>
      </c>
      <c r="C4988" s="2" t="s">
        <v>17</v>
      </c>
      <c r="D4988" s="2" t="s">
        <v>18</v>
      </c>
      <c r="E4988" s="5">
        <v>-27923</v>
      </c>
      <c r="F4988" s="3" t="s">
        <v>1225</v>
      </c>
      <c r="G4988" s="3" t="s">
        <v>59</v>
      </c>
      <c r="H4988" s="2" t="s">
        <v>21</v>
      </c>
      <c r="I4988" s="2" t="s">
        <v>10083</v>
      </c>
      <c r="J4988" s="3" t="str">
        <f>HYPERLINK("https://www.boe.es/gazeta/dias/1823/07/19/pdfs/GMD-1823-433.pdf#page=6","Abrir facsímil")</f>
        <v>Abrir facsímil</v>
      </c>
      <c r="K4988" s="3" t="s">
        <v>23</v>
      </c>
    </row>
    <row r="4989" spans="1:11" ht="42" customHeight="1">
      <c r="A4989" s="2" t="s">
        <v>10084</v>
      </c>
      <c r="B4989" s="2" t="s">
        <v>10085</v>
      </c>
      <c r="C4989" s="2" t="s">
        <v>17</v>
      </c>
      <c r="D4989" s="2" t="s">
        <v>117</v>
      </c>
      <c r="E4989" s="5">
        <v>-27869</v>
      </c>
      <c r="F4989" s="3" t="s">
        <v>2363</v>
      </c>
      <c r="G4989" s="3" t="s">
        <v>39</v>
      </c>
      <c r="H4989" s="2" t="s">
        <v>21</v>
      </c>
      <c r="I4989" s="2" t="s">
        <v>10086</v>
      </c>
      <c r="J4989" s="3" t="str">
        <f>HYPERLINK("https://www.boe.es/gazeta/dias/1823/09/11/pdfs/GMD-1823-763E.pdf#page=1","Abrir facsímil")</f>
        <v>Abrir facsímil</v>
      </c>
      <c r="K4989" s="3" t="s">
        <v>23</v>
      </c>
    </row>
    <row r="4990" spans="1:11" ht="42" customHeight="1">
      <c r="A4990" s="2" t="s">
        <v>10087</v>
      </c>
      <c r="B4990" s="2" t="s">
        <v>10088</v>
      </c>
      <c r="C4990" s="2" t="s">
        <v>17</v>
      </c>
      <c r="D4990" s="2" t="s">
        <v>18</v>
      </c>
      <c r="E4990" s="5">
        <v>-28056</v>
      </c>
      <c r="F4990" s="3" t="s">
        <v>572</v>
      </c>
      <c r="G4990" s="3" t="s">
        <v>59</v>
      </c>
      <c r="H4990" s="2" t="s">
        <v>21</v>
      </c>
      <c r="I4990" s="2" t="s">
        <v>10089</v>
      </c>
      <c r="J4990" s="3" t="str">
        <f>HYPERLINK("https://www.boe.es/gazeta/dias/1823/03/08/pdfs/GMD-1823-71.pdf#page=6","Abrir facsímil")</f>
        <v>Abrir facsímil</v>
      </c>
      <c r="K4990" s="3" t="s">
        <v>23</v>
      </c>
    </row>
    <row r="4991" spans="1:11" ht="42" customHeight="1">
      <c r="A4991" s="2" t="s">
        <v>10090</v>
      </c>
      <c r="B4991" s="2" t="s">
        <v>10091</v>
      </c>
      <c r="C4991" s="2" t="s">
        <v>17</v>
      </c>
      <c r="D4991" s="2" t="s">
        <v>18</v>
      </c>
      <c r="E4991" s="5">
        <v>-28117</v>
      </c>
      <c r="F4991" s="3" t="s">
        <v>271</v>
      </c>
      <c r="G4991" s="3" t="s">
        <v>20</v>
      </c>
      <c r="H4991" s="2" t="s">
        <v>21</v>
      </c>
      <c r="I4991" s="2" t="s">
        <v>10092</v>
      </c>
      <c r="J4991" s="3" t="str">
        <f>HYPERLINK("https://www.boe.es/gazeta/dias/1823/01/06/pdfs/GMD-1823-6.pdf#page=4","Abrir facsímil")</f>
        <v>Abrir facsímil</v>
      </c>
      <c r="K4991" s="3" t="s">
        <v>23</v>
      </c>
    </row>
    <row r="4992" spans="1:11" ht="42" customHeight="1">
      <c r="A4992" s="2" t="s">
        <v>10090</v>
      </c>
      <c r="B4992" s="2" t="s">
        <v>10091</v>
      </c>
      <c r="C4992" s="2" t="s">
        <v>17</v>
      </c>
      <c r="D4992" s="2" t="s">
        <v>18</v>
      </c>
      <c r="E4992" s="5">
        <v>-28117</v>
      </c>
      <c r="F4992" s="3" t="s">
        <v>271</v>
      </c>
      <c r="G4992" s="3" t="s">
        <v>34</v>
      </c>
      <c r="H4992" s="2" t="s">
        <v>21</v>
      </c>
      <c r="I4992" s="2" t="s">
        <v>10093</v>
      </c>
      <c r="J4992" s="3" t="str">
        <f>HYPERLINK("https://www.boe.es/gazeta/dias/1823/01/06/pdfs/GMD-1823-6.pdf#page=5","Abrir facsímil")</f>
        <v>Abrir facsímil</v>
      </c>
      <c r="K4992" s="3" t="s">
        <v>23</v>
      </c>
    </row>
    <row r="4993" spans="1:11" ht="42" customHeight="1">
      <c r="A4993" s="2" t="s">
        <v>10090</v>
      </c>
      <c r="B4993" s="2" t="s">
        <v>10091</v>
      </c>
      <c r="C4993" s="2" t="s">
        <v>17</v>
      </c>
      <c r="D4993" s="2" t="s">
        <v>18</v>
      </c>
      <c r="E4993" s="5">
        <v>-28116</v>
      </c>
      <c r="F4993" s="3" t="s">
        <v>134</v>
      </c>
      <c r="G4993" s="3" t="s">
        <v>20</v>
      </c>
      <c r="H4993" s="2" t="s">
        <v>21</v>
      </c>
      <c r="I4993" s="2" t="s">
        <v>10094</v>
      </c>
      <c r="J4993" s="3" t="str">
        <f>HYPERLINK("https://www.boe.es/gazeta/dias/1823/01/07/pdfs/GMD-1823-7.pdf#page=4","Abrir facsímil")</f>
        <v>Abrir facsímil</v>
      </c>
      <c r="K4993" s="3" t="s">
        <v>23</v>
      </c>
    </row>
    <row r="4994" spans="1:11" ht="42" customHeight="1">
      <c r="A4994" s="2" t="s">
        <v>10090</v>
      </c>
      <c r="B4994" s="2" t="s">
        <v>10091</v>
      </c>
      <c r="C4994" s="2" t="s">
        <v>17</v>
      </c>
      <c r="D4994" s="2" t="s">
        <v>18</v>
      </c>
      <c r="E4994" s="5">
        <v>-28115</v>
      </c>
      <c r="F4994" s="3" t="s">
        <v>579</v>
      </c>
      <c r="G4994" s="3" t="s">
        <v>27</v>
      </c>
      <c r="H4994" s="2" t="s">
        <v>21</v>
      </c>
      <c r="I4994" s="2" t="s">
        <v>10095</v>
      </c>
      <c r="J4994" s="3" t="str">
        <f>HYPERLINK("https://www.boe.es/gazeta/dias/1823/01/08/pdfs/GMD-1823-8.pdf#page=2","Abrir facsímil")</f>
        <v>Abrir facsímil</v>
      </c>
      <c r="K4994" s="3" t="s">
        <v>23</v>
      </c>
    </row>
    <row r="4995" spans="1:11" ht="42" customHeight="1">
      <c r="A4995" s="2" t="s">
        <v>10090</v>
      </c>
      <c r="B4995" s="2" t="s">
        <v>10091</v>
      </c>
      <c r="C4995" s="2" t="s">
        <v>17</v>
      </c>
      <c r="D4995" s="2" t="s">
        <v>18</v>
      </c>
      <c r="E4995" s="5">
        <v>-28114</v>
      </c>
      <c r="F4995" s="3" t="s">
        <v>153</v>
      </c>
      <c r="G4995" s="3" t="s">
        <v>48</v>
      </c>
      <c r="H4995" s="2" t="s">
        <v>21</v>
      </c>
      <c r="I4995" s="2" t="s">
        <v>10096</v>
      </c>
      <c r="J4995" s="3" t="str">
        <f>HYPERLINK("https://www.boe.es/gazeta/dias/1823/01/09/pdfs/GMD-1823-9.pdf#page=3","Abrir facsímil")</f>
        <v>Abrir facsímil</v>
      </c>
      <c r="K4995" s="3" t="s">
        <v>23</v>
      </c>
    </row>
    <row r="4996" spans="1:11" ht="42" customHeight="1">
      <c r="A4996" s="2" t="s">
        <v>10090</v>
      </c>
      <c r="B4996" s="2" t="s">
        <v>10091</v>
      </c>
      <c r="C4996" s="2" t="s">
        <v>17</v>
      </c>
      <c r="D4996" s="2" t="s">
        <v>18</v>
      </c>
      <c r="E4996" s="5">
        <v>-28082</v>
      </c>
      <c r="F4996" s="3" t="s">
        <v>468</v>
      </c>
      <c r="G4996" s="3" t="s">
        <v>20</v>
      </c>
      <c r="H4996" s="2" t="s">
        <v>21</v>
      </c>
      <c r="I4996" s="2" t="s">
        <v>10097</v>
      </c>
      <c r="J4996" s="3" t="str">
        <f>HYPERLINK("https://www.boe.es/gazeta/dias/1823/02/10/pdfs/GMD-1823-44.pdf#page=4","Abrir facsímil")</f>
        <v>Abrir facsímil</v>
      </c>
      <c r="K4996" s="3" t="s">
        <v>23</v>
      </c>
    </row>
    <row r="4997" spans="1:11" ht="42" customHeight="1">
      <c r="A4997" s="2" t="s">
        <v>10090</v>
      </c>
      <c r="B4997" s="2" t="s">
        <v>10091</v>
      </c>
      <c r="C4997" s="2" t="s">
        <v>17</v>
      </c>
      <c r="D4997" s="2" t="s">
        <v>18</v>
      </c>
      <c r="E4997" s="5">
        <v>-28081</v>
      </c>
      <c r="F4997" s="3" t="s">
        <v>170</v>
      </c>
      <c r="G4997" s="3" t="s">
        <v>48</v>
      </c>
      <c r="H4997" s="2" t="s">
        <v>21</v>
      </c>
      <c r="I4997" s="2" t="s">
        <v>10098</v>
      </c>
      <c r="J4997" s="3" t="str">
        <f>HYPERLINK("https://www.boe.es/gazeta/dias/1823/02/11/pdfs/GMD-1823-45.pdf#page=3","Abrir facsímil")</f>
        <v>Abrir facsímil</v>
      </c>
      <c r="K4997" s="3" t="s">
        <v>23</v>
      </c>
    </row>
    <row r="4998" spans="1:11" ht="42" customHeight="1">
      <c r="A4998" s="2" t="s">
        <v>10090</v>
      </c>
      <c r="B4998" s="2" t="s">
        <v>10091</v>
      </c>
      <c r="C4998" s="2" t="s">
        <v>17</v>
      </c>
      <c r="D4998" s="2" t="s">
        <v>18</v>
      </c>
      <c r="E4998" s="5">
        <v>-28080</v>
      </c>
      <c r="F4998" s="3" t="s">
        <v>1010</v>
      </c>
      <c r="G4998" s="3" t="s">
        <v>27</v>
      </c>
      <c r="H4998" s="2" t="s">
        <v>21</v>
      </c>
      <c r="I4998" s="2" t="s">
        <v>10099</v>
      </c>
      <c r="J4998" s="3" t="str">
        <f>HYPERLINK("https://www.boe.es/gazeta/dias/1823/02/12/pdfs/GMD-1823-46.pdf#page=2","Abrir facsímil")</f>
        <v>Abrir facsímil</v>
      </c>
      <c r="K4998" s="3" t="s">
        <v>23</v>
      </c>
    </row>
    <row r="4999" spans="1:11" ht="42" customHeight="1">
      <c r="A4999" s="2" t="s">
        <v>10100</v>
      </c>
      <c r="B4999" s="2" t="s">
        <v>10100</v>
      </c>
      <c r="C4999" s="2" t="s">
        <v>17</v>
      </c>
      <c r="D4999" s="2" t="s">
        <v>18</v>
      </c>
      <c r="E4999" s="5">
        <v>-28001</v>
      </c>
      <c r="F4999" s="3" t="s">
        <v>768</v>
      </c>
      <c r="G4999" s="3" t="s">
        <v>27</v>
      </c>
      <c r="H4999" s="2" t="s">
        <v>21</v>
      </c>
      <c r="I4999" s="2" t="s">
        <v>10101</v>
      </c>
      <c r="J4999" s="3" t="str">
        <f>HYPERLINK("https://www.boe.es/gazeta/dias/1823/05/02/pdfs/GES-1823-22.pdf#page=2","Abrir facsímil")</f>
        <v>Abrir facsímil</v>
      </c>
      <c r="K4999" s="3" t="s">
        <v>23</v>
      </c>
    </row>
    <row r="5000" spans="1:11" ht="42" customHeight="1">
      <c r="A5000" s="2" t="s">
        <v>10102</v>
      </c>
      <c r="B5000" s="2" t="s">
        <v>10102</v>
      </c>
      <c r="C5000" s="2" t="s">
        <v>109</v>
      </c>
      <c r="D5000" s="2" t="s">
        <v>74</v>
      </c>
      <c r="E5000" s="5">
        <v>-28120</v>
      </c>
      <c r="F5000" s="3" t="s">
        <v>2772</v>
      </c>
      <c r="G5000" s="3" t="s">
        <v>3108</v>
      </c>
      <c r="H5000" s="2" t="s">
        <v>21</v>
      </c>
      <c r="I5000" s="2" t="s">
        <v>10103</v>
      </c>
      <c r="J5000" s="3" t="str">
        <f>HYPERLINK("https://www.boe.es/gazeta/dias/1823/01/03/pdfs/GMD-1823-3.pdf#page=3","Abrir facsímil")</f>
        <v>Abrir facsímil</v>
      </c>
      <c r="K5000" s="3" t="s">
        <v>23</v>
      </c>
    </row>
    <row r="5001" spans="1:11" ht="42" customHeight="1">
      <c r="A5001" s="2" t="s">
        <v>10102</v>
      </c>
      <c r="B5001" s="2" t="s">
        <v>10102</v>
      </c>
      <c r="C5001" s="2" t="s">
        <v>109</v>
      </c>
      <c r="D5001" s="2" t="s">
        <v>74</v>
      </c>
      <c r="E5001" s="5">
        <v>-27923</v>
      </c>
      <c r="F5001" s="3" t="s">
        <v>354</v>
      </c>
      <c r="G5001" s="3" t="s">
        <v>39</v>
      </c>
      <c r="H5001" s="2" t="s">
        <v>21</v>
      </c>
      <c r="I5001" s="2" t="s">
        <v>10104</v>
      </c>
      <c r="J5001" s="3" t="str">
        <f>HYPERLINK("https://www.boe.es/gazeta/dias/1823/07/19/pdfs/GES-1823-100.pdf#page=1","Abrir facsímil")</f>
        <v>Abrir facsímil</v>
      </c>
      <c r="K5001" s="3" t="s">
        <v>23</v>
      </c>
    </row>
    <row r="5002" spans="1:11" ht="42" customHeight="1">
      <c r="A5002" s="2" t="s">
        <v>10105</v>
      </c>
      <c r="B5002" s="2" t="s">
        <v>10106</v>
      </c>
      <c r="C5002" s="2" t="s">
        <v>79</v>
      </c>
      <c r="D5002" s="2" t="s">
        <v>74</v>
      </c>
      <c r="E5002" s="5">
        <v>-28018</v>
      </c>
      <c r="F5002" s="3" t="s">
        <v>275</v>
      </c>
      <c r="G5002" s="3" t="s">
        <v>20</v>
      </c>
      <c r="H5002" s="2" t="s">
        <v>21</v>
      </c>
      <c r="I5002" s="2" t="s">
        <v>10107</v>
      </c>
      <c r="J5002" s="3" t="str">
        <f>HYPERLINK("https://www.boe.es/gazeta/dias/1823/04/15/pdfs/GMD-1823-12.pdf#page=4","Abrir facsímil")</f>
        <v>Abrir facsímil</v>
      </c>
      <c r="K5002" s="3" t="s">
        <v>23</v>
      </c>
    </row>
    <row r="5003" spans="1:11" ht="42" customHeight="1">
      <c r="A5003" s="2" t="s">
        <v>10108</v>
      </c>
      <c r="B5003" s="2" t="s">
        <v>10109</v>
      </c>
      <c r="C5003" s="2" t="s">
        <v>79</v>
      </c>
      <c r="D5003" s="2" t="s">
        <v>74</v>
      </c>
      <c r="E5003" s="5">
        <v>-28120</v>
      </c>
      <c r="F5003" s="3" t="s">
        <v>2772</v>
      </c>
      <c r="G5003" s="3" t="s">
        <v>3108</v>
      </c>
      <c r="H5003" s="2" t="s">
        <v>21</v>
      </c>
      <c r="I5003" s="2" t="s">
        <v>10110</v>
      </c>
      <c r="J5003" s="3" t="str">
        <f>HYPERLINK("https://www.boe.es/gazeta/dias/1823/01/03/pdfs/GMD-1823-3.pdf#page=3","Abrir facsímil")</f>
        <v>Abrir facsímil</v>
      </c>
      <c r="K5003" s="3" t="s">
        <v>23</v>
      </c>
    </row>
    <row r="5004" spans="1:11" ht="42" customHeight="1">
      <c r="A5004" s="2" t="s">
        <v>10108</v>
      </c>
      <c r="B5004" s="2" t="s">
        <v>10109</v>
      </c>
      <c r="C5004" s="2" t="s">
        <v>56</v>
      </c>
      <c r="D5004" s="2" t="s">
        <v>57</v>
      </c>
      <c r="E5004" s="5">
        <v>-28080</v>
      </c>
      <c r="F5004" s="3" t="s">
        <v>1010</v>
      </c>
      <c r="G5004" s="3" t="s">
        <v>27</v>
      </c>
      <c r="H5004" s="2" t="s">
        <v>21</v>
      </c>
      <c r="I5004" s="2" t="s">
        <v>10111</v>
      </c>
      <c r="J5004" s="3" t="str">
        <f>HYPERLINK("https://www.boe.es/gazeta/dias/1823/02/12/pdfs/GMD-1823-46.pdf#page=2","Abrir facsímil")</f>
        <v>Abrir facsímil</v>
      </c>
      <c r="K5004" s="3" t="s">
        <v>23</v>
      </c>
    </row>
    <row r="5005" spans="1:11" ht="42" customHeight="1">
      <c r="A5005" s="2" t="s">
        <v>10112</v>
      </c>
      <c r="B5005" s="2" t="s">
        <v>10113</v>
      </c>
      <c r="C5005" s="2" t="s">
        <v>17</v>
      </c>
      <c r="D5005" s="2" t="s">
        <v>18</v>
      </c>
      <c r="E5005" s="5">
        <v>-27890</v>
      </c>
      <c r="F5005" s="3" t="s">
        <v>1573</v>
      </c>
      <c r="G5005" s="3" t="s">
        <v>1574</v>
      </c>
      <c r="H5005" s="2" t="s">
        <v>21</v>
      </c>
      <c r="I5005" s="2" t="s">
        <v>10114</v>
      </c>
      <c r="J5005" s="3" t="str">
        <f>HYPERLINK("https://www.boe.es/gazeta/dias/1823/08/21/pdfs/GMD-1823-623.pdf#page=2","Abrir facsímil")</f>
        <v>Abrir facsímil</v>
      </c>
      <c r="K5005" s="3" t="s">
        <v>23</v>
      </c>
    </row>
    <row r="5006" spans="1:11" ht="42" customHeight="1">
      <c r="A5006" s="2" t="s">
        <v>10115</v>
      </c>
      <c r="B5006" s="2" t="s">
        <v>10116</v>
      </c>
      <c r="C5006" s="2" t="s">
        <v>17</v>
      </c>
      <c r="D5006" s="2" t="s">
        <v>18</v>
      </c>
      <c r="E5006" s="5">
        <v>-27841</v>
      </c>
      <c r="F5006" s="3" t="s">
        <v>721</v>
      </c>
      <c r="G5006" s="3" t="s">
        <v>20</v>
      </c>
      <c r="H5006" s="2" t="s">
        <v>21</v>
      </c>
      <c r="I5006" s="2" t="s">
        <v>10117</v>
      </c>
      <c r="J5006" s="3" t="str">
        <f>HYPERLINK("https://www.boe.es/gazeta/dias/1823/10/09/pdfs/GMD-1823-953.pdf#page=4","Abrir facsímil")</f>
        <v>Abrir facsímil</v>
      </c>
      <c r="K5006" s="3" t="s">
        <v>23</v>
      </c>
    </row>
    <row r="5007" spans="1:11" ht="42" customHeight="1">
      <c r="A5007" s="2" t="s">
        <v>10118</v>
      </c>
      <c r="B5007" s="2" t="s">
        <v>10118</v>
      </c>
      <c r="C5007" s="2" t="s">
        <v>17</v>
      </c>
      <c r="D5007" s="2" t="s">
        <v>18</v>
      </c>
      <c r="E5007" s="5">
        <v>-27855</v>
      </c>
      <c r="F5007" s="3" t="s">
        <v>380</v>
      </c>
      <c r="G5007" s="3" t="s">
        <v>27</v>
      </c>
      <c r="H5007" s="2" t="s">
        <v>21</v>
      </c>
      <c r="I5007" s="2" t="s">
        <v>10119</v>
      </c>
      <c r="J5007" s="3" t="str">
        <f>HYPERLINK("https://www.boe.es/gazeta/dias/1823/09/25/pdfs/GMD-1823-853.pdf#page=2","Abrir facsímil")</f>
        <v>Abrir facsímil</v>
      </c>
      <c r="K5007" s="3" t="s">
        <v>23</v>
      </c>
    </row>
    <row r="5008" spans="1:11" ht="42" customHeight="1">
      <c r="A5008" s="2" t="s">
        <v>10120</v>
      </c>
      <c r="B5008" s="2" t="s">
        <v>10120</v>
      </c>
      <c r="C5008" s="2" t="s">
        <v>17</v>
      </c>
      <c r="D5008" s="2" t="s">
        <v>18</v>
      </c>
      <c r="E5008" s="5">
        <v>-27904</v>
      </c>
      <c r="F5008" s="3" t="s">
        <v>1227</v>
      </c>
      <c r="G5008" s="3" t="s">
        <v>20</v>
      </c>
      <c r="H5008" s="2" t="s">
        <v>21</v>
      </c>
      <c r="I5008" s="2" t="s">
        <v>10121</v>
      </c>
      <c r="J5008" s="3" t="str">
        <f>HYPERLINK("https://www.boe.es/gazeta/dias/1823/08/07/pdfs/GMD-1823-543.pdf#page=4","Abrir facsímil")</f>
        <v>Abrir facsímil</v>
      </c>
      <c r="K5008" s="3" t="s">
        <v>23</v>
      </c>
    </row>
    <row r="5009" spans="1:11" ht="42" customHeight="1">
      <c r="A5009" s="2" t="s">
        <v>10122</v>
      </c>
      <c r="B5009" s="2" t="s">
        <v>10122</v>
      </c>
      <c r="C5009" s="2" t="s">
        <v>17</v>
      </c>
      <c r="D5009" s="2" t="s">
        <v>18</v>
      </c>
      <c r="E5009" s="5">
        <v>-28062</v>
      </c>
      <c r="F5009" s="3" t="s">
        <v>1357</v>
      </c>
      <c r="G5009" s="3" t="s">
        <v>48</v>
      </c>
      <c r="H5009" s="2" t="s">
        <v>21</v>
      </c>
      <c r="I5009" s="2" t="s">
        <v>10123</v>
      </c>
      <c r="J5009" s="3" t="str">
        <f>HYPERLINK("https://www.boe.es/gazeta/dias/1823/03/02/pdfs/GMD-1823-65.pdf#page=3","Abrir facsímil")</f>
        <v>Abrir facsímil</v>
      </c>
      <c r="K5009" s="3" t="s">
        <v>23</v>
      </c>
    </row>
    <row r="5010" spans="1:11" ht="42" customHeight="1">
      <c r="A5010" s="2" t="s">
        <v>10122</v>
      </c>
      <c r="B5010" s="2" t="s">
        <v>10122</v>
      </c>
      <c r="C5010" s="2" t="s">
        <v>17</v>
      </c>
      <c r="D5010" s="2" t="s">
        <v>18</v>
      </c>
      <c r="E5010" s="5">
        <v>-27967</v>
      </c>
      <c r="F5010" s="3" t="s">
        <v>2493</v>
      </c>
      <c r="G5010" s="3" t="s">
        <v>20</v>
      </c>
      <c r="H5010" s="2" t="s">
        <v>21</v>
      </c>
      <c r="I5010" s="2" t="s">
        <v>10124</v>
      </c>
      <c r="J5010" s="3" t="str">
        <f>HYPERLINK("https://www.boe.es/gazeta/dias/1823/06/05/pdfs/GMD-1823-63.pdf#page=4","Abrir facsímil")</f>
        <v>Abrir facsímil</v>
      </c>
      <c r="K5010" s="3" t="s">
        <v>23</v>
      </c>
    </row>
    <row r="5011" spans="1:11" ht="42" customHeight="1">
      <c r="A5011" s="2" t="s">
        <v>10125</v>
      </c>
      <c r="B5011" s="2" t="s">
        <v>10125</v>
      </c>
      <c r="C5011" s="2" t="s">
        <v>17</v>
      </c>
      <c r="D5011" s="2" t="s">
        <v>18</v>
      </c>
      <c r="E5011" s="5">
        <v>-27934</v>
      </c>
      <c r="F5011" s="3" t="s">
        <v>634</v>
      </c>
      <c r="G5011" s="3" t="s">
        <v>20</v>
      </c>
      <c r="H5011" s="2" t="s">
        <v>21</v>
      </c>
      <c r="I5011" s="2" t="s">
        <v>10126</v>
      </c>
      <c r="J5011" s="3" t="str">
        <f>HYPERLINK("https://www.boe.es/gazeta/dias/1823/07/08/pdfs/GMD-1823-353.pdf#page=4","Abrir facsímil")</f>
        <v>Abrir facsímil</v>
      </c>
      <c r="K5011" s="3" t="s">
        <v>23</v>
      </c>
    </row>
    <row r="5012" spans="1:11" ht="42" customHeight="1">
      <c r="A5012" s="2" t="s">
        <v>10127</v>
      </c>
      <c r="B5012" s="2" t="s">
        <v>10127</v>
      </c>
      <c r="C5012" s="2" t="s">
        <v>17</v>
      </c>
      <c r="D5012" s="2" t="s">
        <v>18</v>
      </c>
      <c r="E5012" s="5">
        <v>-27927</v>
      </c>
      <c r="F5012" s="3" t="s">
        <v>2409</v>
      </c>
      <c r="G5012" s="3" t="s">
        <v>20</v>
      </c>
      <c r="H5012" s="2" t="s">
        <v>21</v>
      </c>
      <c r="I5012" s="2" t="s">
        <v>10128</v>
      </c>
      <c r="J5012" s="3" t="str">
        <f>HYPERLINK("https://www.boe.es/gazeta/dias/1823/07/15/pdfs/GMD-1823-403.pdf#page=4","Abrir facsímil")</f>
        <v>Abrir facsímil</v>
      </c>
      <c r="K5012" s="3" t="s">
        <v>23</v>
      </c>
    </row>
    <row r="5013" spans="1:11" ht="42" customHeight="1">
      <c r="A5013" s="2" t="s">
        <v>10129</v>
      </c>
      <c r="B5013" s="2" t="s">
        <v>10129</v>
      </c>
      <c r="C5013" s="2" t="s">
        <v>79</v>
      </c>
      <c r="D5013" s="2" t="s">
        <v>74</v>
      </c>
      <c r="E5013" s="5">
        <v>-27986</v>
      </c>
      <c r="F5013" s="3" t="s">
        <v>75</v>
      </c>
      <c r="G5013" s="3" t="s">
        <v>34</v>
      </c>
      <c r="H5013" s="2" t="s">
        <v>21</v>
      </c>
      <c r="I5013" s="2" t="s">
        <v>10130</v>
      </c>
      <c r="J5013" s="3" t="str">
        <f>HYPERLINK("https://www.boe.es/gazeta/dias/1823/05/17/pdfs/GES-1823-37.pdf#page=5","Abrir facsímil")</f>
        <v>Abrir facsímil</v>
      </c>
      <c r="K5013" s="3" t="s">
        <v>23</v>
      </c>
    </row>
    <row r="5014" spans="1:11" ht="42" customHeight="1">
      <c r="A5014" s="2" t="s">
        <v>10131</v>
      </c>
      <c r="B5014" s="2" t="s">
        <v>10131</v>
      </c>
      <c r="C5014" s="2" t="s">
        <v>17</v>
      </c>
      <c r="D5014" s="2" t="s">
        <v>18</v>
      </c>
      <c r="E5014" s="5">
        <v>-27967</v>
      </c>
      <c r="F5014" s="3" t="s">
        <v>2493</v>
      </c>
      <c r="G5014" s="3" t="s">
        <v>20</v>
      </c>
      <c r="H5014" s="2" t="s">
        <v>21</v>
      </c>
      <c r="I5014" s="2" t="s">
        <v>10132</v>
      </c>
      <c r="J5014" s="3" t="str">
        <f>HYPERLINK("https://www.boe.es/gazeta/dias/1823/06/05/pdfs/GMD-1823-63.pdf#page=4","Abrir facsímil")</f>
        <v>Abrir facsímil</v>
      </c>
      <c r="K5014" s="3" t="s">
        <v>23</v>
      </c>
    </row>
    <row r="5015" spans="1:11" ht="42" customHeight="1">
      <c r="A5015" s="2" t="s">
        <v>10133</v>
      </c>
      <c r="B5015" s="2" t="s">
        <v>10133</v>
      </c>
      <c r="C5015" s="2" t="s">
        <v>17</v>
      </c>
      <c r="D5015" s="2" t="s">
        <v>18</v>
      </c>
      <c r="E5015" s="5">
        <v>-28042</v>
      </c>
      <c r="F5015" s="3" t="s">
        <v>1218</v>
      </c>
      <c r="G5015" s="3" t="s">
        <v>39</v>
      </c>
      <c r="H5015" s="2" t="s">
        <v>21</v>
      </c>
      <c r="I5015" s="2" t="s">
        <v>10134</v>
      </c>
      <c r="J5015" s="3" t="str">
        <f>HYPERLINK("https://www.boe.es/gazeta/dias/1823/03/22/pdfs/GMD-1823-85.pdf#page=1","Abrir facsímil")</f>
        <v>Abrir facsímil</v>
      </c>
      <c r="K5015" s="3" t="s">
        <v>23</v>
      </c>
    </row>
    <row r="5016" spans="1:11" ht="42" customHeight="1">
      <c r="A5016" s="2" t="s">
        <v>10135</v>
      </c>
      <c r="B5016" s="2" t="s">
        <v>10135</v>
      </c>
      <c r="C5016" s="2" t="s">
        <v>17</v>
      </c>
      <c r="D5016" s="2" t="s">
        <v>18</v>
      </c>
      <c r="E5016" s="5">
        <v>-27918</v>
      </c>
      <c r="F5016" s="3" t="s">
        <v>218</v>
      </c>
      <c r="G5016" s="3" t="s">
        <v>20</v>
      </c>
      <c r="H5016" s="2" t="s">
        <v>21</v>
      </c>
      <c r="I5016" s="2" t="s">
        <v>10136</v>
      </c>
      <c r="J5016" s="3" t="str">
        <f>HYPERLINK("https://www.boe.es/gazeta/dias/1823/07/24/pdfs/GMD-1823-463.pdf#page=4","Abrir facsímil")</f>
        <v>Abrir facsímil</v>
      </c>
      <c r="K5016" s="3" t="s">
        <v>23</v>
      </c>
    </row>
    <row r="5017" spans="1:11" ht="42" customHeight="1">
      <c r="A5017" s="2" t="s">
        <v>10137</v>
      </c>
      <c r="B5017" s="2" t="s">
        <v>10137</v>
      </c>
      <c r="C5017" s="2" t="s">
        <v>17</v>
      </c>
      <c r="D5017" s="2" t="s">
        <v>18</v>
      </c>
      <c r="E5017" s="5">
        <v>-28077</v>
      </c>
      <c r="F5017" s="3" t="s">
        <v>536</v>
      </c>
      <c r="G5017" s="3" t="s">
        <v>59</v>
      </c>
      <c r="H5017" s="2" t="s">
        <v>21</v>
      </c>
      <c r="I5017" s="2" t="s">
        <v>10138</v>
      </c>
      <c r="J5017" s="3" t="str">
        <f>HYPERLINK("https://www.boe.es/gazeta/dias/1823/02/15/pdfs/GMD-1823-49.pdf#page=6","Abrir facsímil")</f>
        <v>Abrir facsímil</v>
      </c>
      <c r="K5017" s="3" t="s">
        <v>23</v>
      </c>
    </row>
    <row r="5018" spans="1:11" ht="42" customHeight="1">
      <c r="A5018" s="2" t="s">
        <v>10137</v>
      </c>
      <c r="B5018" s="2" t="s">
        <v>10137</v>
      </c>
      <c r="C5018" s="2" t="s">
        <v>17</v>
      </c>
      <c r="D5018" s="2" t="s">
        <v>18</v>
      </c>
      <c r="E5018" s="5">
        <v>-28074</v>
      </c>
      <c r="F5018" s="3" t="s">
        <v>212</v>
      </c>
      <c r="G5018" s="3" t="s">
        <v>39</v>
      </c>
      <c r="H5018" s="2" t="s">
        <v>21</v>
      </c>
      <c r="I5018" s="2" t="s">
        <v>10139</v>
      </c>
      <c r="J5018" s="3" t="str">
        <f>HYPERLINK("https://www.boe.es/gazeta/dias/1823/02/18/pdfs/GMD-1823-52.pdf#page=1","Abrir facsímil")</f>
        <v>Abrir facsímil</v>
      </c>
      <c r="K5018" s="3" t="s">
        <v>23</v>
      </c>
    </row>
    <row r="5019" spans="1:11" ht="42" customHeight="1">
      <c r="A5019" s="2" t="s">
        <v>10137</v>
      </c>
      <c r="B5019" s="2" t="s">
        <v>10137</v>
      </c>
      <c r="C5019" s="2" t="s">
        <v>17</v>
      </c>
      <c r="D5019" s="2" t="s">
        <v>18</v>
      </c>
      <c r="E5019" s="5">
        <v>-28063</v>
      </c>
      <c r="F5019" s="3" t="s">
        <v>2493</v>
      </c>
      <c r="G5019" s="3" t="s">
        <v>27</v>
      </c>
      <c r="H5019" s="2" t="s">
        <v>21</v>
      </c>
      <c r="I5019" s="2" t="s">
        <v>10140</v>
      </c>
      <c r="J5019" s="3" t="str">
        <f>HYPERLINK("https://www.boe.es/gazeta/dias/1823/03/01/pdfs/GMD-1823-63.pdf#page=2","Abrir facsímil")</f>
        <v>Abrir facsímil</v>
      </c>
      <c r="K5019" s="3" t="s">
        <v>23</v>
      </c>
    </row>
    <row r="5020" spans="1:11" ht="42" customHeight="1">
      <c r="A5020" s="2" t="s">
        <v>10137</v>
      </c>
      <c r="B5020" s="2" t="s">
        <v>10137</v>
      </c>
      <c r="C5020" s="2" t="s">
        <v>17</v>
      </c>
      <c r="D5020" s="2" t="s">
        <v>18</v>
      </c>
      <c r="E5020" s="5">
        <v>-28061</v>
      </c>
      <c r="F5020" s="3" t="s">
        <v>704</v>
      </c>
      <c r="G5020" s="3" t="s">
        <v>20</v>
      </c>
      <c r="H5020" s="2" t="s">
        <v>21</v>
      </c>
      <c r="I5020" s="2" t="s">
        <v>10141</v>
      </c>
      <c r="J5020" s="3" t="str">
        <f>HYPERLINK("https://www.boe.es/gazeta/dias/1823/03/03/pdfs/GMD-1823-66.pdf#page=4","Abrir facsímil")</f>
        <v>Abrir facsímil</v>
      </c>
      <c r="K5020" s="3" t="s">
        <v>23</v>
      </c>
    </row>
    <row r="5021" spans="1:11" ht="42" customHeight="1">
      <c r="A5021" s="2" t="s">
        <v>10137</v>
      </c>
      <c r="B5021" s="2" t="s">
        <v>10137</v>
      </c>
      <c r="C5021" s="2" t="s">
        <v>17</v>
      </c>
      <c r="D5021" s="2" t="s">
        <v>18</v>
      </c>
      <c r="E5021" s="5">
        <v>-28035</v>
      </c>
      <c r="F5021" s="3" t="s">
        <v>138</v>
      </c>
      <c r="G5021" s="3" t="s">
        <v>48</v>
      </c>
      <c r="H5021" s="2" t="s">
        <v>21</v>
      </c>
      <c r="I5021" s="2" t="s">
        <v>10142</v>
      </c>
      <c r="J5021" s="3" t="str">
        <f>HYPERLINK("https://www.boe.es/gazeta/dias/1823/03/29/pdfs/GMD-1823-92.pdf#page=3","Abrir facsímil")</f>
        <v>Abrir facsímil</v>
      </c>
      <c r="K5021" s="3" t="s">
        <v>23</v>
      </c>
    </row>
    <row r="5022" spans="1:11" ht="42" customHeight="1">
      <c r="A5022" s="2" t="s">
        <v>10137</v>
      </c>
      <c r="B5022" s="2" t="s">
        <v>10137</v>
      </c>
      <c r="C5022" s="2" t="s">
        <v>17</v>
      </c>
      <c r="D5022" s="2" t="s">
        <v>18</v>
      </c>
      <c r="E5022" s="5">
        <v>-28029</v>
      </c>
      <c r="F5022" s="3" t="s">
        <v>141</v>
      </c>
      <c r="G5022" s="3" t="s">
        <v>20</v>
      </c>
      <c r="H5022" s="2" t="s">
        <v>21</v>
      </c>
      <c r="I5022" s="2" t="s">
        <v>10143</v>
      </c>
      <c r="J5022" s="3" t="str">
        <f>HYPERLINK("https://www.boe.es/gazeta/dias/1823/04/04/pdfs/GMD-1823-98.pdf#page=4","Abrir facsímil")</f>
        <v>Abrir facsímil</v>
      </c>
      <c r="K5022" s="3" t="s">
        <v>23</v>
      </c>
    </row>
    <row r="5023" spans="1:11" ht="42" customHeight="1">
      <c r="A5023" s="2" t="s">
        <v>10137</v>
      </c>
      <c r="B5023" s="2" t="s">
        <v>10137</v>
      </c>
      <c r="C5023" s="2" t="s">
        <v>17</v>
      </c>
      <c r="D5023" s="2" t="s">
        <v>18</v>
      </c>
      <c r="E5023" s="5">
        <v>-28021</v>
      </c>
      <c r="F5023" s="3" t="s">
        <v>2669</v>
      </c>
      <c r="G5023" s="3" t="s">
        <v>48</v>
      </c>
      <c r="H5023" s="2" t="s">
        <v>21</v>
      </c>
      <c r="I5023" s="2" t="s">
        <v>10144</v>
      </c>
      <c r="J5023" s="3" t="str">
        <f>HYPERLINK("https://www.boe.es/gazeta/dias/1823/04/12/pdfs/GES-1823-2.pdf#page=3","Abrir facsímil")</f>
        <v>Abrir facsímil</v>
      </c>
      <c r="K5023" s="3" t="s">
        <v>23</v>
      </c>
    </row>
    <row r="5024" spans="1:11" ht="42" customHeight="1">
      <c r="A5024" s="2" t="s">
        <v>10137</v>
      </c>
      <c r="B5024" s="2" t="s">
        <v>10137</v>
      </c>
      <c r="C5024" s="2" t="s">
        <v>17</v>
      </c>
      <c r="D5024" s="2" t="s">
        <v>18</v>
      </c>
      <c r="E5024" s="5">
        <v>-28010</v>
      </c>
      <c r="F5024" s="3" t="s">
        <v>808</v>
      </c>
      <c r="G5024" s="3" t="s">
        <v>27</v>
      </c>
      <c r="H5024" s="2" t="s">
        <v>21</v>
      </c>
      <c r="I5024" s="2" t="s">
        <v>10145</v>
      </c>
      <c r="J5024" s="3" t="str">
        <f>HYPERLINK("https://www.boe.es/gazeta/dias/1823/04/23/pdfs/GES-1823-13.pdf#page=2","Abrir facsímil")</f>
        <v>Abrir facsímil</v>
      </c>
      <c r="K5024" s="3" t="s">
        <v>23</v>
      </c>
    </row>
    <row r="5025" spans="1:11" ht="42" customHeight="1">
      <c r="A5025" s="2" t="s">
        <v>10137</v>
      </c>
      <c r="B5025" s="2" t="s">
        <v>10137</v>
      </c>
      <c r="C5025" s="2" t="s">
        <v>17</v>
      </c>
      <c r="D5025" s="2" t="s">
        <v>18</v>
      </c>
      <c r="E5025" s="5">
        <v>-28005</v>
      </c>
      <c r="F5025" s="3" t="s">
        <v>1648</v>
      </c>
      <c r="G5025" s="3" t="s">
        <v>7662</v>
      </c>
      <c r="H5025" s="2" t="s">
        <v>21</v>
      </c>
      <c r="I5025" s="2" t="s">
        <v>10146</v>
      </c>
      <c r="J5025" s="3" t="str">
        <f>HYPERLINK("https://www.boe.es/gazeta/dias/1823/04/28/pdfs/GES-1823-18.pdf#page=1","Abrir facsímil")</f>
        <v>Abrir facsímil</v>
      </c>
      <c r="K5025" s="3" t="s">
        <v>23</v>
      </c>
    </row>
    <row r="5026" spans="1:11" ht="42" customHeight="1">
      <c r="A5026" s="2" t="s">
        <v>10137</v>
      </c>
      <c r="B5026" s="2" t="s">
        <v>10137</v>
      </c>
      <c r="C5026" s="2" t="s">
        <v>17</v>
      </c>
      <c r="D5026" s="2" t="s">
        <v>18</v>
      </c>
      <c r="E5026" s="5">
        <v>-27960</v>
      </c>
      <c r="F5026" s="3" t="s">
        <v>682</v>
      </c>
      <c r="G5026" s="3" t="s">
        <v>815</v>
      </c>
      <c r="H5026" s="2" t="s">
        <v>21</v>
      </c>
      <c r="I5026" s="2" t="s">
        <v>10147</v>
      </c>
      <c r="J5026" s="3" t="str">
        <f>HYPERLINK("https://www.boe.es/gazeta/dias/1823/06/12/pdfs/GMD-1823-123.pdf#page=6","Abrir facsímil")</f>
        <v>Abrir facsímil</v>
      </c>
      <c r="K5026" s="3" t="s">
        <v>23</v>
      </c>
    </row>
    <row r="5027" spans="1:11" ht="42" customHeight="1">
      <c r="A5027" s="2" t="s">
        <v>10148</v>
      </c>
      <c r="B5027" s="2" t="s">
        <v>10148</v>
      </c>
      <c r="C5027" s="2" t="s">
        <v>17</v>
      </c>
      <c r="D5027" s="2" t="s">
        <v>18</v>
      </c>
      <c r="E5027" s="5">
        <v>-27944</v>
      </c>
      <c r="F5027" s="3" t="s">
        <v>658</v>
      </c>
      <c r="G5027" s="3" t="s">
        <v>39</v>
      </c>
      <c r="H5027" s="2" t="s">
        <v>21</v>
      </c>
      <c r="I5027" s="2" t="s">
        <v>10149</v>
      </c>
      <c r="J5027" s="3" t="str">
        <f>HYPERLINK("https://www.boe.es/gazeta/dias/1823/06/28/pdfs/GMD-1823-303.pdf#page=1","Abrir facsímil")</f>
        <v>Abrir facsímil</v>
      </c>
      <c r="K5027" s="3" t="s">
        <v>23</v>
      </c>
    </row>
    <row r="5028" spans="1:11" ht="42" customHeight="1">
      <c r="A5028" s="2" t="s">
        <v>10137</v>
      </c>
      <c r="B5028" s="2" t="s">
        <v>10137</v>
      </c>
      <c r="C5028" s="2" t="s">
        <v>17</v>
      </c>
      <c r="D5028" s="2" t="s">
        <v>18</v>
      </c>
      <c r="E5028" s="5">
        <v>-27941</v>
      </c>
      <c r="F5028" s="3" t="s">
        <v>1551</v>
      </c>
      <c r="G5028" s="3" t="s">
        <v>20</v>
      </c>
      <c r="H5028" s="2" t="s">
        <v>21</v>
      </c>
      <c r="I5028" s="2" t="s">
        <v>10150</v>
      </c>
      <c r="J5028" s="3" t="str">
        <f>HYPERLINK("https://www.boe.es/gazeta/dias/1823/07/01/pdfs/GMD-1823-323.pdf#page=4","Abrir facsímil")</f>
        <v>Abrir facsímil</v>
      </c>
      <c r="K5028" s="3" t="s">
        <v>23</v>
      </c>
    </row>
    <row r="5029" spans="1:11" ht="42" customHeight="1">
      <c r="A5029" s="2" t="s">
        <v>10137</v>
      </c>
      <c r="B5029" s="2" t="s">
        <v>10137</v>
      </c>
      <c r="C5029" s="2" t="s">
        <v>17</v>
      </c>
      <c r="D5029" s="2" t="s">
        <v>18</v>
      </c>
      <c r="E5029" s="5">
        <v>-27923</v>
      </c>
      <c r="F5029" s="3" t="s">
        <v>1225</v>
      </c>
      <c r="G5029" s="3" t="s">
        <v>20</v>
      </c>
      <c r="H5029" s="2" t="s">
        <v>21</v>
      </c>
      <c r="I5029" s="2" t="s">
        <v>10151</v>
      </c>
      <c r="J5029" s="3" t="str">
        <f>HYPERLINK("https://www.boe.es/gazeta/dias/1823/07/19/pdfs/GMD-1823-433.pdf#page=4","Abrir facsímil")</f>
        <v>Abrir facsímil</v>
      </c>
      <c r="K5029" s="3" t="s">
        <v>23</v>
      </c>
    </row>
    <row r="5030" spans="1:11" ht="42" customHeight="1">
      <c r="A5030" s="2" t="s">
        <v>10137</v>
      </c>
      <c r="B5030" s="2" t="s">
        <v>10137</v>
      </c>
      <c r="C5030" s="2" t="s">
        <v>17</v>
      </c>
      <c r="D5030" s="2" t="s">
        <v>18</v>
      </c>
      <c r="E5030" s="5">
        <v>-27918</v>
      </c>
      <c r="F5030" s="3" t="s">
        <v>218</v>
      </c>
      <c r="G5030" s="3" t="s">
        <v>34</v>
      </c>
      <c r="H5030" s="2" t="s">
        <v>21</v>
      </c>
      <c r="I5030" s="2" t="s">
        <v>10152</v>
      </c>
      <c r="J5030" s="3" t="str">
        <f>HYPERLINK("https://www.boe.es/gazeta/dias/1823/07/24/pdfs/GMD-1823-463.pdf#page=5","Abrir facsímil")</f>
        <v>Abrir facsímil</v>
      </c>
      <c r="K5030" s="3" t="s">
        <v>23</v>
      </c>
    </row>
    <row r="5031" spans="1:11" ht="42" customHeight="1">
      <c r="A5031" s="2" t="s">
        <v>10137</v>
      </c>
      <c r="B5031" s="2" t="s">
        <v>10137</v>
      </c>
      <c r="C5031" s="2" t="s">
        <v>17</v>
      </c>
      <c r="D5031" s="2" t="s">
        <v>18</v>
      </c>
      <c r="E5031" s="5">
        <v>-27913</v>
      </c>
      <c r="F5031" s="3" t="s">
        <v>829</v>
      </c>
      <c r="G5031" s="3" t="s">
        <v>34</v>
      </c>
      <c r="H5031" s="2" t="s">
        <v>21</v>
      </c>
      <c r="I5031" s="2" t="s">
        <v>10153</v>
      </c>
      <c r="J5031" s="3" t="str">
        <f>HYPERLINK("https://www.boe.es/gazeta/dias/1823/07/29/pdfs/GMD-1823-483.pdf#page=5","Abrir facsímil")</f>
        <v>Abrir facsímil</v>
      </c>
      <c r="K5031" s="3" t="s">
        <v>23</v>
      </c>
    </row>
    <row r="5032" spans="1:11" ht="42" customHeight="1">
      <c r="A5032" s="2" t="s">
        <v>10137</v>
      </c>
      <c r="B5032" s="2" t="s">
        <v>10137</v>
      </c>
      <c r="C5032" s="2" t="s">
        <v>17</v>
      </c>
      <c r="D5032" s="2" t="s">
        <v>18</v>
      </c>
      <c r="E5032" s="5">
        <v>-27899</v>
      </c>
      <c r="F5032" s="3" t="s">
        <v>215</v>
      </c>
      <c r="G5032" s="3" t="s">
        <v>39</v>
      </c>
      <c r="H5032" s="2" t="s">
        <v>21</v>
      </c>
      <c r="I5032" s="2" t="s">
        <v>10154</v>
      </c>
      <c r="J5032" s="3" t="str">
        <f>HYPERLINK("https://www.boe.es/gazeta/dias/1823/08/12/pdfs/GMD-1823-583.pdf#page=1","Abrir facsímil")</f>
        <v>Abrir facsímil</v>
      </c>
      <c r="K5032" s="3" t="s">
        <v>23</v>
      </c>
    </row>
    <row r="5033" spans="1:11" ht="42" customHeight="1">
      <c r="A5033" s="2" t="s">
        <v>10137</v>
      </c>
      <c r="B5033" s="2" t="s">
        <v>10137</v>
      </c>
      <c r="C5033" s="2" t="s">
        <v>17</v>
      </c>
      <c r="D5033" s="2" t="s">
        <v>18</v>
      </c>
      <c r="E5033" s="5">
        <v>-27874</v>
      </c>
      <c r="F5033" s="3" t="s">
        <v>122</v>
      </c>
      <c r="G5033" s="3" t="s">
        <v>39</v>
      </c>
      <c r="H5033" s="2" t="s">
        <v>21</v>
      </c>
      <c r="I5033" s="2" t="s">
        <v>10155</v>
      </c>
      <c r="J5033" s="3" t="str">
        <f>HYPERLINK("https://www.boe.es/gazeta/dias/1823/09/06/pdfs/GMD-1823-713.pdf#page=1","Abrir facsímil")</f>
        <v>Abrir facsímil</v>
      </c>
      <c r="K5033" s="3" t="s">
        <v>23</v>
      </c>
    </row>
    <row r="5034" spans="1:11" ht="42" customHeight="1">
      <c r="A5034" s="2" t="s">
        <v>10137</v>
      </c>
      <c r="B5034" s="2" t="s">
        <v>10137</v>
      </c>
      <c r="C5034" s="2" t="s">
        <v>17</v>
      </c>
      <c r="D5034" s="2" t="s">
        <v>18</v>
      </c>
      <c r="E5034" s="5">
        <v>-27873</v>
      </c>
      <c r="F5034" s="3" t="s">
        <v>160</v>
      </c>
      <c r="G5034" s="3" t="s">
        <v>39</v>
      </c>
      <c r="H5034" s="2" t="s">
        <v>21</v>
      </c>
      <c r="I5034" s="2" t="s">
        <v>10156</v>
      </c>
      <c r="J5034" s="3" t="str">
        <f>HYPERLINK("https://www.boe.es/gazeta/dias/1823/09/07/pdfs/GES-1823-151.pdf#page=1","Abrir facsímil")</f>
        <v>Abrir facsímil</v>
      </c>
      <c r="K5034" s="3" t="s">
        <v>23</v>
      </c>
    </row>
    <row r="5035" spans="1:11" ht="42" customHeight="1">
      <c r="A5035" s="2" t="s">
        <v>10137</v>
      </c>
      <c r="B5035" s="2" t="s">
        <v>10137</v>
      </c>
      <c r="C5035" s="2" t="s">
        <v>17</v>
      </c>
      <c r="D5035" s="2" t="s">
        <v>18</v>
      </c>
      <c r="E5035" s="5">
        <v>-27853</v>
      </c>
      <c r="F5035" s="3" t="s">
        <v>2626</v>
      </c>
      <c r="G5035" s="3" t="s">
        <v>48</v>
      </c>
      <c r="H5035" s="2" t="s">
        <v>21</v>
      </c>
      <c r="I5035" s="2" t="s">
        <v>10157</v>
      </c>
      <c r="J5035" s="3" t="str">
        <f>HYPERLINK("https://www.boe.es/gazeta/dias/1823/09/27/pdfs/GES-1823-171.pdf#page=3","Abrir facsímil")</f>
        <v>Abrir facsímil</v>
      </c>
      <c r="K5035" s="3" t="s">
        <v>23</v>
      </c>
    </row>
    <row r="5036" spans="1:11" ht="42" customHeight="1">
      <c r="A5036" s="2" t="s">
        <v>10137</v>
      </c>
      <c r="B5036" s="2" t="s">
        <v>10137</v>
      </c>
      <c r="C5036" s="2" t="s">
        <v>17</v>
      </c>
      <c r="D5036" s="2" t="s">
        <v>18</v>
      </c>
      <c r="E5036" s="5">
        <v>-27850</v>
      </c>
      <c r="F5036" s="3" t="s">
        <v>910</v>
      </c>
      <c r="G5036" s="3" t="s">
        <v>48</v>
      </c>
      <c r="H5036" s="2" t="s">
        <v>21</v>
      </c>
      <c r="I5036" s="2" t="s">
        <v>10158</v>
      </c>
      <c r="J5036" s="3" t="str">
        <f>HYPERLINK("https://www.boe.es/gazeta/dias/1823/09/30/pdfs/GMD-1823-873.pdf#page=3","Abrir facsímil")</f>
        <v>Abrir facsímil</v>
      </c>
      <c r="K5036" s="3" t="s">
        <v>23</v>
      </c>
    </row>
    <row r="5037" spans="1:11" ht="42" customHeight="1">
      <c r="A5037" s="2" t="s">
        <v>10137</v>
      </c>
      <c r="B5037" s="2" t="s">
        <v>10137</v>
      </c>
      <c r="C5037" s="2" t="s">
        <v>17</v>
      </c>
      <c r="D5037" s="2" t="s">
        <v>18</v>
      </c>
      <c r="E5037" s="5">
        <v>-27785</v>
      </c>
      <c r="F5037" s="3" t="s">
        <v>1397</v>
      </c>
      <c r="G5037" s="3" t="s">
        <v>48</v>
      </c>
      <c r="H5037" s="2" t="s">
        <v>21</v>
      </c>
      <c r="I5037" s="2" t="s">
        <v>10159</v>
      </c>
      <c r="J5037" s="3" t="str">
        <f>HYPERLINK("https://www.boe.es/gazeta/dias/1823/12/04/pdfs/GMD-1823-1203.pdf#page=3","Abrir facsímil")</f>
        <v>Abrir facsímil</v>
      </c>
      <c r="K5037" s="3" t="s">
        <v>23</v>
      </c>
    </row>
    <row r="5038" spans="1:11" ht="42" customHeight="1">
      <c r="A5038" s="2" t="s">
        <v>10160</v>
      </c>
      <c r="B5038" s="2" t="s">
        <v>10161</v>
      </c>
      <c r="C5038" s="2" t="s">
        <v>17</v>
      </c>
      <c r="D5038" s="2" t="s">
        <v>18</v>
      </c>
      <c r="E5038" s="5">
        <v>-27848</v>
      </c>
      <c r="F5038" s="3" t="s">
        <v>2665</v>
      </c>
      <c r="G5038" s="3" t="s">
        <v>27</v>
      </c>
      <c r="H5038" s="2" t="s">
        <v>21</v>
      </c>
      <c r="I5038" s="2" t="s">
        <v>10162</v>
      </c>
      <c r="J5038" s="3" t="str">
        <f>HYPERLINK("https://www.boe.es/gazeta/dias/1823/10/02/pdfs/GMD-1823-893.pdf#page=2","Abrir facsímil")</f>
        <v>Abrir facsímil</v>
      </c>
      <c r="K5038" s="3" t="s">
        <v>23</v>
      </c>
    </row>
    <row r="5039" spans="1:11" ht="42" customHeight="1">
      <c r="A5039" s="2" t="s">
        <v>10163</v>
      </c>
      <c r="B5039" s="2" t="s">
        <v>10163</v>
      </c>
      <c r="C5039" s="2" t="s">
        <v>17</v>
      </c>
      <c r="D5039" s="2" t="s">
        <v>18</v>
      </c>
      <c r="E5039" s="5">
        <v>-27860</v>
      </c>
      <c r="F5039" s="3" t="s">
        <v>998</v>
      </c>
      <c r="G5039" s="3" t="s">
        <v>59</v>
      </c>
      <c r="H5039" s="2" t="s">
        <v>21</v>
      </c>
      <c r="I5039" s="2" t="s">
        <v>10164</v>
      </c>
      <c r="J5039" s="3" t="str">
        <f>HYPERLINK("https://www.boe.es/gazeta/dias/1823/09/20/pdfs/GMD-1823-813.pdf#page=6","Abrir facsímil")</f>
        <v>Abrir facsímil</v>
      </c>
      <c r="K5039" s="3" t="s">
        <v>23</v>
      </c>
    </row>
    <row r="5040" spans="1:11" ht="42" customHeight="1">
      <c r="A5040" s="2" t="s">
        <v>10165</v>
      </c>
      <c r="B5040" s="2" t="s">
        <v>10166</v>
      </c>
      <c r="C5040" s="2" t="s">
        <v>79</v>
      </c>
      <c r="D5040" s="2" t="s">
        <v>74</v>
      </c>
      <c r="E5040" s="5">
        <v>-28037</v>
      </c>
      <c r="F5040" s="3" t="s">
        <v>192</v>
      </c>
      <c r="G5040" s="3" t="s">
        <v>48</v>
      </c>
      <c r="H5040" s="2" t="s">
        <v>21</v>
      </c>
      <c r="I5040" s="2" t="s">
        <v>10167</v>
      </c>
      <c r="J5040" s="3" t="str">
        <f>HYPERLINK("https://www.boe.es/gazeta/dias/1823/03/27/pdfs/GMD-1823-90.pdf#page=3","Abrir facsímil")</f>
        <v>Abrir facsímil</v>
      </c>
      <c r="K5040" s="3" t="s">
        <v>23</v>
      </c>
    </row>
    <row r="5041" spans="1:11" ht="42" customHeight="1">
      <c r="A5041" s="2" t="s">
        <v>10168</v>
      </c>
      <c r="B5041" s="2" t="s">
        <v>10168</v>
      </c>
      <c r="C5041" s="2" t="s">
        <v>17</v>
      </c>
      <c r="D5041" s="2" t="s">
        <v>18</v>
      </c>
      <c r="E5041" s="5">
        <v>-27860</v>
      </c>
      <c r="F5041" s="3" t="s">
        <v>998</v>
      </c>
      <c r="G5041" s="3" t="s">
        <v>34</v>
      </c>
      <c r="H5041" s="2" t="s">
        <v>21</v>
      </c>
      <c r="I5041" s="2" t="s">
        <v>10169</v>
      </c>
      <c r="J5041" s="3" t="str">
        <f>HYPERLINK("https://www.boe.es/gazeta/dias/1823/09/20/pdfs/GMD-1823-813.pdf#page=5","Abrir facsímil")</f>
        <v>Abrir facsímil</v>
      </c>
      <c r="K5041" s="3" t="s">
        <v>23</v>
      </c>
    </row>
    <row r="5042" spans="1:11" ht="42" customHeight="1">
      <c r="A5042" s="2" t="s">
        <v>10168</v>
      </c>
      <c r="B5042" s="2" t="s">
        <v>10168</v>
      </c>
      <c r="C5042" s="2" t="s">
        <v>17</v>
      </c>
      <c r="D5042" s="2" t="s">
        <v>18</v>
      </c>
      <c r="E5042" s="5">
        <v>-27853</v>
      </c>
      <c r="F5042" s="3" t="s">
        <v>2626</v>
      </c>
      <c r="G5042" s="3" t="s">
        <v>48</v>
      </c>
      <c r="H5042" s="2" t="s">
        <v>21</v>
      </c>
      <c r="I5042" s="2" t="s">
        <v>10170</v>
      </c>
      <c r="J5042" s="3" t="str">
        <f>HYPERLINK("https://www.boe.es/gazeta/dias/1823/09/27/pdfs/GES-1823-171.pdf#page=3","Abrir facsímil")</f>
        <v>Abrir facsímil</v>
      </c>
      <c r="K5042" s="3" t="s">
        <v>23</v>
      </c>
    </row>
    <row r="5043" spans="1:11" ht="42" customHeight="1">
      <c r="A5043" s="2" t="s">
        <v>10171</v>
      </c>
      <c r="B5043" s="2" t="s">
        <v>10171</v>
      </c>
      <c r="C5043" s="2" t="s">
        <v>56</v>
      </c>
      <c r="D5043" s="2" t="s">
        <v>57</v>
      </c>
      <c r="E5043" s="5">
        <v>-27934</v>
      </c>
      <c r="F5043" s="3" t="s">
        <v>634</v>
      </c>
      <c r="G5043" s="3" t="s">
        <v>39</v>
      </c>
      <c r="H5043" s="2" t="s">
        <v>21</v>
      </c>
      <c r="I5043" s="2" t="s">
        <v>10172</v>
      </c>
      <c r="J5043" s="3" t="str">
        <f>HYPERLINK("https://www.boe.es/gazeta/dias/1823/07/08/pdfs/GMD-1823-353.pdf#page=1","Abrir facsímil")</f>
        <v>Abrir facsímil</v>
      </c>
      <c r="K5043" s="3" t="s">
        <v>23</v>
      </c>
    </row>
    <row r="5044" spans="1:11" ht="42" customHeight="1">
      <c r="A5044" s="2" t="s">
        <v>10173</v>
      </c>
      <c r="B5044" s="2" t="s">
        <v>10174</v>
      </c>
      <c r="C5044" s="2" t="s">
        <v>79</v>
      </c>
      <c r="D5044" s="2" t="s">
        <v>74</v>
      </c>
      <c r="E5044" s="5">
        <v>-28089</v>
      </c>
      <c r="F5044" s="3" t="s">
        <v>1979</v>
      </c>
      <c r="G5044" s="3" t="s">
        <v>48</v>
      </c>
      <c r="H5044" s="2" t="s">
        <v>21</v>
      </c>
      <c r="I5044" s="2" t="s">
        <v>10175</v>
      </c>
      <c r="J5044" s="3" t="str">
        <f>HYPERLINK("https://www.boe.es/gazeta/dias/1823/02/03/pdfs/GMD-1823-36.pdf#page=3","Abrir facsímil")</f>
        <v>Abrir facsímil</v>
      </c>
      <c r="K5044" s="3" t="s">
        <v>23</v>
      </c>
    </row>
    <row r="5045" spans="1:11" ht="42" customHeight="1">
      <c r="A5045" s="2" t="s">
        <v>10176</v>
      </c>
      <c r="B5045" s="2" t="s">
        <v>10176</v>
      </c>
      <c r="C5045" s="2" t="s">
        <v>17</v>
      </c>
      <c r="D5045" s="2" t="s">
        <v>18</v>
      </c>
      <c r="E5045" s="5">
        <v>-28039</v>
      </c>
      <c r="F5045" s="3" t="s">
        <v>126</v>
      </c>
      <c r="G5045" s="3" t="s">
        <v>10177</v>
      </c>
      <c r="H5045" s="2" t="s">
        <v>21</v>
      </c>
      <c r="I5045" s="2" t="s">
        <v>10178</v>
      </c>
      <c r="J5045" s="3" t="str">
        <f>HYPERLINK("https://www.boe.es/gazeta/dias/1823/03/25/pdfs/GMD-1823-88.pdf#page=2","Abrir facsímil")</f>
        <v>Abrir facsímil</v>
      </c>
      <c r="K5045" s="3" t="s">
        <v>23</v>
      </c>
    </row>
    <row r="5046" spans="1:11" ht="42" customHeight="1">
      <c r="A5046" s="2" t="s">
        <v>10179</v>
      </c>
      <c r="B5046" s="2" t="s">
        <v>10180</v>
      </c>
      <c r="C5046" s="2" t="s">
        <v>17</v>
      </c>
      <c r="D5046" s="2" t="s">
        <v>117</v>
      </c>
      <c r="E5046" s="5">
        <v>-27932</v>
      </c>
      <c r="F5046" s="3" t="s">
        <v>1947</v>
      </c>
      <c r="G5046" s="3" t="s">
        <v>39</v>
      </c>
      <c r="H5046" s="2" t="s">
        <v>21</v>
      </c>
      <c r="I5046" s="2" t="s">
        <v>10181</v>
      </c>
      <c r="J5046" s="3" t="str">
        <f>HYPERLINK("https://www.boe.es/gazeta/dias/1823/07/10/pdfs/GMD-1823-373E.pdf#page=1","Abrir facsímil")</f>
        <v>Abrir facsímil</v>
      </c>
      <c r="K5046" s="3" t="s">
        <v>23</v>
      </c>
    </row>
    <row r="5047" spans="1:11" ht="42" customHeight="1">
      <c r="A5047" s="2" t="s">
        <v>10182</v>
      </c>
      <c r="B5047" s="2" t="s">
        <v>10182</v>
      </c>
      <c r="C5047" s="2" t="s">
        <v>17</v>
      </c>
      <c r="D5047" s="2" t="s">
        <v>117</v>
      </c>
      <c r="E5047" s="5">
        <v>-27873</v>
      </c>
      <c r="F5047" s="3" t="s">
        <v>1668</v>
      </c>
      <c r="G5047" s="3" t="s">
        <v>27</v>
      </c>
      <c r="H5047" s="2" t="s">
        <v>21</v>
      </c>
      <c r="I5047" s="2" t="s">
        <v>10183</v>
      </c>
      <c r="J5047" s="3" t="str">
        <f>HYPERLINK("https://www.boe.es/gazeta/dias/1823/09/07/pdfs/GMD-1823-72E.pdf#page=2","Abrir facsímil")</f>
        <v>Abrir facsímil</v>
      </c>
      <c r="K5047" s="3" t="s">
        <v>23</v>
      </c>
    </row>
    <row r="5048" spans="1:11" ht="42" customHeight="1">
      <c r="A5048" s="2" t="s">
        <v>10184</v>
      </c>
      <c r="B5048" s="2" t="s">
        <v>10185</v>
      </c>
      <c r="C5048" s="2" t="s">
        <v>17</v>
      </c>
      <c r="D5048" s="2" t="s">
        <v>18</v>
      </c>
      <c r="E5048" s="5">
        <v>-27964</v>
      </c>
      <c r="F5048" s="3" t="s">
        <v>58</v>
      </c>
      <c r="G5048" s="3" t="s">
        <v>34</v>
      </c>
      <c r="H5048" s="2" t="s">
        <v>21</v>
      </c>
      <c r="I5048" s="2" t="s">
        <v>10186</v>
      </c>
      <c r="J5048" s="3" t="str">
        <f>HYPERLINK("https://www.boe.es/gazeta/dias/1823/06/08/pdfs/GES-1823-62.pdf#page=5","Abrir facsímil")</f>
        <v>Abrir facsímil</v>
      </c>
      <c r="K5048" s="3" t="s">
        <v>23</v>
      </c>
    </row>
    <row r="5049" spans="1:11" ht="42" customHeight="1">
      <c r="A5049" s="2" t="s">
        <v>10187</v>
      </c>
      <c r="B5049" s="2" t="s">
        <v>10187</v>
      </c>
      <c r="C5049" s="2" t="s">
        <v>56</v>
      </c>
      <c r="D5049" s="2" t="s">
        <v>57</v>
      </c>
      <c r="E5049" s="5">
        <v>-27948</v>
      </c>
      <c r="F5049" s="3" t="s">
        <v>959</v>
      </c>
      <c r="G5049" s="3" t="s">
        <v>39</v>
      </c>
      <c r="H5049" s="2" t="s">
        <v>21</v>
      </c>
      <c r="I5049" s="2" t="s">
        <v>10188</v>
      </c>
      <c r="J5049" s="3" t="str">
        <f>HYPERLINK("https://www.boe.es/gazeta/dias/1823/06/24/pdfs/GES-1823-72.pdf#page=1","Abrir facsímil")</f>
        <v>Abrir facsímil</v>
      </c>
      <c r="K5049" s="3" t="s">
        <v>23</v>
      </c>
    </row>
    <row r="5050" spans="1:11" ht="42" customHeight="1">
      <c r="A5050" s="2" t="s">
        <v>10189</v>
      </c>
      <c r="B5050" s="2" t="s">
        <v>10189</v>
      </c>
      <c r="C5050" s="2" t="s">
        <v>17</v>
      </c>
      <c r="D5050" s="2" t="s">
        <v>18</v>
      </c>
      <c r="E5050" s="5">
        <v>-28122</v>
      </c>
      <c r="F5050" s="3" t="s">
        <v>269</v>
      </c>
      <c r="G5050" s="3" t="s">
        <v>48</v>
      </c>
      <c r="H5050" s="2" t="s">
        <v>21</v>
      </c>
      <c r="I5050" s="2" t="s">
        <v>10190</v>
      </c>
      <c r="J5050" s="3" t="str">
        <f>HYPERLINK("https://www.boe.es/gazeta/dias/1823/01/01/pdfs/GMD-1823-1.pdf#page=3","Abrir facsímil")</f>
        <v>Abrir facsímil</v>
      </c>
      <c r="K5050" s="3" t="s">
        <v>23</v>
      </c>
    </row>
    <row r="5051" spans="1:11" ht="42" customHeight="1">
      <c r="A5051" s="2" t="s">
        <v>10191</v>
      </c>
      <c r="B5051" s="2" t="s">
        <v>10192</v>
      </c>
      <c r="C5051" s="2" t="s">
        <v>79</v>
      </c>
      <c r="D5051" s="2" t="s">
        <v>74</v>
      </c>
      <c r="E5051" s="5">
        <v>-27985</v>
      </c>
      <c r="F5051" s="3" t="s">
        <v>951</v>
      </c>
      <c r="G5051" s="3" t="s">
        <v>27</v>
      </c>
      <c r="H5051" s="2" t="s">
        <v>21</v>
      </c>
      <c r="I5051" s="2" t="s">
        <v>10193</v>
      </c>
      <c r="J5051" s="3" t="str">
        <f>HYPERLINK("https://www.boe.es/gazeta/dias/1823/05/18/pdfs/GES-1823-38.pdf#page=2","Abrir facsímil")</f>
        <v>Abrir facsímil</v>
      </c>
      <c r="K5051" s="3" t="s">
        <v>23</v>
      </c>
    </row>
    <row r="5052" spans="1:11" ht="42" customHeight="1">
      <c r="A5052" s="2" t="s">
        <v>10194</v>
      </c>
      <c r="B5052" s="2" t="s">
        <v>10195</v>
      </c>
      <c r="C5052" s="2" t="s">
        <v>17</v>
      </c>
      <c r="D5052" s="2" t="s">
        <v>18</v>
      </c>
      <c r="E5052" s="5">
        <v>-28033</v>
      </c>
      <c r="F5052" s="3" t="s">
        <v>1372</v>
      </c>
      <c r="G5052" s="3" t="s">
        <v>20</v>
      </c>
      <c r="H5052" s="2" t="s">
        <v>21</v>
      </c>
      <c r="I5052" s="2" t="s">
        <v>10196</v>
      </c>
      <c r="J5052" s="3" t="str">
        <f>HYPERLINK("https://www.boe.es/gazeta/dias/1823/03/31/pdfs/GMD-1823-94.pdf#page=4","Abrir facsímil")</f>
        <v>Abrir facsímil</v>
      </c>
      <c r="K5052" s="3" t="s">
        <v>23</v>
      </c>
    </row>
    <row r="5053" spans="1:11" ht="42" customHeight="1">
      <c r="A5053" s="2" t="s">
        <v>10197</v>
      </c>
      <c r="B5053" s="2" t="s">
        <v>10197</v>
      </c>
      <c r="C5053" s="2" t="s">
        <v>17</v>
      </c>
      <c r="D5053" s="2" t="s">
        <v>18</v>
      </c>
      <c r="E5053" s="5">
        <v>-28083</v>
      </c>
      <c r="F5053" s="3" t="s">
        <v>291</v>
      </c>
      <c r="G5053" s="3" t="s">
        <v>34</v>
      </c>
      <c r="H5053" s="2" t="s">
        <v>21</v>
      </c>
      <c r="I5053" s="2" t="s">
        <v>10198</v>
      </c>
      <c r="J5053" s="3" t="str">
        <f>HYPERLINK("https://www.boe.es/gazeta/dias/1823/02/09/pdfs/GMD-1823-43.pdf#page=5","Abrir facsímil")</f>
        <v>Abrir facsímil</v>
      </c>
      <c r="K5053" s="3" t="s">
        <v>23</v>
      </c>
    </row>
    <row r="5054" spans="1:11" ht="42" customHeight="1">
      <c r="A5054" s="2" t="s">
        <v>10197</v>
      </c>
      <c r="B5054" s="2" t="s">
        <v>10197</v>
      </c>
      <c r="C5054" s="2" t="s">
        <v>17</v>
      </c>
      <c r="D5054" s="2" t="s">
        <v>18</v>
      </c>
      <c r="E5054" s="5">
        <v>-28074</v>
      </c>
      <c r="F5054" s="3" t="s">
        <v>212</v>
      </c>
      <c r="G5054" s="3" t="s">
        <v>59</v>
      </c>
      <c r="H5054" s="2" t="s">
        <v>21</v>
      </c>
      <c r="I5054" s="2" t="s">
        <v>10199</v>
      </c>
      <c r="J5054" s="3" t="str">
        <f>HYPERLINK("https://www.boe.es/gazeta/dias/1823/02/18/pdfs/GMD-1823-52.pdf#page=6","Abrir facsímil")</f>
        <v>Abrir facsímil</v>
      </c>
      <c r="K5054" s="3" t="s">
        <v>23</v>
      </c>
    </row>
    <row r="5055" spans="1:11" ht="42" customHeight="1">
      <c r="A5055" s="2" t="s">
        <v>10197</v>
      </c>
      <c r="B5055" s="2" t="s">
        <v>10197</v>
      </c>
      <c r="C5055" s="2" t="s">
        <v>17</v>
      </c>
      <c r="D5055" s="2" t="s">
        <v>18</v>
      </c>
      <c r="E5055" s="5">
        <v>-28065</v>
      </c>
      <c r="F5055" s="3" t="s">
        <v>686</v>
      </c>
      <c r="G5055" s="3" t="s">
        <v>48</v>
      </c>
      <c r="H5055" s="2" t="s">
        <v>21</v>
      </c>
      <c r="I5055" s="2" t="s">
        <v>10200</v>
      </c>
      <c r="J5055" s="3" t="str">
        <f>HYPERLINK("https://www.boe.es/gazeta/dias/1823/02/27/pdfs/GMD-1823-61.pdf#page=3","Abrir facsímil")</f>
        <v>Abrir facsímil</v>
      </c>
      <c r="K5055" s="3" t="s">
        <v>23</v>
      </c>
    </row>
    <row r="5056" spans="1:11" ht="42" customHeight="1">
      <c r="A5056" s="2" t="s">
        <v>10197</v>
      </c>
      <c r="B5056" s="2" t="s">
        <v>10197</v>
      </c>
      <c r="C5056" s="2" t="s">
        <v>17</v>
      </c>
      <c r="D5056" s="2" t="s">
        <v>18</v>
      </c>
      <c r="E5056" s="5">
        <v>-28033</v>
      </c>
      <c r="F5056" s="3" t="s">
        <v>1372</v>
      </c>
      <c r="G5056" s="3" t="s">
        <v>20</v>
      </c>
      <c r="H5056" s="2" t="s">
        <v>21</v>
      </c>
      <c r="I5056" s="2" t="s">
        <v>10201</v>
      </c>
      <c r="J5056" s="3" t="str">
        <f>HYPERLINK("https://www.boe.es/gazeta/dias/1823/03/31/pdfs/GMD-1823-94.pdf#page=4","Abrir facsímil")</f>
        <v>Abrir facsímil</v>
      </c>
      <c r="K5056" s="3" t="s">
        <v>23</v>
      </c>
    </row>
    <row r="5057" spans="1:11" ht="42" customHeight="1">
      <c r="A5057" s="2" t="s">
        <v>10197</v>
      </c>
      <c r="B5057" s="2" t="s">
        <v>10197</v>
      </c>
      <c r="C5057" s="2" t="s">
        <v>17</v>
      </c>
      <c r="D5057" s="2" t="s">
        <v>18</v>
      </c>
      <c r="E5057" s="5">
        <v>-28016</v>
      </c>
      <c r="F5057" s="3" t="s">
        <v>287</v>
      </c>
      <c r="G5057" s="3" t="s">
        <v>3416</v>
      </c>
      <c r="H5057" s="2" t="s">
        <v>21</v>
      </c>
      <c r="I5057" s="2" t="s">
        <v>10202</v>
      </c>
      <c r="J5057" s="3" t="str">
        <f>HYPERLINK("https://www.boe.es/gazeta/dias/1823/04/17/pdfs/GMD-1823-22.pdf#page=4","Abrir facsímil")</f>
        <v>Abrir facsímil</v>
      </c>
      <c r="K5057" s="3" t="s">
        <v>23</v>
      </c>
    </row>
    <row r="5058" spans="1:11" ht="42" customHeight="1">
      <c r="A5058" s="2" t="s">
        <v>10197</v>
      </c>
      <c r="B5058" s="2" t="s">
        <v>10197</v>
      </c>
      <c r="C5058" s="2" t="s">
        <v>17</v>
      </c>
      <c r="D5058" s="2" t="s">
        <v>18</v>
      </c>
      <c r="E5058" s="5">
        <v>-27984</v>
      </c>
      <c r="F5058" s="3" t="s">
        <v>335</v>
      </c>
      <c r="G5058" s="3" t="s">
        <v>39</v>
      </c>
      <c r="H5058" s="2" t="s">
        <v>21</v>
      </c>
      <c r="I5058" s="2" t="s">
        <v>10203</v>
      </c>
      <c r="J5058" s="3" t="str">
        <f>HYPERLINK("https://www.boe.es/gazeta/dias/1823/05/19/pdfs/GES-1823-39.pdf#page=1","Abrir facsímil")</f>
        <v>Abrir facsímil</v>
      </c>
      <c r="K5058" s="3" t="s">
        <v>23</v>
      </c>
    </row>
    <row r="5059" spans="1:11" ht="42" customHeight="1">
      <c r="A5059" s="2" t="s">
        <v>10197</v>
      </c>
      <c r="B5059" s="2" t="s">
        <v>10197</v>
      </c>
      <c r="C5059" s="2" t="s">
        <v>17</v>
      </c>
      <c r="D5059" s="2" t="s">
        <v>18</v>
      </c>
      <c r="E5059" s="5">
        <v>-27906</v>
      </c>
      <c r="F5059" s="3" t="s">
        <v>1527</v>
      </c>
      <c r="G5059" s="3" t="s">
        <v>34</v>
      </c>
      <c r="H5059" s="2" t="s">
        <v>21</v>
      </c>
      <c r="I5059" s="2" t="s">
        <v>10204</v>
      </c>
      <c r="J5059" s="3" t="str">
        <f>HYPERLINK("https://www.boe.es/gazeta/dias/1823/08/05/pdfs/GMD-1823-533.pdf#page=5","Abrir facsímil")</f>
        <v>Abrir facsímil</v>
      </c>
      <c r="K5059" s="3" t="s">
        <v>23</v>
      </c>
    </row>
    <row r="5060" spans="1:11" ht="42" customHeight="1">
      <c r="A5060" s="2" t="s">
        <v>10205</v>
      </c>
      <c r="B5060" s="2" t="s">
        <v>10206</v>
      </c>
      <c r="C5060" s="2" t="s">
        <v>17</v>
      </c>
      <c r="D5060" s="2" t="s">
        <v>18</v>
      </c>
      <c r="E5060" s="5">
        <v>-28119</v>
      </c>
      <c r="F5060" s="3" t="s">
        <v>545</v>
      </c>
      <c r="G5060" s="3" t="s">
        <v>59</v>
      </c>
      <c r="H5060" s="2" t="s">
        <v>21</v>
      </c>
      <c r="I5060" s="2" t="s">
        <v>10207</v>
      </c>
      <c r="J5060" s="3" t="str">
        <f>HYPERLINK("https://www.boe.es/gazeta/dias/1823/01/04/pdfs/GMD-1823-4.pdf#page=6","Abrir facsímil")</f>
        <v>Abrir facsímil</v>
      </c>
      <c r="K5060" s="3" t="s">
        <v>23</v>
      </c>
    </row>
    <row r="5061" spans="1:11" ht="42" customHeight="1">
      <c r="A5061" s="2" t="s">
        <v>10205</v>
      </c>
      <c r="B5061" s="2" t="s">
        <v>10206</v>
      </c>
      <c r="C5061" s="2" t="s">
        <v>17</v>
      </c>
      <c r="D5061" s="2" t="s">
        <v>18</v>
      </c>
      <c r="E5061" s="5">
        <v>-28107</v>
      </c>
      <c r="F5061" s="3" t="s">
        <v>278</v>
      </c>
      <c r="G5061" s="3" t="s">
        <v>2827</v>
      </c>
      <c r="H5061" s="2" t="s">
        <v>21</v>
      </c>
      <c r="I5061" s="2" t="s">
        <v>10208</v>
      </c>
      <c r="J5061" s="3" t="str">
        <f>HYPERLINK("https://www.boe.es/gazeta/dias/1823/01/16/pdfs/GMD-1823-16.pdf#page=6","Abrir facsímil")</f>
        <v>Abrir facsímil</v>
      </c>
      <c r="K5061" s="3" t="s">
        <v>23</v>
      </c>
    </row>
    <row r="5062" spans="1:11" ht="42" customHeight="1">
      <c r="A5062" s="2" t="s">
        <v>10205</v>
      </c>
      <c r="B5062" s="2" t="s">
        <v>10206</v>
      </c>
      <c r="C5062" s="2" t="s">
        <v>17</v>
      </c>
      <c r="D5062" s="2" t="s">
        <v>18</v>
      </c>
      <c r="E5062" s="5">
        <v>-28074</v>
      </c>
      <c r="F5062" s="3" t="s">
        <v>212</v>
      </c>
      <c r="G5062" s="3" t="s">
        <v>59</v>
      </c>
      <c r="H5062" s="2" t="s">
        <v>21</v>
      </c>
      <c r="I5062" s="2" t="s">
        <v>10209</v>
      </c>
      <c r="J5062" s="3" t="str">
        <f>HYPERLINK("https://www.boe.es/gazeta/dias/1823/02/18/pdfs/GMD-1823-52.pdf#page=6","Abrir facsímil")</f>
        <v>Abrir facsímil</v>
      </c>
      <c r="K5062" s="3" t="s">
        <v>23</v>
      </c>
    </row>
    <row r="5063" spans="1:11" ht="42" customHeight="1">
      <c r="A5063" s="2" t="s">
        <v>10205</v>
      </c>
      <c r="B5063" s="2" t="s">
        <v>10206</v>
      </c>
      <c r="C5063" s="2" t="s">
        <v>17</v>
      </c>
      <c r="D5063" s="2" t="s">
        <v>18</v>
      </c>
      <c r="E5063" s="5">
        <v>-28065</v>
      </c>
      <c r="F5063" s="3" t="s">
        <v>686</v>
      </c>
      <c r="G5063" s="3" t="s">
        <v>48</v>
      </c>
      <c r="H5063" s="2" t="s">
        <v>21</v>
      </c>
      <c r="I5063" s="2" t="s">
        <v>10210</v>
      </c>
      <c r="J5063" s="3" t="str">
        <f>HYPERLINK("https://www.boe.es/gazeta/dias/1823/02/27/pdfs/GMD-1823-61.pdf#page=3","Abrir facsímil")</f>
        <v>Abrir facsímil</v>
      </c>
      <c r="K5063" s="3" t="s">
        <v>23</v>
      </c>
    </row>
    <row r="5064" spans="1:11" ht="42" customHeight="1">
      <c r="A5064" s="2" t="s">
        <v>10205</v>
      </c>
      <c r="B5064" s="2" t="s">
        <v>10206</v>
      </c>
      <c r="C5064" s="2" t="s">
        <v>17</v>
      </c>
      <c r="D5064" s="2" t="s">
        <v>18</v>
      </c>
      <c r="E5064" s="5">
        <v>-28027</v>
      </c>
      <c r="F5064" s="3" t="s">
        <v>4234</v>
      </c>
      <c r="G5064" s="3" t="s">
        <v>27</v>
      </c>
      <c r="H5064" s="2" t="s">
        <v>21</v>
      </c>
      <c r="I5064" s="2" t="s">
        <v>10211</v>
      </c>
      <c r="J5064" s="3" t="str">
        <f>HYPERLINK("https://www.boe.es/gazeta/dias/1823/04/06/pdfs/GMD-1823-101.pdf#page=2","Abrir facsímil")</f>
        <v>Abrir facsímil</v>
      </c>
      <c r="K5064" s="3" t="s">
        <v>23</v>
      </c>
    </row>
    <row r="5065" spans="1:11" ht="42" customHeight="1">
      <c r="A5065" s="2" t="s">
        <v>10205</v>
      </c>
      <c r="B5065" s="2" t="s">
        <v>10206</v>
      </c>
      <c r="C5065" s="2" t="s">
        <v>17</v>
      </c>
      <c r="D5065" s="2" t="s">
        <v>18</v>
      </c>
      <c r="E5065" s="5">
        <v>-28019</v>
      </c>
      <c r="F5065" s="3" t="s">
        <v>1663</v>
      </c>
      <c r="G5065" s="3" t="s">
        <v>27</v>
      </c>
      <c r="H5065" s="2" t="s">
        <v>21</v>
      </c>
      <c r="I5065" s="2" t="s">
        <v>10212</v>
      </c>
      <c r="J5065" s="3" t="str">
        <f>HYPERLINK("https://www.boe.es/gazeta/dias/1823/04/14/pdfs/GES-1823-4.pdf#page=2","Abrir facsímil")</f>
        <v>Abrir facsímil</v>
      </c>
      <c r="K5065" s="3" t="s">
        <v>23</v>
      </c>
    </row>
    <row r="5066" spans="1:11" ht="42" customHeight="1">
      <c r="A5066" s="2" t="s">
        <v>10213</v>
      </c>
      <c r="B5066" s="2" t="s">
        <v>10213</v>
      </c>
      <c r="C5066" s="2" t="s">
        <v>56</v>
      </c>
      <c r="D5066" s="2" t="s">
        <v>57</v>
      </c>
      <c r="E5066" s="5">
        <v>-27948</v>
      </c>
      <c r="F5066" s="3" t="s">
        <v>3752</v>
      </c>
      <c r="G5066" s="3" t="s">
        <v>27</v>
      </c>
      <c r="H5066" s="2" t="s">
        <v>21</v>
      </c>
      <c r="I5066" s="2" t="s">
        <v>10214</v>
      </c>
      <c r="J5066" s="3" t="str">
        <f>HYPERLINK("https://www.boe.es/gazeta/dias/1823/06/24/pdfs/GMD-1823-263.pdf#page=2","Abrir facsímil")</f>
        <v>Abrir facsímil</v>
      </c>
      <c r="K5066" s="3" t="s">
        <v>23</v>
      </c>
    </row>
    <row r="5067" spans="1:11" ht="42" customHeight="1">
      <c r="A5067" s="2" t="s">
        <v>10215</v>
      </c>
      <c r="B5067" s="2" t="s">
        <v>10216</v>
      </c>
      <c r="C5067" s="2" t="s">
        <v>109</v>
      </c>
      <c r="D5067" s="2" t="s">
        <v>74</v>
      </c>
      <c r="E5067" s="5">
        <v>-28089</v>
      </c>
      <c r="F5067" s="3" t="s">
        <v>1979</v>
      </c>
      <c r="G5067" s="3" t="s">
        <v>20</v>
      </c>
      <c r="H5067" s="2" t="s">
        <v>21</v>
      </c>
      <c r="I5067" s="2" t="s">
        <v>10217</v>
      </c>
      <c r="J5067" s="3" t="str">
        <f>HYPERLINK("https://www.boe.es/gazeta/dias/1823/02/03/pdfs/GMD-1823-36.pdf#page=4","Abrir facsímil")</f>
        <v>Abrir facsímil</v>
      </c>
      <c r="K5067" s="3" t="s">
        <v>23</v>
      </c>
    </row>
    <row r="5068" spans="1:11" ht="42" customHeight="1">
      <c r="A5068" s="2" t="s">
        <v>10218</v>
      </c>
      <c r="B5068" s="2" t="s">
        <v>10219</v>
      </c>
      <c r="C5068" s="2" t="s">
        <v>79</v>
      </c>
      <c r="D5068" s="2" t="s">
        <v>74</v>
      </c>
      <c r="E5068" s="5">
        <v>-28089</v>
      </c>
      <c r="F5068" s="3" t="s">
        <v>1979</v>
      </c>
      <c r="G5068" s="3" t="s">
        <v>48</v>
      </c>
      <c r="H5068" s="2" t="s">
        <v>21</v>
      </c>
      <c r="I5068" s="2" t="s">
        <v>10220</v>
      </c>
      <c r="J5068" s="3" t="str">
        <f>HYPERLINK("https://www.boe.es/gazeta/dias/1823/02/03/pdfs/GMD-1823-36.pdf#page=3","Abrir facsímil")</f>
        <v>Abrir facsímil</v>
      </c>
      <c r="K5068" s="3" t="s">
        <v>23</v>
      </c>
    </row>
    <row r="5069" spans="1:11" ht="42" customHeight="1">
      <c r="A5069" s="2" t="s">
        <v>10221</v>
      </c>
      <c r="B5069" s="2" t="s">
        <v>10221</v>
      </c>
      <c r="C5069" s="2" t="s">
        <v>84</v>
      </c>
      <c r="D5069" s="2" t="s">
        <v>74</v>
      </c>
      <c r="E5069" s="5">
        <v>-28089</v>
      </c>
      <c r="F5069" s="3" t="s">
        <v>1979</v>
      </c>
      <c r="G5069" s="3" t="s">
        <v>34</v>
      </c>
      <c r="H5069" s="2" t="s">
        <v>21</v>
      </c>
      <c r="I5069" s="2" t="s">
        <v>10222</v>
      </c>
      <c r="J5069" s="3" t="str">
        <f>HYPERLINK("https://www.boe.es/gazeta/dias/1823/02/03/pdfs/GMD-1823-36.pdf#page=5","Abrir facsímil")</f>
        <v>Abrir facsímil</v>
      </c>
      <c r="K5069" s="3" t="s">
        <v>23</v>
      </c>
    </row>
    <row r="5070" spans="1:11" ht="42" customHeight="1">
      <c r="A5070" s="2" t="s">
        <v>10223</v>
      </c>
      <c r="B5070" s="2" t="s">
        <v>10223</v>
      </c>
      <c r="C5070" s="2" t="s">
        <v>17</v>
      </c>
      <c r="D5070" s="2" t="s">
        <v>117</v>
      </c>
      <c r="E5070" s="5">
        <v>-27925</v>
      </c>
      <c r="F5070" s="3" t="s">
        <v>3911</v>
      </c>
      <c r="G5070" s="3" t="s">
        <v>39</v>
      </c>
      <c r="H5070" s="2" t="s">
        <v>21</v>
      </c>
      <c r="I5070" s="2" t="s">
        <v>10224</v>
      </c>
      <c r="J5070" s="3" t="str">
        <f>HYPERLINK("https://www.boe.es/gazeta/dias/1823/07/17/pdfs/GES-1823-98E.pdf#page=1","Abrir facsímil")</f>
        <v>Abrir facsímil</v>
      </c>
      <c r="K5070" s="3" t="s">
        <v>23</v>
      </c>
    </row>
    <row r="5071" spans="1:11" ht="42" customHeight="1">
      <c r="A5071" s="2" t="s">
        <v>10225</v>
      </c>
      <c r="B5071" s="2" t="s">
        <v>10226</v>
      </c>
      <c r="C5071" s="2" t="s">
        <v>73</v>
      </c>
      <c r="D5071" s="2" t="s">
        <v>74</v>
      </c>
      <c r="E5071" s="5">
        <v>-28071</v>
      </c>
      <c r="F5071" s="3" t="s">
        <v>587</v>
      </c>
      <c r="G5071" s="3" t="s">
        <v>39</v>
      </c>
      <c r="H5071" s="2" t="s">
        <v>21</v>
      </c>
      <c r="I5071" s="2" t="s">
        <v>10227</v>
      </c>
      <c r="J5071" s="3" t="str">
        <f>HYPERLINK("https://www.boe.es/gazeta/dias/1823/02/21/pdfs/GMD-1823-55.pdf#page=1","Abrir facsímil")</f>
        <v>Abrir facsímil</v>
      </c>
      <c r="K5071" s="3" t="s">
        <v>23</v>
      </c>
    </row>
    <row r="5072" spans="1:11" ht="42" customHeight="1">
      <c r="A5072" s="2" t="s">
        <v>10228</v>
      </c>
      <c r="B5072" s="2" t="s">
        <v>10228</v>
      </c>
      <c r="C5072" s="2" t="s">
        <v>79</v>
      </c>
      <c r="D5072" s="2" t="s">
        <v>74</v>
      </c>
      <c r="E5072" s="5">
        <v>-28089</v>
      </c>
      <c r="F5072" s="3" t="s">
        <v>1979</v>
      </c>
      <c r="G5072" s="3" t="s">
        <v>48</v>
      </c>
      <c r="H5072" s="2" t="s">
        <v>21</v>
      </c>
      <c r="I5072" s="2" t="s">
        <v>10229</v>
      </c>
      <c r="J5072" s="3" t="str">
        <f>HYPERLINK("https://www.boe.es/gazeta/dias/1823/02/03/pdfs/GMD-1823-36.pdf#page=3","Abrir facsímil")</f>
        <v>Abrir facsímil</v>
      </c>
      <c r="K5072" s="3" t="s">
        <v>23</v>
      </c>
    </row>
    <row r="5073" spans="1:11" ht="42" customHeight="1">
      <c r="A5073" s="2" t="s">
        <v>10228</v>
      </c>
      <c r="B5073" s="2" t="s">
        <v>10228</v>
      </c>
      <c r="C5073" s="2" t="s">
        <v>56</v>
      </c>
      <c r="D5073" s="2" t="s">
        <v>57</v>
      </c>
      <c r="E5073" s="5">
        <v>-28088</v>
      </c>
      <c r="F5073" s="3" t="s">
        <v>542</v>
      </c>
      <c r="G5073" s="3" t="s">
        <v>48</v>
      </c>
      <c r="H5073" s="2" t="s">
        <v>21</v>
      </c>
      <c r="I5073" s="2" t="s">
        <v>10230</v>
      </c>
      <c r="J5073" s="3" t="str">
        <f>HYPERLINK("https://www.boe.es/gazeta/dias/1823/02/04/pdfs/GMD-1823-37.pdf#page=3","Abrir facsímil")</f>
        <v>Abrir facsímil</v>
      </c>
      <c r="K5073" s="3" t="s">
        <v>23</v>
      </c>
    </row>
    <row r="5074" spans="1:11" ht="42" customHeight="1">
      <c r="A5074" s="2" t="s">
        <v>10228</v>
      </c>
      <c r="B5074" s="2" t="s">
        <v>10228</v>
      </c>
      <c r="C5074" s="2" t="s">
        <v>17</v>
      </c>
      <c r="D5074" s="2" t="s">
        <v>117</v>
      </c>
      <c r="E5074" s="5">
        <v>-27925</v>
      </c>
      <c r="F5074" s="3" t="s">
        <v>3911</v>
      </c>
      <c r="G5074" s="3" t="s">
        <v>39</v>
      </c>
      <c r="H5074" s="2" t="s">
        <v>21</v>
      </c>
      <c r="I5074" s="2" t="s">
        <v>10231</v>
      </c>
      <c r="J5074" s="3" t="str">
        <f>HYPERLINK("https://www.boe.es/gazeta/dias/1823/07/17/pdfs/GES-1823-98E.pdf#page=1","Abrir facsímil")</f>
        <v>Abrir facsímil</v>
      </c>
      <c r="K5074" s="3" t="s">
        <v>23</v>
      </c>
    </row>
    <row r="5075" spans="1:11" ht="42" customHeight="1">
      <c r="A5075" s="2" t="s">
        <v>10228</v>
      </c>
      <c r="B5075" s="2" t="s">
        <v>10228</v>
      </c>
      <c r="C5075" s="2" t="s">
        <v>17</v>
      </c>
      <c r="D5075" s="2" t="s">
        <v>18</v>
      </c>
      <c r="E5075" s="5">
        <v>-27897</v>
      </c>
      <c r="F5075" s="3" t="s">
        <v>5962</v>
      </c>
      <c r="G5075" s="3" t="s">
        <v>8349</v>
      </c>
      <c r="H5075" s="2" t="s">
        <v>21</v>
      </c>
      <c r="I5075" s="2" t="s">
        <v>10232</v>
      </c>
      <c r="J5075" s="3" t="str">
        <f>HYPERLINK("https://www.boe.es/gazeta/dias/1823/08/14/pdfs/GES-1823-127.pdf#page=4","Abrir facsímil")</f>
        <v>Abrir facsímil</v>
      </c>
      <c r="K5075" s="3" t="s">
        <v>23</v>
      </c>
    </row>
    <row r="5076" spans="1:11" ht="42" customHeight="1">
      <c r="A5076" s="2" t="s">
        <v>10233</v>
      </c>
      <c r="B5076" s="2" t="s">
        <v>10234</v>
      </c>
      <c r="C5076" s="2" t="s">
        <v>109</v>
      </c>
      <c r="D5076" s="2" t="s">
        <v>74</v>
      </c>
      <c r="E5076" s="5">
        <v>-28108</v>
      </c>
      <c r="F5076" s="3" t="s">
        <v>406</v>
      </c>
      <c r="G5076" s="3" t="s">
        <v>27</v>
      </c>
      <c r="H5076" s="2" t="s">
        <v>21</v>
      </c>
      <c r="I5076" s="2" t="s">
        <v>10235</v>
      </c>
      <c r="J5076" s="3" t="str">
        <f>HYPERLINK("https://www.boe.es/gazeta/dias/1823/01/15/pdfs/GMD-1823-15.pdf#page=2","Abrir facsímil")</f>
        <v>Abrir facsímil</v>
      </c>
      <c r="K5076" s="3" t="s">
        <v>23</v>
      </c>
    </row>
    <row r="5077" spans="1:11" ht="42" customHeight="1">
      <c r="A5077" s="2" t="s">
        <v>10233</v>
      </c>
      <c r="B5077" s="2" t="s">
        <v>10234</v>
      </c>
      <c r="C5077" s="2" t="s">
        <v>109</v>
      </c>
      <c r="D5077" s="2" t="s">
        <v>74</v>
      </c>
      <c r="E5077" s="5">
        <v>-28092</v>
      </c>
      <c r="F5077" s="3" t="s">
        <v>105</v>
      </c>
      <c r="G5077" s="3" t="s">
        <v>48</v>
      </c>
      <c r="H5077" s="2" t="s">
        <v>21</v>
      </c>
      <c r="I5077" s="2" t="s">
        <v>10236</v>
      </c>
      <c r="J5077" s="3" t="str">
        <f>HYPERLINK("https://www.boe.es/gazeta/dias/1823/01/31/pdfs/GMD-1823-32.pdf#page=3","Abrir facsímil")</f>
        <v>Abrir facsímil</v>
      </c>
      <c r="K5077" s="3" t="s">
        <v>23</v>
      </c>
    </row>
    <row r="5078" spans="1:11" ht="42" customHeight="1">
      <c r="A5078" s="2" t="s">
        <v>10233</v>
      </c>
      <c r="B5078" s="2" t="s">
        <v>10234</v>
      </c>
      <c r="C5078" s="2" t="s">
        <v>79</v>
      </c>
      <c r="D5078" s="2" t="s">
        <v>74</v>
      </c>
      <c r="E5078" s="5">
        <v>-28089</v>
      </c>
      <c r="F5078" s="3" t="s">
        <v>1979</v>
      </c>
      <c r="G5078" s="3" t="s">
        <v>48</v>
      </c>
      <c r="H5078" s="2" t="s">
        <v>21</v>
      </c>
      <c r="I5078" s="2" t="s">
        <v>10237</v>
      </c>
      <c r="J5078" s="3" t="str">
        <f>HYPERLINK("https://www.boe.es/gazeta/dias/1823/02/03/pdfs/GMD-1823-36.pdf#page=3","Abrir facsímil")</f>
        <v>Abrir facsímil</v>
      </c>
      <c r="K5078" s="3" t="s">
        <v>23</v>
      </c>
    </row>
    <row r="5079" spans="1:11" ht="42" customHeight="1">
      <c r="A5079" s="2" t="s">
        <v>10233</v>
      </c>
      <c r="B5079" s="2" t="s">
        <v>10234</v>
      </c>
      <c r="C5079" s="2" t="s">
        <v>293</v>
      </c>
      <c r="D5079" s="2" t="s">
        <v>74</v>
      </c>
      <c r="E5079" s="5">
        <v>-28089</v>
      </c>
      <c r="F5079" s="3" t="s">
        <v>1979</v>
      </c>
      <c r="G5079" s="3" t="s">
        <v>20</v>
      </c>
      <c r="H5079" s="2" t="s">
        <v>21</v>
      </c>
      <c r="I5079" s="2" t="s">
        <v>10238</v>
      </c>
      <c r="J5079" s="3" t="str">
        <f>HYPERLINK("https://www.boe.es/gazeta/dias/1823/02/03/pdfs/GMD-1823-36.pdf#page=4","Abrir facsímil")</f>
        <v>Abrir facsímil</v>
      </c>
      <c r="K5079" s="3" t="s">
        <v>23</v>
      </c>
    </row>
    <row r="5080" spans="1:11" ht="42" customHeight="1">
      <c r="A5080" s="2" t="s">
        <v>10233</v>
      </c>
      <c r="B5080" s="2" t="s">
        <v>10234</v>
      </c>
      <c r="C5080" s="2" t="s">
        <v>56</v>
      </c>
      <c r="D5080" s="2" t="s">
        <v>57</v>
      </c>
      <c r="E5080" s="5">
        <v>-28088</v>
      </c>
      <c r="F5080" s="3" t="s">
        <v>542</v>
      </c>
      <c r="G5080" s="3" t="s">
        <v>27</v>
      </c>
      <c r="H5080" s="2" t="s">
        <v>21</v>
      </c>
      <c r="I5080" s="2" t="s">
        <v>10239</v>
      </c>
      <c r="J5080" s="3" t="str">
        <f>HYPERLINK("https://www.boe.es/gazeta/dias/1823/02/04/pdfs/GMD-1823-37.pdf#page=2","Abrir facsímil")</f>
        <v>Abrir facsímil</v>
      </c>
      <c r="K5080" s="3" t="s">
        <v>23</v>
      </c>
    </row>
    <row r="5081" spans="1:11" ht="42" customHeight="1">
      <c r="A5081" s="2" t="s">
        <v>10233</v>
      </c>
      <c r="B5081" s="2" t="s">
        <v>10234</v>
      </c>
      <c r="C5081" s="2" t="s">
        <v>79</v>
      </c>
      <c r="D5081" s="2" t="s">
        <v>74</v>
      </c>
      <c r="E5081" s="5">
        <v>-28079</v>
      </c>
      <c r="F5081" s="3" t="s">
        <v>178</v>
      </c>
      <c r="G5081" s="3" t="s">
        <v>39</v>
      </c>
      <c r="H5081" s="2" t="s">
        <v>21</v>
      </c>
      <c r="I5081" s="2" t="s">
        <v>10240</v>
      </c>
      <c r="J5081" s="3" t="str">
        <f>HYPERLINK("https://www.boe.es/gazeta/dias/1823/02/13/pdfs/GMD-1823-47.pdf#page=1","Abrir facsímil")</f>
        <v>Abrir facsímil</v>
      </c>
      <c r="K5081" s="3" t="s">
        <v>23</v>
      </c>
    </row>
    <row r="5082" spans="1:11" ht="42" customHeight="1">
      <c r="A5082" s="2" t="s">
        <v>10241</v>
      </c>
      <c r="B5082" s="2" t="s">
        <v>10242</v>
      </c>
      <c r="C5082" s="2" t="s">
        <v>17</v>
      </c>
      <c r="D5082" s="2" t="s">
        <v>18</v>
      </c>
      <c r="E5082" s="5">
        <v>-28089</v>
      </c>
      <c r="F5082" s="3" t="s">
        <v>1979</v>
      </c>
      <c r="G5082" s="3" t="s">
        <v>59</v>
      </c>
      <c r="H5082" s="2" t="s">
        <v>28</v>
      </c>
      <c r="I5082" s="2" t="s">
        <v>10243</v>
      </c>
      <c r="J5082" s="3" t="str">
        <f>HYPERLINK("https://www.boe.es/gazeta/dias/1823/02/03/pdfs/GMD-1823-36.pdf#page=6","Abrir facsímil")</f>
        <v>Abrir facsímil</v>
      </c>
      <c r="K5082" s="3" t="s">
        <v>30</v>
      </c>
    </row>
    <row r="5083" spans="1:11" ht="42" customHeight="1">
      <c r="A5083" s="2" t="s">
        <v>10244</v>
      </c>
      <c r="B5083" s="2" t="s">
        <v>10245</v>
      </c>
      <c r="C5083" s="2" t="s">
        <v>17</v>
      </c>
      <c r="D5083" s="2" t="s">
        <v>117</v>
      </c>
      <c r="E5083" s="5">
        <v>-27925</v>
      </c>
      <c r="F5083" s="3" t="s">
        <v>3911</v>
      </c>
      <c r="G5083" s="3" t="s">
        <v>39</v>
      </c>
      <c r="H5083" s="2" t="s">
        <v>21</v>
      </c>
      <c r="I5083" s="2" t="s">
        <v>10246</v>
      </c>
      <c r="J5083" s="3" t="str">
        <f>HYPERLINK("https://www.boe.es/gazeta/dias/1823/07/17/pdfs/GES-1823-98E.pdf#page=1","Abrir facsímil")</f>
        <v>Abrir facsímil</v>
      </c>
      <c r="K5083" s="3" t="s">
        <v>23</v>
      </c>
    </row>
    <row r="5084" spans="1:11" ht="42" customHeight="1">
      <c r="A5084" s="2" t="s">
        <v>10247</v>
      </c>
      <c r="B5084" s="2" t="s">
        <v>10248</v>
      </c>
      <c r="C5084" s="2" t="s">
        <v>79</v>
      </c>
      <c r="D5084" s="2" t="s">
        <v>74</v>
      </c>
      <c r="E5084" s="5">
        <v>-28059</v>
      </c>
      <c r="F5084" s="3" t="s">
        <v>149</v>
      </c>
      <c r="G5084" s="3" t="s">
        <v>48</v>
      </c>
      <c r="H5084" s="2" t="s">
        <v>21</v>
      </c>
      <c r="I5084" s="2" t="s">
        <v>10249</v>
      </c>
      <c r="J5084" s="3" t="str">
        <f>HYPERLINK("https://www.boe.es/gazeta/dias/1823/03/05/pdfs/GMD-1823-68.pdf#page=3","Abrir facsímil")</f>
        <v>Abrir facsímil</v>
      </c>
      <c r="K5084" s="3" t="s">
        <v>23</v>
      </c>
    </row>
    <row r="5085" spans="1:11" ht="42" customHeight="1">
      <c r="A5085" s="2" t="s">
        <v>10250</v>
      </c>
      <c r="B5085" s="2" t="s">
        <v>10251</v>
      </c>
      <c r="C5085" s="2" t="s">
        <v>73</v>
      </c>
      <c r="D5085" s="2" t="s">
        <v>74</v>
      </c>
      <c r="E5085" s="5">
        <v>-27962</v>
      </c>
      <c r="F5085" s="3" t="s">
        <v>594</v>
      </c>
      <c r="G5085" s="3" t="s">
        <v>39</v>
      </c>
      <c r="H5085" s="2" t="s">
        <v>21</v>
      </c>
      <c r="I5085" s="2" t="s">
        <v>10252</v>
      </c>
      <c r="J5085" s="3" t="str">
        <f>HYPERLINK("https://www.boe.es/gazeta/dias/1823/06/10/pdfs/GES-1823-64.pdf#page=1","Abrir facsímil")</f>
        <v>Abrir facsímil</v>
      </c>
      <c r="K5085" s="3" t="s">
        <v>23</v>
      </c>
    </row>
    <row r="5086" spans="1:11" ht="42" customHeight="1">
      <c r="A5086" s="2" t="s">
        <v>10253</v>
      </c>
      <c r="B5086" s="2" t="s">
        <v>10254</v>
      </c>
      <c r="C5086" s="2" t="s">
        <v>17</v>
      </c>
      <c r="D5086" s="2" t="s">
        <v>18</v>
      </c>
      <c r="E5086" s="5">
        <v>-27995</v>
      </c>
      <c r="F5086" s="3" t="s">
        <v>326</v>
      </c>
      <c r="G5086" s="3" t="s">
        <v>39</v>
      </c>
      <c r="H5086" s="2" t="s">
        <v>21</v>
      </c>
      <c r="I5086" s="2" t="s">
        <v>10255</v>
      </c>
      <c r="J5086" s="3" t="str">
        <f>HYPERLINK("https://www.boe.es/gazeta/dias/1823/05/08/pdfs/GMD-1823-112.pdf#page=1","Abrir facsímil")</f>
        <v>Abrir facsímil</v>
      </c>
      <c r="K5086" s="3" t="s">
        <v>23</v>
      </c>
    </row>
    <row r="5087" spans="1:11" ht="42" customHeight="1">
      <c r="A5087" s="2" t="s">
        <v>10256</v>
      </c>
      <c r="B5087" s="2" t="s">
        <v>10257</v>
      </c>
      <c r="C5087" s="2" t="s">
        <v>73</v>
      </c>
      <c r="D5087" s="2" t="s">
        <v>74</v>
      </c>
      <c r="E5087" s="5">
        <v>-27901</v>
      </c>
      <c r="F5087" s="3" t="s">
        <v>840</v>
      </c>
      <c r="G5087" s="3" t="s">
        <v>20</v>
      </c>
      <c r="H5087" s="2" t="s">
        <v>21</v>
      </c>
      <c r="I5087" s="2" t="s">
        <v>10258</v>
      </c>
      <c r="J5087" s="3" t="str">
        <f>HYPERLINK("https://www.boe.es/gazeta/dias/1823/08/10/pdfs/GES-1823-123.pdf#page=4","Abrir facsímil")</f>
        <v>Abrir facsímil</v>
      </c>
      <c r="K5087" s="3" t="s">
        <v>23</v>
      </c>
    </row>
    <row r="5088" spans="1:11" ht="42" customHeight="1">
      <c r="A5088" s="2" t="s">
        <v>10259</v>
      </c>
      <c r="B5088" s="2" t="s">
        <v>10260</v>
      </c>
      <c r="C5088" s="2" t="s">
        <v>17</v>
      </c>
      <c r="D5088" s="2" t="s">
        <v>18</v>
      </c>
      <c r="E5088" s="5">
        <v>-28007</v>
      </c>
      <c r="F5088" s="3" t="s">
        <v>1190</v>
      </c>
      <c r="G5088" s="3" t="s">
        <v>20</v>
      </c>
      <c r="H5088" s="2" t="s">
        <v>28</v>
      </c>
      <c r="I5088" s="2" t="s">
        <v>10261</v>
      </c>
      <c r="J5088" s="3" t="str">
        <f>HYPERLINK("https://www.boe.es/gazeta/dias/1823/04/26/pdfs/GMD-1823-62.pdf#page=4","Abrir facsímil")</f>
        <v>Abrir facsímil</v>
      </c>
      <c r="K5088" s="3" t="s">
        <v>30</v>
      </c>
    </row>
    <row r="5089" spans="1:11" ht="42" customHeight="1">
      <c r="A5089" s="2" t="s">
        <v>10262</v>
      </c>
      <c r="B5089" s="2" t="s">
        <v>10263</v>
      </c>
      <c r="C5089" s="2" t="s">
        <v>293</v>
      </c>
      <c r="D5089" s="2" t="s">
        <v>74</v>
      </c>
      <c r="E5089" s="5">
        <v>-28106</v>
      </c>
      <c r="F5089" s="3" t="s">
        <v>280</v>
      </c>
      <c r="G5089" s="3" t="s">
        <v>20</v>
      </c>
      <c r="H5089" s="2" t="s">
        <v>21</v>
      </c>
      <c r="I5089" s="2" t="s">
        <v>10264</v>
      </c>
      <c r="J5089" s="3" t="str">
        <f>HYPERLINK("https://www.boe.es/gazeta/dias/1823/01/17/pdfs/GMD-1823-17.pdf#page=4","Abrir facsímil")</f>
        <v>Abrir facsímil</v>
      </c>
      <c r="K5089" s="3" t="s">
        <v>23</v>
      </c>
    </row>
    <row r="5090" spans="1:11" ht="42" customHeight="1">
      <c r="A5090" s="2" t="s">
        <v>10265</v>
      </c>
      <c r="B5090" s="2" t="s">
        <v>10266</v>
      </c>
      <c r="C5090" s="2" t="s">
        <v>293</v>
      </c>
      <c r="D5090" s="2" t="s">
        <v>74</v>
      </c>
      <c r="E5090" s="5">
        <v>-28106</v>
      </c>
      <c r="F5090" s="3" t="s">
        <v>280</v>
      </c>
      <c r="G5090" s="3" t="s">
        <v>20</v>
      </c>
      <c r="H5090" s="2" t="s">
        <v>21</v>
      </c>
      <c r="I5090" s="2" t="s">
        <v>10267</v>
      </c>
      <c r="J5090" s="3" t="str">
        <f>HYPERLINK("https://www.boe.es/gazeta/dias/1823/01/17/pdfs/GMD-1823-17.pdf#page=4","Abrir facsímil")</f>
        <v>Abrir facsímil</v>
      </c>
      <c r="K5090" s="3" t="s">
        <v>23</v>
      </c>
    </row>
    <row r="5091" spans="1:11" ht="42" customHeight="1">
      <c r="A5091" s="2" t="s">
        <v>10268</v>
      </c>
      <c r="B5091" s="2" t="s">
        <v>10269</v>
      </c>
      <c r="C5091" s="2" t="s">
        <v>17</v>
      </c>
      <c r="D5091" s="2" t="s">
        <v>18</v>
      </c>
      <c r="E5091" s="5">
        <v>-28112</v>
      </c>
      <c r="F5091" s="3" t="s">
        <v>43</v>
      </c>
      <c r="G5091" s="3" t="s">
        <v>20</v>
      </c>
      <c r="H5091" s="2" t="s">
        <v>28</v>
      </c>
      <c r="I5091" s="2" t="s">
        <v>10270</v>
      </c>
      <c r="J5091" s="3" t="str">
        <f>HYPERLINK("https://www.boe.es/gazeta/dias/1823/01/11/pdfs/GMD-1823-11.pdf#page=4","Abrir facsímil")</f>
        <v>Abrir facsímil</v>
      </c>
      <c r="K5091" s="3" t="s">
        <v>30</v>
      </c>
    </row>
    <row r="5092" spans="1:11" ht="42" customHeight="1">
      <c r="A5092" s="2" t="s">
        <v>10271</v>
      </c>
      <c r="B5092" s="2" t="s">
        <v>10272</v>
      </c>
      <c r="C5092" s="2" t="s">
        <v>17</v>
      </c>
      <c r="D5092" s="2" t="s">
        <v>18</v>
      </c>
      <c r="E5092" s="5">
        <v>-28097</v>
      </c>
      <c r="F5092" s="3" t="s">
        <v>1368</v>
      </c>
      <c r="G5092" s="3" t="s">
        <v>20</v>
      </c>
      <c r="H5092" s="2" t="s">
        <v>21</v>
      </c>
      <c r="I5092" s="2" t="s">
        <v>10273</v>
      </c>
      <c r="J5092" s="3" t="str">
        <f>HYPERLINK("https://www.boe.es/gazeta/dias/1823/01/26/pdfs/GMD-1823-27.pdf#page=4","Abrir facsímil")</f>
        <v>Abrir facsímil</v>
      </c>
      <c r="K5092" s="3" t="s">
        <v>23</v>
      </c>
    </row>
    <row r="5093" spans="1:11" ht="42" customHeight="1">
      <c r="A5093" s="2" t="s">
        <v>10274</v>
      </c>
      <c r="B5093" s="2" t="s">
        <v>10275</v>
      </c>
      <c r="C5093" s="2" t="s">
        <v>79</v>
      </c>
      <c r="D5093" s="2" t="s">
        <v>74</v>
      </c>
      <c r="E5093" s="5">
        <v>-27906</v>
      </c>
      <c r="F5093" s="3" t="s">
        <v>1527</v>
      </c>
      <c r="G5093" s="3" t="s">
        <v>59</v>
      </c>
      <c r="H5093" s="2" t="s">
        <v>21</v>
      </c>
      <c r="I5093" s="2" t="s">
        <v>10276</v>
      </c>
      <c r="J5093" s="3" t="str">
        <f>HYPERLINK("https://www.boe.es/gazeta/dias/1823/08/05/pdfs/GMD-1823-533.pdf#page=6","Abrir facsímil")</f>
        <v>Abrir facsímil</v>
      </c>
      <c r="K5093" s="3" t="s">
        <v>23</v>
      </c>
    </row>
    <row r="5094" spans="1:11" ht="42" customHeight="1">
      <c r="A5094" s="2" t="s">
        <v>10277</v>
      </c>
      <c r="B5094" s="2" t="s">
        <v>10278</v>
      </c>
      <c r="C5094" s="2" t="s">
        <v>293</v>
      </c>
      <c r="D5094" s="2" t="s">
        <v>74</v>
      </c>
      <c r="E5094" s="5">
        <v>-28106</v>
      </c>
      <c r="F5094" s="3" t="s">
        <v>280</v>
      </c>
      <c r="G5094" s="3" t="s">
        <v>20</v>
      </c>
      <c r="H5094" s="2" t="s">
        <v>21</v>
      </c>
      <c r="I5094" s="2" t="s">
        <v>10279</v>
      </c>
      <c r="J5094" s="3" t="str">
        <f>HYPERLINK("https://www.boe.es/gazeta/dias/1823/01/17/pdfs/GMD-1823-17.pdf#page=4","Abrir facsímil")</f>
        <v>Abrir facsímil</v>
      </c>
      <c r="K5094" s="3" t="s">
        <v>23</v>
      </c>
    </row>
    <row r="5095" spans="1:11" ht="42" customHeight="1">
      <c r="A5095" s="2" t="s">
        <v>10280</v>
      </c>
      <c r="B5095" s="2" t="s">
        <v>10281</v>
      </c>
      <c r="C5095" s="2" t="s">
        <v>293</v>
      </c>
      <c r="D5095" s="2" t="s">
        <v>74</v>
      </c>
      <c r="E5095" s="5">
        <v>-27942</v>
      </c>
      <c r="F5095" s="3" t="s">
        <v>596</v>
      </c>
      <c r="G5095" s="3" t="s">
        <v>48</v>
      </c>
      <c r="H5095" s="2" t="s">
        <v>21</v>
      </c>
      <c r="I5095" s="2" t="s">
        <v>10282</v>
      </c>
      <c r="J5095" s="3" t="str">
        <f>HYPERLINK("https://www.boe.es/gazeta/dias/1823/06/30/pdfs/GES-1823-80.pdf#page=3","Abrir facsímil")</f>
        <v>Abrir facsímil</v>
      </c>
      <c r="K5095" s="3" t="s">
        <v>23</v>
      </c>
    </row>
    <row r="5096" spans="1:11" ht="42" customHeight="1">
      <c r="A5096" s="2" t="s">
        <v>10283</v>
      </c>
      <c r="B5096" s="2" t="s">
        <v>10284</v>
      </c>
      <c r="C5096" s="2" t="s">
        <v>17</v>
      </c>
      <c r="D5096" s="2" t="s">
        <v>18</v>
      </c>
      <c r="E5096" s="5">
        <v>-28074</v>
      </c>
      <c r="F5096" s="3" t="s">
        <v>212</v>
      </c>
      <c r="G5096" s="3" t="s">
        <v>39</v>
      </c>
      <c r="H5096" s="2" t="s">
        <v>21</v>
      </c>
      <c r="I5096" s="2" t="s">
        <v>10285</v>
      </c>
      <c r="J5096" s="3" t="str">
        <f>HYPERLINK("https://www.boe.es/gazeta/dias/1823/02/18/pdfs/GMD-1823-52.pdf#page=1","Abrir facsímil")</f>
        <v>Abrir facsímil</v>
      </c>
      <c r="K5096" s="3" t="s">
        <v>23</v>
      </c>
    </row>
    <row r="5097" spans="1:11" ht="42" customHeight="1">
      <c r="A5097" s="2" t="s">
        <v>10286</v>
      </c>
      <c r="B5097" s="2" t="s">
        <v>10286</v>
      </c>
      <c r="C5097" s="2" t="s">
        <v>17</v>
      </c>
      <c r="D5097" s="2" t="s">
        <v>18</v>
      </c>
      <c r="E5097" s="5">
        <v>-28077</v>
      </c>
      <c r="F5097" s="3" t="s">
        <v>536</v>
      </c>
      <c r="G5097" s="3" t="s">
        <v>59</v>
      </c>
      <c r="H5097" s="2" t="s">
        <v>21</v>
      </c>
      <c r="I5097" s="2" t="s">
        <v>10287</v>
      </c>
      <c r="J5097" s="3" t="str">
        <f>HYPERLINK("https://www.boe.es/gazeta/dias/1823/02/15/pdfs/GMD-1823-49.pdf#page=6","Abrir facsímil")</f>
        <v>Abrir facsímil</v>
      </c>
      <c r="K5097" s="3" t="s">
        <v>23</v>
      </c>
    </row>
    <row r="5098" spans="1:11" ht="42" customHeight="1">
      <c r="A5098" s="2" t="s">
        <v>10288</v>
      </c>
      <c r="B5098" s="2" t="s">
        <v>10289</v>
      </c>
      <c r="C5098" s="2" t="s">
        <v>109</v>
      </c>
      <c r="D5098" s="2" t="s">
        <v>74</v>
      </c>
      <c r="E5098" s="5">
        <v>-27992</v>
      </c>
      <c r="F5098" s="3" t="s">
        <v>565</v>
      </c>
      <c r="G5098" s="3" t="s">
        <v>1279</v>
      </c>
      <c r="H5098" s="2" t="s">
        <v>21</v>
      </c>
      <c r="I5098" s="2" t="s">
        <v>10290</v>
      </c>
      <c r="J5098" s="3" t="str">
        <f>HYPERLINK("https://www.boe.es/gazeta/dias/1823/05/11/pdfs/GES-1823-31.pdf#page=2","Abrir facsímil")</f>
        <v>Abrir facsímil</v>
      </c>
      <c r="K5098" s="3" t="s">
        <v>23</v>
      </c>
    </row>
    <row r="5099" spans="1:11" ht="42" customHeight="1">
      <c r="A5099" s="2" t="s">
        <v>10291</v>
      </c>
      <c r="B5099" s="2" t="s">
        <v>10292</v>
      </c>
      <c r="C5099" s="2" t="s">
        <v>56</v>
      </c>
      <c r="D5099" s="2" t="s">
        <v>57</v>
      </c>
      <c r="E5099" s="5">
        <v>-27960</v>
      </c>
      <c r="F5099" s="3" t="s">
        <v>741</v>
      </c>
      <c r="G5099" s="3" t="s">
        <v>27</v>
      </c>
      <c r="H5099" s="2" t="s">
        <v>21</v>
      </c>
      <c r="I5099" s="2" t="s">
        <v>10293</v>
      </c>
      <c r="J5099" s="3" t="str">
        <f>HYPERLINK("https://www.boe.es/gazeta/dias/1823/06/12/pdfs/GES-1823-66.pdf#page=2","Abrir facsímil")</f>
        <v>Abrir facsímil</v>
      </c>
      <c r="K5099" s="3" t="s">
        <v>23</v>
      </c>
    </row>
    <row r="5100" spans="1:11" ht="42" customHeight="1">
      <c r="A5100" s="2" t="s">
        <v>10294</v>
      </c>
      <c r="B5100" s="2" t="s">
        <v>10295</v>
      </c>
      <c r="C5100" s="2" t="s">
        <v>109</v>
      </c>
      <c r="D5100" s="2" t="s">
        <v>74</v>
      </c>
      <c r="E5100" s="5">
        <v>-28073</v>
      </c>
      <c r="F5100" s="3" t="s">
        <v>204</v>
      </c>
      <c r="G5100" s="3" t="s">
        <v>27</v>
      </c>
      <c r="H5100" s="2" t="s">
        <v>21</v>
      </c>
      <c r="I5100" s="2" t="s">
        <v>10296</v>
      </c>
      <c r="J5100" s="3" t="str">
        <f>HYPERLINK("https://www.boe.es/gazeta/dias/1823/02/19/pdfs/GMD-1823-53.pdf#page=2","Abrir facsímil")</f>
        <v>Abrir facsímil</v>
      </c>
      <c r="K5100" s="3" t="s">
        <v>23</v>
      </c>
    </row>
    <row r="5101" spans="1:11" ht="42" customHeight="1">
      <c r="A5101" s="2" t="s">
        <v>10297</v>
      </c>
      <c r="B5101" s="2" t="s">
        <v>10298</v>
      </c>
      <c r="C5101" s="2" t="s">
        <v>17</v>
      </c>
      <c r="D5101" s="2" t="s">
        <v>18</v>
      </c>
      <c r="E5101" s="5">
        <v>-27999</v>
      </c>
      <c r="F5101" s="3" t="s">
        <v>97</v>
      </c>
      <c r="G5101" s="3" t="s">
        <v>1257</v>
      </c>
      <c r="H5101" s="2" t="s">
        <v>21</v>
      </c>
      <c r="I5101" s="2" t="s">
        <v>10299</v>
      </c>
      <c r="J5101" s="3" t="str">
        <f>HYPERLINK("https://www.boe.es/gazeta/dias/1823/05/04/pdfs/GES-1823-24.pdf#page=2","Abrir facsímil")</f>
        <v>Abrir facsímil</v>
      </c>
      <c r="K5101" s="3" t="s">
        <v>23</v>
      </c>
    </row>
    <row r="5102" spans="1:11" ht="42" customHeight="1">
      <c r="A5102" s="2" t="s">
        <v>10300</v>
      </c>
      <c r="B5102" s="2" t="s">
        <v>10301</v>
      </c>
      <c r="C5102" s="2" t="s">
        <v>56</v>
      </c>
      <c r="D5102" s="2" t="s">
        <v>57</v>
      </c>
      <c r="E5102" s="5">
        <v>-27986</v>
      </c>
      <c r="F5102" s="3" t="s">
        <v>607</v>
      </c>
      <c r="G5102" s="3" t="s">
        <v>27</v>
      </c>
      <c r="H5102" s="2" t="s">
        <v>21</v>
      </c>
      <c r="I5102" s="2" t="s">
        <v>10302</v>
      </c>
      <c r="J5102" s="3" t="str">
        <f>HYPERLINK("https://www.boe.es/gazeta/dias/1823/05/17/pdfs/GMD-1823-152.pdf#page=2","Abrir facsímil")</f>
        <v>Abrir facsímil</v>
      </c>
      <c r="K5102" s="3" t="s">
        <v>23</v>
      </c>
    </row>
    <row r="5103" spans="1:11" ht="42" customHeight="1">
      <c r="A5103" s="2" t="s">
        <v>10300</v>
      </c>
      <c r="B5103" s="2" t="s">
        <v>10301</v>
      </c>
      <c r="C5103" s="2" t="s">
        <v>17</v>
      </c>
      <c r="D5103" s="2" t="s">
        <v>18</v>
      </c>
      <c r="E5103" s="5">
        <v>-27950</v>
      </c>
      <c r="F5103" s="3" t="s">
        <v>4513</v>
      </c>
      <c r="G5103" s="3" t="s">
        <v>27</v>
      </c>
      <c r="H5103" s="2" t="s">
        <v>21</v>
      </c>
      <c r="I5103" s="2" t="s">
        <v>10303</v>
      </c>
      <c r="J5103" s="3" t="str">
        <f>HYPERLINK("https://www.boe.es/gazeta/dias/1823/06/22/pdfs/GES-1823-70.pdf#page=2","Abrir facsímil")</f>
        <v>Abrir facsímil</v>
      </c>
      <c r="K5103" s="3" t="s">
        <v>23</v>
      </c>
    </row>
    <row r="5104" spans="1:11" ht="42" customHeight="1">
      <c r="A5104" s="2" t="s">
        <v>10300</v>
      </c>
      <c r="B5104" s="2" t="s">
        <v>10301</v>
      </c>
      <c r="C5104" s="2" t="s">
        <v>17</v>
      </c>
      <c r="D5104" s="2" t="s">
        <v>18</v>
      </c>
      <c r="E5104" s="5">
        <v>-27949</v>
      </c>
      <c r="F5104" s="3" t="s">
        <v>1162</v>
      </c>
      <c r="G5104" s="3" t="s">
        <v>48</v>
      </c>
      <c r="H5104" s="2" t="s">
        <v>21</v>
      </c>
      <c r="I5104" s="2" t="s">
        <v>10304</v>
      </c>
      <c r="J5104" s="3" t="str">
        <f>HYPERLINK("https://www.boe.es/gazeta/dias/1823/06/23/pdfs/GES-1823-71.pdf#page=3","Abrir facsímil")</f>
        <v>Abrir facsímil</v>
      </c>
      <c r="K5104" s="3" t="s">
        <v>23</v>
      </c>
    </row>
    <row r="5105" spans="1:11" ht="42" customHeight="1">
      <c r="A5105" s="2" t="s">
        <v>10305</v>
      </c>
      <c r="B5105" s="2" t="s">
        <v>10306</v>
      </c>
      <c r="C5105" s="2" t="s">
        <v>56</v>
      </c>
      <c r="D5105" s="2" t="s">
        <v>57</v>
      </c>
      <c r="E5105" s="5">
        <v>-27986</v>
      </c>
      <c r="F5105" s="3" t="s">
        <v>607</v>
      </c>
      <c r="G5105" s="3" t="s">
        <v>20</v>
      </c>
      <c r="H5105" s="2" t="s">
        <v>21</v>
      </c>
      <c r="I5105" s="2" t="s">
        <v>10307</v>
      </c>
      <c r="J5105" s="3" t="str">
        <f>HYPERLINK("https://www.boe.es/gazeta/dias/1823/05/17/pdfs/GMD-1823-152.pdf#page=4","Abrir facsímil")</f>
        <v>Abrir facsímil</v>
      </c>
      <c r="K5105" s="3" t="s">
        <v>23</v>
      </c>
    </row>
    <row r="5106" spans="1:11" ht="42" customHeight="1">
      <c r="A5106" s="2" t="s">
        <v>10305</v>
      </c>
      <c r="B5106" s="2" t="s">
        <v>10306</v>
      </c>
      <c r="C5106" s="2" t="s">
        <v>17</v>
      </c>
      <c r="D5106" s="2" t="s">
        <v>18</v>
      </c>
      <c r="E5106" s="5">
        <v>-27915</v>
      </c>
      <c r="F5106" s="3" t="s">
        <v>524</v>
      </c>
      <c r="G5106" s="3" t="s">
        <v>20</v>
      </c>
      <c r="H5106" s="2" t="s">
        <v>21</v>
      </c>
      <c r="I5106" s="2" t="s">
        <v>10308</v>
      </c>
      <c r="J5106" s="3" t="str">
        <f>HYPERLINK("https://www.boe.es/gazeta/dias/1823/07/27/pdfs/GES-1823-108.pdf#page=4","Abrir facsímil")</f>
        <v>Abrir facsímil</v>
      </c>
      <c r="K5106" s="3" t="s">
        <v>23</v>
      </c>
    </row>
    <row r="5107" spans="1:11" ht="42" customHeight="1">
      <c r="A5107" s="2" t="s">
        <v>10305</v>
      </c>
      <c r="B5107" s="2" t="s">
        <v>10306</v>
      </c>
      <c r="C5107" s="2" t="s">
        <v>17</v>
      </c>
      <c r="D5107" s="2" t="s">
        <v>18</v>
      </c>
      <c r="E5107" s="5">
        <v>-27846</v>
      </c>
      <c r="F5107" s="3" t="s">
        <v>2535</v>
      </c>
      <c r="G5107" s="3" t="s">
        <v>39</v>
      </c>
      <c r="H5107" s="2" t="s">
        <v>21</v>
      </c>
      <c r="I5107" s="2" t="s">
        <v>10309</v>
      </c>
      <c r="J5107" s="3" t="str">
        <f>HYPERLINK("https://www.boe.es/gazeta/dias/1823/10/04/pdfs/GMD-1823-913.pdf#page=1","Abrir facsímil")</f>
        <v>Abrir facsímil</v>
      </c>
      <c r="K5107" s="3" t="s">
        <v>23</v>
      </c>
    </row>
    <row r="5108" spans="1:11" ht="42" customHeight="1">
      <c r="A5108" s="2" t="s">
        <v>10305</v>
      </c>
      <c r="B5108" s="2" t="s">
        <v>10306</v>
      </c>
      <c r="C5108" s="2" t="s">
        <v>56</v>
      </c>
      <c r="D5108" s="2" t="s">
        <v>57</v>
      </c>
      <c r="E5108" s="5">
        <v>-27797</v>
      </c>
      <c r="F5108" s="3" t="s">
        <v>3409</v>
      </c>
      <c r="G5108" s="3" t="s">
        <v>20</v>
      </c>
      <c r="H5108" s="2" t="s">
        <v>21</v>
      </c>
      <c r="I5108" s="2" t="s">
        <v>10310</v>
      </c>
      <c r="J5108" s="3" t="str">
        <f>HYPERLINK("https://www.boe.es/gazeta/dias/1823/11/22/pdfs/GMD-1823-1153.pdf#page=4","Abrir facsímil")</f>
        <v>Abrir facsímil</v>
      </c>
      <c r="K5108" s="3" t="s">
        <v>23</v>
      </c>
    </row>
    <row r="5109" spans="1:11" ht="42" customHeight="1">
      <c r="A5109" s="2" t="s">
        <v>10311</v>
      </c>
      <c r="B5109" s="2" t="s">
        <v>10312</v>
      </c>
      <c r="C5109" s="2" t="s">
        <v>17</v>
      </c>
      <c r="D5109" s="2" t="s">
        <v>18</v>
      </c>
      <c r="E5109" s="5">
        <v>-28101</v>
      </c>
      <c r="F5109" s="3" t="s">
        <v>1041</v>
      </c>
      <c r="G5109" s="3" t="s">
        <v>20</v>
      </c>
      <c r="H5109" s="2" t="s">
        <v>21</v>
      </c>
      <c r="I5109" s="2" t="s">
        <v>10313</v>
      </c>
      <c r="J5109" s="3" t="str">
        <f>HYPERLINK("https://www.boe.es/gazeta/dias/1823/01/22/pdfs/GMD-1823-23.pdf#page=4","Abrir facsímil")</f>
        <v>Abrir facsímil</v>
      </c>
      <c r="K5109" s="3" t="s">
        <v>23</v>
      </c>
    </row>
    <row r="5110" spans="1:11" ht="42" customHeight="1">
      <c r="A5110" s="2" t="s">
        <v>10314</v>
      </c>
      <c r="B5110" s="2" t="s">
        <v>10314</v>
      </c>
      <c r="C5110" s="2" t="s">
        <v>79</v>
      </c>
      <c r="D5110" s="2" t="s">
        <v>74</v>
      </c>
      <c r="E5110" s="5">
        <v>-27967</v>
      </c>
      <c r="F5110" s="3" t="s">
        <v>2493</v>
      </c>
      <c r="G5110" s="3" t="s">
        <v>48</v>
      </c>
      <c r="H5110" s="2" t="s">
        <v>21</v>
      </c>
      <c r="I5110" s="2" t="s">
        <v>10315</v>
      </c>
      <c r="J5110" s="3" t="str">
        <f>HYPERLINK("https://www.boe.es/gazeta/dias/1823/06/05/pdfs/GMD-1823-63.pdf#page=3","Abrir facsímil")</f>
        <v>Abrir facsímil</v>
      </c>
      <c r="K5110" s="3" t="s">
        <v>23</v>
      </c>
    </row>
    <row r="5111" spans="1:11" ht="42" customHeight="1">
      <c r="A5111" s="2" t="s">
        <v>10314</v>
      </c>
      <c r="B5111" s="2" t="s">
        <v>10314</v>
      </c>
      <c r="C5111" s="2" t="s">
        <v>17</v>
      </c>
      <c r="D5111" s="2" t="s">
        <v>18</v>
      </c>
      <c r="E5111" s="5">
        <v>-27864</v>
      </c>
      <c r="F5111" s="3" t="s">
        <v>395</v>
      </c>
      <c r="G5111" s="3" t="s">
        <v>48</v>
      </c>
      <c r="H5111" s="2" t="s">
        <v>21</v>
      </c>
      <c r="I5111" s="2" t="s">
        <v>10316</v>
      </c>
      <c r="J5111" s="3" t="str">
        <f>HYPERLINK("https://www.boe.es/gazeta/dias/1823/09/16/pdfs/GMD-1823-783.pdf#page=3","Abrir facsímil")</f>
        <v>Abrir facsímil</v>
      </c>
      <c r="K5111" s="3" t="s">
        <v>23</v>
      </c>
    </row>
    <row r="5112" spans="1:11" ht="42" customHeight="1">
      <c r="A5112" s="2" t="s">
        <v>10317</v>
      </c>
      <c r="B5112" s="2" t="s">
        <v>10318</v>
      </c>
      <c r="C5112" s="2" t="s">
        <v>17</v>
      </c>
      <c r="D5112" s="2" t="s">
        <v>18</v>
      </c>
      <c r="E5112" s="5">
        <v>-28004</v>
      </c>
      <c r="F5112" s="3" t="s">
        <v>313</v>
      </c>
      <c r="G5112" s="3" t="s">
        <v>39</v>
      </c>
      <c r="H5112" s="2" t="s">
        <v>21</v>
      </c>
      <c r="I5112" s="2" t="s">
        <v>10319</v>
      </c>
      <c r="J5112" s="3" t="str">
        <f>HYPERLINK("https://www.boe.es/gazeta/dias/1823/04/29/pdfs/GMD-1823-72.pdf#page=1","Abrir facsímil")</f>
        <v>Abrir facsímil</v>
      </c>
      <c r="K5112" s="3" t="s">
        <v>23</v>
      </c>
    </row>
    <row r="5113" spans="1:11" ht="42" customHeight="1">
      <c r="A5113" s="2" t="s">
        <v>10320</v>
      </c>
      <c r="B5113" s="2" t="s">
        <v>10320</v>
      </c>
      <c r="C5113" s="2" t="s">
        <v>17</v>
      </c>
      <c r="D5113" s="2" t="s">
        <v>18</v>
      </c>
      <c r="E5113" s="5">
        <v>-28058</v>
      </c>
      <c r="F5113" s="3" t="s">
        <v>1282</v>
      </c>
      <c r="G5113" s="3" t="s">
        <v>34</v>
      </c>
      <c r="H5113" s="2" t="s">
        <v>21</v>
      </c>
      <c r="I5113" s="2" t="s">
        <v>10321</v>
      </c>
      <c r="J5113" s="3" t="str">
        <f>HYPERLINK("https://www.boe.es/gazeta/dias/1823/03/06/pdfs/GMD-1823-69.pdf#page=5","Abrir facsímil")</f>
        <v>Abrir facsímil</v>
      </c>
      <c r="K5113" s="3" t="s">
        <v>23</v>
      </c>
    </row>
    <row r="5114" spans="1:11" ht="42" customHeight="1">
      <c r="A5114" s="2" t="s">
        <v>10322</v>
      </c>
      <c r="B5114" s="2" t="s">
        <v>10322</v>
      </c>
      <c r="C5114" s="2" t="s">
        <v>79</v>
      </c>
      <c r="D5114" s="2" t="s">
        <v>74</v>
      </c>
      <c r="E5114" s="5">
        <v>-27911</v>
      </c>
      <c r="F5114" s="3" t="s">
        <v>1393</v>
      </c>
      <c r="G5114" s="3" t="s">
        <v>48</v>
      </c>
      <c r="H5114" s="2" t="s">
        <v>21</v>
      </c>
      <c r="I5114" s="2" t="s">
        <v>10323</v>
      </c>
      <c r="J5114" s="3" t="str">
        <f>HYPERLINK("https://www.boe.es/gazeta/dias/1823/07/31/pdfs/GMD-1823-503.pdf#page=3","Abrir facsímil")</f>
        <v>Abrir facsímil</v>
      </c>
      <c r="K5114" s="3" t="s">
        <v>23</v>
      </c>
    </row>
    <row r="5115" spans="1:11" ht="42" customHeight="1">
      <c r="A5115" s="2" t="s">
        <v>10324</v>
      </c>
      <c r="B5115" s="2" t="s">
        <v>10324</v>
      </c>
      <c r="C5115" s="2" t="s">
        <v>73</v>
      </c>
      <c r="D5115" s="2" t="s">
        <v>74</v>
      </c>
      <c r="E5115" s="5">
        <v>-27808</v>
      </c>
      <c r="F5115" s="3" t="s">
        <v>1602</v>
      </c>
      <c r="G5115" s="3" t="s">
        <v>27</v>
      </c>
      <c r="H5115" s="2" t="s">
        <v>21</v>
      </c>
      <c r="I5115" s="2" t="s">
        <v>10325</v>
      </c>
      <c r="J5115" s="3" t="str">
        <f>HYPERLINK("https://www.boe.es/gazeta/dias/1823/11/11/pdfs/GMD-1823-1103.pdf#page=2","Abrir facsímil")</f>
        <v>Abrir facsímil</v>
      </c>
      <c r="K5115" s="3" t="s">
        <v>23</v>
      </c>
    </row>
    <row r="5116" spans="1:11" ht="42" customHeight="1">
      <c r="A5116" s="2" t="s">
        <v>10326</v>
      </c>
      <c r="B5116" s="2" t="s">
        <v>10326</v>
      </c>
      <c r="C5116" s="2" t="s">
        <v>56</v>
      </c>
      <c r="D5116" s="2" t="s">
        <v>57</v>
      </c>
      <c r="E5116" s="5">
        <v>-27997</v>
      </c>
      <c r="F5116" s="3" t="s">
        <v>937</v>
      </c>
      <c r="G5116" s="3" t="s">
        <v>39</v>
      </c>
      <c r="H5116" s="2" t="s">
        <v>21</v>
      </c>
      <c r="I5116" s="2" t="s">
        <v>10327</v>
      </c>
      <c r="J5116" s="3" t="str">
        <f>HYPERLINK("https://www.boe.es/gazeta/dias/1823/05/06/pdfs/GMD-1823-102.pdf#page=1","Abrir facsímil")</f>
        <v>Abrir facsímil</v>
      </c>
      <c r="K5116" s="3" t="s">
        <v>23</v>
      </c>
    </row>
    <row r="5117" spans="1:11" ht="42" customHeight="1">
      <c r="A5117" s="2" t="s">
        <v>10328</v>
      </c>
      <c r="B5117" s="2" t="s">
        <v>10329</v>
      </c>
      <c r="C5117" s="2" t="s">
        <v>17</v>
      </c>
      <c r="D5117" s="2" t="s">
        <v>18</v>
      </c>
      <c r="E5117" s="5">
        <v>-28066</v>
      </c>
      <c r="F5117" s="3" t="s">
        <v>19</v>
      </c>
      <c r="G5117" s="3" t="s">
        <v>27</v>
      </c>
      <c r="H5117" s="2" t="s">
        <v>21</v>
      </c>
      <c r="I5117" s="2" t="s">
        <v>10330</v>
      </c>
      <c r="J5117" s="3" t="str">
        <f>HYPERLINK("https://www.boe.es/gazeta/dias/1823/02/26/pdfs/GMD-1823-60.pdf#page=2","Abrir facsímil")</f>
        <v>Abrir facsímil</v>
      </c>
      <c r="K5117" s="3" t="s">
        <v>23</v>
      </c>
    </row>
    <row r="5118" spans="1:11" ht="42" customHeight="1">
      <c r="A5118" s="2" t="s">
        <v>10331</v>
      </c>
      <c r="B5118" s="2" t="s">
        <v>10332</v>
      </c>
      <c r="C5118" s="2" t="s">
        <v>17</v>
      </c>
      <c r="D5118" s="2" t="s">
        <v>18</v>
      </c>
      <c r="E5118" s="5">
        <v>-27920</v>
      </c>
      <c r="F5118" s="3" t="s">
        <v>1334</v>
      </c>
      <c r="G5118" s="3" t="s">
        <v>39</v>
      </c>
      <c r="H5118" s="2" t="s">
        <v>21</v>
      </c>
      <c r="I5118" s="2" t="s">
        <v>10333</v>
      </c>
      <c r="J5118" s="3" t="str">
        <f>HYPERLINK("https://www.boe.es/gazeta/dias/1823/07/22/pdfs/GMD-1823-443.pdf#page=1","Abrir facsímil")</f>
        <v>Abrir facsímil</v>
      </c>
      <c r="K5118" s="3" t="s">
        <v>23</v>
      </c>
    </row>
    <row r="5119" spans="1:11" ht="42" customHeight="1">
      <c r="A5119" s="2" t="s">
        <v>10334</v>
      </c>
      <c r="B5119" s="2" t="s">
        <v>10334</v>
      </c>
      <c r="C5119" s="2" t="s">
        <v>79</v>
      </c>
      <c r="D5119" s="2" t="s">
        <v>74</v>
      </c>
      <c r="E5119" s="5">
        <v>-27895</v>
      </c>
      <c r="F5119" s="3" t="s">
        <v>5642</v>
      </c>
      <c r="G5119" s="3" t="s">
        <v>20</v>
      </c>
      <c r="H5119" s="2" t="s">
        <v>21</v>
      </c>
      <c r="I5119" s="2" t="s">
        <v>10335</v>
      </c>
      <c r="J5119" s="3" t="str">
        <f>HYPERLINK("https://www.boe.es/gazeta/dias/1823/08/16/pdfs/GMD-1823-603.pdf#page=4","Abrir facsímil")</f>
        <v>Abrir facsímil</v>
      </c>
      <c r="K5119" s="3" t="s">
        <v>23</v>
      </c>
    </row>
    <row r="5120" spans="1:11" ht="42" customHeight="1">
      <c r="A5120" s="2" t="s">
        <v>10336</v>
      </c>
      <c r="B5120" s="2" t="s">
        <v>10336</v>
      </c>
      <c r="C5120" s="2" t="s">
        <v>17</v>
      </c>
      <c r="D5120" s="2" t="s">
        <v>18</v>
      </c>
      <c r="E5120" s="5">
        <v>-27894</v>
      </c>
      <c r="F5120" s="3" t="s">
        <v>2013</v>
      </c>
      <c r="G5120" s="3" t="s">
        <v>39</v>
      </c>
      <c r="H5120" s="2" t="s">
        <v>21</v>
      </c>
      <c r="I5120" s="2" t="s">
        <v>10337</v>
      </c>
      <c r="J5120" s="3" t="str">
        <f>HYPERLINK("https://www.boe.es/gazeta/dias/1823/08/17/pdfs/GES-1823-130.pdf#page=1","Abrir facsímil")</f>
        <v>Abrir facsímil</v>
      </c>
      <c r="K5120" s="3" t="s">
        <v>23</v>
      </c>
    </row>
    <row r="5121" spans="1:11" ht="42" customHeight="1">
      <c r="A5121" s="2" t="s">
        <v>10338</v>
      </c>
      <c r="B5121" s="2" t="s">
        <v>10339</v>
      </c>
      <c r="C5121" s="2" t="s">
        <v>17</v>
      </c>
      <c r="D5121" s="2" t="s">
        <v>18</v>
      </c>
      <c r="E5121" s="5">
        <v>-27910</v>
      </c>
      <c r="F5121" s="3" t="s">
        <v>38</v>
      </c>
      <c r="G5121" s="3" t="s">
        <v>39</v>
      </c>
      <c r="H5121" s="2" t="s">
        <v>21</v>
      </c>
      <c r="I5121" s="2" t="s">
        <v>10340</v>
      </c>
      <c r="J5121" s="3" t="str">
        <f>HYPERLINK("https://www.boe.es/gazeta/dias/1823/08/01/pdfs/GES-1823-113.pdf#page=1","Abrir facsímil")</f>
        <v>Abrir facsímil</v>
      </c>
      <c r="K5121" s="3" t="s">
        <v>23</v>
      </c>
    </row>
    <row r="5122" spans="1:11" ht="42" customHeight="1">
      <c r="A5122" s="2" t="s">
        <v>10341</v>
      </c>
      <c r="B5122" s="2" t="s">
        <v>10342</v>
      </c>
      <c r="C5122" s="2" t="s">
        <v>17</v>
      </c>
      <c r="D5122" s="2" t="s">
        <v>18</v>
      </c>
      <c r="E5122" s="5">
        <v>-28060</v>
      </c>
      <c r="F5122" s="3" t="s">
        <v>180</v>
      </c>
      <c r="G5122" s="3" t="s">
        <v>181</v>
      </c>
      <c r="H5122" s="2" t="s">
        <v>21</v>
      </c>
      <c r="I5122" s="2" t="s">
        <v>10343</v>
      </c>
      <c r="J5122" s="3" t="str">
        <f>HYPERLINK("https://www.boe.es/gazeta/dias/1823/03/04/pdfs/GMD-1823-67.pdf#page=6","Abrir facsímil")</f>
        <v>Abrir facsímil</v>
      </c>
      <c r="K5122" s="3" t="s">
        <v>23</v>
      </c>
    </row>
    <row r="5123" spans="1:11" ht="42" customHeight="1">
      <c r="A5123" s="2" t="s">
        <v>10344</v>
      </c>
      <c r="B5123" s="2" t="s">
        <v>10345</v>
      </c>
      <c r="C5123" s="2" t="s">
        <v>17</v>
      </c>
      <c r="D5123" s="2" t="s">
        <v>18</v>
      </c>
      <c r="E5123" s="5">
        <v>-27993</v>
      </c>
      <c r="F5123" s="3" t="s">
        <v>977</v>
      </c>
      <c r="G5123" s="3" t="s">
        <v>978</v>
      </c>
      <c r="H5123" s="2" t="s">
        <v>21</v>
      </c>
      <c r="I5123" s="2" t="s">
        <v>10346</v>
      </c>
      <c r="J5123" s="3" t="str">
        <f>HYPERLINK("https://www.boe.es/gazeta/dias/1823/05/10/pdfs/GES-1823-30.pdf#page=4","Abrir facsímil")</f>
        <v>Abrir facsímil</v>
      </c>
      <c r="K5123" s="3" t="s">
        <v>23</v>
      </c>
    </row>
    <row r="5124" spans="1:11" ht="42" customHeight="1">
      <c r="A5124" s="2" t="s">
        <v>10347</v>
      </c>
      <c r="B5124" s="2" t="s">
        <v>10347</v>
      </c>
      <c r="C5124" s="2" t="s">
        <v>17</v>
      </c>
      <c r="D5124" s="2" t="s">
        <v>18</v>
      </c>
      <c r="E5124" s="5">
        <v>-28030</v>
      </c>
      <c r="F5124" s="3" t="s">
        <v>145</v>
      </c>
      <c r="G5124" s="3" t="s">
        <v>20</v>
      </c>
      <c r="H5124" s="2" t="s">
        <v>21</v>
      </c>
      <c r="I5124" s="2" t="s">
        <v>10348</v>
      </c>
      <c r="J5124" s="3" t="str">
        <f>HYPERLINK("https://www.boe.es/gazeta/dias/1823/04/03/pdfs/GMD-1823-97.pdf#page=4","Abrir facsímil")</f>
        <v>Abrir facsímil</v>
      </c>
      <c r="K5124" s="3" t="s">
        <v>23</v>
      </c>
    </row>
    <row r="5125" spans="1:11" ht="42" customHeight="1">
      <c r="A5125" s="2" t="s">
        <v>10349</v>
      </c>
      <c r="B5125" s="2" t="s">
        <v>10349</v>
      </c>
      <c r="C5125" s="2" t="s">
        <v>17</v>
      </c>
      <c r="D5125" s="2" t="s">
        <v>18</v>
      </c>
      <c r="E5125" s="5">
        <v>-28082</v>
      </c>
      <c r="F5125" s="3" t="s">
        <v>468</v>
      </c>
      <c r="G5125" s="3" t="s">
        <v>39</v>
      </c>
      <c r="H5125" s="2" t="s">
        <v>21</v>
      </c>
      <c r="I5125" s="2" t="s">
        <v>10350</v>
      </c>
      <c r="J5125" s="3" t="str">
        <f>HYPERLINK("https://www.boe.es/gazeta/dias/1823/02/10/pdfs/GMD-1823-44.pdf#page=1","Abrir facsímil")</f>
        <v>Abrir facsímil</v>
      </c>
      <c r="K5125" s="3" t="s">
        <v>23</v>
      </c>
    </row>
    <row r="5126" spans="1:11" ht="42" customHeight="1">
      <c r="A5126" s="2" t="s">
        <v>10351</v>
      </c>
      <c r="B5126" s="2" t="s">
        <v>10351</v>
      </c>
      <c r="C5126" s="2" t="s">
        <v>17</v>
      </c>
      <c r="D5126" s="2" t="s">
        <v>18</v>
      </c>
      <c r="E5126" s="5">
        <v>-27864</v>
      </c>
      <c r="F5126" s="3" t="s">
        <v>1301</v>
      </c>
      <c r="G5126" s="3" t="s">
        <v>27</v>
      </c>
      <c r="H5126" s="2" t="s">
        <v>21</v>
      </c>
      <c r="I5126" s="2" t="s">
        <v>10352</v>
      </c>
      <c r="J5126" s="3" t="str">
        <f>HYPERLINK("https://www.boe.es/gazeta/dias/1823/09/16/pdfs/GES-1823-160.pdf#page=2","Abrir facsímil")</f>
        <v>Abrir facsímil</v>
      </c>
      <c r="K5126" s="3" t="s">
        <v>23</v>
      </c>
    </row>
    <row r="5127" spans="1:11" ht="42" customHeight="1">
      <c r="A5127" s="2" t="s">
        <v>10353</v>
      </c>
      <c r="B5127" s="2" t="s">
        <v>10353</v>
      </c>
      <c r="C5127" s="2" t="s">
        <v>17</v>
      </c>
      <c r="D5127" s="2" t="s">
        <v>18</v>
      </c>
      <c r="E5127" s="5">
        <v>-27864</v>
      </c>
      <c r="F5127" s="3" t="s">
        <v>1301</v>
      </c>
      <c r="G5127" s="3" t="s">
        <v>27</v>
      </c>
      <c r="H5127" s="2" t="s">
        <v>21</v>
      </c>
      <c r="I5127" s="2" t="s">
        <v>10354</v>
      </c>
      <c r="J5127" s="3" t="str">
        <f>HYPERLINK("https://www.boe.es/gazeta/dias/1823/09/16/pdfs/GES-1823-160.pdf#page=2","Abrir facsímil")</f>
        <v>Abrir facsímil</v>
      </c>
      <c r="K5127" s="3" t="s">
        <v>23</v>
      </c>
    </row>
    <row r="5128" spans="1:11" ht="42" customHeight="1">
      <c r="A5128" s="2" t="s">
        <v>10355</v>
      </c>
      <c r="B5128" s="2" t="s">
        <v>10355</v>
      </c>
      <c r="C5128" s="2" t="s">
        <v>17</v>
      </c>
      <c r="D5128" s="2" t="s">
        <v>18</v>
      </c>
      <c r="E5128" s="5">
        <v>-28057</v>
      </c>
      <c r="F5128" s="3" t="s">
        <v>301</v>
      </c>
      <c r="G5128" s="3" t="s">
        <v>20</v>
      </c>
      <c r="H5128" s="2" t="s">
        <v>21</v>
      </c>
      <c r="I5128" s="2" t="s">
        <v>10356</v>
      </c>
      <c r="J5128" s="3" t="str">
        <f>HYPERLINK("https://www.boe.es/gazeta/dias/1823/03/07/pdfs/GMD-1823-70.pdf#page=4","Abrir facsímil")</f>
        <v>Abrir facsímil</v>
      </c>
      <c r="K5128" s="3" t="s">
        <v>23</v>
      </c>
    </row>
    <row r="5129" spans="1:11" ht="42" customHeight="1">
      <c r="A5129" s="2" t="s">
        <v>10357</v>
      </c>
      <c r="B5129" s="2" t="s">
        <v>10358</v>
      </c>
      <c r="C5129" s="2" t="s">
        <v>17</v>
      </c>
      <c r="D5129" s="2" t="s">
        <v>18</v>
      </c>
      <c r="E5129" s="5">
        <v>-28092</v>
      </c>
      <c r="F5129" s="3" t="s">
        <v>105</v>
      </c>
      <c r="G5129" s="3" t="s">
        <v>59</v>
      </c>
      <c r="H5129" s="2" t="s">
        <v>21</v>
      </c>
      <c r="I5129" s="2" t="s">
        <v>10359</v>
      </c>
      <c r="J5129" s="3" t="str">
        <f>HYPERLINK("https://www.boe.es/gazeta/dias/1823/01/31/pdfs/GMD-1823-32.pdf#page=6","Abrir facsímil")</f>
        <v>Abrir facsímil</v>
      </c>
      <c r="K5129" s="3" t="s">
        <v>23</v>
      </c>
    </row>
    <row r="5130" spans="1:11" ht="42" customHeight="1">
      <c r="A5130" s="2" t="s">
        <v>10360</v>
      </c>
      <c r="B5130" s="2" t="s">
        <v>10361</v>
      </c>
      <c r="C5130" s="2" t="s">
        <v>17</v>
      </c>
      <c r="D5130" s="2" t="s">
        <v>18</v>
      </c>
      <c r="E5130" s="5">
        <v>-28043</v>
      </c>
      <c r="F5130" s="3" t="s">
        <v>69</v>
      </c>
      <c r="G5130" s="3" t="s">
        <v>59</v>
      </c>
      <c r="H5130" s="2" t="s">
        <v>21</v>
      </c>
      <c r="I5130" s="2" t="s">
        <v>10362</v>
      </c>
      <c r="J5130" s="3" t="str">
        <f>HYPERLINK("https://www.boe.es/gazeta/dias/1823/03/21/pdfs/GMD-1823-84.pdf#page=6","Abrir facsímil")</f>
        <v>Abrir facsímil</v>
      </c>
      <c r="K5130" s="3" t="s">
        <v>23</v>
      </c>
    </row>
    <row r="5131" spans="1:11" ht="42" customHeight="1">
      <c r="A5131" s="2" t="s">
        <v>10363</v>
      </c>
      <c r="B5131" s="2" t="s">
        <v>10364</v>
      </c>
      <c r="C5131" s="2" t="s">
        <v>79</v>
      </c>
      <c r="D5131" s="2" t="s">
        <v>74</v>
      </c>
      <c r="E5131" s="5">
        <v>-28082</v>
      </c>
      <c r="F5131" s="3" t="s">
        <v>468</v>
      </c>
      <c r="G5131" s="3" t="s">
        <v>59</v>
      </c>
      <c r="H5131" s="2" t="s">
        <v>21</v>
      </c>
      <c r="I5131" s="2" t="s">
        <v>10365</v>
      </c>
      <c r="J5131" s="3" t="str">
        <f>HYPERLINK("https://www.boe.es/gazeta/dias/1823/02/10/pdfs/GMD-1823-44.pdf#page=6","Abrir facsímil")</f>
        <v>Abrir facsímil</v>
      </c>
      <c r="K5131" s="3" t="s">
        <v>23</v>
      </c>
    </row>
    <row r="5132" spans="1:11" ht="42" customHeight="1">
      <c r="A5132" s="2" t="s">
        <v>10366</v>
      </c>
      <c r="B5132" s="2" t="s">
        <v>10367</v>
      </c>
      <c r="C5132" s="2" t="s">
        <v>17</v>
      </c>
      <c r="D5132" s="2" t="s">
        <v>18</v>
      </c>
      <c r="E5132" s="5">
        <v>-27853</v>
      </c>
      <c r="F5132" s="3" t="s">
        <v>2626</v>
      </c>
      <c r="G5132" s="3" t="s">
        <v>20</v>
      </c>
      <c r="H5132" s="2" t="s">
        <v>21</v>
      </c>
      <c r="I5132" s="2" t="s">
        <v>10368</v>
      </c>
      <c r="J5132" s="3" t="str">
        <f>HYPERLINK("https://www.boe.es/gazeta/dias/1823/09/27/pdfs/GES-1823-171.pdf#page=4","Abrir facsímil")</f>
        <v>Abrir facsímil</v>
      </c>
      <c r="K5132" s="3" t="s">
        <v>23</v>
      </c>
    </row>
    <row r="5133" spans="1:11" ht="42" customHeight="1">
      <c r="A5133" s="2" t="s">
        <v>10369</v>
      </c>
      <c r="B5133" s="2" t="s">
        <v>10370</v>
      </c>
      <c r="C5133" s="2" t="s">
        <v>109</v>
      </c>
      <c r="D5133" s="2" t="s">
        <v>74</v>
      </c>
      <c r="E5133" s="5">
        <v>-28031</v>
      </c>
      <c r="F5133" s="3" t="s">
        <v>1211</v>
      </c>
      <c r="G5133" s="3" t="s">
        <v>20</v>
      </c>
      <c r="H5133" s="2" t="s">
        <v>21</v>
      </c>
      <c r="I5133" s="2" t="s">
        <v>10371</v>
      </c>
      <c r="J5133" s="3" t="str">
        <f>HYPERLINK("https://www.boe.es/gazeta/dias/1823/04/02/pdfs/GMD-1823-96.pdf#page=4","Abrir facsímil")</f>
        <v>Abrir facsímil</v>
      </c>
      <c r="K5133" s="3" t="s">
        <v>23</v>
      </c>
    </row>
    <row r="5134" spans="1:11" ht="42" customHeight="1">
      <c r="A5134" s="2" t="s">
        <v>10372</v>
      </c>
      <c r="B5134" s="2" t="s">
        <v>10373</v>
      </c>
      <c r="C5134" s="2" t="s">
        <v>79</v>
      </c>
      <c r="D5134" s="2" t="s">
        <v>74</v>
      </c>
      <c r="E5134" s="5">
        <v>-27906</v>
      </c>
      <c r="F5134" s="3" t="s">
        <v>1527</v>
      </c>
      <c r="G5134" s="3" t="s">
        <v>59</v>
      </c>
      <c r="H5134" s="2" t="s">
        <v>21</v>
      </c>
      <c r="I5134" s="2" t="s">
        <v>10374</v>
      </c>
      <c r="J5134" s="3" t="str">
        <f>HYPERLINK("https://www.boe.es/gazeta/dias/1823/08/05/pdfs/GMD-1823-533.pdf#page=6","Abrir facsímil")</f>
        <v>Abrir facsímil</v>
      </c>
      <c r="K5134" s="3" t="s">
        <v>23</v>
      </c>
    </row>
    <row r="5135" spans="1:11" ht="42" customHeight="1">
      <c r="A5135" s="2" t="s">
        <v>10375</v>
      </c>
      <c r="B5135" s="2" t="s">
        <v>10376</v>
      </c>
      <c r="C5135" s="2" t="s">
        <v>109</v>
      </c>
      <c r="D5135" s="2" t="s">
        <v>74</v>
      </c>
      <c r="E5135" s="5">
        <v>-28115</v>
      </c>
      <c r="F5135" s="3" t="s">
        <v>579</v>
      </c>
      <c r="G5135" s="3" t="s">
        <v>1458</v>
      </c>
      <c r="H5135" s="2" t="s">
        <v>21</v>
      </c>
      <c r="I5135" s="2" t="s">
        <v>10377</v>
      </c>
      <c r="J5135" s="3" t="str">
        <f>HYPERLINK("https://www.boe.es/gazeta/dias/1823/01/08/pdfs/GMD-1823-8.pdf#page=4","Abrir facsímil")</f>
        <v>Abrir facsímil</v>
      </c>
      <c r="K5135" s="3" t="s">
        <v>23</v>
      </c>
    </row>
    <row r="5136" spans="1:11" ht="42" customHeight="1">
      <c r="A5136" s="2" t="s">
        <v>10378</v>
      </c>
      <c r="B5136" s="2" t="s">
        <v>10379</v>
      </c>
      <c r="C5136" s="2" t="s">
        <v>109</v>
      </c>
      <c r="D5136" s="2" t="s">
        <v>74</v>
      </c>
      <c r="E5136" s="5">
        <v>-28055</v>
      </c>
      <c r="F5136" s="3" t="s">
        <v>313</v>
      </c>
      <c r="G5136" s="3" t="s">
        <v>20</v>
      </c>
      <c r="H5136" s="2" t="s">
        <v>21</v>
      </c>
      <c r="I5136" s="2" t="s">
        <v>10380</v>
      </c>
      <c r="J5136" s="3" t="str">
        <f>HYPERLINK("https://www.boe.es/gazeta/dias/1823/03/09/pdfs/GMD-1823-72.pdf#page=4","Abrir facsímil")</f>
        <v>Abrir facsímil</v>
      </c>
      <c r="K5136" s="3" t="s">
        <v>23</v>
      </c>
    </row>
    <row r="5137" spans="1:11" ht="42" customHeight="1">
      <c r="A5137" s="2" t="s">
        <v>10381</v>
      </c>
      <c r="B5137" s="2" t="s">
        <v>10382</v>
      </c>
      <c r="C5137" s="2" t="s">
        <v>325</v>
      </c>
      <c r="D5137" s="2" t="s">
        <v>74</v>
      </c>
      <c r="E5137" s="5">
        <v>-28100</v>
      </c>
      <c r="F5137" s="3" t="s">
        <v>737</v>
      </c>
      <c r="G5137" s="3" t="s">
        <v>48</v>
      </c>
      <c r="H5137" s="2" t="s">
        <v>21</v>
      </c>
      <c r="I5137" s="2" t="s">
        <v>10383</v>
      </c>
      <c r="J5137" s="3" t="str">
        <f>HYPERLINK("https://www.boe.es/gazeta/dias/1823/01/23/pdfs/GMD-1823-24.pdf#page=3","Abrir facsímil")</f>
        <v>Abrir facsímil</v>
      </c>
      <c r="K5137" s="3" t="s">
        <v>23</v>
      </c>
    </row>
    <row r="5138" spans="1:11" ht="42" customHeight="1">
      <c r="A5138" s="2" t="s">
        <v>10384</v>
      </c>
      <c r="B5138" s="2" t="s">
        <v>10385</v>
      </c>
      <c r="C5138" s="2" t="s">
        <v>56</v>
      </c>
      <c r="D5138" s="2" t="s">
        <v>57</v>
      </c>
      <c r="E5138" s="5">
        <v>-27780</v>
      </c>
      <c r="F5138" s="3" t="s">
        <v>1609</v>
      </c>
      <c r="G5138" s="3" t="s">
        <v>39</v>
      </c>
      <c r="H5138" s="2" t="s">
        <v>21</v>
      </c>
      <c r="I5138" s="2" t="s">
        <v>10386</v>
      </c>
      <c r="J5138" s="3" t="str">
        <f>HYPERLINK("https://www.boe.es/gazeta/dias/1823/12/09/pdfs/GMD-1823-1223.pdf#page=1","Abrir facsímil")</f>
        <v>Abrir facsímil</v>
      </c>
      <c r="K5138" s="3" t="s">
        <v>23</v>
      </c>
    </row>
    <row r="5139" spans="1:11" ht="42" customHeight="1">
      <c r="A5139" s="2" t="s">
        <v>10387</v>
      </c>
      <c r="B5139" s="2" t="s">
        <v>10387</v>
      </c>
      <c r="C5139" s="2" t="s">
        <v>17</v>
      </c>
      <c r="D5139" s="2" t="s">
        <v>18</v>
      </c>
      <c r="E5139" s="5">
        <v>-27980</v>
      </c>
      <c r="F5139" s="3" t="s">
        <v>1068</v>
      </c>
      <c r="G5139" s="3" t="s">
        <v>39</v>
      </c>
      <c r="H5139" s="2" t="s">
        <v>21</v>
      </c>
      <c r="I5139" s="2" t="s">
        <v>10388</v>
      </c>
      <c r="J5139" s="3" t="str">
        <f>HYPERLINK("https://www.boe.es/gazeta/dias/1823/05/23/pdfs/GES-1823-44.pdf#page=1","Abrir facsímil")</f>
        <v>Abrir facsímil</v>
      </c>
      <c r="K5139" s="3" t="s">
        <v>23</v>
      </c>
    </row>
    <row r="5140" spans="1:11" ht="42" customHeight="1">
      <c r="A5140" s="2" t="s">
        <v>10389</v>
      </c>
      <c r="B5140" s="2" t="s">
        <v>10390</v>
      </c>
      <c r="C5140" s="2" t="s">
        <v>293</v>
      </c>
      <c r="D5140" s="2" t="s">
        <v>74</v>
      </c>
      <c r="E5140" s="5">
        <v>-28048</v>
      </c>
      <c r="F5140" s="3" t="s">
        <v>399</v>
      </c>
      <c r="G5140" s="3" t="s">
        <v>59</v>
      </c>
      <c r="H5140" s="2" t="s">
        <v>21</v>
      </c>
      <c r="I5140" s="2" t="s">
        <v>10391</v>
      </c>
      <c r="J5140" s="3" t="str">
        <f>HYPERLINK("https://www.boe.es/gazeta/dias/1823/03/16/pdfs/GMD-1823-79.pdf#page=6","Abrir facsímil")</f>
        <v>Abrir facsímil</v>
      </c>
      <c r="K5140" s="3" t="s">
        <v>23</v>
      </c>
    </row>
    <row r="5141" spans="1:11" ht="42" customHeight="1">
      <c r="A5141" s="2" t="s">
        <v>10392</v>
      </c>
      <c r="B5141" s="2" t="s">
        <v>10393</v>
      </c>
      <c r="C5141" s="2" t="s">
        <v>56</v>
      </c>
      <c r="D5141" s="2" t="s">
        <v>57</v>
      </c>
      <c r="E5141" s="5">
        <v>-27990</v>
      </c>
      <c r="F5141" s="3" t="s">
        <v>330</v>
      </c>
      <c r="G5141" s="3" t="s">
        <v>20</v>
      </c>
      <c r="H5141" s="2" t="s">
        <v>21</v>
      </c>
      <c r="I5141" s="2" t="s">
        <v>10394</v>
      </c>
      <c r="J5141" s="3" t="str">
        <f>HYPERLINK("https://www.boe.es/gazeta/dias/1823/05/13/pdfs/GMD-1823-132.pdf#page=4","Abrir facsímil")</f>
        <v>Abrir facsímil</v>
      </c>
      <c r="K5141" s="3" t="s">
        <v>23</v>
      </c>
    </row>
    <row r="5142" spans="1:11" ht="42" customHeight="1">
      <c r="A5142" s="2" t="s">
        <v>10395</v>
      </c>
      <c r="B5142" s="2" t="s">
        <v>10396</v>
      </c>
      <c r="C5142" s="2" t="s">
        <v>17</v>
      </c>
      <c r="D5142" s="2" t="s">
        <v>18</v>
      </c>
      <c r="E5142" s="5">
        <v>-28103</v>
      </c>
      <c r="F5142" s="3" t="s">
        <v>285</v>
      </c>
      <c r="G5142" s="3" t="s">
        <v>27</v>
      </c>
      <c r="H5142" s="2" t="s">
        <v>21</v>
      </c>
      <c r="I5142" s="2" t="s">
        <v>10397</v>
      </c>
      <c r="J5142" s="3" t="str">
        <f>HYPERLINK("https://www.boe.es/gazeta/dias/1823/01/20/pdfs/GMD-1823-20.pdf#page=2","Abrir facsímil")</f>
        <v>Abrir facsímil</v>
      </c>
      <c r="K5142" s="3" t="s">
        <v>23</v>
      </c>
    </row>
    <row r="5143" spans="1:11" ht="42" customHeight="1">
      <c r="A5143" s="2" t="s">
        <v>10398</v>
      </c>
      <c r="B5143" s="2" t="s">
        <v>10399</v>
      </c>
      <c r="C5143" s="2" t="s">
        <v>56</v>
      </c>
      <c r="D5143" s="2" t="s">
        <v>57</v>
      </c>
      <c r="E5143" s="5">
        <v>-27984</v>
      </c>
      <c r="F5143" s="3" t="s">
        <v>335</v>
      </c>
      <c r="G5143" s="3" t="s">
        <v>27</v>
      </c>
      <c r="H5143" s="2" t="s">
        <v>21</v>
      </c>
      <c r="I5143" s="2" t="s">
        <v>10400</v>
      </c>
      <c r="J5143" s="3" t="str">
        <f>HYPERLINK("https://www.boe.es/gazeta/dias/1823/05/19/pdfs/GES-1823-39.pdf#page=2","Abrir facsímil")</f>
        <v>Abrir facsímil</v>
      </c>
      <c r="K5143" s="3" t="s">
        <v>23</v>
      </c>
    </row>
    <row r="5144" spans="1:11" ht="42" customHeight="1">
      <c r="A5144" s="2" t="s">
        <v>10401</v>
      </c>
      <c r="B5144" s="2" t="s">
        <v>10402</v>
      </c>
      <c r="C5144" s="2" t="s">
        <v>17</v>
      </c>
      <c r="D5144" s="2" t="s">
        <v>18</v>
      </c>
      <c r="E5144" s="5">
        <v>-28037</v>
      </c>
      <c r="F5144" s="3" t="s">
        <v>192</v>
      </c>
      <c r="G5144" s="3" t="s">
        <v>48</v>
      </c>
      <c r="H5144" s="2" t="s">
        <v>21</v>
      </c>
      <c r="I5144" s="2" t="s">
        <v>10403</v>
      </c>
      <c r="J5144" s="3" t="str">
        <f>HYPERLINK("https://www.boe.es/gazeta/dias/1823/03/27/pdfs/GMD-1823-90.pdf#page=3","Abrir facsímil")</f>
        <v>Abrir facsímil</v>
      </c>
      <c r="K5144" s="3" t="s">
        <v>23</v>
      </c>
    </row>
    <row r="5145" spans="1:11" ht="42" customHeight="1">
      <c r="A5145" s="2" t="s">
        <v>10404</v>
      </c>
      <c r="B5145" s="2" t="s">
        <v>10405</v>
      </c>
      <c r="C5145" s="2" t="s">
        <v>17</v>
      </c>
      <c r="D5145" s="2" t="s">
        <v>18</v>
      </c>
      <c r="E5145" s="5">
        <v>-27913</v>
      </c>
      <c r="F5145" s="3" t="s">
        <v>829</v>
      </c>
      <c r="G5145" s="3" t="s">
        <v>715</v>
      </c>
      <c r="H5145" s="2" t="s">
        <v>21</v>
      </c>
      <c r="I5145" s="2" t="s">
        <v>10406</v>
      </c>
      <c r="J5145" s="3" t="str">
        <f>HYPERLINK("https://www.boe.es/gazeta/dias/1823/07/29/pdfs/GMD-1823-483.pdf#page=8","Abrir facsímil")</f>
        <v>Abrir facsímil</v>
      </c>
      <c r="K5145" s="3" t="s">
        <v>23</v>
      </c>
    </row>
    <row r="5146" spans="1:11" ht="42" customHeight="1">
      <c r="A5146" s="2" t="s">
        <v>10407</v>
      </c>
      <c r="B5146" s="2" t="s">
        <v>10407</v>
      </c>
      <c r="C5146" s="2" t="s">
        <v>17</v>
      </c>
      <c r="D5146" s="2" t="s">
        <v>18</v>
      </c>
      <c r="E5146" s="5">
        <v>-27906</v>
      </c>
      <c r="F5146" s="3" t="s">
        <v>241</v>
      </c>
      <c r="G5146" s="3" t="s">
        <v>59</v>
      </c>
      <c r="H5146" s="2" t="s">
        <v>21</v>
      </c>
      <c r="I5146" s="2" t="s">
        <v>10408</v>
      </c>
      <c r="J5146" s="3" t="str">
        <f>HYPERLINK("https://www.boe.es/gazeta/dias/1823/08/05/pdfs/GES-1823-117.pdf#page=6","Abrir facsímil")</f>
        <v>Abrir facsímil</v>
      </c>
      <c r="K5146" s="3" t="s">
        <v>23</v>
      </c>
    </row>
    <row r="5147" spans="1:11" ht="42" customHeight="1">
      <c r="A5147" s="2" t="s">
        <v>10409</v>
      </c>
      <c r="B5147" s="2" t="s">
        <v>10410</v>
      </c>
      <c r="C5147" s="2" t="s">
        <v>17</v>
      </c>
      <c r="D5147" s="2" t="s">
        <v>18</v>
      </c>
      <c r="E5147" s="5">
        <v>-27902</v>
      </c>
      <c r="F5147" s="3" t="s">
        <v>259</v>
      </c>
      <c r="G5147" s="3" t="s">
        <v>48</v>
      </c>
      <c r="H5147" s="2" t="s">
        <v>21</v>
      </c>
      <c r="I5147" s="2" t="s">
        <v>10411</v>
      </c>
      <c r="J5147" s="3" t="str">
        <f>HYPERLINK("https://www.boe.es/gazeta/dias/1823/08/09/pdfs/GMD-1823-563.pdf#page=3","Abrir facsímil")</f>
        <v>Abrir facsímil</v>
      </c>
      <c r="K5147" s="3" t="s">
        <v>23</v>
      </c>
    </row>
    <row r="5148" spans="1:11" ht="42" customHeight="1">
      <c r="A5148" s="2" t="s">
        <v>10412</v>
      </c>
      <c r="B5148" s="2" t="s">
        <v>10413</v>
      </c>
      <c r="C5148" s="2" t="s">
        <v>17</v>
      </c>
      <c r="D5148" s="2" t="s">
        <v>18</v>
      </c>
      <c r="E5148" s="5">
        <v>-28041</v>
      </c>
      <c r="F5148" s="3" t="s">
        <v>873</v>
      </c>
      <c r="G5148" s="3" t="s">
        <v>366</v>
      </c>
      <c r="H5148" s="2" t="s">
        <v>21</v>
      </c>
      <c r="I5148" s="2" t="s">
        <v>10414</v>
      </c>
      <c r="J5148" s="3" t="str">
        <f>HYPERLINK("https://www.boe.es/gazeta/dias/1823/03/23/pdfs/GMD-1823-86.pdf#page=4","Abrir facsímil")</f>
        <v>Abrir facsímil</v>
      </c>
      <c r="K5148" s="3" t="s">
        <v>23</v>
      </c>
    </row>
    <row r="5149" spans="1:11" ht="42" customHeight="1">
      <c r="A5149" s="2" t="s">
        <v>10415</v>
      </c>
      <c r="B5149" s="2" t="s">
        <v>10416</v>
      </c>
      <c r="C5149" s="2" t="s">
        <v>17</v>
      </c>
      <c r="D5149" s="2" t="s">
        <v>18</v>
      </c>
      <c r="E5149" s="5">
        <v>-28045</v>
      </c>
      <c r="F5149" s="3" t="s">
        <v>245</v>
      </c>
      <c r="G5149" s="3" t="s">
        <v>20</v>
      </c>
      <c r="H5149" s="2" t="s">
        <v>21</v>
      </c>
      <c r="I5149" s="2" t="s">
        <v>10417</v>
      </c>
      <c r="J5149" s="3" t="str">
        <f>HYPERLINK("https://www.boe.es/gazeta/dias/1823/03/19/pdfs/GMD-1823-82.pdf#page=4","Abrir facsímil")</f>
        <v>Abrir facsímil</v>
      </c>
      <c r="K5149" s="3" t="s">
        <v>23</v>
      </c>
    </row>
    <row r="5150" spans="1:11" ht="42" customHeight="1">
      <c r="A5150" s="2" t="s">
        <v>10418</v>
      </c>
      <c r="B5150" s="2" t="s">
        <v>10419</v>
      </c>
      <c r="C5150" s="2" t="s">
        <v>17</v>
      </c>
      <c r="D5150" s="2" t="s">
        <v>18</v>
      </c>
      <c r="E5150" s="5">
        <v>-27848</v>
      </c>
      <c r="F5150" s="3" t="s">
        <v>1083</v>
      </c>
      <c r="G5150" s="3" t="s">
        <v>1084</v>
      </c>
      <c r="H5150" s="2" t="s">
        <v>21</v>
      </c>
      <c r="I5150" s="2" t="s">
        <v>10420</v>
      </c>
      <c r="J5150" s="3" t="str">
        <f>HYPERLINK("https://www.boe.es/gazeta/dias/1823/10/02/pdfs/GES-1823-176.pdf#page=3","Abrir facsímil")</f>
        <v>Abrir facsímil</v>
      </c>
      <c r="K5150" s="3" t="s">
        <v>23</v>
      </c>
    </row>
    <row r="5151" spans="1:11" ht="42" customHeight="1">
      <c r="A5151" s="2" t="s">
        <v>10421</v>
      </c>
      <c r="B5151" s="2" t="s">
        <v>10422</v>
      </c>
      <c r="C5151" s="2" t="s">
        <v>17</v>
      </c>
      <c r="D5151" s="2" t="s">
        <v>18</v>
      </c>
      <c r="E5151" s="5">
        <v>-28085</v>
      </c>
      <c r="F5151" s="3" t="s">
        <v>458</v>
      </c>
      <c r="G5151" s="3" t="s">
        <v>59</v>
      </c>
      <c r="H5151" s="2" t="s">
        <v>21</v>
      </c>
      <c r="I5151" s="2" t="s">
        <v>10423</v>
      </c>
      <c r="J5151" s="3" t="str">
        <f>HYPERLINK("https://www.boe.es/gazeta/dias/1823/02/07/pdfs/GMD-1823-40.pdf#page=6","Abrir facsímil")</f>
        <v>Abrir facsímil</v>
      </c>
      <c r="K5151" s="3" t="s">
        <v>23</v>
      </c>
    </row>
    <row r="5152" spans="1:11" ht="42" customHeight="1">
      <c r="A5152" s="2" t="s">
        <v>10424</v>
      </c>
      <c r="B5152" s="2" t="s">
        <v>10425</v>
      </c>
      <c r="C5152" s="2" t="s">
        <v>17</v>
      </c>
      <c r="D5152" s="2" t="s">
        <v>18</v>
      </c>
      <c r="E5152" s="5">
        <v>-27853</v>
      </c>
      <c r="F5152" s="3" t="s">
        <v>539</v>
      </c>
      <c r="G5152" s="3" t="s">
        <v>27</v>
      </c>
      <c r="H5152" s="2" t="s">
        <v>21</v>
      </c>
      <c r="I5152" s="2" t="s">
        <v>10426</v>
      </c>
      <c r="J5152" s="3" t="str">
        <f>HYPERLINK("https://www.boe.es/gazeta/dias/1823/09/27/pdfs/GMD-1823-863.pdf#page=2","Abrir facsímil")</f>
        <v>Abrir facsímil</v>
      </c>
      <c r="K5152" s="3" t="s">
        <v>23</v>
      </c>
    </row>
    <row r="5153" spans="1:11" ht="42" customHeight="1">
      <c r="A5153" s="2" t="s">
        <v>10427</v>
      </c>
      <c r="B5153" s="2" t="s">
        <v>10428</v>
      </c>
      <c r="C5153" s="2" t="s">
        <v>79</v>
      </c>
      <c r="D5153" s="2" t="s">
        <v>74</v>
      </c>
      <c r="E5153" s="5">
        <v>-27879</v>
      </c>
      <c r="F5153" s="3" t="s">
        <v>638</v>
      </c>
      <c r="G5153" s="3" t="s">
        <v>27</v>
      </c>
      <c r="H5153" s="2" t="s">
        <v>21</v>
      </c>
      <c r="I5153" s="2" t="s">
        <v>10429</v>
      </c>
      <c r="J5153" s="3" t="str">
        <f>HYPERLINK("https://www.boe.es/gazeta/dias/1823/09/01/pdfs/GES-1823-145.pdf#page=2","Abrir facsímil")</f>
        <v>Abrir facsímil</v>
      </c>
      <c r="K5153" s="3" t="s">
        <v>23</v>
      </c>
    </row>
    <row r="5154" spans="1:11" ht="42" customHeight="1">
      <c r="A5154" s="2" t="s">
        <v>10430</v>
      </c>
      <c r="B5154" s="2" t="s">
        <v>10431</v>
      </c>
      <c r="C5154" s="2" t="s">
        <v>17</v>
      </c>
      <c r="D5154" s="2" t="s">
        <v>18</v>
      </c>
      <c r="E5154" s="5">
        <v>-28104</v>
      </c>
      <c r="F5154" s="3" t="s">
        <v>114</v>
      </c>
      <c r="G5154" s="3" t="s">
        <v>59</v>
      </c>
      <c r="H5154" s="2" t="s">
        <v>28</v>
      </c>
      <c r="I5154" s="2" t="s">
        <v>10432</v>
      </c>
      <c r="J5154" s="3" t="str">
        <f>HYPERLINK("https://www.boe.es/gazeta/dias/1823/01/19/pdfs/GMD-1823-19.pdf#page=6","Abrir facsímil")</f>
        <v>Abrir facsímil</v>
      </c>
      <c r="K5154" s="3" t="s">
        <v>30</v>
      </c>
    </row>
    <row r="5155" spans="1:11" ht="42" customHeight="1">
      <c r="A5155" s="2" t="s">
        <v>10433</v>
      </c>
      <c r="B5155" s="2" t="s">
        <v>10434</v>
      </c>
      <c r="C5155" s="2" t="s">
        <v>17</v>
      </c>
      <c r="D5155" s="2" t="s">
        <v>18</v>
      </c>
      <c r="E5155" s="5">
        <v>-28009</v>
      </c>
      <c r="F5155" s="3" t="s">
        <v>212</v>
      </c>
      <c r="G5155" s="3" t="s">
        <v>48</v>
      </c>
      <c r="H5155" s="2" t="s">
        <v>21</v>
      </c>
      <c r="I5155" s="2" t="s">
        <v>10435</v>
      </c>
      <c r="J5155" s="3" t="str">
        <f>HYPERLINK("https://www.boe.es/gazeta/dias/1823/04/24/pdfs/GMD-1823-52.pdf#page=3","Abrir facsímil")</f>
        <v>Abrir facsímil</v>
      </c>
      <c r="K5155" s="3" t="s">
        <v>23</v>
      </c>
    </row>
    <row r="5156" spans="1:11" ht="42" customHeight="1">
      <c r="A5156" s="2" t="s">
        <v>10436</v>
      </c>
      <c r="B5156" s="2" t="s">
        <v>10437</v>
      </c>
      <c r="C5156" s="2" t="s">
        <v>109</v>
      </c>
      <c r="D5156" s="2" t="s">
        <v>74</v>
      </c>
      <c r="E5156" s="5">
        <v>-27981</v>
      </c>
      <c r="F5156" s="3" t="s">
        <v>1521</v>
      </c>
      <c r="G5156" s="3" t="s">
        <v>2395</v>
      </c>
      <c r="H5156" s="2" t="s">
        <v>21</v>
      </c>
      <c r="I5156" s="2" t="s">
        <v>10438</v>
      </c>
      <c r="J5156" s="3" t="str">
        <f>HYPERLINK("https://www.boe.es/gazeta/dias/1823/05/22/pdfs/GES-1823-43.pdf#page=2","Abrir facsímil")</f>
        <v>Abrir facsímil</v>
      </c>
      <c r="K5156" s="3" t="s">
        <v>23</v>
      </c>
    </row>
    <row r="5157" spans="1:11" ht="42" customHeight="1">
      <c r="A5157" s="2" t="s">
        <v>10439</v>
      </c>
      <c r="B5157" s="2" t="s">
        <v>10440</v>
      </c>
      <c r="C5157" s="2" t="s">
        <v>79</v>
      </c>
      <c r="D5157" s="2" t="s">
        <v>74</v>
      </c>
      <c r="E5157" s="5">
        <v>-27883</v>
      </c>
      <c r="F5157" s="3" t="s">
        <v>2318</v>
      </c>
      <c r="G5157" s="3" t="s">
        <v>39</v>
      </c>
      <c r="H5157" s="2" t="s">
        <v>21</v>
      </c>
      <c r="I5157" s="2" t="s">
        <v>10441</v>
      </c>
      <c r="J5157" s="3" t="str">
        <f>HYPERLINK("https://www.boe.es/gazeta/dias/1823/08/28/pdfs/GMD-1823-663.pdf#page=1","Abrir facsímil")</f>
        <v>Abrir facsímil</v>
      </c>
      <c r="K5157" s="3" t="s">
        <v>23</v>
      </c>
    </row>
    <row r="5158" spans="1:11" ht="42" customHeight="1">
      <c r="A5158" s="2" t="s">
        <v>10442</v>
      </c>
      <c r="B5158" s="2" t="s">
        <v>10443</v>
      </c>
      <c r="C5158" s="2" t="s">
        <v>17</v>
      </c>
      <c r="D5158" s="2" t="s">
        <v>18</v>
      </c>
      <c r="E5158" s="5">
        <v>-27889</v>
      </c>
      <c r="F5158" s="3" t="s">
        <v>1306</v>
      </c>
      <c r="G5158" s="3" t="s">
        <v>20</v>
      </c>
      <c r="H5158" s="2" t="s">
        <v>21</v>
      </c>
      <c r="I5158" s="2" t="s">
        <v>10444</v>
      </c>
      <c r="J5158" s="3" t="str">
        <f>HYPERLINK("https://www.boe.es/gazeta/dias/1823/08/22/pdfs/GES-1823-135.pdf#page=4","Abrir facsímil")</f>
        <v>Abrir facsímil</v>
      </c>
      <c r="K5158" s="3" t="s">
        <v>23</v>
      </c>
    </row>
    <row r="5159" spans="1:11" ht="42" customHeight="1">
      <c r="A5159" s="2" t="s">
        <v>10445</v>
      </c>
      <c r="B5159" s="2" t="s">
        <v>10446</v>
      </c>
      <c r="C5159" s="2" t="s">
        <v>17</v>
      </c>
      <c r="D5159" s="2" t="s">
        <v>18</v>
      </c>
      <c r="E5159" s="5">
        <v>-28116</v>
      </c>
      <c r="F5159" s="3" t="s">
        <v>134</v>
      </c>
      <c r="G5159" s="3" t="s">
        <v>59</v>
      </c>
      <c r="H5159" s="2" t="s">
        <v>21</v>
      </c>
      <c r="I5159" s="2" t="s">
        <v>10447</v>
      </c>
      <c r="J5159" s="3" t="str">
        <f>HYPERLINK("https://www.boe.es/gazeta/dias/1823/01/07/pdfs/GMD-1823-7.pdf#page=6","Abrir facsímil")</f>
        <v>Abrir facsímil</v>
      </c>
      <c r="K5159" s="3" t="s">
        <v>23</v>
      </c>
    </row>
    <row r="5160" spans="1:11" ht="42" customHeight="1">
      <c r="A5160" s="2" t="s">
        <v>10448</v>
      </c>
      <c r="B5160" s="2" t="s">
        <v>10449</v>
      </c>
      <c r="C5160" s="2" t="s">
        <v>17</v>
      </c>
      <c r="D5160" s="2" t="s">
        <v>18</v>
      </c>
      <c r="E5160" s="5">
        <v>-27900</v>
      </c>
      <c r="F5160" s="3" t="s">
        <v>2714</v>
      </c>
      <c r="G5160" s="3" t="s">
        <v>20</v>
      </c>
      <c r="H5160" s="2" t="s">
        <v>21</v>
      </c>
      <c r="I5160" s="2" t="s">
        <v>10450</v>
      </c>
      <c r="J5160" s="3" t="str">
        <f>HYPERLINK("https://www.boe.es/gazeta/dias/1823/08/11/pdfs/GES-1823-124.pdf#page=4","Abrir facsímil")</f>
        <v>Abrir facsímil</v>
      </c>
      <c r="K5160" s="3" t="s">
        <v>23</v>
      </c>
    </row>
    <row r="5161" spans="1:11" ht="42" customHeight="1">
      <c r="A5161" s="2" t="s">
        <v>10451</v>
      </c>
      <c r="B5161" s="2" t="s">
        <v>10452</v>
      </c>
      <c r="C5161" s="2" t="s">
        <v>17</v>
      </c>
      <c r="D5161" s="2" t="s">
        <v>18</v>
      </c>
      <c r="E5161" s="5">
        <v>-27906</v>
      </c>
      <c r="F5161" s="3" t="s">
        <v>241</v>
      </c>
      <c r="G5161" s="3" t="s">
        <v>2212</v>
      </c>
      <c r="H5161" s="2" t="s">
        <v>21</v>
      </c>
      <c r="I5161" s="2" t="s">
        <v>10453</v>
      </c>
      <c r="J5161" s="3" t="str">
        <f>HYPERLINK("https://www.boe.es/gazeta/dias/1823/08/05/pdfs/GES-1823-117.pdf#page=2","Abrir facsímil")</f>
        <v>Abrir facsímil</v>
      </c>
      <c r="K5161" s="3" t="s">
        <v>23</v>
      </c>
    </row>
    <row r="5162" spans="1:11" ht="42" customHeight="1">
      <c r="A5162" s="2" t="s">
        <v>10454</v>
      </c>
      <c r="B5162" s="2" t="s">
        <v>10455</v>
      </c>
      <c r="C5162" s="2" t="s">
        <v>56</v>
      </c>
      <c r="D5162" s="2" t="s">
        <v>57</v>
      </c>
      <c r="E5162" s="5">
        <v>-27984</v>
      </c>
      <c r="F5162" s="3" t="s">
        <v>335</v>
      </c>
      <c r="G5162" s="3" t="s">
        <v>59</v>
      </c>
      <c r="H5162" s="2" t="s">
        <v>21</v>
      </c>
      <c r="I5162" s="2" t="s">
        <v>10456</v>
      </c>
      <c r="J5162" s="3" t="str">
        <f>HYPERLINK("https://www.boe.es/gazeta/dias/1823/05/19/pdfs/GES-1823-39.pdf#page=6","Abrir facsímil")</f>
        <v>Abrir facsímil</v>
      </c>
      <c r="K5162" s="3" t="s">
        <v>23</v>
      </c>
    </row>
    <row r="5163" spans="1:11" ht="42" customHeight="1">
      <c r="A5163" s="2" t="s">
        <v>10457</v>
      </c>
      <c r="B5163" s="2" t="s">
        <v>10458</v>
      </c>
      <c r="C5163" s="2" t="s">
        <v>17</v>
      </c>
      <c r="D5163" s="2" t="s">
        <v>18</v>
      </c>
      <c r="E5163" s="5">
        <v>-28080</v>
      </c>
      <c r="F5163" s="3" t="s">
        <v>1010</v>
      </c>
      <c r="G5163" s="3" t="s">
        <v>1382</v>
      </c>
      <c r="H5163" s="2" t="s">
        <v>21</v>
      </c>
      <c r="I5163" s="2" t="s">
        <v>10459</v>
      </c>
      <c r="J5163" s="3" t="str">
        <f>HYPERLINK("https://www.boe.es/gazeta/dias/1823/02/12/pdfs/GMD-1823-46.pdf#page=4","Abrir facsímil")</f>
        <v>Abrir facsímil</v>
      </c>
      <c r="K5163" s="3" t="s">
        <v>23</v>
      </c>
    </row>
    <row r="5164" spans="1:11" ht="42" customHeight="1">
      <c r="A5164" s="2" t="s">
        <v>10460</v>
      </c>
      <c r="B5164" s="2" t="s">
        <v>10461</v>
      </c>
      <c r="C5164" s="2" t="s">
        <v>56</v>
      </c>
      <c r="D5164" s="2" t="s">
        <v>57</v>
      </c>
      <c r="E5164" s="5">
        <v>-27916</v>
      </c>
      <c r="F5164" s="3" t="s">
        <v>772</v>
      </c>
      <c r="G5164" s="3" t="s">
        <v>4611</v>
      </c>
      <c r="H5164" s="2" t="s">
        <v>21</v>
      </c>
      <c r="I5164" s="2" t="s">
        <v>10462</v>
      </c>
      <c r="J5164" s="3" t="str">
        <f>HYPERLINK("https://www.boe.es/gazeta/dias/1823/07/26/pdfs/GES-1823-107.pdf#page=3","Abrir facsímil")</f>
        <v>Abrir facsímil</v>
      </c>
      <c r="K5164" s="3" t="s">
        <v>23</v>
      </c>
    </row>
    <row r="5165" spans="1:11" ht="42" customHeight="1">
      <c r="A5165" s="2" t="s">
        <v>10463</v>
      </c>
      <c r="B5165" s="2" t="s">
        <v>10464</v>
      </c>
      <c r="C5165" s="2" t="s">
        <v>17</v>
      </c>
      <c r="D5165" s="2" t="s">
        <v>18</v>
      </c>
      <c r="E5165" s="5">
        <v>-27991</v>
      </c>
      <c r="F5165" s="3" t="s">
        <v>328</v>
      </c>
      <c r="G5165" s="3" t="s">
        <v>34</v>
      </c>
      <c r="H5165" s="2" t="s">
        <v>21</v>
      </c>
      <c r="I5165" s="2" t="s">
        <v>10465</v>
      </c>
      <c r="J5165" s="3" t="str">
        <f>HYPERLINK("https://www.boe.es/gazeta/dias/1823/05/12/pdfs/GES-1823-32.pdf#page=5","Abrir facsímil")</f>
        <v>Abrir facsímil</v>
      </c>
      <c r="K5165" s="3" t="s">
        <v>23</v>
      </c>
    </row>
    <row r="5166" spans="1:11" ht="42" customHeight="1">
      <c r="A5166" s="2" t="s">
        <v>10466</v>
      </c>
      <c r="B5166" s="2" t="s">
        <v>10467</v>
      </c>
      <c r="C5166" s="2" t="s">
        <v>17</v>
      </c>
      <c r="D5166" s="2" t="s">
        <v>18</v>
      </c>
      <c r="E5166" s="5">
        <v>-27785</v>
      </c>
      <c r="F5166" s="3" t="s">
        <v>1397</v>
      </c>
      <c r="G5166" s="3" t="s">
        <v>39</v>
      </c>
      <c r="H5166" s="2" t="s">
        <v>28</v>
      </c>
      <c r="I5166" s="2" t="s">
        <v>10468</v>
      </c>
      <c r="J5166" s="3" t="str">
        <f>HYPERLINK("https://www.boe.es/gazeta/dias/1823/12/04/pdfs/GMD-1823-1203.pdf#page=1","Abrir facsímil")</f>
        <v>Abrir facsímil</v>
      </c>
      <c r="K5166" s="3" t="s">
        <v>30</v>
      </c>
    </row>
    <row r="5167" spans="1:11" ht="42" customHeight="1">
      <c r="A5167" s="2" t="s">
        <v>10469</v>
      </c>
      <c r="B5167" s="2" t="s">
        <v>10470</v>
      </c>
      <c r="C5167" s="2" t="s">
        <v>17</v>
      </c>
      <c r="D5167" s="2" t="s">
        <v>18</v>
      </c>
      <c r="E5167" s="5">
        <v>-27999</v>
      </c>
      <c r="F5167" s="3" t="s">
        <v>97</v>
      </c>
      <c r="G5167" s="3" t="s">
        <v>48</v>
      </c>
      <c r="H5167" s="2" t="s">
        <v>21</v>
      </c>
      <c r="I5167" s="2" t="s">
        <v>10471</v>
      </c>
      <c r="J5167" s="3" t="str">
        <f>HYPERLINK("https://www.boe.es/gazeta/dias/1823/05/04/pdfs/GES-1823-24.pdf#page=3","Abrir facsímil")</f>
        <v>Abrir facsímil</v>
      </c>
      <c r="K5167" s="3" t="s">
        <v>23</v>
      </c>
    </row>
    <row r="5168" spans="1:11" ht="42" customHeight="1">
      <c r="A5168" s="2" t="s">
        <v>10472</v>
      </c>
      <c r="B5168" s="2" t="s">
        <v>10472</v>
      </c>
      <c r="C5168" s="2" t="s">
        <v>79</v>
      </c>
      <c r="D5168" s="2" t="s">
        <v>74</v>
      </c>
      <c r="E5168" s="5">
        <v>-27792</v>
      </c>
      <c r="F5168" s="3" t="s">
        <v>611</v>
      </c>
      <c r="G5168" s="3" t="s">
        <v>20</v>
      </c>
      <c r="H5168" s="2" t="s">
        <v>21</v>
      </c>
      <c r="I5168" s="2" t="s">
        <v>10473</v>
      </c>
      <c r="J5168" s="3" t="str">
        <f>HYPERLINK("https://www.boe.es/gazeta/dias/1823/11/27/pdfs/GMD-1823-1173.pdf#page=4","Abrir facsímil")</f>
        <v>Abrir facsímil</v>
      </c>
      <c r="K5168" s="3" t="s">
        <v>23</v>
      </c>
    </row>
    <row r="5169" spans="1:11" ht="42" customHeight="1">
      <c r="A5169" s="2" t="s">
        <v>10472</v>
      </c>
      <c r="B5169" s="2" t="s">
        <v>10472</v>
      </c>
      <c r="C5169" s="2" t="s">
        <v>17</v>
      </c>
      <c r="D5169" s="2" t="s">
        <v>18</v>
      </c>
      <c r="E5169" s="5">
        <v>-27790</v>
      </c>
      <c r="F5169" s="3" t="s">
        <v>4187</v>
      </c>
      <c r="G5169" s="3" t="s">
        <v>20</v>
      </c>
      <c r="H5169" s="2" t="s">
        <v>21</v>
      </c>
      <c r="I5169" s="2" t="s">
        <v>10474</v>
      </c>
      <c r="J5169" s="3" t="str">
        <f>HYPERLINK("https://www.boe.es/gazeta/dias/1823/11/29/pdfs/GMD-1823-1183.pdf#page=4","Abrir facsímil")</f>
        <v>Abrir facsímil</v>
      </c>
      <c r="K5169" s="3" t="s">
        <v>23</v>
      </c>
    </row>
    <row r="5170" spans="1:11" ht="42" customHeight="1">
      <c r="A5170" s="2" t="s">
        <v>10475</v>
      </c>
      <c r="B5170" s="2" t="s">
        <v>10476</v>
      </c>
      <c r="C5170" s="2" t="s">
        <v>73</v>
      </c>
      <c r="D5170" s="2" t="s">
        <v>74</v>
      </c>
      <c r="E5170" s="5">
        <v>-28042</v>
      </c>
      <c r="F5170" s="3" t="s">
        <v>1218</v>
      </c>
      <c r="G5170" s="3" t="s">
        <v>20</v>
      </c>
      <c r="H5170" s="2" t="s">
        <v>21</v>
      </c>
      <c r="I5170" s="2" t="s">
        <v>10477</v>
      </c>
      <c r="J5170" s="3" t="str">
        <f>HYPERLINK("https://www.boe.es/gazeta/dias/1823/03/22/pdfs/GMD-1823-85.pdf#page=4","Abrir facsímil")</f>
        <v>Abrir facsímil</v>
      </c>
      <c r="K5170" s="3" t="s">
        <v>23</v>
      </c>
    </row>
    <row r="5171" spans="1:11" ht="42" customHeight="1">
      <c r="A5171" s="2" t="s">
        <v>10475</v>
      </c>
      <c r="B5171" s="2" t="s">
        <v>10476</v>
      </c>
      <c r="C5171" s="2" t="s">
        <v>17</v>
      </c>
      <c r="D5171" s="2" t="s">
        <v>18</v>
      </c>
      <c r="E5171" s="5">
        <v>-28041</v>
      </c>
      <c r="F5171" s="3" t="s">
        <v>873</v>
      </c>
      <c r="G5171" s="3" t="s">
        <v>366</v>
      </c>
      <c r="H5171" s="2" t="s">
        <v>21</v>
      </c>
      <c r="I5171" s="2" t="s">
        <v>10478</v>
      </c>
      <c r="J5171" s="3" t="str">
        <f>HYPERLINK("https://www.boe.es/gazeta/dias/1823/03/23/pdfs/GMD-1823-86.pdf#page=4","Abrir facsímil")</f>
        <v>Abrir facsímil</v>
      </c>
      <c r="K5171" s="3" t="s">
        <v>23</v>
      </c>
    </row>
    <row r="5172" spans="1:11" ht="42" customHeight="1">
      <c r="A5172" s="2" t="s">
        <v>10479</v>
      </c>
      <c r="B5172" s="2" t="s">
        <v>10480</v>
      </c>
      <c r="C5172" s="2" t="s">
        <v>79</v>
      </c>
      <c r="D5172" s="2" t="s">
        <v>74</v>
      </c>
      <c r="E5172" s="5">
        <v>-28002</v>
      </c>
      <c r="F5172" s="3" t="s">
        <v>315</v>
      </c>
      <c r="G5172" s="3" t="s">
        <v>1116</v>
      </c>
      <c r="H5172" s="2" t="s">
        <v>21</v>
      </c>
      <c r="I5172" s="2" t="s">
        <v>10481</v>
      </c>
      <c r="J5172" s="3" t="str">
        <f>HYPERLINK("https://www.boe.es/gazeta/dias/1823/05/01/pdfs/GES-1823-21.pdf#page=4","Abrir facsímil")</f>
        <v>Abrir facsímil</v>
      </c>
      <c r="K5172" s="3" t="s">
        <v>23</v>
      </c>
    </row>
    <row r="5173" spans="1:11" ht="42" customHeight="1">
      <c r="A5173" s="2" t="s">
        <v>10482</v>
      </c>
      <c r="B5173" s="2" t="s">
        <v>10482</v>
      </c>
      <c r="C5173" s="2" t="s">
        <v>79</v>
      </c>
      <c r="D5173" s="2" t="s">
        <v>74</v>
      </c>
      <c r="E5173" s="5">
        <v>-28054</v>
      </c>
      <c r="F5173" s="3" t="s">
        <v>1292</v>
      </c>
      <c r="G5173" s="3" t="s">
        <v>48</v>
      </c>
      <c r="H5173" s="2" t="s">
        <v>21</v>
      </c>
      <c r="I5173" s="2" t="s">
        <v>10483</v>
      </c>
      <c r="J5173" s="3" t="str">
        <f>HYPERLINK("https://www.boe.es/gazeta/dias/1823/03/10/pdfs/GMD-1823-73.pdf#page=3","Abrir facsímil")</f>
        <v>Abrir facsímil</v>
      </c>
      <c r="K5173" s="3" t="s">
        <v>23</v>
      </c>
    </row>
    <row r="5174" spans="1:11" ht="42" customHeight="1">
      <c r="A5174" s="2" t="s">
        <v>10484</v>
      </c>
      <c r="B5174" s="2" t="s">
        <v>10485</v>
      </c>
      <c r="C5174" s="2" t="s">
        <v>17</v>
      </c>
      <c r="D5174" s="2" t="s">
        <v>18</v>
      </c>
      <c r="E5174" s="5">
        <v>-27769</v>
      </c>
      <c r="F5174" s="3" t="s">
        <v>2743</v>
      </c>
      <c r="G5174" s="3" t="s">
        <v>39</v>
      </c>
      <c r="H5174" s="2" t="s">
        <v>21</v>
      </c>
      <c r="I5174" s="2" t="s">
        <v>10486</v>
      </c>
      <c r="J5174" s="3" t="str">
        <f>HYPERLINK("https://www.boe.es/gazeta/dias/1823/12/20/pdfs/GMD-1823-1273.pdf#page=1","Abrir facsímil")</f>
        <v>Abrir facsímil</v>
      </c>
      <c r="K5174" s="3" t="s">
        <v>23</v>
      </c>
    </row>
    <row r="5175" spans="1:11" ht="42" customHeight="1">
      <c r="A5175" s="2" t="s">
        <v>10487</v>
      </c>
      <c r="B5175" s="2" t="s">
        <v>10488</v>
      </c>
      <c r="C5175" s="2" t="s">
        <v>79</v>
      </c>
      <c r="D5175" s="2" t="s">
        <v>74</v>
      </c>
      <c r="E5175" s="5">
        <v>-28112</v>
      </c>
      <c r="F5175" s="3" t="s">
        <v>43</v>
      </c>
      <c r="G5175" s="3" t="s">
        <v>20</v>
      </c>
      <c r="H5175" s="2" t="s">
        <v>21</v>
      </c>
      <c r="I5175" s="2" t="s">
        <v>10489</v>
      </c>
      <c r="J5175" s="3" t="str">
        <f>HYPERLINK("https://www.boe.es/gazeta/dias/1823/01/11/pdfs/GMD-1823-11.pdf#page=4","Abrir facsímil")</f>
        <v>Abrir facsímil</v>
      </c>
      <c r="K5175" s="3" t="s">
        <v>23</v>
      </c>
    </row>
    <row r="5176" spans="1:11" ht="42" customHeight="1">
      <c r="A5176" s="2" t="s">
        <v>10490</v>
      </c>
      <c r="B5176" s="2" t="s">
        <v>10491</v>
      </c>
      <c r="C5176" s="2" t="s">
        <v>79</v>
      </c>
      <c r="D5176" s="2" t="s">
        <v>74</v>
      </c>
      <c r="E5176" s="5">
        <v>-28069</v>
      </c>
      <c r="F5176" s="3" t="s">
        <v>2006</v>
      </c>
      <c r="G5176" s="3" t="s">
        <v>20</v>
      </c>
      <c r="H5176" s="2" t="s">
        <v>21</v>
      </c>
      <c r="I5176" s="2" t="s">
        <v>10492</v>
      </c>
      <c r="J5176" s="3" t="str">
        <f>HYPERLINK("https://www.boe.es/gazeta/dias/1823/02/23/pdfs/GMD-1823-57.pdf#page=4","Abrir facsímil")</f>
        <v>Abrir facsímil</v>
      </c>
      <c r="K5176" s="3" t="s">
        <v>23</v>
      </c>
    </row>
    <row r="5177" spans="1:11" ht="42" customHeight="1">
      <c r="A5177" s="2" t="s">
        <v>10493</v>
      </c>
      <c r="B5177" s="2" t="s">
        <v>10494</v>
      </c>
      <c r="C5177" s="2" t="s">
        <v>17</v>
      </c>
      <c r="D5177" s="2" t="s">
        <v>18</v>
      </c>
      <c r="E5177" s="5">
        <v>-27867</v>
      </c>
      <c r="F5177" s="3" t="s">
        <v>1585</v>
      </c>
      <c r="G5177" s="3" t="s">
        <v>39</v>
      </c>
      <c r="H5177" s="2" t="s">
        <v>21</v>
      </c>
      <c r="I5177" s="2" t="s">
        <v>10495</v>
      </c>
      <c r="J5177" s="3" t="str">
        <f>HYPERLINK("https://www.boe.es/gazeta/dias/1823/09/13/pdfs/GMD-1823-773.pdf#page=1","Abrir facsímil")</f>
        <v>Abrir facsímil</v>
      </c>
      <c r="K5177" s="3" t="s">
        <v>23</v>
      </c>
    </row>
    <row r="5178" spans="1:11" ht="42" customHeight="1">
      <c r="A5178" s="2" t="s">
        <v>10496</v>
      </c>
      <c r="B5178" s="2" t="s">
        <v>10496</v>
      </c>
      <c r="C5178" s="2" t="s">
        <v>17</v>
      </c>
      <c r="D5178" s="2" t="s">
        <v>18</v>
      </c>
      <c r="E5178" s="5">
        <v>-28062</v>
      </c>
      <c r="F5178" s="3" t="s">
        <v>1357</v>
      </c>
      <c r="G5178" s="3" t="s">
        <v>48</v>
      </c>
      <c r="H5178" s="2" t="s">
        <v>21</v>
      </c>
      <c r="I5178" s="2" t="s">
        <v>10497</v>
      </c>
      <c r="J5178" s="3" t="str">
        <f>HYPERLINK("https://www.boe.es/gazeta/dias/1823/03/02/pdfs/GMD-1823-65.pdf#page=3","Abrir facsímil")</f>
        <v>Abrir facsímil</v>
      </c>
      <c r="K5178" s="3" t="s">
        <v>23</v>
      </c>
    </row>
    <row r="5179" spans="1:11" ht="42" customHeight="1">
      <c r="A5179" s="2" t="s">
        <v>10496</v>
      </c>
      <c r="B5179" s="2" t="s">
        <v>10496</v>
      </c>
      <c r="C5179" s="2" t="s">
        <v>79</v>
      </c>
      <c r="D5179" s="2" t="s">
        <v>74</v>
      </c>
      <c r="E5179" s="5">
        <v>-27862</v>
      </c>
      <c r="F5179" s="3" t="s">
        <v>5328</v>
      </c>
      <c r="G5179" s="3" t="s">
        <v>20</v>
      </c>
      <c r="H5179" s="2" t="s">
        <v>21</v>
      </c>
      <c r="I5179" s="2" t="s">
        <v>10498</v>
      </c>
      <c r="J5179" s="3" t="str">
        <f>HYPERLINK("https://www.boe.es/gazeta/dias/1823/09/18/pdfs/GES-1823-162.pdf#page=4","Abrir facsímil")</f>
        <v>Abrir facsímil</v>
      </c>
      <c r="K5179" s="3" t="s">
        <v>23</v>
      </c>
    </row>
    <row r="5180" spans="1:11" ht="42" customHeight="1">
      <c r="A5180" s="2" t="s">
        <v>10499</v>
      </c>
      <c r="B5180" s="2" t="s">
        <v>10499</v>
      </c>
      <c r="C5180" s="2" t="s">
        <v>109</v>
      </c>
      <c r="D5180" s="2" t="s">
        <v>74</v>
      </c>
      <c r="E5180" s="5">
        <v>-27965</v>
      </c>
      <c r="F5180" s="3" t="s">
        <v>208</v>
      </c>
      <c r="G5180" s="3" t="s">
        <v>34</v>
      </c>
      <c r="H5180" s="2" t="s">
        <v>21</v>
      </c>
      <c r="I5180" s="2" t="s">
        <v>10500</v>
      </c>
      <c r="J5180" s="3" t="str">
        <f>HYPERLINK("https://www.boe.es/gazeta/dias/1823/06/07/pdfs/GES-1823-61.pdf#page=5","Abrir facsímil")</f>
        <v>Abrir facsímil</v>
      </c>
      <c r="K5180" s="3" t="s">
        <v>23</v>
      </c>
    </row>
    <row r="5181" spans="1:11" ht="42" customHeight="1">
      <c r="A5181" s="2" t="s">
        <v>10501</v>
      </c>
      <c r="B5181" s="2" t="s">
        <v>10502</v>
      </c>
      <c r="C5181" s="2" t="s">
        <v>79</v>
      </c>
      <c r="D5181" s="2" t="s">
        <v>74</v>
      </c>
      <c r="E5181" s="5">
        <v>-27861</v>
      </c>
      <c r="F5181" s="3" t="s">
        <v>425</v>
      </c>
      <c r="G5181" s="3" t="s">
        <v>27</v>
      </c>
      <c r="H5181" s="2" t="s">
        <v>21</v>
      </c>
      <c r="I5181" s="2" t="s">
        <v>10503</v>
      </c>
      <c r="J5181" s="3" t="str">
        <f>HYPERLINK("https://www.boe.es/gazeta/dias/1823/09/19/pdfs/GES-1823-163.pdf#page=2","Abrir facsímil")</f>
        <v>Abrir facsímil</v>
      </c>
      <c r="K5181" s="3" t="s">
        <v>23</v>
      </c>
    </row>
    <row r="5182" spans="1:11" ht="42" customHeight="1">
      <c r="A5182" s="2" t="s">
        <v>10504</v>
      </c>
      <c r="B5182" s="2" t="s">
        <v>10505</v>
      </c>
      <c r="C5182" s="2" t="s">
        <v>56</v>
      </c>
      <c r="D5182" s="2" t="s">
        <v>117</v>
      </c>
      <c r="E5182" s="5">
        <v>-27925</v>
      </c>
      <c r="F5182" s="3" t="s">
        <v>3766</v>
      </c>
      <c r="G5182" s="3" t="s">
        <v>39</v>
      </c>
      <c r="H5182" s="2" t="s">
        <v>21</v>
      </c>
      <c r="I5182" s="2" t="s">
        <v>10506</v>
      </c>
      <c r="J5182" s="3" t="str">
        <f>HYPERLINK("https://www.boe.es/gazeta/dias/1823/07/17/pdfs/GMD-1823-423E.pdf#page=1","Abrir facsímil")</f>
        <v>Abrir facsímil</v>
      </c>
      <c r="K5182" s="3" t="s">
        <v>23</v>
      </c>
    </row>
    <row r="5183" spans="1:11" ht="42" customHeight="1">
      <c r="A5183" s="2" t="s">
        <v>10507</v>
      </c>
      <c r="B5183" s="2" t="s">
        <v>10508</v>
      </c>
      <c r="C5183" s="2" t="s">
        <v>17</v>
      </c>
      <c r="D5183" s="2" t="s">
        <v>18</v>
      </c>
      <c r="E5183" s="5">
        <v>-27848</v>
      </c>
      <c r="F5183" s="3" t="s">
        <v>2665</v>
      </c>
      <c r="G5183" s="3" t="s">
        <v>27</v>
      </c>
      <c r="H5183" s="2" t="s">
        <v>21</v>
      </c>
      <c r="I5183" s="2" t="s">
        <v>10509</v>
      </c>
      <c r="J5183" s="3" t="str">
        <f>HYPERLINK("https://www.boe.es/gazeta/dias/1823/10/02/pdfs/GMD-1823-893.pdf#page=2","Abrir facsímil")</f>
        <v>Abrir facsímil</v>
      </c>
      <c r="K5183" s="3" t="s">
        <v>23</v>
      </c>
    </row>
    <row r="5184" spans="1:11" ht="42" customHeight="1">
      <c r="A5184" s="2" t="s">
        <v>10510</v>
      </c>
      <c r="B5184" s="2" t="s">
        <v>10510</v>
      </c>
      <c r="C5184" s="2" t="s">
        <v>17</v>
      </c>
      <c r="D5184" s="2" t="s">
        <v>18</v>
      </c>
      <c r="E5184" s="5">
        <v>-27863</v>
      </c>
      <c r="F5184" s="3" t="s">
        <v>651</v>
      </c>
      <c r="G5184" s="3" t="s">
        <v>27</v>
      </c>
      <c r="H5184" s="2" t="s">
        <v>21</v>
      </c>
      <c r="I5184" s="2" t="s">
        <v>10511</v>
      </c>
      <c r="J5184" s="3" t="str">
        <f>HYPERLINK("https://www.boe.es/gazeta/dias/1823/09/17/pdfs/GES-1823-161.pdf#page=2","Abrir facsímil")</f>
        <v>Abrir facsímil</v>
      </c>
      <c r="K5184" s="3" t="s">
        <v>23</v>
      </c>
    </row>
    <row r="5185" spans="1:11" ht="42" customHeight="1">
      <c r="A5185" s="2" t="s">
        <v>10512</v>
      </c>
      <c r="B5185" s="2" t="s">
        <v>10513</v>
      </c>
      <c r="C5185" s="2" t="s">
        <v>79</v>
      </c>
      <c r="D5185" s="2" t="s">
        <v>74</v>
      </c>
      <c r="E5185" s="5">
        <v>-27875</v>
      </c>
      <c r="F5185" s="3" t="s">
        <v>1858</v>
      </c>
      <c r="G5185" s="3" t="s">
        <v>2437</v>
      </c>
      <c r="H5185" s="2" t="s">
        <v>21</v>
      </c>
      <c r="I5185" s="2" t="s">
        <v>10514</v>
      </c>
      <c r="J5185" s="3" t="str">
        <f>HYPERLINK("https://www.boe.es/gazeta/dias/1823/09/05/pdfs/GES-1823-149.pdf#page=2","Abrir facsímil")</f>
        <v>Abrir facsímil</v>
      </c>
      <c r="K5185" s="3" t="s">
        <v>23</v>
      </c>
    </row>
    <row r="5186" spans="1:11" ht="42" customHeight="1">
      <c r="A5186" s="2" t="s">
        <v>10515</v>
      </c>
      <c r="B5186" s="2" t="s">
        <v>10515</v>
      </c>
      <c r="C5186" s="2" t="s">
        <v>84</v>
      </c>
      <c r="D5186" s="2" t="s">
        <v>74</v>
      </c>
      <c r="E5186" s="5">
        <v>-27832</v>
      </c>
      <c r="F5186" s="3" t="s">
        <v>1815</v>
      </c>
      <c r="G5186" s="3" t="s">
        <v>20</v>
      </c>
      <c r="H5186" s="2" t="s">
        <v>21</v>
      </c>
      <c r="I5186" s="2" t="s">
        <v>10516</v>
      </c>
      <c r="J5186" s="3" t="str">
        <f>HYPERLINK("https://www.boe.es/gazeta/dias/1823/10/18/pdfs/GMD-1823-993.pdf#page=4","Abrir facsímil")</f>
        <v>Abrir facsímil</v>
      </c>
      <c r="K5186" s="3" t="s">
        <v>23</v>
      </c>
    </row>
    <row r="5187" spans="1:11" ht="42" customHeight="1">
      <c r="A5187" s="2" t="s">
        <v>10517</v>
      </c>
      <c r="B5187" s="2" t="s">
        <v>10517</v>
      </c>
      <c r="C5187" s="2" t="s">
        <v>17</v>
      </c>
      <c r="D5187" s="2" t="s">
        <v>18</v>
      </c>
      <c r="E5187" s="5">
        <v>-27918</v>
      </c>
      <c r="F5187" s="3" t="s">
        <v>218</v>
      </c>
      <c r="G5187" s="3" t="s">
        <v>48</v>
      </c>
      <c r="H5187" s="2" t="s">
        <v>21</v>
      </c>
      <c r="I5187" s="2" t="s">
        <v>10518</v>
      </c>
      <c r="J5187" s="3" t="str">
        <f>HYPERLINK("https://www.boe.es/gazeta/dias/1823/07/24/pdfs/GMD-1823-463.pdf#page=3","Abrir facsímil")</f>
        <v>Abrir facsímil</v>
      </c>
      <c r="K5187" s="3" t="s">
        <v>23</v>
      </c>
    </row>
    <row r="5188" spans="1:11" ht="42" customHeight="1">
      <c r="A5188" s="2" t="s">
        <v>10519</v>
      </c>
      <c r="B5188" s="2" t="s">
        <v>10520</v>
      </c>
      <c r="C5188" s="2" t="s">
        <v>17</v>
      </c>
      <c r="D5188" s="2" t="s">
        <v>18</v>
      </c>
      <c r="E5188" s="5">
        <v>-28015</v>
      </c>
      <c r="F5188" s="3" t="s">
        <v>985</v>
      </c>
      <c r="G5188" s="3" t="s">
        <v>27</v>
      </c>
      <c r="H5188" s="2" t="s">
        <v>21</v>
      </c>
      <c r="I5188" s="2" t="s">
        <v>10521</v>
      </c>
      <c r="J5188" s="3" t="str">
        <f>HYPERLINK("https://www.boe.es/gazeta/dias/1823/04/18/pdfs/GES-1823-8.pdf#page=2","Abrir facsímil")</f>
        <v>Abrir facsímil</v>
      </c>
      <c r="K5188" s="3" t="s">
        <v>23</v>
      </c>
    </row>
    <row r="5189" spans="1:11" ht="42" customHeight="1">
      <c r="A5189" s="2" t="s">
        <v>10519</v>
      </c>
      <c r="B5189" s="2" t="s">
        <v>10520</v>
      </c>
      <c r="C5189" s="2" t="s">
        <v>17</v>
      </c>
      <c r="D5189" s="2" t="s">
        <v>18</v>
      </c>
      <c r="E5189" s="5">
        <v>-28009</v>
      </c>
      <c r="F5189" s="3" t="s">
        <v>212</v>
      </c>
      <c r="G5189" s="3" t="s">
        <v>48</v>
      </c>
      <c r="H5189" s="2" t="s">
        <v>21</v>
      </c>
      <c r="I5189" s="2" t="s">
        <v>10522</v>
      </c>
      <c r="J5189" s="3" t="str">
        <f>HYPERLINK("https://www.boe.es/gazeta/dias/1823/04/24/pdfs/GMD-1823-52.pdf#page=3","Abrir facsímil")</f>
        <v>Abrir facsímil</v>
      </c>
      <c r="K5189" s="3" t="s">
        <v>23</v>
      </c>
    </row>
    <row r="5190" spans="1:11" ht="42" customHeight="1">
      <c r="A5190" s="2" t="s">
        <v>10523</v>
      </c>
      <c r="B5190" s="2" t="s">
        <v>10523</v>
      </c>
      <c r="C5190" s="2" t="s">
        <v>73</v>
      </c>
      <c r="D5190" s="2" t="s">
        <v>74</v>
      </c>
      <c r="E5190" s="5">
        <v>-28002</v>
      </c>
      <c r="F5190" s="3" t="s">
        <v>315</v>
      </c>
      <c r="G5190" s="3" t="s">
        <v>34</v>
      </c>
      <c r="H5190" s="2" t="s">
        <v>21</v>
      </c>
      <c r="I5190" s="2" t="s">
        <v>10524</v>
      </c>
      <c r="J5190" s="3" t="str">
        <f>HYPERLINK("https://www.boe.es/gazeta/dias/1823/05/01/pdfs/GES-1823-21.pdf#page=5","Abrir facsímil")</f>
        <v>Abrir facsímil</v>
      </c>
      <c r="K5190" s="3" t="s">
        <v>23</v>
      </c>
    </row>
    <row r="5191" spans="1:11" ht="42" customHeight="1">
      <c r="A5191" s="2" t="s">
        <v>10525</v>
      </c>
      <c r="B5191" s="2" t="s">
        <v>10526</v>
      </c>
      <c r="C5191" s="2" t="s">
        <v>84</v>
      </c>
      <c r="D5191" s="2" t="s">
        <v>74</v>
      </c>
      <c r="E5191" s="5">
        <v>-28002</v>
      </c>
      <c r="F5191" s="3" t="s">
        <v>245</v>
      </c>
      <c r="G5191" s="3" t="s">
        <v>27</v>
      </c>
      <c r="H5191" s="2" t="s">
        <v>21</v>
      </c>
      <c r="I5191" s="2" t="s">
        <v>10527</v>
      </c>
      <c r="J5191" s="3" t="str">
        <f>HYPERLINK("https://www.boe.es/gazeta/dias/1823/05/01/pdfs/GMD-1823-82.pdf#page=2","Abrir facsímil")</f>
        <v>Abrir facsímil</v>
      </c>
      <c r="K5191" s="3" t="s">
        <v>23</v>
      </c>
    </row>
    <row r="5192" spans="1:11" ht="42" customHeight="1">
      <c r="A5192" s="2" t="s">
        <v>10525</v>
      </c>
      <c r="B5192" s="2" t="s">
        <v>10526</v>
      </c>
      <c r="C5192" s="2" t="s">
        <v>79</v>
      </c>
      <c r="D5192" s="2" t="s">
        <v>74</v>
      </c>
      <c r="E5192" s="5">
        <v>-27999</v>
      </c>
      <c r="F5192" s="3" t="s">
        <v>97</v>
      </c>
      <c r="G5192" s="3" t="s">
        <v>39</v>
      </c>
      <c r="H5192" s="2" t="s">
        <v>21</v>
      </c>
      <c r="I5192" s="2" t="s">
        <v>10528</v>
      </c>
      <c r="J5192" s="3" t="str">
        <f>HYPERLINK("https://www.boe.es/gazeta/dias/1823/05/04/pdfs/GES-1823-24.pdf#page=1","Abrir facsímil")</f>
        <v>Abrir facsímil</v>
      </c>
      <c r="K5192" s="3" t="s">
        <v>23</v>
      </c>
    </row>
    <row r="5193" spans="1:11" ht="42" customHeight="1">
      <c r="A5193" s="2" t="s">
        <v>10525</v>
      </c>
      <c r="B5193" s="2" t="s">
        <v>10526</v>
      </c>
      <c r="C5193" s="2" t="s">
        <v>17</v>
      </c>
      <c r="D5193" s="2" t="s">
        <v>18</v>
      </c>
      <c r="E5193" s="5">
        <v>-27997</v>
      </c>
      <c r="F5193" s="3" t="s">
        <v>317</v>
      </c>
      <c r="G5193" s="3" t="s">
        <v>39</v>
      </c>
      <c r="H5193" s="2" t="s">
        <v>21</v>
      </c>
      <c r="I5193" s="2" t="s">
        <v>10529</v>
      </c>
      <c r="J5193" s="3" t="str">
        <f>HYPERLINK("https://www.boe.es/gazeta/dias/1823/05/06/pdfs/GES-1823-26.pdf#page=1","Abrir facsímil")</f>
        <v>Abrir facsímil</v>
      </c>
      <c r="K5193" s="3" t="s">
        <v>23</v>
      </c>
    </row>
    <row r="5194" spans="1:11" ht="42" customHeight="1">
      <c r="A5194" s="2" t="s">
        <v>10530</v>
      </c>
      <c r="B5194" s="2" t="s">
        <v>10531</v>
      </c>
      <c r="C5194" s="2" t="s">
        <v>1477</v>
      </c>
      <c r="D5194" s="2" t="s">
        <v>57</v>
      </c>
      <c r="E5194" s="5">
        <v>-28055</v>
      </c>
      <c r="F5194" s="3" t="s">
        <v>313</v>
      </c>
      <c r="G5194" s="3" t="s">
        <v>20</v>
      </c>
      <c r="H5194" s="2" t="s">
        <v>21</v>
      </c>
      <c r="I5194" s="2" t="s">
        <v>10532</v>
      </c>
      <c r="J5194" s="3" t="str">
        <f>HYPERLINK("https://www.boe.es/gazeta/dias/1823/03/09/pdfs/GMD-1823-72.pdf#page=4","Abrir facsímil")</f>
        <v>Abrir facsímil</v>
      </c>
      <c r="K5194" s="3" t="s">
        <v>23</v>
      </c>
    </row>
    <row r="5195" spans="1:11" ht="42" customHeight="1">
      <c r="A5195" s="2" t="s">
        <v>10533</v>
      </c>
      <c r="B5195" s="2" t="s">
        <v>10534</v>
      </c>
      <c r="C5195" s="2" t="s">
        <v>17</v>
      </c>
      <c r="D5195" s="2" t="s">
        <v>18</v>
      </c>
      <c r="E5195" s="5">
        <v>-28068</v>
      </c>
      <c r="F5195" s="3" t="s">
        <v>1325</v>
      </c>
      <c r="G5195" s="3" t="s">
        <v>20</v>
      </c>
      <c r="H5195" s="2" t="s">
        <v>21</v>
      </c>
      <c r="I5195" s="2" t="s">
        <v>10535</v>
      </c>
      <c r="J5195" s="3" t="str">
        <f>HYPERLINK("https://www.boe.es/gazeta/dias/1823/02/24/pdfs/GMD-1823-58.pdf#page=4","Abrir facsímil")</f>
        <v>Abrir facsímil</v>
      </c>
      <c r="K5195" s="3" t="s">
        <v>23</v>
      </c>
    </row>
    <row r="5196" spans="1:11" ht="42" customHeight="1">
      <c r="A5196" s="2" t="s">
        <v>10533</v>
      </c>
      <c r="B5196" s="2" t="s">
        <v>10534</v>
      </c>
      <c r="C5196" s="2" t="s">
        <v>79</v>
      </c>
      <c r="D5196" s="2" t="s">
        <v>74</v>
      </c>
      <c r="E5196" s="5">
        <v>-28061</v>
      </c>
      <c r="F5196" s="3" t="s">
        <v>704</v>
      </c>
      <c r="G5196" s="3" t="s">
        <v>59</v>
      </c>
      <c r="H5196" s="2" t="s">
        <v>21</v>
      </c>
      <c r="I5196" s="2" t="s">
        <v>10536</v>
      </c>
      <c r="J5196" s="3" t="str">
        <f>HYPERLINK("https://www.boe.es/gazeta/dias/1823/03/03/pdfs/GMD-1823-66.pdf#page=6","Abrir facsímil")</f>
        <v>Abrir facsímil</v>
      </c>
      <c r="K5196" s="3" t="s">
        <v>23</v>
      </c>
    </row>
    <row r="5197" spans="1:11" ht="42" customHeight="1">
      <c r="A5197" s="2" t="s">
        <v>10537</v>
      </c>
      <c r="B5197" s="2" t="s">
        <v>10538</v>
      </c>
      <c r="C5197" s="2" t="s">
        <v>109</v>
      </c>
      <c r="D5197" s="2" t="s">
        <v>74</v>
      </c>
      <c r="E5197" s="5">
        <v>-28002</v>
      </c>
      <c r="F5197" s="3" t="s">
        <v>315</v>
      </c>
      <c r="G5197" s="3" t="s">
        <v>1116</v>
      </c>
      <c r="H5197" s="2" t="s">
        <v>28</v>
      </c>
      <c r="I5197" s="2" t="s">
        <v>10539</v>
      </c>
      <c r="J5197" s="3" t="str">
        <f>HYPERLINK("https://www.boe.es/gazeta/dias/1823/05/01/pdfs/GES-1823-21.pdf#page=4","Abrir facsímil")</f>
        <v>Abrir facsímil</v>
      </c>
      <c r="K5197" s="3" t="s">
        <v>30</v>
      </c>
    </row>
    <row r="5198" spans="1:11" ht="42" customHeight="1">
      <c r="A5198" s="2" t="s">
        <v>10540</v>
      </c>
      <c r="B5198" s="2" t="s">
        <v>10541</v>
      </c>
      <c r="C5198" s="2" t="s">
        <v>84</v>
      </c>
      <c r="D5198" s="2" t="s">
        <v>74</v>
      </c>
      <c r="E5198" s="5">
        <v>-27878</v>
      </c>
      <c r="F5198" s="3" t="s">
        <v>1581</v>
      </c>
      <c r="G5198" s="3" t="s">
        <v>39</v>
      </c>
      <c r="H5198" s="2" t="s">
        <v>21</v>
      </c>
      <c r="I5198" s="2" t="s">
        <v>10542</v>
      </c>
      <c r="J5198" s="3" t="str">
        <f>HYPERLINK("https://www.boe.es/gazeta/dias/1823/09/02/pdfs/GMD-1823-683.pdf#page=1","Abrir facsímil")</f>
        <v>Abrir facsímil</v>
      </c>
      <c r="K5198" s="3" t="s">
        <v>23</v>
      </c>
    </row>
    <row r="5199" spans="1:11" ht="42" customHeight="1">
      <c r="A5199" s="2" t="s">
        <v>10543</v>
      </c>
      <c r="B5199" s="2" t="s">
        <v>10543</v>
      </c>
      <c r="C5199" s="2" t="s">
        <v>79</v>
      </c>
      <c r="D5199" s="2" t="s">
        <v>74</v>
      </c>
      <c r="E5199" s="5">
        <v>-27967</v>
      </c>
      <c r="F5199" s="3" t="s">
        <v>2493</v>
      </c>
      <c r="G5199" s="3" t="s">
        <v>20</v>
      </c>
      <c r="H5199" s="2" t="s">
        <v>21</v>
      </c>
      <c r="I5199" s="2" t="s">
        <v>10544</v>
      </c>
      <c r="J5199" s="3" t="str">
        <f>HYPERLINK("https://www.boe.es/gazeta/dias/1823/06/05/pdfs/GMD-1823-63.pdf#page=4","Abrir facsímil")</f>
        <v>Abrir facsímil</v>
      </c>
      <c r="K5199" s="3" t="s">
        <v>23</v>
      </c>
    </row>
    <row r="5200" spans="1:11" ht="42" customHeight="1">
      <c r="A5200" s="2" t="s">
        <v>10543</v>
      </c>
      <c r="B5200" s="2" t="s">
        <v>10543</v>
      </c>
      <c r="C5200" s="2" t="s">
        <v>17</v>
      </c>
      <c r="D5200" s="2" t="s">
        <v>18</v>
      </c>
      <c r="E5200" s="5">
        <v>-27923</v>
      </c>
      <c r="F5200" s="3" t="s">
        <v>1225</v>
      </c>
      <c r="G5200" s="3" t="s">
        <v>20</v>
      </c>
      <c r="H5200" s="2" t="s">
        <v>21</v>
      </c>
      <c r="I5200" s="2" t="s">
        <v>10545</v>
      </c>
      <c r="J5200" s="3" t="str">
        <f>HYPERLINK("https://www.boe.es/gazeta/dias/1823/07/19/pdfs/GMD-1823-433.pdf#page=4","Abrir facsímil")</f>
        <v>Abrir facsímil</v>
      </c>
      <c r="K5200" s="3" t="s">
        <v>23</v>
      </c>
    </row>
    <row r="5201" spans="1:11" ht="42" customHeight="1">
      <c r="A5201" s="2" t="s">
        <v>10543</v>
      </c>
      <c r="B5201" s="2" t="s">
        <v>10543</v>
      </c>
      <c r="C5201" s="2" t="s">
        <v>17</v>
      </c>
      <c r="D5201" s="2" t="s">
        <v>117</v>
      </c>
      <c r="E5201" s="5">
        <v>-27920</v>
      </c>
      <c r="F5201" s="3" t="s">
        <v>10546</v>
      </c>
      <c r="G5201" s="3" t="s">
        <v>39</v>
      </c>
      <c r="H5201" s="2" t="s">
        <v>21</v>
      </c>
      <c r="I5201" s="2" t="s">
        <v>10547</v>
      </c>
      <c r="J5201" s="3" t="str">
        <f>HYPERLINK("https://www.boe.es/gazeta/dias/1823/07/22/pdfs/GMD-1823-453E.pdf#page=1","Abrir facsímil")</f>
        <v>Abrir facsímil</v>
      </c>
      <c r="K5201" s="3" t="s">
        <v>23</v>
      </c>
    </row>
    <row r="5202" spans="1:11" ht="42" customHeight="1">
      <c r="A5202" s="2" t="s">
        <v>10543</v>
      </c>
      <c r="B5202" s="2" t="s">
        <v>10543</v>
      </c>
      <c r="C5202" s="2" t="s">
        <v>17</v>
      </c>
      <c r="D5202" s="2" t="s">
        <v>18</v>
      </c>
      <c r="E5202" s="5">
        <v>-27913</v>
      </c>
      <c r="F5202" s="3" t="s">
        <v>829</v>
      </c>
      <c r="G5202" s="3" t="s">
        <v>34</v>
      </c>
      <c r="H5202" s="2" t="s">
        <v>21</v>
      </c>
      <c r="I5202" s="2" t="s">
        <v>10548</v>
      </c>
      <c r="J5202" s="3" t="str">
        <f>HYPERLINK("https://www.boe.es/gazeta/dias/1823/07/29/pdfs/GMD-1823-483.pdf#page=5","Abrir facsímil")</f>
        <v>Abrir facsímil</v>
      </c>
      <c r="K5202" s="3" t="s">
        <v>23</v>
      </c>
    </row>
    <row r="5203" spans="1:11" ht="42" customHeight="1">
      <c r="A5203" s="2" t="s">
        <v>10549</v>
      </c>
      <c r="B5203" s="2" t="s">
        <v>10549</v>
      </c>
      <c r="C5203" s="2" t="s">
        <v>17</v>
      </c>
      <c r="D5203" s="2" t="s">
        <v>18</v>
      </c>
      <c r="E5203" s="5">
        <v>-27934</v>
      </c>
      <c r="F5203" s="3" t="s">
        <v>634</v>
      </c>
      <c r="G5203" s="3" t="s">
        <v>20</v>
      </c>
      <c r="H5203" s="2" t="s">
        <v>21</v>
      </c>
      <c r="I5203" s="2" t="s">
        <v>10550</v>
      </c>
      <c r="J5203" s="3" t="str">
        <f>HYPERLINK("https://www.boe.es/gazeta/dias/1823/07/08/pdfs/GMD-1823-353.pdf#page=4","Abrir facsímil")</f>
        <v>Abrir facsímil</v>
      </c>
      <c r="K5203" s="3" t="s">
        <v>23</v>
      </c>
    </row>
    <row r="5204" spans="1:11" ht="42" customHeight="1">
      <c r="A5204" s="2" t="s">
        <v>10551</v>
      </c>
      <c r="B5204" s="2" t="s">
        <v>10552</v>
      </c>
      <c r="C5204" s="2" t="s">
        <v>17</v>
      </c>
      <c r="D5204" s="2" t="s">
        <v>18</v>
      </c>
      <c r="E5204" s="5">
        <v>-28053</v>
      </c>
      <c r="F5204" s="3" t="s">
        <v>303</v>
      </c>
      <c r="G5204" s="3" t="s">
        <v>20</v>
      </c>
      <c r="H5204" s="2" t="s">
        <v>21</v>
      </c>
      <c r="I5204" s="2" t="s">
        <v>10553</v>
      </c>
      <c r="J5204" s="3" t="str">
        <f>HYPERLINK("https://www.boe.es/gazeta/dias/1823/03/11/pdfs/GMD-1823-74.pdf#page=4","Abrir facsímil")</f>
        <v>Abrir facsímil</v>
      </c>
      <c r="K5204" s="3" t="s">
        <v>23</v>
      </c>
    </row>
    <row r="5205" spans="1:11" ht="42" customHeight="1">
      <c r="A5205" s="2" t="s">
        <v>10554</v>
      </c>
      <c r="B5205" s="2" t="s">
        <v>10554</v>
      </c>
      <c r="C5205" s="2" t="s">
        <v>17</v>
      </c>
      <c r="D5205" s="2" t="s">
        <v>18</v>
      </c>
      <c r="E5205" s="5">
        <v>-27918</v>
      </c>
      <c r="F5205" s="3" t="s">
        <v>3181</v>
      </c>
      <c r="G5205" s="3" t="s">
        <v>3249</v>
      </c>
      <c r="H5205" s="2" t="s">
        <v>21</v>
      </c>
      <c r="I5205" s="2" t="s">
        <v>10555</v>
      </c>
      <c r="J5205" s="3" t="str">
        <f>HYPERLINK("https://www.boe.es/gazeta/dias/1823/07/24/pdfs/GES-1823-105.pdf#page=3","Abrir facsímil")</f>
        <v>Abrir facsímil</v>
      </c>
      <c r="K5205" s="3" t="s">
        <v>23</v>
      </c>
    </row>
    <row r="5206" spans="1:11" ht="42" customHeight="1">
      <c r="A5206" s="2" t="s">
        <v>10556</v>
      </c>
      <c r="B5206" s="2" t="s">
        <v>10557</v>
      </c>
      <c r="C5206" s="2" t="s">
        <v>17</v>
      </c>
      <c r="D5206" s="2" t="s">
        <v>117</v>
      </c>
      <c r="E5206" s="5">
        <v>-28103</v>
      </c>
      <c r="F5206" s="3" t="s">
        <v>7403</v>
      </c>
      <c r="G5206" s="3" t="s">
        <v>39</v>
      </c>
      <c r="H5206" s="2" t="s">
        <v>21</v>
      </c>
      <c r="I5206" s="2" t="s">
        <v>10558</v>
      </c>
      <c r="J5206" s="3" t="str">
        <f>HYPERLINK("https://www.boe.es/gazeta/dias/1823/01/20/pdfs/GMD-1823-21E.pdf#page=1","Abrir facsímil")</f>
        <v>Abrir facsímil</v>
      </c>
      <c r="K5206" s="3" t="s">
        <v>23</v>
      </c>
    </row>
    <row r="5207" spans="1:11" ht="42" customHeight="1">
      <c r="A5207" s="2" t="s">
        <v>10559</v>
      </c>
      <c r="B5207" s="2" t="s">
        <v>10560</v>
      </c>
      <c r="C5207" s="2" t="s">
        <v>79</v>
      </c>
      <c r="D5207" s="2" t="s">
        <v>74</v>
      </c>
      <c r="E5207" s="5">
        <v>-27948</v>
      </c>
      <c r="F5207" s="3" t="s">
        <v>3752</v>
      </c>
      <c r="G5207" s="3" t="s">
        <v>48</v>
      </c>
      <c r="H5207" s="2" t="s">
        <v>21</v>
      </c>
      <c r="I5207" s="2" t="s">
        <v>10561</v>
      </c>
      <c r="J5207" s="3" t="str">
        <f>HYPERLINK("https://www.boe.es/gazeta/dias/1823/06/24/pdfs/GMD-1823-263.pdf#page=3","Abrir facsímil")</f>
        <v>Abrir facsímil</v>
      </c>
      <c r="K5207" s="3" t="s">
        <v>23</v>
      </c>
    </row>
    <row r="5208" spans="1:11" ht="42" customHeight="1">
      <c r="A5208" s="2" t="s">
        <v>10562</v>
      </c>
      <c r="B5208" s="2" t="s">
        <v>10563</v>
      </c>
      <c r="C5208" s="2" t="s">
        <v>17</v>
      </c>
      <c r="D5208" s="2" t="s">
        <v>18</v>
      </c>
      <c r="E5208" s="5">
        <v>-28077</v>
      </c>
      <c r="F5208" s="3" t="s">
        <v>536</v>
      </c>
      <c r="G5208" s="3" t="s">
        <v>59</v>
      </c>
      <c r="H5208" s="2" t="s">
        <v>21</v>
      </c>
      <c r="I5208" s="2" t="s">
        <v>10564</v>
      </c>
      <c r="J5208" s="3" t="str">
        <f>HYPERLINK("https://www.boe.es/gazeta/dias/1823/02/15/pdfs/GMD-1823-49.pdf#page=6","Abrir facsímil")</f>
        <v>Abrir facsímil</v>
      </c>
      <c r="K5208" s="3" t="s">
        <v>23</v>
      </c>
    </row>
    <row r="5209" spans="1:11" ht="42" customHeight="1">
      <c r="A5209" s="2" t="s">
        <v>10565</v>
      </c>
      <c r="B5209" s="2" t="s">
        <v>10565</v>
      </c>
      <c r="C5209" s="2" t="s">
        <v>17</v>
      </c>
      <c r="D5209" s="2" t="s">
        <v>18</v>
      </c>
      <c r="E5209" s="5">
        <v>-27967</v>
      </c>
      <c r="F5209" s="3" t="s">
        <v>2493</v>
      </c>
      <c r="G5209" s="3" t="s">
        <v>48</v>
      </c>
      <c r="H5209" s="2" t="s">
        <v>21</v>
      </c>
      <c r="I5209" s="2" t="s">
        <v>10566</v>
      </c>
      <c r="J5209" s="3" t="str">
        <f>HYPERLINK("https://www.boe.es/gazeta/dias/1823/06/05/pdfs/GMD-1823-63.pdf#page=3","Abrir facsímil")</f>
        <v>Abrir facsímil</v>
      </c>
      <c r="K5209" s="3" t="s">
        <v>23</v>
      </c>
    </row>
    <row r="5210" spans="1:11" ht="42" customHeight="1">
      <c r="A5210" s="2" t="s">
        <v>10567</v>
      </c>
      <c r="B5210" s="2" t="s">
        <v>10568</v>
      </c>
      <c r="C5210" s="2" t="s">
        <v>17</v>
      </c>
      <c r="D5210" s="2" t="s">
        <v>18</v>
      </c>
      <c r="E5210" s="5">
        <v>-27797</v>
      </c>
      <c r="F5210" s="3" t="s">
        <v>3409</v>
      </c>
      <c r="G5210" s="3" t="s">
        <v>20</v>
      </c>
      <c r="H5210" s="2" t="s">
        <v>21</v>
      </c>
      <c r="I5210" s="2" t="s">
        <v>10569</v>
      </c>
      <c r="J5210" s="3" t="str">
        <f>HYPERLINK("https://www.boe.es/gazeta/dias/1823/11/22/pdfs/GMD-1823-1153.pdf#page=4","Abrir facsímil")</f>
        <v>Abrir facsímil</v>
      </c>
      <c r="K5210" s="3" t="s">
        <v>23</v>
      </c>
    </row>
    <row r="5211" spans="1:11" ht="42" customHeight="1">
      <c r="A5211" s="2" t="s">
        <v>10570</v>
      </c>
      <c r="B5211" s="2" t="s">
        <v>10571</v>
      </c>
      <c r="C5211" s="2" t="s">
        <v>109</v>
      </c>
      <c r="D5211" s="2" t="s">
        <v>74</v>
      </c>
      <c r="E5211" s="5">
        <v>-27860</v>
      </c>
      <c r="F5211" s="3" t="s">
        <v>998</v>
      </c>
      <c r="G5211" s="3" t="s">
        <v>715</v>
      </c>
      <c r="H5211" s="2" t="s">
        <v>21</v>
      </c>
      <c r="I5211" s="2" t="s">
        <v>10572</v>
      </c>
      <c r="J5211" s="3" t="str">
        <f>HYPERLINK("https://www.boe.es/gazeta/dias/1823/09/20/pdfs/GMD-1823-813.pdf#page=8","Abrir facsímil")</f>
        <v>Abrir facsímil</v>
      </c>
      <c r="K5211" s="3" t="s">
        <v>23</v>
      </c>
    </row>
    <row r="5212" spans="1:11" ht="42" customHeight="1">
      <c r="A5212" s="2" t="s">
        <v>10573</v>
      </c>
      <c r="B5212" s="2" t="s">
        <v>10573</v>
      </c>
      <c r="C5212" s="2" t="s">
        <v>84</v>
      </c>
      <c r="D5212" s="2" t="s">
        <v>74</v>
      </c>
      <c r="E5212" s="5">
        <v>-28073</v>
      </c>
      <c r="F5212" s="3" t="s">
        <v>204</v>
      </c>
      <c r="G5212" s="3" t="s">
        <v>27</v>
      </c>
      <c r="H5212" s="2" t="s">
        <v>21</v>
      </c>
      <c r="I5212" s="2" t="s">
        <v>10574</v>
      </c>
      <c r="J5212" s="3" t="str">
        <f>HYPERLINK("https://www.boe.es/gazeta/dias/1823/02/19/pdfs/GMD-1823-53.pdf#page=2","Abrir facsímil")</f>
        <v>Abrir facsímil</v>
      </c>
      <c r="K5212" s="3" t="s">
        <v>23</v>
      </c>
    </row>
    <row r="5213" spans="1:11" ht="42" customHeight="1">
      <c r="A5213" s="2" t="s">
        <v>10575</v>
      </c>
      <c r="B5213" s="2" t="s">
        <v>10576</v>
      </c>
      <c r="C5213" s="2" t="s">
        <v>17</v>
      </c>
      <c r="D5213" s="2" t="s">
        <v>18</v>
      </c>
      <c r="E5213" s="5">
        <v>-27889</v>
      </c>
      <c r="F5213" s="3" t="s">
        <v>1306</v>
      </c>
      <c r="G5213" s="3" t="s">
        <v>20</v>
      </c>
      <c r="H5213" s="2" t="s">
        <v>28</v>
      </c>
      <c r="I5213" s="2" t="s">
        <v>10577</v>
      </c>
      <c r="J5213" s="3" t="str">
        <f>HYPERLINK("https://www.boe.es/gazeta/dias/1823/08/22/pdfs/GES-1823-135.pdf#page=4","Abrir facsímil")</f>
        <v>Abrir facsímil</v>
      </c>
      <c r="K5213" s="3" t="s">
        <v>30</v>
      </c>
    </row>
    <row r="5214" spans="1:11" ht="42" customHeight="1">
      <c r="A5214" s="2" t="s">
        <v>10578</v>
      </c>
      <c r="B5214" s="2" t="s">
        <v>10579</v>
      </c>
      <c r="C5214" s="2" t="s">
        <v>79</v>
      </c>
      <c r="D5214" s="2" t="s">
        <v>74</v>
      </c>
      <c r="E5214" s="5">
        <v>-28003</v>
      </c>
      <c r="F5214" s="3" t="s">
        <v>26</v>
      </c>
      <c r="G5214" s="3" t="s">
        <v>1114</v>
      </c>
      <c r="H5214" s="2" t="s">
        <v>28</v>
      </c>
      <c r="I5214" s="2" t="s">
        <v>10580</v>
      </c>
      <c r="J5214" s="3" t="str">
        <f>HYPERLINK("https://www.boe.es/gazeta/dias/1823/04/30/pdfs/GES-1823-20.pdf#page=6","Abrir facsímil")</f>
        <v>Abrir facsímil</v>
      </c>
      <c r="K5214" s="3" t="s">
        <v>30</v>
      </c>
    </row>
    <row r="5215" spans="1:11" ht="42" customHeight="1">
      <c r="A5215" s="2" t="s">
        <v>10581</v>
      </c>
      <c r="B5215" s="2" t="s">
        <v>10582</v>
      </c>
      <c r="C5215" s="2" t="s">
        <v>79</v>
      </c>
      <c r="D5215" s="2" t="s">
        <v>74</v>
      </c>
      <c r="E5215" s="5">
        <v>-27864</v>
      </c>
      <c r="F5215" s="3" t="s">
        <v>1301</v>
      </c>
      <c r="G5215" s="3" t="s">
        <v>48</v>
      </c>
      <c r="H5215" s="2" t="s">
        <v>28</v>
      </c>
      <c r="I5215" s="2" t="s">
        <v>10583</v>
      </c>
      <c r="J5215" s="3" t="str">
        <f>HYPERLINK("https://www.boe.es/gazeta/dias/1823/09/16/pdfs/GES-1823-160.pdf#page=3","Abrir facsímil")</f>
        <v>Abrir facsímil</v>
      </c>
      <c r="K5215" s="3" t="s">
        <v>30</v>
      </c>
    </row>
    <row r="5216" spans="1:11" ht="42" customHeight="1">
      <c r="A5216" s="2" t="s">
        <v>10584</v>
      </c>
      <c r="B5216" s="2" t="s">
        <v>10585</v>
      </c>
      <c r="C5216" s="2" t="s">
        <v>79</v>
      </c>
      <c r="D5216" s="2" t="s">
        <v>74</v>
      </c>
      <c r="E5216" s="5">
        <v>-28066</v>
      </c>
      <c r="F5216" s="3" t="s">
        <v>19</v>
      </c>
      <c r="G5216" s="3" t="s">
        <v>20</v>
      </c>
      <c r="H5216" s="2" t="s">
        <v>28</v>
      </c>
      <c r="I5216" s="2" t="s">
        <v>10586</v>
      </c>
      <c r="J5216" s="3" t="str">
        <f>HYPERLINK("https://www.boe.es/gazeta/dias/1823/02/26/pdfs/GMD-1823-60.pdf#page=4","Abrir facsímil")</f>
        <v>Abrir facsímil</v>
      </c>
      <c r="K5216" s="3" t="s">
        <v>30</v>
      </c>
    </row>
    <row r="5217" spans="1:11" ht="42" customHeight="1">
      <c r="A5217" s="2" t="s">
        <v>10587</v>
      </c>
      <c r="B5217" s="2" t="s">
        <v>10588</v>
      </c>
      <c r="C5217" s="2" t="s">
        <v>79</v>
      </c>
      <c r="D5217" s="2" t="s">
        <v>74</v>
      </c>
      <c r="E5217" s="5">
        <v>-27889</v>
      </c>
      <c r="F5217" s="3" t="s">
        <v>1306</v>
      </c>
      <c r="G5217" s="3" t="s">
        <v>39</v>
      </c>
      <c r="H5217" s="2" t="s">
        <v>28</v>
      </c>
      <c r="I5217" s="2" t="s">
        <v>10589</v>
      </c>
      <c r="J5217" s="3" t="str">
        <f>HYPERLINK("https://www.boe.es/gazeta/dias/1823/08/22/pdfs/GES-1823-135.pdf#page=1","Abrir facsímil")</f>
        <v>Abrir facsímil</v>
      </c>
      <c r="K5217" s="3" t="s">
        <v>30</v>
      </c>
    </row>
    <row r="5218" spans="1:11" ht="42" customHeight="1">
      <c r="A5218" s="2" t="s">
        <v>10590</v>
      </c>
      <c r="B5218" s="2" t="s">
        <v>10591</v>
      </c>
      <c r="C5218" s="2" t="s">
        <v>17</v>
      </c>
      <c r="D5218" s="2" t="s">
        <v>18</v>
      </c>
      <c r="E5218" s="5">
        <v>-27993</v>
      </c>
      <c r="F5218" s="3" t="s">
        <v>977</v>
      </c>
      <c r="G5218" s="3" t="s">
        <v>978</v>
      </c>
      <c r="H5218" s="2" t="s">
        <v>28</v>
      </c>
      <c r="I5218" s="2" t="s">
        <v>10592</v>
      </c>
      <c r="J5218" s="3" t="str">
        <f>HYPERLINK("https://www.boe.es/gazeta/dias/1823/05/10/pdfs/GES-1823-30.pdf#page=4","Abrir facsímil")</f>
        <v>Abrir facsímil</v>
      </c>
      <c r="K5218" s="3" t="s">
        <v>30</v>
      </c>
    </row>
    <row r="5219" spans="1:11" ht="42" customHeight="1">
      <c r="A5219" s="2" t="s">
        <v>10593</v>
      </c>
      <c r="B5219" s="2" t="s">
        <v>10594</v>
      </c>
      <c r="C5219" s="2" t="s">
        <v>17</v>
      </c>
      <c r="D5219" s="2" t="s">
        <v>18</v>
      </c>
      <c r="E5219" s="5">
        <v>-27889</v>
      </c>
      <c r="F5219" s="3" t="s">
        <v>1306</v>
      </c>
      <c r="G5219" s="3" t="s">
        <v>20</v>
      </c>
      <c r="H5219" s="2" t="s">
        <v>28</v>
      </c>
      <c r="I5219" s="2" t="s">
        <v>10595</v>
      </c>
      <c r="J5219" s="3" t="str">
        <f>HYPERLINK("https://www.boe.es/gazeta/dias/1823/08/22/pdfs/GES-1823-135.pdf#page=4","Abrir facsímil")</f>
        <v>Abrir facsímil</v>
      </c>
      <c r="K5219" s="3" t="s">
        <v>30</v>
      </c>
    </row>
    <row r="5220" spans="1:11" ht="42" customHeight="1">
      <c r="A5220" s="2" t="s">
        <v>10596</v>
      </c>
      <c r="B5220" s="2" t="s">
        <v>10597</v>
      </c>
      <c r="C5220" s="2" t="s">
        <v>17</v>
      </c>
      <c r="D5220" s="2" t="s">
        <v>18</v>
      </c>
      <c r="E5220" s="5">
        <v>-28025</v>
      </c>
      <c r="F5220" s="3" t="s">
        <v>477</v>
      </c>
      <c r="G5220" s="3" t="s">
        <v>20</v>
      </c>
      <c r="H5220" s="2" t="s">
        <v>28</v>
      </c>
      <c r="I5220" s="2" t="s">
        <v>10598</v>
      </c>
      <c r="J5220" s="3" t="str">
        <f>HYPERLINK("https://www.boe.es/gazeta/dias/1823/04/08/pdfs/GMD-1823-103.pdf#page=4","Abrir facsímil")</f>
        <v>Abrir facsímil</v>
      </c>
      <c r="K5220" s="3" t="s">
        <v>30</v>
      </c>
    </row>
    <row r="5221" spans="1:11" ht="42" customHeight="1">
      <c r="A5221" s="2" t="s">
        <v>10599</v>
      </c>
      <c r="B5221" s="2" t="s">
        <v>10600</v>
      </c>
      <c r="C5221" s="2" t="s">
        <v>109</v>
      </c>
      <c r="D5221" s="2" t="s">
        <v>74</v>
      </c>
      <c r="E5221" s="5">
        <v>-27981</v>
      </c>
      <c r="F5221" s="3" t="s">
        <v>1521</v>
      </c>
      <c r="G5221" s="3" t="s">
        <v>2395</v>
      </c>
      <c r="H5221" s="2" t="s">
        <v>28</v>
      </c>
      <c r="I5221" s="2" t="s">
        <v>10601</v>
      </c>
      <c r="J5221" s="3" t="str">
        <f>HYPERLINK("https://www.boe.es/gazeta/dias/1823/05/22/pdfs/GES-1823-43.pdf#page=2","Abrir facsímil")</f>
        <v>Abrir facsímil</v>
      </c>
      <c r="K5221" s="3" t="s">
        <v>30</v>
      </c>
    </row>
    <row r="5222" spans="1:11" ht="42" customHeight="1">
      <c r="A5222" s="2" t="s">
        <v>10602</v>
      </c>
      <c r="B5222" s="2" t="s">
        <v>10603</v>
      </c>
      <c r="C5222" s="2" t="s">
        <v>56</v>
      </c>
      <c r="D5222" s="2" t="s">
        <v>57</v>
      </c>
      <c r="E5222" s="5">
        <v>-28042</v>
      </c>
      <c r="F5222" s="3" t="s">
        <v>1218</v>
      </c>
      <c r="G5222" s="3" t="s">
        <v>20</v>
      </c>
      <c r="H5222" s="2" t="s">
        <v>28</v>
      </c>
      <c r="I5222" s="2" t="s">
        <v>10604</v>
      </c>
      <c r="J5222" s="3" t="str">
        <f>HYPERLINK("https://www.boe.es/gazeta/dias/1823/03/22/pdfs/GMD-1823-85.pdf#page=4","Abrir facsímil")</f>
        <v>Abrir facsímil</v>
      </c>
      <c r="K5222" s="3" t="s">
        <v>30</v>
      </c>
    </row>
    <row r="5223" spans="1:11" ht="42" customHeight="1">
      <c r="A5223" s="2" t="s">
        <v>10605</v>
      </c>
      <c r="B5223" s="2" t="s">
        <v>10605</v>
      </c>
      <c r="C5223" s="2" t="s">
        <v>84</v>
      </c>
      <c r="D5223" s="2" t="s">
        <v>74</v>
      </c>
      <c r="E5223" s="5">
        <v>-27923</v>
      </c>
      <c r="F5223" s="3" t="s">
        <v>1225</v>
      </c>
      <c r="G5223" s="3" t="s">
        <v>39</v>
      </c>
      <c r="H5223" s="2" t="s">
        <v>21</v>
      </c>
      <c r="I5223" s="2" t="s">
        <v>10606</v>
      </c>
      <c r="J5223" s="3" t="str">
        <f>HYPERLINK("https://www.boe.es/gazeta/dias/1823/07/19/pdfs/GMD-1823-433.pdf#page=1","Abrir facsímil")</f>
        <v>Abrir facsímil</v>
      </c>
      <c r="K5223" s="3" t="s">
        <v>23</v>
      </c>
    </row>
    <row r="5224" spans="1:11" ht="42" customHeight="1">
      <c r="A5224" s="2" t="s">
        <v>10607</v>
      </c>
      <c r="B5224" s="2" t="s">
        <v>10608</v>
      </c>
      <c r="C5224" s="2" t="s">
        <v>17</v>
      </c>
      <c r="D5224" s="2" t="s">
        <v>18</v>
      </c>
      <c r="E5224" s="5">
        <v>-27934</v>
      </c>
      <c r="F5224" s="3" t="s">
        <v>634</v>
      </c>
      <c r="G5224" s="3" t="s">
        <v>27</v>
      </c>
      <c r="H5224" s="2" t="s">
        <v>28</v>
      </c>
      <c r="I5224" s="2" t="s">
        <v>10609</v>
      </c>
      <c r="J5224" s="3" t="str">
        <f>HYPERLINK("https://www.boe.es/gazeta/dias/1823/07/08/pdfs/GMD-1823-353.pdf#page=2","Abrir facsímil")</f>
        <v>Abrir facsímil</v>
      </c>
      <c r="K5224" s="3" t="s">
        <v>30</v>
      </c>
    </row>
    <row r="5225" spans="1:11" ht="42" customHeight="1">
      <c r="A5225" s="2" t="s">
        <v>10610</v>
      </c>
      <c r="B5225" s="2" t="s">
        <v>10610</v>
      </c>
      <c r="C5225" s="2" t="s">
        <v>73</v>
      </c>
      <c r="D5225" s="2" t="s">
        <v>74</v>
      </c>
      <c r="E5225" s="5">
        <v>-27990</v>
      </c>
      <c r="F5225" s="3" t="s">
        <v>1132</v>
      </c>
      <c r="G5225" s="3" t="s">
        <v>27</v>
      </c>
      <c r="H5225" s="2" t="s">
        <v>21</v>
      </c>
      <c r="I5225" s="2" t="s">
        <v>10611</v>
      </c>
      <c r="J5225" s="3" t="str">
        <f>HYPERLINK("https://www.boe.es/gazeta/dias/1823/05/13/pdfs/GES-1823-33.pdf#page=2","Abrir facsímil")</f>
        <v>Abrir facsímil</v>
      </c>
      <c r="K5225" s="3" t="s">
        <v>23</v>
      </c>
    </row>
    <row r="5226" spans="1:11" ht="42" customHeight="1">
      <c r="A5226" s="2" t="s">
        <v>10612</v>
      </c>
      <c r="B5226" s="2" t="s">
        <v>10612</v>
      </c>
      <c r="C5226" s="2" t="s">
        <v>17</v>
      </c>
      <c r="D5226" s="2" t="s">
        <v>18</v>
      </c>
      <c r="E5226" s="5">
        <v>-27943</v>
      </c>
      <c r="F5226" s="3" t="s">
        <v>346</v>
      </c>
      <c r="G5226" s="3" t="s">
        <v>27</v>
      </c>
      <c r="H5226" s="2" t="s">
        <v>21</v>
      </c>
      <c r="I5226" s="2" t="s">
        <v>10613</v>
      </c>
      <c r="J5226" s="3" t="str">
        <f>HYPERLINK("https://www.boe.es/gazeta/dias/1823/06/29/pdfs/GES-1823-79.pdf#page=2","Abrir facsímil")</f>
        <v>Abrir facsímil</v>
      </c>
      <c r="K5226" s="3" t="s">
        <v>23</v>
      </c>
    </row>
    <row r="5227" spans="1:11" ht="42" customHeight="1">
      <c r="A5227" s="2" t="s">
        <v>10614</v>
      </c>
      <c r="B5227" s="2" t="s">
        <v>10615</v>
      </c>
      <c r="C5227" s="2" t="s">
        <v>56</v>
      </c>
      <c r="D5227" s="2" t="s">
        <v>57</v>
      </c>
      <c r="E5227" s="5">
        <v>-27832</v>
      </c>
      <c r="F5227" s="3" t="s">
        <v>1815</v>
      </c>
      <c r="G5227" s="3" t="s">
        <v>20</v>
      </c>
      <c r="H5227" s="2" t="s">
        <v>21</v>
      </c>
      <c r="I5227" s="2" t="s">
        <v>10616</v>
      </c>
      <c r="J5227" s="3" t="str">
        <f>HYPERLINK("https://www.boe.es/gazeta/dias/1823/10/18/pdfs/GMD-1823-993.pdf#page=4","Abrir facsímil")</f>
        <v>Abrir facsímil</v>
      </c>
      <c r="K5227" s="3" t="s">
        <v>23</v>
      </c>
    </row>
    <row r="5228" spans="1:11" ht="42" customHeight="1">
      <c r="A5228" s="2" t="s">
        <v>10617</v>
      </c>
      <c r="B5228" s="2" t="s">
        <v>10618</v>
      </c>
      <c r="C5228" s="2" t="s">
        <v>17</v>
      </c>
      <c r="D5228" s="2" t="s">
        <v>18</v>
      </c>
      <c r="E5228" s="5">
        <v>-28025</v>
      </c>
      <c r="F5228" s="3" t="s">
        <v>477</v>
      </c>
      <c r="G5228" s="3" t="s">
        <v>20</v>
      </c>
      <c r="H5228" s="2" t="s">
        <v>21</v>
      </c>
      <c r="I5228" s="2" t="s">
        <v>10619</v>
      </c>
      <c r="J5228" s="3" t="str">
        <f>HYPERLINK("https://www.boe.es/gazeta/dias/1823/04/08/pdfs/GMD-1823-103.pdf#page=4","Abrir facsímil")</f>
        <v>Abrir facsímil</v>
      </c>
      <c r="K5228" s="3" t="s">
        <v>23</v>
      </c>
    </row>
    <row r="5229" spans="1:11" ht="42" customHeight="1">
      <c r="A5229" s="2" t="s">
        <v>10620</v>
      </c>
      <c r="B5229" s="2" t="s">
        <v>10621</v>
      </c>
      <c r="C5229" s="2" t="s">
        <v>79</v>
      </c>
      <c r="D5229" s="2" t="s">
        <v>74</v>
      </c>
      <c r="E5229" s="5">
        <v>-28118</v>
      </c>
      <c r="F5229" s="3" t="s">
        <v>252</v>
      </c>
      <c r="G5229" s="3" t="s">
        <v>59</v>
      </c>
      <c r="H5229" s="2" t="s">
        <v>21</v>
      </c>
      <c r="I5229" s="2" t="s">
        <v>10622</v>
      </c>
      <c r="J5229" s="3" t="str">
        <f>HYPERLINK("https://www.boe.es/gazeta/dias/1823/01/05/pdfs/GMD-1823-5.pdf#page=6","Abrir facsímil")</f>
        <v>Abrir facsímil</v>
      </c>
      <c r="K5229" s="3" t="s">
        <v>23</v>
      </c>
    </row>
    <row r="5230" spans="1:11" ht="42" customHeight="1">
      <c r="A5230" s="2" t="s">
        <v>10623</v>
      </c>
      <c r="B5230" s="2" t="s">
        <v>10624</v>
      </c>
      <c r="C5230" s="2" t="s">
        <v>17</v>
      </c>
      <c r="D5230" s="2" t="s">
        <v>18</v>
      </c>
      <c r="E5230" s="5">
        <v>-27982</v>
      </c>
      <c r="F5230" s="3" t="s">
        <v>340</v>
      </c>
      <c r="G5230" s="3" t="s">
        <v>59</v>
      </c>
      <c r="H5230" s="2" t="s">
        <v>21</v>
      </c>
      <c r="I5230" s="2" t="s">
        <v>10625</v>
      </c>
      <c r="J5230" s="3" t="str">
        <f>HYPERLINK("https://www.boe.es/gazeta/dias/1823/05/21/pdfs/GES-1823-42.pdf#page=6","Abrir facsímil")</f>
        <v>Abrir facsímil</v>
      </c>
      <c r="K5230" s="3" t="s">
        <v>23</v>
      </c>
    </row>
    <row r="5231" spans="1:11" ht="42" customHeight="1">
      <c r="A5231" s="2" t="s">
        <v>10626</v>
      </c>
      <c r="B5231" s="2" t="s">
        <v>10627</v>
      </c>
      <c r="C5231" s="2" t="s">
        <v>17</v>
      </c>
      <c r="D5231" s="2" t="s">
        <v>18</v>
      </c>
      <c r="E5231" s="5">
        <v>-27776</v>
      </c>
      <c r="F5231" s="3" t="s">
        <v>1399</v>
      </c>
      <c r="G5231" s="3" t="s">
        <v>27</v>
      </c>
      <c r="H5231" s="2" t="s">
        <v>21</v>
      </c>
      <c r="I5231" s="2" t="s">
        <v>10628</v>
      </c>
      <c r="J5231" s="3" t="str">
        <f>HYPERLINK("https://www.boe.es/gazeta/dias/1823/12/13/pdfs/GMD-1823-1243.pdf#page=2","Abrir facsímil")</f>
        <v>Abrir facsímil</v>
      </c>
      <c r="K5231" s="3" t="s">
        <v>23</v>
      </c>
    </row>
    <row r="5232" spans="1:11" ht="42" customHeight="1">
      <c r="A5232" s="2" t="s">
        <v>10629</v>
      </c>
      <c r="B5232" s="2" t="s">
        <v>10630</v>
      </c>
      <c r="C5232" s="2" t="s">
        <v>293</v>
      </c>
      <c r="D5232" s="2" t="s">
        <v>74</v>
      </c>
      <c r="E5232" s="5">
        <v>-27787</v>
      </c>
      <c r="F5232" s="3" t="s">
        <v>865</v>
      </c>
      <c r="G5232" s="3" t="s">
        <v>39</v>
      </c>
      <c r="H5232" s="2" t="s">
        <v>21</v>
      </c>
      <c r="I5232" s="2" t="s">
        <v>10631</v>
      </c>
      <c r="J5232" s="3" t="str">
        <f>HYPERLINK("https://www.boe.es/gazeta/dias/1823/12/02/pdfs/GMD-1823-1193.pdf#page=1","Abrir facsímil")</f>
        <v>Abrir facsímil</v>
      </c>
      <c r="K5232" s="3" t="s">
        <v>23</v>
      </c>
    </row>
    <row r="5233" spans="1:11" ht="42" customHeight="1">
      <c r="A5233" s="2" t="s">
        <v>10632</v>
      </c>
      <c r="B5233" s="2" t="s">
        <v>10632</v>
      </c>
      <c r="C5233" s="2" t="s">
        <v>17</v>
      </c>
      <c r="D5233" s="2" t="s">
        <v>18</v>
      </c>
      <c r="E5233" s="5">
        <v>-27889</v>
      </c>
      <c r="F5233" s="3" t="s">
        <v>1306</v>
      </c>
      <c r="G5233" s="3" t="s">
        <v>39</v>
      </c>
      <c r="H5233" s="2" t="s">
        <v>21</v>
      </c>
      <c r="I5233" s="2" t="s">
        <v>10633</v>
      </c>
      <c r="J5233" s="3" t="str">
        <f>HYPERLINK("https://www.boe.es/gazeta/dias/1823/08/22/pdfs/GES-1823-135.pdf#page=1","Abrir facsímil")</f>
        <v>Abrir facsímil</v>
      </c>
      <c r="K5233" s="3" t="s">
        <v>23</v>
      </c>
    </row>
    <row r="5234" spans="1:11" ht="42" customHeight="1">
      <c r="A5234" s="2" t="s">
        <v>10634</v>
      </c>
      <c r="B5234" s="2" t="s">
        <v>10635</v>
      </c>
      <c r="C5234" s="2" t="s">
        <v>17</v>
      </c>
      <c r="D5234" s="2" t="s">
        <v>18</v>
      </c>
      <c r="E5234" s="5">
        <v>-27797</v>
      </c>
      <c r="F5234" s="3" t="s">
        <v>3409</v>
      </c>
      <c r="G5234" s="3" t="s">
        <v>48</v>
      </c>
      <c r="H5234" s="2" t="s">
        <v>21</v>
      </c>
      <c r="I5234" s="2" t="s">
        <v>10636</v>
      </c>
      <c r="J5234" s="3" t="str">
        <f>HYPERLINK("https://www.boe.es/gazeta/dias/1823/11/22/pdfs/GMD-1823-1153.pdf#page=3","Abrir facsímil")</f>
        <v>Abrir facsímil</v>
      </c>
      <c r="K5234" s="3" t="s">
        <v>23</v>
      </c>
    </row>
    <row r="5235" spans="1:11" ht="42" customHeight="1">
      <c r="A5235" s="2" t="s">
        <v>10637</v>
      </c>
      <c r="B5235" s="2" t="s">
        <v>10638</v>
      </c>
      <c r="C5235" s="2" t="s">
        <v>17</v>
      </c>
      <c r="D5235" s="2" t="s">
        <v>18</v>
      </c>
      <c r="E5235" s="5">
        <v>-27906</v>
      </c>
      <c r="F5235" s="3" t="s">
        <v>241</v>
      </c>
      <c r="G5235" s="3" t="s">
        <v>20</v>
      </c>
      <c r="H5235" s="2" t="s">
        <v>21</v>
      </c>
      <c r="I5235" s="2" t="s">
        <v>10639</v>
      </c>
      <c r="J5235" s="3" t="str">
        <f>HYPERLINK("https://www.boe.es/gazeta/dias/1823/08/05/pdfs/GES-1823-117.pdf#page=4","Abrir facsímil")</f>
        <v>Abrir facsímil</v>
      </c>
      <c r="K5235" s="3" t="s">
        <v>23</v>
      </c>
    </row>
    <row r="5236" spans="1:11" ht="42" customHeight="1">
      <c r="A5236" s="2" t="s">
        <v>10640</v>
      </c>
      <c r="B5236" s="2" t="s">
        <v>10641</v>
      </c>
      <c r="C5236" s="2" t="s">
        <v>17</v>
      </c>
      <c r="D5236" s="2" t="s">
        <v>18</v>
      </c>
      <c r="E5236" s="5">
        <v>-27923</v>
      </c>
      <c r="F5236" s="3" t="s">
        <v>1225</v>
      </c>
      <c r="G5236" s="3" t="s">
        <v>20</v>
      </c>
      <c r="H5236" s="2" t="s">
        <v>21</v>
      </c>
      <c r="I5236" s="2" t="s">
        <v>10642</v>
      </c>
      <c r="J5236" s="3" t="str">
        <f>HYPERLINK("https://www.boe.es/gazeta/dias/1823/07/19/pdfs/GMD-1823-433.pdf#page=4","Abrir facsímil")</f>
        <v>Abrir facsímil</v>
      </c>
      <c r="K5236" s="3" t="s">
        <v>23</v>
      </c>
    </row>
    <row r="5237" spans="1:11" ht="42" customHeight="1">
      <c r="A5237" s="2" t="s">
        <v>10643</v>
      </c>
      <c r="B5237" s="2" t="s">
        <v>10644</v>
      </c>
      <c r="C5237" s="2" t="s">
        <v>17</v>
      </c>
      <c r="D5237" s="2" t="s">
        <v>18</v>
      </c>
      <c r="E5237" s="5">
        <v>-28004</v>
      </c>
      <c r="F5237" s="3" t="s">
        <v>313</v>
      </c>
      <c r="G5237" s="3" t="s">
        <v>27</v>
      </c>
      <c r="H5237" s="2" t="s">
        <v>21</v>
      </c>
      <c r="I5237" s="2" t="s">
        <v>10645</v>
      </c>
      <c r="J5237" s="3" t="str">
        <f>HYPERLINK("https://www.boe.es/gazeta/dias/1823/04/29/pdfs/GMD-1823-72.pdf#page=2","Abrir facsímil")</f>
        <v>Abrir facsímil</v>
      </c>
      <c r="K5237" s="3" t="s">
        <v>23</v>
      </c>
    </row>
    <row r="5238" spans="1:11" ht="42" customHeight="1">
      <c r="A5238" s="2" t="s">
        <v>10643</v>
      </c>
      <c r="B5238" s="2" t="s">
        <v>10644</v>
      </c>
      <c r="C5238" s="2" t="s">
        <v>17</v>
      </c>
      <c r="D5238" s="2" t="s">
        <v>18</v>
      </c>
      <c r="E5238" s="5">
        <v>-28000</v>
      </c>
      <c r="F5238" s="3" t="s">
        <v>1118</v>
      </c>
      <c r="G5238" s="3" t="s">
        <v>39</v>
      </c>
      <c r="H5238" s="2" t="s">
        <v>21</v>
      </c>
      <c r="I5238" s="2" t="s">
        <v>10646</v>
      </c>
      <c r="J5238" s="3" t="str">
        <f>HYPERLINK("https://www.boe.es/gazeta/dias/1823/05/03/pdfs/GES-1823-23.pdf#page=1","Abrir facsímil")</f>
        <v>Abrir facsímil</v>
      </c>
      <c r="K5238" s="3" t="s">
        <v>23</v>
      </c>
    </row>
    <row r="5239" spans="1:11" ht="42" customHeight="1">
      <c r="A5239" s="2" t="s">
        <v>10647</v>
      </c>
      <c r="B5239" s="2" t="s">
        <v>10648</v>
      </c>
      <c r="C5239" s="2" t="s">
        <v>17</v>
      </c>
      <c r="D5239" s="2" t="s">
        <v>18</v>
      </c>
      <c r="E5239" s="5">
        <v>-27889</v>
      </c>
      <c r="F5239" s="3" t="s">
        <v>1306</v>
      </c>
      <c r="G5239" s="3" t="s">
        <v>39</v>
      </c>
      <c r="H5239" s="2" t="s">
        <v>21</v>
      </c>
      <c r="I5239" s="2" t="s">
        <v>10649</v>
      </c>
      <c r="J5239" s="3" t="str">
        <f>HYPERLINK("https://www.boe.es/gazeta/dias/1823/08/22/pdfs/GES-1823-135.pdf#page=1","Abrir facsímil")</f>
        <v>Abrir facsímil</v>
      </c>
      <c r="K5239" s="3" t="s">
        <v>23</v>
      </c>
    </row>
    <row r="5240" spans="1:11" ht="42" customHeight="1">
      <c r="A5240" s="2" t="s">
        <v>10650</v>
      </c>
      <c r="B5240" s="2" t="s">
        <v>10651</v>
      </c>
      <c r="C5240" s="2" t="s">
        <v>17</v>
      </c>
      <c r="D5240" s="2" t="s">
        <v>18</v>
      </c>
      <c r="E5240" s="5">
        <v>-28100</v>
      </c>
      <c r="F5240" s="3" t="s">
        <v>737</v>
      </c>
      <c r="G5240" s="3" t="s">
        <v>48</v>
      </c>
      <c r="H5240" s="2" t="s">
        <v>21</v>
      </c>
      <c r="I5240" s="2" t="s">
        <v>10652</v>
      </c>
      <c r="J5240" s="3" t="str">
        <f>HYPERLINK("https://www.boe.es/gazeta/dias/1823/01/23/pdfs/GMD-1823-24.pdf#page=3","Abrir facsímil")</f>
        <v>Abrir facsímil</v>
      </c>
      <c r="K5240" s="3" t="s">
        <v>23</v>
      </c>
    </row>
    <row r="5241" spans="1:11" ht="42" customHeight="1">
      <c r="A5241" s="2" t="s">
        <v>10653</v>
      </c>
      <c r="B5241" s="2" t="s">
        <v>10654</v>
      </c>
      <c r="C5241" s="2" t="s">
        <v>79</v>
      </c>
      <c r="D5241" s="2" t="s">
        <v>74</v>
      </c>
      <c r="E5241" s="5">
        <v>-27968</v>
      </c>
      <c r="F5241" s="3" t="s">
        <v>1160</v>
      </c>
      <c r="G5241" s="3" t="s">
        <v>715</v>
      </c>
      <c r="H5241" s="2" t="s">
        <v>21</v>
      </c>
      <c r="I5241" s="2" t="s">
        <v>10655</v>
      </c>
      <c r="J5241" s="3" t="str">
        <f>HYPERLINK("https://www.boe.es/gazeta/dias/1823/06/04/pdfs/GES-1823-58.pdf#page=8","Abrir facsímil")</f>
        <v>Abrir facsímil</v>
      </c>
      <c r="K5241" s="3" t="s">
        <v>23</v>
      </c>
    </row>
    <row r="5242" spans="1:11" ht="42" customHeight="1">
      <c r="A5242" s="2" t="s">
        <v>10656</v>
      </c>
      <c r="B5242" s="2" t="s">
        <v>10657</v>
      </c>
      <c r="C5242" s="2" t="s">
        <v>17</v>
      </c>
      <c r="D5242" s="2" t="s">
        <v>18</v>
      </c>
      <c r="E5242" s="5">
        <v>-28100</v>
      </c>
      <c r="F5242" s="3" t="s">
        <v>737</v>
      </c>
      <c r="G5242" s="3" t="s">
        <v>48</v>
      </c>
      <c r="H5242" s="2" t="s">
        <v>21</v>
      </c>
      <c r="I5242" s="2" t="s">
        <v>10658</v>
      </c>
      <c r="J5242" s="3" t="str">
        <f>HYPERLINK("https://www.boe.es/gazeta/dias/1823/01/23/pdfs/GMD-1823-24.pdf#page=3","Abrir facsímil")</f>
        <v>Abrir facsímil</v>
      </c>
      <c r="K5242" s="3" t="s">
        <v>23</v>
      </c>
    </row>
    <row r="5243" spans="1:11" ht="42" customHeight="1">
      <c r="A5243" s="2" t="s">
        <v>10659</v>
      </c>
      <c r="B5243" s="2" t="s">
        <v>10660</v>
      </c>
      <c r="C5243" s="2" t="s">
        <v>79</v>
      </c>
      <c r="D5243" s="2" t="s">
        <v>74</v>
      </c>
      <c r="E5243" s="5">
        <v>-28001</v>
      </c>
      <c r="F5243" s="3" t="s">
        <v>768</v>
      </c>
      <c r="G5243" s="3" t="s">
        <v>34</v>
      </c>
      <c r="H5243" s="2" t="s">
        <v>21</v>
      </c>
      <c r="I5243" s="2" t="s">
        <v>10661</v>
      </c>
      <c r="J5243" s="3" t="str">
        <f>HYPERLINK("https://www.boe.es/gazeta/dias/1823/05/02/pdfs/GES-1823-22.pdf#page=5","Abrir facsímil")</f>
        <v>Abrir facsímil</v>
      </c>
      <c r="K5243" s="3" t="s">
        <v>23</v>
      </c>
    </row>
    <row r="5244" spans="1:11" ht="42" customHeight="1">
      <c r="A5244" s="2" t="s">
        <v>10662</v>
      </c>
      <c r="B5244" s="2" t="s">
        <v>10663</v>
      </c>
      <c r="C5244" s="2" t="s">
        <v>79</v>
      </c>
      <c r="D5244" s="2" t="s">
        <v>74</v>
      </c>
      <c r="E5244" s="5">
        <v>-28004</v>
      </c>
      <c r="F5244" s="3" t="s">
        <v>313</v>
      </c>
      <c r="G5244" s="3" t="s">
        <v>27</v>
      </c>
      <c r="H5244" s="2" t="s">
        <v>21</v>
      </c>
      <c r="I5244" s="2" t="s">
        <v>10664</v>
      </c>
      <c r="J5244" s="3" t="str">
        <f>HYPERLINK("https://www.boe.es/gazeta/dias/1823/04/29/pdfs/GMD-1823-72.pdf#page=2","Abrir facsímil")</f>
        <v>Abrir facsímil</v>
      </c>
      <c r="K5244" s="3" t="s">
        <v>23</v>
      </c>
    </row>
    <row r="5245" spans="1:11" ht="42" customHeight="1">
      <c r="A5245" s="2" t="s">
        <v>10665</v>
      </c>
      <c r="B5245" s="2" t="s">
        <v>10665</v>
      </c>
      <c r="C5245" s="2" t="s">
        <v>109</v>
      </c>
      <c r="D5245" s="2" t="s">
        <v>74</v>
      </c>
      <c r="E5245" s="5">
        <v>-27935</v>
      </c>
      <c r="F5245" s="3" t="s">
        <v>350</v>
      </c>
      <c r="G5245" s="3" t="s">
        <v>27</v>
      </c>
      <c r="H5245" s="2" t="s">
        <v>21</v>
      </c>
      <c r="I5245" s="2" t="s">
        <v>10666</v>
      </c>
      <c r="J5245" s="3" t="str">
        <f>HYPERLINK("https://www.boe.es/gazeta/dias/1823/07/07/pdfs/GES-1823-87.pdf#page=2","Abrir facsímil")</f>
        <v>Abrir facsímil</v>
      </c>
      <c r="K5245" s="3" t="s">
        <v>23</v>
      </c>
    </row>
    <row r="5246" spans="1:11" ht="42" customHeight="1">
      <c r="A5246" s="2" t="s">
        <v>10667</v>
      </c>
      <c r="B5246" s="2" t="s">
        <v>10668</v>
      </c>
      <c r="C5246" s="2" t="s">
        <v>73</v>
      </c>
      <c r="D5246" s="2" t="s">
        <v>74</v>
      </c>
      <c r="E5246" s="5">
        <v>-28079</v>
      </c>
      <c r="F5246" s="3" t="s">
        <v>178</v>
      </c>
      <c r="G5246" s="3" t="s">
        <v>48</v>
      </c>
      <c r="H5246" s="2" t="s">
        <v>21</v>
      </c>
      <c r="I5246" s="2" t="s">
        <v>10669</v>
      </c>
      <c r="J5246" s="3" t="str">
        <f>HYPERLINK("https://www.boe.es/gazeta/dias/1823/02/13/pdfs/GMD-1823-47.pdf#page=3","Abrir facsímil")</f>
        <v>Abrir facsímil</v>
      </c>
      <c r="K5246" s="3" t="s">
        <v>23</v>
      </c>
    </row>
    <row r="5247" spans="1:11" ht="42" customHeight="1">
      <c r="A5247" s="2" t="s">
        <v>10670</v>
      </c>
      <c r="B5247" s="2" t="s">
        <v>10671</v>
      </c>
      <c r="C5247" s="2" t="s">
        <v>17</v>
      </c>
      <c r="D5247" s="2" t="s">
        <v>18</v>
      </c>
      <c r="E5247" s="5">
        <v>-27885</v>
      </c>
      <c r="F5247" s="3" t="s">
        <v>65</v>
      </c>
      <c r="G5247" s="3" t="s">
        <v>48</v>
      </c>
      <c r="H5247" s="2" t="s">
        <v>21</v>
      </c>
      <c r="I5247" s="2" t="s">
        <v>10672</v>
      </c>
      <c r="J5247" s="3" t="str">
        <f>HYPERLINK("https://www.boe.es/gazeta/dias/1823/08/26/pdfs/GMD-1823-653.pdf#page=3","Abrir facsímil")</f>
        <v>Abrir facsímil</v>
      </c>
      <c r="K5247" s="3" t="s">
        <v>23</v>
      </c>
    </row>
    <row r="5248" spans="1:11" ht="42" customHeight="1">
      <c r="A5248" s="2" t="s">
        <v>10673</v>
      </c>
      <c r="B5248" s="2" t="s">
        <v>10673</v>
      </c>
      <c r="C5248" s="2" t="s">
        <v>17</v>
      </c>
      <c r="D5248" s="2" t="s">
        <v>18</v>
      </c>
      <c r="E5248" s="5">
        <v>-28066</v>
      </c>
      <c r="F5248" s="3" t="s">
        <v>19</v>
      </c>
      <c r="G5248" s="3" t="s">
        <v>20</v>
      </c>
      <c r="H5248" s="2" t="s">
        <v>21</v>
      </c>
      <c r="I5248" s="2" t="s">
        <v>10674</v>
      </c>
      <c r="J5248" s="3" t="str">
        <f>HYPERLINK("https://www.boe.es/gazeta/dias/1823/02/26/pdfs/GMD-1823-60.pdf#page=4","Abrir facsímil")</f>
        <v>Abrir facsímil</v>
      </c>
      <c r="K5248" s="3" t="s">
        <v>23</v>
      </c>
    </row>
    <row r="5249" spans="1:11" ht="42" customHeight="1">
      <c r="A5249" s="2" t="s">
        <v>10675</v>
      </c>
      <c r="B5249" s="2" t="s">
        <v>10675</v>
      </c>
      <c r="C5249" s="2" t="s">
        <v>17</v>
      </c>
      <c r="D5249" s="2" t="s">
        <v>18</v>
      </c>
      <c r="E5249" s="5">
        <v>-27975</v>
      </c>
      <c r="F5249" s="3" t="s">
        <v>47</v>
      </c>
      <c r="G5249" s="3" t="s">
        <v>39</v>
      </c>
      <c r="H5249" s="2" t="s">
        <v>21</v>
      </c>
      <c r="I5249" s="2" t="s">
        <v>10676</v>
      </c>
      <c r="J5249" s="3" t="str">
        <f>HYPERLINK("https://www.boe.es/gazeta/dias/1823/05/28/pdfs/GES-1823-50.pdf#page=1","Abrir facsímil")</f>
        <v>Abrir facsímil</v>
      </c>
      <c r="K5249" s="3" t="s">
        <v>23</v>
      </c>
    </row>
    <row r="5250" spans="1:11" ht="42" customHeight="1">
      <c r="A5250" s="2" t="s">
        <v>10675</v>
      </c>
      <c r="B5250" s="2" t="s">
        <v>10675</v>
      </c>
      <c r="C5250" s="2" t="s">
        <v>17</v>
      </c>
      <c r="D5250" s="2" t="s">
        <v>18</v>
      </c>
      <c r="E5250" s="5">
        <v>-27892</v>
      </c>
      <c r="F5250" s="3" t="s">
        <v>1571</v>
      </c>
      <c r="G5250" s="3" t="s">
        <v>48</v>
      </c>
      <c r="H5250" s="2" t="s">
        <v>21</v>
      </c>
      <c r="I5250" s="2" t="s">
        <v>10677</v>
      </c>
      <c r="J5250" s="3" t="str">
        <f>HYPERLINK("https://www.boe.es/gazeta/dias/1823/08/19/pdfs/GMD-1823-613.pdf#page=3","Abrir facsímil")</f>
        <v>Abrir facsímil</v>
      </c>
      <c r="K5250" s="3" t="s">
        <v>23</v>
      </c>
    </row>
    <row r="5251" spans="1:11" ht="42" customHeight="1">
      <c r="A5251" s="2" t="s">
        <v>10675</v>
      </c>
      <c r="B5251" s="2" t="s">
        <v>10675</v>
      </c>
      <c r="C5251" s="2" t="s">
        <v>17</v>
      </c>
      <c r="D5251" s="2" t="s">
        <v>18</v>
      </c>
      <c r="E5251" s="5">
        <v>-27877</v>
      </c>
      <c r="F5251" s="3" t="s">
        <v>844</v>
      </c>
      <c r="G5251" s="3" t="s">
        <v>48</v>
      </c>
      <c r="H5251" s="2" t="s">
        <v>21</v>
      </c>
      <c r="I5251" s="2" t="s">
        <v>10678</v>
      </c>
      <c r="J5251" s="3" t="str">
        <f>HYPERLINK("https://www.boe.es/gazeta/dias/1823/09/03/pdfs/GES-1823-147.pdf#page=3","Abrir facsímil")</f>
        <v>Abrir facsímil</v>
      </c>
      <c r="K5251" s="3" t="s">
        <v>23</v>
      </c>
    </row>
    <row r="5252" spans="1:11" ht="42" customHeight="1">
      <c r="A5252" s="2" t="s">
        <v>10679</v>
      </c>
      <c r="B5252" s="2" t="s">
        <v>10680</v>
      </c>
      <c r="C5252" s="2" t="s">
        <v>17</v>
      </c>
      <c r="D5252" s="2" t="s">
        <v>18</v>
      </c>
      <c r="E5252" s="5">
        <v>-28060</v>
      </c>
      <c r="F5252" s="3" t="s">
        <v>180</v>
      </c>
      <c r="G5252" s="3" t="s">
        <v>181</v>
      </c>
      <c r="H5252" s="2" t="s">
        <v>21</v>
      </c>
      <c r="I5252" s="2" t="s">
        <v>10681</v>
      </c>
      <c r="J5252" s="3" t="str">
        <f>HYPERLINK("https://www.boe.es/gazeta/dias/1823/03/04/pdfs/GMD-1823-67.pdf#page=6","Abrir facsímil")</f>
        <v>Abrir facsímil</v>
      </c>
      <c r="K5252" s="3" t="s">
        <v>23</v>
      </c>
    </row>
    <row r="5253" spans="1:11" ht="42" customHeight="1">
      <c r="A5253" s="2" t="s">
        <v>10682</v>
      </c>
      <c r="B5253" s="2" t="s">
        <v>10683</v>
      </c>
      <c r="C5253" s="2" t="s">
        <v>17</v>
      </c>
      <c r="D5253" s="2" t="s">
        <v>18</v>
      </c>
      <c r="E5253" s="5">
        <v>-27970</v>
      </c>
      <c r="F5253" s="3" t="s">
        <v>1030</v>
      </c>
      <c r="G5253" s="3" t="s">
        <v>59</v>
      </c>
      <c r="H5253" s="2" t="s">
        <v>21</v>
      </c>
      <c r="I5253" s="2" t="s">
        <v>10684</v>
      </c>
      <c r="J5253" s="3" t="str">
        <f>HYPERLINK("https://www.boe.es/gazeta/dias/1823/06/02/pdfs/GES-1823-56.pdf#page=6","Abrir facsímil")</f>
        <v>Abrir facsímil</v>
      </c>
      <c r="K5253" s="3" t="s">
        <v>23</v>
      </c>
    </row>
    <row r="5254" spans="1:11" ht="42" customHeight="1">
      <c r="A5254" s="2" t="s">
        <v>10685</v>
      </c>
      <c r="B5254" s="2" t="s">
        <v>10686</v>
      </c>
      <c r="C5254" s="2" t="s">
        <v>79</v>
      </c>
      <c r="D5254" s="2" t="s">
        <v>74</v>
      </c>
      <c r="E5254" s="5">
        <v>-28118</v>
      </c>
      <c r="F5254" s="3" t="s">
        <v>252</v>
      </c>
      <c r="G5254" s="3" t="s">
        <v>59</v>
      </c>
      <c r="H5254" s="2" t="s">
        <v>21</v>
      </c>
      <c r="I5254" s="2" t="s">
        <v>10687</v>
      </c>
      <c r="J5254" s="3" t="str">
        <f>HYPERLINK("https://www.boe.es/gazeta/dias/1823/01/05/pdfs/GMD-1823-5.pdf#page=6","Abrir facsímil")</f>
        <v>Abrir facsímil</v>
      </c>
      <c r="K5254" s="3" t="s">
        <v>23</v>
      </c>
    </row>
    <row r="5255" spans="1:11" ht="42" customHeight="1">
      <c r="A5255" s="2" t="s">
        <v>10688</v>
      </c>
      <c r="B5255" s="2" t="s">
        <v>10689</v>
      </c>
      <c r="C5255" s="2" t="s">
        <v>17</v>
      </c>
      <c r="D5255" s="2" t="s">
        <v>18</v>
      </c>
      <c r="E5255" s="5">
        <v>-28118</v>
      </c>
      <c r="F5255" s="3" t="s">
        <v>252</v>
      </c>
      <c r="G5255" s="3" t="s">
        <v>59</v>
      </c>
      <c r="H5255" s="2" t="s">
        <v>21</v>
      </c>
      <c r="I5255" s="2" t="s">
        <v>10690</v>
      </c>
      <c r="J5255" s="3" t="str">
        <f>HYPERLINK("https://www.boe.es/gazeta/dias/1823/01/05/pdfs/GMD-1823-5.pdf#page=6","Abrir facsímil")</f>
        <v>Abrir facsímil</v>
      </c>
      <c r="K5255" s="3" t="s">
        <v>23</v>
      </c>
    </row>
    <row r="5256" spans="1:11" ht="42" customHeight="1">
      <c r="A5256" s="2" t="s">
        <v>10691</v>
      </c>
      <c r="B5256" s="2" t="s">
        <v>10692</v>
      </c>
      <c r="C5256" s="2" t="s">
        <v>17</v>
      </c>
      <c r="D5256" s="2" t="s">
        <v>18</v>
      </c>
      <c r="E5256" s="5">
        <v>-28118</v>
      </c>
      <c r="F5256" s="3" t="s">
        <v>252</v>
      </c>
      <c r="G5256" s="3" t="s">
        <v>59</v>
      </c>
      <c r="H5256" s="2" t="s">
        <v>21</v>
      </c>
      <c r="I5256" s="2" t="s">
        <v>10693</v>
      </c>
      <c r="J5256" s="3" t="str">
        <f>HYPERLINK("https://www.boe.es/gazeta/dias/1823/01/05/pdfs/GMD-1823-5.pdf#page=6","Abrir facsímil")</f>
        <v>Abrir facsímil</v>
      </c>
      <c r="K5256" s="3" t="s">
        <v>23</v>
      </c>
    </row>
    <row r="5257" spans="1:11" ht="42" customHeight="1">
      <c r="A5257" s="2" t="s">
        <v>10694</v>
      </c>
      <c r="B5257" s="2" t="s">
        <v>10694</v>
      </c>
      <c r="C5257" s="2" t="s">
        <v>17</v>
      </c>
      <c r="D5257" s="2" t="s">
        <v>18</v>
      </c>
      <c r="E5257" s="5">
        <v>-27877</v>
      </c>
      <c r="F5257" s="3" t="s">
        <v>844</v>
      </c>
      <c r="G5257" s="3" t="s">
        <v>48</v>
      </c>
      <c r="H5257" s="2" t="s">
        <v>21</v>
      </c>
      <c r="I5257" s="2" t="s">
        <v>10695</v>
      </c>
      <c r="J5257" s="3" t="str">
        <f>HYPERLINK("https://www.boe.es/gazeta/dias/1823/09/03/pdfs/GES-1823-147.pdf#page=3","Abrir facsímil")</f>
        <v>Abrir facsímil</v>
      </c>
      <c r="K5257" s="3" t="s">
        <v>23</v>
      </c>
    </row>
    <row r="5258" spans="1:11" ht="42" customHeight="1">
      <c r="A5258" s="2" t="s">
        <v>10696</v>
      </c>
      <c r="B5258" s="2" t="s">
        <v>10696</v>
      </c>
      <c r="C5258" s="2" t="s">
        <v>17</v>
      </c>
      <c r="D5258" s="2" t="s">
        <v>18</v>
      </c>
      <c r="E5258" s="5">
        <v>-27792</v>
      </c>
      <c r="F5258" s="3" t="s">
        <v>611</v>
      </c>
      <c r="G5258" s="3" t="s">
        <v>39</v>
      </c>
      <c r="H5258" s="2" t="s">
        <v>21</v>
      </c>
      <c r="I5258" s="2" t="s">
        <v>10697</v>
      </c>
      <c r="J5258" s="3" t="str">
        <f>HYPERLINK("https://www.boe.es/gazeta/dias/1823/11/27/pdfs/GMD-1823-1173.pdf#page=1","Abrir facsímil")</f>
        <v>Abrir facsímil</v>
      </c>
      <c r="K5258" s="3" t="s">
        <v>23</v>
      </c>
    </row>
    <row r="5259" spans="1:11" ht="42" customHeight="1">
      <c r="A5259" s="2" t="s">
        <v>10698</v>
      </c>
      <c r="B5259" s="2" t="s">
        <v>10698</v>
      </c>
      <c r="C5259" s="2" t="s">
        <v>109</v>
      </c>
      <c r="D5259" s="2" t="s">
        <v>74</v>
      </c>
      <c r="E5259" s="5">
        <v>-27914</v>
      </c>
      <c r="F5259" s="3" t="s">
        <v>776</v>
      </c>
      <c r="G5259" s="3" t="s">
        <v>39</v>
      </c>
      <c r="H5259" s="2" t="s">
        <v>21</v>
      </c>
      <c r="I5259" s="2" t="s">
        <v>10699</v>
      </c>
      <c r="J5259" s="3" t="str">
        <f>HYPERLINK("https://www.boe.es/gazeta/dias/1823/07/28/pdfs/GES-1823-109.pdf#page=1","Abrir facsímil")</f>
        <v>Abrir facsímil</v>
      </c>
      <c r="K5259" s="3" t="s">
        <v>23</v>
      </c>
    </row>
    <row r="5260" spans="1:11" ht="42" customHeight="1">
      <c r="A5260" s="2" t="s">
        <v>10700</v>
      </c>
      <c r="B5260" s="2" t="s">
        <v>10700</v>
      </c>
      <c r="C5260" s="2" t="s">
        <v>56</v>
      </c>
      <c r="D5260" s="2" t="s">
        <v>57</v>
      </c>
      <c r="E5260" s="5">
        <v>-28021</v>
      </c>
      <c r="F5260" s="3" t="s">
        <v>1054</v>
      </c>
      <c r="G5260" s="3" t="s">
        <v>1055</v>
      </c>
      <c r="H5260" s="2" t="s">
        <v>21</v>
      </c>
      <c r="I5260" s="2" t="s">
        <v>10701</v>
      </c>
      <c r="J5260" s="3" t="str">
        <f>HYPERLINK("https://www.boe.es/gazeta/dias/1823/04/12/pdfs/GMD-1823-107.pdf#page=4","Abrir facsímil")</f>
        <v>Abrir facsímil</v>
      </c>
      <c r="K5260" s="3" t="s">
        <v>23</v>
      </c>
    </row>
    <row r="5261" spans="1:11" ht="42" customHeight="1">
      <c r="A5261" s="2" t="s">
        <v>10702</v>
      </c>
      <c r="B5261" s="2" t="s">
        <v>10703</v>
      </c>
      <c r="C5261" s="2" t="s">
        <v>17</v>
      </c>
      <c r="D5261" s="2" t="s">
        <v>18</v>
      </c>
      <c r="E5261" s="5">
        <v>-28085</v>
      </c>
      <c r="F5261" s="3" t="s">
        <v>458</v>
      </c>
      <c r="G5261" s="3" t="s">
        <v>59</v>
      </c>
      <c r="H5261" s="2" t="s">
        <v>21</v>
      </c>
      <c r="I5261" s="2" t="s">
        <v>10704</v>
      </c>
      <c r="J5261" s="3" t="str">
        <f>HYPERLINK("https://www.boe.es/gazeta/dias/1823/02/07/pdfs/GMD-1823-40.pdf#page=6","Abrir facsímil")</f>
        <v>Abrir facsímil</v>
      </c>
      <c r="K5261" s="3" t="s">
        <v>23</v>
      </c>
    </row>
    <row r="5262" spans="1:11" ht="42" customHeight="1">
      <c r="A5262" s="2" t="s">
        <v>10705</v>
      </c>
      <c r="B5262" s="2" t="s">
        <v>10706</v>
      </c>
      <c r="C5262" s="2" t="s">
        <v>17</v>
      </c>
      <c r="D5262" s="2" t="s">
        <v>18</v>
      </c>
      <c r="E5262" s="5">
        <v>-28041</v>
      </c>
      <c r="F5262" s="3" t="s">
        <v>873</v>
      </c>
      <c r="G5262" s="3" t="s">
        <v>366</v>
      </c>
      <c r="H5262" s="2" t="s">
        <v>21</v>
      </c>
      <c r="I5262" s="2" t="s">
        <v>10707</v>
      </c>
      <c r="J5262" s="3" t="str">
        <f>HYPERLINK("https://www.boe.es/gazeta/dias/1823/03/23/pdfs/GMD-1823-86.pdf#page=4","Abrir facsímil")</f>
        <v>Abrir facsímil</v>
      </c>
      <c r="K5262" s="3" t="s">
        <v>23</v>
      </c>
    </row>
    <row r="5263" spans="1:11" ht="42" customHeight="1">
      <c r="A5263" s="2" t="s">
        <v>10708</v>
      </c>
      <c r="B5263" s="2" t="s">
        <v>10708</v>
      </c>
      <c r="C5263" s="2" t="s">
        <v>56</v>
      </c>
      <c r="D5263" s="2" t="s">
        <v>57</v>
      </c>
      <c r="E5263" s="5">
        <v>-27785</v>
      </c>
      <c r="F5263" s="3" t="s">
        <v>1397</v>
      </c>
      <c r="G5263" s="3" t="s">
        <v>39</v>
      </c>
      <c r="H5263" s="2" t="s">
        <v>21</v>
      </c>
      <c r="I5263" s="2" t="s">
        <v>10709</v>
      </c>
      <c r="J5263" s="3" t="str">
        <f>HYPERLINK("https://www.boe.es/gazeta/dias/1823/12/04/pdfs/GMD-1823-1203.pdf#page=1","Abrir facsímil")</f>
        <v>Abrir facsímil</v>
      </c>
      <c r="K5263" s="3" t="s">
        <v>23</v>
      </c>
    </row>
    <row r="5264" spans="1:11" ht="42" customHeight="1">
      <c r="A5264" s="2" t="s">
        <v>10710</v>
      </c>
      <c r="B5264" s="2" t="s">
        <v>10710</v>
      </c>
      <c r="C5264" s="2" t="s">
        <v>56</v>
      </c>
      <c r="D5264" s="2" t="s">
        <v>57</v>
      </c>
      <c r="E5264" s="5">
        <v>-27895</v>
      </c>
      <c r="F5264" s="3" t="s">
        <v>734</v>
      </c>
      <c r="G5264" s="3" t="s">
        <v>39</v>
      </c>
      <c r="H5264" s="2" t="s">
        <v>21</v>
      </c>
      <c r="I5264" s="2" t="s">
        <v>10711</v>
      </c>
      <c r="J5264" s="3" t="str">
        <f>HYPERLINK("https://www.boe.es/gazeta/dias/1823/08/16/pdfs/GES-1823-129.pdf#page=1","Abrir facsímil")</f>
        <v>Abrir facsímil</v>
      </c>
      <c r="K5264" s="3" t="s">
        <v>23</v>
      </c>
    </row>
    <row r="5265" spans="1:11" ht="42" customHeight="1">
      <c r="A5265" s="2" t="s">
        <v>10712</v>
      </c>
      <c r="B5265" s="2" t="s">
        <v>10713</v>
      </c>
      <c r="C5265" s="2" t="s">
        <v>17</v>
      </c>
      <c r="D5265" s="2" t="s">
        <v>18</v>
      </c>
      <c r="E5265" s="5">
        <v>-28090</v>
      </c>
      <c r="F5265" s="3" t="s">
        <v>174</v>
      </c>
      <c r="G5265" s="3" t="s">
        <v>20</v>
      </c>
      <c r="H5265" s="2" t="s">
        <v>21</v>
      </c>
      <c r="I5265" s="2" t="s">
        <v>10714</v>
      </c>
      <c r="J5265" s="3" t="str">
        <f>HYPERLINK("https://www.boe.es/gazeta/dias/1823/02/02/pdfs/GMD-1823-35.pdf#page=4","Abrir facsímil")</f>
        <v>Abrir facsímil</v>
      </c>
      <c r="K5265" s="3" t="s">
        <v>23</v>
      </c>
    </row>
    <row r="5266" spans="1:11" ht="42" customHeight="1">
      <c r="A5266" s="2" t="s">
        <v>10715</v>
      </c>
      <c r="B5266" s="2" t="s">
        <v>10715</v>
      </c>
      <c r="C5266" s="2" t="s">
        <v>17</v>
      </c>
      <c r="D5266" s="2" t="s">
        <v>18</v>
      </c>
      <c r="E5266" s="5">
        <v>-28056</v>
      </c>
      <c r="F5266" s="3" t="s">
        <v>572</v>
      </c>
      <c r="G5266" s="3" t="s">
        <v>27</v>
      </c>
      <c r="H5266" s="2" t="s">
        <v>21</v>
      </c>
      <c r="I5266" s="2" t="s">
        <v>10716</v>
      </c>
      <c r="J5266" s="3" t="str">
        <f>HYPERLINK("https://www.boe.es/gazeta/dias/1823/03/08/pdfs/GMD-1823-71.pdf#page=2","Abrir facsímil")</f>
        <v>Abrir facsímil</v>
      </c>
      <c r="K5266" s="3" t="s">
        <v>23</v>
      </c>
    </row>
    <row r="5267" spans="1:11" ht="42" customHeight="1">
      <c r="A5267" s="2" t="s">
        <v>10717</v>
      </c>
      <c r="B5267" s="2" t="s">
        <v>10718</v>
      </c>
      <c r="C5267" s="2" t="s">
        <v>56</v>
      </c>
      <c r="D5267" s="2" t="s">
        <v>57</v>
      </c>
      <c r="E5267" s="5">
        <v>-27832</v>
      </c>
      <c r="F5267" s="3" t="s">
        <v>1815</v>
      </c>
      <c r="G5267" s="3" t="s">
        <v>27</v>
      </c>
      <c r="H5267" s="2" t="s">
        <v>21</v>
      </c>
      <c r="I5267" s="2" t="s">
        <v>10719</v>
      </c>
      <c r="J5267" s="3" t="str">
        <f>HYPERLINK("https://www.boe.es/gazeta/dias/1823/10/18/pdfs/GMD-1823-993.pdf#page=2","Abrir facsímil")</f>
        <v>Abrir facsímil</v>
      </c>
      <c r="K5267" s="3" t="s">
        <v>23</v>
      </c>
    </row>
    <row r="5268" spans="1:11" ht="42" customHeight="1">
      <c r="A5268" s="2" t="s">
        <v>10720</v>
      </c>
      <c r="B5268" s="2" t="s">
        <v>10721</v>
      </c>
      <c r="C5268" s="2" t="s">
        <v>56</v>
      </c>
      <c r="D5268" s="2" t="s">
        <v>57</v>
      </c>
      <c r="E5268" s="5">
        <v>-27906</v>
      </c>
      <c r="F5268" s="3" t="s">
        <v>1527</v>
      </c>
      <c r="G5268" s="3" t="s">
        <v>59</v>
      </c>
      <c r="H5268" s="2" t="s">
        <v>21</v>
      </c>
      <c r="I5268" s="2" t="s">
        <v>10722</v>
      </c>
      <c r="J5268" s="3" t="str">
        <f>HYPERLINK("https://www.boe.es/gazeta/dias/1823/08/05/pdfs/GMD-1823-533.pdf#page=6","Abrir facsímil")</f>
        <v>Abrir facsímil</v>
      </c>
      <c r="K5268" s="3" t="s">
        <v>23</v>
      </c>
    </row>
    <row r="5269" spans="1:11" ht="42" customHeight="1">
      <c r="A5269" s="2" t="s">
        <v>10723</v>
      </c>
      <c r="B5269" s="2" t="s">
        <v>10724</v>
      </c>
      <c r="C5269" s="2" t="s">
        <v>17</v>
      </c>
      <c r="D5269" s="2" t="s">
        <v>18</v>
      </c>
      <c r="E5269" s="5">
        <v>-27910</v>
      </c>
      <c r="F5269" s="3" t="s">
        <v>38</v>
      </c>
      <c r="G5269" s="3" t="s">
        <v>20</v>
      </c>
      <c r="H5269" s="2" t="s">
        <v>21</v>
      </c>
      <c r="I5269" s="2" t="s">
        <v>10725</v>
      </c>
      <c r="J5269" s="3" t="str">
        <f>HYPERLINK("https://www.boe.es/gazeta/dias/1823/08/01/pdfs/GES-1823-113.pdf#page=4","Abrir facsímil")</f>
        <v>Abrir facsímil</v>
      </c>
      <c r="K5269" s="3" t="s">
        <v>23</v>
      </c>
    </row>
    <row r="5270" spans="1:11" ht="42" customHeight="1">
      <c r="A5270" s="2" t="s">
        <v>10726</v>
      </c>
      <c r="B5270" s="2" t="s">
        <v>10726</v>
      </c>
      <c r="C5270" s="2" t="s">
        <v>79</v>
      </c>
      <c r="D5270" s="2" t="s">
        <v>74</v>
      </c>
      <c r="E5270" s="5">
        <v>-27986</v>
      </c>
      <c r="F5270" s="3" t="s">
        <v>75</v>
      </c>
      <c r="G5270" s="3" t="s">
        <v>20</v>
      </c>
      <c r="H5270" s="2" t="s">
        <v>21</v>
      </c>
      <c r="I5270" s="2" t="s">
        <v>10727</v>
      </c>
      <c r="J5270" s="3" t="str">
        <f>HYPERLINK("https://www.boe.es/gazeta/dias/1823/05/17/pdfs/GES-1823-37.pdf#page=4","Abrir facsímil")</f>
        <v>Abrir facsímil</v>
      </c>
      <c r="K5270" s="3" t="s">
        <v>23</v>
      </c>
    </row>
    <row r="5271" spans="1:11" ht="42" customHeight="1">
      <c r="A5271" s="2" t="s">
        <v>10728</v>
      </c>
      <c r="B5271" s="2" t="s">
        <v>10728</v>
      </c>
      <c r="C5271" s="2" t="s">
        <v>17</v>
      </c>
      <c r="D5271" s="2" t="s">
        <v>18</v>
      </c>
      <c r="E5271" s="5">
        <v>-27923</v>
      </c>
      <c r="F5271" s="3" t="s">
        <v>1225</v>
      </c>
      <c r="G5271" s="3" t="s">
        <v>48</v>
      </c>
      <c r="H5271" s="2" t="s">
        <v>21</v>
      </c>
      <c r="I5271" s="2" t="s">
        <v>10729</v>
      </c>
      <c r="J5271" s="3" t="str">
        <f>HYPERLINK("https://www.boe.es/gazeta/dias/1823/07/19/pdfs/GMD-1823-433.pdf#page=3","Abrir facsímil")</f>
        <v>Abrir facsímil</v>
      </c>
      <c r="K5271" s="3" t="s">
        <v>23</v>
      </c>
    </row>
    <row r="5272" spans="1:11" ht="42" customHeight="1">
      <c r="A5272" s="2" t="s">
        <v>10730</v>
      </c>
      <c r="B5272" s="2" t="s">
        <v>10730</v>
      </c>
      <c r="C5272" s="2" t="s">
        <v>56</v>
      </c>
      <c r="D5272" s="2" t="s">
        <v>57</v>
      </c>
      <c r="E5272" s="5">
        <v>-28076</v>
      </c>
      <c r="F5272" s="3" t="s">
        <v>1638</v>
      </c>
      <c r="G5272" s="3" t="s">
        <v>39</v>
      </c>
      <c r="H5272" s="2" t="s">
        <v>21</v>
      </c>
      <c r="I5272" s="2" t="s">
        <v>10731</v>
      </c>
      <c r="J5272" s="3" t="str">
        <f>HYPERLINK("https://www.boe.es/gazeta/dias/1823/02/16/pdfs/GMD-1823-50.pdf#page=1","Abrir facsímil")</f>
        <v>Abrir facsímil</v>
      </c>
      <c r="K5272" s="3" t="s">
        <v>23</v>
      </c>
    </row>
    <row r="5273" spans="1:11" ht="42" customHeight="1">
      <c r="A5273" s="2" t="s">
        <v>10732</v>
      </c>
      <c r="B5273" s="2" t="s">
        <v>10733</v>
      </c>
      <c r="C5273" s="2" t="s">
        <v>17</v>
      </c>
      <c r="D5273" s="2" t="s">
        <v>18</v>
      </c>
      <c r="E5273" s="5">
        <v>-27909</v>
      </c>
      <c r="F5273" s="3" t="s">
        <v>948</v>
      </c>
      <c r="G5273" s="3" t="s">
        <v>20</v>
      </c>
      <c r="H5273" s="2" t="s">
        <v>21</v>
      </c>
      <c r="I5273" s="2" t="s">
        <v>10734</v>
      </c>
      <c r="J5273" s="3" t="str">
        <f>HYPERLINK("https://www.boe.es/gazeta/dias/1823/08/02/pdfs/GES-1823-114.pdf#page=4","Abrir facsímil")</f>
        <v>Abrir facsímil</v>
      </c>
      <c r="K5273" s="3" t="s">
        <v>23</v>
      </c>
    </row>
    <row r="5274" spans="1:11" ht="42" customHeight="1">
      <c r="A5274" s="2" t="s">
        <v>10735</v>
      </c>
      <c r="B5274" s="2" t="s">
        <v>10736</v>
      </c>
      <c r="C5274" s="2" t="s">
        <v>79</v>
      </c>
      <c r="D5274" s="2" t="s">
        <v>74</v>
      </c>
      <c r="E5274" s="5">
        <v>-27870</v>
      </c>
      <c r="F5274" s="3" t="s">
        <v>376</v>
      </c>
      <c r="G5274" s="3" t="s">
        <v>20</v>
      </c>
      <c r="H5274" s="2" t="s">
        <v>21</v>
      </c>
      <c r="I5274" s="2" t="s">
        <v>10737</v>
      </c>
      <c r="J5274" s="3" t="str">
        <f>HYPERLINK("https://www.boe.es/gazeta/dias/1823/09/10/pdfs/GES-1823-154.pdf#page=4","Abrir facsímil")</f>
        <v>Abrir facsímil</v>
      </c>
      <c r="K5274" s="3" t="s">
        <v>23</v>
      </c>
    </row>
    <row r="5275" spans="1:11" ht="42" customHeight="1">
      <c r="A5275" s="2" t="s">
        <v>10738</v>
      </c>
      <c r="B5275" s="2" t="s">
        <v>10739</v>
      </c>
      <c r="C5275" s="2" t="s">
        <v>73</v>
      </c>
      <c r="D5275" s="2" t="s">
        <v>74</v>
      </c>
      <c r="E5275" s="5">
        <v>-27888</v>
      </c>
      <c r="F5275" s="3" t="s">
        <v>232</v>
      </c>
      <c r="G5275" s="3" t="s">
        <v>27</v>
      </c>
      <c r="H5275" s="2" t="s">
        <v>21</v>
      </c>
      <c r="I5275" s="2" t="s">
        <v>10740</v>
      </c>
      <c r="J5275" s="3" t="str">
        <f>HYPERLINK("https://www.boe.es/gazeta/dias/1823/08/23/pdfs/GMD-1823-633.pdf#page=2","Abrir facsímil")</f>
        <v>Abrir facsímil</v>
      </c>
      <c r="K5275" s="3" t="s">
        <v>23</v>
      </c>
    </row>
    <row r="5276" spans="1:11" ht="42" customHeight="1">
      <c r="A5276" s="2" t="s">
        <v>10741</v>
      </c>
      <c r="B5276" s="2" t="s">
        <v>10742</v>
      </c>
      <c r="C5276" s="2" t="s">
        <v>17</v>
      </c>
      <c r="D5276" s="2" t="s">
        <v>18</v>
      </c>
      <c r="E5276" s="5">
        <v>-28097</v>
      </c>
      <c r="F5276" s="3" t="s">
        <v>1368</v>
      </c>
      <c r="G5276" s="3" t="s">
        <v>48</v>
      </c>
      <c r="H5276" s="2" t="s">
        <v>21</v>
      </c>
      <c r="I5276" s="2" t="s">
        <v>10743</v>
      </c>
      <c r="J5276" s="3" t="str">
        <f>HYPERLINK("https://www.boe.es/gazeta/dias/1823/01/26/pdfs/GMD-1823-27.pdf#page=3","Abrir facsímil")</f>
        <v>Abrir facsímil</v>
      </c>
      <c r="K5276" s="3" t="s">
        <v>23</v>
      </c>
    </row>
    <row r="5277" spans="1:11" ht="42" customHeight="1">
      <c r="A5277" s="2" t="s">
        <v>10744</v>
      </c>
      <c r="B5277" s="2" t="s">
        <v>10744</v>
      </c>
      <c r="C5277" s="2" t="s">
        <v>293</v>
      </c>
      <c r="D5277" s="2" t="s">
        <v>74</v>
      </c>
      <c r="E5277" s="5">
        <v>-27785</v>
      </c>
      <c r="F5277" s="3" t="s">
        <v>1397</v>
      </c>
      <c r="G5277" s="3" t="s">
        <v>20</v>
      </c>
      <c r="H5277" s="2" t="s">
        <v>21</v>
      </c>
      <c r="I5277" s="2" t="s">
        <v>10745</v>
      </c>
      <c r="J5277" s="3" t="str">
        <f>HYPERLINK("https://www.boe.es/gazeta/dias/1823/12/04/pdfs/GMD-1823-1203.pdf#page=4","Abrir facsímil")</f>
        <v>Abrir facsímil</v>
      </c>
      <c r="K5277" s="3" t="s">
        <v>23</v>
      </c>
    </row>
    <row r="5278" spans="1:11" ht="42" customHeight="1">
      <c r="A5278" s="2" t="s">
        <v>10746</v>
      </c>
      <c r="B5278" s="2" t="s">
        <v>10746</v>
      </c>
      <c r="C5278" s="2" t="s">
        <v>79</v>
      </c>
      <c r="D5278" s="2" t="s">
        <v>74</v>
      </c>
      <c r="E5278" s="5">
        <v>-27946</v>
      </c>
      <c r="F5278" s="3" t="s">
        <v>2146</v>
      </c>
      <c r="G5278" s="3" t="s">
        <v>39</v>
      </c>
      <c r="H5278" s="2" t="s">
        <v>21</v>
      </c>
      <c r="I5278" s="2" t="s">
        <v>10747</v>
      </c>
      <c r="J5278" s="3" t="str">
        <f>HYPERLINK("https://www.boe.es/gazeta/dias/1823/06/26/pdfs/GES-1823-76.pdf#page=1","Abrir facsímil")</f>
        <v>Abrir facsímil</v>
      </c>
      <c r="K5278" s="3" t="s">
        <v>23</v>
      </c>
    </row>
    <row r="5279" spans="1:11" ht="42" customHeight="1">
      <c r="A5279" s="2" t="s">
        <v>10748</v>
      </c>
      <c r="B5279" s="2" t="s">
        <v>10748</v>
      </c>
      <c r="C5279" s="2" t="s">
        <v>17</v>
      </c>
      <c r="D5279" s="2" t="s">
        <v>18</v>
      </c>
      <c r="E5279" s="5">
        <v>-28091</v>
      </c>
      <c r="F5279" s="3" t="s">
        <v>1047</v>
      </c>
      <c r="G5279" s="3" t="s">
        <v>27</v>
      </c>
      <c r="H5279" s="2" t="s">
        <v>21</v>
      </c>
      <c r="I5279" s="2" t="s">
        <v>10749</v>
      </c>
      <c r="J5279" s="3" t="str">
        <f>HYPERLINK("https://www.boe.es/gazeta/dias/1823/02/01/pdfs/GMD-1823-34.pdf#page=2","Abrir facsímil")</f>
        <v>Abrir facsímil</v>
      </c>
      <c r="K5279" s="3" t="s">
        <v>23</v>
      </c>
    </row>
    <row r="5280" spans="1:11" ht="42" customHeight="1">
      <c r="A5280" s="2" t="s">
        <v>10750</v>
      </c>
      <c r="B5280" s="2" t="s">
        <v>10750</v>
      </c>
      <c r="C5280" s="2" t="s">
        <v>17</v>
      </c>
      <c r="D5280" s="2" t="s">
        <v>18</v>
      </c>
      <c r="E5280" s="5">
        <v>-28107</v>
      </c>
      <c r="F5280" s="3" t="s">
        <v>278</v>
      </c>
      <c r="G5280" s="3" t="s">
        <v>34</v>
      </c>
      <c r="H5280" s="2" t="s">
        <v>21</v>
      </c>
      <c r="I5280" s="2" t="s">
        <v>10751</v>
      </c>
      <c r="J5280" s="3" t="str">
        <f>HYPERLINK("https://www.boe.es/gazeta/dias/1823/01/16/pdfs/GMD-1823-16.pdf#page=5","Abrir facsímil")</f>
        <v>Abrir facsímil</v>
      </c>
      <c r="K5280" s="3" t="s">
        <v>23</v>
      </c>
    </row>
    <row r="5281" spans="1:11" ht="42" customHeight="1">
      <c r="A5281" s="2" t="s">
        <v>10750</v>
      </c>
      <c r="B5281" s="2" t="s">
        <v>10750</v>
      </c>
      <c r="C5281" s="2" t="s">
        <v>17</v>
      </c>
      <c r="D5281" s="2" t="s">
        <v>18</v>
      </c>
      <c r="E5281" s="5">
        <v>-28061</v>
      </c>
      <c r="F5281" s="3" t="s">
        <v>704</v>
      </c>
      <c r="G5281" s="3" t="s">
        <v>20</v>
      </c>
      <c r="H5281" s="2" t="s">
        <v>21</v>
      </c>
      <c r="I5281" s="2" t="s">
        <v>10752</v>
      </c>
      <c r="J5281" s="3" t="str">
        <f>HYPERLINK("https://www.boe.es/gazeta/dias/1823/03/03/pdfs/GMD-1823-66.pdf#page=4","Abrir facsímil")</f>
        <v>Abrir facsímil</v>
      </c>
      <c r="K5281" s="3" t="s">
        <v>23</v>
      </c>
    </row>
    <row r="5282" spans="1:11" ht="42" customHeight="1">
      <c r="A5282" s="2" t="s">
        <v>10750</v>
      </c>
      <c r="B5282" s="2" t="s">
        <v>10750</v>
      </c>
      <c r="C5282" s="2" t="s">
        <v>79</v>
      </c>
      <c r="D5282" s="2" t="s">
        <v>74</v>
      </c>
      <c r="E5282" s="5">
        <v>-28035</v>
      </c>
      <c r="F5282" s="3" t="s">
        <v>138</v>
      </c>
      <c r="G5282" s="3" t="s">
        <v>20</v>
      </c>
      <c r="H5282" s="2" t="s">
        <v>21</v>
      </c>
      <c r="I5282" s="2" t="s">
        <v>10753</v>
      </c>
      <c r="J5282" s="3" t="str">
        <f>HYPERLINK("https://www.boe.es/gazeta/dias/1823/03/29/pdfs/GMD-1823-92.pdf#page=4","Abrir facsímil")</f>
        <v>Abrir facsímil</v>
      </c>
      <c r="K5282" s="3" t="s">
        <v>23</v>
      </c>
    </row>
    <row r="5283" spans="1:11" ht="42" customHeight="1">
      <c r="A5283" s="2" t="s">
        <v>10754</v>
      </c>
      <c r="B5283" s="2" t="s">
        <v>10755</v>
      </c>
      <c r="C5283" s="2" t="s">
        <v>17</v>
      </c>
      <c r="D5283" s="2" t="s">
        <v>18</v>
      </c>
      <c r="E5283" s="5">
        <v>-27857</v>
      </c>
      <c r="F5283" s="3" t="s">
        <v>378</v>
      </c>
      <c r="G5283" s="3" t="s">
        <v>48</v>
      </c>
      <c r="H5283" s="2" t="s">
        <v>21</v>
      </c>
      <c r="I5283" s="2" t="s">
        <v>10756</v>
      </c>
      <c r="J5283" s="3" t="str">
        <f>HYPERLINK("https://www.boe.es/gazeta/dias/1823/09/23/pdfs/GMD-1823-833.pdf#page=3","Abrir facsímil")</f>
        <v>Abrir facsímil</v>
      </c>
      <c r="K5283" s="3" t="s">
        <v>23</v>
      </c>
    </row>
    <row r="5284" spans="1:11" ht="42" customHeight="1">
      <c r="A5284" s="2" t="s">
        <v>10754</v>
      </c>
      <c r="B5284" s="2" t="s">
        <v>10755</v>
      </c>
      <c r="C5284" s="2" t="s">
        <v>17</v>
      </c>
      <c r="D5284" s="2" t="s">
        <v>18</v>
      </c>
      <c r="E5284" s="5">
        <v>-27822</v>
      </c>
      <c r="F5284" s="3" t="s">
        <v>992</v>
      </c>
      <c r="G5284" s="3" t="s">
        <v>48</v>
      </c>
      <c r="H5284" s="2" t="s">
        <v>21</v>
      </c>
      <c r="I5284" s="2" t="s">
        <v>10757</v>
      </c>
      <c r="J5284" s="3" t="str">
        <f>HYPERLINK("https://www.boe.es/gazeta/dias/1823/10/28/pdfs/GMD-1823-1033.pdf#page=3","Abrir facsímil")</f>
        <v>Abrir facsímil</v>
      </c>
      <c r="K5284" s="3" t="s">
        <v>23</v>
      </c>
    </row>
    <row r="5285" spans="1:11" ht="42" customHeight="1">
      <c r="A5285" s="2" t="s">
        <v>10754</v>
      </c>
      <c r="B5285" s="2" t="s">
        <v>10755</v>
      </c>
      <c r="C5285" s="2" t="s">
        <v>17</v>
      </c>
      <c r="D5285" s="2" t="s">
        <v>18</v>
      </c>
      <c r="E5285" s="5">
        <v>-27801</v>
      </c>
      <c r="F5285" s="3" t="s">
        <v>800</v>
      </c>
      <c r="G5285" s="3" t="s">
        <v>48</v>
      </c>
      <c r="H5285" s="2" t="s">
        <v>21</v>
      </c>
      <c r="I5285" s="2" t="s">
        <v>10758</v>
      </c>
      <c r="J5285" s="3" t="str">
        <f>HYPERLINK("https://www.boe.es/gazeta/dias/1823/11/18/pdfs/GMD-1823-1133.pdf#page=3","Abrir facsímil")</f>
        <v>Abrir facsímil</v>
      </c>
      <c r="K5285" s="3" t="s">
        <v>23</v>
      </c>
    </row>
    <row r="5286" spans="1:11" ht="42" customHeight="1">
      <c r="A5286" s="2" t="s">
        <v>10754</v>
      </c>
      <c r="B5286" s="2" t="s">
        <v>10755</v>
      </c>
      <c r="C5286" s="2" t="s">
        <v>17</v>
      </c>
      <c r="D5286" s="2" t="s">
        <v>18</v>
      </c>
      <c r="E5286" s="5">
        <v>-27759</v>
      </c>
      <c r="F5286" s="3" t="s">
        <v>415</v>
      </c>
      <c r="G5286" s="3" t="s">
        <v>39</v>
      </c>
      <c r="H5286" s="2" t="s">
        <v>21</v>
      </c>
      <c r="I5286" s="2" t="s">
        <v>10759</v>
      </c>
      <c r="J5286" s="3" t="str">
        <f>HYPERLINK("https://www.boe.es/gazeta/dias/1823/12/30/pdfs/GMD-1823-1313.pdf#page=1","Abrir facsímil")</f>
        <v>Abrir facsímil</v>
      </c>
      <c r="K5286" s="3" t="s">
        <v>23</v>
      </c>
    </row>
    <row r="5287" spans="1:11" ht="42" customHeight="1">
      <c r="A5287" s="2" t="s">
        <v>10760</v>
      </c>
      <c r="B5287" s="2" t="s">
        <v>10760</v>
      </c>
      <c r="C5287" s="2" t="s">
        <v>73</v>
      </c>
      <c r="D5287" s="2" t="s">
        <v>74</v>
      </c>
      <c r="E5287" s="5">
        <v>-28120</v>
      </c>
      <c r="F5287" s="3" t="s">
        <v>2772</v>
      </c>
      <c r="G5287" s="3" t="s">
        <v>3108</v>
      </c>
      <c r="H5287" s="2" t="s">
        <v>21</v>
      </c>
      <c r="I5287" s="2" t="s">
        <v>10761</v>
      </c>
      <c r="J5287" s="3" t="str">
        <f>HYPERLINK("https://www.boe.es/gazeta/dias/1823/01/03/pdfs/GMD-1823-3.pdf#page=3","Abrir facsímil")</f>
        <v>Abrir facsímil</v>
      </c>
      <c r="K5287" s="3" t="s">
        <v>23</v>
      </c>
    </row>
    <row r="5288" spans="1:11" ht="42" customHeight="1">
      <c r="A5288" s="2" t="s">
        <v>10760</v>
      </c>
      <c r="B5288" s="2" t="s">
        <v>10760</v>
      </c>
      <c r="C5288" s="2" t="s">
        <v>79</v>
      </c>
      <c r="D5288" s="2" t="s">
        <v>74</v>
      </c>
      <c r="E5288" s="5">
        <v>-28119</v>
      </c>
      <c r="F5288" s="3" t="s">
        <v>545</v>
      </c>
      <c r="G5288" s="3" t="s">
        <v>48</v>
      </c>
      <c r="H5288" s="2" t="s">
        <v>21</v>
      </c>
      <c r="I5288" s="2" t="s">
        <v>10762</v>
      </c>
      <c r="J5288" s="3" t="str">
        <f>HYPERLINK("https://www.boe.es/gazeta/dias/1823/01/04/pdfs/GMD-1823-4.pdf#page=3","Abrir facsímil")</f>
        <v>Abrir facsímil</v>
      </c>
      <c r="K5288" s="3" t="s">
        <v>23</v>
      </c>
    </row>
    <row r="5289" spans="1:11" ht="42" customHeight="1">
      <c r="A5289" s="2" t="s">
        <v>10760</v>
      </c>
      <c r="B5289" s="2" t="s">
        <v>10760</v>
      </c>
      <c r="C5289" s="2" t="s">
        <v>109</v>
      </c>
      <c r="D5289" s="2" t="s">
        <v>74</v>
      </c>
      <c r="E5289" s="5">
        <v>-28119</v>
      </c>
      <c r="F5289" s="3" t="s">
        <v>545</v>
      </c>
      <c r="G5289" s="3" t="s">
        <v>20</v>
      </c>
      <c r="H5289" s="2" t="s">
        <v>21</v>
      </c>
      <c r="I5289" s="2" t="s">
        <v>10763</v>
      </c>
      <c r="J5289" s="3" t="str">
        <f>HYPERLINK("https://www.boe.es/gazeta/dias/1823/01/04/pdfs/GMD-1823-4.pdf#page=4","Abrir facsímil")</f>
        <v>Abrir facsímil</v>
      </c>
      <c r="K5289" s="3" t="s">
        <v>23</v>
      </c>
    </row>
    <row r="5290" spans="1:11" ht="42" customHeight="1">
      <c r="A5290" s="2" t="s">
        <v>10760</v>
      </c>
      <c r="B5290" s="2" t="s">
        <v>10760</v>
      </c>
      <c r="C5290" s="2" t="s">
        <v>17</v>
      </c>
      <c r="D5290" s="2" t="s">
        <v>18</v>
      </c>
      <c r="E5290" s="5">
        <v>-28112</v>
      </c>
      <c r="F5290" s="3" t="s">
        <v>43</v>
      </c>
      <c r="G5290" s="3" t="s">
        <v>27</v>
      </c>
      <c r="H5290" s="2" t="s">
        <v>21</v>
      </c>
      <c r="I5290" s="2" t="s">
        <v>10764</v>
      </c>
      <c r="J5290" s="3" t="str">
        <f>HYPERLINK("https://www.boe.es/gazeta/dias/1823/01/11/pdfs/GMD-1823-11.pdf#page=2","Abrir facsímil")</f>
        <v>Abrir facsímil</v>
      </c>
      <c r="K5290" s="3" t="s">
        <v>23</v>
      </c>
    </row>
    <row r="5291" spans="1:11" ht="42" customHeight="1">
      <c r="A5291" s="2" t="s">
        <v>10760</v>
      </c>
      <c r="B5291" s="2" t="s">
        <v>10760</v>
      </c>
      <c r="C5291" s="2" t="s">
        <v>109</v>
      </c>
      <c r="D5291" s="2" t="s">
        <v>74</v>
      </c>
      <c r="E5291" s="5">
        <v>-28110</v>
      </c>
      <c r="F5291" s="3" t="s">
        <v>249</v>
      </c>
      <c r="G5291" s="3" t="s">
        <v>39</v>
      </c>
      <c r="H5291" s="2" t="s">
        <v>21</v>
      </c>
      <c r="I5291" s="2" t="s">
        <v>10765</v>
      </c>
      <c r="J5291" s="3" t="str">
        <f>HYPERLINK("https://www.boe.es/gazeta/dias/1823/01/13/pdfs/GMD-1823-13.pdf#page=1","Abrir facsímil")</f>
        <v>Abrir facsímil</v>
      </c>
      <c r="K5291" s="3" t="s">
        <v>23</v>
      </c>
    </row>
    <row r="5292" spans="1:11" ht="42" customHeight="1">
      <c r="A5292" s="2" t="s">
        <v>10760</v>
      </c>
      <c r="B5292" s="2" t="s">
        <v>10760</v>
      </c>
      <c r="C5292" s="2" t="s">
        <v>79</v>
      </c>
      <c r="D5292" s="2" t="s">
        <v>74</v>
      </c>
      <c r="E5292" s="5">
        <v>-28109</v>
      </c>
      <c r="F5292" s="3" t="s">
        <v>889</v>
      </c>
      <c r="G5292" s="3" t="s">
        <v>27</v>
      </c>
      <c r="H5292" s="2" t="s">
        <v>21</v>
      </c>
      <c r="I5292" s="2" t="s">
        <v>10766</v>
      </c>
      <c r="J5292" s="3" t="str">
        <f>HYPERLINK("https://www.boe.es/gazeta/dias/1823/01/14/pdfs/GMD-1823-14.pdf#page=2","Abrir facsímil")</f>
        <v>Abrir facsímil</v>
      </c>
      <c r="K5292" s="3" t="s">
        <v>23</v>
      </c>
    </row>
    <row r="5293" spans="1:11" ht="42" customHeight="1">
      <c r="A5293" s="2" t="s">
        <v>10760</v>
      </c>
      <c r="B5293" s="2" t="s">
        <v>10760</v>
      </c>
      <c r="C5293" s="2" t="s">
        <v>84</v>
      </c>
      <c r="D5293" s="2" t="s">
        <v>74</v>
      </c>
      <c r="E5293" s="5">
        <v>-28108</v>
      </c>
      <c r="F5293" s="3" t="s">
        <v>406</v>
      </c>
      <c r="G5293" s="3" t="s">
        <v>1710</v>
      </c>
      <c r="H5293" s="2" t="s">
        <v>21</v>
      </c>
      <c r="I5293" s="2" t="s">
        <v>10767</v>
      </c>
      <c r="J5293" s="3" t="str">
        <f>HYPERLINK("https://www.boe.es/gazeta/dias/1823/01/15/pdfs/GMD-1823-15.pdf#page=3","Abrir facsímil")</f>
        <v>Abrir facsímil</v>
      </c>
      <c r="K5293" s="3" t="s">
        <v>23</v>
      </c>
    </row>
    <row r="5294" spans="1:11" ht="42" customHeight="1">
      <c r="A5294" s="2" t="s">
        <v>10760</v>
      </c>
      <c r="B5294" s="2" t="s">
        <v>10760</v>
      </c>
      <c r="C5294" s="2" t="s">
        <v>109</v>
      </c>
      <c r="D5294" s="2" t="s">
        <v>74</v>
      </c>
      <c r="E5294" s="5">
        <v>-28107</v>
      </c>
      <c r="F5294" s="3" t="s">
        <v>278</v>
      </c>
      <c r="G5294" s="3" t="s">
        <v>48</v>
      </c>
      <c r="H5294" s="2" t="s">
        <v>21</v>
      </c>
      <c r="I5294" s="2" t="s">
        <v>10768</v>
      </c>
      <c r="J5294" s="3" t="str">
        <f>HYPERLINK("https://www.boe.es/gazeta/dias/1823/01/16/pdfs/GMD-1823-16.pdf#page=3","Abrir facsímil")</f>
        <v>Abrir facsímil</v>
      </c>
      <c r="K5294" s="3" t="s">
        <v>23</v>
      </c>
    </row>
    <row r="5295" spans="1:11" ht="42" customHeight="1">
      <c r="A5295" s="2" t="s">
        <v>10760</v>
      </c>
      <c r="B5295" s="2" t="s">
        <v>10760</v>
      </c>
      <c r="C5295" s="2" t="s">
        <v>109</v>
      </c>
      <c r="D5295" s="2" t="s">
        <v>74</v>
      </c>
      <c r="E5295" s="5">
        <v>-28106</v>
      </c>
      <c r="F5295" s="3" t="s">
        <v>280</v>
      </c>
      <c r="G5295" s="3" t="s">
        <v>281</v>
      </c>
      <c r="H5295" s="2" t="s">
        <v>21</v>
      </c>
      <c r="I5295" s="2" t="s">
        <v>10769</v>
      </c>
      <c r="J5295" s="3" t="str">
        <f>HYPERLINK("https://www.boe.es/gazeta/dias/1823/01/17/pdfs/GMD-1823-17.pdf#page=2","Abrir facsímil")</f>
        <v>Abrir facsímil</v>
      </c>
      <c r="K5295" s="3" t="s">
        <v>23</v>
      </c>
    </row>
    <row r="5296" spans="1:11" ht="42" customHeight="1">
      <c r="A5296" s="2" t="s">
        <v>10760</v>
      </c>
      <c r="B5296" s="2" t="s">
        <v>10760</v>
      </c>
      <c r="C5296" s="2" t="s">
        <v>56</v>
      </c>
      <c r="D5296" s="2" t="s">
        <v>57</v>
      </c>
      <c r="E5296" s="5">
        <v>-28106</v>
      </c>
      <c r="F5296" s="3" t="s">
        <v>280</v>
      </c>
      <c r="G5296" s="3" t="s">
        <v>48</v>
      </c>
      <c r="H5296" s="2" t="s">
        <v>21</v>
      </c>
      <c r="I5296" s="2" t="s">
        <v>10770</v>
      </c>
      <c r="J5296" s="3" t="str">
        <f>HYPERLINK("https://www.boe.es/gazeta/dias/1823/01/17/pdfs/GMD-1823-17.pdf#page=3","Abrir facsímil")</f>
        <v>Abrir facsímil</v>
      </c>
      <c r="K5296" s="3" t="s">
        <v>23</v>
      </c>
    </row>
    <row r="5297" spans="1:11" ht="42" customHeight="1">
      <c r="A5297" s="2" t="s">
        <v>10760</v>
      </c>
      <c r="B5297" s="2" t="s">
        <v>10760</v>
      </c>
      <c r="C5297" s="2" t="s">
        <v>17</v>
      </c>
      <c r="D5297" s="2" t="s">
        <v>18</v>
      </c>
      <c r="E5297" s="5">
        <v>-28104</v>
      </c>
      <c r="F5297" s="3" t="s">
        <v>114</v>
      </c>
      <c r="G5297" s="3" t="s">
        <v>39</v>
      </c>
      <c r="H5297" s="2" t="s">
        <v>21</v>
      </c>
      <c r="I5297" s="2" t="s">
        <v>10771</v>
      </c>
      <c r="J5297" s="3" t="str">
        <f>HYPERLINK("https://www.boe.es/gazeta/dias/1823/01/19/pdfs/GMD-1823-19.pdf#page=1","Abrir facsímil")</f>
        <v>Abrir facsímil</v>
      </c>
      <c r="K5297" s="3" t="s">
        <v>23</v>
      </c>
    </row>
    <row r="5298" spans="1:11" ht="42" customHeight="1">
      <c r="A5298" s="2" t="s">
        <v>10760</v>
      </c>
      <c r="B5298" s="2" t="s">
        <v>10760</v>
      </c>
      <c r="C5298" s="2" t="s">
        <v>56</v>
      </c>
      <c r="D5298" s="2" t="s">
        <v>57</v>
      </c>
      <c r="E5298" s="5">
        <v>-28104</v>
      </c>
      <c r="F5298" s="3" t="s">
        <v>114</v>
      </c>
      <c r="G5298" s="3" t="s">
        <v>27</v>
      </c>
      <c r="H5298" s="2" t="s">
        <v>21</v>
      </c>
      <c r="I5298" s="2" t="s">
        <v>10772</v>
      </c>
      <c r="J5298" s="3" t="str">
        <f>HYPERLINK("https://www.boe.es/gazeta/dias/1823/01/19/pdfs/GMD-1823-19.pdf#page=2","Abrir facsímil")</f>
        <v>Abrir facsímil</v>
      </c>
      <c r="K5298" s="3" t="s">
        <v>23</v>
      </c>
    </row>
    <row r="5299" spans="1:11" ht="42" customHeight="1">
      <c r="A5299" s="2" t="s">
        <v>10760</v>
      </c>
      <c r="B5299" s="2" t="s">
        <v>10760</v>
      </c>
      <c r="C5299" s="2" t="s">
        <v>17</v>
      </c>
      <c r="D5299" s="2" t="s">
        <v>18</v>
      </c>
      <c r="E5299" s="5">
        <v>-28099</v>
      </c>
      <c r="F5299" s="3" t="s">
        <v>1689</v>
      </c>
      <c r="G5299" s="3" t="s">
        <v>39</v>
      </c>
      <c r="H5299" s="2" t="s">
        <v>21</v>
      </c>
      <c r="I5299" s="2" t="s">
        <v>10773</v>
      </c>
      <c r="J5299" s="3" t="str">
        <f>HYPERLINK("https://www.boe.es/gazeta/dias/1823/01/24/pdfs/GMD-1823-25.pdf#page=1","Abrir facsímil")</f>
        <v>Abrir facsímil</v>
      </c>
      <c r="K5299" s="3" t="s">
        <v>23</v>
      </c>
    </row>
    <row r="5300" spans="1:11" ht="42" customHeight="1">
      <c r="A5300" s="2" t="s">
        <v>10760</v>
      </c>
      <c r="B5300" s="2" t="s">
        <v>10760</v>
      </c>
      <c r="C5300" s="2" t="s">
        <v>56</v>
      </c>
      <c r="D5300" s="2" t="s">
        <v>57</v>
      </c>
      <c r="E5300" s="5">
        <v>-28098</v>
      </c>
      <c r="F5300" s="3" t="s">
        <v>1101</v>
      </c>
      <c r="G5300" s="3" t="s">
        <v>48</v>
      </c>
      <c r="H5300" s="2" t="s">
        <v>21</v>
      </c>
      <c r="I5300" s="2" t="s">
        <v>10774</v>
      </c>
      <c r="J5300" s="3" t="str">
        <f>HYPERLINK("https://www.boe.es/gazeta/dias/1823/01/25/pdfs/GMD-1823-26.pdf#page=3","Abrir facsímil")</f>
        <v>Abrir facsímil</v>
      </c>
      <c r="K5300" s="3" t="s">
        <v>23</v>
      </c>
    </row>
    <row r="5301" spans="1:11" ht="42" customHeight="1">
      <c r="A5301" s="2" t="s">
        <v>10760</v>
      </c>
      <c r="B5301" s="2" t="s">
        <v>10760</v>
      </c>
      <c r="C5301" s="2" t="s">
        <v>56</v>
      </c>
      <c r="D5301" s="2" t="s">
        <v>57</v>
      </c>
      <c r="E5301" s="5">
        <v>-28094</v>
      </c>
      <c r="F5301" s="3" t="s">
        <v>93</v>
      </c>
      <c r="G5301" s="3" t="s">
        <v>27</v>
      </c>
      <c r="H5301" s="2" t="s">
        <v>21</v>
      </c>
      <c r="I5301" s="2" t="s">
        <v>10775</v>
      </c>
      <c r="J5301" s="3" t="str">
        <f>HYPERLINK("https://www.boe.es/gazeta/dias/1823/01/29/pdfs/GMD-1823-30.pdf#page=2","Abrir facsímil")</f>
        <v>Abrir facsímil</v>
      </c>
      <c r="K5301" s="3" t="s">
        <v>23</v>
      </c>
    </row>
    <row r="5302" spans="1:11" ht="42" customHeight="1">
      <c r="A5302" s="2" t="s">
        <v>10760</v>
      </c>
      <c r="B5302" s="2" t="s">
        <v>10760</v>
      </c>
      <c r="C5302" s="2" t="s">
        <v>17</v>
      </c>
      <c r="D5302" s="2" t="s">
        <v>18</v>
      </c>
      <c r="E5302" s="5">
        <v>-28089</v>
      </c>
      <c r="F5302" s="3" t="s">
        <v>1979</v>
      </c>
      <c r="G5302" s="3" t="s">
        <v>27</v>
      </c>
      <c r="H5302" s="2" t="s">
        <v>21</v>
      </c>
      <c r="I5302" s="2" t="s">
        <v>10776</v>
      </c>
      <c r="J5302" s="3" t="str">
        <f>HYPERLINK("https://www.boe.es/gazeta/dias/1823/02/03/pdfs/GMD-1823-36.pdf#page=2","Abrir facsímil")</f>
        <v>Abrir facsímil</v>
      </c>
      <c r="K5302" s="3" t="s">
        <v>23</v>
      </c>
    </row>
    <row r="5303" spans="1:11" ht="42" customHeight="1">
      <c r="A5303" s="2" t="s">
        <v>10760</v>
      </c>
      <c r="B5303" s="2" t="s">
        <v>10760</v>
      </c>
      <c r="C5303" s="2" t="s">
        <v>17</v>
      </c>
      <c r="D5303" s="2" t="s">
        <v>18</v>
      </c>
      <c r="E5303" s="5">
        <v>-28086</v>
      </c>
      <c r="F5303" s="3" t="s">
        <v>289</v>
      </c>
      <c r="G5303" s="3" t="s">
        <v>39</v>
      </c>
      <c r="H5303" s="2" t="s">
        <v>21</v>
      </c>
      <c r="I5303" s="2" t="s">
        <v>10777</v>
      </c>
      <c r="J5303" s="3" t="str">
        <f>HYPERLINK("https://www.boe.es/gazeta/dias/1823/02/06/pdfs/GMD-1823-39.pdf#page=1","Abrir facsímil")</f>
        <v>Abrir facsímil</v>
      </c>
      <c r="K5303" s="3" t="s">
        <v>23</v>
      </c>
    </row>
    <row r="5304" spans="1:11" ht="42" customHeight="1">
      <c r="A5304" s="2" t="s">
        <v>10760</v>
      </c>
      <c r="B5304" s="2" t="s">
        <v>10760</v>
      </c>
      <c r="C5304" s="2" t="s">
        <v>109</v>
      </c>
      <c r="D5304" s="2" t="s">
        <v>74</v>
      </c>
      <c r="E5304" s="5">
        <v>-28085</v>
      </c>
      <c r="F5304" s="3" t="s">
        <v>458</v>
      </c>
      <c r="G5304" s="3" t="s">
        <v>34</v>
      </c>
      <c r="H5304" s="2" t="s">
        <v>21</v>
      </c>
      <c r="I5304" s="2" t="s">
        <v>10778</v>
      </c>
      <c r="J5304" s="3" t="str">
        <f>HYPERLINK("https://www.boe.es/gazeta/dias/1823/02/07/pdfs/GMD-1823-40.pdf#page=5","Abrir facsímil")</f>
        <v>Abrir facsímil</v>
      </c>
      <c r="K5304" s="3" t="s">
        <v>23</v>
      </c>
    </row>
    <row r="5305" spans="1:11" ht="42" customHeight="1">
      <c r="A5305" s="2" t="s">
        <v>10760</v>
      </c>
      <c r="B5305" s="2" t="s">
        <v>10760</v>
      </c>
      <c r="C5305" s="2" t="s">
        <v>17</v>
      </c>
      <c r="D5305" s="2" t="s">
        <v>18</v>
      </c>
      <c r="E5305" s="5">
        <v>-28083</v>
      </c>
      <c r="F5305" s="3" t="s">
        <v>291</v>
      </c>
      <c r="G5305" s="3" t="s">
        <v>39</v>
      </c>
      <c r="H5305" s="2" t="s">
        <v>21</v>
      </c>
      <c r="I5305" s="2" t="s">
        <v>10779</v>
      </c>
      <c r="J5305" s="3" t="str">
        <f>HYPERLINK("https://www.boe.es/gazeta/dias/1823/02/09/pdfs/GMD-1823-43.pdf#page=1","Abrir facsímil")</f>
        <v>Abrir facsímil</v>
      </c>
      <c r="K5305" s="3" t="s">
        <v>23</v>
      </c>
    </row>
    <row r="5306" spans="1:11" ht="42" customHeight="1">
      <c r="A5306" s="2" t="s">
        <v>10760</v>
      </c>
      <c r="B5306" s="2" t="s">
        <v>10760</v>
      </c>
      <c r="C5306" s="2" t="s">
        <v>109</v>
      </c>
      <c r="D5306" s="2" t="s">
        <v>74</v>
      </c>
      <c r="E5306" s="5">
        <v>-28080</v>
      </c>
      <c r="F5306" s="3" t="s">
        <v>1010</v>
      </c>
      <c r="G5306" s="3" t="s">
        <v>27</v>
      </c>
      <c r="H5306" s="2" t="s">
        <v>21</v>
      </c>
      <c r="I5306" s="2" t="s">
        <v>10780</v>
      </c>
      <c r="J5306" s="3" t="str">
        <f>HYPERLINK("https://www.boe.es/gazeta/dias/1823/02/12/pdfs/GMD-1823-46.pdf#page=2","Abrir facsímil")</f>
        <v>Abrir facsímil</v>
      </c>
      <c r="K5306" s="3" t="s">
        <v>23</v>
      </c>
    </row>
    <row r="5307" spans="1:11" ht="42" customHeight="1">
      <c r="A5307" s="2" t="s">
        <v>10760</v>
      </c>
      <c r="B5307" s="2" t="s">
        <v>10760</v>
      </c>
      <c r="C5307" s="2" t="s">
        <v>17</v>
      </c>
      <c r="D5307" s="2" t="s">
        <v>18</v>
      </c>
      <c r="E5307" s="5">
        <v>-28080</v>
      </c>
      <c r="F5307" s="3" t="s">
        <v>1010</v>
      </c>
      <c r="G5307" s="3" t="s">
        <v>48</v>
      </c>
      <c r="H5307" s="2" t="s">
        <v>21</v>
      </c>
      <c r="I5307" s="2" t="s">
        <v>10781</v>
      </c>
      <c r="J5307" s="3" t="str">
        <f>HYPERLINK("https://www.boe.es/gazeta/dias/1823/02/12/pdfs/GMD-1823-46.pdf#page=3","Abrir facsímil")</f>
        <v>Abrir facsímil</v>
      </c>
      <c r="K5307" s="3" t="s">
        <v>23</v>
      </c>
    </row>
    <row r="5308" spans="1:11" ht="42" customHeight="1">
      <c r="A5308" s="2" t="s">
        <v>10760</v>
      </c>
      <c r="B5308" s="2" t="s">
        <v>10760</v>
      </c>
      <c r="C5308" s="2" t="s">
        <v>109</v>
      </c>
      <c r="D5308" s="2" t="s">
        <v>74</v>
      </c>
      <c r="E5308" s="5">
        <v>-28079</v>
      </c>
      <c r="F5308" s="3" t="s">
        <v>178</v>
      </c>
      <c r="G5308" s="3" t="s">
        <v>39</v>
      </c>
      <c r="H5308" s="2" t="s">
        <v>21</v>
      </c>
      <c r="I5308" s="2" t="s">
        <v>10782</v>
      </c>
      <c r="J5308" s="3" t="str">
        <f>HYPERLINK("https://www.boe.es/gazeta/dias/1823/02/13/pdfs/GMD-1823-47.pdf#page=1","Abrir facsímil")</f>
        <v>Abrir facsímil</v>
      </c>
      <c r="K5308" s="3" t="s">
        <v>23</v>
      </c>
    </row>
    <row r="5309" spans="1:11" ht="42" customHeight="1">
      <c r="A5309" s="2" t="s">
        <v>10760</v>
      </c>
      <c r="B5309" s="2" t="s">
        <v>10760</v>
      </c>
      <c r="C5309" s="2" t="s">
        <v>17</v>
      </c>
      <c r="D5309" s="2" t="s">
        <v>18</v>
      </c>
      <c r="E5309" s="5">
        <v>-28078</v>
      </c>
      <c r="F5309" s="3" t="s">
        <v>508</v>
      </c>
      <c r="G5309" s="3" t="s">
        <v>27</v>
      </c>
      <c r="H5309" s="2" t="s">
        <v>21</v>
      </c>
      <c r="I5309" s="2" t="s">
        <v>10783</v>
      </c>
      <c r="J5309" s="3" t="str">
        <f>HYPERLINK("https://www.boe.es/gazeta/dias/1823/02/14/pdfs/GMD-1823-48.pdf#page=2","Abrir facsímil")</f>
        <v>Abrir facsímil</v>
      </c>
      <c r="K5309" s="3" t="s">
        <v>23</v>
      </c>
    </row>
    <row r="5310" spans="1:11" ht="42" customHeight="1">
      <c r="A5310" s="2" t="s">
        <v>10760</v>
      </c>
      <c r="B5310" s="2" t="s">
        <v>10760</v>
      </c>
      <c r="C5310" s="2" t="s">
        <v>109</v>
      </c>
      <c r="D5310" s="2" t="s">
        <v>74</v>
      </c>
      <c r="E5310" s="5">
        <v>-28076</v>
      </c>
      <c r="F5310" s="3" t="s">
        <v>1638</v>
      </c>
      <c r="G5310" s="3" t="s">
        <v>27</v>
      </c>
      <c r="H5310" s="2" t="s">
        <v>21</v>
      </c>
      <c r="I5310" s="2" t="s">
        <v>10784</v>
      </c>
      <c r="J5310" s="3" t="str">
        <f>HYPERLINK("https://www.boe.es/gazeta/dias/1823/02/16/pdfs/GMD-1823-50.pdf#page=2","Abrir facsímil")</f>
        <v>Abrir facsímil</v>
      </c>
      <c r="K5310" s="3" t="s">
        <v>23</v>
      </c>
    </row>
    <row r="5311" spans="1:11" ht="42" customHeight="1">
      <c r="A5311" s="2" t="s">
        <v>10760</v>
      </c>
      <c r="B5311" s="2" t="s">
        <v>10760</v>
      </c>
      <c r="C5311" s="2" t="s">
        <v>79</v>
      </c>
      <c r="D5311" s="2" t="s">
        <v>74</v>
      </c>
      <c r="E5311" s="5">
        <v>-28076</v>
      </c>
      <c r="F5311" s="3" t="s">
        <v>1638</v>
      </c>
      <c r="G5311" s="3" t="s">
        <v>48</v>
      </c>
      <c r="H5311" s="2" t="s">
        <v>21</v>
      </c>
      <c r="I5311" s="2" t="s">
        <v>10785</v>
      </c>
      <c r="J5311" s="3" t="str">
        <f>HYPERLINK("https://www.boe.es/gazeta/dias/1823/02/16/pdfs/GMD-1823-50.pdf#page=3","Abrir facsímil")</f>
        <v>Abrir facsímil</v>
      </c>
      <c r="K5311" s="3" t="s">
        <v>23</v>
      </c>
    </row>
    <row r="5312" spans="1:11" ht="42" customHeight="1">
      <c r="A5312" s="2" t="s">
        <v>10760</v>
      </c>
      <c r="B5312" s="2" t="s">
        <v>10760</v>
      </c>
      <c r="C5312" s="2" t="s">
        <v>17</v>
      </c>
      <c r="D5312" s="2" t="s">
        <v>18</v>
      </c>
      <c r="E5312" s="5">
        <v>-28061</v>
      </c>
      <c r="F5312" s="3" t="s">
        <v>704</v>
      </c>
      <c r="G5312" s="3" t="s">
        <v>20</v>
      </c>
      <c r="H5312" s="2" t="s">
        <v>21</v>
      </c>
      <c r="I5312" s="2" t="s">
        <v>10786</v>
      </c>
      <c r="J5312" s="3" t="str">
        <f>HYPERLINK("https://www.boe.es/gazeta/dias/1823/03/03/pdfs/GMD-1823-66.pdf#page=4","Abrir facsímil")</f>
        <v>Abrir facsímil</v>
      </c>
      <c r="K5312" s="3" t="s">
        <v>23</v>
      </c>
    </row>
    <row r="5313" spans="1:11" ht="42" customHeight="1">
      <c r="A5313" s="2" t="s">
        <v>10760</v>
      </c>
      <c r="B5313" s="2" t="s">
        <v>10760</v>
      </c>
      <c r="C5313" s="2" t="s">
        <v>17</v>
      </c>
      <c r="D5313" s="2" t="s">
        <v>18</v>
      </c>
      <c r="E5313" s="5">
        <v>-28060</v>
      </c>
      <c r="F5313" s="3" t="s">
        <v>180</v>
      </c>
      <c r="G5313" s="3" t="s">
        <v>181</v>
      </c>
      <c r="H5313" s="2" t="s">
        <v>21</v>
      </c>
      <c r="I5313" s="2" t="s">
        <v>10787</v>
      </c>
      <c r="J5313" s="3" t="str">
        <f>HYPERLINK("https://www.boe.es/gazeta/dias/1823/03/04/pdfs/GMD-1823-67.pdf#page=6","Abrir facsímil")</f>
        <v>Abrir facsímil</v>
      </c>
      <c r="K5313" s="3" t="s">
        <v>23</v>
      </c>
    </row>
    <row r="5314" spans="1:11" ht="42" customHeight="1">
      <c r="A5314" s="2" t="s">
        <v>10760</v>
      </c>
      <c r="B5314" s="2" t="s">
        <v>10760</v>
      </c>
      <c r="C5314" s="2" t="s">
        <v>79</v>
      </c>
      <c r="D5314" s="2" t="s">
        <v>74</v>
      </c>
      <c r="E5314" s="5">
        <v>-28056</v>
      </c>
      <c r="F5314" s="3" t="s">
        <v>572</v>
      </c>
      <c r="G5314" s="3" t="s">
        <v>20</v>
      </c>
      <c r="H5314" s="2" t="s">
        <v>21</v>
      </c>
      <c r="I5314" s="2" t="s">
        <v>10788</v>
      </c>
      <c r="J5314" s="3" t="str">
        <f>HYPERLINK("https://www.boe.es/gazeta/dias/1823/03/08/pdfs/GMD-1823-71.pdf#page=4","Abrir facsímil")</f>
        <v>Abrir facsímil</v>
      </c>
      <c r="K5314" s="3" t="s">
        <v>23</v>
      </c>
    </row>
    <row r="5315" spans="1:11" ht="42" customHeight="1">
      <c r="A5315" s="2" t="s">
        <v>10760</v>
      </c>
      <c r="B5315" s="2" t="s">
        <v>10760</v>
      </c>
      <c r="C5315" s="2" t="s">
        <v>79</v>
      </c>
      <c r="D5315" s="2" t="s">
        <v>74</v>
      </c>
      <c r="E5315" s="5">
        <v>-28055</v>
      </c>
      <c r="F5315" s="3" t="s">
        <v>313</v>
      </c>
      <c r="G5315" s="3" t="s">
        <v>27</v>
      </c>
      <c r="H5315" s="2" t="s">
        <v>21</v>
      </c>
      <c r="I5315" s="2" t="s">
        <v>10789</v>
      </c>
      <c r="J5315" s="3" t="str">
        <f>HYPERLINK("https://www.boe.es/gazeta/dias/1823/03/09/pdfs/GMD-1823-72.pdf#page=2","Abrir facsímil")</f>
        <v>Abrir facsímil</v>
      </c>
      <c r="K5315" s="3" t="s">
        <v>23</v>
      </c>
    </row>
    <row r="5316" spans="1:11" ht="42" customHeight="1">
      <c r="A5316" s="2" t="s">
        <v>10760</v>
      </c>
      <c r="B5316" s="2" t="s">
        <v>10760</v>
      </c>
      <c r="C5316" s="2" t="s">
        <v>56</v>
      </c>
      <c r="D5316" s="2" t="s">
        <v>57</v>
      </c>
      <c r="E5316" s="5">
        <v>-28054</v>
      </c>
      <c r="F5316" s="3" t="s">
        <v>1292</v>
      </c>
      <c r="G5316" s="3" t="s">
        <v>27</v>
      </c>
      <c r="H5316" s="2" t="s">
        <v>21</v>
      </c>
      <c r="I5316" s="2" t="s">
        <v>10790</v>
      </c>
      <c r="J5316" s="3" t="str">
        <f>HYPERLINK("https://www.boe.es/gazeta/dias/1823/03/10/pdfs/GMD-1823-73.pdf#page=2","Abrir facsímil")</f>
        <v>Abrir facsímil</v>
      </c>
      <c r="K5316" s="3" t="s">
        <v>23</v>
      </c>
    </row>
    <row r="5317" spans="1:11" ht="42" customHeight="1">
      <c r="A5317" s="2" t="s">
        <v>10760</v>
      </c>
      <c r="B5317" s="2" t="s">
        <v>10760</v>
      </c>
      <c r="C5317" s="2" t="s">
        <v>17</v>
      </c>
      <c r="D5317" s="2" t="s">
        <v>18</v>
      </c>
      <c r="E5317" s="5">
        <v>-28045</v>
      </c>
      <c r="F5317" s="3" t="s">
        <v>245</v>
      </c>
      <c r="G5317" s="3" t="s">
        <v>27</v>
      </c>
      <c r="H5317" s="2" t="s">
        <v>21</v>
      </c>
      <c r="I5317" s="2" t="s">
        <v>10791</v>
      </c>
      <c r="J5317" s="3" t="str">
        <f>HYPERLINK("https://www.boe.es/gazeta/dias/1823/03/19/pdfs/GMD-1823-82.pdf#page=2","Abrir facsímil")</f>
        <v>Abrir facsímil</v>
      </c>
      <c r="K5317" s="3" t="s">
        <v>23</v>
      </c>
    </row>
    <row r="5318" spans="1:11" ht="42" customHeight="1">
      <c r="A5318" s="2" t="s">
        <v>10760</v>
      </c>
      <c r="B5318" s="2" t="s">
        <v>10760</v>
      </c>
      <c r="C5318" s="2" t="s">
        <v>109</v>
      </c>
      <c r="D5318" s="2" t="s">
        <v>74</v>
      </c>
      <c r="E5318" s="5">
        <v>-28038</v>
      </c>
      <c r="F5318" s="3" t="s">
        <v>2379</v>
      </c>
      <c r="G5318" s="3" t="s">
        <v>20</v>
      </c>
      <c r="H5318" s="2" t="s">
        <v>21</v>
      </c>
      <c r="I5318" s="2" t="s">
        <v>10792</v>
      </c>
      <c r="J5318" s="3" t="str">
        <f>HYPERLINK("https://www.boe.es/gazeta/dias/1823/03/26/pdfs/GMD-1823-89.pdf#page=4","Abrir facsímil")</f>
        <v>Abrir facsímil</v>
      </c>
      <c r="K5318" s="3" t="s">
        <v>23</v>
      </c>
    </row>
    <row r="5319" spans="1:11" ht="42" customHeight="1">
      <c r="A5319" s="2" t="s">
        <v>10760</v>
      </c>
      <c r="B5319" s="2" t="s">
        <v>10760</v>
      </c>
      <c r="C5319" s="2" t="s">
        <v>84</v>
      </c>
      <c r="D5319" s="2" t="s">
        <v>74</v>
      </c>
      <c r="E5319" s="5">
        <v>-28037</v>
      </c>
      <c r="F5319" s="3" t="s">
        <v>192</v>
      </c>
      <c r="G5319" s="3" t="s">
        <v>20</v>
      </c>
      <c r="H5319" s="2" t="s">
        <v>21</v>
      </c>
      <c r="I5319" s="2" t="s">
        <v>10793</v>
      </c>
      <c r="J5319" s="3" t="str">
        <f>HYPERLINK("https://www.boe.es/gazeta/dias/1823/03/27/pdfs/GMD-1823-90.pdf#page=4","Abrir facsímil")</f>
        <v>Abrir facsímil</v>
      </c>
      <c r="K5319" s="3" t="s">
        <v>23</v>
      </c>
    </row>
    <row r="5320" spans="1:11" ht="42" customHeight="1">
      <c r="A5320" s="2" t="s">
        <v>10760</v>
      </c>
      <c r="B5320" s="2" t="s">
        <v>10760</v>
      </c>
      <c r="C5320" s="2" t="s">
        <v>56</v>
      </c>
      <c r="D5320" s="2" t="s">
        <v>57</v>
      </c>
      <c r="E5320" s="5">
        <v>-28035</v>
      </c>
      <c r="F5320" s="3" t="s">
        <v>138</v>
      </c>
      <c r="G5320" s="3" t="s">
        <v>20</v>
      </c>
      <c r="H5320" s="2" t="s">
        <v>21</v>
      </c>
      <c r="I5320" s="2" t="s">
        <v>10794</v>
      </c>
      <c r="J5320" s="3" t="str">
        <f>HYPERLINK("https://www.boe.es/gazeta/dias/1823/03/29/pdfs/GMD-1823-92.pdf#page=4","Abrir facsímil")</f>
        <v>Abrir facsímil</v>
      </c>
      <c r="K5320" s="3" t="s">
        <v>23</v>
      </c>
    </row>
    <row r="5321" spans="1:11" ht="42" customHeight="1">
      <c r="A5321" s="2" t="s">
        <v>10760</v>
      </c>
      <c r="B5321" s="2" t="s">
        <v>10760</v>
      </c>
      <c r="C5321" s="2" t="s">
        <v>79</v>
      </c>
      <c r="D5321" s="2" t="s">
        <v>74</v>
      </c>
      <c r="E5321" s="5">
        <v>-28027</v>
      </c>
      <c r="F5321" s="3" t="s">
        <v>4234</v>
      </c>
      <c r="G5321" s="3" t="s">
        <v>20</v>
      </c>
      <c r="H5321" s="2" t="s">
        <v>21</v>
      </c>
      <c r="I5321" s="2" t="s">
        <v>10795</v>
      </c>
      <c r="J5321" s="3" t="str">
        <f>HYPERLINK("https://www.boe.es/gazeta/dias/1823/04/06/pdfs/GMD-1823-101.pdf#page=4","Abrir facsímil")</f>
        <v>Abrir facsímil</v>
      </c>
      <c r="K5321" s="3" t="s">
        <v>23</v>
      </c>
    </row>
    <row r="5322" spans="1:11" ht="42" customHeight="1">
      <c r="A5322" s="2" t="s">
        <v>10760</v>
      </c>
      <c r="B5322" s="2" t="s">
        <v>10760</v>
      </c>
      <c r="C5322" s="2" t="s">
        <v>79</v>
      </c>
      <c r="D5322" s="2" t="s">
        <v>74</v>
      </c>
      <c r="E5322" s="5">
        <v>-28009</v>
      </c>
      <c r="F5322" s="3" t="s">
        <v>212</v>
      </c>
      <c r="G5322" s="3" t="s">
        <v>48</v>
      </c>
      <c r="H5322" s="2" t="s">
        <v>21</v>
      </c>
      <c r="I5322" s="2" t="s">
        <v>10796</v>
      </c>
      <c r="J5322" s="3" t="str">
        <f>HYPERLINK("https://www.boe.es/gazeta/dias/1823/04/24/pdfs/GMD-1823-52.pdf#page=3","Abrir facsímil")</f>
        <v>Abrir facsímil</v>
      </c>
      <c r="K5322" s="3" t="s">
        <v>23</v>
      </c>
    </row>
    <row r="5323" spans="1:11" ht="42" customHeight="1">
      <c r="A5323" s="2" t="s">
        <v>10760</v>
      </c>
      <c r="B5323" s="2" t="s">
        <v>10760</v>
      </c>
      <c r="C5323" s="2" t="s">
        <v>17</v>
      </c>
      <c r="D5323" s="2" t="s">
        <v>18</v>
      </c>
      <c r="E5323" s="5">
        <v>-28007</v>
      </c>
      <c r="F5323" s="3" t="s">
        <v>311</v>
      </c>
      <c r="G5323" s="3" t="s">
        <v>27</v>
      </c>
      <c r="H5323" s="2" t="s">
        <v>21</v>
      </c>
      <c r="I5323" s="2" t="s">
        <v>10797</v>
      </c>
      <c r="J5323" s="3" t="str">
        <f>HYPERLINK("https://www.boe.es/gazeta/dias/1823/04/26/pdfs/GES-1823-16.pdf#page=2","Abrir facsímil")</f>
        <v>Abrir facsímil</v>
      </c>
      <c r="K5323" s="3" t="s">
        <v>23</v>
      </c>
    </row>
    <row r="5324" spans="1:11" ht="42" customHeight="1">
      <c r="A5324" s="2" t="s">
        <v>10760</v>
      </c>
      <c r="B5324" s="2" t="s">
        <v>10760</v>
      </c>
      <c r="C5324" s="2" t="s">
        <v>17</v>
      </c>
      <c r="D5324" s="2" t="s">
        <v>18</v>
      </c>
      <c r="E5324" s="5">
        <v>-28004</v>
      </c>
      <c r="F5324" s="3" t="s">
        <v>33</v>
      </c>
      <c r="G5324" s="3" t="s">
        <v>2112</v>
      </c>
      <c r="H5324" s="2" t="s">
        <v>21</v>
      </c>
      <c r="I5324" s="2" t="s">
        <v>10798</v>
      </c>
      <c r="J5324" s="3" t="str">
        <f>HYPERLINK("https://www.boe.es/gazeta/dias/1823/04/29/pdfs/GES-1823-19.pdf#page=4","Abrir facsímil")</f>
        <v>Abrir facsímil</v>
      </c>
      <c r="K5324" s="3" t="s">
        <v>23</v>
      </c>
    </row>
    <row r="5325" spans="1:11" ht="42" customHeight="1">
      <c r="A5325" s="2" t="s">
        <v>10760</v>
      </c>
      <c r="B5325" s="2" t="s">
        <v>10760</v>
      </c>
      <c r="C5325" s="2" t="s">
        <v>17</v>
      </c>
      <c r="D5325" s="2" t="s">
        <v>18</v>
      </c>
      <c r="E5325" s="5">
        <v>-28004</v>
      </c>
      <c r="F5325" s="3" t="s">
        <v>33</v>
      </c>
      <c r="G5325" s="3" t="s">
        <v>48</v>
      </c>
      <c r="H5325" s="2" t="s">
        <v>21</v>
      </c>
      <c r="I5325" s="2" t="s">
        <v>10799</v>
      </c>
      <c r="J5325" s="3" t="str">
        <f>HYPERLINK("https://www.boe.es/gazeta/dias/1823/04/29/pdfs/GES-1823-19.pdf#page=3","Abrir facsímil")</f>
        <v>Abrir facsímil</v>
      </c>
      <c r="K5325" s="3" t="s">
        <v>23</v>
      </c>
    </row>
    <row r="5326" spans="1:11" ht="42" customHeight="1">
      <c r="A5326" s="2" t="s">
        <v>10760</v>
      </c>
      <c r="B5326" s="2" t="s">
        <v>10760</v>
      </c>
      <c r="C5326" s="2" t="s">
        <v>73</v>
      </c>
      <c r="D5326" s="2" t="s">
        <v>74</v>
      </c>
      <c r="E5326" s="5">
        <v>-28004</v>
      </c>
      <c r="F5326" s="3" t="s">
        <v>33</v>
      </c>
      <c r="G5326" s="3" t="s">
        <v>34</v>
      </c>
      <c r="H5326" s="2" t="s">
        <v>21</v>
      </c>
      <c r="I5326" s="2" t="s">
        <v>10800</v>
      </c>
      <c r="J5326" s="3" t="str">
        <f>HYPERLINK("https://www.boe.es/gazeta/dias/1823/04/29/pdfs/GES-1823-19.pdf#page=5","Abrir facsímil")</f>
        <v>Abrir facsímil</v>
      </c>
      <c r="K5326" s="3" t="s">
        <v>23</v>
      </c>
    </row>
    <row r="5327" spans="1:11" ht="42" customHeight="1">
      <c r="A5327" s="2" t="s">
        <v>10760</v>
      </c>
      <c r="B5327" s="2" t="s">
        <v>10760</v>
      </c>
      <c r="C5327" s="2" t="s">
        <v>79</v>
      </c>
      <c r="D5327" s="2" t="s">
        <v>74</v>
      </c>
      <c r="E5327" s="5">
        <v>-28003</v>
      </c>
      <c r="F5327" s="3" t="s">
        <v>26</v>
      </c>
      <c r="G5327" s="3" t="s">
        <v>48</v>
      </c>
      <c r="H5327" s="2" t="s">
        <v>21</v>
      </c>
      <c r="I5327" s="2" t="s">
        <v>10801</v>
      </c>
      <c r="J5327" s="3" t="str">
        <f>HYPERLINK("https://www.boe.es/gazeta/dias/1823/04/30/pdfs/GES-1823-20.pdf#page=3","Abrir facsímil")</f>
        <v>Abrir facsímil</v>
      </c>
      <c r="K5327" s="3" t="s">
        <v>23</v>
      </c>
    </row>
    <row r="5328" spans="1:11" ht="42" customHeight="1">
      <c r="A5328" s="2" t="s">
        <v>10760</v>
      </c>
      <c r="B5328" s="2" t="s">
        <v>10760</v>
      </c>
      <c r="C5328" s="2" t="s">
        <v>79</v>
      </c>
      <c r="D5328" s="2" t="s">
        <v>74</v>
      </c>
      <c r="E5328" s="5">
        <v>-28003</v>
      </c>
      <c r="F5328" s="3" t="s">
        <v>26</v>
      </c>
      <c r="G5328" s="3" t="s">
        <v>20</v>
      </c>
      <c r="H5328" s="2" t="s">
        <v>21</v>
      </c>
      <c r="I5328" s="2" t="s">
        <v>10802</v>
      </c>
      <c r="J5328" s="3" t="str">
        <f>HYPERLINK("https://www.boe.es/gazeta/dias/1823/04/30/pdfs/GES-1823-20.pdf#page=4","Abrir facsímil")</f>
        <v>Abrir facsímil</v>
      </c>
      <c r="K5328" s="3" t="s">
        <v>23</v>
      </c>
    </row>
    <row r="5329" spans="1:11" ht="42" customHeight="1">
      <c r="A5329" s="2" t="s">
        <v>10760</v>
      </c>
      <c r="B5329" s="2" t="s">
        <v>10760</v>
      </c>
      <c r="C5329" s="2" t="s">
        <v>17</v>
      </c>
      <c r="D5329" s="2" t="s">
        <v>18</v>
      </c>
      <c r="E5329" s="5">
        <v>-28003</v>
      </c>
      <c r="F5329" s="3" t="s">
        <v>26</v>
      </c>
      <c r="G5329" s="3" t="s">
        <v>34</v>
      </c>
      <c r="H5329" s="2" t="s">
        <v>21</v>
      </c>
      <c r="I5329" s="2" t="s">
        <v>10803</v>
      </c>
      <c r="J5329" s="3" t="str">
        <f>HYPERLINK("https://www.boe.es/gazeta/dias/1823/04/30/pdfs/GES-1823-20.pdf#page=5","Abrir facsímil")</f>
        <v>Abrir facsímil</v>
      </c>
      <c r="K5329" s="3" t="s">
        <v>23</v>
      </c>
    </row>
    <row r="5330" spans="1:11" ht="42" customHeight="1">
      <c r="A5330" s="2" t="s">
        <v>10760</v>
      </c>
      <c r="B5330" s="2" t="s">
        <v>10760</v>
      </c>
      <c r="C5330" s="2" t="s">
        <v>56</v>
      </c>
      <c r="D5330" s="2" t="s">
        <v>57</v>
      </c>
      <c r="E5330" s="5">
        <v>-28001</v>
      </c>
      <c r="F5330" s="3" t="s">
        <v>768</v>
      </c>
      <c r="G5330" s="3" t="s">
        <v>4465</v>
      </c>
      <c r="H5330" s="2" t="s">
        <v>21</v>
      </c>
      <c r="I5330" s="2" t="s">
        <v>10804</v>
      </c>
      <c r="J5330" s="3" t="str">
        <f>HYPERLINK("https://www.boe.es/gazeta/dias/1823/05/02/pdfs/GES-1823-22.pdf#page=4","Abrir facsímil")</f>
        <v>Abrir facsímil</v>
      </c>
      <c r="K5330" s="3" t="s">
        <v>23</v>
      </c>
    </row>
    <row r="5331" spans="1:11" ht="42" customHeight="1">
      <c r="A5331" s="2" t="s">
        <v>10760</v>
      </c>
      <c r="B5331" s="2" t="s">
        <v>10760</v>
      </c>
      <c r="C5331" s="2" t="s">
        <v>17</v>
      </c>
      <c r="D5331" s="2" t="s">
        <v>18</v>
      </c>
      <c r="E5331" s="5">
        <v>-27994</v>
      </c>
      <c r="F5331" s="3" t="s">
        <v>714</v>
      </c>
      <c r="G5331" s="3" t="s">
        <v>59</v>
      </c>
      <c r="H5331" s="2" t="s">
        <v>21</v>
      </c>
      <c r="I5331" s="2" t="s">
        <v>10805</v>
      </c>
      <c r="J5331" s="3" t="str">
        <f>HYPERLINK("https://www.boe.es/gazeta/dias/1823/05/09/pdfs/GES-1823-29.pdf#page=6","Abrir facsímil")</f>
        <v>Abrir facsímil</v>
      </c>
      <c r="K5331" s="3" t="s">
        <v>23</v>
      </c>
    </row>
    <row r="5332" spans="1:11" ht="42" customHeight="1">
      <c r="A5332" s="2" t="s">
        <v>10760</v>
      </c>
      <c r="B5332" s="2" t="s">
        <v>10760</v>
      </c>
      <c r="C5332" s="2" t="s">
        <v>17</v>
      </c>
      <c r="D5332" s="2" t="s">
        <v>18</v>
      </c>
      <c r="E5332" s="5">
        <v>-27993</v>
      </c>
      <c r="F5332" s="3" t="s">
        <v>1062</v>
      </c>
      <c r="G5332" s="3" t="s">
        <v>59</v>
      </c>
      <c r="H5332" s="2" t="s">
        <v>21</v>
      </c>
      <c r="I5332" s="2" t="s">
        <v>10806</v>
      </c>
      <c r="J5332" s="3" t="str">
        <f>HYPERLINK("https://www.boe.es/gazeta/dias/1823/05/10/pdfs/GMD-1823-122.pdf#page=6","Abrir facsímil")</f>
        <v>Abrir facsímil</v>
      </c>
      <c r="K5332" s="3" t="s">
        <v>23</v>
      </c>
    </row>
    <row r="5333" spans="1:11" ht="42" customHeight="1">
      <c r="A5333" s="2" t="s">
        <v>10760</v>
      </c>
      <c r="B5333" s="2" t="s">
        <v>10760</v>
      </c>
      <c r="C5333" s="2" t="s">
        <v>73</v>
      </c>
      <c r="D5333" s="2" t="s">
        <v>74</v>
      </c>
      <c r="E5333" s="5">
        <v>-27991</v>
      </c>
      <c r="F5333" s="3" t="s">
        <v>328</v>
      </c>
      <c r="G5333" s="3" t="s">
        <v>48</v>
      </c>
      <c r="H5333" s="2" t="s">
        <v>21</v>
      </c>
      <c r="I5333" s="2" t="s">
        <v>10807</v>
      </c>
      <c r="J5333" s="3" t="str">
        <f>HYPERLINK("https://www.boe.es/gazeta/dias/1823/05/12/pdfs/GES-1823-32.pdf#page=3","Abrir facsímil")</f>
        <v>Abrir facsímil</v>
      </c>
      <c r="K5333" s="3" t="s">
        <v>23</v>
      </c>
    </row>
    <row r="5334" spans="1:11" ht="42" customHeight="1">
      <c r="A5334" s="2" t="s">
        <v>10760</v>
      </c>
      <c r="B5334" s="2" t="s">
        <v>10760</v>
      </c>
      <c r="C5334" s="2" t="s">
        <v>17</v>
      </c>
      <c r="D5334" s="2" t="s">
        <v>18</v>
      </c>
      <c r="E5334" s="5">
        <v>-27988</v>
      </c>
      <c r="F5334" s="3" t="s">
        <v>2022</v>
      </c>
      <c r="G5334" s="3" t="s">
        <v>27</v>
      </c>
      <c r="H5334" s="2" t="s">
        <v>21</v>
      </c>
      <c r="I5334" s="2" t="s">
        <v>10808</v>
      </c>
      <c r="J5334" s="3" t="str">
        <f>HYPERLINK("https://www.boe.es/gazeta/dias/1823/05/15/pdfs/GMD-1823-142.pdf#page=2","Abrir facsímil")</f>
        <v>Abrir facsímil</v>
      </c>
      <c r="K5334" s="3" t="s">
        <v>23</v>
      </c>
    </row>
    <row r="5335" spans="1:11" ht="42" customHeight="1">
      <c r="A5335" s="2" t="s">
        <v>10760</v>
      </c>
      <c r="B5335" s="2" t="s">
        <v>10760</v>
      </c>
      <c r="C5335" s="2" t="s">
        <v>109</v>
      </c>
      <c r="D5335" s="2" t="s">
        <v>74</v>
      </c>
      <c r="E5335" s="5">
        <v>-27982</v>
      </c>
      <c r="F5335" s="3" t="s">
        <v>340</v>
      </c>
      <c r="G5335" s="3" t="s">
        <v>48</v>
      </c>
      <c r="H5335" s="2" t="s">
        <v>21</v>
      </c>
      <c r="I5335" s="2" t="s">
        <v>10809</v>
      </c>
      <c r="J5335" s="3" t="str">
        <f>HYPERLINK("https://www.boe.es/gazeta/dias/1823/05/21/pdfs/GES-1823-42.pdf#page=3","Abrir facsímil")</f>
        <v>Abrir facsímil</v>
      </c>
      <c r="K5335" s="3" t="s">
        <v>23</v>
      </c>
    </row>
    <row r="5336" spans="1:11" ht="42" customHeight="1">
      <c r="A5336" s="2" t="s">
        <v>10760</v>
      </c>
      <c r="B5336" s="2" t="s">
        <v>10760</v>
      </c>
      <c r="C5336" s="2" t="s">
        <v>17</v>
      </c>
      <c r="D5336" s="2" t="s">
        <v>18</v>
      </c>
      <c r="E5336" s="5">
        <v>-27978</v>
      </c>
      <c r="F5336" s="3" t="s">
        <v>342</v>
      </c>
      <c r="G5336" s="3" t="s">
        <v>27</v>
      </c>
      <c r="H5336" s="2" t="s">
        <v>21</v>
      </c>
      <c r="I5336" s="2" t="s">
        <v>10810</v>
      </c>
      <c r="J5336" s="3" t="str">
        <f>HYPERLINK("https://www.boe.es/gazeta/dias/1823/05/25/pdfs/GES-1823-46.pdf#page=2","Abrir facsímil")</f>
        <v>Abrir facsímil</v>
      </c>
      <c r="K5336" s="3" t="s">
        <v>23</v>
      </c>
    </row>
    <row r="5337" spans="1:11" ht="42" customHeight="1">
      <c r="A5337" s="2" t="s">
        <v>10760</v>
      </c>
      <c r="B5337" s="2" t="s">
        <v>10760</v>
      </c>
      <c r="C5337" s="2" t="s">
        <v>17</v>
      </c>
      <c r="D5337" s="2" t="s">
        <v>18</v>
      </c>
      <c r="E5337" s="5">
        <v>-27975</v>
      </c>
      <c r="F5337" s="3" t="s">
        <v>47</v>
      </c>
      <c r="G5337" s="3" t="s">
        <v>27</v>
      </c>
      <c r="H5337" s="2" t="s">
        <v>21</v>
      </c>
      <c r="I5337" s="2" t="s">
        <v>10811</v>
      </c>
      <c r="J5337" s="3" t="str">
        <f>HYPERLINK("https://www.boe.es/gazeta/dias/1823/05/28/pdfs/GES-1823-50.pdf#page=2","Abrir facsímil")</f>
        <v>Abrir facsímil</v>
      </c>
      <c r="K5337" s="3" t="s">
        <v>23</v>
      </c>
    </row>
    <row r="5338" spans="1:11" ht="42" customHeight="1">
      <c r="A5338" s="2" t="s">
        <v>10760</v>
      </c>
      <c r="B5338" s="2" t="s">
        <v>10760</v>
      </c>
      <c r="C5338" s="2" t="s">
        <v>79</v>
      </c>
      <c r="D5338" s="2" t="s">
        <v>74</v>
      </c>
      <c r="E5338" s="5">
        <v>-27974</v>
      </c>
      <c r="F5338" s="3" t="s">
        <v>618</v>
      </c>
      <c r="G5338" s="3" t="s">
        <v>27</v>
      </c>
      <c r="H5338" s="2" t="s">
        <v>21</v>
      </c>
      <c r="I5338" s="2" t="s">
        <v>10812</v>
      </c>
      <c r="J5338" s="3" t="str">
        <f>HYPERLINK("https://www.boe.es/gazeta/dias/1823/05/29/pdfs/GES-1823-52.pdf#page=2","Abrir facsímil")</f>
        <v>Abrir facsímil</v>
      </c>
      <c r="K5338" s="3" t="s">
        <v>23</v>
      </c>
    </row>
    <row r="5339" spans="1:11" ht="42" customHeight="1">
      <c r="A5339" s="2" t="s">
        <v>10760</v>
      </c>
      <c r="B5339" s="2" t="s">
        <v>10760</v>
      </c>
      <c r="C5339" s="2" t="s">
        <v>109</v>
      </c>
      <c r="D5339" s="2" t="s">
        <v>74</v>
      </c>
      <c r="E5339" s="5">
        <v>-27969</v>
      </c>
      <c r="F5339" s="3" t="s">
        <v>855</v>
      </c>
      <c r="G5339" s="3" t="s">
        <v>1158</v>
      </c>
      <c r="H5339" s="2" t="s">
        <v>21</v>
      </c>
      <c r="I5339" s="2" t="s">
        <v>10813</v>
      </c>
      <c r="J5339" s="3" t="str">
        <f>HYPERLINK("https://www.boe.es/gazeta/dias/1823/06/03/pdfs/GES-1823-57.pdf#page=2","Abrir facsímil")</f>
        <v>Abrir facsímil</v>
      </c>
      <c r="K5339" s="3" t="s">
        <v>23</v>
      </c>
    </row>
    <row r="5340" spans="1:11" ht="42" customHeight="1">
      <c r="A5340" s="2" t="s">
        <v>10760</v>
      </c>
      <c r="B5340" s="2" t="s">
        <v>10760</v>
      </c>
      <c r="C5340" s="2" t="s">
        <v>17</v>
      </c>
      <c r="D5340" s="2" t="s">
        <v>18</v>
      </c>
      <c r="E5340" s="5">
        <v>-27960</v>
      </c>
      <c r="F5340" s="3" t="s">
        <v>741</v>
      </c>
      <c r="G5340" s="3" t="s">
        <v>20</v>
      </c>
      <c r="H5340" s="2" t="s">
        <v>21</v>
      </c>
      <c r="I5340" s="2" t="s">
        <v>10814</v>
      </c>
      <c r="J5340" s="3" t="str">
        <f>HYPERLINK("https://www.boe.es/gazeta/dias/1823/06/12/pdfs/GES-1823-66.pdf#page=4","Abrir facsímil")</f>
        <v>Abrir facsímil</v>
      </c>
      <c r="K5340" s="3" t="s">
        <v>23</v>
      </c>
    </row>
    <row r="5341" spans="1:11" ht="42" customHeight="1">
      <c r="A5341" s="2" t="s">
        <v>10760</v>
      </c>
      <c r="B5341" s="2" t="s">
        <v>10760</v>
      </c>
      <c r="C5341" s="2" t="s">
        <v>17</v>
      </c>
      <c r="D5341" s="2" t="s">
        <v>117</v>
      </c>
      <c r="E5341" s="5">
        <v>-27960</v>
      </c>
      <c r="F5341" s="3" t="s">
        <v>6554</v>
      </c>
      <c r="G5341" s="3" t="s">
        <v>39</v>
      </c>
      <c r="H5341" s="2" t="s">
        <v>21</v>
      </c>
      <c r="I5341" s="2" t="s">
        <v>10815</v>
      </c>
      <c r="J5341" s="3" t="str">
        <f>HYPERLINK("https://www.boe.es/gazeta/dias/1823/06/12/pdfs/GMD-1823-133E.pdf#page=1","Abrir facsímil")</f>
        <v>Abrir facsímil</v>
      </c>
      <c r="K5341" s="3" t="s">
        <v>23</v>
      </c>
    </row>
    <row r="5342" spans="1:11" ht="42" customHeight="1">
      <c r="A5342" s="2" t="s">
        <v>10760</v>
      </c>
      <c r="B5342" s="2" t="s">
        <v>10760</v>
      </c>
      <c r="C5342" s="2" t="s">
        <v>56</v>
      </c>
      <c r="D5342" s="2" t="s">
        <v>117</v>
      </c>
      <c r="E5342" s="5">
        <v>-27952</v>
      </c>
      <c r="F5342" s="3" t="s">
        <v>1844</v>
      </c>
      <c r="G5342" s="3" t="s">
        <v>27</v>
      </c>
      <c r="H5342" s="2" t="s">
        <v>21</v>
      </c>
      <c r="I5342" s="2" t="s">
        <v>10816</v>
      </c>
      <c r="J5342" s="3" t="str">
        <f>HYPERLINK("https://www.boe.es/gazeta/dias/1823/06/20/pdfs/GMD-1823-213E.pdf#page=2","Abrir facsímil")</f>
        <v>Abrir facsímil</v>
      </c>
      <c r="K5342" s="3" t="s">
        <v>23</v>
      </c>
    </row>
    <row r="5343" spans="1:11" ht="42" customHeight="1">
      <c r="A5343" s="2" t="s">
        <v>10760</v>
      </c>
      <c r="B5343" s="2" t="s">
        <v>10760</v>
      </c>
      <c r="C5343" s="2" t="s">
        <v>17</v>
      </c>
      <c r="D5343" s="2" t="s">
        <v>117</v>
      </c>
      <c r="E5343" s="5">
        <v>-27943</v>
      </c>
      <c r="F5343" s="3" t="s">
        <v>2511</v>
      </c>
      <c r="G5343" s="3" t="s">
        <v>39</v>
      </c>
      <c r="H5343" s="2" t="s">
        <v>21</v>
      </c>
      <c r="I5343" s="2" t="s">
        <v>10817</v>
      </c>
      <c r="J5343" s="3" t="str">
        <f>HYPERLINK("https://www.boe.es/gazeta/dias/1823/06/29/pdfs/GMD-1823-313E.pdf#page=1","Abrir facsímil")</f>
        <v>Abrir facsímil</v>
      </c>
      <c r="K5343" s="3" t="s">
        <v>23</v>
      </c>
    </row>
    <row r="5344" spans="1:11" ht="42" customHeight="1">
      <c r="A5344" s="2" t="s">
        <v>10760</v>
      </c>
      <c r="B5344" s="2" t="s">
        <v>10760</v>
      </c>
      <c r="C5344" s="2" t="s">
        <v>56</v>
      </c>
      <c r="D5344" s="2" t="s">
        <v>57</v>
      </c>
      <c r="E5344" s="5">
        <v>-27920</v>
      </c>
      <c r="F5344" s="3" t="s">
        <v>1334</v>
      </c>
      <c r="G5344" s="3" t="s">
        <v>59</v>
      </c>
      <c r="H5344" s="2" t="s">
        <v>21</v>
      </c>
      <c r="I5344" s="2" t="s">
        <v>10818</v>
      </c>
      <c r="J5344" s="3" t="str">
        <f>HYPERLINK("https://www.boe.es/gazeta/dias/1823/07/22/pdfs/GMD-1823-443.pdf#page=6","Abrir facsímil")</f>
        <v>Abrir facsímil</v>
      </c>
      <c r="K5344" s="3" t="s">
        <v>23</v>
      </c>
    </row>
    <row r="5345" spans="1:11" ht="42" customHeight="1">
      <c r="A5345" s="2" t="s">
        <v>10760</v>
      </c>
      <c r="B5345" s="2" t="s">
        <v>10760</v>
      </c>
      <c r="C5345" s="2" t="s">
        <v>17</v>
      </c>
      <c r="D5345" s="2" t="s">
        <v>18</v>
      </c>
      <c r="E5345" s="5">
        <v>-27920</v>
      </c>
      <c r="F5345" s="3" t="s">
        <v>1334</v>
      </c>
      <c r="G5345" s="3" t="s">
        <v>276</v>
      </c>
      <c r="H5345" s="2" t="s">
        <v>21</v>
      </c>
      <c r="I5345" s="2" t="s">
        <v>10819</v>
      </c>
      <c r="J5345" s="3" t="str">
        <f>HYPERLINK("https://www.boe.es/gazeta/dias/1823/07/22/pdfs/GMD-1823-443.pdf#page=7","Abrir facsímil")</f>
        <v>Abrir facsímil</v>
      </c>
      <c r="K5345" s="3" t="s">
        <v>23</v>
      </c>
    </row>
    <row r="5346" spans="1:11" ht="42" customHeight="1">
      <c r="A5346" s="2" t="s">
        <v>10760</v>
      </c>
      <c r="B5346" s="2" t="s">
        <v>10760</v>
      </c>
      <c r="C5346" s="2" t="s">
        <v>17</v>
      </c>
      <c r="D5346" s="2" t="s">
        <v>18</v>
      </c>
      <c r="E5346" s="5">
        <v>-27908</v>
      </c>
      <c r="F5346" s="3" t="s">
        <v>80</v>
      </c>
      <c r="G5346" s="3" t="s">
        <v>27</v>
      </c>
      <c r="H5346" s="2" t="s">
        <v>21</v>
      </c>
      <c r="I5346" s="2" t="s">
        <v>10820</v>
      </c>
      <c r="J5346" s="3" t="str">
        <f>HYPERLINK("https://www.boe.es/gazeta/dias/1823/08/03/pdfs/GES-1823-115.pdf#page=2","Abrir facsímil")</f>
        <v>Abrir facsímil</v>
      </c>
      <c r="K5346" s="3" t="s">
        <v>23</v>
      </c>
    </row>
    <row r="5347" spans="1:11" ht="42" customHeight="1">
      <c r="A5347" s="2" t="s">
        <v>10760</v>
      </c>
      <c r="B5347" s="2" t="s">
        <v>10760</v>
      </c>
      <c r="C5347" s="2" t="s">
        <v>79</v>
      </c>
      <c r="D5347" s="2" t="s">
        <v>74</v>
      </c>
      <c r="E5347" s="5">
        <v>-27866</v>
      </c>
      <c r="F5347" s="3" t="s">
        <v>1262</v>
      </c>
      <c r="G5347" s="3" t="s">
        <v>48</v>
      </c>
      <c r="H5347" s="2" t="s">
        <v>21</v>
      </c>
      <c r="I5347" s="2" t="s">
        <v>10821</v>
      </c>
      <c r="J5347" s="3" t="str">
        <f>HYPERLINK("https://www.boe.es/gazeta/dias/1823/09/14/pdfs/GES-1823-158.pdf#page=3","Abrir facsímil")</f>
        <v>Abrir facsímil</v>
      </c>
      <c r="K5347" s="3" t="s">
        <v>23</v>
      </c>
    </row>
    <row r="5348" spans="1:11" ht="42" customHeight="1">
      <c r="A5348" s="2" t="s">
        <v>10760</v>
      </c>
      <c r="B5348" s="2" t="s">
        <v>10760</v>
      </c>
      <c r="C5348" s="2" t="s">
        <v>79</v>
      </c>
      <c r="D5348" s="2" t="s">
        <v>74</v>
      </c>
      <c r="E5348" s="5">
        <v>-27866</v>
      </c>
      <c r="F5348" s="3" t="s">
        <v>1262</v>
      </c>
      <c r="G5348" s="3" t="s">
        <v>20</v>
      </c>
      <c r="H5348" s="2" t="s">
        <v>21</v>
      </c>
      <c r="I5348" s="2" t="s">
        <v>10822</v>
      </c>
      <c r="J5348" s="3" t="str">
        <f>HYPERLINK("https://www.boe.es/gazeta/dias/1823/09/14/pdfs/GES-1823-158.pdf#page=4","Abrir facsímil")</f>
        <v>Abrir facsímil</v>
      </c>
      <c r="K5348" s="3" t="s">
        <v>23</v>
      </c>
    </row>
    <row r="5349" spans="1:11" ht="42" customHeight="1">
      <c r="A5349" s="2" t="s">
        <v>10760</v>
      </c>
      <c r="B5349" s="2" t="s">
        <v>10760</v>
      </c>
      <c r="C5349" s="2" t="s">
        <v>17</v>
      </c>
      <c r="D5349" s="2" t="s">
        <v>18</v>
      </c>
      <c r="E5349" s="5">
        <v>-27808</v>
      </c>
      <c r="F5349" s="3" t="s">
        <v>1602</v>
      </c>
      <c r="G5349" s="3" t="s">
        <v>27</v>
      </c>
      <c r="H5349" s="2" t="s">
        <v>21</v>
      </c>
      <c r="I5349" s="2" t="s">
        <v>10823</v>
      </c>
      <c r="J5349" s="3" t="str">
        <f>HYPERLINK("https://www.boe.es/gazeta/dias/1823/11/11/pdfs/GMD-1823-1103.pdf#page=2","Abrir facsímil")</f>
        <v>Abrir facsímil</v>
      </c>
      <c r="K5349" s="3" t="s">
        <v>23</v>
      </c>
    </row>
    <row r="5350" spans="1:11" ht="42" customHeight="1">
      <c r="A5350" s="2" t="s">
        <v>10760</v>
      </c>
      <c r="B5350" s="2" t="s">
        <v>10760</v>
      </c>
      <c r="C5350" s="2" t="s">
        <v>17</v>
      </c>
      <c r="D5350" s="2" t="s">
        <v>18</v>
      </c>
      <c r="E5350" s="5">
        <v>-27808</v>
      </c>
      <c r="F5350" s="3" t="s">
        <v>1602</v>
      </c>
      <c r="G5350" s="3" t="s">
        <v>48</v>
      </c>
      <c r="H5350" s="2" t="s">
        <v>21</v>
      </c>
      <c r="I5350" s="2" t="s">
        <v>10824</v>
      </c>
      <c r="J5350" s="3" t="str">
        <f>HYPERLINK("https://www.boe.es/gazeta/dias/1823/11/11/pdfs/GMD-1823-1103.pdf#page=3","Abrir facsímil")</f>
        <v>Abrir facsímil</v>
      </c>
      <c r="K5350" s="3" t="s">
        <v>23</v>
      </c>
    </row>
    <row r="5351" spans="1:11" ht="42" customHeight="1">
      <c r="A5351" s="2" t="s">
        <v>10760</v>
      </c>
      <c r="B5351" s="2" t="s">
        <v>10760</v>
      </c>
      <c r="C5351" s="2" t="s">
        <v>56</v>
      </c>
      <c r="D5351" s="2" t="s">
        <v>57</v>
      </c>
      <c r="E5351" s="5">
        <v>-27792</v>
      </c>
      <c r="F5351" s="3" t="s">
        <v>611</v>
      </c>
      <c r="G5351" s="3" t="s">
        <v>48</v>
      </c>
      <c r="H5351" s="2" t="s">
        <v>21</v>
      </c>
      <c r="I5351" s="2" t="s">
        <v>10825</v>
      </c>
      <c r="J5351" s="3" t="str">
        <f>HYPERLINK("https://www.boe.es/gazeta/dias/1823/11/27/pdfs/GMD-1823-1173.pdf#page=3","Abrir facsímil")</f>
        <v>Abrir facsímil</v>
      </c>
      <c r="K5351" s="3" t="s">
        <v>23</v>
      </c>
    </row>
    <row r="5352" spans="1:11" ht="42" customHeight="1">
      <c r="A5352" s="2" t="s">
        <v>10760</v>
      </c>
      <c r="B5352" s="2" t="s">
        <v>10760</v>
      </c>
      <c r="C5352" s="2" t="s">
        <v>17</v>
      </c>
      <c r="D5352" s="2" t="s">
        <v>18</v>
      </c>
      <c r="E5352" s="5">
        <v>-27783</v>
      </c>
      <c r="F5352" s="3" t="s">
        <v>941</v>
      </c>
      <c r="G5352" s="3" t="s">
        <v>20</v>
      </c>
      <c r="H5352" s="2" t="s">
        <v>21</v>
      </c>
      <c r="I5352" s="2" t="s">
        <v>10826</v>
      </c>
      <c r="J5352" s="3" t="str">
        <f>HYPERLINK("https://www.boe.es/gazeta/dias/1823/12/06/pdfs/GMD-1823-1213.pdf#page=4","Abrir facsímil")</f>
        <v>Abrir facsímil</v>
      </c>
      <c r="K5352" s="3" t="s">
        <v>23</v>
      </c>
    </row>
    <row r="5353" spans="1:11" ht="42" customHeight="1">
      <c r="A5353" s="2" t="s">
        <v>10827</v>
      </c>
      <c r="B5353" s="2" t="s">
        <v>10828</v>
      </c>
      <c r="C5353" s="2" t="s">
        <v>17</v>
      </c>
      <c r="D5353" s="2" t="s">
        <v>18</v>
      </c>
      <c r="E5353" s="5">
        <v>-28094</v>
      </c>
      <c r="F5353" s="3" t="s">
        <v>93</v>
      </c>
      <c r="G5353" s="3" t="s">
        <v>27</v>
      </c>
      <c r="H5353" s="2" t="s">
        <v>21</v>
      </c>
      <c r="I5353" s="2" t="s">
        <v>10829</v>
      </c>
      <c r="J5353" s="3" t="str">
        <f>HYPERLINK("https://www.boe.es/gazeta/dias/1823/01/29/pdfs/GMD-1823-30.pdf#page=2","Abrir facsímil")</f>
        <v>Abrir facsímil</v>
      </c>
      <c r="K5353" s="3" t="s">
        <v>23</v>
      </c>
    </row>
    <row r="5354" spans="1:11" ht="42" customHeight="1">
      <c r="A5354" s="2" t="s">
        <v>10827</v>
      </c>
      <c r="B5354" s="2" t="s">
        <v>10828</v>
      </c>
      <c r="C5354" s="2" t="s">
        <v>17</v>
      </c>
      <c r="D5354" s="2" t="s">
        <v>18</v>
      </c>
      <c r="E5354" s="5">
        <v>-27949</v>
      </c>
      <c r="F5354" s="3" t="s">
        <v>1162</v>
      </c>
      <c r="G5354" s="3" t="s">
        <v>20</v>
      </c>
      <c r="H5354" s="2" t="s">
        <v>21</v>
      </c>
      <c r="I5354" s="2" t="s">
        <v>10830</v>
      </c>
      <c r="J5354" s="3" t="str">
        <f>HYPERLINK("https://www.boe.es/gazeta/dias/1823/06/23/pdfs/GES-1823-71.pdf#page=4","Abrir facsímil")</f>
        <v>Abrir facsímil</v>
      </c>
      <c r="K5354" s="3" t="s">
        <v>23</v>
      </c>
    </row>
    <row r="5355" spans="1:11" ht="42" customHeight="1">
      <c r="A5355" s="2" t="s">
        <v>10827</v>
      </c>
      <c r="B5355" s="2" t="s">
        <v>10828</v>
      </c>
      <c r="C5355" s="2" t="s">
        <v>17</v>
      </c>
      <c r="D5355" s="2" t="s">
        <v>18</v>
      </c>
      <c r="E5355" s="5">
        <v>-27906</v>
      </c>
      <c r="F5355" s="3" t="s">
        <v>241</v>
      </c>
      <c r="G5355" s="3" t="s">
        <v>20</v>
      </c>
      <c r="H5355" s="2" t="s">
        <v>21</v>
      </c>
      <c r="I5355" s="2" t="s">
        <v>10831</v>
      </c>
      <c r="J5355" s="3" t="str">
        <f>HYPERLINK("https://www.boe.es/gazeta/dias/1823/08/05/pdfs/GES-1823-117.pdf#page=4","Abrir facsímil")</f>
        <v>Abrir facsímil</v>
      </c>
      <c r="K5355" s="3" t="s">
        <v>23</v>
      </c>
    </row>
    <row r="5356" spans="1:11" ht="42" customHeight="1">
      <c r="A5356" s="2" t="s">
        <v>10832</v>
      </c>
      <c r="B5356" s="2" t="s">
        <v>10833</v>
      </c>
      <c r="C5356" s="2" t="s">
        <v>56</v>
      </c>
      <c r="D5356" s="2" t="s">
        <v>57</v>
      </c>
      <c r="E5356" s="5">
        <v>-27903</v>
      </c>
      <c r="F5356" s="3" t="s">
        <v>110</v>
      </c>
      <c r="G5356" s="3" t="s">
        <v>39</v>
      </c>
      <c r="H5356" s="2" t="s">
        <v>21</v>
      </c>
      <c r="I5356" s="2" t="s">
        <v>10834</v>
      </c>
      <c r="J5356" s="3" t="str">
        <f>HYPERLINK("https://www.boe.es/gazeta/dias/1823/08/08/pdfs/GES-1823-121.pdf#page=1","Abrir facsímil")</f>
        <v>Abrir facsímil</v>
      </c>
      <c r="K5356" s="3" t="s">
        <v>23</v>
      </c>
    </row>
    <row r="5357" spans="1:11" ht="42" customHeight="1">
      <c r="A5357" s="2" t="s">
        <v>10835</v>
      </c>
      <c r="B5357" s="2" t="s">
        <v>10836</v>
      </c>
      <c r="C5357" s="2" t="s">
        <v>17</v>
      </c>
      <c r="D5357" s="2" t="s">
        <v>18</v>
      </c>
      <c r="E5357" s="5">
        <v>-28025</v>
      </c>
      <c r="F5357" s="3" t="s">
        <v>477</v>
      </c>
      <c r="G5357" s="3" t="s">
        <v>20</v>
      </c>
      <c r="H5357" s="2" t="s">
        <v>21</v>
      </c>
      <c r="I5357" s="2" t="s">
        <v>10837</v>
      </c>
      <c r="J5357" s="3" t="str">
        <f>HYPERLINK("https://www.boe.es/gazeta/dias/1823/04/08/pdfs/GMD-1823-103.pdf#page=4","Abrir facsímil")</f>
        <v>Abrir facsímil</v>
      </c>
      <c r="K5357" s="3" t="s">
        <v>23</v>
      </c>
    </row>
    <row r="5358" spans="1:11" ht="42" customHeight="1">
      <c r="A5358" s="2" t="s">
        <v>10838</v>
      </c>
      <c r="B5358" s="2" t="s">
        <v>10839</v>
      </c>
      <c r="C5358" s="2" t="s">
        <v>17</v>
      </c>
      <c r="D5358" s="2" t="s">
        <v>18</v>
      </c>
      <c r="E5358" s="5">
        <v>-28073</v>
      </c>
      <c r="F5358" s="3" t="s">
        <v>204</v>
      </c>
      <c r="G5358" s="3" t="s">
        <v>27</v>
      </c>
      <c r="H5358" s="2" t="s">
        <v>21</v>
      </c>
      <c r="I5358" s="2" t="s">
        <v>10840</v>
      </c>
      <c r="J5358" s="3" t="str">
        <f>HYPERLINK("https://www.boe.es/gazeta/dias/1823/02/19/pdfs/GMD-1823-53.pdf#page=2","Abrir facsímil")</f>
        <v>Abrir facsímil</v>
      </c>
      <c r="K5358" s="3" t="s">
        <v>23</v>
      </c>
    </row>
    <row r="5359" spans="1:11" ht="42" customHeight="1">
      <c r="A5359" s="2" t="s">
        <v>10838</v>
      </c>
      <c r="B5359" s="2" t="s">
        <v>10839</v>
      </c>
      <c r="C5359" s="2" t="s">
        <v>17</v>
      </c>
      <c r="D5359" s="2" t="s">
        <v>18</v>
      </c>
      <c r="E5359" s="5">
        <v>-28060</v>
      </c>
      <c r="F5359" s="3" t="s">
        <v>180</v>
      </c>
      <c r="G5359" s="3" t="s">
        <v>20</v>
      </c>
      <c r="H5359" s="2" t="s">
        <v>21</v>
      </c>
      <c r="I5359" s="2" t="s">
        <v>10841</v>
      </c>
      <c r="J5359" s="3" t="str">
        <f>HYPERLINK("https://www.boe.es/gazeta/dias/1823/03/04/pdfs/GMD-1823-67.pdf#page=4","Abrir facsímil")</f>
        <v>Abrir facsímil</v>
      </c>
      <c r="K5359" s="3" t="s">
        <v>23</v>
      </c>
    </row>
    <row r="5360" spans="1:11" ht="42" customHeight="1">
      <c r="A5360" s="2" t="s">
        <v>10838</v>
      </c>
      <c r="B5360" s="2" t="s">
        <v>10839</v>
      </c>
      <c r="C5360" s="2" t="s">
        <v>79</v>
      </c>
      <c r="D5360" s="2" t="s">
        <v>74</v>
      </c>
      <c r="E5360" s="5">
        <v>-27951</v>
      </c>
      <c r="F5360" s="3" t="s">
        <v>548</v>
      </c>
      <c r="G5360" s="3" t="s">
        <v>39</v>
      </c>
      <c r="H5360" s="2" t="s">
        <v>21</v>
      </c>
      <c r="I5360" s="2" t="s">
        <v>10842</v>
      </c>
      <c r="J5360" s="3" t="str">
        <f>HYPERLINK("https://www.boe.es/gazeta/dias/1823/06/21/pdfs/GES-1823-69.pdf#page=1","Abrir facsímil")</f>
        <v>Abrir facsímil</v>
      </c>
      <c r="K5360" s="3" t="s">
        <v>23</v>
      </c>
    </row>
    <row r="5361" spans="1:11" ht="42" customHeight="1">
      <c r="A5361" s="2" t="s">
        <v>10843</v>
      </c>
      <c r="B5361" s="2" t="s">
        <v>10843</v>
      </c>
      <c r="C5361" s="2" t="s">
        <v>79</v>
      </c>
      <c r="D5361" s="2" t="s">
        <v>74</v>
      </c>
      <c r="E5361" s="5">
        <v>-28100</v>
      </c>
      <c r="F5361" s="3" t="s">
        <v>737</v>
      </c>
      <c r="G5361" s="3" t="s">
        <v>48</v>
      </c>
      <c r="H5361" s="2" t="s">
        <v>21</v>
      </c>
      <c r="I5361" s="2" t="s">
        <v>10844</v>
      </c>
      <c r="J5361" s="3" t="str">
        <f>HYPERLINK("https://www.boe.es/gazeta/dias/1823/01/23/pdfs/GMD-1823-24.pdf#page=3","Abrir facsímil")</f>
        <v>Abrir facsímil</v>
      </c>
      <c r="K5361" s="3" t="s">
        <v>23</v>
      </c>
    </row>
    <row r="5362" spans="1:11" ht="42" customHeight="1">
      <c r="A5362" s="2" t="s">
        <v>10845</v>
      </c>
      <c r="B5362" s="2" t="s">
        <v>10845</v>
      </c>
      <c r="C5362" s="2" t="s">
        <v>17</v>
      </c>
      <c r="D5362" s="2" t="s">
        <v>18</v>
      </c>
      <c r="E5362" s="5">
        <v>-27897</v>
      </c>
      <c r="F5362" s="3" t="s">
        <v>1569</v>
      </c>
      <c r="G5362" s="3" t="s">
        <v>48</v>
      </c>
      <c r="H5362" s="2" t="s">
        <v>21</v>
      </c>
      <c r="I5362" s="2" t="s">
        <v>10846</v>
      </c>
      <c r="J5362" s="3" t="str">
        <f>HYPERLINK("https://www.boe.es/gazeta/dias/1823/08/14/pdfs/GMD-1823-593.pdf#page=3","Abrir facsímil")</f>
        <v>Abrir facsímil</v>
      </c>
      <c r="K5362" s="3" t="s">
        <v>23</v>
      </c>
    </row>
    <row r="5363" spans="1:11" ht="42" customHeight="1">
      <c r="A5363" s="2" t="s">
        <v>10847</v>
      </c>
      <c r="B5363" s="2" t="s">
        <v>10847</v>
      </c>
      <c r="C5363" s="2" t="s">
        <v>17</v>
      </c>
      <c r="D5363" s="2" t="s">
        <v>18</v>
      </c>
      <c r="E5363" s="5">
        <v>-27967</v>
      </c>
      <c r="F5363" s="3" t="s">
        <v>412</v>
      </c>
      <c r="G5363" s="3" t="s">
        <v>39</v>
      </c>
      <c r="H5363" s="2" t="s">
        <v>21</v>
      </c>
      <c r="I5363" s="2" t="s">
        <v>10848</v>
      </c>
      <c r="J5363" s="3" t="str">
        <f>HYPERLINK("https://www.boe.es/gazeta/dias/1823/06/05/pdfs/GES-1823-59.pdf#page=1","Abrir facsímil")</f>
        <v>Abrir facsímil</v>
      </c>
      <c r="K5363" s="3" t="s">
        <v>23</v>
      </c>
    </row>
    <row r="5364" spans="1:11" ht="42" customHeight="1">
      <c r="A5364" s="2" t="s">
        <v>10849</v>
      </c>
      <c r="B5364" s="2" t="s">
        <v>10850</v>
      </c>
      <c r="C5364" s="2" t="s">
        <v>56</v>
      </c>
      <c r="D5364" s="2" t="s">
        <v>57</v>
      </c>
      <c r="E5364" s="5">
        <v>-27940</v>
      </c>
      <c r="F5364" s="3" t="s">
        <v>348</v>
      </c>
      <c r="G5364" s="3" t="s">
        <v>48</v>
      </c>
      <c r="H5364" s="2" t="s">
        <v>21</v>
      </c>
      <c r="I5364" s="2" t="s">
        <v>10851</v>
      </c>
      <c r="J5364" s="3" t="str">
        <f>HYPERLINK("https://www.boe.es/gazeta/dias/1823/07/02/pdfs/GES-1823-82.pdf#page=3","Abrir facsímil")</f>
        <v>Abrir facsímil</v>
      </c>
      <c r="K5364" s="3" t="s">
        <v>23</v>
      </c>
    </row>
    <row r="5365" spans="1:11" ht="42" customHeight="1">
      <c r="A5365" s="2" t="s">
        <v>10852</v>
      </c>
      <c r="B5365" s="2" t="s">
        <v>10852</v>
      </c>
      <c r="C5365" s="2" t="s">
        <v>56</v>
      </c>
      <c r="D5365" s="2" t="s">
        <v>57</v>
      </c>
      <c r="E5365" s="5">
        <v>-27829</v>
      </c>
      <c r="F5365" s="3" t="s">
        <v>228</v>
      </c>
      <c r="G5365" s="3" t="s">
        <v>20</v>
      </c>
      <c r="H5365" s="2" t="s">
        <v>21</v>
      </c>
      <c r="I5365" s="2" t="s">
        <v>10853</v>
      </c>
      <c r="J5365" s="3" t="str">
        <f>HYPERLINK("https://www.boe.es/gazeta/dias/1823/10/21/pdfs/GMD-1823-1003.pdf#page=4","Abrir facsímil")</f>
        <v>Abrir facsímil</v>
      </c>
      <c r="K5365" s="3" t="s">
        <v>23</v>
      </c>
    </row>
    <row r="5366" spans="1:11" ht="42" customHeight="1">
      <c r="A5366" s="2" t="s">
        <v>10854</v>
      </c>
      <c r="B5366" s="2" t="s">
        <v>10854</v>
      </c>
      <c r="C5366" s="2" t="s">
        <v>56</v>
      </c>
      <c r="D5366" s="2" t="s">
        <v>57</v>
      </c>
      <c r="E5366" s="5">
        <v>-27857</v>
      </c>
      <c r="F5366" s="3" t="s">
        <v>378</v>
      </c>
      <c r="G5366" s="3" t="s">
        <v>48</v>
      </c>
      <c r="H5366" s="2" t="s">
        <v>21</v>
      </c>
      <c r="I5366" s="2" t="s">
        <v>10855</v>
      </c>
      <c r="J5366" s="3" t="str">
        <f>HYPERLINK("https://www.boe.es/gazeta/dias/1823/09/23/pdfs/GMD-1823-833.pdf#page=3","Abrir facsímil")</f>
        <v>Abrir facsímil</v>
      </c>
      <c r="K5366" s="3" t="s">
        <v>23</v>
      </c>
    </row>
    <row r="5367" spans="1:11" ht="42" customHeight="1">
      <c r="A5367" s="2" t="s">
        <v>10854</v>
      </c>
      <c r="B5367" s="2" t="s">
        <v>10854</v>
      </c>
      <c r="C5367" s="2" t="s">
        <v>56</v>
      </c>
      <c r="D5367" s="2" t="s">
        <v>57</v>
      </c>
      <c r="E5367" s="5">
        <v>-27829</v>
      </c>
      <c r="F5367" s="3" t="s">
        <v>228</v>
      </c>
      <c r="G5367" s="3" t="s">
        <v>20</v>
      </c>
      <c r="H5367" s="2" t="s">
        <v>21</v>
      </c>
      <c r="I5367" s="2" t="s">
        <v>10856</v>
      </c>
      <c r="J5367" s="3" t="str">
        <f>HYPERLINK("https://www.boe.es/gazeta/dias/1823/10/21/pdfs/GMD-1823-1003.pdf#page=4","Abrir facsímil")</f>
        <v>Abrir facsímil</v>
      </c>
      <c r="K5367" s="3" t="s">
        <v>23</v>
      </c>
    </row>
    <row r="5368" spans="1:11" ht="42" customHeight="1">
      <c r="A5368" s="2" t="s">
        <v>10857</v>
      </c>
      <c r="B5368" s="2" t="s">
        <v>10858</v>
      </c>
      <c r="C5368" s="2" t="s">
        <v>56</v>
      </c>
      <c r="D5368" s="2" t="s">
        <v>57</v>
      </c>
      <c r="E5368" s="5">
        <v>-27843</v>
      </c>
      <c r="F5368" s="3" t="s">
        <v>790</v>
      </c>
      <c r="G5368" s="3" t="s">
        <v>39</v>
      </c>
      <c r="H5368" s="2" t="s">
        <v>21</v>
      </c>
      <c r="I5368" s="2" t="s">
        <v>10859</v>
      </c>
      <c r="J5368" s="3" t="str">
        <f>HYPERLINK("https://www.boe.es/gazeta/dias/1823/10/07/pdfs/GMD-1823-933.pdf#page=1","Abrir facsímil")</f>
        <v>Abrir facsímil</v>
      </c>
      <c r="K5368" s="3" t="s">
        <v>23</v>
      </c>
    </row>
    <row r="5369" spans="1:11" ht="42" customHeight="1">
      <c r="A5369" s="2" t="s">
        <v>10860</v>
      </c>
      <c r="B5369" s="2" t="s">
        <v>10861</v>
      </c>
      <c r="C5369" s="2" t="s">
        <v>109</v>
      </c>
      <c r="D5369" s="2" t="s">
        <v>74</v>
      </c>
      <c r="E5369" s="5">
        <v>-27866</v>
      </c>
      <c r="F5369" s="3" t="s">
        <v>1262</v>
      </c>
      <c r="G5369" s="3" t="s">
        <v>20</v>
      </c>
      <c r="H5369" s="2" t="s">
        <v>21</v>
      </c>
      <c r="I5369" s="2" t="s">
        <v>10862</v>
      </c>
      <c r="J5369" s="3" t="str">
        <f>HYPERLINK("https://www.boe.es/gazeta/dias/1823/09/14/pdfs/GES-1823-158.pdf#page=4","Abrir facsímil")</f>
        <v>Abrir facsímil</v>
      </c>
      <c r="K5369" s="3" t="s">
        <v>23</v>
      </c>
    </row>
    <row r="5370" spans="1:11" ht="42" customHeight="1">
      <c r="A5370" s="2" t="s">
        <v>10863</v>
      </c>
      <c r="B5370" s="2" t="s">
        <v>10864</v>
      </c>
      <c r="C5370" s="2" t="s">
        <v>84</v>
      </c>
      <c r="D5370" s="2" t="s">
        <v>74</v>
      </c>
      <c r="E5370" s="5">
        <v>-27960</v>
      </c>
      <c r="F5370" s="3" t="s">
        <v>682</v>
      </c>
      <c r="G5370" s="3" t="s">
        <v>815</v>
      </c>
      <c r="H5370" s="2" t="s">
        <v>21</v>
      </c>
      <c r="I5370" s="2" t="s">
        <v>10865</v>
      </c>
      <c r="J5370" s="3" t="str">
        <f>HYPERLINK("https://www.boe.es/gazeta/dias/1823/06/12/pdfs/GMD-1823-123.pdf#page=6","Abrir facsímil")</f>
        <v>Abrir facsímil</v>
      </c>
      <c r="K5370" s="3" t="s">
        <v>23</v>
      </c>
    </row>
    <row r="5371" spans="1:11" ht="42" customHeight="1">
      <c r="A5371" s="2" t="s">
        <v>10866</v>
      </c>
      <c r="B5371" s="2" t="s">
        <v>10867</v>
      </c>
      <c r="C5371" s="2" t="s">
        <v>17</v>
      </c>
      <c r="D5371" s="2" t="s">
        <v>18</v>
      </c>
      <c r="E5371" s="5">
        <v>-28061</v>
      </c>
      <c r="F5371" s="3" t="s">
        <v>704</v>
      </c>
      <c r="G5371" s="3" t="s">
        <v>39</v>
      </c>
      <c r="H5371" s="2" t="s">
        <v>21</v>
      </c>
      <c r="I5371" s="2" t="s">
        <v>10868</v>
      </c>
      <c r="J5371" s="3" t="str">
        <f>HYPERLINK("https://www.boe.es/gazeta/dias/1823/03/03/pdfs/GMD-1823-66.pdf#page=1","Abrir facsímil")</f>
        <v>Abrir facsímil</v>
      </c>
      <c r="K5371" s="3" t="s">
        <v>23</v>
      </c>
    </row>
    <row r="5372" spans="1:11" ht="42" customHeight="1">
      <c r="A5372" s="2" t="s">
        <v>10869</v>
      </c>
      <c r="B5372" s="2" t="s">
        <v>10870</v>
      </c>
      <c r="C5372" s="2" t="s">
        <v>73</v>
      </c>
      <c r="D5372" s="2" t="s">
        <v>74</v>
      </c>
      <c r="E5372" s="5">
        <v>-27980</v>
      </c>
      <c r="F5372" s="3" t="s">
        <v>1068</v>
      </c>
      <c r="G5372" s="3" t="s">
        <v>10871</v>
      </c>
      <c r="H5372" s="2" t="s">
        <v>21</v>
      </c>
      <c r="I5372" s="2" t="s">
        <v>10872</v>
      </c>
      <c r="J5372" s="3" t="str">
        <f>HYPERLINK("https://www.boe.es/gazeta/dias/1823/05/23/pdfs/GES-1823-44.pdf#page=2","Abrir facsímil")</f>
        <v>Abrir facsímil</v>
      </c>
      <c r="K5372" s="3" t="s">
        <v>23</v>
      </c>
    </row>
    <row r="5373" spans="1:11" ht="42" customHeight="1">
      <c r="A5373" s="2" t="s">
        <v>10873</v>
      </c>
      <c r="B5373" s="2" t="s">
        <v>10874</v>
      </c>
      <c r="C5373" s="2" t="s">
        <v>56</v>
      </c>
      <c r="D5373" s="2" t="s">
        <v>57</v>
      </c>
      <c r="E5373" s="5">
        <v>-27960</v>
      </c>
      <c r="F5373" s="3" t="s">
        <v>741</v>
      </c>
      <c r="G5373" s="3" t="s">
        <v>2680</v>
      </c>
      <c r="H5373" s="2" t="s">
        <v>21</v>
      </c>
      <c r="I5373" s="2" t="s">
        <v>10875</v>
      </c>
      <c r="J5373" s="3" t="str">
        <f>HYPERLINK("https://www.boe.es/gazeta/dias/1823/06/12/pdfs/GES-1823-66.pdf#page=6","Abrir facsímil")</f>
        <v>Abrir facsímil</v>
      </c>
      <c r="K5373" s="3" t="s">
        <v>23</v>
      </c>
    </row>
    <row r="5374" spans="1:11" ht="42" customHeight="1">
      <c r="A5374" s="2" t="s">
        <v>10876</v>
      </c>
      <c r="B5374" s="2" t="s">
        <v>10877</v>
      </c>
      <c r="C5374" s="2" t="s">
        <v>17</v>
      </c>
      <c r="D5374" s="2" t="s">
        <v>18</v>
      </c>
      <c r="E5374" s="5">
        <v>-27948</v>
      </c>
      <c r="F5374" s="3" t="s">
        <v>3752</v>
      </c>
      <c r="G5374" s="3" t="s">
        <v>39</v>
      </c>
      <c r="H5374" s="2" t="s">
        <v>21</v>
      </c>
      <c r="I5374" s="2" t="s">
        <v>10878</v>
      </c>
      <c r="J5374" s="3" t="str">
        <f>HYPERLINK("https://www.boe.es/gazeta/dias/1823/06/24/pdfs/GMD-1823-263.pdf#page=1","Abrir facsímil")</f>
        <v>Abrir facsímil</v>
      </c>
      <c r="K5374" s="3" t="s">
        <v>23</v>
      </c>
    </row>
    <row r="5375" spans="1:11" ht="42" customHeight="1">
      <c r="A5375" s="2" t="s">
        <v>10879</v>
      </c>
      <c r="B5375" s="2" t="s">
        <v>10879</v>
      </c>
      <c r="C5375" s="2" t="s">
        <v>56</v>
      </c>
      <c r="D5375" s="2" t="s">
        <v>57</v>
      </c>
      <c r="E5375" s="5">
        <v>-28061</v>
      </c>
      <c r="F5375" s="3" t="s">
        <v>704</v>
      </c>
      <c r="G5375" s="3" t="s">
        <v>59</v>
      </c>
      <c r="H5375" s="2" t="s">
        <v>21</v>
      </c>
      <c r="I5375" s="2" t="s">
        <v>10880</v>
      </c>
      <c r="J5375" s="3" t="str">
        <f>HYPERLINK("https://www.boe.es/gazeta/dias/1823/03/03/pdfs/GMD-1823-66.pdf#page=6","Abrir facsímil")</f>
        <v>Abrir facsímil</v>
      </c>
      <c r="K5375" s="3" t="s">
        <v>23</v>
      </c>
    </row>
    <row r="5376" spans="1:11" ht="42" customHeight="1">
      <c r="A5376" s="2" t="s">
        <v>10881</v>
      </c>
      <c r="B5376" s="2" t="s">
        <v>10882</v>
      </c>
      <c r="C5376" s="2" t="s">
        <v>17</v>
      </c>
      <c r="D5376" s="2" t="s">
        <v>18</v>
      </c>
      <c r="E5376" s="5">
        <v>-28062</v>
      </c>
      <c r="F5376" s="3" t="s">
        <v>1357</v>
      </c>
      <c r="G5376" s="3" t="s">
        <v>20</v>
      </c>
      <c r="H5376" s="2" t="s">
        <v>21</v>
      </c>
      <c r="I5376" s="2" t="s">
        <v>10883</v>
      </c>
      <c r="J5376" s="3" t="str">
        <f>HYPERLINK("https://www.boe.es/gazeta/dias/1823/03/02/pdfs/GMD-1823-65.pdf#page=4","Abrir facsímil")</f>
        <v>Abrir facsímil</v>
      </c>
      <c r="K5376" s="3" t="s">
        <v>23</v>
      </c>
    </row>
    <row r="5377" spans="1:11" ht="42" customHeight="1">
      <c r="A5377" s="2" t="s">
        <v>10884</v>
      </c>
      <c r="B5377" s="2" t="s">
        <v>10885</v>
      </c>
      <c r="C5377" s="2" t="s">
        <v>17</v>
      </c>
      <c r="D5377" s="2" t="s">
        <v>18</v>
      </c>
      <c r="E5377" s="5">
        <v>-28118</v>
      </c>
      <c r="F5377" s="3" t="s">
        <v>252</v>
      </c>
      <c r="G5377" s="3" t="s">
        <v>59</v>
      </c>
      <c r="H5377" s="2" t="s">
        <v>21</v>
      </c>
      <c r="I5377" s="2" t="s">
        <v>10886</v>
      </c>
      <c r="J5377" s="3" t="str">
        <f>HYPERLINK("https://www.boe.es/gazeta/dias/1823/01/05/pdfs/GMD-1823-5.pdf#page=6","Abrir facsímil")</f>
        <v>Abrir facsímil</v>
      </c>
      <c r="K5377" s="3" t="s">
        <v>23</v>
      </c>
    </row>
    <row r="5378" spans="1:11" ht="42" customHeight="1">
      <c r="A5378" s="2" t="s">
        <v>10887</v>
      </c>
      <c r="B5378" s="2" t="s">
        <v>10888</v>
      </c>
      <c r="C5378" s="2" t="s">
        <v>17</v>
      </c>
      <c r="D5378" s="2" t="s">
        <v>18</v>
      </c>
      <c r="E5378" s="5">
        <v>-28025</v>
      </c>
      <c r="F5378" s="3" t="s">
        <v>477</v>
      </c>
      <c r="G5378" s="3" t="s">
        <v>20</v>
      </c>
      <c r="H5378" s="2" t="s">
        <v>21</v>
      </c>
      <c r="I5378" s="2" t="s">
        <v>10889</v>
      </c>
      <c r="J5378" s="3" t="str">
        <f>HYPERLINK("https://www.boe.es/gazeta/dias/1823/04/08/pdfs/GMD-1823-103.pdf#page=4","Abrir facsímil")</f>
        <v>Abrir facsímil</v>
      </c>
      <c r="K5378" s="3" t="s">
        <v>23</v>
      </c>
    </row>
    <row r="5379" spans="1:11" ht="42" customHeight="1">
      <c r="A5379" s="2" t="s">
        <v>10890</v>
      </c>
      <c r="B5379" s="2" t="s">
        <v>10891</v>
      </c>
      <c r="C5379" s="2" t="s">
        <v>17</v>
      </c>
      <c r="D5379" s="2" t="s">
        <v>18</v>
      </c>
      <c r="E5379" s="5">
        <v>-28062</v>
      </c>
      <c r="F5379" s="3" t="s">
        <v>1357</v>
      </c>
      <c r="G5379" s="3" t="s">
        <v>20</v>
      </c>
      <c r="H5379" s="2" t="s">
        <v>21</v>
      </c>
      <c r="I5379" s="2" t="s">
        <v>10892</v>
      </c>
      <c r="J5379" s="3" t="str">
        <f>HYPERLINK("https://www.boe.es/gazeta/dias/1823/03/02/pdfs/GMD-1823-65.pdf#page=4","Abrir facsímil")</f>
        <v>Abrir facsímil</v>
      </c>
      <c r="K5379" s="3" t="s">
        <v>23</v>
      </c>
    </row>
    <row r="5380" spans="1:11" ht="42" customHeight="1">
      <c r="A5380" s="2" t="s">
        <v>10893</v>
      </c>
      <c r="B5380" s="2" t="s">
        <v>10894</v>
      </c>
      <c r="C5380" s="2" t="s">
        <v>17</v>
      </c>
      <c r="D5380" s="2" t="s">
        <v>18</v>
      </c>
      <c r="E5380" s="5">
        <v>-27923</v>
      </c>
      <c r="F5380" s="3" t="s">
        <v>354</v>
      </c>
      <c r="G5380" s="3" t="s">
        <v>39</v>
      </c>
      <c r="H5380" s="2" t="s">
        <v>21</v>
      </c>
      <c r="I5380" s="2" t="s">
        <v>10895</v>
      </c>
      <c r="J5380" s="3" t="str">
        <f>HYPERLINK("https://www.boe.es/gazeta/dias/1823/07/19/pdfs/GES-1823-100.pdf#page=1","Abrir facsímil")</f>
        <v>Abrir facsímil</v>
      </c>
      <c r="K5380" s="3" t="s">
        <v>23</v>
      </c>
    </row>
    <row r="5381" spans="1:11" ht="42" customHeight="1">
      <c r="A5381" s="2" t="s">
        <v>10896</v>
      </c>
      <c r="B5381" s="2" t="s">
        <v>10897</v>
      </c>
      <c r="C5381" s="2" t="s">
        <v>79</v>
      </c>
      <c r="D5381" s="2" t="s">
        <v>74</v>
      </c>
      <c r="E5381" s="5">
        <v>-27893</v>
      </c>
      <c r="F5381" s="3" t="s">
        <v>1893</v>
      </c>
      <c r="G5381" s="3" t="s">
        <v>1894</v>
      </c>
      <c r="H5381" s="2" t="s">
        <v>21</v>
      </c>
      <c r="I5381" s="2" t="s">
        <v>10898</v>
      </c>
      <c r="J5381" s="3" t="str">
        <f>HYPERLINK("https://www.boe.es/gazeta/dias/1823/08/18/pdfs/GES-1823-131.pdf#page=4","Abrir facsímil")</f>
        <v>Abrir facsímil</v>
      </c>
      <c r="K5381" s="3" t="s">
        <v>23</v>
      </c>
    </row>
    <row r="5382" spans="1:11" ht="42" customHeight="1">
      <c r="A5382" s="2" t="s">
        <v>10899</v>
      </c>
      <c r="B5382" s="2" t="s">
        <v>10900</v>
      </c>
      <c r="C5382" s="2" t="s">
        <v>17</v>
      </c>
      <c r="D5382" s="2" t="s">
        <v>18</v>
      </c>
      <c r="E5382" s="5">
        <v>-27905</v>
      </c>
      <c r="F5382" s="3" t="s">
        <v>236</v>
      </c>
      <c r="G5382" s="3" t="s">
        <v>27</v>
      </c>
      <c r="H5382" s="2" t="s">
        <v>21</v>
      </c>
      <c r="I5382" s="2" t="s">
        <v>10901</v>
      </c>
      <c r="J5382" s="3" t="str">
        <f>HYPERLINK("https://www.boe.es/gazeta/dias/1823/08/06/pdfs/GES-1823-119.pdf#page=2","Abrir facsímil")</f>
        <v>Abrir facsímil</v>
      </c>
      <c r="K5382" s="3" t="s">
        <v>23</v>
      </c>
    </row>
    <row r="5383" spans="1:11" ht="42" customHeight="1">
      <c r="A5383" s="2" t="s">
        <v>10902</v>
      </c>
      <c r="B5383" s="2" t="s">
        <v>10903</v>
      </c>
      <c r="C5383" s="2" t="s">
        <v>79</v>
      </c>
      <c r="D5383" s="2" t="s">
        <v>74</v>
      </c>
      <c r="E5383" s="5">
        <v>-28097</v>
      </c>
      <c r="F5383" s="3" t="s">
        <v>1368</v>
      </c>
      <c r="G5383" s="3" t="s">
        <v>48</v>
      </c>
      <c r="H5383" s="2" t="s">
        <v>21</v>
      </c>
      <c r="I5383" s="2" t="s">
        <v>10904</v>
      </c>
      <c r="J5383" s="3" t="str">
        <f>HYPERLINK("https://www.boe.es/gazeta/dias/1823/01/26/pdfs/GMD-1823-27.pdf#page=3","Abrir facsímil")</f>
        <v>Abrir facsímil</v>
      </c>
      <c r="K5383" s="3" t="s">
        <v>23</v>
      </c>
    </row>
    <row r="5384" spans="1:11" ht="42" customHeight="1">
      <c r="A5384" s="2" t="s">
        <v>10905</v>
      </c>
      <c r="B5384" s="2" t="s">
        <v>10906</v>
      </c>
      <c r="C5384" s="2" t="s">
        <v>79</v>
      </c>
      <c r="D5384" s="2" t="s">
        <v>74</v>
      </c>
      <c r="E5384" s="5">
        <v>-28037</v>
      </c>
      <c r="F5384" s="3" t="s">
        <v>192</v>
      </c>
      <c r="G5384" s="3" t="s">
        <v>48</v>
      </c>
      <c r="H5384" s="2" t="s">
        <v>21</v>
      </c>
      <c r="I5384" s="2" t="s">
        <v>10907</v>
      </c>
      <c r="J5384" s="3" t="str">
        <f>HYPERLINK("https://www.boe.es/gazeta/dias/1823/03/27/pdfs/GMD-1823-90.pdf#page=3","Abrir facsímil")</f>
        <v>Abrir facsímil</v>
      </c>
      <c r="K5384" s="3" t="s">
        <v>23</v>
      </c>
    </row>
    <row r="5385" spans="1:11" ht="42" customHeight="1">
      <c r="A5385" s="2" t="s">
        <v>10908</v>
      </c>
      <c r="B5385" s="2" t="s">
        <v>10908</v>
      </c>
      <c r="C5385" s="2" t="s">
        <v>17</v>
      </c>
      <c r="D5385" s="2" t="s">
        <v>18</v>
      </c>
      <c r="E5385" s="5">
        <v>-27928</v>
      </c>
      <c r="F5385" s="3" t="s">
        <v>1316</v>
      </c>
      <c r="G5385" s="3" t="s">
        <v>3173</v>
      </c>
      <c r="H5385" s="2" t="s">
        <v>21</v>
      </c>
      <c r="I5385" s="2" t="s">
        <v>10909</v>
      </c>
      <c r="J5385" s="3" t="str">
        <f>HYPERLINK("https://www.boe.es/gazeta/dias/1823/07/14/pdfs/GES-1823-94.pdf#page=1","Abrir facsímil")</f>
        <v>Abrir facsímil</v>
      </c>
      <c r="K5385" s="3" t="s">
        <v>23</v>
      </c>
    </row>
    <row r="5386" spans="1:11" ht="42" customHeight="1">
      <c r="A5386" s="2" t="s">
        <v>10910</v>
      </c>
      <c r="B5386" s="2" t="s">
        <v>10911</v>
      </c>
      <c r="C5386" s="2" t="s">
        <v>17</v>
      </c>
      <c r="D5386" s="2" t="s">
        <v>18</v>
      </c>
      <c r="E5386" s="5">
        <v>-28016</v>
      </c>
      <c r="F5386" s="3" t="s">
        <v>2259</v>
      </c>
      <c r="G5386" s="3" t="s">
        <v>20</v>
      </c>
      <c r="H5386" s="2" t="s">
        <v>21</v>
      </c>
      <c r="I5386" s="2" t="s">
        <v>10912</v>
      </c>
      <c r="J5386" s="3" t="str">
        <f>HYPERLINK("https://www.boe.es/gazeta/dias/1823/04/17/pdfs/GES-1823-7.pdf#page=4","Abrir facsímil")</f>
        <v>Abrir facsímil</v>
      </c>
      <c r="K5386" s="3" t="s">
        <v>23</v>
      </c>
    </row>
    <row r="5387" spans="1:11" ht="42" customHeight="1">
      <c r="A5387" s="2" t="s">
        <v>10913</v>
      </c>
      <c r="B5387" s="2" t="s">
        <v>10913</v>
      </c>
      <c r="C5387" s="2" t="s">
        <v>73</v>
      </c>
      <c r="D5387" s="2" t="s">
        <v>74</v>
      </c>
      <c r="E5387" s="5">
        <v>-27918</v>
      </c>
      <c r="F5387" s="3" t="s">
        <v>3181</v>
      </c>
      <c r="G5387" s="3" t="s">
        <v>3249</v>
      </c>
      <c r="H5387" s="2" t="s">
        <v>21</v>
      </c>
      <c r="I5387" s="2" t="s">
        <v>10914</v>
      </c>
      <c r="J5387" s="3" t="str">
        <f>HYPERLINK("https://www.boe.es/gazeta/dias/1823/07/24/pdfs/GES-1823-105.pdf#page=3","Abrir facsímil")</f>
        <v>Abrir facsímil</v>
      </c>
      <c r="K5387" s="3" t="s">
        <v>23</v>
      </c>
    </row>
    <row r="5388" spans="1:11" ht="42" customHeight="1">
      <c r="A5388" s="2" t="s">
        <v>10915</v>
      </c>
      <c r="B5388" s="2" t="s">
        <v>10915</v>
      </c>
      <c r="C5388" s="2" t="s">
        <v>79</v>
      </c>
      <c r="D5388" s="2" t="s">
        <v>74</v>
      </c>
      <c r="E5388" s="5">
        <v>-27914</v>
      </c>
      <c r="F5388" s="3" t="s">
        <v>776</v>
      </c>
      <c r="G5388" s="3" t="s">
        <v>39</v>
      </c>
      <c r="H5388" s="2" t="s">
        <v>21</v>
      </c>
      <c r="I5388" s="2" t="s">
        <v>10916</v>
      </c>
      <c r="J5388" s="3" t="str">
        <f>HYPERLINK("https://www.boe.es/gazeta/dias/1823/07/28/pdfs/GES-1823-109.pdf#page=1","Abrir facsímil")</f>
        <v>Abrir facsímil</v>
      </c>
      <c r="K5388" s="3" t="s">
        <v>23</v>
      </c>
    </row>
    <row r="5389" spans="1:11" ht="42" customHeight="1">
      <c r="A5389" s="2" t="s">
        <v>10917</v>
      </c>
      <c r="B5389" s="2" t="s">
        <v>10917</v>
      </c>
      <c r="C5389" s="2" t="s">
        <v>325</v>
      </c>
      <c r="D5389" s="2" t="s">
        <v>74</v>
      </c>
      <c r="E5389" s="5">
        <v>-28021</v>
      </c>
      <c r="F5389" s="3" t="s">
        <v>1054</v>
      </c>
      <c r="G5389" s="3" t="s">
        <v>1055</v>
      </c>
      <c r="H5389" s="2" t="s">
        <v>21</v>
      </c>
      <c r="I5389" s="2" t="s">
        <v>10918</v>
      </c>
      <c r="J5389" s="3" t="str">
        <f>HYPERLINK("https://www.boe.es/gazeta/dias/1823/04/12/pdfs/GMD-1823-107.pdf#page=4","Abrir facsímil")</f>
        <v>Abrir facsímil</v>
      </c>
      <c r="K5389" s="3" t="s">
        <v>23</v>
      </c>
    </row>
    <row r="5390" spans="1:11" ht="42" customHeight="1">
      <c r="A5390" s="2" t="s">
        <v>10917</v>
      </c>
      <c r="B5390" s="2" t="s">
        <v>10917</v>
      </c>
      <c r="C5390" s="2" t="s">
        <v>79</v>
      </c>
      <c r="D5390" s="2" t="s">
        <v>74</v>
      </c>
      <c r="E5390" s="5">
        <v>-27906</v>
      </c>
      <c r="F5390" s="3" t="s">
        <v>1527</v>
      </c>
      <c r="G5390" s="3" t="s">
        <v>59</v>
      </c>
      <c r="H5390" s="2" t="s">
        <v>21</v>
      </c>
      <c r="I5390" s="2" t="s">
        <v>10919</v>
      </c>
      <c r="J5390" s="3" t="str">
        <f>HYPERLINK("https://www.boe.es/gazeta/dias/1823/08/05/pdfs/GMD-1823-533.pdf#page=6","Abrir facsímil")</f>
        <v>Abrir facsímil</v>
      </c>
      <c r="K5390" s="3" t="s">
        <v>23</v>
      </c>
    </row>
    <row r="5391" spans="1:11" ht="42" customHeight="1">
      <c r="A5391" s="2" t="s">
        <v>10920</v>
      </c>
      <c r="B5391" s="2" t="s">
        <v>10921</v>
      </c>
      <c r="C5391" s="2" t="s">
        <v>17</v>
      </c>
      <c r="D5391" s="2" t="s">
        <v>18</v>
      </c>
      <c r="E5391" s="5">
        <v>-27969</v>
      </c>
      <c r="F5391" s="3" t="s">
        <v>204</v>
      </c>
      <c r="G5391" s="3" t="s">
        <v>20</v>
      </c>
      <c r="H5391" s="2" t="s">
        <v>21</v>
      </c>
      <c r="I5391" s="2" t="s">
        <v>10922</v>
      </c>
      <c r="J5391" s="3" t="str">
        <f>HYPERLINK("https://www.boe.es/gazeta/dias/1823/06/03/pdfs/GMD-1823-53.pdf#page=4","Abrir facsímil")</f>
        <v>Abrir facsímil</v>
      </c>
      <c r="K5391" s="3" t="s">
        <v>23</v>
      </c>
    </row>
    <row r="5392" spans="1:11" ht="42" customHeight="1">
      <c r="A5392" s="2" t="s">
        <v>10923</v>
      </c>
      <c r="B5392" s="2" t="s">
        <v>10923</v>
      </c>
      <c r="C5392" s="2" t="s">
        <v>56</v>
      </c>
      <c r="D5392" s="2" t="s">
        <v>57</v>
      </c>
      <c r="E5392" s="5">
        <v>-27914</v>
      </c>
      <c r="F5392" s="3" t="s">
        <v>776</v>
      </c>
      <c r="G5392" s="3" t="s">
        <v>27</v>
      </c>
      <c r="H5392" s="2" t="s">
        <v>21</v>
      </c>
      <c r="I5392" s="2" t="s">
        <v>10924</v>
      </c>
      <c r="J5392" s="3" t="str">
        <f>HYPERLINK("https://www.boe.es/gazeta/dias/1823/07/28/pdfs/GES-1823-109.pdf#page=2","Abrir facsímil")</f>
        <v>Abrir facsímil</v>
      </c>
      <c r="K5392" s="3" t="s">
        <v>23</v>
      </c>
    </row>
    <row r="5393" spans="1:11" ht="42" customHeight="1">
      <c r="A5393" s="2" t="s">
        <v>10925</v>
      </c>
      <c r="B5393" s="2" t="s">
        <v>10926</v>
      </c>
      <c r="C5393" s="2" t="s">
        <v>17</v>
      </c>
      <c r="D5393" s="2" t="s">
        <v>18</v>
      </c>
      <c r="E5393" s="5">
        <v>-28032</v>
      </c>
      <c r="F5393" s="3" t="s">
        <v>668</v>
      </c>
      <c r="G5393" s="3" t="s">
        <v>27</v>
      </c>
      <c r="H5393" s="2" t="s">
        <v>28</v>
      </c>
      <c r="I5393" s="2" t="s">
        <v>10927</v>
      </c>
      <c r="J5393" s="3" t="str">
        <f>HYPERLINK("https://www.boe.es/gazeta/dias/1823/04/01/pdfs/GMD-1823-95.pdf#page=2","Abrir facsímil")</f>
        <v>Abrir facsímil</v>
      </c>
      <c r="K5393" s="3" t="s">
        <v>30</v>
      </c>
    </row>
    <row r="5394" spans="1:11" ht="42" customHeight="1">
      <c r="A5394" s="2" t="s">
        <v>10928</v>
      </c>
      <c r="B5394" s="2" t="s">
        <v>10928</v>
      </c>
      <c r="C5394" s="2" t="s">
        <v>84</v>
      </c>
      <c r="D5394" s="2" t="s">
        <v>74</v>
      </c>
      <c r="E5394" s="5">
        <v>-28030</v>
      </c>
      <c r="F5394" s="3" t="s">
        <v>145</v>
      </c>
      <c r="G5394" s="3" t="s">
        <v>20</v>
      </c>
      <c r="H5394" s="2" t="s">
        <v>21</v>
      </c>
      <c r="I5394" s="2" t="s">
        <v>10929</v>
      </c>
      <c r="J5394" s="3" t="str">
        <f>HYPERLINK("https://www.boe.es/gazeta/dias/1823/04/03/pdfs/GMD-1823-97.pdf#page=4","Abrir facsímil")</f>
        <v>Abrir facsímil</v>
      </c>
      <c r="K5394" s="3" t="s">
        <v>23</v>
      </c>
    </row>
    <row r="5395" spans="1:11" ht="42" customHeight="1">
      <c r="A5395" s="2" t="s">
        <v>10928</v>
      </c>
      <c r="B5395" s="2" t="s">
        <v>10928</v>
      </c>
      <c r="C5395" s="2" t="s">
        <v>17</v>
      </c>
      <c r="D5395" s="2" t="s">
        <v>18</v>
      </c>
      <c r="E5395" s="5">
        <v>-28001</v>
      </c>
      <c r="F5395" s="3" t="s">
        <v>768</v>
      </c>
      <c r="G5395" s="3" t="s">
        <v>2756</v>
      </c>
      <c r="H5395" s="2" t="s">
        <v>21</v>
      </c>
      <c r="I5395" s="2" t="s">
        <v>10930</v>
      </c>
      <c r="J5395" s="3" t="str">
        <f>HYPERLINK("https://www.boe.es/gazeta/dias/1823/05/02/pdfs/GES-1823-22.pdf#page=6","Abrir facsímil")</f>
        <v>Abrir facsímil</v>
      </c>
      <c r="K5395" s="3" t="s">
        <v>23</v>
      </c>
    </row>
    <row r="5396" spans="1:11" ht="42" customHeight="1">
      <c r="A5396" s="2" t="s">
        <v>10931</v>
      </c>
      <c r="B5396" s="2" t="s">
        <v>10931</v>
      </c>
      <c r="C5396" s="2" t="s">
        <v>79</v>
      </c>
      <c r="D5396" s="2" t="s">
        <v>74</v>
      </c>
      <c r="E5396" s="5">
        <v>-28106</v>
      </c>
      <c r="F5396" s="3" t="s">
        <v>280</v>
      </c>
      <c r="G5396" s="3" t="s">
        <v>20</v>
      </c>
      <c r="H5396" s="2" t="s">
        <v>21</v>
      </c>
      <c r="I5396" s="2" t="s">
        <v>10932</v>
      </c>
      <c r="J5396" s="3" t="str">
        <f>HYPERLINK("https://www.boe.es/gazeta/dias/1823/01/17/pdfs/GMD-1823-17.pdf#page=4","Abrir facsímil")</f>
        <v>Abrir facsímil</v>
      </c>
      <c r="K5396" s="3" t="s">
        <v>23</v>
      </c>
    </row>
    <row r="5397" spans="1:11" ht="42" customHeight="1">
      <c r="A5397" s="2" t="s">
        <v>10933</v>
      </c>
      <c r="B5397" s="2" t="s">
        <v>10934</v>
      </c>
      <c r="C5397" s="2" t="s">
        <v>17</v>
      </c>
      <c r="D5397" s="2" t="s">
        <v>18</v>
      </c>
      <c r="E5397" s="5">
        <v>-28044</v>
      </c>
      <c r="F5397" s="3" t="s">
        <v>1930</v>
      </c>
      <c r="G5397" s="3" t="s">
        <v>20</v>
      </c>
      <c r="H5397" s="2" t="s">
        <v>21</v>
      </c>
      <c r="I5397" s="2" t="s">
        <v>10935</v>
      </c>
      <c r="J5397" s="3" t="str">
        <f>HYPERLINK("https://www.boe.es/gazeta/dias/1823/03/20/pdfs/GMD-1823-83.pdf#page=4","Abrir facsímil")</f>
        <v>Abrir facsímil</v>
      </c>
      <c r="K5397" s="3" t="s">
        <v>23</v>
      </c>
    </row>
    <row r="5398" spans="1:11" ht="42" customHeight="1">
      <c r="A5398" s="2" t="s">
        <v>10936</v>
      </c>
      <c r="B5398" s="2" t="s">
        <v>10936</v>
      </c>
      <c r="C5398" s="2" t="s">
        <v>79</v>
      </c>
      <c r="D5398" s="2" t="s">
        <v>74</v>
      </c>
      <c r="E5398" s="5">
        <v>-28011</v>
      </c>
      <c r="F5398" s="3" t="s">
        <v>2416</v>
      </c>
      <c r="G5398" s="3" t="s">
        <v>1966</v>
      </c>
      <c r="H5398" s="2" t="s">
        <v>21</v>
      </c>
      <c r="I5398" s="2" t="s">
        <v>10937</v>
      </c>
      <c r="J5398" s="3" t="str">
        <f>HYPERLINK("https://www.boe.es/gazeta/dias/1823/04/22/pdfs/GMD-1823-42.pdf#page=4","Abrir facsímil")</f>
        <v>Abrir facsímil</v>
      </c>
      <c r="K5398" s="3" t="s">
        <v>23</v>
      </c>
    </row>
    <row r="5399" spans="1:11" ht="42" customHeight="1">
      <c r="A5399" s="2" t="s">
        <v>10938</v>
      </c>
      <c r="B5399" s="2" t="s">
        <v>10939</v>
      </c>
      <c r="C5399" s="2" t="s">
        <v>73</v>
      </c>
      <c r="D5399" s="2" t="s">
        <v>74</v>
      </c>
      <c r="E5399" s="5">
        <v>-28082</v>
      </c>
      <c r="F5399" s="3" t="s">
        <v>468</v>
      </c>
      <c r="G5399" s="3" t="s">
        <v>59</v>
      </c>
      <c r="H5399" s="2" t="s">
        <v>21</v>
      </c>
      <c r="I5399" s="2" t="s">
        <v>10940</v>
      </c>
      <c r="J5399" s="3" t="str">
        <f>HYPERLINK("https://www.boe.es/gazeta/dias/1823/02/10/pdfs/GMD-1823-44.pdf#page=6","Abrir facsímil")</f>
        <v>Abrir facsímil</v>
      </c>
      <c r="K5399" s="3" t="s">
        <v>23</v>
      </c>
    </row>
    <row r="5400" spans="1:11" ht="42" customHeight="1">
      <c r="A5400" s="2" t="s">
        <v>10941</v>
      </c>
      <c r="B5400" s="2" t="s">
        <v>10942</v>
      </c>
      <c r="C5400" s="2" t="s">
        <v>17</v>
      </c>
      <c r="D5400" s="2" t="s">
        <v>18</v>
      </c>
      <c r="E5400" s="5">
        <v>-27977</v>
      </c>
      <c r="F5400" s="3" t="s">
        <v>1489</v>
      </c>
      <c r="G5400" s="3" t="s">
        <v>27</v>
      </c>
      <c r="H5400" s="2" t="s">
        <v>21</v>
      </c>
      <c r="I5400" s="2" t="s">
        <v>10943</v>
      </c>
      <c r="J5400" s="3" t="str">
        <f>HYPERLINK("https://www.boe.es/gazeta/dias/1823/05/26/pdfs/GES-1823-47.pdf#page=2","Abrir facsímil")</f>
        <v>Abrir facsímil</v>
      </c>
      <c r="K5400" s="3" t="s">
        <v>23</v>
      </c>
    </row>
    <row r="5401" spans="1:11" ht="42" customHeight="1">
      <c r="A5401" s="2" t="s">
        <v>10944</v>
      </c>
      <c r="B5401" s="2" t="s">
        <v>10945</v>
      </c>
      <c r="C5401" s="2" t="s">
        <v>56</v>
      </c>
      <c r="D5401" s="2" t="s">
        <v>57</v>
      </c>
      <c r="E5401" s="5">
        <v>-28011</v>
      </c>
      <c r="F5401" s="3" t="s">
        <v>2416</v>
      </c>
      <c r="G5401" s="3" t="s">
        <v>1966</v>
      </c>
      <c r="H5401" s="2" t="s">
        <v>21</v>
      </c>
      <c r="I5401" s="2" t="s">
        <v>10946</v>
      </c>
      <c r="J5401" s="3" t="str">
        <f>HYPERLINK("https://www.boe.es/gazeta/dias/1823/04/22/pdfs/GMD-1823-42.pdf#page=4","Abrir facsímil")</f>
        <v>Abrir facsímil</v>
      </c>
      <c r="K5401" s="3" t="s">
        <v>23</v>
      </c>
    </row>
    <row r="5402" spans="1:11" ht="42" customHeight="1">
      <c r="A5402" s="2" t="s">
        <v>10947</v>
      </c>
      <c r="B5402" s="2" t="s">
        <v>10948</v>
      </c>
      <c r="C5402" s="2" t="s">
        <v>17</v>
      </c>
      <c r="D5402" s="2" t="s">
        <v>18</v>
      </c>
      <c r="E5402" s="5">
        <v>-28048</v>
      </c>
      <c r="F5402" s="3" t="s">
        <v>399</v>
      </c>
      <c r="G5402" s="3" t="s">
        <v>59</v>
      </c>
      <c r="H5402" s="2" t="s">
        <v>21</v>
      </c>
      <c r="I5402" s="2" t="s">
        <v>10949</v>
      </c>
      <c r="J5402" s="3" t="str">
        <f>HYPERLINK("https://www.boe.es/gazeta/dias/1823/03/16/pdfs/GMD-1823-79.pdf#page=6","Abrir facsímil")</f>
        <v>Abrir facsímil</v>
      </c>
      <c r="K5402" s="3" t="s">
        <v>23</v>
      </c>
    </row>
    <row r="5403" spans="1:11" ht="42" customHeight="1">
      <c r="A5403" s="2" t="s">
        <v>10950</v>
      </c>
      <c r="B5403" s="2" t="s">
        <v>10950</v>
      </c>
      <c r="C5403" s="2" t="s">
        <v>79</v>
      </c>
      <c r="D5403" s="2" t="s">
        <v>74</v>
      </c>
      <c r="E5403" s="5">
        <v>-28116</v>
      </c>
      <c r="F5403" s="3" t="s">
        <v>134</v>
      </c>
      <c r="G5403" s="3" t="s">
        <v>20</v>
      </c>
      <c r="H5403" s="2" t="s">
        <v>21</v>
      </c>
      <c r="I5403" s="2" t="s">
        <v>10951</v>
      </c>
      <c r="J5403" s="3" t="str">
        <f>HYPERLINK("https://www.boe.es/gazeta/dias/1823/01/07/pdfs/GMD-1823-7.pdf#page=4","Abrir facsímil")</f>
        <v>Abrir facsímil</v>
      </c>
      <c r="K5403" s="3" t="s">
        <v>23</v>
      </c>
    </row>
    <row r="5404" spans="1:11" ht="42" customHeight="1">
      <c r="A5404" s="2" t="s">
        <v>10952</v>
      </c>
      <c r="B5404" s="2" t="s">
        <v>10952</v>
      </c>
      <c r="C5404" s="2" t="s">
        <v>17</v>
      </c>
      <c r="D5404" s="2" t="s">
        <v>18</v>
      </c>
      <c r="E5404" s="5">
        <v>-27908</v>
      </c>
      <c r="F5404" s="3" t="s">
        <v>80</v>
      </c>
      <c r="G5404" s="3" t="s">
        <v>27</v>
      </c>
      <c r="H5404" s="2" t="s">
        <v>21</v>
      </c>
      <c r="I5404" s="2" t="s">
        <v>10953</v>
      </c>
      <c r="J5404" s="3" t="str">
        <f>HYPERLINK("https://www.boe.es/gazeta/dias/1823/08/03/pdfs/GES-1823-115.pdf#page=2","Abrir facsímil")</f>
        <v>Abrir facsímil</v>
      </c>
      <c r="K5404" s="3" t="s">
        <v>23</v>
      </c>
    </row>
    <row r="5405" spans="1:11" ht="42" customHeight="1">
      <c r="A5405" s="2" t="s">
        <v>10954</v>
      </c>
      <c r="B5405" s="2" t="s">
        <v>10955</v>
      </c>
      <c r="C5405" s="2" t="s">
        <v>293</v>
      </c>
      <c r="D5405" s="2" t="s">
        <v>74</v>
      </c>
      <c r="E5405" s="5">
        <v>-28052</v>
      </c>
      <c r="F5405" s="3" t="s">
        <v>1025</v>
      </c>
      <c r="G5405" s="3" t="s">
        <v>59</v>
      </c>
      <c r="H5405" s="2" t="s">
        <v>21</v>
      </c>
      <c r="I5405" s="2" t="s">
        <v>10956</v>
      </c>
      <c r="J5405" s="3" t="str">
        <f>HYPERLINK("https://www.boe.es/gazeta/dias/1823/03/12/pdfs/GMD-1823-75.pdf#page=6","Abrir facsímil")</f>
        <v>Abrir facsímil</v>
      </c>
      <c r="K5405" s="3" t="s">
        <v>23</v>
      </c>
    </row>
    <row r="5406" spans="1:11" ht="42" customHeight="1">
      <c r="A5406" s="2" t="s">
        <v>10957</v>
      </c>
      <c r="B5406" s="2" t="s">
        <v>10958</v>
      </c>
      <c r="C5406" s="2" t="s">
        <v>56</v>
      </c>
      <c r="D5406" s="2" t="s">
        <v>57</v>
      </c>
      <c r="E5406" s="5">
        <v>-27813</v>
      </c>
      <c r="F5406" s="3" t="s">
        <v>1600</v>
      </c>
      <c r="G5406" s="3" t="s">
        <v>48</v>
      </c>
      <c r="H5406" s="2" t="s">
        <v>21</v>
      </c>
      <c r="I5406" s="2" t="s">
        <v>10959</v>
      </c>
      <c r="J5406" s="3" t="str">
        <f>HYPERLINK("https://www.boe.es/gazeta/dias/1823/11/06/pdfs/GMD-1823-1073.pdf#page=3","Abrir facsímil")</f>
        <v>Abrir facsímil</v>
      </c>
      <c r="K5406" s="3" t="s">
        <v>23</v>
      </c>
    </row>
    <row r="5407" spans="1:11" ht="42" customHeight="1">
      <c r="A5407" s="2" t="s">
        <v>10960</v>
      </c>
      <c r="B5407" s="2" t="s">
        <v>10960</v>
      </c>
      <c r="C5407" s="2" t="s">
        <v>109</v>
      </c>
      <c r="D5407" s="2" t="s">
        <v>74</v>
      </c>
      <c r="E5407" s="5">
        <v>-27993</v>
      </c>
      <c r="F5407" s="3" t="s">
        <v>1062</v>
      </c>
      <c r="G5407" s="3" t="s">
        <v>20</v>
      </c>
      <c r="H5407" s="2" t="s">
        <v>21</v>
      </c>
      <c r="I5407" s="2" t="s">
        <v>10961</v>
      </c>
      <c r="J5407" s="3" t="str">
        <f>HYPERLINK("https://www.boe.es/gazeta/dias/1823/05/10/pdfs/GMD-1823-122.pdf#page=4","Abrir facsímil")</f>
        <v>Abrir facsímil</v>
      </c>
      <c r="K5407" s="3" t="s">
        <v>23</v>
      </c>
    </row>
    <row r="5408" spans="1:11" ht="42" customHeight="1">
      <c r="A5408" s="2" t="s">
        <v>10962</v>
      </c>
      <c r="B5408" s="2" t="s">
        <v>10962</v>
      </c>
      <c r="C5408" s="2" t="s">
        <v>17</v>
      </c>
      <c r="D5408" s="2" t="s">
        <v>18</v>
      </c>
      <c r="E5408" s="5">
        <v>-28084</v>
      </c>
      <c r="F5408" s="3" t="s">
        <v>1049</v>
      </c>
      <c r="G5408" s="3" t="s">
        <v>48</v>
      </c>
      <c r="H5408" s="2" t="s">
        <v>21</v>
      </c>
      <c r="I5408" s="2" t="s">
        <v>10963</v>
      </c>
      <c r="J5408" s="3" t="str">
        <f>HYPERLINK("https://www.boe.es/gazeta/dias/1823/02/08/pdfs/GMD-1823-41.pdf#page=3","Abrir facsímil")</f>
        <v>Abrir facsímil</v>
      </c>
      <c r="K5408" s="3" t="s">
        <v>23</v>
      </c>
    </row>
    <row r="5409" spans="1:11" ht="42" customHeight="1">
      <c r="A5409" s="2" t="s">
        <v>10964</v>
      </c>
      <c r="B5409" s="2" t="s">
        <v>10964</v>
      </c>
      <c r="C5409" s="2" t="s">
        <v>17</v>
      </c>
      <c r="D5409" s="2" t="s">
        <v>18</v>
      </c>
      <c r="E5409" s="5">
        <v>-27926</v>
      </c>
      <c r="F5409" s="3" t="s">
        <v>2158</v>
      </c>
      <c r="G5409" s="3" t="s">
        <v>2159</v>
      </c>
      <c r="H5409" s="2" t="s">
        <v>21</v>
      </c>
      <c r="I5409" s="2" t="s">
        <v>10965</v>
      </c>
      <c r="J5409" s="3" t="str">
        <f>HYPERLINK("https://www.boe.es/gazeta/dias/1823/07/16/pdfs/GES-1823-96.pdf#page=2","Abrir facsímil")</f>
        <v>Abrir facsímil</v>
      </c>
      <c r="K5409" s="3" t="s">
        <v>23</v>
      </c>
    </row>
    <row r="5410" spans="1:11" ht="42" customHeight="1">
      <c r="A5410" s="2" t="s">
        <v>10964</v>
      </c>
      <c r="B5410" s="2" t="s">
        <v>10964</v>
      </c>
      <c r="C5410" s="2" t="s">
        <v>79</v>
      </c>
      <c r="D5410" s="2" t="s">
        <v>74</v>
      </c>
      <c r="E5410" s="5">
        <v>-27906</v>
      </c>
      <c r="F5410" s="3" t="s">
        <v>241</v>
      </c>
      <c r="G5410" s="3" t="s">
        <v>48</v>
      </c>
      <c r="H5410" s="2" t="s">
        <v>21</v>
      </c>
      <c r="I5410" s="2" t="s">
        <v>10966</v>
      </c>
      <c r="J5410" s="3" t="str">
        <f>HYPERLINK("https://www.boe.es/gazeta/dias/1823/08/05/pdfs/GES-1823-117.pdf#page=3","Abrir facsímil")</f>
        <v>Abrir facsímil</v>
      </c>
      <c r="K5410" s="3" t="s">
        <v>23</v>
      </c>
    </row>
    <row r="5411" spans="1:11" ht="42" customHeight="1">
      <c r="A5411" s="2" t="s">
        <v>10967</v>
      </c>
      <c r="B5411" s="2" t="s">
        <v>10967</v>
      </c>
      <c r="C5411" s="2" t="s">
        <v>79</v>
      </c>
      <c r="D5411" s="2" t="s">
        <v>74</v>
      </c>
      <c r="E5411" s="5">
        <v>-27968</v>
      </c>
      <c r="F5411" s="3" t="s">
        <v>1160</v>
      </c>
      <c r="G5411" s="3" t="s">
        <v>48</v>
      </c>
      <c r="H5411" s="2" t="s">
        <v>21</v>
      </c>
      <c r="I5411" s="2" t="s">
        <v>10968</v>
      </c>
      <c r="J5411" s="3" t="str">
        <f>HYPERLINK("https://www.boe.es/gazeta/dias/1823/06/04/pdfs/GES-1823-58.pdf#page=3","Abrir facsímil")</f>
        <v>Abrir facsímil</v>
      </c>
      <c r="K5411" s="3" t="s">
        <v>23</v>
      </c>
    </row>
    <row r="5412" spans="1:11" ht="42" customHeight="1">
      <c r="A5412" s="2" t="s">
        <v>10969</v>
      </c>
      <c r="B5412" s="2" t="s">
        <v>10970</v>
      </c>
      <c r="C5412" s="2" t="s">
        <v>56</v>
      </c>
      <c r="D5412" s="2" t="s">
        <v>57</v>
      </c>
      <c r="E5412" s="5">
        <v>-28038</v>
      </c>
      <c r="F5412" s="3" t="s">
        <v>2379</v>
      </c>
      <c r="G5412" s="3" t="s">
        <v>48</v>
      </c>
      <c r="H5412" s="2" t="s">
        <v>21</v>
      </c>
      <c r="I5412" s="2" t="s">
        <v>10971</v>
      </c>
      <c r="J5412" s="3" t="str">
        <f>HYPERLINK("https://www.boe.es/gazeta/dias/1823/03/26/pdfs/GMD-1823-89.pdf#page=3","Abrir facsímil")</f>
        <v>Abrir facsímil</v>
      </c>
      <c r="K5412" s="3" t="s">
        <v>23</v>
      </c>
    </row>
    <row r="5413" spans="1:11" ht="42" customHeight="1">
      <c r="A5413" s="2" t="s">
        <v>10972</v>
      </c>
      <c r="B5413" s="2" t="s">
        <v>10972</v>
      </c>
      <c r="C5413" s="2" t="s">
        <v>17</v>
      </c>
      <c r="D5413" s="2" t="s">
        <v>18</v>
      </c>
      <c r="E5413" s="5">
        <v>-28117</v>
      </c>
      <c r="F5413" s="3" t="s">
        <v>271</v>
      </c>
      <c r="G5413" s="3" t="s">
        <v>48</v>
      </c>
      <c r="H5413" s="2" t="s">
        <v>21</v>
      </c>
      <c r="I5413" s="2" t="s">
        <v>10973</v>
      </c>
      <c r="J5413" s="3" t="str">
        <f>HYPERLINK("https://www.boe.es/gazeta/dias/1823/01/06/pdfs/GMD-1823-6.pdf#page=3","Abrir facsímil")</f>
        <v>Abrir facsímil</v>
      </c>
      <c r="K5413" s="3" t="s">
        <v>23</v>
      </c>
    </row>
    <row r="5414" spans="1:11" ht="42" customHeight="1">
      <c r="A5414" s="2" t="s">
        <v>10972</v>
      </c>
      <c r="B5414" s="2" t="s">
        <v>10972</v>
      </c>
      <c r="C5414" s="2" t="s">
        <v>56</v>
      </c>
      <c r="D5414" s="2" t="s">
        <v>57</v>
      </c>
      <c r="E5414" s="5">
        <v>-28115</v>
      </c>
      <c r="F5414" s="3" t="s">
        <v>579</v>
      </c>
      <c r="G5414" s="3" t="s">
        <v>27</v>
      </c>
      <c r="H5414" s="2" t="s">
        <v>21</v>
      </c>
      <c r="I5414" s="2" t="s">
        <v>10974</v>
      </c>
      <c r="J5414" s="3" t="str">
        <f>HYPERLINK("https://www.boe.es/gazeta/dias/1823/01/08/pdfs/GMD-1823-8.pdf#page=2","Abrir facsímil")</f>
        <v>Abrir facsímil</v>
      </c>
      <c r="K5414" s="3" t="s">
        <v>23</v>
      </c>
    </row>
    <row r="5415" spans="1:11" ht="42" customHeight="1">
      <c r="A5415" s="2" t="s">
        <v>10972</v>
      </c>
      <c r="B5415" s="2" t="s">
        <v>10972</v>
      </c>
      <c r="C5415" s="2" t="s">
        <v>109</v>
      </c>
      <c r="D5415" s="2" t="s">
        <v>74</v>
      </c>
      <c r="E5415" s="5">
        <v>-28083</v>
      </c>
      <c r="F5415" s="3" t="s">
        <v>291</v>
      </c>
      <c r="G5415" s="3" t="s">
        <v>20</v>
      </c>
      <c r="H5415" s="2" t="s">
        <v>21</v>
      </c>
      <c r="I5415" s="2" t="s">
        <v>10975</v>
      </c>
      <c r="J5415" s="3" t="str">
        <f>HYPERLINK("https://www.boe.es/gazeta/dias/1823/02/09/pdfs/GMD-1823-43.pdf#page=4","Abrir facsímil")</f>
        <v>Abrir facsímil</v>
      </c>
      <c r="K5415" s="3" t="s">
        <v>23</v>
      </c>
    </row>
    <row r="5416" spans="1:11" ht="42" customHeight="1">
      <c r="A5416" s="2" t="s">
        <v>10972</v>
      </c>
      <c r="B5416" s="2" t="s">
        <v>10972</v>
      </c>
      <c r="C5416" s="2" t="s">
        <v>56</v>
      </c>
      <c r="D5416" s="2" t="s">
        <v>57</v>
      </c>
      <c r="E5416" s="5">
        <v>-28081</v>
      </c>
      <c r="F5416" s="3" t="s">
        <v>170</v>
      </c>
      <c r="G5416" s="3" t="s">
        <v>48</v>
      </c>
      <c r="H5416" s="2" t="s">
        <v>21</v>
      </c>
      <c r="I5416" s="2" t="s">
        <v>10976</v>
      </c>
      <c r="J5416" s="3" t="str">
        <f>HYPERLINK("https://www.boe.es/gazeta/dias/1823/02/11/pdfs/GMD-1823-45.pdf#page=3","Abrir facsímil")</f>
        <v>Abrir facsímil</v>
      </c>
      <c r="K5416" s="3" t="s">
        <v>23</v>
      </c>
    </row>
    <row r="5417" spans="1:11" ht="42" customHeight="1">
      <c r="A5417" s="2" t="s">
        <v>10972</v>
      </c>
      <c r="B5417" s="2" t="s">
        <v>10972</v>
      </c>
      <c r="C5417" s="2" t="s">
        <v>79</v>
      </c>
      <c r="D5417" s="2" t="s">
        <v>74</v>
      </c>
      <c r="E5417" s="5">
        <v>-28061</v>
      </c>
      <c r="F5417" s="3" t="s">
        <v>704</v>
      </c>
      <c r="G5417" s="3" t="s">
        <v>48</v>
      </c>
      <c r="H5417" s="2" t="s">
        <v>21</v>
      </c>
      <c r="I5417" s="2" t="s">
        <v>10977</v>
      </c>
      <c r="J5417" s="3" t="str">
        <f>HYPERLINK("https://www.boe.es/gazeta/dias/1823/03/03/pdfs/GMD-1823-66.pdf#page=3","Abrir facsímil")</f>
        <v>Abrir facsímil</v>
      </c>
      <c r="K5417" s="3" t="s">
        <v>23</v>
      </c>
    </row>
    <row r="5418" spans="1:11" ht="42" customHeight="1">
      <c r="A5418" s="2" t="s">
        <v>10972</v>
      </c>
      <c r="B5418" s="2" t="s">
        <v>10972</v>
      </c>
      <c r="C5418" s="2" t="s">
        <v>79</v>
      </c>
      <c r="D5418" s="2" t="s">
        <v>74</v>
      </c>
      <c r="E5418" s="5">
        <v>-28060</v>
      </c>
      <c r="F5418" s="3" t="s">
        <v>180</v>
      </c>
      <c r="G5418" s="3" t="s">
        <v>27</v>
      </c>
      <c r="H5418" s="2" t="s">
        <v>21</v>
      </c>
      <c r="I5418" s="2" t="s">
        <v>10978</v>
      </c>
      <c r="J5418" s="3" t="str">
        <f>HYPERLINK("https://www.boe.es/gazeta/dias/1823/03/04/pdfs/GMD-1823-67.pdf#page=2","Abrir facsímil")</f>
        <v>Abrir facsímil</v>
      </c>
      <c r="K5418" s="3" t="s">
        <v>23</v>
      </c>
    </row>
    <row r="5419" spans="1:11" ht="42" customHeight="1">
      <c r="A5419" s="2" t="s">
        <v>10972</v>
      </c>
      <c r="B5419" s="2" t="s">
        <v>10972</v>
      </c>
      <c r="C5419" s="2" t="s">
        <v>73</v>
      </c>
      <c r="D5419" s="2" t="s">
        <v>74</v>
      </c>
      <c r="E5419" s="5">
        <v>-28057</v>
      </c>
      <c r="F5419" s="3" t="s">
        <v>301</v>
      </c>
      <c r="G5419" s="3" t="s">
        <v>20</v>
      </c>
      <c r="H5419" s="2" t="s">
        <v>21</v>
      </c>
      <c r="I5419" s="2" t="s">
        <v>10979</v>
      </c>
      <c r="J5419" s="3" t="str">
        <f>HYPERLINK("https://www.boe.es/gazeta/dias/1823/03/07/pdfs/GMD-1823-70.pdf#page=4","Abrir facsímil")</f>
        <v>Abrir facsímil</v>
      </c>
      <c r="K5419" s="3" t="s">
        <v>23</v>
      </c>
    </row>
    <row r="5420" spans="1:11" ht="42" customHeight="1">
      <c r="A5420" s="2" t="s">
        <v>10972</v>
      </c>
      <c r="B5420" s="2" t="s">
        <v>10972</v>
      </c>
      <c r="C5420" s="2" t="s">
        <v>79</v>
      </c>
      <c r="D5420" s="2" t="s">
        <v>74</v>
      </c>
      <c r="E5420" s="5">
        <v>-28056</v>
      </c>
      <c r="F5420" s="3" t="s">
        <v>572</v>
      </c>
      <c r="G5420" s="3" t="s">
        <v>34</v>
      </c>
      <c r="H5420" s="2" t="s">
        <v>21</v>
      </c>
      <c r="I5420" s="2" t="s">
        <v>10980</v>
      </c>
      <c r="J5420" s="3" t="str">
        <f>HYPERLINK("https://www.boe.es/gazeta/dias/1823/03/08/pdfs/GMD-1823-71.pdf#page=5","Abrir facsímil")</f>
        <v>Abrir facsímil</v>
      </c>
      <c r="K5420" s="3" t="s">
        <v>23</v>
      </c>
    </row>
    <row r="5421" spans="1:11" ht="42" customHeight="1">
      <c r="A5421" s="2" t="s">
        <v>10972</v>
      </c>
      <c r="B5421" s="2" t="s">
        <v>10972</v>
      </c>
      <c r="C5421" s="2" t="s">
        <v>17</v>
      </c>
      <c r="D5421" s="2" t="s">
        <v>18</v>
      </c>
      <c r="E5421" s="5">
        <v>-28048</v>
      </c>
      <c r="F5421" s="3" t="s">
        <v>399</v>
      </c>
      <c r="G5421" s="3" t="s">
        <v>20</v>
      </c>
      <c r="H5421" s="2" t="s">
        <v>21</v>
      </c>
      <c r="I5421" s="2" t="s">
        <v>10981</v>
      </c>
      <c r="J5421" s="3" t="str">
        <f>HYPERLINK("https://www.boe.es/gazeta/dias/1823/03/16/pdfs/GMD-1823-79.pdf#page=4","Abrir facsímil")</f>
        <v>Abrir facsímil</v>
      </c>
      <c r="K5421" s="3" t="s">
        <v>23</v>
      </c>
    </row>
    <row r="5422" spans="1:11" ht="42" customHeight="1">
      <c r="A5422" s="2" t="s">
        <v>10972</v>
      </c>
      <c r="B5422" s="2" t="s">
        <v>10972</v>
      </c>
      <c r="C5422" s="2" t="s">
        <v>56</v>
      </c>
      <c r="D5422" s="2" t="s">
        <v>57</v>
      </c>
      <c r="E5422" s="5">
        <v>-28047</v>
      </c>
      <c r="F5422" s="3" t="s">
        <v>2269</v>
      </c>
      <c r="G5422" s="3" t="s">
        <v>48</v>
      </c>
      <c r="H5422" s="2" t="s">
        <v>21</v>
      </c>
      <c r="I5422" s="2" t="s">
        <v>10982</v>
      </c>
      <c r="J5422" s="3" t="str">
        <f>HYPERLINK("https://www.boe.es/gazeta/dias/1823/03/17/pdfs/GMD-1823-80.pdf#page=3","Abrir facsímil")</f>
        <v>Abrir facsímil</v>
      </c>
      <c r="K5422" s="3" t="s">
        <v>23</v>
      </c>
    </row>
    <row r="5423" spans="1:11" ht="42" customHeight="1">
      <c r="A5423" s="2" t="s">
        <v>10972</v>
      </c>
      <c r="B5423" s="2" t="s">
        <v>10972</v>
      </c>
      <c r="C5423" s="2" t="s">
        <v>17</v>
      </c>
      <c r="D5423" s="2" t="s">
        <v>18</v>
      </c>
      <c r="E5423" s="5">
        <v>-28009</v>
      </c>
      <c r="F5423" s="3" t="s">
        <v>307</v>
      </c>
      <c r="G5423" s="3" t="s">
        <v>2107</v>
      </c>
      <c r="H5423" s="2" t="s">
        <v>21</v>
      </c>
      <c r="I5423" s="2" t="s">
        <v>10983</v>
      </c>
      <c r="J5423" s="3" t="str">
        <f>HYPERLINK("https://www.boe.es/gazeta/dias/1823/04/24/pdfs/GES-1823-14.pdf#page=4","Abrir facsímil")</f>
        <v>Abrir facsímil</v>
      </c>
      <c r="K5423" s="3" t="s">
        <v>23</v>
      </c>
    </row>
    <row r="5424" spans="1:11" ht="42" customHeight="1">
      <c r="A5424" s="2" t="s">
        <v>10972</v>
      </c>
      <c r="B5424" s="2" t="s">
        <v>10972</v>
      </c>
      <c r="C5424" s="2" t="s">
        <v>56</v>
      </c>
      <c r="D5424" s="2" t="s">
        <v>57</v>
      </c>
      <c r="E5424" s="5">
        <v>-28009</v>
      </c>
      <c r="F5424" s="3" t="s">
        <v>307</v>
      </c>
      <c r="G5424" s="3" t="s">
        <v>34</v>
      </c>
      <c r="H5424" s="2" t="s">
        <v>21</v>
      </c>
      <c r="I5424" s="2" t="s">
        <v>10984</v>
      </c>
      <c r="J5424" s="3" t="str">
        <f>HYPERLINK("https://www.boe.es/gazeta/dias/1823/04/24/pdfs/GES-1823-14.pdf#page=5","Abrir facsímil")</f>
        <v>Abrir facsímil</v>
      </c>
      <c r="K5424" s="3" t="s">
        <v>23</v>
      </c>
    </row>
    <row r="5425" spans="1:11" ht="42" customHeight="1">
      <c r="A5425" s="2" t="s">
        <v>10972</v>
      </c>
      <c r="B5425" s="2" t="s">
        <v>10972</v>
      </c>
      <c r="C5425" s="2" t="s">
        <v>17</v>
      </c>
      <c r="D5425" s="2" t="s">
        <v>18</v>
      </c>
      <c r="E5425" s="5">
        <v>-28008</v>
      </c>
      <c r="F5425" s="3" t="s">
        <v>309</v>
      </c>
      <c r="G5425" s="3" t="s">
        <v>27</v>
      </c>
      <c r="H5425" s="2" t="s">
        <v>21</v>
      </c>
      <c r="I5425" s="2" t="s">
        <v>10985</v>
      </c>
      <c r="J5425" s="3" t="str">
        <f>HYPERLINK("https://www.boe.es/gazeta/dias/1823/04/25/pdfs/GES-1823-15.pdf#page=2","Abrir facsímil")</f>
        <v>Abrir facsímil</v>
      </c>
      <c r="K5425" s="3" t="s">
        <v>23</v>
      </c>
    </row>
    <row r="5426" spans="1:11" ht="42" customHeight="1">
      <c r="A5426" s="2" t="s">
        <v>10972</v>
      </c>
      <c r="B5426" s="2" t="s">
        <v>10972</v>
      </c>
      <c r="C5426" s="2" t="s">
        <v>17</v>
      </c>
      <c r="D5426" s="2" t="s">
        <v>18</v>
      </c>
      <c r="E5426" s="5">
        <v>-28004</v>
      </c>
      <c r="F5426" s="3" t="s">
        <v>33</v>
      </c>
      <c r="G5426" s="3" t="s">
        <v>2112</v>
      </c>
      <c r="H5426" s="2" t="s">
        <v>21</v>
      </c>
      <c r="I5426" s="2" t="s">
        <v>10986</v>
      </c>
      <c r="J5426" s="3" t="str">
        <f>HYPERLINK("https://www.boe.es/gazeta/dias/1823/04/29/pdfs/GES-1823-19.pdf#page=4","Abrir facsímil")</f>
        <v>Abrir facsímil</v>
      </c>
      <c r="K5426" s="3" t="s">
        <v>23</v>
      </c>
    </row>
    <row r="5427" spans="1:11" ht="42" customHeight="1">
      <c r="A5427" s="2" t="s">
        <v>10972</v>
      </c>
      <c r="B5427" s="2" t="s">
        <v>10972</v>
      </c>
      <c r="C5427" s="2" t="s">
        <v>17</v>
      </c>
      <c r="D5427" s="2" t="s">
        <v>18</v>
      </c>
      <c r="E5427" s="5">
        <v>-28004</v>
      </c>
      <c r="F5427" s="3" t="s">
        <v>313</v>
      </c>
      <c r="G5427" s="3" t="s">
        <v>48</v>
      </c>
      <c r="H5427" s="2" t="s">
        <v>21</v>
      </c>
      <c r="I5427" s="2" t="s">
        <v>10987</v>
      </c>
      <c r="J5427" s="3" t="str">
        <f>HYPERLINK("https://www.boe.es/gazeta/dias/1823/04/29/pdfs/GMD-1823-72.pdf#page=3","Abrir facsímil")</f>
        <v>Abrir facsímil</v>
      </c>
      <c r="K5427" s="3" t="s">
        <v>23</v>
      </c>
    </row>
    <row r="5428" spans="1:11" ht="42" customHeight="1">
      <c r="A5428" s="2" t="s">
        <v>10972</v>
      </c>
      <c r="B5428" s="2" t="s">
        <v>10972</v>
      </c>
      <c r="C5428" s="2" t="s">
        <v>17</v>
      </c>
      <c r="D5428" s="2" t="s">
        <v>18</v>
      </c>
      <c r="E5428" s="5">
        <v>-28003</v>
      </c>
      <c r="F5428" s="3" t="s">
        <v>26</v>
      </c>
      <c r="G5428" s="3" t="s">
        <v>34</v>
      </c>
      <c r="H5428" s="2" t="s">
        <v>21</v>
      </c>
      <c r="I5428" s="2" t="s">
        <v>10988</v>
      </c>
      <c r="J5428" s="3" t="str">
        <f>HYPERLINK("https://www.boe.es/gazeta/dias/1823/04/30/pdfs/GES-1823-20.pdf#page=5","Abrir facsímil")</f>
        <v>Abrir facsímil</v>
      </c>
      <c r="K5428" s="3" t="s">
        <v>23</v>
      </c>
    </row>
    <row r="5429" spans="1:11" ht="42" customHeight="1">
      <c r="A5429" s="2" t="s">
        <v>10972</v>
      </c>
      <c r="B5429" s="2" t="s">
        <v>10972</v>
      </c>
      <c r="C5429" s="2" t="s">
        <v>17</v>
      </c>
      <c r="D5429" s="2" t="s">
        <v>18</v>
      </c>
      <c r="E5429" s="5">
        <v>-28002</v>
      </c>
      <c r="F5429" s="3" t="s">
        <v>315</v>
      </c>
      <c r="G5429" s="3" t="s">
        <v>48</v>
      </c>
      <c r="H5429" s="2" t="s">
        <v>21</v>
      </c>
      <c r="I5429" s="2" t="s">
        <v>10989</v>
      </c>
      <c r="J5429" s="3" t="str">
        <f>HYPERLINK("https://www.boe.es/gazeta/dias/1823/05/01/pdfs/GES-1823-21.pdf#page=3","Abrir facsímil")</f>
        <v>Abrir facsímil</v>
      </c>
      <c r="K5429" s="3" t="s">
        <v>23</v>
      </c>
    </row>
    <row r="5430" spans="1:11" ht="42" customHeight="1">
      <c r="A5430" s="2" t="s">
        <v>10972</v>
      </c>
      <c r="B5430" s="2" t="s">
        <v>10972</v>
      </c>
      <c r="C5430" s="2" t="s">
        <v>17</v>
      </c>
      <c r="D5430" s="2" t="s">
        <v>18</v>
      </c>
      <c r="E5430" s="5">
        <v>-28001</v>
      </c>
      <c r="F5430" s="3" t="s">
        <v>768</v>
      </c>
      <c r="G5430" s="3" t="s">
        <v>34</v>
      </c>
      <c r="H5430" s="2" t="s">
        <v>21</v>
      </c>
      <c r="I5430" s="2" t="s">
        <v>10990</v>
      </c>
      <c r="J5430" s="3" t="str">
        <f>HYPERLINK("https://www.boe.es/gazeta/dias/1823/05/02/pdfs/GES-1823-22.pdf#page=5","Abrir facsímil")</f>
        <v>Abrir facsímil</v>
      </c>
      <c r="K5430" s="3" t="s">
        <v>23</v>
      </c>
    </row>
    <row r="5431" spans="1:11" ht="42" customHeight="1">
      <c r="A5431" s="2" t="s">
        <v>10972</v>
      </c>
      <c r="B5431" s="2" t="s">
        <v>10972</v>
      </c>
      <c r="C5431" s="2" t="s">
        <v>109</v>
      </c>
      <c r="D5431" s="2" t="s">
        <v>74</v>
      </c>
      <c r="E5431" s="5">
        <v>-27999</v>
      </c>
      <c r="F5431" s="3" t="s">
        <v>97</v>
      </c>
      <c r="G5431" s="3" t="s">
        <v>48</v>
      </c>
      <c r="H5431" s="2" t="s">
        <v>21</v>
      </c>
      <c r="I5431" s="2" t="s">
        <v>10991</v>
      </c>
      <c r="J5431" s="3" t="str">
        <f>HYPERLINK("https://www.boe.es/gazeta/dias/1823/05/04/pdfs/GES-1823-24.pdf#page=3","Abrir facsímil")</f>
        <v>Abrir facsímil</v>
      </c>
      <c r="K5431" s="3" t="s">
        <v>23</v>
      </c>
    </row>
    <row r="5432" spans="1:11" ht="42" customHeight="1">
      <c r="A5432" s="2" t="s">
        <v>10972</v>
      </c>
      <c r="B5432" s="2" t="s">
        <v>10972</v>
      </c>
      <c r="C5432" s="2" t="s">
        <v>84</v>
      </c>
      <c r="D5432" s="2" t="s">
        <v>74</v>
      </c>
      <c r="E5432" s="5">
        <v>-27998</v>
      </c>
      <c r="F5432" s="3" t="s">
        <v>1058</v>
      </c>
      <c r="G5432" s="3" t="s">
        <v>20</v>
      </c>
      <c r="H5432" s="2" t="s">
        <v>21</v>
      </c>
      <c r="I5432" s="2" t="s">
        <v>10992</v>
      </c>
      <c r="J5432" s="3" t="str">
        <f>HYPERLINK("https://www.boe.es/gazeta/dias/1823/05/05/pdfs/GES-1823-25.pdf#page=4","Abrir facsímil")</f>
        <v>Abrir facsímil</v>
      </c>
      <c r="K5432" s="3" t="s">
        <v>23</v>
      </c>
    </row>
    <row r="5433" spans="1:11" ht="42" customHeight="1">
      <c r="A5433" s="2" t="s">
        <v>10972</v>
      </c>
      <c r="B5433" s="2" t="s">
        <v>10972</v>
      </c>
      <c r="C5433" s="2" t="s">
        <v>109</v>
      </c>
      <c r="D5433" s="2" t="s">
        <v>74</v>
      </c>
      <c r="E5433" s="5">
        <v>-27998</v>
      </c>
      <c r="F5433" s="3" t="s">
        <v>1058</v>
      </c>
      <c r="G5433" s="3" t="s">
        <v>34</v>
      </c>
      <c r="H5433" s="2" t="s">
        <v>21</v>
      </c>
      <c r="I5433" s="2" t="s">
        <v>10993</v>
      </c>
      <c r="J5433" s="3" t="str">
        <f>HYPERLINK("https://www.boe.es/gazeta/dias/1823/05/05/pdfs/GES-1823-25.pdf#page=5","Abrir facsímil")</f>
        <v>Abrir facsímil</v>
      </c>
      <c r="K5433" s="3" t="s">
        <v>23</v>
      </c>
    </row>
    <row r="5434" spans="1:11" ht="42" customHeight="1">
      <c r="A5434" s="2" t="s">
        <v>10972</v>
      </c>
      <c r="B5434" s="2" t="s">
        <v>10972</v>
      </c>
      <c r="C5434" s="2" t="s">
        <v>56</v>
      </c>
      <c r="D5434" s="2" t="s">
        <v>57</v>
      </c>
      <c r="E5434" s="5">
        <v>-27996</v>
      </c>
      <c r="F5434" s="3" t="s">
        <v>695</v>
      </c>
      <c r="G5434" s="3" t="s">
        <v>27</v>
      </c>
      <c r="H5434" s="2" t="s">
        <v>21</v>
      </c>
      <c r="I5434" s="2" t="s">
        <v>10994</v>
      </c>
      <c r="J5434" s="3" t="str">
        <f>HYPERLINK("https://www.boe.es/gazeta/dias/1823/05/07/pdfs/GES-1823-27.pdf#page=2","Abrir facsímil")</f>
        <v>Abrir facsímil</v>
      </c>
      <c r="K5434" s="3" t="s">
        <v>23</v>
      </c>
    </row>
    <row r="5435" spans="1:11" ht="42" customHeight="1">
      <c r="A5435" s="2" t="s">
        <v>10972</v>
      </c>
      <c r="B5435" s="2" t="s">
        <v>10972</v>
      </c>
      <c r="C5435" s="2" t="s">
        <v>109</v>
      </c>
      <c r="D5435" s="2" t="s">
        <v>74</v>
      </c>
      <c r="E5435" s="5">
        <v>-27995</v>
      </c>
      <c r="F5435" s="3" t="s">
        <v>320</v>
      </c>
      <c r="G5435" s="3" t="s">
        <v>321</v>
      </c>
      <c r="H5435" s="2" t="s">
        <v>21</v>
      </c>
      <c r="I5435" s="2" t="s">
        <v>10995</v>
      </c>
      <c r="J5435" s="3" t="str">
        <f>HYPERLINK("https://www.boe.es/gazeta/dias/1823/05/08/pdfs/GES-1823-28.pdf#page=3","Abrir facsímil")</f>
        <v>Abrir facsímil</v>
      </c>
      <c r="K5435" s="3" t="s">
        <v>23</v>
      </c>
    </row>
    <row r="5436" spans="1:11" ht="42" customHeight="1">
      <c r="A5436" s="2" t="s">
        <v>10972</v>
      </c>
      <c r="B5436" s="2" t="s">
        <v>10972</v>
      </c>
      <c r="C5436" s="2" t="s">
        <v>17</v>
      </c>
      <c r="D5436" s="2" t="s">
        <v>18</v>
      </c>
      <c r="E5436" s="5">
        <v>-27995</v>
      </c>
      <c r="F5436" s="3" t="s">
        <v>320</v>
      </c>
      <c r="G5436" s="3" t="s">
        <v>59</v>
      </c>
      <c r="H5436" s="2" t="s">
        <v>21</v>
      </c>
      <c r="I5436" s="2" t="s">
        <v>10996</v>
      </c>
      <c r="J5436" s="3" t="str">
        <f>HYPERLINK("https://www.boe.es/gazeta/dias/1823/05/08/pdfs/GES-1823-28.pdf#page=6","Abrir facsímil")</f>
        <v>Abrir facsímil</v>
      </c>
      <c r="K5436" s="3" t="s">
        <v>23</v>
      </c>
    </row>
    <row r="5437" spans="1:11" ht="42" customHeight="1">
      <c r="A5437" s="2" t="s">
        <v>10972</v>
      </c>
      <c r="B5437" s="2" t="s">
        <v>10972</v>
      </c>
      <c r="C5437" s="2" t="s">
        <v>73</v>
      </c>
      <c r="D5437" s="2" t="s">
        <v>74</v>
      </c>
      <c r="E5437" s="5">
        <v>-27994</v>
      </c>
      <c r="F5437" s="3" t="s">
        <v>714</v>
      </c>
      <c r="G5437" s="3" t="s">
        <v>4475</v>
      </c>
      <c r="H5437" s="2" t="s">
        <v>21</v>
      </c>
      <c r="I5437" s="2" t="s">
        <v>10997</v>
      </c>
      <c r="J5437" s="3" t="str">
        <f>HYPERLINK("https://www.boe.es/gazeta/dias/1823/05/09/pdfs/GES-1823-29.pdf#page=3","Abrir facsímil")</f>
        <v>Abrir facsímil</v>
      </c>
      <c r="K5437" s="3" t="s">
        <v>23</v>
      </c>
    </row>
    <row r="5438" spans="1:11" ht="42" customHeight="1">
      <c r="A5438" s="2" t="s">
        <v>10972</v>
      </c>
      <c r="B5438" s="2" t="s">
        <v>10972</v>
      </c>
      <c r="C5438" s="2" t="s">
        <v>73</v>
      </c>
      <c r="D5438" s="2" t="s">
        <v>74</v>
      </c>
      <c r="E5438" s="5">
        <v>-27994</v>
      </c>
      <c r="F5438" s="3" t="s">
        <v>714</v>
      </c>
      <c r="G5438" s="3" t="s">
        <v>20</v>
      </c>
      <c r="H5438" s="2" t="s">
        <v>21</v>
      </c>
      <c r="I5438" s="2" t="s">
        <v>10998</v>
      </c>
      <c r="J5438" s="3" t="str">
        <f>HYPERLINK("https://www.boe.es/gazeta/dias/1823/05/09/pdfs/GES-1823-29.pdf#page=4","Abrir facsímil")</f>
        <v>Abrir facsímil</v>
      </c>
      <c r="K5438" s="3" t="s">
        <v>23</v>
      </c>
    </row>
    <row r="5439" spans="1:11" ht="42" customHeight="1">
      <c r="A5439" s="2" t="s">
        <v>10972</v>
      </c>
      <c r="B5439" s="2" t="s">
        <v>10972</v>
      </c>
      <c r="C5439" s="2" t="s">
        <v>17</v>
      </c>
      <c r="D5439" s="2" t="s">
        <v>18</v>
      </c>
      <c r="E5439" s="5">
        <v>-27993</v>
      </c>
      <c r="F5439" s="3" t="s">
        <v>977</v>
      </c>
      <c r="G5439" s="3" t="s">
        <v>48</v>
      </c>
      <c r="H5439" s="2" t="s">
        <v>21</v>
      </c>
      <c r="I5439" s="2" t="s">
        <v>10999</v>
      </c>
      <c r="J5439" s="3" t="str">
        <f>HYPERLINK("https://www.boe.es/gazeta/dias/1823/05/10/pdfs/GES-1823-30.pdf#page=3","Abrir facsímil")</f>
        <v>Abrir facsímil</v>
      </c>
      <c r="K5439" s="3" t="s">
        <v>23</v>
      </c>
    </row>
    <row r="5440" spans="1:11" ht="42" customHeight="1">
      <c r="A5440" s="2" t="s">
        <v>10972</v>
      </c>
      <c r="B5440" s="2" t="s">
        <v>10972</v>
      </c>
      <c r="C5440" s="2" t="s">
        <v>56</v>
      </c>
      <c r="D5440" s="2" t="s">
        <v>57</v>
      </c>
      <c r="E5440" s="5">
        <v>-27990</v>
      </c>
      <c r="F5440" s="3" t="s">
        <v>330</v>
      </c>
      <c r="G5440" s="3" t="s">
        <v>27</v>
      </c>
      <c r="H5440" s="2" t="s">
        <v>21</v>
      </c>
      <c r="I5440" s="2" t="s">
        <v>11000</v>
      </c>
      <c r="J5440" s="3" t="str">
        <f>HYPERLINK("https://www.boe.es/gazeta/dias/1823/05/13/pdfs/GMD-1823-132.pdf#page=2","Abrir facsímil")</f>
        <v>Abrir facsímil</v>
      </c>
      <c r="K5440" s="3" t="s">
        <v>23</v>
      </c>
    </row>
    <row r="5441" spans="1:11" ht="42" customHeight="1">
      <c r="A5441" s="2" t="s">
        <v>10972</v>
      </c>
      <c r="B5441" s="2" t="s">
        <v>10972</v>
      </c>
      <c r="C5441" s="2" t="s">
        <v>73</v>
      </c>
      <c r="D5441" s="2" t="s">
        <v>74</v>
      </c>
      <c r="E5441" s="5">
        <v>-27989</v>
      </c>
      <c r="F5441" s="3" t="s">
        <v>1134</v>
      </c>
      <c r="G5441" s="3" t="s">
        <v>48</v>
      </c>
      <c r="H5441" s="2" t="s">
        <v>21</v>
      </c>
      <c r="I5441" s="2" t="s">
        <v>11001</v>
      </c>
      <c r="J5441" s="3" t="str">
        <f>HYPERLINK("https://www.boe.es/gazeta/dias/1823/05/14/pdfs/GES-1823-34.pdf#page=3","Abrir facsímil")</f>
        <v>Abrir facsímil</v>
      </c>
      <c r="K5441" s="3" t="s">
        <v>23</v>
      </c>
    </row>
    <row r="5442" spans="1:11" ht="42" customHeight="1">
      <c r="A5442" s="2" t="s">
        <v>10972</v>
      </c>
      <c r="B5442" s="2" t="s">
        <v>10972</v>
      </c>
      <c r="C5442" s="2" t="s">
        <v>109</v>
      </c>
      <c r="D5442" s="2" t="s">
        <v>74</v>
      </c>
      <c r="E5442" s="5">
        <v>-27985</v>
      </c>
      <c r="F5442" s="3" t="s">
        <v>951</v>
      </c>
      <c r="G5442" s="3" t="s">
        <v>39</v>
      </c>
      <c r="H5442" s="2" t="s">
        <v>21</v>
      </c>
      <c r="I5442" s="2" t="s">
        <v>11002</v>
      </c>
      <c r="J5442" s="3" t="str">
        <f>HYPERLINK("https://www.boe.es/gazeta/dias/1823/05/18/pdfs/GES-1823-38.pdf#page=1","Abrir facsímil")</f>
        <v>Abrir facsímil</v>
      </c>
      <c r="K5442" s="3" t="s">
        <v>23</v>
      </c>
    </row>
    <row r="5443" spans="1:11" ht="42" customHeight="1">
      <c r="A5443" s="2" t="s">
        <v>10972</v>
      </c>
      <c r="B5443" s="2" t="s">
        <v>10972</v>
      </c>
      <c r="C5443" s="2" t="s">
        <v>1477</v>
      </c>
      <c r="D5443" s="2" t="s">
        <v>57</v>
      </c>
      <c r="E5443" s="5">
        <v>-27985</v>
      </c>
      <c r="F5443" s="3" t="s">
        <v>951</v>
      </c>
      <c r="G5443" s="3" t="s">
        <v>48</v>
      </c>
      <c r="H5443" s="2" t="s">
        <v>21</v>
      </c>
      <c r="I5443" s="2" t="s">
        <v>11003</v>
      </c>
      <c r="J5443" s="3" t="str">
        <f>HYPERLINK("https://www.boe.es/gazeta/dias/1823/05/18/pdfs/GES-1823-38.pdf#page=3","Abrir facsímil")</f>
        <v>Abrir facsímil</v>
      </c>
      <c r="K5443" s="3" t="s">
        <v>23</v>
      </c>
    </row>
    <row r="5444" spans="1:11" ht="42" customHeight="1">
      <c r="A5444" s="2" t="s">
        <v>10972</v>
      </c>
      <c r="B5444" s="2" t="s">
        <v>10972</v>
      </c>
      <c r="C5444" s="2" t="s">
        <v>109</v>
      </c>
      <c r="D5444" s="2" t="s">
        <v>74</v>
      </c>
      <c r="E5444" s="5">
        <v>-27985</v>
      </c>
      <c r="F5444" s="3" t="s">
        <v>951</v>
      </c>
      <c r="G5444" s="3" t="s">
        <v>20</v>
      </c>
      <c r="H5444" s="2" t="s">
        <v>21</v>
      </c>
      <c r="I5444" s="2" t="s">
        <v>11004</v>
      </c>
      <c r="J5444" s="3" t="str">
        <f>HYPERLINK("https://www.boe.es/gazeta/dias/1823/05/18/pdfs/GES-1823-38.pdf#page=4","Abrir facsímil")</f>
        <v>Abrir facsímil</v>
      </c>
      <c r="K5444" s="3" t="s">
        <v>23</v>
      </c>
    </row>
    <row r="5445" spans="1:11" ht="42" customHeight="1">
      <c r="A5445" s="2" t="s">
        <v>10972</v>
      </c>
      <c r="B5445" s="2" t="s">
        <v>10972</v>
      </c>
      <c r="C5445" s="2" t="s">
        <v>109</v>
      </c>
      <c r="D5445" s="2" t="s">
        <v>74</v>
      </c>
      <c r="E5445" s="5">
        <v>-27984</v>
      </c>
      <c r="F5445" s="3" t="s">
        <v>335</v>
      </c>
      <c r="G5445" s="3" t="s">
        <v>34</v>
      </c>
      <c r="H5445" s="2" t="s">
        <v>21</v>
      </c>
      <c r="I5445" s="2" t="s">
        <v>11005</v>
      </c>
      <c r="J5445" s="3" t="str">
        <f>HYPERLINK("https://www.boe.es/gazeta/dias/1823/05/19/pdfs/GES-1823-39.pdf#page=5","Abrir facsímil")</f>
        <v>Abrir facsímil</v>
      </c>
      <c r="K5445" s="3" t="s">
        <v>23</v>
      </c>
    </row>
    <row r="5446" spans="1:11" ht="42" customHeight="1">
      <c r="A5446" s="2" t="s">
        <v>10972</v>
      </c>
      <c r="B5446" s="2" t="s">
        <v>10972</v>
      </c>
      <c r="C5446" s="2" t="s">
        <v>56</v>
      </c>
      <c r="D5446" s="2" t="s">
        <v>57</v>
      </c>
      <c r="E5446" s="5">
        <v>-27982</v>
      </c>
      <c r="F5446" s="3" t="s">
        <v>340</v>
      </c>
      <c r="G5446" s="3" t="s">
        <v>590</v>
      </c>
      <c r="H5446" s="2" t="s">
        <v>21</v>
      </c>
      <c r="I5446" s="2" t="s">
        <v>11006</v>
      </c>
      <c r="J5446" s="3" t="str">
        <f>HYPERLINK("https://www.boe.es/gazeta/dias/1823/05/21/pdfs/GES-1823-42.pdf#page=5","Abrir facsímil")</f>
        <v>Abrir facsímil</v>
      </c>
      <c r="K5446" s="3" t="s">
        <v>23</v>
      </c>
    </row>
    <row r="5447" spans="1:11" ht="42" customHeight="1">
      <c r="A5447" s="2" t="s">
        <v>10972</v>
      </c>
      <c r="B5447" s="2" t="s">
        <v>10972</v>
      </c>
      <c r="C5447" s="2" t="s">
        <v>17</v>
      </c>
      <c r="D5447" s="2" t="s">
        <v>18</v>
      </c>
      <c r="E5447" s="5">
        <v>-27982</v>
      </c>
      <c r="F5447" s="3" t="s">
        <v>340</v>
      </c>
      <c r="G5447" s="3" t="s">
        <v>20</v>
      </c>
      <c r="H5447" s="2" t="s">
        <v>21</v>
      </c>
      <c r="I5447" s="2" t="s">
        <v>11007</v>
      </c>
      <c r="J5447" s="3" t="str">
        <f>HYPERLINK("https://www.boe.es/gazeta/dias/1823/05/21/pdfs/GES-1823-42.pdf#page=4","Abrir facsímil")</f>
        <v>Abrir facsímil</v>
      </c>
      <c r="K5447" s="3" t="s">
        <v>23</v>
      </c>
    </row>
    <row r="5448" spans="1:11" ht="42" customHeight="1">
      <c r="A5448" s="2" t="s">
        <v>10972</v>
      </c>
      <c r="B5448" s="2" t="s">
        <v>10972</v>
      </c>
      <c r="C5448" s="2" t="s">
        <v>79</v>
      </c>
      <c r="D5448" s="2" t="s">
        <v>74</v>
      </c>
      <c r="E5448" s="5">
        <v>-27980</v>
      </c>
      <c r="F5448" s="3" t="s">
        <v>1068</v>
      </c>
      <c r="G5448" s="3" t="s">
        <v>34</v>
      </c>
      <c r="H5448" s="2" t="s">
        <v>21</v>
      </c>
      <c r="I5448" s="2" t="s">
        <v>11008</v>
      </c>
      <c r="J5448" s="3" t="str">
        <f>HYPERLINK("https://www.boe.es/gazeta/dias/1823/05/23/pdfs/GES-1823-44.pdf#page=5","Abrir facsímil")</f>
        <v>Abrir facsímil</v>
      </c>
      <c r="K5448" s="3" t="s">
        <v>23</v>
      </c>
    </row>
    <row r="5449" spans="1:11" ht="42" customHeight="1">
      <c r="A5449" s="2" t="s">
        <v>10972</v>
      </c>
      <c r="B5449" s="2" t="s">
        <v>10972</v>
      </c>
      <c r="C5449" s="2" t="s">
        <v>56</v>
      </c>
      <c r="D5449" s="2" t="s">
        <v>57</v>
      </c>
      <c r="E5449" s="5">
        <v>-27971</v>
      </c>
      <c r="F5449" s="3" t="s">
        <v>4211</v>
      </c>
      <c r="G5449" s="3" t="s">
        <v>39</v>
      </c>
      <c r="H5449" s="2" t="s">
        <v>21</v>
      </c>
      <c r="I5449" s="2" t="s">
        <v>11009</v>
      </c>
      <c r="J5449" s="3" t="str">
        <f>HYPERLINK("https://www.boe.es/gazeta/dias/1823/06/01/pdfs/GES-1823-55.pdf#page=1","Abrir facsímil")</f>
        <v>Abrir facsímil</v>
      </c>
      <c r="K5449" s="3" t="s">
        <v>23</v>
      </c>
    </row>
    <row r="5450" spans="1:11" ht="42" customHeight="1">
      <c r="A5450" s="2" t="s">
        <v>10972</v>
      </c>
      <c r="B5450" s="2" t="s">
        <v>10972</v>
      </c>
      <c r="C5450" s="2" t="s">
        <v>109</v>
      </c>
      <c r="D5450" s="2" t="s">
        <v>74</v>
      </c>
      <c r="E5450" s="5">
        <v>-27969</v>
      </c>
      <c r="F5450" s="3" t="s">
        <v>855</v>
      </c>
      <c r="G5450" s="3" t="s">
        <v>1158</v>
      </c>
      <c r="H5450" s="2" t="s">
        <v>21</v>
      </c>
      <c r="I5450" s="2" t="s">
        <v>11010</v>
      </c>
      <c r="J5450" s="3" t="str">
        <f>HYPERLINK("https://www.boe.es/gazeta/dias/1823/06/03/pdfs/GES-1823-57.pdf#page=2","Abrir facsímil")</f>
        <v>Abrir facsímil</v>
      </c>
      <c r="K5450" s="3" t="s">
        <v>23</v>
      </c>
    </row>
    <row r="5451" spans="1:11" ht="42" customHeight="1">
      <c r="A5451" s="2" t="s">
        <v>10972</v>
      </c>
      <c r="B5451" s="2" t="s">
        <v>10972</v>
      </c>
      <c r="C5451" s="2" t="s">
        <v>73</v>
      </c>
      <c r="D5451" s="2" t="s">
        <v>74</v>
      </c>
      <c r="E5451" s="5">
        <v>-27966</v>
      </c>
      <c r="F5451" s="3" t="s">
        <v>675</v>
      </c>
      <c r="G5451" s="3" t="s">
        <v>48</v>
      </c>
      <c r="H5451" s="2" t="s">
        <v>21</v>
      </c>
      <c r="I5451" s="2" t="s">
        <v>11011</v>
      </c>
      <c r="J5451" s="3" t="str">
        <f>HYPERLINK("https://www.boe.es/gazeta/dias/1823/06/06/pdfs/GES-1823-60.pdf#page=3","Abrir facsímil")</f>
        <v>Abrir facsímil</v>
      </c>
      <c r="K5451" s="3" t="s">
        <v>23</v>
      </c>
    </row>
    <row r="5452" spans="1:11" ht="42" customHeight="1">
      <c r="A5452" s="2" t="s">
        <v>10972</v>
      </c>
      <c r="B5452" s="2" t="s">
        <v>10972</v>
      </c>
      <c r="C5452" s="2" t="s">
        <v>56</v>
      </c>
      <c r="D5452" s="2" t="s">
        <v>57</v>
      </c>
      <c r="E5452" s="5">
        <v>-27966</v>
      </c>
      <c r="F5452" s="3" t="s">
        <v>675</v>
      </c>
      <c r="G5452" s="3" t="s">
        <v>20</v>
      </c>
      <c r="H5452" s="2" t="s">
        <v>21</v>
      </c>
      <c r="I5452" s="2" t="s">
        <v>11012</v>
      </c>
      <c r="J5452" s="3" t="str">
        <f>HYPERLINK("https://www.boe.es/gazeta/dias/1823/06/06/pdfs/GES-1823-60.pdf#page=4","Abrir facsímil")</f>
        <v>Abrir facsímil</v>
      </c>
      <c r="K5452" s="3" t="s">
        <v>23</v>
      </c>
    </row>
    <row r="5453" spans="1:11" ht="42" customHeight="1">
      <c r="A5453" s="2" t="s">
        <v>10972</v>
      </c>
      <c r="B5453" s="2" t="s">
        <v>10972</v>
      </c>
      <c r="C5453" s="2" t="s">
        <v>79</v>
      </c>
      <c r="D5453" s="2" t="s">
        <v>74</v>
      </c>
      <c r="E5453" s="5">
        <v>-27964</v>
      </c>
      <c r="F5453" s="3" t="s">
        <v>58</v>
      </c>
      <c r="G5453" s="3" t="s">
        <v>39</v>
      </c>
      <c r="H5453" s="2" t="s">
        <v>21</v>
      </c>
      <c r="I5453" s="2" t="s">
        <v>11013</v>
      </c>
      <c r="J5453" s="3" t="str">
        <f>HYPERLINK("https://www.boe.es/gazeta/dias/1823/06/08/pdfs/GES-1823-62.pdf#page=1","Abrir facsímil")</f>
        <v>Abrir facsímil</v>
      </c>
      <c r="K5453" s="3" t="s">
        <v>23</v>
      </c>
    </row>
    <row r="5454" spans="1:11" ht="42" customHeight="1">
      <c r="A5454" s="2" t="s">
        <v>10972</v>
      </c>
      <c r="B5454" s="2" t="s">
        <v>10972</v>
      </c>
      <c r="C5454" s="2" t="s">
        <v>79</v>
      </c>
      <c r="D5454" s="2" t="s">
        <v>74</v>
      </c>
      <c r="E5454" s="5">
        <v>-27963</v>
      </c>
      <c r="F5454" s="3" t="s">
        <v>344</v>
      </c>
      <c r="G5454" s="3" t="s">
        <v>39</v>
      </c>
      <c r="H5454" s="2" t="s">
        <v>21</v>
      </c>
      <c r="I5454" s="2" t="s">
        <v>11014</v>
      </c>
      <c r="J5454" s="3" t="str">
        <f>HYPERLINK("https://www.boe.es/gazeta/dias/1823/06/09/pdfs/GES-1823-63.pdf#page=1","Abrir facsímil")</f>
        <v>Abrir facsímil</v>
      </c>
      <c r="K5454" s="3" t="s">
        <v>23</v>
      </c>
    </row>
    <row r="5455" spans="1:11" ht="42" customHeight="1">
      <c r="A5455" s="2" t="s">
        <v>10972</v>
      </c>
      <c r="B5455" s="2" t="s">
        <v>10972</v>
      </c>
      <c r="C5455" s="2" t="s">
        <v>325</v>
      </c>
      <c r="D5455" s="2" t="s">
        <v>74</v>
      </c>
      <c r="E5455" s="5">
        <v>-27962</v>
      </c>
      <c r="F5455" s="3" t="s">
        <v>594</v>
      </c>
      <c r="G5455" s="3" t="s">
        <v>39</v>
      </c>
      <c r="H5455" s="2" t="s">
        <v>21</v>
      </c>
      <c r="I5455" s="2" t="s">
        <v>11015</v>
      </c>
      <c r="J5455" s="3" t="str">
        <f>HYPERLINK("https://www.boe.es/gazeta/dias/1823/06/10/pdfs/GES-1823-64.pdf#page=1","Abrir facsímil")</f>
        <v>Abrir facsímil</v>
      </c>
      <c r="K5455" s="3" t="s">
        <v>23</v>
      </c>
    </row>
    <row r="5456" spans="1:11" ht="42" customHeight="1">
      <c r="A5456" s="2" t="s">
        <v>10972</v>
      </c>
      <c r="B5456" s="2" t="s">
        <v>10972</v>
      </c>
      <c r="C5456" s="2" t="s">
        <v>56</v>
      </c>
      <c r="D5456" s="2" t="s">
        <v>57</v>
      </c>
      <c r="E5456" s="5">
        <v>-27943</v>
      </c>
      <c r="F5456" s="3" t="s">
        <v>346</v>
      </c>
      <c r="G5456" s="3" t="s">
        <v>27</v>
      </c>
      <c r="H5456" s="2" t="s">
        <v>21</v>
      </c>
      <c r="I5456" s="2" t="s">
        <v>11016</v>
      </c>
      <c r="J5456" s="3" t="str">
        <f>HYPERLINK("https://www.boe.es/gazeta/dias/1823/06/29/pdfs/GES-1823-79.pdf#page=2","Abrir facsímil")</f>
        <v>Abrir facsímil</v>
      </c>
      <c r="K5456" s="3" t="s">
        <v>23</v>
      </c>
    </row>
    <row r="5457" spans="1:11" ht="42" customHeight="1">
      <c r="A5457" s="2" t="s">
        <v>10972</v>
      </c>
      <c r="B5457" s="2" t="s">
        <v>10972</v>
      </c>
      <c r="C5457" s="2" t="s">
        <v>79</v>
      </c>
      <c r="D5457" s="2" t="s">
        <v>74</v>
      </c>
      <c r="E5457" s="5">
        <v>-27941</v>
      </c>
      <c r="F5457" s="3" t="s">
        <v>527</v>
      </c>
      <c r="G5457" s="3" t="s">
        <v>48</v>
      </c>
      <c r="H5457" s="2" t="s">
        <v>21</v>
      </c>
      <c r="I5457" s="2" t="s">
        <v>11017</v>
      </c>
      <c r="J5457" s="3" t="str">
        <f>HYPERLINK("https://www.boe.es/gazeta/dias/1823/07/01/pdfs/GES-1823-81.pdf#page=3","Abrir facsímil")</f>
        <v>Abrir facsímil</v>
      </c>
      <c r="K5457" s="3" t="s">
        <v>23</v>
      </c>
    </row>
    <row r="5458" spans="1:11" ht="42" customHeight="1">
      <c r="A5458" s="2" t="s">
        <v>10972</v>
      </c>
      <c r="B5458" s="2" t="s">
        <v>10972</v>
      </c>
      <c r="C5458" s="2" t="s">
        <v>56</v>
      </c>
      <c r="D5458" s="2" t="s">
        <v>57</v>
      </c>
      <c r="E5458" s="5">
        <v>-27941</v>
      </c>
      <c r="F5458" s="3" t="s">
        <v>527</v>
      </c>
      <c r="G5458" s="3" t="s">
        <v>20</v>
      </c>
      <c r="H5458" s="2" t="s">
        <v>21</v>
      </c>
      <c r="I5458" s="2" t="s">
        <v>11018</v>
      </c>
      <c r="J5458" s="3" t="str">
        <f>HYPERLINK("https://www.boe.es/gazeta/dias/1823/07/01/pdfs/GES-1823-81.pdf#page=4","Abrir facsímil")</f>
        <v>Abrir facsímil</v>
      </c>
      <c r="K5458" s="3" t="s">
        <v>23</v>
      </c>
    </row>
    <row r="5459" spans="1:11" ht="42" customHeight="1">
      <c r="A5459" s="2" t="s">
        <v>10972</v>
      </c>
      <c r="B5459" s="2" t="s">
        <v>10972</v>
      </c>
      <c r="C5459" s="2" t="s">
        <v>79</v>
      </c>
      <c r="D5459" s="2" t="s">
        <v>74</v>
      </c>
      <c r="E5459" s="5">
        <v>-27940</v>
      </c>
      <c r="F5459" s="3" t="s">
        <v>348</v>
      </c>
      <c r="G5459" s="3" t="s">
        <v>39</v>
      </c>
      <c r="H5459" s="2" t="s">
        <v>21</v>
      </c>
      <c r="I5459" s="2" t="s">
        <v>11019</v>
      </c>
      <c r="J5459" s="3" t="str">
        <f>HYPERLINK("https://www.boe.es/gazeta/dias/1823/07/02/pdfs/GES-1823-82.pdf#page=1","Abrir facsímil")</f>
        <v>Abrir facsímil</v>
      </c>
      <c r="K5459" s="3" t="s">
        <v>23</v>
      </c>
    </row>
    <row r="5460" spans="1:11" ht="42" customHeight="1">
      <c r="A5460" s="2" t="s">
        <v>10972</v>
      </c>
      <c r="B5460" s="2" t="s">
        <v>10972</v>
      </c>
      <c r="C5460" s="2" t="s">
        <v>17</v>
      </c>
      <c r="D5460" s="2" t="s">
        <v>18</v>
      </c>
      <c r="E5460" s="5">
        <v>-27940</v>
      </c>
      <c r="F5460" s="3" t="s">
        <v>348</v>
      </c>
      <c r="G5460" s="3" t="s">
        <v>48</v>
      </c>
      <c r="H5460" s="2" t="s">
        <v>21</v>
      </c>
      <c r="I5460" s="2" t="s">
        <v>11020</v>
      </c>
      <c r="J5460" s="3" t="str">
        <f>HYPERLINK("https://www.boe.es/gazeta/dias/1823/07/02/pdfs/GES-1823-82.pdf#page=3","Abrir facsímil")</f>
        <v>Abrir facsímil</v>
      </c>
      <c r="K5460" s="3" t="s">
        <v>23</v>
      </c>
    </row>
    <row r="5461" spans="1:11" ht="42" customHeight="1">
      <c r="A5461" s="2" t="s">
        <v>10972</v>
      </c>
      <c r="B5461" s="2" t="s">
        <v>10972</v>
      </c>
      <c r="C5461" s="2" t="s">
        <v>293</v>
      </c>
      <c r="D5461" s="2" t="s">
        <v>74</v>
      </c>
      <c r="E5461" s="5">
        <v>-27934</v>
      </c>
      <c r="F5461" s="3" t="s">
        <v>2155</v>
      </c>
      <c r="G5461" s="3" t="s">
        <v>48</v>
      </c>
      <c r="H5461" s="2" t="s">
        <v>21</v>
      </c>
      <c r="I5461" s="2" t="s">
        <v>11021</v>
      </c>
      <c r="J5461" s="3" t="str">
        <f>HYPERLINK("https://www.boe.es/gazeta/dias/1823/07/08/pdfs/GES-1823-88.pdf#page=3","Abrir facsímil")</f>
        <v>Abrir facsímil</v>
      </c>
      <c r="K5461" s="3" t="s">
        <v>23</v>
      </c>
    </row>
    <row r="5462" spans="1:11" ht="42" customHeight="1">
      <c r="A5462" s="2" t="s">
        <v>10972</v>
      </c>
      <c r="B5462" s="2" t="s">
        <v>10972</v>
      </c>
      <c r="C5462" s="2" t="s">
        <v>17</v>
      </c>
      <c r="D5462" s="2" t="s">
        <v>18</v>
      </c>
      <c r="E5462" s="5">
        <v>-27933</v>
      </c>
      <c r="F5462" s="3" t="s">
        <v>1079</v>
      </c>
      <c r="G5462" s="3" t="s">
        <v>48</v>
      </c>
      <c r="H5462" s="2" t="s">
        <v>21</v>
      </c>
      <c r="I5462" s="2" t="s">
        <v>11022</v>
      </c>
      <c r="J5462" s="3" t="str">
        <f>HYPERLINK("https://www.boe.es/gazeta/dias/1823/07/09/pdfs/GES-1823-89.pdf#page=3","Abrir facsímil")</f>
        <v>Abrir facsímil</v>
      </c>
      <c r="K5462" s="3" t="s">
        <v>23</v>
      </c>
    </row>
    <row r="5463" spans="1:11" ht="42" customHeight="1">
      <c r="A5463" s="2" t="s">
        <v>10972</v>
      </c>
      <c r="B5463" s="2" t="s">
        <v>10972</v>
      </c>
      <c r="C5463" s="2" t="s">
        <v>79</v>
      </c>
      <c r="D5463" s="2" t="s">
        <v>74</v>
      </c>
      <c r="E5463" s="5">
        <v>-27928</v>
      </c>
      <c r="F5463" s="3" t="s">
        <v>1316</v>
      </c>
      <c r="G5463" s="3" t="s">
        <v>3173</v>
      </c>
      <c r="H5463" s="2" t="s">
        <v>21</v>
      </c>
      <c r="I5463" s="2" t="s">
        <v>11023</v>
      </c>
      <c r="J5463" s="3" t="str">
        <f>HYPERLINK("https://www.boe.es/gazeta/dias/1823/07/14/pdfs/GES-1823-94.pdf#page=1","Abrir facsímil")</f>
        <v>Abrir facsímil</v>
      </c>
      <c r="K5463" s="3" t="s">
        <v>23</v>
      </c>
    </row>
    <row r="5464" spans="1:11" ht="42" customHeight="1">
      <c r="A5464" s="2" t="s">
        <v>10972</v>
      </c>
      <c r="B5464" s="2" t="s">
        <v>10972</v>
      </c>
      <c r="C5464" s="2" t="s">
        <v>109</v>
      </c>
      <c r="D5464" s="2" t="s">
        <v>74</v>
      </c>
      <c r="E5464" s="5">
        <v>-27927</v>
      </c>
      <c r="F5464" s="3" t="s">
        <v>1426</v>
      </c>
      <c r="G5464" s="3" t="s">
        <v>27</v>
      </c>
      <c r="H5464" s="2" t="s">
        <v>21</v>
      </c>
      <c r="I5464" s="2" t="s">
        <v>11024</v>
      </c>
      <c r="J5464" s="3" t="str">
        <f>HYPERLINK("https://www.boe.es/gazeta/dias/1823/07/15/pdfs/GES-1823-95.pdf#page=2","Abrir facsímil")</f>
        <v>Abrir facsímil</v>
      </c>
      <c r="K5464" s="3" t="s">
        <v>23</v>
      </c>
    </row>
    <row r="5465" spans="1:11" ht="42" customHeight="1">
      <c r="A5465" s="2" t="s">
        <v>10972</v>
      </c>
      <c r="B5465" s="2" t="s">
        <v>10972</v>
      </c>
      <c r="C5465" s="2" t="s">
        <v>56</v>
      </c>
      <c r="D5465" s="2" t="s">
        <v>57</v>
      </c>
      <c r="E5465" s="5">
        <v>-27925</v>
      </c>
      <c r="F5465" s="3" t="s">
        <v>89</v>
      </c>
      <c r="G5465" s="3" t="s">
        <v>27</v>
      </c>
      <c r="H5465" s="2" t="s">
        <v>21</v>
      </c>
      <c r="I5465" s="2" t="s">
        <v>11025</v>
      </c>
      <c r="J5465" s="3" t="str">
        <f>HYPERLINK("https://www.boe.es/gazeta/dias/1823/07/17/pdfs/GES-1823-97.pdf#page=2","Abrir facsímil")</f>
        <v>Abrir facsímil</v>
      </c>
      <c r="K5465" s="3" t="s">
        <v>23</v>
      </c>
    </row>
    <row r="5466" spans="1:11" ht="42" customHeight="1">
      <c r="A5466" s="2" t="s">
        <v>10972</v>
      </c>
      <c r="B5466" s="2" t="s">
        <v>10972</v>
      </c>
      <c r="C5466" s="2" t="s">
        <v>17</v>
      </c>
      <c r="D5466" s="2" t="s">
        <v>18</v>
      </c>
      <c r="E5466" s="5">
        <v>-27923</v>
      </c>
      <c r="F5466" s="3" t="s">
        <v>354</v>
      </c>
      <c r="G5466" s="3" t="s">
        <v>27</v>
      </c>
      <c r="H5466" s="2" t="s">
        <v>21</v>
      </c>
      <c r="I5466" s="2" t="s">
        <v>11026</v>
      </c>
      <c r="J5466" s="3" t="str">
        <f>HYPERLINK("https://www.boe.es/gazeta/dias/1823/07/19/pdfs/GES-1823-100.pdf#page=2","Abrir facsímil")</f>
        <v>Abrir facsímil</v>
      </c>
      <c r="K5466" s="3" t="s">
        <v>23</v>
      </c>
    </row>
    <row r="5467" spans="1:11" ht="42" customHeight="1">
      <c r="A5467" s="2" t="s">
        <v>10972</v>
      </c>
      <c r="B5467" s="2" t="s">
        <v>10972</v>
      </c>
      <c r="C5467" s="2" t="s">
        <v>17</v>
      </c>
      <c r="D5467" s="2" t="s">
        <v>18</v>
      </c>
      <c r="E5467" s="5">
        <v>-27922</v>
      </c>
      <c r="F5467" s="3" t="s">
        <v>1959</v>
      </c>
      <c r="G5467" s="3" t="s">
        <v>48</v>
      </c>
      <c r="H5467" s="2" t="s">
        <v>21</v>
      </c>
      <c r="I5467" s="2" t="s">
        <v>11027</v>
      </c>
      <c r="J5467" s="3" t="str">
        <f>HYPERLINK("https://www.boe.es/gazeta/dias/1823/07/20/pdfs/GES-1823-101.pdf#page=3","Abrir facsímil")</f>
        <v>Abrir facsímil</v>
      </c>
      <c r="K5467" s="3" t="s">
        <v>23</v>
      </c>
    </row>
    <row r="5468" spans="1:11" ht="42" customHeight="1">
      <c r="A5468" s="2" t="s">
        <v>10972</v>
      </c>
      <c r="B5468" s="2" t="s">
        <v>10972</v>
      </c>
      <c r="C5468" s="2" t="s">
        <v>109</v>
      </c>
      <c r="D5468" s="2" t="s">
        <v>74</v>
      </c>
      <c r="E5468" s="5">
        <v>-27920</v>
      </c>
      <c r="F5468" s="3" t="s">
        <v>358</v>
      </c>
      <c r="G5468" s="3" t="s">
        <v>39</v>
      </c>
      <c r="H5468" s="2" t="s">
        <v>21</v>
      </c>
      <c r="I5468" s="2" t="s">
        <v>11028</v>
      </c>
      <c r="J5468" s="3" t="str">
        <f>HYPERLINK("https://www.boe.es/gazeta/dias/1823/07/22/pdfs/GES-1823-103.pdf#page=1","Abrir facsímil")</f>
        <v>Abrir facsímil</v>
      </c>
      <c r="K5468" s="3" t="s">
        <v>23</v>
      </c>
    </row>
    <row r="5469" spans="1:11" ht="42" customHeight="1">
      <c r="A5469" s="2" t="s">
        <v>10972</v>
      </c>
      <c r="B5469" s="2" t="s">
        <v>10972</v>
      </c>
      <c r="C5469" s="2" t="s">
        <v>73</v>
      </c>
      <c r="D5469" s="2" t="s">
        <v>74</v>
      </c>
      <c r="E5469" s="5">
        <v>-27920</v>
      </c>
      <c r="F5469" s="3" t="s">
        <v>358</v>
      </c>
      <c r="G5469" s="3" t="s">
        <v>48</v>
      </c>
      <c r="H5469" s="2" t="s">
        <v>21</v>
      </c>
      <c r="I5469" s="2" t="s">
        <v>11029</v>
      </c>
      <c r="J5469" s="3" t="str">
        <f>HYPERLINK("https://www.boe.es/gazeta/dias/1823/07/22/pdfs/GES-1823-103.pdf#page=3","Abrir facsímil")</f>
        <v>Abrir facsímil</v>
      </c>
      <c r="K5469" s="3" t="s">
        <v>23</v>
      </c>
    </row>
    <row r="5470" spans="1:11" ht="42" customHeight="1">
      <c r="A5470" s="2" t="s">
        <v>10972</v>
      </c>
      <c r="B5470" s="2" t="s">
        <v>10972</v>
      </c>
      <c r="C5470" s="2" t="s">
        <v>79</v>
      </c>
      <c r="D5470" s="2" t="s">
        <v>74</v>
      </c>
      <c r="E5470" s="5">
        <v>-27918</v>
      </c>
      <c r="F5470" s="3" t="s">
        <v>3181</v>
      </c>
      <c r="G5470" s="3" t="s">
        <v>27</v>
      </c>
      <c r="H5470" s="2" t="s">
        <v>21</v>
      </c>
      <c r="I5470" s="2" t="s">
        <v>11030</v>
      </c>
      <c r="J5470" s="3" t="str">
        <f>HYPERLINK("https://www.boe.es/gazeta/dias/1823/07/24/pdfs/GES-1823-105.pdf#page=2","Abrir facsímil")</f>
        <v>Abrir facsímil</v>
      </c>
      <c r="K5470" s="3" t="s">
        <v>23</v>
      </c>
    </row>
    <row r="5471" spans="1:11" ht="42" customHeight="1">
      <c r="A5471" s="2" t="s">
        <v>10972</v>
      </c>
      <c r="B5471" s="2" t="s">
        <v>10972</v>
      </c>
      <c r="C5471" s="2" t="s">
        <v>109</v>
      </c>
      <c r="D5471" s="2" t="s">
        <v>74</v>
      </c>
      <c r="E5471" s="5">
        <v>-27916</v>
      </c>
      <c r="F5471" s="3" t="s">
        <v>772</v>
      </c>
      <c r="G5471" s="3" t="s">
        <v>39</v>
      </c>
      <c r="H5471" s="2" t="s">
        <v>21</v>
      </c>
      <c r="I5471" s="2" t="s">
        <v>11031</v>
      </c>
      <c r="J5471" s="3" t="str">
        <f>HYPERLINK("https://www.boe.es/gazeta/dias/1823/07/26/pdfs/GES-1823-107.pdf#page=1","Abrir facsímil")</f>
        <v>Abrir facsímil</v>
      </c>
      <c r="K5471" s="3" t="s">
        <v>23</v>
      </c>
    </row>
    <row r="5472" spans="1:11" ht="42" customHeight="1">
      <c r="A5472" s="2" t="s">
        <v>10972</v>
      </c>
      <c r="B5472" s="2" t="s">
        <v>10972</v>
      </c>
      <c r="C5472" s="2" t="s">
        <v>56</v>
      </c>
      <c r="D5472" s="2" t="s">
        <v>57</v>
      </c>
      <c r="E5472" s="5">
        <v>-27913</v>
      </c>
      <c r="F5472" s="3" t="s">
        <v>821</v>
      </c>
      <c r="G5472" s="3" t="s">
        <v>1204</v>
      </c>
      <c r="H5472" s="2" t="s">
        <v>21</v>
      </c>
      <c r="I5472" s="2" t="s">
        <v>11032</v>
      </c>
      <c r="J5472" s="3" t="str">
        <f>HYPERLINK("https://www.boe.es/gazeta/dias/1823/07/29/pdfs/GES-1823-110.pdf#page=2","Abrir facsímil")</f>
        <v>Abrir facsímil</v>
      </c>
      <c r="K5472" s="3" t="s">
        <v>23</v>
      </c>
    </row>
    <row r="5473" spans="1:11" ht="42" customHeight="1">
      <c r="A5473" s="2" t="s">
        <v>10972</v>
      </c>
      <c r="B5473" s="2" t="s">
        <v>10972</v>
      </c>
      <c r="C5473" s="2" t="s">
        <v>17</v>
      </c>
      <c r="D5473" s="2" t="s">
        <v>18</v>
      </c>
      <c r="E5473" s="5">
        <v>-27913</v>
      </c>
      <c r="F5473" s="3" t="s">
        <v>821</v>
      </c>
      <c r="G5473" s="3" t="s">
        <v>39</v>
      </c>
      <c r="H5473" s="2" t="s">
        <v>21</v>
      </c>
      <c r="I5473" s="2" t="s">
        <v>11033</v>
      </c>
      <c r="J5473" s="3" t="str">
        <f>HYPERLINK("https://www.boe.es/gazeta/dias/1823/07/29/pdfs/GES-1823-110.pdf#page=1","Abrir facsímil")</f>
        <v>Abrir facsímil</v>
      </c>
      <c r="K5473" s="3" t="s">
        <v>23</v>
      </c>
    </row>
    <row r="5474" spans="1:11" ht="42" customHeight="1">
      <c r="A5474" s="2" t="s">
        <v>10972</v>
      </c>
      <c r="B5474" s="2" t="s">
        <v>10972</v>
      </c>
      <c r="C5474" s="2" t="s">
        <v>73</v>
      </c>
      <c r="D5474" s="2" t="s">
        <v>74</v>
      </c>
      <c r="E5474" s="5">
        <v>-27909</v>
      </c>
      <c r="F5474" s="3" t="s">
        <v>948</v>
      </c>
      <c r="G5474" s="3" t="s">
        <v>27</v>
      </c>
      <c r="H5474" s="2" t="s">
        <v>21</v>
      </c>
      <c r="I5474" s="2" t="s">
        <v>11034</v>
      </c>
      <c r="J5474" s="3" t="str">
        <f>HYPERLINK("https://www.boe.es/gazeta/dias/1823/08/02/pdfs/GES-1823-114.pdf#page=2","Abrir facsímil")</f>
        <v>Abrir facsímil</v>
      </c>
      <c r="K5474" s="3" t="s">
        <v>23</v>
      </c>
    </row>
    <row r="5475" spans="1:11" ht="42" customHeight="1">
      <c r="A5475" s="2" t="s">
        <v>10972</v>
      </c>
      <c r="B5475" s="2" t="s">
        <v>10972</v>
      </c>
      <c r="C5475" s="2" t="s">
        <v>79</v>
      </c>
      <c r="D5475" s="2" t="s">
        <v>74</v>
      </c>
      <c r="E5475" s="5">
        <v>-27909</v>
      </c>
      <c r="F5475" s="3" t="s">
        <v>948</v>
      </c>
      <c r="G5475" s="3" t="s">
        <v>48</v>
      </c>
      <c r="H5475" s="2" t="s">
        <v>21</v>
      </c>
      <c r="I5475" s="2" t="s">
        <v>11035</v>
      </c>
      <c r="J5475" s="3" t="str">
        <f>HYPERLINK("https://www.boe.es/gazeta/dias/1823/08/02/pdfs/GES-1823-114.pdf#page=3","Abrir facsímil")</f>
        <v>Abrir facsímil</v>
      </c>
      <c r="K5475" s="3" t="s">
        <v>23</v>
      </c>
    </row>
    <row r="5476" spans="1:11" ht="42" customHeight="1">
      <c r="A5476" s="2" t="s">
        <v>10972</v>
      </c>
      <c r="B5476" s="2" t="s">
        <v>10972</v>
      </c>
      <c r="C5476" s="2" t="s">
        <v>109</v>
      </c>
      <c r="D5476" s="2" t="s">
        <v>74</v>
      </c>
      <c r="E5476" s="5">
        <v>-27908</v>
      </c>
      <c r="F5476" s="3" t="s">
        <v>80</v>
      </c>
      <c r="G5476" s="3" t="s">
        <v>27</v>
      </c>
      <c r="H5476" s="2" t="s">
        <v>21</v>
      </c>
      <c r="I5476" s="2" t="s">
        <v>11036</v>
      </c>
      <c r="J5476" s="3" t="str">
        <f>HYPERLINK("https://www.boe.es/gazeta/dias/1823/08/03/pdfs/GES-1823-115.pdf#page=2","Abrir facsímil")</f>
        <v>Abrir facsímil</v>
      </c>
      <c r="K5476" s="3" t="s">
        <v>23</v>
      </c>
    </row>
    <row r="5477" spans="1:11" ht="42" customHeight="1">
      <c r="A5477" s="2" t="s">
        <v>10972</v>
      </c>
      <c r="B5477" s="2" t="s">
        <v>10972</v>
      </c>
      <c r="C5477" s="2" t="s">
        <v>73</v>
      </c>
      <c r="D5477" s="2" t="s">
        <v>74</v>
      </c>
      <c r="E5477" s="5">
        <v>-27907</v>
      </c>
      <c r="F5477" s="3" t="s">
        <v>370</v>
      </c>
      <c r="G5477" s="3" t="s">
        <v>48</v>
      </c>
      <c r="H5477" s="2" t="s">
        <v>21</v>
      </c>
      <c r="I5477" s="2" t="s">
        <v>11037</v>
      </c>
      <c r="J5477" s="3" t="str">
        <f>HYPERLINK("https://www.boe.es/gazeta/dias/1823/08/04/pdfs/GES-1823-116.pdf#page=3","Abrir facsímil")</f>
        <v>Abrir facsímil</v>
      </c>
      <c r="K5477" s="3" t="s">
        <v>23</v>
      </c>
    </row>
    <row r="5478" spans="1:11" ht="42" customHeight="1">
      <c r="A5478" s="2" t="s">
        <v>10972</v>
      </c>
      <c r="B5478" s="2" t="s">
        <v>10972</v>
      </c>
      <c r="C5478" s="2" t="s">
        <v>109</v>
      </c>
      <c r="D5478" s="2" t="s">
        <v>74</v>
      </c>
      <c r="E5478" s="5">
        <v>-27872</v>
      </c>
      <c r="F5478" s="3" t="s">
        <v>374</v>
      </c>
      <c r="G5478" s="3" t="s">
        <v>27</v>
      </c>
      <c r="H5478" s="2" t="s">
        <v>21</v>
      </c>
      <c r="I5478" s="2" t="s">
        <v>11038</v>
      </c>
      <c r="J5478" s="3" t="str">
        <f>HYPERLINK("https://www.boe.es/gazeta/dias/1823/09/08/pdfs/GES-1823-152.pdf#page=2","Abrir facsímil")</f>
        <v>Abrir facsímil</v>
      </c>
      <c r="K5478" s="3" t="s">
        <v>23</v>
      </c>
    </row>
    <row r="5479" spans="1:11" ht="42" customHeight="1">
      <c r="A5479" s="2" t="s">
        <v>10972</v>
      </c>
      <c r="B5479" s="2" t="s">
        <v>10972</v>
      </c>
      <c r="C5479" s="2" t="s">
        <v>17</v>
      </c>
      <c r="D5479" s="2" t="s">
        <v>18</v>
      </c>
      <c r="E5479" s="5">
        <v>-27870</v>
      </c>
      <c r="F5479" s="3" t="s">
        <v>376</v>
      </c>
      <c r="G5479" s="3" t="s">
        <v>48</v>
      </c>
      <c r="H5479" s="2" t="s">
        <v>21</v>
      </c>
      <c r="I5479" s="2" t="s">
        <v>11039</v>
      </c>
      <c r="J5479" s="3" t="str">
        <f>HYPERLINK("https://www.boe.es/gazeta/dias/1823/09/10/pdfs/GES-1823-154.pdf#page=3","Abrir facsímil")</f>
        <v>Abrir facsímil</v>
      </c>
      <c r="K5479" s="3" t="s">
        <v>23</v>
      </c>
    </row>
    <row r="5480" spans="1:11" ht="42" customHeight="1">
      <c r="A5480" s="2" t="s">
        <v>11040</v>
      </c>
      <c r="B5480" s="2" t="s">
        <v>11040</v>
      </c>
      <c r="C5480" s="2" t="s">
        <v>17</v>
      </c>
      <c r="D5480" s="2" t="s">
        <v>18</v>
      </c>
      <c r="E5480" s="5">
        <v>-27932</v>
      </c>
      <c r="F5480" s="3" t="s">
        <v>707</v>
      </c>
      <c r="G5480" s="3" t="s">
        <v>27</v>
      </c>
      <c r="H5480" s="2" t="s">
        <v>21</v>
      </c>
      <c r="I5480" s="2" t="s">
        <v>11041</v>
      </c>
      <c r="J5480" s="3" t="str">
        <f>HYPERLINK("https://www.boe.es/gazeta/dias/1823/07/10/pdfs/GES-1823-90.pdf#page=2","Abrir facsímil")</f>
        <v>Abrir facsímil</v>
      </c>
      <c r="K5480" s="3" t="s">
        <v>23</v>
      </c>
    </row>
    <row r="5481" spans="1:11" ht="42" customHeight="1">
      <c r="A5481" s="2" t="s">
        <v>11042</v>
      </c>
      <c r="B5481" s="2" t="s">
        <v>11042</v>
      </c>
      <c r="C5481" s="2" t="s">
        <v>17</v>
      </c>
      <c r="D5481" s="2" t="s">
        <v>18</v>
      </c>
      <c r="E5481" s="5">
        <v>-27913</v>
      </c>
      <c r="F5481" s="3" t="s">
        <v>821</v>
      </c>
      <c r="G5481" s="3" t="s">
        <v>39</v>
      </c>
      <c r="H5481" s="2" t="s">
        <v>21</v>
      </c>
      <c r="I5481" s="2" t="s">
        <v>11043</v>
      </c>
      <c r="J5481" s="3" t="str">
        <f>HYPERLINK("https://www.boe.es/gazeta/dias/1823/07/29/pdfs/GES-1823-110.pdf#page=1","Abrir facsímil")</f>
        <v>Abrir facsímil</v>
      </c>
      <c r="K5481" s="3" t="s">
        <v>23</v>
      </c>
    </row>
    <row r="5482" spans="1:11" ht="42" customHeight="1">
      <c r="A5482" s="2" t="s">
        <v>11044</v>
      </c>
      <c r="B5482" s="2" t="s">
        <v>11044</v>
      </c>
      <c r="C5482" s="2" t="s">
        <v>109</v>
      </c>
      <c r="D5482" s="2" t="s">
        <v>74</v>
      </c>
      <c r="E5482" s="5">
        <v>-27883</v>
      </c>
      <c r="F5482" s="3" t="s">
        <v>2838</v>
      </c>
      <c r="G5482" s="3" t="s">
        <v>27</v>
      </c>
      <c r="H5482" s="2" t="s">
        <v>21</v>
      </c>
      <c r="I5482" s="2" t="s">
        <v>11045</v>
      </c>
      <c r="J5482" s="3" t="str">
        <f>HYPERLINK("https://www.boe.es/gazeta/dias/1823/08/28/pdfs/GES-1823-141.pdf#page=2","Abrir facsímil")</f>
        <v>Abrir facsímil</v>
      </c>
      <c r="K5482" s="3" t="s">
        <v>23</v>
      </c>
    </row>
    <row r="5483" spans="1:11" ht="42" customHeight="1">
      <c r="A5483" s="2" t="s">
        <v>11046</v>
      </c>
      <c r="B5483" s="2" t="s">
        <v>11047</v>
      </c>
      <c r="C5483" s="2" t="s">
        <v>56</v>
      </c>
      <c r="D5483" s="2" t="s">
        <v>57</v>
      </c>
      <c r="E5483" s="5">
        <v>-27939</v>
      </c>
      <c r="F5483" s="3" t="s">
        <v>1076</v>
      </c>
      <c r="G5483" s="3" t="s">
        <v>27</v>
      </c>
      <c r="H5483" s="2" t="s">
        <v>21</v>
      </c>
      <c r="I5483" s="2" t="s">
        <v>11048</v>
      </c>
      <c r="J5483" s="3" t="str">
        <f>HYPERLINK("https://www.boe.es/gazeta/dias/1823/07/03/pdfs/GES-1823-83.pdf#page=2","Abrir facsímil")</f>
        <v>Abrir facsímil</v>
      </c>
      <c r="K5483" s="3" t="s">
        <v>23</v>
      </c>
    </row>
    <row r="5484" spans="1:11" ht="42" customHeight="1">
      <c r="A5484" s="2" t="s">
        <v>11049</v>
      </c>
      <c r="B5484" s="2" t="s">
        <v>11049</v>
      </c>
      <c r="C5484" s="2" t="s">
        <v>56</v>
      </c>
      <c r="D5484" s="2" t="s">
        <v>57</v>
      </c>
      <c r="E5484" s="5">
        <v>-27832</v>
      </c>
      <c r="F5484" s="3" t="s">
        <v>1815</v>
      </c>
      <c r="G5484" s="3" t="s">
        <v>27</v>
      </c>
      <c r="H5484" s="2" t="s">
        <v>21</v>
      </c>
      <c r="I5484" s="2" t="s">
        <v>11050</v>
      </c>
      <c r="J5484" s="3" t="str">
        <f>HYPERLINK("https://www.boe.es/gazeta/dias/1823/10/18/pdfs/GMD-1823-993.pdf#page=2","Abrir facsímil")</f>
        <v>Abrir facsímil</v>
      </c>
      <c r="K5484" s="3" t="s">
        <v>23</v>
      </c>
    </row>
    <row r="5485" spans="1:11" ht="42" customHeight="1">
      <c r="A5485" s="2" t="s">
        <v>11051</v>
      </c>
      <c r="B5485" s="2" t="s">
        <v>11052</v>
      </c>
      <c r="C5485" s="2" t="s">
        <v>56</v>
      </c>
      <c r="D5485" s="2" t="s">
        <v>57</v>
      </c>
      <c r="E5485" s="5">
        <v>-27983</v>
      </c>
      <c r="F5485" s="3" t="s">
        <v>337</v>
      </c>
      <c r="G5485" s="3" t="s">
        <v>59</v>
      </c>
      <c r="H5485" s="2" t="s">
        <v>21</v>
      </c>
      <c r="I5485" s="2" t="s">
        <v>11053</v>
      </c>
      <c r="J5485" s="3" t="str">
        <f>HYPERLINK("https://www.boe.es/gazeta/dias/1823/05/20/pdfs/GES-1823-40.pdf#page=6","Abrir facsímil")</f>
        <v>Abrir facsímil</v>
      </c>
      <c r="K5485" s="3" t="s">
        <v>23</v>
      </c>
    </row>
    <row r="5486" spans="1:11" ht="42" customHeight="1">
      <c r="A5486" s="2" t="s">
        <v>11054</v>
      </c>
      <c r="B5486" s="2" t="s">
        <v>11054</v>
      </c>
      <c r="C5486" s="2" t="s">
        <v>56</v>
      </c>
      <c r="D5486" s="2" t="s">
        <v>57</v>
      </c>
      <c r="E5486" s="5">
        <v>-27995</v>
      </c>
      <c r="F5486" s="3" t="s">
        <v>326</v>
      </c>
      <c r="G5486" s="3" t="s">
        <v>27</v>
      </c>
      <c r="H5486" s="2" t="s">
        <v>21</v>
      </c>
      <c r="I5486" s="2" t="s">
        <v>11055</v>
      </c>
      <c r="J5486" s="3" t="str">
        <f>HYPERLINK("https://www.boe.es/gazeta/dias/1823/05/08/pdfs/GMD-1823-112.pdf#page=2","Abrir facsímil")</f>
        <v>Abrir facsímil</v>
      </c>
      <c r="K5486" s="3" t="s">
        <v>23</v>
      </c>
    </row>
    <row r="5487" spans="1:11" ht="42" customHeight="1">
      <c r="A5487" s="2" t="s">
        <v>11054</v>
      </c>
      <c r="B5487" s="2" t="s">
        <v>11054</v>
      </c>
      <c r="C5487" s="2" t="s">
        <v>79</v>
      </c>
      <c r="D5487" s="2" t="s">
        <v>74</v>
      </c>
      <c r="E5487" s="5">
        <v>-27903</v>
      </c>
      <c r="F5487" s="3" t="s">
        <v>110</v>
      </c>
      <c r="G5487" s="3" t="s">
        <v>27</v>
      </c>
      <c r="H5487" s="2" t="s">
        <v>21</v>
      </c>
      <c r="I5487" s="2" t="s">
        <v>11056</v>
      </c>
      <c r="J5487" s="3" t="str">
        <f>HYPERLINK("https://www.boe.es/gazeta/dias/1823/08/08/pdfs/GES-1823-121.pdf#page=2","Abrir facsímil")</f>
        <v>Abrir facsímil</v>
      </c>
      <c r="K5487" s="3" t="s">
        <v>23</v>
      </c>
    </row>
    <row r="5488" spans="1:11" ht="42" customHeight="1">
      <c r="A5488" s="2" t="s">
        <v>11057</v>
      </c>
      <c r="B5488" s="2" t="s">
        <v>11058</v>
      </c>
      <c r="C5488" s="2" t="s">
        <v>325</v>
      </c>
      <c r="D5488" s="2" t="s">
        <v>74</v>
      </c>
      <c r="E5488" s="5">
        <v>-27915</v>
      </c>
      <c r="F5488" s="3" t="s">
        <v>524</v>
      </c>
      <c r="G5488" s="3" t="s">
        <v>27</v>
      </c>
      <c r="H5488" s="2" t="s">
        <v>21</v>
      </c>
      <c r="I5488" s="2" t="s">
        <v>11059</v>
      </c>
      <c r="J5488" s="3" t="str">
        <f>HYPERLINK("https://www.boe.es/gazeta/dias/1823/07/27/pdfs/GES-1823-108.pdf#page=2","Abrir facsímil")</f>
        <v>Abrir facsímil</v>
      </c>
      <c r="K5488" s="3" t="s">
        <v>23</v>
      </c>
    </row>
    <row r="5489" spans="1:11" ht="42" customHeight="1">
      <c r="A5489" s="2" t="s">
        <v>11057</v>
      </c>
      <c r="B5489" s="2" t="s">
        <v>11058</v>
      </c>
      <c r="C5489" s="2" t="s">
        <v>73</v>
      </c>
      <c r="D5489" s="2" t="s">
        <v>74</v>
      </c>
      <c r="E5489" s="5">
        <v>-27913</v>
      </c>
      <c r="F5489" s="3" t="s">
        <v>829</v>
      </c>
      <c r="G5489" s="3" t="s">
        <v>20</v>
      </c>
      <c r="H5489" s="2" t="s">
        <v>21</v>
      </c>
      <c r="I5489" s="2" t="s">
        <v>11060</v>
      </c>
      <c r="J5489" s="3" t="str">
        <f>HYPERLINK("https://www.boe.es/gazeta/dias/1823/07/29/pdfs/GMD-1823-483.pdf#page=4","Abrir facsímil")</f>
        <v>Abrir facsímil</v>
      </c>
      <c r="K5489" s="3" t="s">
        <v>23</v>
      </c>
    </row>
    <row r="5490" spans="1:11" ht="42" customHeight="1">
      <c r="A5490" s="2" t="s">
        <v>11061</v>
      </c>
      <c r="B5490" s="2" t="s">
        <v>11062</v>
      </c>
      <c r="C5490" s="2" t="s">
        <v>109</v>
      </c>
      <c r="D5490" s="2" t="s">
        <v>74</v>
      </c>
      <c r="E5490" s="5">
        <v>-27922</v>
      </c>
      <c r="F5490" s="3" t="s">
        <v>1959</v>
      </c>
      <c r="G5490" s="3" t="s">
        <v>27</v>
      </c>
      <c r="H5490" s="2" t="s">
        <v>21</v>
      </c>
      <c r="I5490" s="2" t="s">
        <v>11063</v>
      </c>
      <c r="J5490" s="3" t="str">
        <f>HYPERLINK("https://www.boe.es/gazeta/dias/1823/07/20/pdfs/GES-1823-101.pdf#page=2","Abrir facsímil")</f>
        <v>Abrir facsímil</v>
      </c>
      <c r="K5490" s="3" t="s">
        <v>23</v>
      </c>
    </row>
    <row r="5491" spans="1:11" ht="42" customHeight="1">
      <c r="A5491" s="2" t="s">
        <v>11064</v>
      </c>
      <c r="B5491" s="2" t="s">
        <v>11065</v>
      </c>
      <c r="C5491" s="2" t="s">
        <v>1477</v>
      </c>
      <c r="D5491" s="2" t="s">
        <v>57</v>
      </c>
      <c r="E5491" s="5">
        <v>-27888</v>
      </c>
      <c r="F5491" s="3" t="s">
        <v>232</v>
      </c>
      <c r="G5491" s="3" t="s">
        <v>1576</v>
      </c>
      <c r="H5491" s="2" t="s">
        <v>21</v>
      </c>
      <c r="I5491" s="2" t="s">
        <v>11066</v>
      </c>
      <c r="J5491" s="3" t="str">
        <f>HYPERLINK("https://www.boe.es/gazeta/dias/1823/08/23/pdfs/GMD-1823-633.pdf#page=4","Abrir facsímil")</f>
        <v>Abrir facsímil</v>
      </c>
      <c r="K5491" s="3" t="s">
        <v>23</v>
      </c>
    </row>
    <row r="5492" spans="1:11" ht="42" customHeight="1">
      <c r="A5492" s="2" t="s">
        <v>11067</v>
      </c>
      <c r="B5492" s="2" t="s">
        <v>11068</v>
      </c>
      <c r="C5492" s="2" t="s">
        <v>17</v>
      </c>
      <c r="D5492" s="2" t="s">
        <v>18</v>
      </c>
      <c r="E5492" s="5">
        <v>-28050</v>
      </c>
      <c r="F5492" s="3" t="s">
        <v>473</v>
      </c>
      <c r="G5492" s="3" t="s">
        <v>59</v>
      </c>
      <c r="H5492" s="2" t="s">
        <v>21</v>
      </c>
      <c r="I5492" s="2" t="s">
        <v>11069</v>
      </c>
      <c r="J5492" s="3" t="str">
        <f>HYPERLINK("https://www.boe.es/gazeta/dias/1823/03/14/pdfs/GMD-1823-77.pdf#page=6","Abrir facsímil")</f>
        <v>Abrir facsímil</v>
      </c>
      <c r="K5492" s="3" t="s">
        <v>23</v>
      </c>
    </row>
    <row r="5493" spans="1:11" ht="42" customHeight="1">
      <c r="A5493" s="2" t="s">
        <v>11070</v>
      </c>
      <c r="B5493" s="2" t="s">
        <v>11071</v>
      </c>
      <c r="C5493" s="2" t="s">
        <v>17</v>
      </c>
      <c r="D5493" s="2" t="s">
        <v>18</v>
      </c>
      <c r="E5493" s="5">
        <v>-27904</v>
      </c>
      <c r="F5493" s="3" t="s">
        <v>1748</v>
      </c>
      <c r="G5493" s="3" t="s">
        <v>20</v>
      </c>
      <c r="H5493" s="2" t="s">
        <v>21</v>
      </c>
      <c r="I5493" s="2" t="s">
        <v>11072</v>
      </c>
      <c r="J5493" s="3" t="str">
        <f>HYPERLINK("https://www.boe.es/gazeta/dias/1823/08/07/pdfs/GES-1823-120.pdf#page=4","Abrir facsímil")</f>
        <v>Abrir facsímil</v>
      </c>
      <c r="K5493" s="3" t="s">
        <v>23</v>
      </c>
    </row>
    <row r="5494" spans="1:11" ht="42" customHeight="1">
      <c r="A5494" s="2" t="s">
        <v>11073</v>
      </c>
      <c r="B5494" s="2" t="s">
        <v>11074</v>
      </c>
      <c r="C5494" s="2" t="s">
        <v>79</v>
      </c>
      <c r="D5494" s="2" t="s">
        <v>74</v>
      </c>
      <c r="E5494" s="5">
        <v>-28021</v>
      </c>
      <c r="F5494" s="3" t="s">
        <v>1054</v>
      </c>
      <c r="G5494" s="3" t="s">
        <v>1055</v>
      </c>
      <c r="H5494" s="2" t="s">
        <v>21</v>
      </c>
      <c r="I5494" s="2" t="s">
        <v>11075</v>
      </c>
      <c r="J5494" s="3" t="str">
        <f>HYPERLINK("https://www.boe.es/gazeta/dias/1823/04/12/pdfs/GMD-1823-107.pdf#page=4","Abrir facsímil")</f>
        <v>Abrir facsímil</v>
      </c>
      <c r="K5494" s="3" t="s">
        <v>23</v>
      </c>
    </row>
    <row r="5495" spans="1:11" ht="42" customHeight="1">
      <c r="A5495" s="2" t="s">
        <v>11076</v>
      </c>
      <c r="B5495" s="2" t="s">
        <v>11077</v>
      </c>
      <c r="C5495" s="2" t="s">
        <v>17</v>
      </c>
      <c r="D5495" s="2" t="s">
        <v>18</v>
      </c>
      <c r="E5495" s="5">
        <v>-28021</v>
      </c>
      <c r="F5495" s="3" t="s">
        <v>1054</v>
      </c>
      <c r="G5495" s="3" t="s">
        <v>1055</v>
      </c>
      <c r="H5495" s="2" t="s">
        <v>21</v>
      </c>
      <c r="I5495" s="2" t="s">
        <v>11078</v>
      </c>
      <c r="J5495" s="3" t="str">
        <f>HYPERLINK("https://www.boe.es/gazeta/dias/1823/04/12/pdfs/GMD-1823-107.pdf#page=4","Abrir facsímil")</f>
        <v>Abrir facsímil</v>
      </c>
      <c r="K5495" s="3" t="s">
        <v>23</v>
      </c>
    </row>
    <row r="5496" spans="1:11" ht="42" customHeight="1">
      <c r="A5496" s="2" t="s">
        <v>11079</v>
      </c>
      <c r="B5496" s="2" t="s">
        <v>11080</v>
      </c>
      <c r="C5496" s="2" t="s">
        <v>17</v>
      </c>
      <c r="D5496" s="2" t="s">
        <v>18</v>
      </c>
      <c r="E5496" s="5">
        <v>-28037</v>
      </c>
      <c r="F5496" s="3" t="s">
        <v>192</v>
      </c>
      <c r="G5496" s="3" t="s">
        <v>48</v>
      </c>
      <c r="H5496" s="2" t="s">
        <v>21</v>
      </c>
      <c r="I5496" s="2" t="s">
        <v>11081</v>
      </c>
      <c r="J5496" s="3" t="str">
        <f>HYPERLINK("https://www.boe.es/gazeta/dias/1823/03/27/pdfs/GMD-1823-90.pdf#page=3","Abrir facsímil")</f>
        <v>Abrir facsímil</v>
      </c>
      <c r="K5496" s="3" t="s">
        <v>23</v>
      </c>
    </row>
    <row r="5497" spans="1:11" ht="42" customHeight="1">
      <c r="A5497" s="2" t="s">
        <v>11082</v>
      </c>
      <c r="B5497" s="2" t="s">
        <v>11082</v>
      </c>
      <c r="C5497" s="2" t="s">
        <v>109</v>
      </c>
      <c r="D5497" s="2" t="s">
        <v>74</v>
      </c>
      <c r="E5497" s="5">
        <v>-27906</v>
      </c>
      <c r="F5497" s="3" t="s">
        <v>241</v>
      </c>
      <c r="G5497" s="3" t="s">
        <v>2212</v>
      </c>
      <c r="H5497" s="2" t="s">
        <v>21</v>
      </c>
      <c r="I5497" s="2" t="s">
        <v>11083</v>
      </c>
      <c r="J5497" s="3" t="str">
        <f>HYPERLINK("https://www.boe.es/gazeta/dias/1823/08/05/pdfs/GES-1823-117.pdf#page=2","Abrir facsímil")</f>
        <v>Abrir facsímil</v>
      </c>
      <c r="K5497" s="3" t="s">
        <v>23</v>
      </c>
    </row>
    <row r="5498" spans="1:11" ht="42" customHeight="1">
      <c r="A5498" s="2" t="s">
        <v>11084</v>
      </c>
      <c r="B5498" s="2" t="s">
        <v>11085</v>
      </c>
      <c r="C5498" s="2" t="s">
        <v>84</v>
      </c>
      <c r="D5498" s="2" t="s">
        <v>74</v>
      </c>
      <c r="E5498" s="5">
        <v>-27960</v>
      </c>
      <c r="F5498" s="3" t="s">
        <v>741</v>
      </c>
      <c r="G5498" s="3" t="s">
        <v>39</v>
      </c>
      <c r="H5498" s="2" t="s">
        <v>28</v>
      </c>
      <c r="I5498" s="2" t="s">
        <v>11086</v>
      </c>
      <c r="J5498" s="3" t="str">
        <f>HYPERLINK("https://www.boe.es/gazeta/dias/1823/06/12/pdfs/GES-1823-66.pdf#page=1","Abrir facsímil")</f>
        <v>Abrir facsímil</v>
      </c>
      <c r="K5498" s="3" t="s">
        <v>30</v>
      </c>
    </row>
    <row r="5499" spans="1:11" ht="42" customHeight="1">
      <c r="A5499" s="2" t="s">
        <v>11087</v>
      </c>
      <c r="B5499" s="2" t="s">
        <v>11088</v>
      </c>
      <c r="C5499" s="2" t="s">
        <v>56</v>
      </c>
      <c r="D5499" s="2" t="s">
        <v>57</v>
      </c>
      <c r="E5499" s="5">
        <v>-28095</v>
      </c>
      <c r="F5499" s="3" t="s">
        <v>1770</v>
      </c>
      <c r="G5499" s="3" t="s">
        <v>20</v>
      </c>
      <c r="H5499" s="2" t="s">
        <v>28</v>
      </c>
      <c r="I5499" s="2" t="s">
        <v>11089</v>
      </c>
      <c r="J5499" s="3" t="str">
        <f>HYPERLINK("https://www.boe.es/gazeta/dias/1823/01/28/pdfs/GMD-1823-29.pdf#page=4","Abrir facsímil")</f>
        <v>Abrir facsímil</v>
      </c>
      <c r="K5499" s="3" t="s">
        <v>30</v>
      </c>
    </row>
    <row r="5500" spans="1:11" ht="42" customHeight="1">
      <c r="A5500" s="2" t="s">
        <v>11090</v>
      </c>
      <c r="B5500" s="2" t="s">
        <v>11091</v>
      </c>
      <c r="C5500" s="2" t="s">
        <v>79</v>
      </c>
      <c r="D5500" s="2" t="s">
        <v>74</v>
      </c>
      <c r="E5500" s="5">
        <v>-28088</v>
      </c>
      <c r="F5500" s="3" t="s">
        <v>542</v>
      </c>
      <c r="G5500" s="3" t="s">
        <v>20</v>
      </c>
      <c r="H5500" s="2" t="s">
        <v>28</v>
      </c>
      <c r="I5500" s="2" t="s">
        <v>11092</v>
      </c>
      <c r="J5500" s="3" t="str">
        <f>HYPERLINK("https://www.boe.es/gazeta/dias/1823/02/04/pdfs/GMD-1823-37.pdf#page=4","Abrir facsímil")</f>
        <v>Abrir facsímil</v>
      </c>
      <c r="K5500" s="3" t="s">
        <v>30</v>
      </c>
    </row>
    <row r="5501" spans="1:11" ht="42" customHeight="1">
      <c r="A5501" s="2" t="s">
        <v>11093</v>
      </c>
      <c r="B5501" s="2" t="s">
        <v>11094</v>
      </c>
      <c r="C5501" s="2" t="s">
        <v>17</v>
      </c>
      <c r="D5501" s="2" t="s">
        <v>18</v>
      </c>
      <c r="E5501" s="5">
        <v>-27904</v>
      </c>
      <c r="F5501" s="3" t="s">
        <v>1227</v>
      </c>
      <c r="G5501" s="3" t="s">
        <v>59</v>
      </c>
      <c r="H5501" s="2" t="s">
        <v>28</v>
      </c>
      <c r="I5501" s="2" t="s">
        <v>11095</v>
      </c>
      <c r="J5501" s="3" t="str">
        <f>HYPERLINK("https://www.boe.es/gazeta/dias/1823/08/07/pdfs/GMD-1823-543.pdf#page=6","Abrir facsímil")</f>
        <v>Abrir facsímil</v>
      </c>
      <c r="K5501" s="3" t="s">
        <v>30</v>
      </c>
    </row>
    <row r="5502" spans="1:11" ht="42" customHeight="1">
      <c r="A5502" s="2" t="s">
        <v>11096</v>
      </c>
      <c r="B5502" s="2" t="s">
        <v>11097</v>
      </c>
      <c r="C5502" s="2" t="s">
        <v>56</v>
      </c>
      <c r="D5502" s="2" t="s">
        <v>57</v>
      </c>
      <c r="E5502" s="5">
        <v>-28021</v>
      </c>
      <c r="F5502" s="3" t="s">
        <v>1054</v>
      </c>
      <c r="G5502" s="3" t="s">
        <v>39</v>
      </c>
      <c r="H5502" s="2" t="s">
        <v>28</v>
      </c>
      <c r="I5502" s="2" t="s">
        <v>11098</v>
      </c>
      <c r="J5502" s="3" t="str">
        <f>HYPERLINK("https://www.boe.es/gazeta/dias/1823/04/12/pdfs/GMD-1823-107.pdf#page=1","Abrir facsímil")</f>
        <v>Abrir facsímil</v>
      </c>
      <c r="K5502" s="3" t="s">
        <v>30</v>
      </c>
    </row>
    <row r="5503" spans="1:11" ht="42" customHeight="1">
      <c r="A5503" s="2" t="s">
        <v>11099</v>
      </c>
      <c r="B5503" s="2" t="s">
        <v>11100</v>
      </c>
      <c r="C5503" s="2" t="s">
        <v>109</v>
      </c>
      <c r="D5503" s="2" t="s">
        <v>74</v>
      </c>
      <c r="E5503" s="5">
        <v>-27907</v>
      </c>
      <c r="F5503" s="3" t="s">
        <v>370</v>
      </c>
      <c r="G5503" s="3" t="s">
        <v>39</v>
      </c>
      <c r="H5503" s="2" t="s">
        <v>28</v>
      </c>
      <c r="I5503" s="2" t="s">
        <v>11101</v>
      </c>
      <c r="J5503" s="3" t="str">
        <f>HYPERLINK("https://www.boe.es/gazeta/dias/1823/08/04/pdfs/GES-1823-116.pdf#page=1","Abrir facsímil")</f>
        <v>Abrir facsímil</v>
      </c>
      <c r="K5503" s="3" t="s">
        <v>30</v>
      </c>
    </row>
    <row r="5504" spans="1:11" ht="42" customHeight="1">
      <c r="A5504" s="2" t="s">
        <v>11102</v>
      </c>
      <c r="B5504" s="2" t="s">
        <v>11102</v>
      </c>
      <c r="C5504" s="2" t="s">
        <v>17</v>
      </c>
      <c r="D5504" s="2" t="s">
        <v>18</v>
      </c>
      <c r="E5504" s="5">
        <v>-28066</v>
      </c>
      <c r="F5504" s="3" t="s">
        <v>19</v>
      </c>
      <c r="G5504" s="3" t="s">
        <v>20</v>
      </c>
      <c r="H5504" s="2" t="s">
        <v>21</v>
      </c>
      <c r="I5504" s="2" t="s">
        <v>11103</v>
      </c>
      <c r="J5504" s="3" t="str">
        <f>HYPERLINK("https://www.boe.es/gazeta/dias/1823/02/26/pdfs/GMD-1823-60.pdf#page=4","Abrir facsímil")</f>
        <v>Abrir facsímil</v>
      </c>
      <c r="K5504" s="3" t="s">
        <v>23</v>
      </c>
    </row>
    <row r="5505" spans="1:11" ht="42" customHeight="1">
      <c r="A5505" s="2" t="s">
        <v>11102</v>
      </c>
      <c r="B5505" s="2" t="s">
        <v>11102</v>
      </c>
      <c r="C5505" s="2" t="s">
        <v>84</v>
      </c>
      <c r="D5505" s="2" t="s">
        <v>74</v>
      </c>
      <c r="E5505" s="5">
        <v>-28059</v>
      </c>
      <c r="F5505" s="3" t="s">
        <v>149</v>
      </c>
      <c r="G5505" s="3" t="s">
        <v>27</v>
      </c>
      <c r="H5505" s="2" t="s">
        <v>21</v>
      </c>
      <c r="I5505" s="2" t="s">
        <v>11104</v>
      </c>
      <c r="J5505" s="3" t="str">
        <f>HYPERLINK("https://www.boe.es/gazeta/dias/1823/03/05/pdfs/GMD-1823-68.pdf#page=2","Abrir facsímil")</f>
        <v>Abrir facsímil</v>
      </c>
      <c r="K5505" s="3" t="s">
        <v>23</v>
      </c>
    </row>
    <row r="5506" spans="1:11" ht="42" customHeight="1">
      <c r="A5506" s="2" t="s">
        <v>11102</v>
      </c>
      <c r="B5506" s="2" t="s">
        <v>11102</v>
      </c>
      <c r="C5506" s="2" t="s">
        <v>109</v>
      </c>
      <c r="D5506" s="2" t="s">
        <v>74</v>
      </c>
      <c r="E5506" s="5">
        <v>-28003</v>
      </c>
      <c r="F5506" s="3" t="s">
        <v>26</v>
      </c>
      <c r="G5506" s="3" t="s">
        <v>1114</v>
      </c>
      <c r="H5506" s="2" t="s">
        <v>21</v>
      </c>
      <c r="I5506" s="2" t="s">
        <v>11105</v>
      </c>
      <c r="J5506" s="3" t="str">
        <f>HYPERLINK("https://www.boe.es/gazeta/dias/1823/04/30/pdfs/GES-1823-20.pdf#page=6","Abrir facsímil")</f>
        <v>Abrir facsímil</v>
      </c>
      <c r="K5506" s="3" t="s">
        <v>23</v>
      </c>
    </row>
    <row r="5507" spans="1:11" ht="42" customHeight="1">
      <c r="A5507" s="2" t="s">
        <v>11102</v>
      </c>
      <c r="B5507" s="2" t="s">
        <v>11102</v>
      </c>
      <c r="C5507" s="2" t="s">
        <v>17</v>
      </c>
      <c r="D5507" s="2" t="s">
        <v>18</v>
      </c>
      <c r="E5507" s="5">
        <v>-27998</v>
      </c>
      <c r="F5507" s="3" t="s">
        <v>1058</v>
      </c>
      <c r="G5507" s="3" t="s">
        <v>39</v>
      </c>
      <c r="H5507" s="2" t="s">
        <v>21</v>
      </c>
      <c r="I5507" s="2" t="s">
        <v>11106</v>
      </c>
      <c r="J5507" s="3" t="str">
        <f>HYPERLINK("https://www.boe.es/gazeta/dias/1823/05/05/pdfs/GES-1823-25.pdf#page=1","Abrir facsímil")</f>
        <v>Abrir facsímil</v>
      </c>
      <c r="K5507" s="3" t="s">
        <v>23</v>
      </c>
    </row>
    <row r="5508" spans="1:11" ht="42" customHeight="1">
      <c r="A5508" s="2" t="s">
        <v>11107</v>
      </c>
      <c r="B5508" s="2" t="s">
        <v>11108</v>
      </c>
      <c r="C5508" s="2" t="s">
        <v>17</v>
      </c>
      <c r="D5508" s="2" t="s">
        <v>18</v>
      </c>
      <c r="E5508" s="5">
        <v>-27922</v>
      </c>
      <c r="F5508" s="3" t="s">
        <v>1959</v>
      </c>
      <c r="G5508" s="3" t="s">
        <v>27</v>
      </c>
      <c r="H5508" s="2" t="s">
        <v>21</v>
      </c>
      <c r="I5508" s="2" t="s">
        <v>11109</v>
      </c>
      <c r="J5508" s="3" t="str">
        <f>HYPERLINK("https://www.boe.es/gazeta/dias/1823/07/20/pdfs/GES-1823-101.pdf#page=2","Abrir facsímil")</f>
        <v>Abrir facsímil</v>
      </c>
      <c r="K5508" s="3" t="s">
        <v>23</v>
      </c>
    </row>
    <row r="5509" spans="1:11" ht="42" customHeight="1">
      <c r="A5509" s="2" t="s">
        <v>11110</v>
      </c>
      <c r="B5509" s="2" t="s">
        <v>11111</v>
      </c>
      <c r="C5509" s="2" t="s">
        <v>56</v>
      </c>
      <c r="D5509" s="2" t="s">
        <v>57</v>
      </c>
      <c r="E5509" s="5">
        <v>-27969</v>
      </c>
      <c r="F5509" s="3" t="s">
        <v>855</v>
      </c>
      <c r="G5509" s="3" t="s">
        <v>1158</v>
      </c>
      <c r="H5509" s="2" t="s">
        <v>21</v>
      </c>
      <c r="I5509" s="2" t="s">
        <v>11112</v>
      </c>
      <c r="J5509" s="3" t="str">
        <f>HYPERLINK("https://www.boe.es/gazeta/dias/1823/06/03/pdfs/GES-1823-57.pdf#page=2","Abrir facsímil")</f>
        <v>Abrir facsímil</v>
      </c>
      <c r="K5509" s="3" t="s">
        <v>23</v>
      </c>
    </row>
    <row r="5510" spans="1:11" ht="42" customHeight="1">
      <c r="A5510" s="2" t="s">
        <v>11110</v>
      </c>
      <c r="B5510" s="2" t="s">
        <v>11111</v>
      </c>
      <c r="C5510" s="2" t="s">
        <v>79</v>
      </c>
      <c r="D5510" s="2" t="s">
        <v>74</v>
      </c>
      <c r="E5510" s="5">
        <v>-27776</v>
      </c>
      <c r="F5510" s="3" t="s">
        <v>1399</v>
      </c>
      <c r="G5510" s="3" t="s">
        <v>39</v>
      </c>
      <c r="H5510" s="2" t="s">
        <v>21</v>
      </c>
      <c r="I5510" s="2" t="s">
        <v>11113</v>
      </c>
      <c r="J5510" s="3" t="str">
        <f>HYPERLINK("https://www.boe.es/gazeta/dias/1823/12/13/pdfs/GMD-1823-1243.pdf#page=1","Abrir facsímil")</f>
        <v>Abrir facsímil</v>
      </c>
      <c r="K5510" s="3" t="s">
        <v>23</v>
      </c>
    </row>
    <row r="5511" spans="1:11" ht="42" customHeight="1">
      <c r="A5511" s="2" t="s">
        <v>11114</v>
      </c>
      <c r="B5511" s="2" t="s">
        <v>11115</v>
      </c>
      <c r="C5511" s="2" t="s">
        <v>17</v>
      </c>
      <c r="D5511" s="2" t="s">
        <v>18</v>
      </c>
      <c r="E5511" s="5">
        <v>-28001</v>
      </c>
      <c r="F5511" s="3" t="s">
        <v>768</v>
      </c>
      <c r="G5511" s="3" t="s">
        <v>2756</v>
      </c>
      <c r="H5511" s="2" t="s">
        <v>28</v>
      </c>
      <c r="I5511" s="2" t="s">
        <v>11116</v>
      </c>
      <c r="J5511" s="3" t="str">
        <f>HYPERLINK("https://www.boe.es/gazeta/dias/1823/05/02/pdfs/GES-1823-22.pdf#page=6","Abrir facsímil")</f>
        <v>Abrir facsímil</v>
      </c>
      <c r="K5511" s="3" t="s">
        <v>30</v>
      </c>
    </row>
    <row r="5512" spans="1:11" ht="42" customHeight="1">
      <c r="A5512" s="2" t="s">
        <v>11117</v>
      </c>
      <c r="B5512" s="2" t="s">
        <v>11118</v>
      </c>
      <c r="C5512" s="2" t="s">
        <v>17</v>
      </c>
      <c r="D5512" s="2" t="s">
        <v>18</v>
      </c>
      <c r="E5512" s="5">
        <v>-27986</v>
      </c>
      <c r="F5512" s="3" t="s">
        <v>75</v>
      </c>
      <c r="G5512" s="3" t="s">
        <v>59</v>
      </c>
      <c r="H5512" s="2" t="s">
        <v>21</v>
      </c>
      <c r="I5512" s="2" t="s">
        <v>11119</v>
      </c>
      <c r="J5512" s="3" t="str">
        <f>HYPERLINK("https://www.boe.es/gazeta/dias/1823/05/17/pdfs/GES-1823-37.pdf#page=6","Abrir facsímil")</f>
        <v>Abrir facsímil</v>
      </c>
      <c r="K5512" s="3" t="s">
        <v>23</v>
      </c>
    </row>
    <row r="5513" spans="1:11" ht="42" customHeight="1">
      <c r="A5513" s="2" t="s">
        <v>11120</v>
      </c>
      <c r="B5513" s="2" t="s">
        <v>11121</v>
      </c>
      <c r="C5513" s="2" t="s">
        <v>17</v>
      </c>
      <c r="D5513" s="2" t="s">
        <v>18</v>
      </c>
      <c r="E5513" s="5">
        <v>-28011</v>
      </c>
      <c r="F5513" s="3" t="s">
        <v>3326</v>
      </c>
      <c r="G5513" s="3" t="s">
        <v>20</v>
      </c>
      <c r="H5513" s="2" t="s">
        <v>21</v>
      </c>
      <c r="I5513" s="2" t="s">
        <v>11122</v>
      </c>
      <c r="J5513" s="3" t="str">
        <f>HYPERLINK("https://www.boe.es/gazeta/dias/1823/04/22/pdfs/GES-1823-12.pdf#page=4","Abrir facsímil")</f>
        <v>Abrir facsímil</v>
      </c>
      <c r="K5513" s="3" t="s">
        <v>23</v>
      </c>
    </row>
    <row r="5514" spans="1:11" ht="42" customHeight="1">
      <c r="A5514" s="2" t="s">
        <v>11123</v>
      </c>
      <c r="B5514" s="2" t="s">
        <v>11123</v>
      </c>
      <c r="C5514" s="2" t="s">
        <v>84</v>
      </c>
      <c r="D5514" s="2" t="s">
        <v>74</v>
      </c>
      <c r="E5514" s="5">
        <v>-28102</v>
      </c>
      <c r="F5514" s="3" t="s">
        <v>287</v>
      </c>
      <c r="G5514" s="3" t="s">
        <v>20</v>
      </c>
      <c r="H5514" s="2" t="s">
        <v>21</v>
      </c>
      <c r="I5514" s="2" t="s">
        <v>11124</v>
      </c>
      <c r="J5514" s="3" t="str">
        <f>HYPERLINK("https://www.boe.es/gazeta/dias/1823/01/21/pdfs/GMD-1823-22.pdf#page=4","Abrir facsímil")</f>
        <v>Abrir facsímil</v>
      </c>
      <c r="K5514" s="3" t="s">
        <v>23</v>
      </c>
    </row>
    <row r="5515" spans="1:11" ht="42" customHeight="1">
      <c r="A5515" s="2" t="s">
        <v>11123</v>
      </c>
      <c r="B5515" s="2" t="s">
        <v>11123</v>
      </c>
      <c r="C5515" s="2" t="s">
        <v>56</v>
      </c>
      <c r="D5515" s="2" t="s">
        <v>57</v>
      </c>
      <c r="E5515" s="5">
        <v>-28061</v>
      </c>
      <c r="F5515" s="3" t="s">
        <v>704</v>
      </c>
      <c r="G5515" s="3" t="s">
        <v>34</v>
      </c>
      <c r="H5515" s="2" t="s">
        <v>21</v>
      </c>
      <c r="I5515" s="2" t="s">
        <v>11125</v>
      </c>
      <c r="J5515" s="3" t="str">
        <f>HYPERLINK("https://www.boe.es/gazeta/dias/1823/03/03/pdfs/GMD-1823-66.pdf#page=5","Abrir facsímil")</f>
        <v>Abrir facsímil</v>
      </c>
      <c r="K5515" s="3" t="s">
        <v>23</v>
      </c>
    </row>
    <row r="5516" spans="1:11" ht="42" customHeight="1">
      <c r="A5516" s="2" t="s">
        <v>11123</v>
      </c>
      <c r="B5516" s="2" t="s">
        <v>11123</v>
      </c>
      <c r="C5516" s="2" t="s">
        <v>109</v>
      </c>
      <c r="D5516" s="2" t="s">
        <v>74</v>
      </c>
      <c r="E5516" s="5">
        <v>-27990</v>
      </c>
      <c r="F5516" s="3" t="s">
        <v>1132</v>
      </c>
      <c r="G5516" s="3" t="s">
        <v>39</v>
      </c>
      <c r="H5516" s="2" t="s">
        <v>21</v>
      </c>
      <c r="I5516" s="2" t="s">
        <v>11126</v>
      </c>
      <c r="J5516" s="3" t="str">
        <f>HYPERLINK("https://www.boe.es/gazeta/dias/1823/05/13/pdfs/GES-1823-33.pdf#page=1","Abrir facsímil")</f>
        <v>Abrir facsímil</v>
      </c>
      <c r="K5516" s="3" t="s">
        <v>23</v>
      </c>
    </row>
    <row r="5517" spans="1:11" ht="42" customHeight="1">
      <c r="A5517" s="2" t="s">
        <v>11123</v>
      </c>
      <c r="B5517" s="2" t="s">
        <v>11123</v>
      </c>
      <c r="C5517" s="2" t="s">
        <v>79</v>
      </c>
      <c r="D5517" s="2" t="s">
        <v>74</v>
      </c>
      <c r="E5517" s="5">
        <v>-27981</v>
      </c>
      <c r="F5517" s="3" t="s">
        <v>1521</v>
      </c>
      <c r="G5517" s="3" t="s">
        <v>39</v>
      </c>
      <c r="H5517" s="2" t="s">
        <v>21</v>
      </c>
      <c r="I5517" s="2" t="s">
        <v>11127</v>
      </c>
      <c r="J5517" s="3" t="str">
        <f>HYPERLINK("https://www.boe.es/gazeta/dias/1823/05/22/pdfs/GES-1823-43.pdf#page=1","Abrir facsímil")</f>
        <v>Abrir facsímil</v>
      </c>
      <c r="K5517" s="3" t="s">
        <v>23</v>
      </c>
    </row>
    <row r="5518" spans="1:11" ht="42" customHeight="1">
      <c r="A5518" s="2" t="s">
        <v>11123</v>
      </c>
      <c r="B5518" s="2" t="s">
        <v>11123</v>
      </c>
      <c r="C5518" s="2" t="s">
        <v>56</v>
      </c>
      <c r="D5518" s="2" t="s">
        <v>57</v>
      </c>
      <c r="E5518" s="5">
        <v>-27932</v>
      </c>
      <c r="F5518" s="3" t="s">
        <v>786</v>
      </c>
      <c r="G5518" s="3" t="s">
        <v>34</v>
      </c>
      <c r="H5518" s="2" t="s">
        <v>21</v>
      </c>
      <c r="I5518" s="2" t="s">
        <v>11128</v>
      </c>
      <c r="J5518" s="3" t="str">
        <f>HYPERLINK("https://www.boe.es/gazeta/dias/1823/07/10/pdfs/GMD-1823-363.pdf#page=5","Abrir facsímil")</f>
        <v>Abrir facsímil</v>
      </c>
      <c r="K5518" s="3" t="s">
        <v>23</v>
      </c>
    </row>
    <row r="5519" spans="1:11" ht="42" customHeight="1">
      <c r="A5519" s="2" t="s">
        <v>11123</v>
      </c>
      <c r="B5519" s="2" t="s">
        <v>11123</v>
      </c>
      <c r="C5519" s="2" t="s">
        <v>17</v>
      </c>
      <c r="D5519" s="2" t="s">
        <v>18</v>
      </c>
      <c r="E5519" s="5">
        <v>-27930</v>
      </c>
      <c r="F5519" s="3" t="s">
        <v>2334</v>
      </c>
      <c r="G5519" s="3" t="s">
        <v>20</v>
      </c>
      <c r="H5519" s="2" t="s">
        <v>21</v>
      </c>
      <c r="I5519" s="2" t="s">
        <v>11129</v>
      </c>
      <c r="J5519" s="3" t="str">
        <f>HYPERLINK("https://www.boe.es/gazeta/dias/1823/07/12/pdfs/GES-1823-92.pdf#page=4","Abrir facsímil")</f>
        <v>Abrir facsímil</v>
      </c>
      <c r="K5519" s="3" t="s">
        <v>23</v>
      </c>
    </row>
    <row r="5520" spans="1:11" ht="42" customHeight="1">
      <c r="A5520" s="2" t="s">
        <v>11123</v>
      </c>
      <c r="B5520" s="2" t="s">
        <v>11123</v>
      </c>
      <c r="C5520" s="2" t="s">
        <v>17</v>
      </c>
      <c r="D5520" s="2" t="s">
        <v>18</v>
      </c>
      <c r="E5520" s="5">
        <v>-27909</v>
      </c>
      <c r="F5520" s="3" t="s">
        <v>1525</v>
      </c>
      <c r="G5520" s="3" t="s">
        <v>20</v>
      </c>
      <c r="H5520" s="2" t="s">
        <v>21</v>
      </c>
      <c r="I5520" s="2" t="s">
        <v>11130</v>
      </c>
      <c r="J5520" s="3" t="str">
        <f>HYPERLINK("https://www.boe.es/gazeta/dias/1823/08/02/pdfs/GMD-1823-513.pdf#page=4","Abrir facsímil")</f>
        <v>Abrir facsímil</v>
      </c>
      <c r="K5520" s="3" t="s">
        <v>23</v>
      </c>
    </row>
    <row r="5521" spans="1:11" ht="42" customHeight="1">
      <c r="A5521" s="2" t="s">
        <v>11131</v>
      </c>
      <c r="B5521" s="2" t="s">
        <v>11132</v>
      </c>
      <c r="C5521" s="2" t="s">
        <v>109</v>
      </c>
      <c r="D5521" s="2" t="s">
        <v>74</v>
      </c>
      <c r="E5521" s="5">
        <v>-27989</v>
      </c>
      <c r="F5521" s="3" t="s">
        <v>1134</v>
      </c>
      <c r="G5521" s="3" t="s">
        <v>20</v>
      </c>
      <c r="H5521" s="2" t="s">
        <v>21</v>
      </c>
      <c r="I5521" s="2" t="s">
        <v>11133</v>
      </c>
      <c r="J5521" s="3" t="str">
        <f>HYPERLINK("https://www.boe.es/gazeta/dias/1823/05/14/pdfs/GES-1823-34.pdf#page=4","Abrir facsímil")</f>
        <v>Abrir facsímil</v>
      </c>
      <c r="K5521" s="3" t="s">
        <v>23</v>
      </c>
    </row>
    <row r="5522" spans="1:11" ht="42" customHeight="1">
      <c r="A5522" s="2" t="s">
        <v>11131</v>
      </c>
      <c r="B5522" s="2" t="s">
        <v>11132</v>
      </c>
      <c r="C5522" s="2" t="s">
        <v>79</v>
      </c>
      <c r="D5522" s="2" t="s">
        <v>74</v>
      </c>
      <c r="E5522" s="5">
        <v>-27945</v>
      </c>
      <c r="F5522" s="3" t="s">
        <v>628</v>
      </c>
      <c r="G5522" s="3" t="s">
        <v>48</v>
      </c>
      <c r="H5522" s="2" t="s">
        <v>21</v>
      </c>
      <c r="I5522" s="2" t="s">
        <v>11134</v>
      </c>
      <c r="J5522" s="3" t="str">
        <f>HYPERLINK("https://www.boe.es/gazeta/dias/1823/06/27/pdfs/GES-1823-77.pdf#page=3","Abrir facsímil")</f>
        <v>Abrir facsímil</v>
      </c>
      <c r="K5522" s="3" t="s">
        <v>23</v>
      </c>
    </row>
    <row r="5523" spans="1:11" ht="42" customHeight="1">
      <c r="A5523" s="2" t="s">
        <v>11131</v>
      </c>
      <c r="B5523" s="2" t="s">
        <v>11132</v>
      </c>
      <c r="C5523" s="2" t="s">
        <v>17</v>
      </c>
      <c r="D5523" s="2" t="s">
        <v>18</v>
      </c>
      <c r="E5523" s="5">
        <v>-27930</v>
      </c>
      <c r="F5523" s="3" t="s">
        <v>2334</v>
      </c>
      <c r="G5523" s="3" t="s">
        <v>20</v>
      </c>
      <c r="H5523" s="2" t="s">
        <v>21</v>
      </c>
      <c r="I5523" s="2" t="s">
        <v>11135</v>
      </c>
      <c r="J5523" s="3" t="str">
        <f>HYPERLINK("https://www.boe.es/gazeta/dias/1823/07/12/pdfs/GES-1823-92.pdf#page=4","Abrir facsímil")</f>
        <v>Abrir facsímil</v>
      </c>
      <c r="K5523" s="3" t="s">
        <v>23</v>
      </c>
    </row>
    <row r="5524" spans="1:11" ht="42" customHeight="1">
      <c r="A5524" s="2" t="s">
        <v>11131</v>
      </c>
      <c r="B5524" s="2" t="s">
        <v>11132</v>
      </c>
      <c r="C5524" s="2" t="s">
        <v>17</v>
      </c>
      <c r="D5524" s="2" t="s">
        <v>18</v>
      </c>
      <c r="E5524" s="5">
        <v>-27909</v>
      </c>
      <c r="F5524" s="3" t="s">
        <v>1525</v>
      </c>
      <c r="G5524" s="3" t="s">
        <v>20</v>
      </c>
      <c r="H5524" s="2" t="s">
        <v>21</v>
      </c>
      <c r="I5524" s="2" t="s">
        <v>11136</v>
      </c>
      <c r="J5524" s="3" t="str">
        <f>HYPERLINK("https://www.boe.es/gazeta/dias/1823/08/02/pdfs/GMD-1823-513.pdf#page=4","Abrir facsímil")</f>
        <v>Abrir facsímil</v>
      </c>
      <c r="K5524" s="3" t="s">
        <v>23</v>
      </c>
    </row>
    <row r="5525" spans="1:11" ht="42" customHeight="1">
      <c r="A5525" s="2" t="s">
        <v>11137</v>
      </c>
      <c r="B5525" s="2" t="s">
        <v>11137</v>
      </c>
      <c r="C5525" s="2" t="s">
        <v>79</v>
      </c>
      <c r="D5525" s="2" t="s">
        <v>74</v>
      </c>
      <c r="E5525" s="5">
        <v>-27987</v>
      </c>
      <c r="F5525" s="3" t="s">
        <v>332</v>
      </c>
      <c r="G5525" s="3" t="s">
        <v>34</v>
      </c>
      <c r="H5525" s="2" t="s">
        <v>21</v>
      </c>
      <c r="I5525" s="2" t="s">
        <v>11138</v>
      </c>
      <c r="J5525" s="3" t="str">
        <f>HYPERLINK("https://www.boe.es/gazeta/dias/1823/05/16/pdfs/GES-1823-36.pdf#page=5","Abrir facsímil")</f>
        <v>Abrir facsímil</v>
      </c>
      <c r="K5525" s="3" t="s">
        <v>23</v>
      </c>
    </row>
    <row r="5526" spans="1:11" ht="42" customHeight="1">
      <c r="A5526" s="2" t="s">
        <v>11139</v>
      </c>
      <c r="B5526" s="2" t="s">
        <v>11139</v>
      </c>
      <c r="C5526" s="2" t="s">
        <v>56</v>
      </c>
      <c r="D5526" s="2" t="s">
        <v>57</v>
      </c>
      <c r="E5526" s="5">
        <v>-27918</v>
      </c>
      <c r="F5526" s="3" t="s">
        <v>3181</v>
      </c>
      <c r="G5526" s="3" t="s">
        <v>20</v>
      </c>
      <c r="H5526" s="2" t="s">
        <v>21</v>
      </c>
      <c r="I5526" s="2" t="s">
        <v>11140</v>
      </c>
      <c r="J5526" s="3" t="str">
        <f>HYPERLINK("https://www.boe.es/gazeta/dias/1823/07/24/pdfs/GES-1823-105.pdf#page=4","Abrir facsímil")</f>
        <v>Abrir facsímil</v>
      </c>
      <c r="K5526" s="3" t="s">
        <v>23</v>
      </c>
    </row>
    <row r="5527" spans="1:11" ht="42" customHeight="1">
      <c r="A5527" s="2" t="s">
        <v>11141</v>
      </c>
      <c r="B5527" s="2" t="s">
        <v>11141</v>
      </c>
      <c r="C5527" s="2" t="s">
        <v>17</v>
      </c>
      <c r="D5527" s="2" t="s">
        <v>18</v>
      </c>
      <c r="E5527" s="5">
        <v>-28104</v>
      </c>
      <c r="F5527" s="3" t="s">
        <v>114</v>
      </c>
      <c r="G5527" s="3" t="s">
        <v>59</v>
      </c>
      <c r="H5527" s="2" t="s">
        <v>21</v>
      </c>
      <c r="I5527" s="2" t="s">
        <v>11142</v>
      </c>
      <c r="J5527" s="3" t="str">
        <f>HYPERLINK("https://www.boe.es/gazeta/dias/1823/01/19/pdfs/GMD-1823-19.pdf#page=6","Abrir facsímil")</f>
        <v>Abrir facsímil</v>
      </c>
      <c r="K5527" s="3" t="s">
        <v>23</v>
      </c>
    </row>
    <row r="5528" spans="1:11" ht="42" customHeight="1">
      <c r="A5528" s="2" t="s">
        <v>11141</v>
      </c>
      <c r="B5528" s="2" t="s">
        <v>11141</v>
      </c>
      <c r="C5528" s="2" t="s">
        <v>109</v>
      </c>
      <c r="D5528" s="2" t="s">
        <v>74</v>
      </c>
      <c r="E5528" s="5">
        <v>-28056</v>
      </c>
      <c r="F5528" s="3" t="s">
        <v>572</v>
      </c>
      <c r="G5528" s="3" t="s">
        <v>59</v>
      </c>
      <c r="H5528" s="2" t="s">
        <v>21</v>
      </c>
      <c r="I5528" s="2" t="s">
        <v>11143</v>
      </c>
      <c r="J5528" s="3" t="str">
        <f>HYPERLINK("https://www.boe.es/gazeta/dias/1823/03/08/pdfs/GMD-1823-71.pdf#page=6","Abrir facsímil")</f>
        <v>Abrir facsímil</v>
      </c>
      <c r="K5528" s="3" t="s">
        <v>23</v>
      </c>
    </row>
    <row r="5529" spans="1:11" ht="42" customHeight="1">
      <c r="A5529" s="2" t="s">
        <v>11141</v>
      </c>
      <c r="B5529" s="2" t="s">
        <v>11141</v>
      </c>
      <c r="C5529" s="2" t="s">
        <v>17</v>
      </c>
      <c r="D5529" s="2" t="s">
        <v>18</v>
      </c>
      <c r="E5529" s="5">
        <v>-27895</v>
      </c>
      <c r="F5529" s="3" t="s">
        <v>5642</v>
      </c>
      <c r="G5529" s="3" t="s">
        <v>20</v>
      </c>
      <c r="H5529" s="2" t="s">
        <v>21</v>
      </c>
      <c r="I5529" s="2" t="s">
        <v>11144</v>
      </c>
      <c r="J5529" s="3" t="str">
        <f>HYPERLINK("https://www.boe.es/gazeta/dias/1823/08/16/pdfs/GMD-1823-603.pdf#page=4","Abrir facsímil")</f>
        <v>Abrir facsímil</v>
      </c>
      <c r="K5529" s="3" t="s">
        <v>23</v>
      </c>
    </row>
    <row r="5530" spans="1:11" ht="42" customHeight="1">
      <c r="A5530" s="2" t="s">
        <v>11145</v>
      </c>
      <c r="B5530" s="2" t="s">
        <v>11145</v>
      </c>
      <c r="C5530" s="2" t="s">
        <v>17</v>
      </c>
      <c r="D5530" s="2" t="s">
        <v>18</v>
      </c>
      <c r="E5530" s="5">
        <v>-27991</v>
      </c>
      <c r="F5530" s="3" t="s">
        <v>328</v>
      </c>
      <c r="G5530" s="3" t="s">
        <v>34</v>
      </c>
      <c r="H5530" s="2" t="s">
        <v>21</v>
      </c>
      <c r="I5530" s="2" t="s">
        <v>11146</v>
      </c>
      <c r="J5530" s="3" t="str">
        <f>HYPERLINK("https://www.boe.es/gazeta/dias/1823/05/12/pdfs/GES-1823-32.pdf#page=5","Abrir facsímil")</f>
        <v>Abrir facsímil</v>
      </c>
      <c r="K5530" s="3" t="s">
        <v>23</v>
      </c>
    </row>
    <row r="5531" spans="1:11" ht="42" customHeight="1">
      <c r="A5531" s="2" t="s">
        <v>11147</v>
      </c>
      <c r="B5531" s="2" t="s">
        <v>11147</v>
      </c>
      <c r="C5531" s="2" t="s">
        <v>17</v>
      </c>
      <c r="D5531" s="2" t="s">
        <v>18</v>
      </c>
      <c r="E5531" s="5">
        <v>-28076</v>
      </c>
      <c r="F5531" s="3" t="s">
        <v>1638</v>
      </c>
      <c r="G5531" s="3" t="s">
        <v>59</v>
      </c>
      <c r="H5531" s="2" t="s">
        <v>21</v>
      </c>
      <c r="I5531" s="2" t="s">
        <v>11148</v>
      </c>
      <c r="J5531" s="3" t="str">
        <f>HYPERLINK("https://www.boe.es/gazeta/dias/1823/02/16/pdfs/GMD-1823-50.pdf#page=6","Abrir facsímil")</f>
        <v>Abrir facsímil</v>
      </c>
      <c r="K5531" s="3" t="s">
        <v>23</v>
      </c>
    </row>
    <row r="5532" spans="1:11" ht="42" customHeight="1">
      <c r="A5532" s="2" t="s">
        <v>11147</v>
      </c>
      <c r="B5532" s="2" t="s">
        <v>11147</v>
      </c>
      <c r="C5532" s="2" t="s">
        <v>17</v>
      </c>
      <c r="D5532" s="2" t="s">
        <v>18</v>
      </c>
      <c r="E5532" s="5">
        <v>-27993</v>
      </c>
      <c r="F5532" s="3" t="s">
        <v>977</v>
      </c>
      <c r="G5532" s="3" t="s">
        <v>978</v>
      </c>
      <c r="H5532" s="2" t="s">
        <v>21</v>
      </c>
      <c r="I5532" s="2" t="s">
        <v>11149</v>
      </c>
      <c r="J5532" s="3" t="str">
        <f>HYPERLINK("https://www.boe.es/gazeta/dias/1823/05/10/pdfs/GES-1823-30.pdf#page=4","Abrir facsímil")</f>
        <v>Abrir facsímil</v>
      </c>
      <c r="K5532" s="3" t="s">
        <v>23</v>
      </c>
    </row>
    <row r="5533" spans="1:11" ht="42" customHeight="1">
      <c r="A5533" s="2" t="s">
        <v>11150</v>
      </c>
      <c r="B5533" s="2" t="s">
        <v>11150</v>
      </c>
      <c r="C5533" s="2" t="s">
        <v>17</v>
      </c>
      <c r="D5533" s="2" t="s">
        <v>18</v>
      </c>
      <c r="E5533" s="5">
        <v>-27894</v>
      </c>
      <c r="F5533" s="3" t="s">
        <v>2013</v>
      </c>
      <c r="G5533" s="3" t="s">
        <v>27</v>
      </c>
      <c r="H5533" s="2" t="s">
        <v>21</v>
      </c>
      <c r="I5533" s="2" t="s">
        <v>11151</v>
      </c>
      <c r="J5533" s="3" t="str">
        <f>HYPERLINK("https://www.boe.es/gazeta/dias/1823/08/17/pdfs/GES-1823-130.pdf#page=2","Abrir facsímil")</f>
        <v>Abrir facsímil</v>
      </c>
      <c r="K5533" s="3" t="s">
        <v>23</v>
      </c>
    </row>
    <row r="5534" spans="1:11" ht="42" customHeight="1">
      <c r="A5534" s="2" t="s">
        <v>11152</v>
      </c>
      <c r="B5534" s="2" t="s">
        <v>11153</v>
      </c>
      <c r="C5534" s="2" t="s">
        <v>109</v>
      </c>
      <c r="D5534" s="2" t="s">
        <v>74</v>
      </c>
      <c r="E5534" s="5">
        <v>-27953</v>
      </c>
      <c r="F5534" s="3" t="s">
        <v>1783</v>
      </c>
      <c r="G5534" s="3" t="s">
        <v>20</v>
      </c>
      <c r="H5534" s="2" t="s">
        <v>21</v>
      </c>
      <c r="I5534" s="2" t="s">
        <v>11154</v>
      </c>
      <c r="J5534" s="3" t="str">
        <f>HYPERLINK("https://www.boe.es/gazeta/dias/1823/06/19/pdfs/GES-1823-67.pdf#page=4","Abrir facsímil")</f>
        <v>Abrir facsímil</v>
      </c>
      <c r="K5534" s="3" t="s">
        <v>23</v>
      </c>
    </row>
    <row r="5535" spans="1:11" ht="42" customHeight="1">
      <c r="A5535" s="2" t="s">
        <v>11155</v>
      </c>
      <c r="B5535" s="2" t="s">
        <v>11156</v>
      </c>
      <c r="C5535" s="2" t="s">
        <v>17</v>
      </c>
      <c r="D5535" s="2" t="s">
        <v>18</v>
      </c>
      <c r="E5535" s="5">
        <v>-27811</v>
      </c>
      <c r="F5535" s="3" t="s">
        <v>834</v>
      </c>
      <c r="G5535" s="3" t="s">
        <v>48</v>
      </c>
      <c r="H5535" s="2" t="s">
        <v>21</v>
      </c>
      <c r="I5535" s="2" t="s">
        <v>11157</v>
      </c>
      <c r="J5535" s="3" t="str">
        <f>HYPERLINK("https://www.boe.es/gazeta/dias/1823/11/08/pdfs/GMD-1823-1083.pdf#page=3","Abrir facsímil")</f>
        <v>Abrir facsímil</v>
      </c>
      <c r="K5535" s="3" t="s">
        <v>23</v>
      </c>
    </row>
    <row r="5536" spans="1:11" ht="42" customHeight="1">
      <c r="A5536" s="2" t="s">
        <v>11158</v>
      </c>
      <c r="B5536" s="2" t="s">
        <v>11158</v>
      </c>
      <c r="C5536" s="2" t="s">
        <v>17</v>
      </c>
      <c r="D5536" s="2" t="s">
        <v>18</v>
      </c>
      <c r="E5536" s="5">
        <v>-28065</v>
      </c>
      <c r="F5536" s="3" t="s">
        <v>686</v>
      </c>
      <c r="G5536" s="3" t="s">
        <v>20</v>
      </c>
      <c r="H5536" s="2" t="s">
        <v>21</v>
      </c>
      <c r="I5536" s="2" t="s">
        <v>11159</v>
      </c>
      <c r="J5536" s="3" t="str">
        <f>HYPERLINK("https://www.boe.es/gazeta/dias/1823/02/27/pdfs/GMD-1823-61.pdf#page=4","Abrir facsímil")</f>
        <v>Abrir facsímil</v>
      </c>
      <c r="K5536" s="3" t="s">
        <v>23</v>
      </c>
    </row>
    <row r="5537" spans="1:11" ht="42" customHeight="1">
      <c r="A5537" s="2" t="s">
        <v>11160</v>
      </c>
      <c r="B5537" s="2" t="s">
        <v>11160</v>
      </c>
      <c r="C5537" s="2" t="s">
        <v>56</v>
      </c>
      <c r="D5537" s="2" t="s">
        <v>57</v>
      </c>
      <c r="E5537" s="5">
        <v>-28059</v>
      </c>
      <c r="F5537" s="3" t="s">
        <v>149</v>
      </c>
      <c r="G5537" s="3" t="s">
        <v>48</v>
      </c>
      <c r="H5537" s="2" t="s">
        <v>21</v>
      </c>
      <c r="I5537" s="2" t="s">
        <v>11161</v>
      </c>
      <c r="J5537" s="3" t="str">
        <f>HYPERLINK("https://www.boe.es/gazeta/dias/1823/03/05/pdfs/GMD-1823-68.pdf#page=3","Abrir facsímil")</f>
        <v>Abrir facsímil</v>
      </c>
      <c r="K5537" s="3" t="s">
        <v>23</v>
      </c>
    </row>
    <row r="5538" spans="1:11" ht="42" customHeight="1">
      <c r="A5538" s="2" t="s">
        <v>11162</v>
      </c>
      <c r="B5538" s="2" t="s">
        <v>11163</v>
      </c>
      <c r="C5538" s="2" t="s">
        <v>56</v>
      </c>
      <c r="D5538" s="2" t="s">
        <v>57</v>
      </c>
      <c r="E5538" s="5">
        <v>-27909</v>
      </c>
      <c r="F5538" s="3" t="s">
        <v>948</v>
      </c>
      <c r="G5538" s="3" t="s">
        <v>27</v>
      </c>
      <c r="H5538" s="2" t="s">
        <v>21</v>
      </c>
      <c r="I5538" s="2" t="s">
        <v>11164</v>
      </c>
      <c r="J5538" s="3" t="str">
        <f>HYPERLINK("https://www.boe.es/gazeta/dias/1823/08/02/pdfs/GES-1823-114.pdf#page=2","Abrir facsímil")</f>
        <v>Abrir facsímil</v>
      </c>
      <c r="K5538" s="3" t="s">
        <v>23</v>
      </c>
    </row>
    <row r="5539" spans="1:11" ht="42" customHeight="1">
      <c r="A5539" s="2" t="s">
        <v>11165</v>
      </c>
      <c r="B5539" s="2" t="s">
        <v>11165</v>
      </c>
      <c r="C5539" s="2" t="s">
        <v>56</v>
      </c>
      <c r="D5539" s="2" t="s">
        <v>57</v>
      </c>
      <c r="E5539" s="5">
        <v>-28085</v>
      </c>
      <c r="F5539" s="3" t="s">
        <v>458</v>
      </c>
      <c r="G5539" s="3" t="s">
        <v>34</v>
      </c>
      <c r="H5539" s="2" t="s">
        <v>21</v>
      </c>
      <c r="I5539" s="2" t="s">
        <v>11166</v>
      </c>
      <c r="J5539" s="3" t="str">
        <f>HYPERLINK("https://www.boe.es/gazeta/dias/1823/02/07/pdfs/GMD-1823-40.pdf#page=5","Abrir facsímil")</f>
        <v>Abrir facsímil</v>
      </c>
      <c r="K5539" s="3" t="s">
        <v>23</v>
      </c>
    </row>
    <row r="5540" spans="1:11" ht="42" customHeight="1">
      <c r="A5540" s="2" t="s">
        <v>11165</v>
      </c>
      <c r="B5540" s="2" t="s">
        <v>11165</v>
      </c>
      <c r="C5540" s="2" t="s">
        <v>56</v>
      </c>
      <c r="D5540" s="2" t="s">
        <v>57</v>
      </c>
      <c r="E5540" s="5">
        <v>-28001</v>
      </c>
      <c r="F5540" s="3" t="s">
        <v>768</v>
      </c>
      <c r="G5540" s="3" t="s">
        <v>34</v>
      </c>
      <c r="H5540" s="2" t="s">
        <v>21</v>
      </c>
      <c r="I5540" s="2" t="s">
        <v>11167</v>
      </c>
      <c r="J5540" s="3" t="str">
        <f>HYPERLINK("https://www.boe.es/gazeta/dias/1823/05/02/pdfs/GES-1823-22.pdf#page=5","Abrir facsímil")</f>
        <v>Abrir facsímil</v>
      </c>
      <c r="K5540" s="3" t="s">
        <v>23</v>
      </c>
    </row>
    <row r="5541" spans="1:11" ht="42" customHeight="1">
      <c r="A5541" s="2" t="s">
        <v>11168</v>
      </c>
      <c r="B5541" s="2" t="s">
        <v>11169</v>
      </c>
      <c r="C5541" s="2" t="s">
        <v>17</v>
      </c>
      <c r="D5541" s="2" t="s">
        <v>18</v>
      </c>
      <c r="E5541" s="5">
        <v>-28097</v>
      </c>
      <c r="F5541" s="3" t="s">
        <v>1368</v>
      </c>
      <c r="G5541" s="3" t="s">
        <v>48</v>
      </c>
      <c r="H5541" s="2" t="s">
        <v>21</v>
      </c>
      <c r="I5541" s="2" t="s">
        <v>11170</v>
      </c>
      <c r="J5541" s="3" t="str">
        <f>HYPERLINK("https://www.boe.es/gazeta/dias/1823/01/26/pdfs/GMD-1823-27.pdf#page=3","Abrir facsímil")</f>
        <v>Abrir facsímil</v>
      </c>
      <c r="K5541" s="3" t="s">
        <v>23</v>
      </c>
    </row>
    <row r="5542" spans="1:11" ht="42" customHeight="1">
      <c r="A5542" s="2" t="s">
        <v>11171</v>
      </c>
      <c r="B5542" s="2" t="s">
        <v>11172</v>
      </c>
      <c r="C5542" s="2" t="s">
        <v>17</v>
      </c>
      <c r="D5542" s="2" t="s">
        <v>18</v>
      </c>
      <c r="E5542" s="5">
        <v>-28080</v>
      </c>
      <c r="F5542" s="3" t="s">
        <v>1010</v>
      </c>
      <c r="G5542" s="3" t="s">
        <v>1382</v>
      </c>
      <c r="H5542" s="2" t="s">
        <v>21</v>
      </c>
      <c r="I5542" s="2" t="s">
        <v>11173</v>
      </c>
      <c r="J5542" s="3" t="str">
        <f>HYPERLINK("https://www.boe.es/gazeta/dias/1823/02/12/pdfs/GMD-1823-46.pdf#page=4","Abrir facsímil")</f>
        <v>Abrir facsímil</v>
      </c>
      <c r="K5542" s="3" t="s">
        <v>23</v>
      </c>
    </row>
    <row r="5543" spans="1:11" ht="42" customHeight="1">
      <c r="A5543" s="2" t="s">
        <v>11171</v>
      </c>
      <c r="B5543" s="2" t="s">
        <v>11172</v>
      </c>
      <c r="C5543" s="2" t="s">
        <v>17</v>
      </c>
      <c r="D5543" s="2" t="s">
        <v>18</v>
      </c>
      <c r="E5543" s="5">
        <v>-28080</v>
      </c>
      <c r="F5543" s="3" t="s">
        <v>1010</v>
      </c>
      <c r="G5543" s="3" t="s">
        <v>48</v>
      </c>
      <c r="H5543" s="2" t="s">
        <v>21</v>
      </c>
      <c r="I5543" s="2" t="s">
        <v>11174</v>
      </c>
      <c r="J5543" s="3" t="str">
        <f>HYPERLINK("https://www.boe.es/gazeta/dias/1823/02/12/pdfs/GMD-1823-46.pdf#page=3","Abrir facsímil")</f>
        <v>Abrir facsímil</v>
      </c>
      <c r="K5543" s="3" t="s">
        <v>23</v>
      </c>
    </row>
    <row r="5544" spans="1:11" ht="42" customHeight="1">
      <c r="A5544" s="2" t="s">
        <v>11171</v>
      </c>
      <c r="B5544" s="2" t="s">
        <v>11172</v>
      </c>
      <c r="C5544" s="2" t="s">
        <v>17</v>
      </c>
      <c r="D5544" s="2" t="s">
        <v>18</v>
      </c>
      <c r="E5544" s="5">
        <v>-27884</v>
      </c>
      <c r="F5544" s="3" t="s">
        <v>61</v>
      </c>
      <c r="G5544" s="3" t="s">
        <v>27</v>
      </c>
      <c r="H5544" s="2" t="s">
        <v>21</v>
      </c>
      <c r="I5544" s="2" t="s">
        <v>11175</v>
      </c>
      <c r="J5544" s="3" t="str">
        <f>HYPERLINK("https://www.boe.es/gazeta/dias/1823/08/27/pdfs/GES-1823-140.pdf#page=2","Abrir facsímil")</f>
        <v>Abrir facsímil</v>
      </c>
      <c r="K5544" s="3" t="s">
        <v>23</v>
      </c>
    </row>
    <row r="5545" spans="1:11" ht="42" customHeight="1">
      <c r="A5545" s="2" t="s">
        <v>11176</v>
      </c>
      <c r="B5545" s="2" t="s">
        <v>11176</v>
      </c>
      <c r="C5545" s="2" t="s">
        <v>17</v>
      </c>
      <c r="D5545" s="2" t="s">
        <v>18</v>
      </c>
      <c r="E5545" s="5">
        <v>-27913</v>
      </c>
      <c r="F5545" s="3" t="s">
        <v>829</v>
      </c>
      <c r="G5545" s="3" t="s">
        <v>34</v>
      </c>
      <c r="H5545" s="2" t="s">
        <v>21</v>
      </c>
      <c r="I5545" s="2" t="s">
        <v>11177</v>
      </c>
      <c r="J5545" s="3" t="str">
        <f>HYPERLINK("https://www.boe.es/gazeta/dias/1823/07/29/pdfs/GMD-1823-483.pdf#page=5","Abrir facsímil")</f>
        <v>Abrir facsímil</v>
      </c>
      <c r="K5545" s="3" t="s">
        <v>23</v>
      </c>
    </row>
    <row r="5546" spans="1:11" ht="42" customHeight="1">
      <c r="A5546" s="2" t="s">
        <v>11178</v>
      </c>
      <c r="B5546" s="2" t="s">
        <v>11178</v>
      </c>
      <c r="C5546" s="2" t="s">
        <v>17</v>
      </c>
      <c r="D5546" s="2" t="s">
        <v>18</v>
      </c>
      <c r="E5546" s="5">
        <v>-27860</v>
      </c>
      <c r="F5546" s="3" t="s">
        <v>998</v>
      </c>
      <c r="G5546" s="3" t="s">
        <v>59</v>
      </c>
      <c r="H5546" s="2" t="s">
        <v>21</v>
      </c>
      <c r="I5546" s="2" t="s">
        <v>11179</v>
      </c>
      <c r="J5546" s="3" t="str">
        <f>HYPERLINK("https://www.boe.es/gazeta/dias/1823/09/20/pdfs/GMD-1823-813.pdf#page=6","Abrir facsímil")</f>
        <v>Abrir facsímil</v>
      </c>
      <c r="K5546" s="3" t="s">
        <v>23</v>
      </c>
    </row>
    <row r="5547" spans="1:11" ht="42" customHeight="1">
      <c r="A5547" s="2" t="s">
        <v>11180</v>
      </c>
      <c r="B5547" s="2" t="s">
        <v>11181</v>
      </c>
      <c r="C5547" s="2" t="s">
        <v>17</v>
      </c>
      <c r="D5547" s="2" t="s">
        <v>18</v>
      </c>
      <c r="E5547" s="5">
        <v>-27993</v>
      </c>
      <c r="F5547" s="3" t="s">
        <v>977</v>
      </c>
      <c r="G5547" s="3" t="s">
        <v>978</v>
      </c>
      <c r="H5547" s="2" t="s">
        <v>21</v>
      </c>
      <c r="I5547" s="2" t="s">
        <v>11182</v>
      </c>
      <c r="J5547" s="3" t="str">
        <f>HYPERLINK("https://www.boe.es/gazeta/dias/1823/05/10/pdfs/GES-1823-30.pdf#page=4","Abrir facsímil")</f>
        <v>Abrir facsímil</v>
      </c>
      <c r="K5547" s="3" t="s">
        <v>23</v>
      </c>
    </row>
    <row r="5548" spans="1:11" ht="42" customHeight="1">
      <c r="A5548" s="2" t="s">
        <v>11183</v>
      </c>
      <c r="B5548" s="2" t="s">
        <v>11184</v>
      </c>
      <c r="C5548" s="2" t="s">
        <v>17</v>
      </c>
      <c r="D5548" s="2" t="s">
        <v>18</v>
      </c>
      <c r="E5548" s="5">
        <v>-27922</v>
      </c>
      <c r="F5548" s="3" t="s">
        <v>1959</v>
      </c>
      <c r="G5548" s="3" t="s">
        <v>20</v>
      </c>
      <c r="H5548" s="2" t="s">
        <v>21</v>
      </c>
      <c r="I5548" s="2" t="s">
        <v>11185</v>
      </c>
      <c r="J5548" s="3" t="str">
        <f>HYPERLINK("https://www.boe.es/gazeta/dias/1823/07/20/pdfs/GES-1823-101.pdf#page=4","Abrir facsímil")</f>
        <v>Abrir facsímil</v>
      </c>
      <c r="K5548" s="3" t="s">
        <v>23</v>
      </c>
    </row>
    <row r="5549" spans="1:11" ht="42" customHeight="1">
      <c r="A5549" s="2" t="s">
        <v>11186</v>
      </c>
      <c r="B5549" s="2" t="s">
        <v>11186</v>
      </c>
      <c r="C5549" s="2" t="s">
        <v>17</v>
      </c>
      <c r="D5549" s="2" t="s">
        <v>18</v>
      </c>
      <c r="E5549" s="5">
        <v>-28100</v>
      </c>
      <c r="F5549" s="3" t="s">
        <v>737</v>
      </c>
      <c r="G5549" s="3" t="s">
        <v>20</v>
      </c>
      <c r="H5549" s="2" t="s">
        <v>21</v>
      </c>
      <c r="I5549" s="2" t="s">
        <v>11187</v>
      </c>
      <c r="J5549" s="3" t="str">
        <f>HYPERLINK("https://www.boe.es/gazeta/dias/1823/01/23/pdfs/GMD-1823-24.pdf#page=4","Abrir facsímil")</f>
        <v>Abrir facsímil</v>
      </c>
      <c r="K5549" s="3" t="s">
        <v>23</v>
      </c>
    </row>
    <row r="5550" spans="1:11" ht="42" customHeight="1">
      <c r="A5550" s="2" t="s">
        <v>11186</v>
      </c>
      <c r="B5550" s="2" t="s">
        <v>11186</v>
      </c>
      <c r="C5550" s="2" t="s">
        <v>17</v>
      </c>
      <c r="D5550" s="2" t="s">
        <v>18</v>
      </c>
      <c r="E5550" s="5">
        <v>-28056</v>
      </c>
      <c r="F5550" s="3" t="s">
        <v>572</v>
      </c>
      <c r="G5550" s="3" t="s">
        <v>27</v>
      </c>
      <c r="H5550" s="2" t="s">
        <v>21</v>
      </c>
      <c r="I5550" s="2" t="s">
        <v>11188</v>
      </c>
      <c r="J5550" s="3" t="str">
        <f>HYPERLINK("https://www.boe.es/gazeta/dias/1823/03/08/pdfs/GMD-1823-71.pdf#page=2","Abrir facsímil")</f>
        <v>Abrir facsímil</v>
      </c>
      <c r="K5550" s="3" t="s">
        <v>23</v>
      </c>
    </row>
    <row r="5551" spans="1:11" ht="42" customHeight="1">
      <c r="A5551" s="2" t="s">
        <v>11186</v>
      </c>
      <c r="B5551" s="2" t="s">
        <v>11186</v>
      </c>
      <c r="C5551" s="2" t="s">
        <v>17</v>
      </c>
      <c r="D5551" s="2" t="s">
        <v>18</v>
      </c>
      <c r="E5551" s="5">
        <v>-27970</v>
      </c>
      <c r="F5551" s="3" t="s">
        <v>1030</v>
      </c>
      <c r="G5551" s="3" t="s">
        <v>20</v>
      </c>
      <c r="H5551" s="2" t="s">
        <v>21</v>
      </c>
      <c r="I5551" s="2" t="s">
        <v>11189</v>
      </c>
      <c r="J5551" s="3" t="str">
        <f>HYPERLINK("https://www.boe.es/gazeta/dias/1823/06/02/pdfs/GES-1823-56.pdf#page=4","Abrir facsímil")</f>
        <v>Abrir facsímil</v>
      </c>
      <c r="K5551" s="3" t="s">
        <v>23</v>
      </c>
    </row>
    <row r="5552" spans="1:11" ht="42" customHeight="1">
      <c r="A5552" s="2" t="s">
        <v>11190</v>
      </c>
      <c r="B5552" s="2" t="s">
        <v>11191</v>
      </c>
      <c r="C5552" s="2" t="s">
        <v>56</v>
      </c>
      <c r="D5552" s="2" t="s">
        <v>57</v>
      </c>
      <c r="E5552" s="5">
        <v>-27972</v>
      </c>
      <c r="F5552" s="3" t="s">
        <v>1515</v>
      </c>
      <c r="G5552" s="3" t="s">
        <v>48</v>
      </c>
      <c r="H5552" s="2" t="s">
        <v>21</v>
      </c>
      <c r="I5552" s="2" t="s">
        <v>11192</v>
      </c>
      <c r="J5552" s="3" t="str">
        <f>HYPERLINK("https://www.boe.es/gazeta/dias/1823/05/31/pdfs/GMD-1823-33.pdf#page=3","Abrir facsímil")</f>
        <v>Abrir facsímil</v>
      </c>
      <c r="K5552" s="3" t="s">
        <v>23</v>
      </c>
    </row>
    <row r="5553" spans="1:11" ht="42" customHeight="1">
      <c r="A5553" s="2" t="s">
        <v>11193</v>
      </c>
      <c r="B5553" s="2" t="s">
        <v>11193</v>
      </c>
      <c r="C5553" s="2" t="s">
        <v>79</v>
      </c>
      <c r="D5553" s="2" t="s">
        <v>74</v>
      </c>
      <c r="E5553" s="5">
        <v>-28000</v>
      </c>
      <c r="F5553" s="3" t="s">
        <v>138</v>
      </c>
      <c r="G5553" s="3" t="s">
        <v>20</v>
      </c>
      <c r="H5553" s="2" t="s">
        <v>21</v>
      </c>
      <c r="I5553" s="2" t="s">
        <v>11194</v>
      </c>
      <c r="J5553" s="3" t="str">
        <f>HYPERLINK("https://www.boe.es/gazeta/dias/1823/05/03/pdfs/GMD-1823-92.pdf#page=4","Abrir facsímil")</f>
        <v>Abrir facsímil</v>
      </c>
      <c r="K5553" s="3" t="s">
        <v>23</v>
      </c>
    </row>
    <row r="5554" spans="1:11" ht="42" customHeight="1">
      <c r="A5554" s="2" t="s">
        <v>11195</v>
      </c>
      <c r="B5554" s="2" t="s">
        <v>11196</v>
      </c>
      <c r="C5554" s="2" t="s">
        <v>79</v>
      </c>
      <c r="D5554" s="2" t="s">
        <v>74</v>
      </c>
      <c r="E5554" s="5">
        <v>-28000</v>
      </c>
      <c r="F5554" s="3" t="s">
        <v>138</v>
      </c>
      <c r="G5554" s="3" t="s">
        <v>20</v>
      </c>
      <c r="H5554" s="2" t="s">
        <v>21</v>
      </c>
      <c r="I5554" s="2" t="s">
        <v>11197</v>
      </c>
      <c r="J5554" s="3" t="str">
        <f>HYPERLINK("https://www.boe.es/gazeta/dias/1823/05/03/pdfs/GMD-1823-92.pdf#page=4","Abrir facsímil")</f>
        <v>Abrir facsímil</v>
      </c>
      <c r="K5554" s="3" t="s">
        <v>23</v>
      </c>
    </row>
    <row r="5555" spans="1:11" ht="42" customHeight="1">
      <c r="A5555" s="2" t="s">
        <v>11198</v>
      </c>
      <c r="B5555" s="2" t="s">
        <v>11198</v>
      </c>
      <c r="C5555" s="2" t="s">
        <v>73</v>
      </c>
      <c r="D5555" s="2" t="s">
        <v>74</v>
      </c>
      <c r="E5555" s="5">
        <v>-27792</v>
      </c>
      <c r="F5555" s="3" t="s">
        <v>611</v>
      </c>
      <c r="G5555" s="3" t="s">
        <v>20</v>
      </c>
      <c r="H5555" s="2" t="s">
        <v>21</v>
      </c>
      <c r="I5555" s="2" t="s">
        <v>11199</v>
      </c>
      <c r="J5555" s="3" t="str">
        <f>HYPERLINK("https://www.boe.es/gazeta/dias/1823/11/27/pdfs/GMD-1823-1173.pdf#page=4","Abrir facsímil")</f>
        <v>Abrir facsímil</v>
      </c>
      <c r="K5555" s="3" t="s">
        <v>23</v>
      </c>
    </row>
    <row r="5556" spans="1:11" ht="42" customHeight="1">
      <c r="A5556" s="2" t="s">
        <v>11200</v>
      </c>
      <c r="B5556" s="2" t="s">
        <v>11201</v>
      </c>
      <c r="C5556" s="2" t="s">
        <v>17</v>
      </c>
      <c r="D5556" s="2" t="s">
        <v>18</v>
      </c>
      <c r="E5556" s="5">
        <v>-28027</v>
      </c>
      <c r="F5556" s="3" t="s">
        <v>4234</v>
      </c>
      <c r="G5556" s="3" t="s">
        <v>27</v>
      </c>
      <c r="H5556" s="2" t="s">
        <v>21</v>
      </c>
      <c r="I5556" s="2" t="s">
        <v>11202</v>
      </c>
      <c r="J5556" s="3" t="str">
        <f>HYPERLINK("https://www.boe.es/gazeta/dias/1823/04/06/pdfs/GMD-1823-101.pdf#page=2","Abrir facsímil")</f>
        <v>Abrir facsímil</v>
      </c>
      <c r="K5556" s="3" t="s">
        <v>23</v>
      </c>
    </row>
    <row r="5557" spans="1:11" ht="42" customHeight="1">
      <c r="A5557" s="2" t="s">
        <v>11200</v>
      </c>
      <c r="B5557" s="2" t="s">
        <v>11201</v>
      </c>
      <c r="C5557" s="2" t="s">
        <v>56</v>
      </c>
      <c r="D5557" s="2" t="s">
        <v>57</v>
      </c>
      <c r="E5557" s="5">
        <v>-27990</v>
      </c>
      <c r="F5557" s="3" t="s">
        <v>330</v>
      </c>
      <c r="G5557" s="3" t="s">
        <v>27</v>
      </c>
      <c r="H5557" s="2" t="s">
        <v>21</v>
      </c>
      <c r="I5557" s="2" t="s">
        <v>11203</v>
      </c>
      <c r="J5557" s="3" t="str">
        <f>HYPERLINK("https://www.boe.es/gazeta/dias/1823/05/13/pdfs/GMD-1823-132.pdf#page=2","Abrir facsímil")</f>
        <v>Abrir facsímil</v>
      </c>
      <c r="K5557" s="3" t="s">
        <v>23</v>
      </c>
    </row>
    <row r="5558" spans="1:11" ht="42" customHeight="1">
      <c r="A5558" s="2" t="s">
        <v>11204</v>
      </c>
      <c r="B5558" s="2" t="s">
        <v>11204</v>
      </c>
      <c r="C5558" s="2" t="s">
        <v>17</v>
      </c>
      <c r="D5558" s="2" t="s">
        <v>18</v>
      </c>
      <c r="E5558" s="5">
        <v>-27874</v>
      </c>
      <c r="F5558" s="3" t="s">
        <v>1410</v>
      </c>
      <c r="G5558" s="3" t="s">
        <v>39</v>
      </c>
      <c r="H5558" s="2" t="s">
        <v>21</v>
      </c>
      <c r="I5558" s="2" t="s">
        <v>11205</v>
      </c>
      <c r="J5558" s="3" t="str">
        <f>HYPERLINK("https://www.boe.es/gazeta/dias/1823/09/06/pdfs/GES-1823-150.pdf#page=1","Abrir facsímil")</f>
        <v>Abrir facsímil</v>
      </c>
      <c r="K5558" s="3" t="s">
        <v>23</v>
      </c>
    </row>
    <row r="5559" spans="1:11" ht="42" customHeight="1">
      <c r="A5559" s="2" t="s">
        <v>11206</v>
      </c>
      <c r="B5559" s="2" t="s">
        <v>11206</v>
      </c>
      <c r="C5559" s="2" t="s">
        <v>17</v>
      </c>
      <c r="D5559" s="2" t="s">
        <v>18</v>
      </c>
      <c r="E5559" s="5">
        <v>-27902</v>
      </c>
      <c r="F5559" s="3" t="s">
        <v>221</v>
      </c>
      <c r="G5559" s="3" t="s">
        <v>39</v>
      </c>
      <c r="H5559" s="2" t="s">
        <v>21</v>
      </c>
      <c r="I5559" s="2" t="s">
        <v>11207</v>
      </c>
      <c r="J5559" s="3" t="str">
        <f>HYPERLINK("https://www.boe.es/gazeta/dias/1823/08/09/pdfs/GES-1823-122.pdf#page=1","Abrir facsímil")</f>
        <v>Abrir facsímil</v>
      </c>
      <c r="K5559" s="3" t="s">
        <v>23</v>
      </c>
    </row>
    <row r="5560" spans="1:11" ht="42" customHeight="1">
      <c r="A5560" s="2" t="s">
        <v>11208</v>
      </c>
      <c r="B5560" s="2" t="s">
        <v>11208</v>
      </c>
      <c r="C5560" s="2" t="s">
        <v>17</v>
      </c>
      <c r="D5560" s="2" t="s">
        <v>18</v>
      </c>
      <c r="E5560" s="5">
        <v>-27996</v>
      </c>
      <c r="F5560" s="3" t="s">
        <v>695</v>
      </c>
      <c r="G5560" s="3" t="s">
        <v>20</v>
      </c>
      <c r="H5560" s="2" t="s">
        <v>21</v>
      </c>
      <c r="I5560" s="2" t="s">
        <v>11209</v>
      </c>
      <c r="J5560" s="3" t="str">
        <f>HYPERLINK("https://www.boe.es/gazeta/dias/1823/05/07/pdfs/GES-1823-27.pdf#page=4","Abrir facsímil")</f>
        <v>Abrir facsímil</v>
      </c>
      <c r="K5560" s="3" t="s">
        <v>23</v>
      </c>
    </row>
    <row r="5561" spans="1:11" ht="42" customHeight="1">
      <c r="A5561" s="2" t="s">
        <v>11210</v>
      </c>
      <c r="B5561" s="2" t="s">
        <v>11210</v>
      </c>
      <c r="C5561" s="2" t="s">
        <v>109</v>
      </c>
      <c r="D5561" s="2" t="s">
        <v>74</v>
      </c>
      <c r="E5561" s="5">
        <v>-28008</v>
      </c>
      <c r="F5561" s="3" t="s">
        <v>309</v>
      </c>
      <c r="G5561" s="3" t="s">
        <v>27</v>
      </c>
      <c r="H5561" s="2" t="s">
        <v>21</v>
      </c>
      <c r="I5561" s="2" t="s">
        <v>11211</v>
      </c>
      <c r="J5561" s="3" t="str">
        <f>HYPERLINK("https://www.boe.es/gazeta/dias/1823/04/25/pdfs/GES-1823-15.pdf#page=2","Abrir facsímil")</f>
        <v>Abrir facsímil</v>
      </c>
      <c r="K5561" s="3" t="s">
        <v>23</v>
      </c>
    </row>
    <row r="5562" spans="1:11" ht="42" customHeight="1">
      <c r="A5562" s="2" t="s">
        <v>11212</v>
      </c>
      <c r="B5562" s="2" t="s">
        <v>11212</v>
      </c>
      <c r="C5562" s="2" t="s">
        <v>84</v>
      </c>
      <c r="D5562" s="2" t="s">
        <v>74</v>
      </c>
      <c r="E5562" s="5">
        <v>-28018</v>
      </c>
      <c r="F5562" s="3" t="s">
        <v>275</v>
      </c>
      <c r="G5562" s="3" t="s">
        <v>39</v>
      </c>
      <c r="H5562" s="2" t="s">
        <v>21</v>
      </c>
      <c r="I5562" s="2" t="s">
        <v>11213</v>
      </c>
      <c r="J5562" s="3" t="str">
        <f>HYPERLINK("https://www.boe.es/gazeta/dias/1823/04/15/pdfs/GMD-1823-12.pdf#page=1","Abrir facsímil")</f>
        <v>Abrir facsímil</v>
      </c>
      <c r="K5562" s="3" t="s">
        <v>23</v>
      </c>
    </row>
    <row r="5563" spans="1:11" ht="42" customHeight="1">
      <c r="A5563" s="2" t="s">
        <v>11214</v>
      </c>
      <c r="B5563" s="2" t="s">
        <v>11214</v>
      </c>
      <c r="C5563" s="2" t="s">
        <v>79</v>
      </c>
      <c r="D5563" s="2" t="s">
        <v>74</v>
      </c>
      <c r="E5563" s="5">
        <v>-28046</v>
      </c>
      <c r="F5563" s="3" t="s">
        <v>85</v>
      </c>
      <c r="G5563" s="3" t="s">
        <v>20</v>
      </c>
      <c r="H5563" s="2" t="s">
        <v>21</v>
      </c>
      <c r="I5563" s="2" t="s">
        <v>11215</v>
      </c>
      <c r="J5563" s="3" t="str">
        <f>HYPERLINK("https://www.boe.es/gazeta/dias/1823/03/18/pdfs/GMD-1823-81.pdf#page=4","Abrir facsímil")</f>
        <v>Abrir facsímil</v>
      </c>
      <c r="K5563" s="3" t="s">
        <v>23</v>
      </c>
    </row>
    <row r="5564" spans="1:11" ht="42" customHeight="1">
      <c r="A5564" s="2" t="s">
        <v>11216</v>
      </c>
      <c r="B5564" s="2" t="s">
        <v>11216</v>
      </c>
      <c r="C5564" s="2" t="s">
        <v>17</v>
      </c>
      <c r="D5564" s="2" t="s">
        <v>18</v>
      </c>
      <c r="E5564" s="5">
        <v>-27785</v>
      </c>
      <c r="F5564" s="3" t="s">
        <v>1397</v>
      </c>
      <c r="G5564" s="3" t="s">
        <v>39</v>
      </c>
      <c r="H5564" s="2" t="s">
        <v>21</v>
      </c>
      <c r="I5564" s="2" t="s">
        <v>11217</v>
      </c>
      <c r="J5564" s="3" t="str">
        <f>HYPERLINK("https://www.boe.es/gazeta/dias/1823/12/04/pdfs/GMD-1823-1203.pdf#page=1","Abrir facsímil")</f>
        <v>Abrir facsímil</v>
      </c>
      <c r="K5564" s="3" t="s">
        <v>23</v>
      </c>
    </row>
    <row r="5565" spans="1:11" ht="42" customHeight="1">
      <c r="A5565" s="2" t="s">
        <v>11218</v>
      </c>
      <c r="B5565" s="2" t="s">
        <v>11218</v>
      </c>
      <c r="C5565" s="2" t="s">
        <v>73</v>
      </c>
      <c r="D5565" s="2" t="s">
        <v>74</v>
      </c>
      <c r="E5565" s="5">
        <v>-28103</v>
      </c>
      <c r="F5565" s="3" t="s">
        <v>285</v>
      </c>
      <c r="G5565" s="3" t="s">
        <v>48</v>
      </c>
      <c r="H5565" s="2" t="s">
        <v>21</v>
      </c>
      <c r="I5565" s="2" t="s">
        <v>11219</v>
      </c>
      <c r="J5565" s="3" t="str">
        <f>HYPERLINK("https://www.boe.es/gazeta/dias/1823/01/20/pdfs/GMD-1823-20.pdf#page=3","Abrir facsímil")</f>
        <v>Abrir facsímil</v>
      </c>
      <c r="K5565" s="3" t="s">
        <v>23</v>
      </c>
    </row>
    <row r="5566" spans="1:11" ht="42" customHeight="1">
      <c r="A5566" s="2" t="s">
        <v>11220</v>
      </c>
      <c r="B5566" s="2" t="s">
        <v>11220</v>
      </c>
      <c r="C5566" s="2" t="s">
        <v>17</v>
      </c>
      <c r="D5566" s="2" t="s">
        <v>18</v>
      </c>
      <c r="E5566" s="5">
        <v>-28078</v>
      </c>
      <c r="F5566" s="3" t="s">
        <v>508</v>
      </c>
      <c r="G5566" s="3" t="s">
        <v>48</v>
      </c>
      <c r="H5566" s="2" t="s">
        <v>21</v>
      </c>
      <c r="I5566" s="2" t="s">
        <v>11221</v>
      </c>
      <c r="J5566" s="3" t="str">
        <f>HYPERLINK("https://www.boe.es/gazeta/dias/1823/02/14/pdfs/GMD-1823-48.pdf#page=3","Abrir facsímil")</f>
        <v>Abrir facsímil</v>
      </c>
      <c r="K5566" s="3" t="s">
        <v>23</v>
      </c>
    </row>
    <row r="5567" spans="1:11" ht="42" customHeight="1">
      <c r="A5567" s="2" t="s">
        <v>11220</v>
      </c>
      <c r="B5567" s="2" t="s">
        <v>11220</v>
      </c>
      <c r="C5567" s="2" t="s">
        <v>17</v>
      </c>
      <c r="D5567" s="2" t="s">
        <v>18</v>
      </c>
      <c r="E5567" s="5">
        <v>-28077</v>
      </c>
      <c r="F5567" s="3" t="s">
        <v>536</v>
      </c>
      <c r="G5567" s="3" t="s">
        <v>59</v>
      </c>
      <c r="H5567" s="2" t="s">
        <v>21</v>
      </c>
      <c r="I5567" s="2" t="s">
        <v>11222</v>
      </c>
      <c r="J5567" s="3" t="str">
        <f>HYPERLINK("https://www.boe.es/gazeta/dias/1823/02/15/pdfs/GMD-1823-49.pdf#page=6","Abrir facsímil")</f>
        <v>Abrir facsímil</v>
      </c>
      <c r="K5567" s="3" t="s">
        <v>23</v>
      </c>
    </row>
    <row r="5568" spans="1:11" ht="42" customHeight="1">
      <c r="A5568" s="2" t="s">
        <v>11220</v>
      </c>
      <c r="B5568" s="2" t="s">
        <v>11220</v>
      </c>
      <c r="C5568" s="2" t="s">
        <v>17</v>
      </c>
      <c r="D5568" s="2" t="s">
        <v>18</v>
      </c>
      <c r="E5568" s="5">
        <v>-28055</v>
      </c>
      <c r="F5568" s="3" t="s">
        <v>313</v>
      </c>
      <c r="G5568" s="3" t="s">
        <v>20</v>
      </c>
      <c r="H5568" s="2" t="s">
        <v>21</v>
      </c>
      <c r="I5568" s="2" t="s">
        <v>11223</v>
      </c>
      <c r="J5568" s="3" t="str">
        <f>HYPERLINK("https://www.boe.es/gazeta/dias/1823/03/09/pdfs/GMD-1823-72.pdf#page=4","Abrir facsímil")</f>
        <v>Abrir facsímil</v>
      </c>
      <c r="K5568" s="3" t="s">
        <v>23</v>
      </c>
    </row>
    <row r="5569" spans="1:11" ht="42" customHeight="1">
      <c r="A5569" s="2" t="s">
        <v>11220</v>
      </c>
      <c r="B5569" s="2" t="s">
        <v>11220</v>
      </c>
      <c r="C5569" s="2" t="s">
        <v>17</v>
      </c>
      <c r="D5569" s="2" t="s">
        <v>18</v>
      </c>
      <c r="E5569" s="5">
        <v>-27969</v>
      </c>
      <c r="F5569" s="3" t="s">
        <v>855</v>
      </c>
      <c r="G5569" s="3" t="s">
        <v>48</v>
      </c>
      <c r="H5569" s="2" t="s">
        <v>21</v>
      </c>
      <c r="I5569" s="2" t="s">
        <v>11224</v>
      </c>
      <c r="J5569" s="3" t="str">
        <f>HYPERLINK("https://www.boe.es/gazeta/dias/1823/06/03/pdfs/GES-1823-57.pdf#page=3","Abrir facsímil")</f>
        <v>Abrir facsímil</v>
      </c>
      <c r="K5569" s="3" t="s">
        <v>23</v>
      </c>
    </row>
    <row r="5570" spans="1:11" ht="42" customHeight="1">
      <c r="A5570" s="2" t="s">
        <v>11220</v>
      </c>
      <c r="B5570" s="2" t="s">
        <v>11220</v>
      </c>
      <c r="C5570" s="2" t="s">
        <v>56</v>
      </c>
      <c r="D5570" s="2" t="s">
        <v>57</v>
      </c>
      <c r="E5570" s="5">
        <v>-27946</v>
      </c>
      <c r="F5570" s="3" t="s">
        <v>2146</v>
      </c>
      <c r="G5570" s="3" t="s">
        <v>39</v>
      </c>
      <c r="H5570" s="2" t="s">
        <v>21</v>
      </c>
      <c r="I5570" s="2" t="s">
        <v>11225</v>
      </c>
      <c r="J5570" s="3" t="str">
        <f>HYPERLINK("https://www.boe.es/gazeta/dias/1823/06/26/pdfs/GES-1823-76.pdf#page=1","Abrir facsímil")</f>
        <v>Abrir facsímil</v>
      </c>
      <c r="K5570" s="3" t="s">
        <v>23</v>
      </c>
    </row>
    <row r="5571" spans="1:11" ht="42" customHeight="1">
      <c r="A5571" s="2" t="s">
        <v>11220</v>
      </c>
      <c r="B5571" s="2" t="s">
        <v>11220</v>
      </c>
      <c r="C5571" s="2" t="s">
        <v>17</v>
      </c>
      <c r="D5571" s="2" t="s">
        <v>18</v>
      </c>
      <c r="E5571" s="5">
        <v>-27906</v>
      </c>
      <c r="F5571" s="3" t="s">
        <v>241</v>
      </c>
      <c r="G5571" s="3" t="s">
        <v>34</v>
      </c>
      <c r="H5571" s="2" t="s">
        <v>21</v>
      </c>
      <c r="I5571" s="2" t="s">
        <v>11226</v>
      </c>
      <c r="J5571" s="3" t="str">
        <f>HYPERLINK("https://www.boe.es/gazeta/dias/1823/08/05/pdfs/GES-1823-117.pdf#page=5","Abrir facsímil")</f>
        <v>Abrir facsímil</v>
      </c>
      <c r="K5571" s="3" t="s">
        <v>23</v>
      </c>
    </row>
    <row r="5572" spans="1:11" ht="42" customHeight="1">
      <c r="A5572" s="2" t="s">
        <v>11220</v>
      </c>
      <c r="B5572" s="2" t="s">
        <v>11220</v>
      </c>
      <c r="C5572" s="2" t="s">
        <v>79</v>
      </c>
      <c r="D5572" s="2" t="s">
        <v>74</v>
      </c>
      <c r="E5572" s="5">
        <v>-27884</v>
      </c>
      <c r="F5572" s="3" t="s">
        <v>61</v>
      </c>
      <c r="G5572" s="3" t="s">
        <v>39</v>
      </c>
      <c r="H5572" s="2" t="s">
        <v>21</v>
      </c>
      <c r="I5572" s="2" t="s">
        <v>11227</v>
      </c>
      <c r="J5572" s="3" t="str">
        <f>HYPERLINK("https://www.boe.es/gazeta/dias/1823/08/27/pdfs/GES-1823-140.pdf#page=1","Abrir facsímil")</f>
        <v>Abrir facsímil</v>
      </c>
      <c r="K5572" s="3" t="s">
        <v>23</v>
      </c>
    </row>
    <row r="5573" spans="1:11" ht="42" customHeight="1">
      <c r="A5573" s="2" t="s">
        <v>11228</v>
      </c>
      <c r="B5573" s="2" t="s">
        <v>11229</v>
      </c>
      <c r="C5573" s="2" t="s">
        <v>79</v>
      </c>
      <c r="D5573" s="2" t="s">
        <v>74</v>
      </c>
      <c r="E5573" s="5">
        <v>-28055</v>
      </c>
      <c r="F5573" s="3" t="s">
        <v>313</v>
      </c>
      <c r="G5573" s="3" t="s">
        <v>48</v>
      </c>
      <c r="H5573" s="2" t="s">
        <v>21</v>
      </c>
      <c r="I5573" s="2" t="s">
        <v>11230</v>
      </c>
      <c r="J5573" s="3" t="str">
        <f>HYPERLINK("https://www.boe.es/gazeta/dias/1823/03/09/pdfs/GMD-1823-72.pdf#page=3","Abrir facsímil")</f>
        <v>Abrir facsímil</v>
      </c>
      <c r="K5573" s="3" t="s">
        <v>23</v>
      </c>
    </row>
    <row r="5574" spans="1:11" ht="42" customHeight="1">
      <c r="A5574" s="2" t="s">
        <v>11231</v>
      </c>
      <c r="B5574" s="2" t="s">
        <v>11231</v>
      </c>
      <c r="C5574" s="2" t="s">
        <v>109</v>
      </c>
      <c r="D5574" s="2" t="s">
        <v>74</v>
      </c>
      <c r="E5574" s="5">
        <v>-28008</v>
      </c>
      <c r="F5574" s="3" t="s">
        <v>309</v>
      </c>
      <c r="G5574" s="3" t="s">
        <v>48</v>
      </c>
      <c r="H5574" s="2" t="s">
        <v>21</v>
      </c>
      <c r="I5574" s="2" t="s">
        <v>11232</v>
      </c>
      <c r="J5574" s="3" t="str">
        <f>HYPERLINK("https://www.boe.es/gazeta/dias/1823/04/25/pdfs/GES-1823-15.pdf#page=3","Abrir facsímil")</f>
        <v>Abrir facsímil</v>
      </c>
      <c r="K5574" s="3" t="s">
        <v>23</v>
      </c>
    </row>
    <row r="5575" spans="1:11" ht="42" customHeight="1">
      <c r="A5575" s="2" t="s">
        <v>11233</v>
      </c>
      <c r="B5575" s="2" t="s">
        <v>11233</v>
      </c>
      <c r="C5575" s="2" t="s">
        <v>109</v>
      </c>
      <c r="D5575" s="2" t="s">
        <v>74</v>
      </c>
      <c r="E5575" s="5">
        <v>-27951</v>
      </c>
      <c r="F5575" s="3" t="s">
        <v>548</v>
      </c>
      <c r="G5575" s="3" t="s">
        <v>48</v>
      </c>
      <c r="H5575" s="2" t="s">
        <v>21</v>
      </c>
      <c r="I5575" s="2" t="s">
        <v>11234</v>
      </c>
      <c r="J5575" s="3" t="str">
        <f>HYPERLINK("https://www.boe.es/gazeta/dias/1823/06/21/pdfs/GES-1823-69.pdf#page=3","Abrir facsímil")</f>
        <v>Abrir facsímil</v>
      </c>
      <c r="K5575" s="3" t="s">
        <v>23</v>
      </c>
    </row>
    <row r="5576" spans="1:11" ht="42" customHeight="1">
      <c r="A5576" s="2" t="s">
        <v>11235</v>
      </c>
      <c r="B5576" s="2" t="s">
        <v>11235</v>
      </c>
      <c r="C5576" s="2" t="s">
        <v>109</v>
      </c>
      <c r="D5576" s="2" t="s">
        <v>74</v>
      </c>
      <c r="E5576" s="5">
        <v>-28115</v>
      </c>
      <c r="F5576" s="3" t="s">
        <v>579</v>
      </c>
      <c r="G5576" s="3" t="s">
        <v>27</v>
      </c>
      <c r="H5576" s="2" t="s">
        <v>21</v>
      </c>
      <c r="I5576" s="2" t="s">
        <v>11236</v>
      </c>
      <c r="J5576" s="3" t="str">
        <f>HYPERLINK("https://www.boe.es/gazeta/dias/1823/01/08/pdfs/GMD-1823-8.pdf#page=2","Abrir facsímil")</f>
        <v>Abrir facsímil</v>
      </c>
      <c r="K5576" s="3" t="s">
        <v>23</v>
      </c>
    </row>
    <row r="5577" spans="1:11" ht="42" customHeight="1">
      <c r="A5577" s="2" t="s">
        <v>11235</v>
      </c>
      <c r="B5577" s="2" t="s">
        <v>11235</v>
      </c>
      <c r="C5577" s="2" t="s">
        <v>73</v>
      </c>
      <c r="D5577" s="2" t="s">
        <v>74</v>
      </c>
      <c r="E5577" s="5">
        <v>-27996</v>
      </c>
      <c r="F5577" s="3" t="s">
        <v>695</v>
      </c>
      <c r="G5577" s="3" t="s">
        <v>48</v>
      </c>
      <c r="H5577" s="2" t="s">
        <v>21</v>
      </c>
      <c r="I5577" s="2" t="s">
        <v>11237</v>
      </c>
      <c r="J5577" s="3" t="str">
        <f>HYPERLINK("https://www.boe.es/gazeta/dias/1823/05/07/pdfs/GES-1823-27.pdf#page=3","Abrir facsímil")</f>
        <v>Abrir facsímil</v>
      </c>
      <c r="K5577" s="3" t="s">
        <v>23</v>
      </c>
    </row>
    <row r="5578" spans="1:11" ht="42" customHeight="1">
      <c r="A5578" s="2" t="s">
        <v>11235</v>
      </c>
      <c r="B5578" s="2" t="s">
        <v>11235</v>
      </c>
      <c r="C5578" s="2" t="s">
        <v>17</v>
      </c>
      <c r="D5578" s="2" t="s">
        <v>18</v>
      </c>
      <c r="E5578" s="5">
        <v>-27991</v>
      </c>
      <c r="F5578" s="3" t="s">
        <v>328</v>
      </c>
      <c r="G5578" s="3" t="s">
        <v>27</v>
      </c>
      <c r="H5578" s="2" t="s">
        <v>21</v>
      </c>
      <c r="I5578" s="2" t="s">
        <v>11238</v>
      </c>
      <c r="J5578" s="3" t="str">
        <f>HYPERLINK("https://www.boe.es/gazeta/dias/1823/05/12/pdfs/GES-1823-32.pdf#page=2","Abrir facsímil")</f>
        <v>Abrir facsímil</v>
      </c>
      <c r="K5578" s="3" t="s">
        <v>23</v>
      </c>
    </row>
    <row r="5579" spans="1:11" ht="42" customHeight="1">
      <c r="A5579" s="2" t="s">
        <v>11235</v>
      </c>
      <c r="B5579" s="2" t="s">
        <v>11235</v>
      </c>
      <c r="C5579" s="2" t="s">
        <v>109</v>
      </c>
      <c r="D5579" s="2" t="s">
        <v>74</v>
      </c>
      <c r="E5579" s="5">
        <v>-27989</v>
      </c>
      <c r="F5579" s="3" t="s">
        <v>1134</v>
      </c>
      <c r="G5579" s="3" t="s">
        <v>27</v>
      </c>
      <c r="H5579" s="2" t="s">
        <v>21</v>
      </c>
      <c r="I5579" s="2" t="s">
        <v>11239</v>
      </c>
      <c r="J5579" s="3" t="str">
        <f>HYPERLINK("https://www.boe.es/gazeta/dias/1823/05/14/pdfs/GES-1823-34.pdf#page=2","Abrir facsímil")</f>
        <v>Abrir facsímil</v>
      </c>
      <c r="K5579" s="3" t="s">
        <v>23</v>
      </c>
    </row>
    <row r="5580" spans="1:11" ht="42" customHeight="1">
      <c r="A5580" s="2" t="s">
        <v>11235</v>
      </c>
      <c r="B5580" s="2" t="s">
        <v>11235</v>
      </c>
      <c r="C5580" s="2" t="s">
        <v>109</v>
      </c>
      <c r="D5580" s="2" t="s">
        <v>74</v>
      </c>
      <c r="E5580" s="5">
        <v>-27970</v>
      </c>
      <c r="F5580" s="3" t="s">
        <v>1030</v>
      </c>
      <c r="G5580" s="3" t="s">
        <v>27</v>
      </c>
      <c r="H5580" s="2" t="s">
        <v>21</v>
      </c>
      <c r="I5580" s="2" t="s">
        <v>11240</v>
      </c>
      <c r="J5580" s="3" t="str">
        <f>HYPERLINK("https://www.boe.es/gazeta/dias/1823/06/02/pdfs/GES-1823-56.pdf#page=2","Abrir facsímil")</f>
        <v>Abrir facsímil</v>
      </c>
      <c r="K5580" s="3" t="s">
        <v>23</v>
      </c>
    </row>
    <row r="5581" spans="1:11" ht="42" customHeight="1">
      <c r="A5581" s="2" t="s">
        <v>11235</v>
      </c>
      <c r="B5581" s="2" t="s">
        <v>11235</v>
      </c>
      <c r="C5581" s="2" t="s">
        <v>109</v>
      </c>
      <c r="D5581" s="2" t="s">
        <v>74</v>
      </c>
      <c r="E5581" s="5">
        <v>-27910</v>
      </c>
      <c r="F5581" s="3" t="s">
        <v>38</v>
      </c>
      <c r="G5581" s="3" t="s">
        <v>20</v>
      </c>
      <c r="H5581" s="2" t="s">
        <v>21</v>
      </c>
      <c r="I5581" s="2" t="s">
        <v>11241</v>
      </c>
      <c r="J5581" s="3" t="str">
        <f>HYPERLINK("https://www.boe.es/gazeta/dias/1823/08/01/pdfs/GES-1823-113.pdf#page=4","Abrir facsímil")</f>
        <v>Abrir facsímil</v>
      </c>
      <c r="K5581" s="3" t="s">
        <v>23</v>
      </c>
    </row>
    <row r="5582" spans="1:11" ht="42" customHeight="1">
      <c r="A5582" s="2" t="s">
        <v>11235</v>
      </c>
      <c r="B5582" s="2" t="s">
        <v>11235</v>
      </c>
      <c r="C5582" s="2" t="s">
        <v>84</v>
      </c>
      <c r="D5582" s="2" t="s">
        <v>74</v>
      </c>
      <c r="E5582" s="5">
        <v>-27906</v>
      </c>
      <c r="F5582" s="3" t="s">
        <v>241</v>
      </c>
      <c r="G5582" s="3" t="s">
        <v>39</v>
      </c>
      <c r="H5582" s="2" t="s">
        <v>21</v>
      </c>
      <c r="I5582" s="2" t="s">
        <v>11242</v>
      </c>
      <c r="J5582" s="3" t="str">
        <f>HYPERLINK("https://www.boe.es/gazeta/dias/1823/08/05/pdfs/GES-1823-117.pdf#page=1","Abrir facsímil")</f>
        <v>Abrir facsímil</v>
      </c>
      <c r="K5582" s="3" t="s">
        <v>23</v>
      </c>
    </row>
    <row r="5583" spans="1:11" ht="42" customHeight="1">
      <c r="A5583" s="2" t="s">
        <v>11243</v>
      </c>
      <c r="B5583" s="2" t="s">
        <v>11244</v>
      </c>
      <c r="C5583" s="2" t="s">
        <v>17</v>
      </c>
      <c r="D5583" s="2" t="s">
        <v>18</v>
      </c>
      <c r="E5583" s="5">
        <v>-27970</v>
      </c>
      <c r="F5583" s="3" t="s">
        <v>1030</v>
      </c>
      <c r="G5583" s="3" t="s">
        <v>20</v>
      </c>
      <c r="H5583" s="2" t="s">
        <v>21</v>
      </c>
      <c r="I5583" s="2" t="s">
        <v>11245</v>
      </c>
      <c r="J5583" s="3" t="str">
        <f>HYPERLINK("https://www.boe.es/gazeta/dias/1823/06/02/pdfs/GES-1823-56.pdf#page=4","Abrir facsímil")</f>
        <v>Abrir facsímil</v>
      </c>
      <c r="K5583" s="3" t="s">
        <v>23</v>
      </c>
    </row>
    <row r="5584" spans="1:11" ht="42" customHeight="1">
      <c r="A5584" s="2" t="s">
        <v>11243</v>
      </c>
      <c r="B5584" s="2" t="s">
        <v>11244</v>
      </c>
      <c r="C5584" s="2" t="s">
        <v>56</v>
      </c>
      <c r="D5584" s="2" t="s">
        <v>57</v>
      </c>
      <c r="E5584" s="5">
        <v>-27913</v>
      </c>
      <c r="F5584" s="3" t="s">
        <v>821</v>
      </c>
      <c r="G5584" s="3" t="s">
        <v>20</v>
      </c>
      <c r="H5584" s="2" t="s">
        <v>21</v>
      </c>
      <c r="I5584" s="2" t="s">
        <v>11246</v>
      </c>
      <c r="J5584" s="3" t="str">
        <f>HYPERLINK("https://www.boe.es/gazeta/dias/1823/07/29/pdfs/GES-1823-110.pdf#page=4","Abrir facsímil")</f>
        <v>Abrir facsímil</v>
      </c>
      <c r="K5584" s="3" t="s">
        <v>23</v>
      </c>
    </row>
    <row r="5585" spans="1:11" ht="42" customHeight="1">
      <c r="A5585" s="2" t="s">
        <v>11247</v>
      </c>
      <c r="B5585" s="2" t="s">
        <v>11247</v>
      </c>
      <c r="C5585" s="2" t="s">
        <v>79</v>
      </c>
      <c r="D5585" s="2" t="s">
        <v>74</v>
      </c>
      <c r="E5585" s="5">
        <v>-28072</v>
      </c>
      <c r="F5585" s="3" t="s">
        <v>4439</v>
      </c>
      <c r="G5585" s="3" t="s">
        <v>20</v>
      </c>
      <c r="H5585" s="2" t="s">
        <v>21</v>
      </c>
      <c r="I5585" s="2" t="s">
        <v>11248</v>
      </c>
      <c r="J5585" s="3" t="str">
        <f>HYPERLINK("https://www.boe.es/gazeta/dias/1823/02/20/pdfs/GMD-1823-54.pdf#page=4","Abrir facsímil")</f>
        <v>Abrir facsímil</v>
      </c>
      <c r="K5585" s="3" t="s">
        <v>23</v>
      </c>
    </row>
    <row r="5586" spans="1:11" ht="42" customHeight="1">
      <c r="A5586" s="2" t="s">
        <v>11249</v>
      </c>
      <c r="B5586" s="2" t="s">
        <v>11249</v>
      </c>
      <c r="C5586" s="2" t="s">
        <v>109</v>
      </c>
      <c r="D5586" s="2" t="s">
        <v>74</v>
      </c>
      <c r="E5586" s="5">
        <v>-27888</v>
      </c>
      <c r="F5586" s="3" t="s">
        <v>232</v>
      </c>
      <c r="G5586" s="3" t="s">
        <v>48</v>
      </c>
      <c r="H5586" s="2" t="s">
        <v>21</v>
      </c>
      <c r="I5586" s="2" t="s">
        <v>11250</v>
      </c>
      <c r="J5586" s="3" t="str">
        <f>HYPERLINK("https://www.boe.es/gazeta/dias/1823/08/23/pdfs/GMD-1823-633.pdf#page=3","Abrir facsímil")</f>
        <v>Abrir facsímil</v>
      </c>
      <c r="K5586" s="3" t="s">
        <v>23</v>
      </c>
    </row>
    <row r="5587" spans="1:11" ht="42" customHeight="1">
      <c r="A5587" s="2" t="s">
        <v>11249</v>
      </c>
      <c r="B5587" s="2" t="s">
        <v>11249</v>
      </c>
      <c r="C5587" s="2" t="s">
        <v>79</v>
      </c>
      <c r="D5587" s="2" t="s">
        <v>74</v>
      </c>
      <c r="E5587" s="5">
        <v>-27864</v>
      </c>
      <c r="F5587" s="3" t="s">
        <v>1301</v>
      </c>
      <c r="G5587" s="3" t="s">
        <v>48</v>
      </c>
      <c r="H5587" s="2" t="s">
        <v>21</v>
      </c>
      <c r="I5587" s="2" t="s">
        <v>11251</v>
      </c>
      <c r="J5587" s="3" t="str">
        <f>HYPERLINK("https://www.boe.es/gazeta/dias/1823/09/16/pdfs/GES-1823-160.pdf#page=3","Abrir facsímil")</f>
        <v>Abrir facsímil</v>
      </c>
      <c r="K5587" s="3" t="s">
        <v>23</v>
      </c>
    </row>
    <row r="5588" spans="1:11" ht="42" customHeight="1">
      <c r="A5588" s="2" t="s">
        <v>11249</v>
      </c>
      <c r="B5588" s="2" t="s">
        <v>11249</v>
      </c>
      <c r="C5588" s="2" t="s">
        <v>79</v>
      </c>
      <c r="D5588" s="2" t="s">
        <v>74</v>
      </c>
      <c r="E5588" s="5">
        <v>-27804</v>
      </c>
      <c r="F5588" s="3" t="s">
        <v>836</v>
      </c>
      <c r="G5588" s="3" t="s">
        <v>27</v>
      </c>
      <c r="H5588" s="2" t="s">
        <v>21</v>
      </c>
      <c r="I5588" s="2" t="s">
        <v>11252</v>
      </c>
      <c r="J5588" s="3" t="str">
        <f>HYPERLINK("https://www.boe.es/gazeta/dias/1823/11/15/pdfs/GMD-1823-1123.pdf#page=2","Abrir facsímil")</f>
        <v>Abrir facsímil</v>
      </c>
      <c r="K5588" s="3" t="s">
        <v>23</v>
      </c>
    </row>
    <row r="5589" spans="1:11" ht="42" customHeight="1">
      <c r="A5589" s="2" t="s">
        <v>11253</v>
      </c>
      <c r="B5589" s="2" t="s">
        <v>11253</v>
      </c>
      <c r="C5589" s="2" t="s">
        <v>79</v>
      </c>
      <c r="D5589" s="2" t="s">
        <v>74</v>
      </c>
      <c r="E5589" s="5">
        <v>-27967</v>
      </c>
      <c r="F5589" s="3" t="s">
        <v>412</v>
      </c>
      <c r="G5589" s="3" t="s">
        <v>592</v>
      </c>
      <c r="H5589" s="2" t="s">
        <v>21</v>
      </c>
      <c r="I5589" s="2" t="s">
        <v>11254</v>
      </c>
      <c r="J5589" s="3" t="str">
        <f>HYPERLINK("https://www.boe.es/gazeta/dias/1823/06/05/pdfs/GES-1823-59.pdf#page=3","Abrir facsímil")</f>
        <v>Abrir facsímil</v>
      </c>
      <c r="K5589" s="3" t="s">
        <v>23</v>
      </c>
    </row>
    <row r="5590" spans="1:11" ht="42" customHeight="1">
      <c r="A5590" s="2" t="s">
        <v>11255</v>
      </c>
      <c r="B5590" s="2" t="s">
        <v>11255</v>
      </c>
      <c r="C5590" s="2" t="s">
        <v>17</v>
      </c>
      <c r="D5590" s="2" t="s">
        <v>18</v>
      </c>
      <c r="E5590" s="5">
        <v>-28121</v>
      </c>
      <c r="F5590" s="3" t="s">
        <v>575</v>
      </c>
      <c r="G5590" s="3" t="s">
        <v>39</v>
      </c>
      <c r="H5590" s="2" t="s">
        <v>21</v>
      </c>
      <c r="I5590" s="2" t="s">
        <v>11256</v>
      </c>
      <c r="J5590" s="3" t="str">
        <f>HYPERLINK("https://www.boe.es/gazeta/dias/1823/01/02/pdfs/GMD-1823-2.pdf#page=1","Abrir facsímil")</f>
        <v>Abrir facsímil</v>
      </c>
      <c r="K5590" s="3" t="s">
        <v>23</v>
      </c>
    </row>
    <row r="5591" spans="1:11" ht="42" customHeight="1">
      <c r="A5591" s="2" t="s">
        <v>11255</v>
      </c>
      <c r="B5591" s="2" t="s">
        <v>11255</v>
      </c>
      <c r="C5591" s="2" t="s">
        <v>17</v>
      </c>
      <c r="D5591" s="2" t="s">
        <v>18</v>
      </c>
      <c r="E5591" s="5">
        <v>-27978</v>
      </c>
      <c r="F5591" s="3" t="s">
        <v>342</v>
      </c>
      <c r="G5591" s="3" t="s">
        <v>34</v>
      </c>
      <c r="H5591" s="2" t="s">
        <v>21</v>
      </c>
      <c r="I5591" s="2" t="s">
        <v>11257</v>
      </c>
      <c r="J5591" s="3" t="str">
        <f>HYPERLINK("https://www.boe.es/gazeta/dias/1823/05/25/pdfs/GES-1823-46.pdf#page=5","Abrir facsímil")</f>
        <v>Abrir facsímil</v>
      </c>
      <c r="K5591" s="3" t="s">
        <v>23</v>
      </c>
    </row>
    <row r="5592" spans="1:11" ht="42" customHeight="1">
      <c r="A5592" s="2" t="s">
        <v>11258</v>
      </c>
      <c r="B5592" s="2" t="s">
        <v>11258</v>
      </c>
      <c r="C5592" s="2" t="s">
        <v>79</v>
      </c>
      <c r="D5592" s="2" t="s">
        <v>74</v>
      </c>
      <c r="E5592" s="5">
        <v>-27969</v>
      </c>
      <c r="F5592" s="3" t="s">
        <v>855</v>
      </c>
      <c r="G5592" s="3" t="s">
        <v>39</v>
      </c>
      <c r="H5592" s="2" t="s">
        <v>21</v>
      </c>
      <c r="I5592" s="2" t="s">
        <v>11259</v>
      </c>
      <c r="J5592" s="3" t="str">
        <f>HYPERLINK("https://www.boe.es/gazeta/dias/1823/06/03/pdfs/GES-1823-57.pdf#page=1","Abrir facsímil")</f>
        <v>Abrir facsímil</v>
      </c>
      <c r="K5592" s="3" t="s">
        <v>23</v>
      </c>
    </row>
    <row r="5593" spans="1:11" ht="42" customHeight="1">
      <c r="A5593" s="2" t="s">
        <v>11260</v>
      </c>
      <c r="B5593" s="2" t="s">
        <v>11261</v>
      </c>
      <c r="C5593" s="2" t="s">
        <v>79</v>
      </c>
      <c r="D5593" s="2" t="s">
        <v>74</v>
      </c>
      <c r="E5593" s="5">
        <v>-27920</v>
      </c>
      <c r="F5593" s="3" t="s">
        <v>1334</v>
      </c>
      <c r="G5593" s="3" t="s">
        <v>20</v>
      </c>
      <c r="H5593" s="2" t="s">
        <v>21</v>
      </c>
      <c r="I5593" s="2" t="s">
        <v>11262</v>
      </c>
      <c r="J5593" s="3" t="str">
        <f>HYPERLINK("https://www.boe.es/gazeta/dias/1823/07/22/pdfs/GMD-1823-443.pdf#page=4","Abrir facsímil")</f>
        <v>Abrir facsímil</v>
      </c>
      <c r="K5593" s="3" t="s">
        <v>23</v>
      </c>
    </row>
    <row r="5594" spans="1:11" ht="42" customHeight="1">
      <c r="A5594" s="2" t="s">
        <v>11263</v>
      </c>
      <c r="B5594" s="2" t="s">
        <v>11264</v>
      </c>
      <c r="C5594" s="2" t="s">
        <v>17</v>
      </c>
      <c r="D5594" s="2" t="s">
        <v>18</v>
      </c>
      <c r="E5594" s="5">
        <v>-27911</v>
      </c>
      <c r="F5594" s="3" t="s">
        <v>368</v>
      </c>
      <c r="G5594" s="3" t="s">
        <v>39</v>
      </c>
      <c r="H5594" s="2" t="s">
        <v>21</v>
      </c>
      <c r="I5594" s="2" t="s">
        <v>11265</v>
      </c>
      <c r="J5594" s="3" t="str">
        <f>HYPERLINK("https://www.boe.es/gazeta/dias/1823/07/31/pdfs/GES-1823-112.pdf#page=1","Abrir facsímil")</f>
        <v>Abrir facsímil</v>
      </c>
      <c r="K5594" s="3" t="s">
        <v>23</v>
      </c>
    </row>
    <row r="5595" spans="1:11" ht="42" customHeight="1">
      <c r="A5595" s="2" t="s">
        <v>11266</v>
      </c>
      <c r="B5595" s="2" t="s">
        <v>11267</v>
      </c>
      <c r="C5595" s="2" t="s">
        <v>17</v>
      </c>
      <c r="D5595" s="2" t="s">
        <v>18</v>
      </c>
      <c r="E5595" s="5">
        <v>-27806</v>
      </c>
      <c r="F5595" s="3" t="s">
        <v>11268</v>
      </c>
      <c r="G5595" s="3" t="s">
        <v>20</v>
      </c>
      <c r="H5595" s="2" t="s">
        <v>21</v>
      </c>
      <c r="I5595" s="2" t="s">
        <v>11269</v>
      </c>
      <c r="J5595" s="3" t="str">
        <f>HYPERLINK("https://www.boe.es/gazeta/dias/1823/11/13/pdfs/GMD-1823-1113.pdf#page=4","Abrir facsímil")</f>
        <v>Abrir facsímil</v>
      </c>
      <c r="K5595" s="3" t="s">
        <v>23</v>
      </c>
    </row>
    <row r="5596" spans="1:11" ht="42" customHeight="1">
      <c r="A5596" s="2" t="s">
        <v>11270</v>
      </c>
      <c r="B5596" s="2" t="s">
        <v>11270</v>
      </c>
      <c r="C5596" s="2" t="s">
        <v>17</v>
      </c>
      <c r="D5596" s="2" t="s">
        <v>18</v>
      </c>
      <c r="E5596" s="5">
        <v>-28061</v>
      </c>
      <c r="F5596" s="3" t="s">
        <v>704</v>
      </c>
      <c r="G5596" s="3" t="s">
        <v>20</v>
      </c>
      <c r="H5596" s="2" t="s">
        <v>21</v>
      </c>
      <c r="I5596" s="2" t="s">
        <v>11271</v>
      </c>
      <c r="J5596" s="3" t="str">
        <f>HYPERLINK("https://www.boe.es/gazeta/dias/1823/03/03/pdfs/GMD-1823-66.pdf#page=4","Abrir facsímil")</f>
        <v>Abrir facsímil</v>
      </c>
      <c r="K5596" s="3" t="s">
        <v>23</v>
      </c>
    </row>
    <row r="5597" spans="1:11" ht="42" customHeight="1">
      <c r="A5597" s="2" t="s">
        <v>11270</v>
      </c>
      <c r="B5597" s="2" t="s">
        <v>11270</v>
      </c>
      <c r="C5597" s="2" t="s">
        <v>56</v>
      </c>
      <c r="D5597" s="2" t="s">
        <v>57</v>
      </c>
      <c r="E5597" s="5">
        <v>-27949</v>
      </c>
      <c r="F5597" s="3" t="s">
        <v>1162</v>
      </c>
      <c r="G5597" s="3" t="s">
        <v>39</v>
      </c>
      <c r="H5597" s="2" t="s">
        <v>21</v>
      </c>
      <c r="I5597" s="2" t="s">
        <v>11272</v>
      </c>
      <c r="J5597" s="3" t="str">
        <f>HYPERLINK("https://www.boe.es/gazeta/dias/1823/06/23/pdfs/GES-1823-71.pdf#page=1","Abrir facsímil")</f>
        <v>Abrir facsímil</v>
      </c>
      <c r="K5597" s="3" t="s">
        <v>23</v>
      </c>
    </row>
    <row r="5598" spans="1:11" ht="42" customHeight="1">
      <c r="A5598" s="2" t="s">
        <v>11273</v>
      </c>
      <c r="B5598" s="2" t="s">
        <v>11274</v>
      </c>
      <c r="C5598" s="2" t="s">
        <v>79</v>
      </c>
      <c r="D5598" s="2" t="s">
        <v>74</v>
      </c>
      <c r="E5598" s="5">
        <v>-28032</v>
      </c>
      <c r="F5598" s="3" t="s">
        <v>668</v>
      </c>
      <c r="G5598" s="3" t="s">
        <v>39</v>
      </c>
      <c r="H5598" s="2" t="s">
        <v>21</v>
      </c>
      <c r="I5598" s="2" t="s">
        <v>11275</v>
      </c>
      <c r="J5598" s="3" t="str">
        <f>HYPERLINK("https://www.boe.es/gazeta/dias/1823/04/01/pdfs/GMD-1823-95.pdf#page=1","Abrir facsímil")</f>
        <v>Abrir facsímil</v>
      </c>
      <c r="K5598" s="3" t="s">
        <v>23</v>
      </c>
    </row>
    <row r="5599" spans="1:11" ht="42" customHeight="1">
      <c r="A5599" s="2" t="s">
        <v>11276</v>
      </c>
      <c r="B5599" s="2" t="s">
        <v>11277</v>
      </c>
      <c r="C5599" s="2" t="s">
        <v>17</v>
      </c>
      <c r="D5599" s="2" t="s">
        <v>18</v>
      </c>
      <c r="E5599" s="5">
        <v>-27923</v>
      </c>
      <c r="F5599" s="3" t="s">
        <v>354</v>
      </c>
      <c r="G5599" s="3" t="s">
        <v>39</v>
      </c>
      <c r="H5599" s="2" t="s">
        <v>21</v>
      </c>
      <c r="I5599" s="2" t="s">
        <v>11278</v>
      </c>
      <c r="J5599" s="3" t="str">
        <f>HYPERLINK("https://www.boe.es/gazeta/dias/1823/07/19/pdfs/GES-1823-100.pdf#page=1","Abrir facsímil")</f>
        <v>Abrir facsímil</v>
      </c>
      <c r="K5599" s="3" t="s">
        <v>23</v>
      </c>
    </row>
    <row r="5600" spans="1:11" ht="42" customHeight="1">
      <c r="A5600" s="2" t="s">
        <v>11279</v>
      </c>
      <c r="B5600" s="2" t="s">
        <v>11280</v>
      </c>
      <c r="C5600" s="2" t="s">
        <v>17</v>
      </c>
      <c r="D5600" s="2" t="s">
        <v>18</v>
      </c>
      <c r="E5600" s="5">
        <v>-27988</v>
      </c>
      <c r="F5600" s="3" t="s">
        <v>692</v>
      </c>
      <c r="G5600" s="3" t="s">
        <v>27</v>
      </c>
      <c r="H5600" s="2" t="s">
        <v>21</v>
      </c>
      <c r="I5600" s="2" t="s">
        <v>11281</v>
      </c>
      <c r="J5600" s="3" t="str">
        <f>HYPERLINK("https://www.boe.es/gazeta/dias/1823/05/15/pdfs/GES-1823-35.pdf#page=2","Abrir facsímil")</f>
        <v>Abrir facsímil</v>
      </c>
      <c r="K5600" s="3" t="s">
        <v>23</v>
      </c>
    </row>
    <row r="5601" spans="1:11" ht="42" customHeight="1">
      <c r="A5601" s="2" t="s">
        <v>11282</v>
      </c>
      <c r="B5601" s="2" t="s">
        <v>11283</v>
      </c>
      <c r="C5601" s="2" t="s">
        <v>17</v>
      </c>
      <c r="D5601" s="2" t="s">
        <v>18</v>
      </c>
      <c r="E5601" s="5">
        <v>-28107</v>
      </c>
      <c r="F5601" s="3" t="s">
        <v>278</v>
      </c>
      <c r="G5601" s="3" t="s">
        <v>2827</v>
      </c>
      <c r="H5601" s="2" t="s">
        <v>21</v>
      </c>
      <c r="I5601" s="2" t="s">
        <v>11284</v>
      </c>
      <c r="J5601" s="3" t="str">
        <f>HYPERLINK("https://www.boe.es/gazeta/dias/1823/01/16/pdfs/GMD-1823-16.pdf#page=6","Abrir facsímil")</f>
        <v>Abrir facsímil</v>
      </c>
      <c r="K5601" s="3" t="s">
        <v>23</v>
      </c>
    </row>
    <row r="5602" spans="1:11" ht="42" customHeight="1">
      <c r="A5602" s="2" t="s">
        <v>11285</v>
      </c>
      <c r="B5602" s="2" t="s">
        <v>11286</v>
      </c>
      <c r="C5602" s="2" t="s">
        <v>325</v>
      </c>
      <c r="D5602" s="2" t="s">
        <v>74</v>
      </c>
      <c r="E5602" s="5">
        <v>-27920</v>
      </c>
      <c r="F5602" s="3" t="s">
        <v>1334</v>
      </c>
      <c r="G5602" s="3" t="s">
        <v>715</v>
      </c>
      <c r="H5602" s="2" t="s">
        <v>21</v>
      </c>
      <c r="I5602" s="2" t="s">
        <v>11287</v>
      </c>
      <c r="J5602" s="3" t="str">
        <f>HYPERLINK("https://www.boe.es/gazeta/dias/1823/07/22/pdfs/GMD-1823-443.pdf#page=8","Abrir facsímil")</f>
        <v>Abrir facsímil</v>
      </c>
      <c r="K5602" s="3" t="s">
        <v>23</v>
      </c>
    </row>
    <row r="5603" spans="1:11" ht="42" customHeight="1">
      <c r="A5603" s="2" t="s">
        <v>11288</v>
      </c>
      <c r="B5603" s="2" t="s">
        <v>11289</v>
      </c>
      <c r="C5603" s="2" t="s">
        <v>17</v>
      </c>
      <c r="D5603" s="2" t="s">
        <v>18</v>
      </c>
      <c r="E5603" s="5">
        <v>-27906</v>
      </c>
      <c r="F5603" s="3" t="s">
        <v>241</v>
      </c>
      <c r="G5603" s="3" t="s">
        <v>20</v>
      </c>
      <c r="H5603" s="2" t="s">
        <v>28</v>
      </c>
      <c r="I5603" s="2" t="s">
        <v>11290</v>
      </c>
      <c r="J5603" s="3" t="str">
        <f>HYPERLINK("https://www.boe.es/gazeta/dias/1823/08/05/pdfs/GES-1823-117.pdf#page=4","Abrir facsímil")</f>
        <v>Abrir facsímil</v>
      </c>
      <c r="K5603" s="3" t="s">
        <v>30</v>
      </c>
    </row>
    <row r="5604" spans="1:11" ht="42" customHeight="1">
      <c r="A5604" s="2" t="s">
        <v>11291</v>
      </c>
      <c r="B5604" s="2" t="s">
        <v>11292</v>
      </c>
      <c r="C5604" s="2" t="s">
        <v>17</v>
      </c>
      <c r="D5604" s="2" t="s">
        <v>18</v>
      </c>
      <c r="E5604" s="5">
        <v>-27946</v>
      </c>
      <c r="F5604" s="3" t="s">
        <v>1547</v>
      </c>
      <c r="G5604" s="3" t="s">
        <v>27</v>
      </c>
      <c r="H5604" s="2" t="s">
        <v>28</v>
      </c>
      <c r="I5604" s="2" t="s">
        <v>11293</v>
      </c>
      <c r="J5604" s="3" t="str">
        <f>HYPERLINK("https://www.boe.es/gazeta/dias/1823/06/26/pdfs/GMD-1823-283.pdf#page=2","Abrir facsímil")</f>
        <v>Abrir facsímil</v>
      </c>
      <c r="K5604" s="3" t="s">
        <v>30</v>
      </c>
    </row>
    <row r="5605" spans="1:11" ht="42" customHeight="1">
      <c r="A5605" s="2" t="s">
        <v>11294</v>
      </c>
      <c r="B5605" s="2" t="s">
        <v>11295</v>
      </c>
      <c r="C5605" s="2" t="s">
        <v>17</v>
      </c>
      <c r="D5605" s="2" t="s">
        <v>18</v>
      </c>
      <c r="E5605" s="5">
        <v>-28060</v>
      </c>
      <c r="F5605" s="3" t="s">
        <v>180</v>
      </c>
      <c r="G5605" s="3" t="s">
        <v>181</v>
      </c>
      <c r="H5605" s="2" t="s">
        <v>21</v>
      </c>
      <c r="I5605" s="2" t="s">
        <v>11296</v>
      </c>
      <c r="J5605" s="3" t="str">
        <f>HYPERLINK("https://www.boe.es/gazeta/dias/1823/03/04/pdfs/GMD-1823-67.pdf#page=6","Abrir facsímil")</f>
        <v>Abrir facsímil</v>
      </c>
      <c r="K5605" s="3" t="s">
        <v>23</v>
      </c>
    </row>
    <row r="5606" spans="1:11" ht="42" customHeight="1">
      <c r="A5606" s="2" t="s">
        <v>11297</v>
      </c>
      <c r="B5606" s="2" t="s">
        <v>11298</v>
      </c>
      <c r="C5606" s="2" t="s">
        <v>17</v>
      </c>
      <c r="D5606" s="2" t="s">
        <v>18</v>
      </c>
      <c r="E5606" s="5">
        <v>-27878</v>
      </c>
      <c r="F5606" s="3" t="s">
        <v>1581</v>
      </c>
      <c r="G5606" s="3" t="s">
        <v>48</v>
      </c>
      <c r="H5606" s="2" t="s">
        <v>21</v>
      </c>
      <c r="I5606" s="2" t="s">
        <v>11299</v>
      </c>
      <c r="J5606" s="3" t="str">
        <f>HYPERLINK("https://www.boe.es/gazeta/dias/1823/09/02/pdfs/GMD-1823-683.pdf#page=3","Abrir facsímil")</f>
        <v>Abrir facsímil</v>
      </c>
      <c r="K5606" s="3" t="s">
        <v>23</v>
      </c>
    </row>
    <row r="5607" spans="1:11" ht="42" customHeight="1">
      <c r="A5607" s="2" t="s">
        <v>11300</v>
      </c>
      <c r="B5607" s="2" t="s">
        <v>11301</v>
      </c>
      <c r="C5607" s="2" t="s">
        <v>17</v>
      </c>
      <c r="D5607" s="2" t="s">
        <v>18</v>
      </c>
      <c r="E5607" s="5">
        <v>-28058</v>
      </c>
      <c r="F5607" s="3" t="s">
        <v>1282</v>
      </c>
      <c r="G5607" s="3" t="s">
        <v>39</v>
      </c>
      <c r="H5607" s="2" t="s">
        <v>21</v>
      </c>
      <c r="I5607" s="2" t="s">
        <v>11302</v>
      </c>
      <c r="J5607" s="3" t="str">
        <f>HYPERLINK("https://www.boe.es/gazeta/dias/1823/03/06/pdfs/GMD-1823-69.pdf#page=1","Abrir facsímil")</f>
        <v>Abrir facsímil</v>
      </c>
      <c r="K5607" s="3" t="s">
        <v>23</v>
      </c>
    </row>
    <row r="5608" spans="1:11" ht="42" customHeight="1">
      <c r="A5608" s="2" t="s">
        <v>11303</v>
      </c>
      <c r="B5608" s="2" t="s">
        <v>11304</v>
      </c>
      <c r="C5608" s="2" t="s">
        <v>17</v>
      </c>
      <c r="D5608" s="2" t="s">
        <v>18</v>
      </c>
      <c r="E5608" s="5">
        <v>-27966</v>
      </c>
      <c r="F5608" s="3" t="s">
        <v>675</v>
      </c>
      <c r="G5608" s="3" t="s">
        <v>27</v>
      </c>
      <c r="H5608" s="2" t="s">
        <v>21</v>
      </c>
      <c r="I5608" s="2" t="s">
        <v>11305</v>
      </c>
      <c r="J5608" s="3" t="str">
        <f>HYPERLINK("https://www.boe.es/gazeta/dias/1823/06/06/pdfs/GES-1823-60.pdf#page=2","Abrir facsímil")</f>
        <v>Abrir facsímil</v>
      </c>
      <c r="K5608" s="3" t="s">
        <v>23</v>
      </c>
    </row>
    <row r="5609" spans="1:11" ht="42" customHeight="1">
      <c r="A5609" s="2" t="s">
        <v>11306</v>
      </c>
      <c r="B5609" s="2" t="s">
        <v>11307</v>
      </c>
      <c r="C5609" s="2" t="s">
        <v>79</v>
      </c>
      <c r="D5609" s="2" t="s">
        <v>74</v>
      </c>
      <c r="E5609" s="5">
        <v>-28047</v>
      </c>
      <c r="F5609" s="3" t="s">
        <v>2269</v>
      </c>
      <c r="G5609" s="3" t="s">
        <v>48</v>
      </c>
      <c r="H5609" s="2" t="s">
        <v>21</v>
      </c>
      <c r="I5609" s="2" t="s">
        <v>11308</v>
      </c>
      <c r="J5609" s="3" t="str">
        <f>HYPERLINK("https://www.boe.es/gazeta/dias/1823/03/17/pdfs/GMD-1823-80.pdf#page=3","Abrir facsímil")</f>
        <v>Abrir facsímil</v>
      </c>
      <c r="K5609" s="3" t="s">
        <v>23</v>
      </c>
    </row>
    <row r="5610" spans="1:11" ht="42" customHeight="1">
      <c r="A5610" s="2" t="s">
        <v>11309</v>
      </c>
      <c r="B5610" s="2" t="s">
        <v>11309</v>
      </c>
      <c r="C5610" s="2" t="s">
        <v>17</v>
      </c>
      <c r="D5610" s="2" t="s">
        <v>18</v>
      </c>
      <c r="E5610" s="5">
        <v>-27848</v>
      </c>
      <c r="F5610" s="3" t="s">
        <v>1083</v>
      </c>
      <c r="G5610" s="3" t="s">
        <v>1084</v>
      </c>
      <c r="H5610" s="2" t="s">
        <v>21</v>
      </c>
      <c r="I5610" s="2" t="s">
        <v>11310</v>
      </c>
      <c r="J5610" s="3" t="str">
        <f>HYPERLINK("https://www.boe.es/gazeta/dias/1823/10/02/pdfs/GES-1823-176.pdf#page=3","Abrir facsímil")</f>
        <v>Abrir facsímil</v>
      </c>
      <c r="K5610" s="3" t="s">
        <v>23</v>
      </c>
    </row>
    <row r="5611" spans="1:11" ht="42" customHeight="1">
      <c r="A5611" s="2" t="s">
        <v>11311</v>
      </c>
      <c r="B5611" s="2" t="s">
        <v>11311</v>
      </c>
      <c r="C5611" s="2" t="s">
        <v>17</v>
      </c>
      <c r="D5611" s="2" t="s">
        <v>18</v>
      </c>
      <c r="E5611" s="5">
        <v>-28100</v>
      </c>
      <c r="F5611" s="3" t="s">
        <v>737</v>
      </c>
      <c r="G5611" s="3" t="s">
        <v>20</v>
      </c>
      <c r="H5611" s="2" t="s">
        <v>21</v>
      </c>
      <c r="I5611" s="2" t="s">
        <v>11312</v>
      </c>
      <c r="J5611" s="3" t="str">
        <f>HYPERLINK("https://www.boe.es/gazeta/dias/1823/01/23/pdfs/GMD-1823-24.pdf#page=4","Abrir facsímil")</f>
        <v>Abrir facsímil</v>
      </c>
      <c r="K5611" s="3" t="s">
        <v>23</v>
      </c>
    </row>
    <row r="5612" spans="1:11" ht="42" customHeight="1">
      <c r="A5612" s="2" t="s">
        <v>11313</v>
      </c>
      <c r="B5612" s="2" t="s">
        <v>11313</v>
      </c>
      <c r="C5612" s="2" t="s">
        <v>17</v>
      </c>
      <c r="D5612" s="2" t="s">
        <v>18</v>
      </c>
      <c r="E5612" s="5">
        <v>-28117</v>
      </c>
      <c r="F5612" s="3" t="s">
        <v>271</v>
      </c>
      <c r="G5612" s="3" t="s">
        <v>48</v>
      </c>
      <c r="H5612" s="2" t="s">
        <v>21</v>
      </c>
      <c r="I5612" s="2" t="s">
        <v>11314</v>
      </c>
      <c r="J5612" s="3" t="str">
        <f>HYPERLINK("https://www.boe.es/gazeta/dias/1823/01/06/pdfs/GMD-1823-6.pdf#page=3","Abrir facsímil")</f>
        <v>Abrir facsímil</v>
      </c>
      <c r="K5612" s="3" t="s">
        <v>23</v>
      </c>
    </row>
    <row r="5613" spans="1:11" ht="42" customHeight="1">
      <c r="A5613" s="2" t="s">
        <v>11313</v>
      </c>
      <c r="B5613" s="2" t="s">
        <v>11313</v>
      </c>
      <c r="C5613" s="2" t="s">
        <v>56</v>
      </c>
      <c r="D5613" s="2" t="s">
        <v>57</v>
      </c>
      <c r="E5613" s="5">
        <v>-28114</v>
      </c>
      <c r="F5613" s="3" t="s">
        <v>153</v>
      </c>
      <c r="G5613" s="3" t="s">
        <v>34</v>
      </c>
      <c r="H5613" s="2" t="s">
        <v>21</v>
      </c>
      <c r="I5613" s="2" t="s">
        <v>11315</v>
      </c>
      <c r="J5613" s="3" t="str">
        <f>HYPERLINK("https://www.boe.es/gazeta/dias/1823/01/09/pdfs/GMD-1823-9.pdf#page=5","Abrir facsímil")</f>
        <v>Abrir facsímil</v>
      </c>
      <c r="K5613" s="3" t="s">
        <v>23</v>
      </c>
    </row>
    <row r="5614" spans="1:11" ht="42" customHeight="1">
      <c r="A5614" s="2" t="s">
        <v>11313</v>
      </c>
      <c r="B5614" s="2" t="s">
        <v>11313</v>
      </c>
      <c r="C5614" s="2" t="s">
        <v>73</v>
      </c>
      <c r="D5614" s="2" t="s">
        <v>74</v>
      </c>
      <c r="E5614" s="5">
        <v>-28104</v>
      </c>
      <c r="F5614" s="3" t="s">
        <v>114</v>
      </c>
      <c r="G5614" s="3" t="s">
        <v>34</v>
      </c>
      <c r="H5614" s="2" t="s">
        <v>21</v>
      </c>
      <c r="I5614" s="2" t="s">
        <v>11316</v>
      </c>
      <c r="J5614" s="3" t="str">
        <f>HYPERLINK("https://www.boe.es/gazeta/dias/1823/01/19/pdfs/GMD-1823-19.pdf#page=5","Abrir facsímil")</f>
        <v>Abrir facsímil</v>
      </c>
      <c r="K5614" s="3" t="s">
        <v>23</v>
      </c>
    </row>
    <row r="5615" spans="1:11" ht="42" customHeight="1">
      <c r="A5615" s="2" t="s">
        <v>11313</v>
      </c>
      <c r="B5615" s="2" t="s">
        <v>11313</v>
      </c>
      <c r="C5615" s="2" t="s">
        <v>56</v>
      </c>
      <c r="D5615" s="2" t="s">
        <v>57</v>
      </c>
      <c r="E5615" s="5">
        <v>-28081</v>
      </c>
      <c r="F5615" s="3" t="s">
        <v>170</v>
      </c>
      <c r="G5615" s="3" t="s">
        <v>20</v>
      </c>
      <c r="H5615" s="2" t="s">
        <v>21</v>
      </c>
      <c r="I5615" s="2" t="s">
        <v>11317</v>
      </c>
      <c r="J5615" s="3" t="str">
        <f>HYPERLINK("https://www.boe.es/gazeta/dias/1823/02/11/pdfs/GMD-1823-45.pdf#page=4","Abrir facsímil")</f>
        <v>Abrir facsímil</v>
      </c>
      <c r="K5615" s="3" t="s">
        <v>23</v>
      </c>
    </row>
    <row r="5616" spans="1:11" ht="42" customHeight="1">
      <c r="A5616" s="2" t="s">
        <v>11313</v>
      </c>
      <c r="B5616" s="2" t="s">
        <v>11313</v>
      </c>
      <c r="C5616" s="2" t="s">
        <v>17</v>
      </c>
      <c r="D5616" s="2" t="s">
        <v>18</v>
      </c>
      <c r="E5616" s="5">
        <v>-28068</v>
      </c>
      <c r="F5616" s="3" t="s">
        <v>1325</v>
      </c>
      <c r="G5616" s="3" t="s">
        <v>27</v>
      </c>
      <c r="H5616" s="2" t="s">
        <v>21</v>
      </c>
      <c r="I5616" s="2" t="s">
        <v>11318</v>
      </c>
      <c r="J5616" s="3" t="str">
        <f>HYPERLINK("https://www.boe.es/gazeta/dias/1823/02/24/pdfs/GMD-1823-58.pdf#page=2","Abrir facsímil")</f>
        <v>Abrir facsímil</v>
      </c>
      <c r="K5616" s="3" t="s">
        <v>23</v>
      </c>
    </row>
    <row r="5617" spans="1:11" ht="42" customHeight="1">
      <c r="A5617" s="2" t="s">
        <v>11313</v>
      </c>
      <c r="B5617" s="2" t="s">
        <v>11313</v>
      </c>
      <c r="C5617" s="2" t="s">
        <v>17</v>
      </c>
      <c r="D5617" s="2" t="s">
        <v>18</v>
      </c>
      <c r="E5617" s="5">
        <v>-28063</v>
      </c>
      <c r="F5617" s="3" t="s">
        <v>2493</v>
      </c>
      <c r="G5617" s="3" t="s">
        <v>20</v>
      </c>
      <c r="H5617" s="2" t="s">
        <v>21</v>
      </c>
      <c r="I5617" s="2" t="s">
        <v>11319</v>
      </c>
      <c r="J5617" s="3" t="str">
        <f>HYPERLINK("https://www.boe.es/gazeta/dias/1823/03/01/pdfs/GMD-1823-63.pdf#page=4","Abrir facsímil")</f>
        <v>Abrir facsímil</v>
      </c>
      <c r="K5617" s="3" t="s">
        <v>23</v>
      </c>
    </row>
    <row r="5618" spans="1:11" ht="42" customHeight="1">
      <c r="A5618" s="2" t="s">
        <v>11313</v>
      </c>
      <c r="B5618" s="2" t="s">
        <v>11313</v>
      </c>
      <c r="C5618" s="2" t="s">
        <v>17</v>
      </c>
      <c r="D5618" s="2" t="s">
        <v>18</v>
      </c>
      <c r="E5618" s="5">
        <v>-28059</v>
      </c>
      <c r="F5618" s="3" t="s">
        <v>149</v>
      </c>
      <c r="G5618" s="3" t="s">
        <v>48</v>
      </c>
      <c r="H5618" s="2" t="s">
        <v>21</v>
      </c>
      <c r="I5618" s="2" t="s">
        <v>11320</v>
      </c>
      <c r="J5618" s="3" t="str">
        <f>HYPERLINK("https://www.boe.es/gazeta/dias/1823/03/05/pdfs/GMD-1823-68.pdf#page=3","Abrir facsímil")</f>
        <v>Abrir facsímil</v>
      </c>
      <c r="K5618" s="3" t="s">
        <v>23</v>
      </c>
    </row>
    <row r="5619" spans="1:11" ht="42" customHeight="1">
      <c r="A5619" s="2" t="s">
        <v>11313</v>
      </c>
      <c r="B5619" s="2" t="s">
        <v>11313</v>
      </c>
      <c r="C5619" s="2" t="s">
        <v>17</v>
      </c>
      <c r="D5619" s="2" t="s">
        <v>18</v>
      </c>
      <c r="E5619" s="5">
        <v>-28058</v>
      </c>
      <c r="F5619" s="3" t="s">
        <v>1282</v>
      </c>
      <c r="G5619" s="3" t="s">
        <v>48</v>
      </c>
      <c r="H5619" s="2" t="s">
        <v>21</v>
      </c>
      <c r="I5619" s="2" t="s">
        <v>11321</v>
      </c>
      <c r="J5619" s="3" t="str">
        <f>HYPERLINK("https://www.boe.es/gazeta/dias/1823/03/06/pdfs/GMD-1823-69.pdf#page=3","Abrir facsímil")</f>
        <v>Abrir facsímil</v>
      </c>
      <c r="K5619" s="3" t="s">
        <v>23</v>
      </c>
    </row>
    <row r="5620" spans="1:11" ht="42" customHeight="1">
      <c r="A5620" s="2" t="s">
        <v>11313</v>
      </c>
      <c r="B5620" s="2" t="s">
        <v>11313</v>
      </c>
      <c r="C5620" s="2" t="s">
        <v>73</v>
      </c>
      <c r="D5620" s="2" t="s">
        <v>74</v>
      </c>
      <c r="E5620" s="5">
        <v>-28058</v>
      </c>
      <c r="F5620" s="3" t="s">
        <v>1282</v>
      </c>
      <c r="G5620" s="3" t="s">
        <v>20</v>
      </c>
      <c r="H5620" s="2" t="s">
        <v>21</v>
      </c>
      <c r="I5620" s="2" t="s">
        <v>11322</v>
      </c>
      <c r="J5620" s="3" t="str">
        <f>HYPERLINK("https://www.boe.es/gazeta/dias/1823/03/06/pdfs/GMD-1823-69.pdf#page=4","Abrir facsímil")</f>
        <v>Abrir facsímil</v>
      </c>
      <c r="K5620" s="3" t="s">
        <v>23</v>
      </c>
    </row>
    <row r="5621" spans="1:11" ht="42" customHeight="1">
      <c r="A5621" s="2" t="s">
        <v>11313</v>
      </c>
      <c r="B5621" s="2" t="s">
        <v>11313</v>
      </c>
      <c r="C5621" s="2" t="s">
        <v>17</v>
      </c>
      <c r="D5621" s="2" t="s">
        <v>18</v>
      </c>
      <c r="E5621" s="5">
        <v>-28028</v>
      </c>
      <c r="F5621" s="3" t="s">
        <v>893</v>
      </c>
      <c r="G5621" s="3" t="s">
        <v>27</v>
      </c>
      <c r="H5621" s="2" t="s">
        <v>21</v>
      </c>
      <c r="I5621" s="2" t="s">
        <v>11323</v>
      </c>
      <c r="J5621" s="3" t="str">
        <f>HYPERLINK("https://www.boe.es/gazeta/dias/1823/04/05/pdfs/GMD-1823-99.pdf#page=2","Abrir facsímil")</f>
        <v>Abrir facsímil</v>
      </c>
      <c r="K5621" s="3" t="s">
        <v>23</v>
      </c>
    </row>
    <row r="5622" spans="1:11" ht="42" customHeight="1">
      <c r="A5622" s="2" t="s">
        <v>11313</v>
      </c>
      <c r="B5622" s="2" t="s">
        <v>11313</v>
      </c>
      <c r="C5622" s="2" t="s">
        <v>17</v>
      </c>
      <c r="D5622" s="2" t="s">
        <v>18</v>
      </c>
      <c r="E5622" s="5">
        <v>-28003</v>
      </c>
      <c r="F5622" s="3" t="s">
        <v>26</v>
      </c>
      <c r="G5622" s="3" t="s">
        <v>27</v>
      </c>
      <c r="H5622" s="2" t="s">
        <v>21</v>
      </c>
      <c r="I5622" s="2" t="s">
        <v>11324</v>
      </c>
      <c r="J5622" s="3" t="str">
        <f>HYPERLINK("https://www.boe.es/gazeta/dias/1823/04/30/pdfs/GES-1823-20.pdf#page=2","Abrir facsímil")</f>
        <v>Abrir facsímil</v>
      </c>
      <c r="K5622" s="3" t="s">
        <v>23</v>
      </c>
    </row>
    <row r="5623" spans="1:11" ht="42" customHeight="1">
      <c r="A5623" s="2" t="s">
        <v>11313</v>
      </c>
      <c r="B5623" s="2" t="s">
        <v>11313</v>
      </c>
      <c r="C5623" s="2" t="s">
        <v>293</v>
      </c>
      <c r="D5623" s="2" t="s">
        <v>74</v>
      </c>
      <c r="E5623" s="5">
        <v>-28002</v>
      </c>
      <c r="F5623" s="3" t="s">
        <v>315</v>
      </c>
      <c r="G5623" s="3" t="s">
        <v>39</v>
      </c>
      <c r="H5623" s="2" t="s">
        <v>21</v>
      </c>
      <c r="I5623" s="2" t="s">
        <v>11325</v>
      </c>
      <c r="J5623" s="3" t="str">
        <f>HYPERLINK("https://www.boe.es/gazeta/dias/1823/05/01/pdfs/GES-1823-21.pdf#page=1","Abrir facsímil")</f>
        <v>Abrir facsímil</v>
      </c>
      <c r="K5623" s="3" t="s">
        <v>23</v>
      </c>
    </row>
    <row r="5624" spans="1:11" ht="42" customHeight="1">
      <c r="A5624" s="2" t="s">
        <v>11313</v>
      </c>
      <c r="B5624" s="2" t="s">
        <v>11313</v>
      </c>
      <c r="C5624" s="2" t="s">
        <v>17</v>
      </c>
      <c r="D5624" s="2" t="s">
        <v>18</v>
      </c>
      <c r="E5624" s="5">
        <v>-28001</v>
      </c>
      <c r="F5624" s="3" t="s">
        <v>768</v>
      </c>
      <c r="G5624" s="3" t="s">
        <v>34</v>
      </c>
      <c r="H5624" s="2" t="s">
        <v>21</v>
      </c>
      <c r="I5624" s="2" t="s">
        <v>11326</v>
      </c>
      <c r="J5624" s="3" t="str">
        <f>HYPERLINK("https://www.boe.es/gazeta/dias/1823/05/02/pdfs/GES-1823-22.pdf#page=5","Abrir facsímil")</f>
        <v>Abrir facsímil</v>
      </c>
      <c r="K5624" s="3" t="s">
        <v>23</v>
      </c>
    </row>
    <row r="5625" spans="1:11" ht="42" customHeight="1">
      <c r="A5625" s="2" t="s">
        <v>11313</v>
      </c>
      <c r="B5625" s="2" t="s">
        <v>11313</v>
      </c>
      <c r="C5625" s="2" t="s">
        <v>56</v>
      </c>
      <c r="D5625" s="2" t="s">
        <v>57</v>
      </c>
      <c r="E5625" s="5">
        <v>-27968</v>
      </c>
      <c r="F5625" s="3" t="s">
        <v>1160</v>
      </c>
      <c r="G5625" s="3" t="s">
        <v>276</v>
      </c>
      <c r="H5625" s="2" t="s">
        <v>21</v>
      </c>
      <c r="I5625" s="2" t="s">
        <v>11327</v>
      </c>
      <c r="J5625" s="3" t="str">
        <f>HYPERLINK("https://www.boe.es/gazeta/dias/1823/06/04/pdfs/GES-1823-58.pdf#page=7","Abrir facsímil")</f>
        <v>Abrir facsímil</v>
      </c>
      <c r="K5625" s="3" t="s">
        <v>23</v>
      </c>
    </row>
    <row r="5626" spans="1:11" ht="42" customHeight="1">
      <c r="A5626" s="2" t="s">
        <v>11313</v>
      </c>
      <c r="B5626" s="2" t="s">
        <v>11313</v>
      </c>
      <c r="C5626" s="2" t="s">
        <v>17</v>
      </c>
      <c r="D5626" s="2" t="s">
        <v>18</v>
      </c>
      <c r="E5626" s="5">
        <v>-27923</v>
      </c>
      <c r="F5626" s="3" t="s">
        <v>1225</v>
      </c>
      <c r="G5626" s="3" t="s">
        <v>59</v>
      </c>
      <c r="H5626" s="2" t="s">
        <v>21</v>
      </c>
      <c r="I5626" s="2" t="s">
        <v>11328</v>
      </c>
      <c r="J5626" s="3" t="str">
        <f>HYPERLINK("https://www.boe.es/gazeta/dias/1823/07/19/pdfs/GMD-1823-433.pdf#page=6","Abrir facsímil")</f>
        <v>Abrir facsímil</v>
      </c>
      <c r="K5626" s="3" t="s">
        <v>23</v>
      </c>
    </row>
    <row r="5627" spans="1:11" ht="42" customHeight="1">
      <c r="A5627" s="2" t="s">
        <v>11313</v>
      </c>
      <c r="B5627" s="2" t="s">
        <v>11313</v>
      </c>
      <c r="C5627" s="2" t="s">
        <v>79</v>
      </c>
      <c r="D5627" s="2" t="s">
        <v>74</v>
      </c>
      <c r="E5627" s="5">
        <v>-27920</v>
      </c>
      <c r="F5627" s="3" t="s">
        <v>1334</v>
      </c>
      <c r="G5627" s="3" t="s">
        <v>276</v>
      </c>
      <c r="H5627" s="2" t="s">
        <v>21</v>
      </c>
      <c r="I5627" s="2" t="s">
        <v>11329</v>
      </c>
      <c r="J5627" s="3" t="str">
        <f>HYPERLINK("https://www.boe.es/gazeta/dias/1823/07/22/pdfs/GMD-1823-443.pdf#page=7","Abrir facsímil")</f>
        <v>Abrir facsímil</v>
      </c>
      <c r="K5627" s="3" t="s">
        <v>23</v>
      </c>
    </row>
    <row r="5628" spans="1:11" ht="42" customHeight="1">
      <c r="A5628" s="2" t="s">
        <v>11313</v>
      </c>
      <c r="B5628" s="2" t="s">
        <v>11313</v>
      </c>
      <c r="C5628" s="2" t="s">
        <v>56</v>
      </c>
      <c r="D5628" s="2" t="s">
        <v>57</v>
      </c>
      <c r="E5628" s="5">
        <v>-27906</v>
      </c>
      <c r="F5628" s="3" t="s">
        <v>1527</v>
      </c>
      <c r="G5628" s="3" t="s">
        <v>39</v>
      </c>
      <c r="H5628" s="2" t="s">
        <v>21</v>
      </c>
      <c r="I5628" s="2" t="s">
        <v>11330</v>
      </c>
      <c r="J5628" s="3" t="str">
        <f>HYPERLINK("https://www.boe.es/gazeta/dias/1823/08/05/pdfs/GMD-1823-533.pdf#page=1","Abrir facsímil")</f>
        <v>Abrir facsímil</v>
      </c>
      <c r="K5628" s="3" t="s">
        <v>23</v>
      </c>
    </row>
    <row r="5629" spans="1:11" ht="42" customHeight="1">
      <c r="A5629" s="2" t="s">
        <v>11313</v>
      </c>
      <c r="B5629" s="2" t="s">
        <v>11313</v>
      </c>
      <c r="C5629" s="2" t="s">
        <v>17</v>
      </c>
      <c r="D5629" s="2" t="s">
        <v>18</v>
      </c>
      <c r="E5629" s="5">
        <v>-27878</v>
      </c>
      <c r="F5629" s="3" t="s">
        <v>130</v>
      </c>
      <c r="G5629" s="3" t="s">
        <v>48</v>
      </c>
      <c r="H5629" s="2" t="s">
        <v>21</v>
      </c>
      <c r="I5629" s="2" t="s">
        <v>11331</v>
      </c>
      <c r="J5629" s="3" t="str">
        <f>HYPERLINK("https://www.boe.es/gazeta/dias/1823/09/02/pdfs/GES-1823-146.pdf#page=3","Abrir facsímil")</f>
        <v>Abrir facsímil</v>
      </c>
      <c r="K5629" s="3" t="s">
        <v>23</v>
      </c>
    </row>
    <row r="5630" spans="1:11" ht="42" customHeight="1">
      <c r="A5630" s="2" t="s">
        <v>11332</v>
      </c>
      <c r="B5630" s="2" t="s">
        <v>11333</v>
      </c>
      <c r="C5630" s="2" t="s">
        <v>17</v>
      </c>
      <c r="D5630" s="2" t="s">
        <v>18</v>
      </c>
      <c r="E5630" s="5">
        <v>-27871</v>
      </c>
      <c r="F5630" s="3" t="s">
        <v>1330</v>
      </c>
      <c r="G5630" s="3" t="s">
        <v>27</v>
      </c>
      <c r="H5630" s="2" t="s">
        <v>21</v>
      </c>
      <c r="I5630" s="2" t="s">
        <v>11334</v>
      </c>
      <c r="J5630" s="3" t="str">
        <f>HYPERLINK("https://www.boe.es/gazeta/dias/1823/09/09/pdfs/GMD-1823-733.pdf#page=2","Abrir facsímil")</f>
        <v>Abrir facsímil</v>
      </c>
      <c r="K5630" s="3" t="s">
        <v>23</v>
      </c>
    </row>
    <row r="5631" spans="1:11" ht="42" customHeight="1">
      <c r="A5631" s="2" t="s">
        <v>11335</v>
      </c>
      <c r="B5631" s="2" t="s">
        <v>11336</v>
      </c>
      <c r="C5631" s="2" t="s">
        <v>79</v>
      </c>
      <c r="D5631" s="2" t="s">
        <v>74</v>
      </c>
      <c r="E5631" s="5">
        <v>-28072</v>
      </c>
      <c r="F5631" s="3" t="s">
        <v>4439</v>
      </c>
      <c r="G5631" s="3" t="s">
        <v>20</v>
      </c>
      <c r="H5631" s="2" t="s">
        <v>21</v>
      </c>
      <c r="I5631" s="2" t="s">
        <v>11337</v>
      </c>
      <c r="J5631" s="3" t="str">
        <f>HYPERLINK("https://www.boe.es/gazeta/dias/1823/02/20/pdfs/GMD-1823-54.pdf#page=4","Abrir facsímil")</f>
        <v>Abrir facsímil</v>
      </c>
      <c r="K5631" s="3" t="s">
        <v>23</v>
      </c>
    </row>
    <row r="5632" spans="1:11" ht="42" customHeight="1">
      <c r="A5632" s="2" t="s">
        <v>11338</v>
      </c>
      <c r="B5632" s="2" t="s">
        <v>11338</v>
      </c>
      <c r="C5632" s="2" t="s">
        <v>17</v>
      </c>
      <c r="D5632" s="2" t="s">
        <v>18</v>
      </c>
      <c r="E5632" s="5">
        <v>-28095</v>
      </c>
      <c r="F5632" s="3" t="s">
        <v>1770</v>
      </c>
      <c r="G5632" s="3" t="s">
        <v>20</v>
      </c>
      <c r="H5632" s="2" t="s">
        <v>21</v>
      </c>
      <c r="I5632" s="2" t="s">
        <v>11339</v>
      </c>
      <c r="J5632" s="3" t="str">
        <f>HYPERLINK("https://www.boe.es/gazeta/dias/1823/01/28/pdfs/GMD-1823-29.pdf#page=4","Abrir facsímil")</f>
        <v>Abrir facsímil</v>
      </c>
      <c r="K5632" s="3" t="s">
        <v>23</v>
      </c>
    </row>
    <row r="5633" spans="1:11" ht="42" customHeight="1">
      <c r="A5633" s="2" t="s">
        <v>11338</v>
      </c>
      <c r="B5633" s="2" t="s">
        <v>11338</v>
      </c>
      <c r="C5633" s="2" t="s">
        <v>17</v>
      </c>
      <c r="D5633" s="2" t="s">
        <v>18</v>
      </c>
      <c r="E5633" s="5">
        <v>-27857</v>
      </c>
      <c r="F5633" s="3" t="s">
        <v>378</v>
      </c>
      <c r="G5633" s="3" t="s">
        <v>20</v>
      </c>
      <c r="H5633" s="2" t="s">
        <v>21</v>
      </c>
      <c r="I5633" s="2" t="s">
        <v>11340</v>
      </c>
      <c r="J5633" s="3" t="str">
        <f>HYPERLINK("https://www.boe.es/gazeta/dias/1823/09/23/pdfs/GMD-1823-833.pdf#page=4","Abrir facsímil")</f>
        <v>Abrir facsímil</v>
      </c>
      <c r="K5633" s="3" t="s">
        <v>23</v>
      </c>
    </row>
    <row r="5634" spans="1:11" ht="42" customHeight="1">
      <c r="A5634" s="2" t="s">
        <v>11341</v>
      </c>
      <c r="B5634" s="2" t="s">
        <v>11341</v>
      </c>
      <c r="C5634" s="2" t="s">
        <v>56</v>
      </c>
      <c r="D5634" s="2" t="s">
        <v>57</v>
      </c>
      <c r="E5634" s="5">
        <v>-28051</v>
      </c>
      <c r="F5634" s="3" t="s">
        <v>305</v>
      </c>
      <c r="G5634" s="3" t="s">
        <v>48</v>
      </c>
      <c r="H5634" s="2" t="s">
        <v>21</v>
      </c>
      <c r="I5634" s="2" t="s">
        <v>11342</v>
      </c>
      <c r="J5634" s="3" t="str">
        <f>HYPERLINK("https://www.boe.es/gazeta/dias/1823/03/13/pdfs/GMD-1823-76.pdf#page=3","Abrir facsímil")</f>
        <v>Abrir facsímil</v>
      </c>
      <c r="K5634" s="3" t="s">
        <v>23</v>
      </c>
    </row>
    <row r="5635" spans="1:11" ht="42" customHeight="1">
      <c r="A5635" s="2" t="s">
        <v>11343</v>
      </c>
      <c r="B5635" s="2" t="s">
        <v>11343</v>
      </c>
      <c r="C5635" s="2" t="s">
        <v>17</v>
      </c>
      <c r="D5635" s="2" t="s">
        <v>18</v>
      </c>
      <c r="E5635" s="5">
        <v>-28000</v>
      </c>
      <c r="F5635" s="3" t="s">
        <v>1118</v>
      </c>
      <c r="G5635" s="3" t="s">
        <v>59</v>
      </c>
      <c r="H5635" s="2" t="s">
        <v>21</v>
      </c>
      <c r="I5635" s="2" t="s">
        <v>11344</v>
      </c>
      <c r="J5635" s="3" t="str">
        <f>HYPERLINK("https://www.boe.es/gazeta/dias/1823/05/03/pdfs/GES-1823-23.pdf#page=6","Abrir facsímil")</f>
        <v>Abrir facsímil</v>
      </c>
      <c r="K5635" s="3" t="s">
        <v>23</v>
      </c>
    </row>
    <row r="5636" spans="1:11" ht="42" customHeight="1">
      <c r="A5636" s="2" t="s">
        <v>11345</v>
      </c>
      <c r="B5636" s="2" t="s">
        <v>11345</v>
      </c>
      <c r="C5636" s="2" t="s">
        <v>79</v>
      </c>
      <c r="D5636" s="2" t="s">
        <v>74</v>
      </c>
      <c r="E5636" s="5">
        <v>-28081</v>
      </c>
      <c r="F5636" s="3" t="s">
        <v>170</v>
      </c>
      <c r="G5636" s="3" t="s">
        <v>20</v>
      </c>
      <c r="H5636" s="2" t="s">
        <v>21</v>
      </c>
      <c r="I5636" s="2" t="s">
        <v>11346</v>
      </c>
      <c r="J5636" s="3" t="str">
        <f>HYPERLINK("https://www.boe.es/gazeta/dias/1823/02/11/pdfs/GMD-1823-45.pdf#page=4","Abrir facsímil")</f>
        <v>Abrir facsímil</v>
      </c>
      <c r="K5636" s="3" t="s">
        <v>23</v>
      </c>
    </row>
    <row r="5637" spans="1:11" ht="42" customHeight="1">
      <c r="A5637" s="2" t="s">
        <v>11345</v>
      </c>
      <c r="B5637" s="2" t="s">
        <v>11345</v>
      </c>
      <c r="C5637" s="2" t="s">
        <v>56</v>
      </c>
      <c r="D5637" s="2" t="s">
        <v>57</v>
      </c>
      <c r="E5637" s="5">
        <v>-28037</v>
      </c>
      <c r="F5637" s="3" t="s">
        <v>192</v>
      </c>
      <c r="G5637" s="3" t="s">
        <v>48</v>
      </c>
      <c r="H5637" s="2" t="s">
        <v>21</v>
      </c>
      <c r="I5637" s="2" t="s">
        <v>11347</v>
      </c>
      <c r="J5637" s="3" t="str">
        <f>HYPERLINK("https://www.boe.es/gazeta/dias/1823/03/27/pdfs/GMD-1823-90.pdf#page=3","Abrir facsímil")</f>
        <v>Abrir facsímil</v>
      </c>
      <c r="K5637" s="3" t="s">
        <v>23</v>
      </c>
    </row>
    <row r="5638" spans="1:11" ht="42" customHeight="1">
      <c r="A5638" s="2" t="s">
        <v>11345</v>
      </c>
      <c r="B5638" s="2" t="s">
        <v>11345</v>
      </c>
      <c r="C5638" s="2" t="s">
        <v>109</v>
      </c>
      <c r="D5638" s="2" t="s">
        <v>74</v>
      </c>
      <c r="E5638" s="5">
        <v>-27906</v>
      </c>
      <c r="F5638" s="3" t="s">
        <v>241</v>
      </c>
      <c r="G5638" s="3" t="s">
        <v>39</v>
      </c>
      <c r="H5638" s="2" t="s">
        <v>21</v>
      </c>
      <c r="I5638" s="2" t="s">
        <v>11348</v>
      </c>
      <c r="J5638" s="3" t="str">
        <f>HYPERLINK("https://www.boe.es/gazeta/dias/1823/08/05/pdfs/GES-1823-117.pdf#page=1","Abrir facsímil")</f>
        <v>Abrir facsímil</v>
      </c>
      <c r="K5638" s="3" t="s">
        <v>23</v>
      </c>
    </row>
    <row r="5639" spans="1:11" ht="42" customHeight="1">
      <c r="A5639" s="2" t="s">
        <v>11349</v>
      </c>
      <c r="B5639" s="2" t="s">
        <v>11350</v>
      </c>
      <c r="C5639" s="2" t="s">
        <v>293</v>
      </c>
      <c r="D5639" s="2" t="s">
        <v>74</v>
      </c>
      <c r="E5639" s="5">
        <v>-28063</v>
      </c>
      <c r="F5639" s="3" t="s">
        <v>2493</v>
      </c>
      <c r="G5639" s="3" t="s">
        <v>48</v>
      </c>
      <c r="H5639" s="2" t="s">
        <v>21</v>
      </c>
      <c r="I5639" s="2" t="s">
        <v>11351</v>
      </c>
      <c r="J5639" s="3" t="str">
        <f>HYPERLINK("https://www.boe.es/gazeta/dias/1823/03/01/pdfs/GMD-1823-63.pdf#page=3","Abrir facsímil")</f>
        <v>Abrir facsímil</v>
      </c>
      <c r="K5639" s="3" t="s">
        <v>23</v>
      </c>
    </row>
    <row r="5640" spans="1:11" ht="42" customHeight="1">
      <c r="A5640" s="2" t="s">
        <v>11349</v>
      </c>
      <c r="B5640" s="2" t="s">
        <v>11350</v>
      </c>
      <c r="C5640" s="2" t="s">
        <v>17</v>
      </c>
      <c r="D5640" s="2" t="s">
        <v>18</v>
      </c>
      <c r="E5640" s="5">
        <v>-28013</v>
      </c>
      <c r="F5640" s="3" t="s">
        <v>2466</v>
      </c>
      <c r="G5640" s="3" t="s">
        <v>4093</v>
      </c>
      <c r="H5640" s="2" t="s">
        <v>21</v>
      </c>
      <c r="I5640" s="2" t="s">
        <v>11352</v>
      </c>
      <c r="J5640" s="3" t="str">
        <f>HYPERLINK("https://www.boe.es/gazeta/dias/1823/04/20/pdfs/GES-1823-10.pdf#page=4","Abrir facsímil")</f>
        <v>Abrir facsímil</v>
      </c>
      <c r="K5640" s="3" t="s">
        <v>23</v>
      </c>
    </row>
    <row r="5641" spans="1:11" ht="42" customHeight="1">
      <c r="A5641" s="2" t="s">
        <v>11353</v>
      </c>
      <c r="B5641" s="2" t="s">
        <v>11353</v>
      </c>
      <c r="C5641" s="2" t="s">
        <v>17</v>
      </c>
      <c r="D5641" s="2" t="s">
        <v>18</v>
      </c>
      <c r="E5641" s="5">
        <v>-28046</v>
      </c>
      <c r="F5641" s="3" t="s">
        <v>85</v>
      </c>
      <c r="G5641" s="3" t="s">
        <v>20</v>
      </c>
      <c r="H5641" s="2" t="s">
        <v>21</v>
      </c>
      <c r="I5641" s="2" t="s">
        <v>11354</v>
      </c>
      <c r="J5641" s="3" t="str">
        <f>HYPERLINK("https://www.boe.es/gazeta/dias/1823/03/18/pdfs/GMD-1823-81.pdf#page=4","Abrir facsímil")</f>
        <v>Abrir facsímil</v>
      </c>
      <c r="K5641" s="3" t="s">
        <v>23</v>
      </c>
    </row>
    <row r="5642" spans="1:11" ht="42" customHeight="1">
      <c r="A5642" s="2" t="s">
        <v>11355</v>
      </c>
      <c r="B5642" s="2" t="s">
        <v>11355</v>
      </c>
      <c r="C5642" s="2" t="s">
        <v>17</v>
      </c>
      <c r="D5642" s="2" t="s">
        <v>18</v>
      </c>
      <c r="E5642" s="5">
        <v>-28061</v>
      </c>
      <c r="F5642" s="3" t="s">
        <v>704</v>
      </c>
      <c r="G5642" s="3" t="s">
        <v>48</v>
      </c>
      <c r="H5642" s="2" t="s">
        <v>21</v>
      </c>
      <c r="I5642" s="2" t="s">
        <v>11356</v>
      </c>
      <c r="J5642" s="3" t="str">
        <f>HYPERLINK("https://www.boe.es/gazeta/dias/1823/03/03/pdfs/GMD-1823-66.pdf#page=3","Abrir facsímil")</f>
        <v>Abrir facsímil</v>
      </c>
      <c r="K5642" s="3" t="s">
        <v>23</v>
      </c>
    </row>
    <row r="5643" spans="1:11" ht="42" customHeight="1">
      <c r="A5643" s="2" t="s">
        <v>11357</v>
      </c>
      <c r="B5643" s="2" t="s">
        <v>11357</v>
      </c>
      <c r="C5643" s="2" t="s">
        <v>56</v>
      </c>
      <c r="D5643" s="2" t="s">
        <v>57</v>
      </c>
      <c r="E5643" s="5">
        <v>-28117</v>
      </c>
      <c r="F5643" s="3" t="s">
        <v>271</v>
      </c>
      <c r="G5643" s="3" t="s">
        <v>20</v>
      </c>
      <c r="H5643" s="2" t="s">
        <v>21</v>
      </c>
      <c r="I5643" s="2" t="s">
        <v>11358</v>
      </c>
      <c r="J5643" s="3" t="str">
        <f>HYPERLINK("https://www.boe.es/gazeta/dias/1823/01/06/pdfs/GMD-1823-6.pdf#page=4","Abrir facsímil")</f>
        <v>Abrir facsímil</v>
      </c>
      <c r="K5643" s="3" t="s">
        <v>23</v>
      </c>
    </row>
    <row r="5644" spans="1:11" ht="42" customHeight="1">
      <c r="A5644" s="2" t="s">
        <v>11357</v>
      </c>
      <c r="B5644" s="2" t="s">
        <v>11357</v>
      </c>
      <c r="C5644" s="2" t="s">
        <v>17</v>
      </c>
      <c r="D5644" s="2" t="s">
        <v>18</v>
      </c>
      <c r="E5644" s="5">
        <v>-28114</v>
      </c>
      <c r="F5644" s="3" t="s">
        <v>153</v>
      </c>
      <c r="G5644" s="3" t="s">
        <v>27</v>
      </c>
      <c r="H5644" s="2" t="s">
        <v>21</v>
      </c>
      <c r="I5644" s="2" t="s">
        <v>11359</v>
      </c>
      <c r="J5644" s="3" t="str">
        <f>HYPERLINK("https://www.boe.es/gazeta/dias/1823/01/09/pdfs/GMD-1823-9.pdf#page=2","Abrir facsímil")</f>
        <v>Abrir facsímil</v>
      </c>
      <c r="K5644" s="3" t="s">
        <v>23</v>
      </c>
    </row>
    <row r="5645" spans="1:11" ht="42" customHeight="1">
      <c r="A5645" s="2" t="s">
        <v>11357</v>
      </c>
      <c r="B5645" s="2" t="s">
        <v>11357</v>
      </c>
      <c r="C5645" s="2" t="s">
        <v>79</v>
      </c>
      <c r="D5645" s="2" t="s">
        <v>74</v>
      </c>
      <c r="E5645" s="5">
        <v>-28111</v>
      </c>
      <c r="F5645" s="3" t="s">
        <v>275</v>
      </c>
      <c r="G5645" s="3" t="s">
        <v>39</v>
      </c>
      <c r="H5645" s="2" t="s">
        <v>21</v>
      </c>
      <c r="I5645" s="2" t="s">
        <v>11360</v>
      </c>
      <c r="J5645" s="3" t="str">
        <f>HYPERLINK("https://www.boe.es/gazeta/dias/1823/01/12/pdfs/GMD-1823-12.pdf#page=1","Abrir facsímil")</f>
        <v>Abrir facsímil</v>
      </c>
      <c r="K5645" s="3" t="s">
        <v>23</v>
      </c>
    </row>
    <row r="5646" spans="1:11" ht="42" customHeight="1">
      <c r="A5646" s="2" t="s">
        <v>11357</v>
      </c>
      <c r="B5646" s="2" t="s">
        <v>11357</v>
      </c>
      <c r="C5646" s="2" t="s">
        <v>17</v>
      </c>
      <c r="D5646" s="2" t="s">
        <v>18</v>
      </c>
      <c r="E5646" s="5">
        <v>-28111</v>
      </c>
      <c r="F5646" s="3" t="s">
        <v>275</v>
      </c>
      <c r="G5646" s="3" t="s">
        <v>276</v>
      </c>
      <c r="H5646" s="2" t="s">
        <v>21</v>
      </c>
      <c r="I5646" s="2" t="s">
        <v>11361</v>
      </c>
      <c r="J5646" s="3" t="str">
        <f>HYPERLINK("https://www.boe.es/gazeta/dias/1823/01/12/pdfs/GMD-1823-12.pdf#page=7","Abrir facsímil")</f>
        <v>Abrir facsímil</v>
      </c>
      <c r="K5646" s="3" t="s">
        <v>23</v>
      </c>
    </row>
    <row r="5647" spans="1:11" ht="42" customHeight="1">
      <c r="A5647" s="2" t="s">
        <v>11357</v>
      </c>
      <c r="B5647" s="2" t="s">
        <v>11357</v>
      </c>
      <c r="C5647" s="2" t="s">
        <v>17</v>
      </c>
      <c r="D5647" s="2" t="s">
        <v>18</v>
      </c>
      <c r="E5647" s="5">
        <v>-28108</v>
      </c>
      <c r="F5647" s="3" t="s">
        <v>406</v>
      </c>
      <c r="G5647" s="3" t="s">
        <v>27</v>
      </c>
      <c r="H5647" s="2" t="s">
        <v>21</v>
      </c>
      <c r="I5647" s="2" t="s">
        <v>11362</v>
      </c>
      <c r="J5647" s="3" t="str">
        <f>HYPERLINK("https://www.boe.es/gazeta/dias/1823/01/15/pdfs/GMD-1823-15.pdf#page=2","Abrir facsímil")</f>
        <v>Abrir facsímil</v>
      </c>
      <c r="K5647" s="3" t="s">
        <v>23</v>
      </c>
    </row>
    <row r="5648" spans="1:11" ht="42" customHeight="1">
      <c r="A5648" s="2" t="s">
        <v>11357</v>
      </c>
      <c r="B5648" s="2" t="s">
        <v>11357</v>
      </c>
      <c r="C5648" s="2" t="s">
        <v>56</v>
      </c>
      <c r="D5648" s="2" t="s">
        <v>57</v>
      </c>
      <c r="E5648" s="5">
        <v>-28106</v>
      </c>
      <c r="F5648" s="3" t="s">
        <v>280</v>
      </c>
      <c r="G5648" s="3" t="s">
        <v>281</v>
      </c>
      <c r="H5648" s="2" t="s">
        <v>21</v>
      </c>
      <c r="I5648" s="2" t="s">
        <v>11363</v>
      </c>
      <c r="J5648" s="3" t="str">
        <f>HYPERLINK("https://www.boe.es/gazeta/dias/1823/01/17/pdfs/GMD-1823-17.pdf#page=2","Abrir facsímil")</f>
        <v>Abrir facsímil</v>
      </c>
      <c r="K5648" s="3" t="s">
        <v>23</v>
      </c>
    </row>
    <row r="5649" spans="1:11" ht="42" customHeight="1">
      <c r="A5649" s="2" t="s">
        <v>11357</v>
      </c>
      <c r="B5649" s="2" t="s">
        <v>11357</v>
      </c>
      <c r="C5649" s="2" t="s">
        <v>17</v>
      </c>
      <c r="D5649" s="2" t="s">
        <v>18</v>
      </c>
      <c r="E5649" s="5">
        <v>-28101</v>
      </c>
      <c r="F5649" s="3" t="s">
        <v>1041</v>
      </c>
      <c r="G5649" s="3" t="s">
        <v>27</v>
      </c>
      <c r="H5649" s="2" t="s">
        <v>21</v>
      </c>
      <c r="I5649" s="2" t="s">
        <v>11364</v>
      </c>
      <c r="J5649" s="3" t="str">
        <f>HYPERLINK("https://www.boe.es/gazeta/dias/1823/01/22/pdfs/GMD-1823-23.pdf#page=2","Abrir facsímil")</f>
        <v>Abrir facsímil</v>
      </c>
      <c r="K5649" s="3" t="s">
        <v>23</v>
      </c>
    </row>
    <row r="5650" spans="1:11" ht="42" customHeight="1">
      <c r="A5650" s="2" t="s">
        <v>11357</v>
      </c>
      <c r="B5650" s="2" t="s">
        <v>11357</v>
      </c>
      <c r="C5650" s="2" t="s">
        <v>17</v>
      </c>
      <c r="D5650" s="2" t="s">
        <v>18</v>
      </c>
      <c r="E5650" s="5">
        <v>-28088</v>
      </c>
      <c r="F5650" s="3" t="s">
        <v>542</v>
      </c>
      <c r="G5650" s="3" t="s">
        <v>20</v>
      </c>
      <c r="H5650" s="2" t="s">
        <v>21</v>
      </c>
      <c r="I5650" s="2" t="s">
        <v>11365</v>
      </c>
      <c r="J5650" s="3" t="str">
        <f>HYPERLINK("https://www.boe.es/gazeta/dias/1823/02/04/pdfs/GMD-1823-37.pdf#page=4","Abrir facsímil")</f>
        <v>Abrir facsímil</v>
      </c>
      <c r="K5650" s="3" t="s">
        <v>23</v>
      </c>
    </row>
    <row r="5651" spans="1:11" ht="42" customHeight="1">
      <c r="A5651" s="2" t="s">
        <v>11357</v>
      </c>
      <c r="B5651" s="2" t="s">
        <v>11357</v>
      </c>
      <c r="C5651" s="2" t="s">
        <v>56</v>
      </c>
      <c r="D5651" s="2" t="s">
        <v>57</v>
      </c>
      <c r="E5651" s="5">
        <v>-28087</v>
      </c>
      <c r="F5651" s="3" t="s">
        <v>3125</v>
      </c>
      <c r="G5651" s="3" t="s">
        <v>34</v>
      </c>
      <c r="H5651" s="2" t="s">
        <v>21</v>
      </c>
      <c r="I5651" s="2" t="s">
        <v>11366</v>
      </c>
      <c r="J5651" s="3" t="str">
        <f>HYPERLINK("https://www.boe.es/gazeta/dias/1823/02/05/pdfs/GMD-1823-38.pdf#page=5","Abrir facsímil")</f>
        <v>Abrir facsímil</v>
      </c>
      <c r="K5651" s="3" t="s">
        <v>23</v>
      </c>
    </row>
    <row r="5652" spans="1:11" ht="42" customHeight="1">
      <c r="A5652" s="2" t="s">
        <v>11357</v>
      </c>
      <c r="B5652" s="2" t="s">
        <v>11357</v>
      </c>
      <c r="C5652" s="2" t="s">
        <v>17</v>
      </c>
      <c r="D5652" s="2" t="s">
        <v>18</v>
      </c>
      <c r="E5652" s="5">
        <v>-28086</v>
      </c>
      <c r="F5652" s="3" t="s">
        <v>289</v>
      </c>
      <c r="G5652" s="3" t="s">
        <v>48</v>
      </c>
      <c r="H5652" s="2" t="s">
        <v>21</v>
      </c>
      <c r="I5652" s="2" t="s">
        <v>11367</v>
      </c>
      <c r="J5652" s="3" t="str">
        <f>HYPERLINK("https://www.boe.es/gazeta/dias/1823/02/06/pdfs/GMD-1823-39.pdf#page=3","Abrir facsímil")</f>
        <v>Abrir facsímil</v>
      </c>
      <c r="K5652" s="3" t="s">
        <v>23</v>
      </c>
    </row>
    <row r="5653" spans="1:11" ht="42" customHeight="1">
      <c r="A5653" s="2" t="s">
        <v>11357</v>
      </c>
      <c r="B5653" s="2" t="s">
        <v>11357</v>
      </c>
      <c r="C5653" s="2" t="s">
        <v>17</v>
      </c>
      <c r="D5653" s="2" t="s">
        <v>18</v>
      </c>
      <c r="E5653" s="5">
        <v>-28085</v>
      </c>
      <c r="F5653" s="3" t="s">
        <v>458</v>
      </c>
      <c r="G5653" s="3" t="s">
        <v>27</v>
      </c>
      <c r="H5653" s="2" t="s">
        <v>21</v>
      </c>
      <c r="I5653" s="2" t="s">
        <v>11368</v>
      </c>
      <c r="J5653" s="3" t="str">
        <f>HYPERLINK("https://www.boe.es/gazeta/dias/1823/02/07/pdfs/GMD-1823-40.pdf#page=2","Abrir facsímil")</f>
        <v>Abrir facsímil</v>
      </c>
      <c r="K5653" s="3" t="s">
        <v>23</v>
      </c>
    </row>
    <row r="5654" spans="1:11" ht="42" customHeight="1">
      <c r="A5654" s="2" t="s">
        <v>11357</v>
      </c>
      <c r="B5654" s="2" t="s">
        <v>11357</v>
      </c>
      <c r="C5654" s="2" t="s">
        <v>293</v>
      </c>
      <c r="D5654" s="2" t="s">
        <v>74</v>
      </c>
      <c r="E5654" s="5">
        <v>-28084</v>
      </c>
      <c r="F5654" s="3" t="s">
        <v>1049</v>
      </c>
      <c r="G5654" s="3" t="s">
        <v>3129</v>
      </c>
      <c r="H5654" s="2" t="s">
        <v>21</v>
      </c>
      <c r="I5654" s="2" t="s">
        <v>11369</v>
      </c>
      <c r="J5654" s="3" t="str">
        <f>HYPERLINK("https://www.boe.es/gazeta/dias/1823/02/08/pdfs/GMD-1823-41.pdf#page=2","Abrir facsímil")</f>
        <v>Abrir facsímil</v>
      </c>
      <c r="K5654" s="3" t="s">
        <v>23</v>
      </c>
    </row>
    <row r="5655" spans="1:11" ht="42" customHeight="1">
      <c r="A5655" s="2" t="s">
        <v>11357</v>
      </c>
      <c r="B5655" s="2" t="s">
        <v>11357</v>
      </c>
      <c r="C5655" s="2" t="s">
        <v>109</v>
      </c>
      <c r="D5655" s="2" t="s">
        <v>74</v>
      </c>
      <c r="E5655" s="5">
        <v>-28082</v>
      </c>
      <c r="F5655" s="3" t="s">
        <v>468</v>
      </c>
      <c r="G5655" s="3" t="s">
        <v>48</v>
      </c>
      <c r="H5655" s="2" t="s">
        <v>21</v>
      </c>
      <c r="I5655" s="2" t="s">
        <v>11370</v>
      </c>
      <c r="J5655" s="3" t="str">
        <f>HYPERLINK("https://www.boe.es/gazeta/dias/1823/02/10/pdfs/GMD-1823-44.pdf#page=3","Abrir facsímil")</f>
        <v>Abrir facsímil</v>
      </c>
      <c r="K5655" s="3" t="s">
        <v>23</v>
      </c>
    </row>
    <row r="5656" spans="1:11" ht="42" customHeight="1">
      <c r="A5656" s="2" t="s">
        <v>11357</v>
      </c>
      <c r="B5656" s="2" t="s">
        <v>11357</v>
      </c>
      <c r="C5656" s="2" t="s">
        <v>73</v>
      </c>
      <c r="D5656" s="2" t="s">
        <v>74</v>
      </c>
      <c r="E5656" s="5">
        <v>-28082</v>
      </c>
      <c r="F5656" s="3" t="s">
        <v>468</v>
      </c>
      <c r="G5656" s="3" t="s">
        <v>59</v>
      </c>
      <c r="H5656" s="2" t="s">
        <v>21</v>
      </c>
      <c r="I5656" s="2" t="s">
        <v>11371</v>
      </c>
      <c r="J5656" s="3" t="str">
        <f>HYPERLINK("https://www.boe.es/gazeta/dias/1823/02/10/pdfs/GMD-1823-44.pdf#page=6","Abrir facsímil")</f>
        <v>Abrir facsímil</v>
      </c>
      <c r="K5656" s="3" t="s">
        <v>23</v>
      </c>
    </row>
    <row r="5657" spans="1:11" ht="42" customHeight="1">
      <c r="A5657" s="2" t="s">
        <v>11357</v>
      </c>
      <c r="B5657" s="2" t="s">
        <v>11357</v>
      </c>
      <c r="C5657" s="2" t="s">
        <v>17</v>
      </c>
      <c r="D5657" s="2" t="s">
        <v>18</v>
      </c>
      <c r="E5657" s="5">
        <v>-28081</v>
      </c>
      <c r="F5657" s="3" t="s">
        <v>170</v>
      </c>
      <c r="G5657" s="3" t="s">
        <v>48</v>
      </c>
      <c r="H5657" s="2" t="s">
        <v>21</v>
      </c>
      <c r="I5657" s="2" t="s">
        <v>11372</v>
      </c>
      <c r="J5657" s="3" t="str">
        <f>HYPERLINK("https://www.boe.es/gazeta/dias/1823/02/11/pdfs/GMD-1823-45.pdf#page=3","Abrir facsímil")</f>
        <v>Abrir facsímil</v>
      </c>
      <c r="K5657" s="3" t="s">
        <v>23</v>
      </c>
    </row>
    <row r="5658" spans="1:11" ht="42" customHeight="1">
      <c r="A5658" s="2" t="s">
        <v>11357</v>
      </c>
      <c r="B5658" s="2" t="s">
        <v>11357</v>
      </c>
      <c r="C5658" s="2" t="s">
        <v>56</v>
      </c>
      <c r="D5658" s="2" t="s">
        <v>57</v>
      </c>
      <c r="E5658" s="5">
        <v>-28077</v>
      </c>
      <c r="F5658" s="3" t="s">
        <v>536</v>
      </c>
      <c r="G5658" s="3" t="s">
        <v>39</v>
      </c>
      <c r="H5658" s="2" t="s">
        <v>21</v>
      </c>
      <c r="I5658" s="2" t="s">
        <v>11373</v>
      </c>
      <c r="J5658" s="3" t="str">
        <f>HYPERLINK("https://www.boe.es/gazeta/dias/1823/02/15/pdfs/GMD-1823-49.pdf#page=1","Abrir facsímil")</f>
        <v>Abrir facsímil</v>
      </c>
      <c r="K5658" s="3" t="s">
        <v>23</v>
      </c>
    </row>
    <row r="5659" spans="1:11" ht="42" customHeight="1">
      <c r="A5659" s="2" t="s">
        <v>11374</v>
      </c>
      <c r="B5659" s="2" t="s">
        <v>11374</v>
      </c>
      <c r="C5659" s="2" t="s">
        <v>17</v>
      </c>
      <c r="D5659" s="2" t="s">
        <v>18</v>
      </c>
      <c r="E5659" s="5">
        <v>-28076</v>
      </c>
      <c r="F5659" s="3" t="s">
        <v>1638</v>
      </c>
      <c r="G5659" s="3" t="s">
        <v>20</v>
      </c>
      <c r="H5659" s="2" t="s">
        <v>21</v>
      </c>
      <c r="I5659" s="2" t="s">
        <v>11375</v>
      </c>
      <c r="J5659" s="3" t="str">
        <f>HYPERLINK("https://www.boe.es/gazeta/dias/1823/02/16/pdfs/GMD-1823-50.pdf#page=4","Abrir facsímil")</f>
        <v>Abrir facsímil</v>
      </c>
      <c r="K5659" s="3" t="s">
        <v>23</v>
      </c>
    </row>
    <row r="5660" spans="1:11" ht="42" customHeight="1">
      <c r="A5660" s="2" t="s">
        <v>11357</v>
      </c>
      <c r="B5660" s="2" t="s">
        <v>11357</v>
      </c>
      <c r="C5660" s="2" t="s">
        <v>56</v>
      </c>
      <c r="D5660" s="2" t="s">
        <v>57</v>
      </c>
      <c r="E5660" s="5">
        <v>-28073</v>
      </c>
      <c r="F5660" s="3" t="s">
        <v>204</v>
      </c>
      <c r="G5660" s="3" t="s">
        <v>27</v>
      </c>
      <c r="H5660" s="2" t="s">
        <v>21</v>
      </c>
      <c r="I5660" s="2" t="s">
        <v>11376</v>
      </c>
      <c r="J5660" s="3" t="str">
        <f>HYPERLINK("https://www.boe.es/gazeta/dias/1823/02/19/pdfs/GMD-1823-53.pdf#page=2","Abrir facsímil")</f>
        <v>Abrir facsímil</v>
      </c>
      <c r="K5660" s="3" t="s">
        <v>23</v>
      </c>
    </row>
    <row r="5661" spans="1:11" ht="42" customHeight="1">
      <c r="A5661" s="2" t="s">
        <v>11357</v>
      </c>
      <c r="B5661" s="2" t="s">
        <v>11357</v>
      </c>
      <c r="C5661" s="2" t="s">
        <v>17</v>
      </c>
      <c r="D5661" s="2" t="s">
        <v>18</v>
      </c>
      <c r="E5661" s="5">
        <v>-28061</v>
      </c>
      <c r="F5661" s="3" t="s">
        <v>704</v>
      </c>
      <c r="G5661" s="3" t="s">
        <v>39</v>
      </c>
      <c r="H5661" s="2" t="s">
        <v>21</v>
      </c>
      <c r="I5661" s="2" t="s">
        <v>11377</v>
      </c>
      <c r="J5661" s="3" t="str">
        <f>HYPERLINK("https://www.boe.es/gazeta/dias/1823/03/03/pdfs/GMD-1823-66.pdf#page=1","Abrir facsímil")</f>
        <v>Abrir facsímil</v>
      </c>
      <c r="K5661" s="3" t="s">
        <v>23</v>
      </c>
    </row>
    <row r="5662" spans="1:11" ht="42" customHeight="1">
      <c r="A5662" s="2" t="s">
        <v>11357</v>
      </c>
      <c r="B5662" s="2" t="s">
        <v>11357</v>
      </c>
      <c r="C5662" s="2" t="s">
        <v>56</v>
      </c>
      <c r="D5662" s="2" t="s">
        <v>57</v>
      </c>
      <c r="E5662" s="5">
        <v>-28061</v>
      </c>
      <c r="F5662" s="3" t="s">
        <v>704</v>
      </c>
      <c r="G5662" s="3" t="s">
        <v>27</v>
      </c>
      <c r="H5662" s="2" t="s">
        <v>21</v>
      </c>
      <c r="I5662" s="2" t="s">
        <v>11378</v>
      </c>
      <c r="J5662" s="3" t="str">
        <f>HYPERLINK("https://www.boe.es/gazeta/dias/1823/03/03/pdfs/GMD-1823-66.pdf#page=2","Abrir facsímil")</f>
        <v>Abrir facsímil</v>
      </c>
      <c r="K5662" s="3" t="s">
        <v>23</v>
      </c>
    </row>
    <row r="5663" spans="1:11" ht="42" customHeight="1">
      <c r="A5663" s="2" t="s">
        <v>11357</v>
      </c>
      <c r="B5663" s="2" t="s">
        <v>11357</v>
      </c>
      <c r="C5663" s="2" t="s">
        <v>109</v>
      </c>
      <c r="D5663" s="2" t="s">
        <v>74</v>
      </c>
      <c r="E5663" s="5">
        <v>-28060</v>
      </c>
      <c r="F5663" s="3" t="s">
        <v>180</v>
      </c>
      <c r="G5663" s="3" t="s">
        <v>181</v>
      </c>
      <c r="H5663" s="2" t="s">
        <v>21</v>
      </c>
      <c r="I5663" s="2" t="s">
        <v>11379</v>
      </c>
      <c r="J5663" s="3" t="str">
        <f>HYPERLINK("https://www.boe.es/gazeta/dias/1823/03/04/pdfs/GMD-1823-67.pdf#page=6","Abrir facsímil")</f>
        <v>Abrir facsímil</v>
      </c>
      <c r="K5663" s="3" t="s">
        <v>23</v>
      </c>
    </row>
    <row r="5664" spans="1:11" ht="42" customHeight="1">
      <c r="A5664" s="2" t="s">
        <v>11357</v>
      </c>
      <c r="B5664" s="2" t="s">
        <v>11357</v>
      </c>
      <c r="C5664" s="2" t="s">
        <v>17</v>
      </c>
      <c r="D5664" s="2" t="s">
        <v>18</v>
      </c>
      <c r="E5664" s="5">
        <v>-28059</v>
      </c>
      <c r="F5664" s="3" t="s">
        <v>149</v>
      </c>
      <c r="G5664" s="3" t="s">
        <v>20</v>
      </c>
      <c r="H5664" s="2" t="s">
        <v>21</v>
      </c>
      <c r="I5664" s="2" t="s">
        <v>11380</v>
      </c>
      <c r="J5664" s="3" t="str">
        <f>HYPERLINK("https://www.boe.es/gazeta/dias/1823/03/05/pdfs/GMD-1823-68.pdf#page=4","Abrir facsímil")</f>
        <v>Abrir facsímil</v>
      </c>
      <c r="K5664" s="3" t="s">
        <v>23</v>
      </c>
    </row>
    <row r="5665" spans="1:11" ht="42" customHeight="1">
      <c r="A5665" s="2" t="s">
        <v>11357</v>
      </c>
      <c r="B5665" s="2" t="s">
        <v>11357</v>
      </c>
      <c r="C5665" s="2" t="s">
        <v>79</v>
      </c>
      <c r="D5665" s="2" t="s">
        <v>74</v>
      </c>
      <c r="E5665" s="5">
        <v>-28057</v>
      </c>
      <c r="F5665" s="3" t="s">
        <v>301</v>
      </c>
      <c r="G5665" s="3" t="s">
        <v>20</v>
      </c>
      <c r="H5665" s="2" t="s">
        <v>21</v>
      </c>
      <c r="I5665" s="2" t="s">
        <v>11381</v>
      </c>
      <c r="J5665" s="3" t="str">
        <f>HYPERLINK("https://www.boe.es/gazeta/dias/1823/03/07/pdfs/GMD-1823-70.pdf#page=4","Abrir facsímil")</f>
        <v>Abrir facsímil</v>
      </c>
      <c r="K5665" s="3" t="s">
        <v>23</v>
      </c>
    </row>
    <row r="5666" spans="1:11" ht="42" customHeight="1">
      <c r="A5666" s="2" t="s">
        <v>11357</v>
      </c>
      <c r="B5666" s="2" t="s">
        <v>11357</v>
      </c>
      <c r="C5666" s="2" t="s">
        <v>79</v>
      </c>
      <c r="D5666" s="2" t="s">
        <v>74</v>
      </c>
      <c r="E5666" s="5">
        <v>-28053</v>
      </c>
      <c r="F5666" s="3" t="s">
        <v>303</v>
      </c>
      <c r="G5666" s="3" t="s">
        <v>48</v>
      </c>
      <c r="H5666" s="2" t="s">
        <v>21</v>
      </c>
      <c r="I5666" s="2" t="s">
        <v>11382</v>
      </c>
      <c r="J5666" s="3" t="str">
        <f>HYPERLINK("https://www.boe.es/gazeta/dias/1823/03/11/pdfs/GMD-1823-74.pdf#page=3","Abrir facsímil")</f>
        <v>Abrir facsímil</v>
      </c>
      <c r="K5666" s="3" t="s">
        <v>23</v>
      </c>
    </row>
    <row r="5667" spans="1:11" ht="42" customHeight="1">
      <c r="A5667" s="2" t="s">
        <v>11357</v>
      </c>
      <c r="B5667" s="2" t="s">
        <v>11357</v>
      </c>
      <c r="C5667" s="2" t="s">
        <v>17</v>
      </c>
      <c r="D5667" s="2" t="s">
        <v>18</v>
      </c>
      <c r="E5667" s="5">
        <v>-28052</v>
      </c>
      <c r="F5667" s="3" t="s">
        <v>1025</v>
      </c>
      <c r="G5667" s="3" t="s">
        <v>27</v>
      </c>
      <c r="H5667" s="2" t="s">
        <v>21</v>
      </c>
      <c r="I5667" s="2" t="s">
        <v>11383</v>
      </c>
      <c r="J5667" s="3" t="str">
        <f>HYPERLINK("https://www.boe.es/gazeta/dias/1823/03/12/pdfs/GMD-1823-75.pdf#page=2","Abrir facsímil")</f>
        <v>Abrir facsímil</v>
      </c>
      <c r="K5667" s="3" t="s">
        <v>23</v>
      </c>
    </row>
    <row r="5668" spans="1:11" ht="42" customHeight="1">
      <c r="A5668" s="2" t="s">
        <v>11357</v>
      </c>
      <c r="B5668" s="2" t="s">
        <v>11357</v>
      </c>
      <c r="C5668" s="2" t="s">
        <v>293</v>
      </c>
      <c r="D5668" s="2" t="s">
        <v>74</v>
      </c>
      <c r="E5668" s="5">
        <v>-28052</v>
      </c>
      <c r="F5668" s="3" t="s">
        <v>1025</v>
      </c>
      <c r="G5668" s="3" t="s">
        <v>34</v>
      </c>
      <c r="H5668" s="2" t="s">
        <v>21</v>
      </c>
      <c r="I5668" s="2" t="s">
        <v>11384</v>
      </c>
      <c r="J5668" s="3" t="str">
        <f>HYPERLINK("https://www.boe.es/gazeta/dias/1823/03/12/pdfs/GMD-1823-75.pdf#page=5","Abrir facsímil")</f>
        <v>Abrir facsímil</v>
      </c>
      <c r="K5668" s="3" t="s">
        <v>23</v>
      </c>
    </row>
    <row r="5669" spans="1:11" ht="42" customHeight="1">
      <c r="A5669" s="2" t="s">
        <v>11357</v>
      </c>
      <c r="B5669" s="2" t="s">
        <v>11357</v>
      </c>
      <c r="C5669" s="2" t="s">
        <v>79</v>
      </c>
      <c r="D5669" s="2" t="s">
        <v>74</v>
      </c>
      <c r="E5669" s="5">
        <v>-28051</v>
      </c>
      <c r="F5669" s="3" t="s">
        <v>305</v>
      </c>
      <c r="G5669" s="3" t="s">
        <v>48</v>
      </c>
      <c r="H5669" s="2" t="s">
        <v>21</v>
      </c>
      <c r="I5669" s="2" t="s">
        <v>11385</v>
      </c>
      <c r="J5669" s="3" t="str">
        <f>HYPERLINK("https://www.boe.es/gazeta/dias/1823/03/13/pdfs/GMD-1823-76.pdf#page=3","Abrir facsímil")</f>
        <v>Abrir facsímil</v>
      </c>
      <c r="K5669" s="3" t="s">
        <v>23</v>
      </c>
    </row>
    <row r="5670" spans="1:11" ht="42" customHeight="1">
      <c r="A5670" s="2" t="s">
        <v>11357</v>
      </c>
      <c r="B5670" s="2" t="s">
        <v>11357</v>
      </c>
      <c r="C5670" s="2" t="s">
        <v>79</v>
      </c>
      <c r="D5670" s="2" t="s">
        <v>74</v>
      </c>
      <c r="E5670" s="5">
        <v>-28050</v>
      </c>
      <c r="F5670" s="3" t="s">
        <v>473</v>
      </c>
      <c r="G5670" s="3" t="s">
        <v>20</v>
      </c>
      <c r="H5670" s="2" t="s">
        <v>21</v>
      </c>
      <c r="I5670" s="2" t="s">
        <v>11386</v>
      </c>
      <c r="J5670" s="3" t="str">
        <f>HYPERLINK("https://www.boe.es/gazeta/dias/1823/03/14/pdfs/GMD-1823-77.pdf#page=4","Abrir facsímil")</f>
        <v>Abrir facsímil</v>
      </c>
      <c r="K5670" s="3" t="s">
        <v>23</v>
      </c>
    </row>
    <row r="5671" spans="1:11" ht="42" customHeight="1">
      <c r="A5671" s="2" t="s">
        <v>11357</v>
      </c>
      <c r="B5671" s="2" t="s">
        <v>11357</v>
      </c>
      <c r="C5671" s="2" t="s">
        <v>1477</v>
      </c>
      <c r="D5671" s="2" t="s">
        <v>57</v>
      </c>
      <c r="E5671" s="5">
        <v>-28037</v>
      </c>
      <c r="F5671" s="3" t="s">
        <v>192</v>
      </c>
      <c r="G5671" s="3" t="s">
        <v>48</v>
      </c>
      <c r="H5671" s="2" t="s">
        <v>21</v>
      </c>
      <c r="I5671" s="2" t="s">
        <v>11387</v>
      </c>
      <c r="J5671" s="3" t="str">
        <f>HYPERLINK("https://www.boe.es/gazeta/dias/1823/03/27/pdfs/GMD-1823-90.pdf#page=3","Abrir facsímil")</f>
        <v>Abrir facsímil</v>
      </c>
      <c r="K5671" s="3" t="s">
        <v>23</v>
      </c>
    </row>
    <row r="5672" spans="1:11" ht="42" customHeight="1">
      <c r="A5672" s="2" t="s">
        <v>11357</v>
      </c>
      <c r="B5672" s="2" t="s">
        <v>11357</v>
      </c>
      <c r="C5672" s="2" t="s">
        <v>17</v>
      </c>
      <c r="D5672" s="2" t="s">
        <v>18</v>
      </c>
      <c r="E5672" s="5">
        <v>-28009</v>
      </c>
      <c r="F5672" s="3" t="s">
        <v>307</v>
      </c>
      <c r="G5672" s="3" t="s">
        <v>2107</v>
      </c>
      <c r="H5672" s="2" t="s">
        <v>21</v>
      </c>
      <c r="I5672" s="2" t="s">
        <v>11388</v>
      </c>
      <c r="J5672" s="3" t="str">
        <f>HYPERLINK("https://www.boe.es/gazeta/dias/1823/04/24/pdfs/GES-1823-14.pdf#page=4","Abrir facsímil")</f>
        <v>Abrir facsímil</v>
      </c>
      <c r="K5672" s="3" t="s">
        <v>23</v>
      </c>
    </row>
    <row r="5673" spans="1:11" ht="42" customHeight="1">
      <c r="A5673" s="2" t="s">
        <v>11357</v>
      </c>
      <c r="B5673" s="2" t="s">
        <v>11357</v>
      </c>
      <c r="C5673" s="2" t="s">
        <v>109</v>
      </c>
      <c r="D5673" s="2" t="s">
        <v>74</v>
      </c>
      <c r="E5673" s="5">
        <v>-28006</v>
      </c>
      <c r="F5673" s="3" t="s">
        <v>183</v>
      </c>
      <c r="G5673" s="3" t="s">
        <v>34</v>
      </c>
      <c r="H5673" s="2" t="s">
        <v>21</v>
      </c>
      <c r="I5673" s="2" t="s">
        <v>11389</v>
      </c>
      <c r="J5673" s="3" t="str">
        <f>HYPERLINK("https://www.boe.es/gazeta/dias/1823/04/27/pdfs/GES-1823-17.pdf#page=5","Abrir facsímil")</f>
        <v>Abrir facsímil</v>
      </c>
      <c r="K5673" s="3" t="s">
        <v>23</v>
      </c>
    </row>
    <row r="5674" spans="1:11" ht="42" customHeight="1">
      <c r="A5674" s="2" t="s">
        <v>11357</v>
      </c>
      <c r="B5674" s="2" t="s">
        <v>11357</v>
      </c>
      <c r="C5674" s="2" t="s">
        <v>56</v>
      </c>
      <c r="D5674" s="2" t="s">
        <v>57</v>
      </c>
      <c r="E5674" s="5">
        <v>-28004</v>
      </c>
      <c r="F5674" s="3" t="s">
        <v>33</v>
      </c>
      <c r="G5674" s="3" t="s">
        <v>27</v>
      </c>
      <c r="H5674" s="2" t="s">
        <v>21</v>
      </c>
      <c r="I5674" s="2" t="s">
        <v>11390</v>
      </c>
      <c r="J5674" s="3" t="str">
        <f>HYPERLINK("https://www.boe.es/gazeta/dias/1823/04/29/pdfs/GES-1823-19.pdf#page=2","Abrir facsímil")</f>
        <v>Abrir facsímil</v>
      </c>
      <c r="K5674" s="3" t="s">
        <v>23</v>
      </c>
    </row>
    <row r="5675" spans="1:11" ht="42" customHeight="1">
      <c r="A5675" s="2" t="s">
        <v>11357</v>
      </c>
      <c r="B5675" s="2" t="s">
        <v>11357</v>
      </c>
      <c r="C5675" s="2" t="s">
        <v>109</v>
      </c>
      <c r="D5675" s="2" t="s">
        <v>74</v>
      </c>
      <c r="E5675" s="5">
        <v>-28004</v>
      </c>
      <c r="F5675" s="3" t="s">
        <v>313</v>
      </c>
      <c r="G5675" s="3" t="s">
        <v>48</v>
      </c>
      <c r="H5675" s="2" t="s">
        <v>21</v>
      </c>
      <c r="I5675" s="2" t="s">
        <v>11391</v>
      </c>
      <c r="J5675" s="3" t="str">
        <f>HYPERLINK("https://www.boe.es/gazeta/dias/1823/04/29/pdfs/GMD-1823-72.pdf#page=3","Abrir facsímil")</f>
        <v>Abrir facsímil</v>
      </c>
      <c r="K5675" s="3" t="s">
        <v>23</v>
      </c>
    </row>
    <row r="5676" spans="1:11" ht="42" customHeight="1">
      <c r="A5676" s="2" t="s">
        <v>11357</v>
      </c>
      <c r="B5676" s="2" t="s">
        <v>11357</v>
      </c>
      <c r="C5676" s="2" t="s">
        <v>56</v>
      </c>
      <c r="D5676" s="2" t="s">
        <v>57</v>
      </c>
      <c r="E5676" s="5">
        <v>-28002</v>
      </c>
      <c r="F5676" s="3" t="s">
        <v>315</v>
      </c>
      <c r="G5676" s="3" t="s">
        <v>27</v>
      </c>
      <c r="H5676" s="2" t="s">
        <v>21</v>
      </c>
      <c r="I5676" s="2" t="s">
        <v>11392</v>
      </c>
      <c r="J5676" s="3" t="str">
        <f>HYPERLINK("https://www.boe.es/gazeta/dias/1823/05/01/pdfs/GES-1823-21.pdf#page=2","Abrir facsímil")</f>
        <v>Abrir facsímil</v>
      </c>
      <c r="K5676" s="3" t="s">
        <v>23</v>
      </c>
    </row>
    <row r="5677" spans="1:11" ht="42" customHeight="1">
      <c r="A5677" s="2" t="s">
        <v>11357</v>
      </c>
      <c r="B5677" s="2" t="s">
        <v>11357</v>
      </c>
      <c r="C5677" s="2" t="s">
        <v>17</v>
      </c>
      <c r="D5677" s="2" t="s">
        <v>18</v>
      </c>
      <c r="E5677" s="5">
        <v>-28002</v>
      </c>
      <c r="F5677" s="3" t="s">
        <v>315</v>
      </c>
      <c r="G5677" s="3" t="s">
        <v>48</v>
      </c>
      <c r="H5677" s="2" t="s">
        <v>21</v>
      </c>
      <c r="I5677" s="2" t="s">
        <v>11393</v>
      </c>
      <c r="J5677" s="3" t="str">
        <f>HYPERLINK("https://www.boe.es/gazeta/dias/1823/05/01/pdfs/GES-1823-21.pdf#page=3","Abrir facsímil")</f>
        <v>Abrir facsímil</v>
      </c>
      <c r="K5677" s="3" t="s">
        <v>23</v>
      </c>
    </row>
    <row r="5678" spans="1:11" ht="42" customHeight="1">
      <c r="A5678" s="2" t="s">
        <v>11357</v>
      </c>
      <c r="B5678" s="2" t="s">
        <v>11357</v>
      </c>
      <c r="C5678" s="2" t="s">
        <v>109</v>
      </c>
      <c r="D5678" s="2" t="s">
        <v>74</v>
      </c>
      <c r="E5678" s="5">
        <v>-27997</v>
      </c>
      <c r="F5678" s="3" t="s">
        <v>317</v>
      </c>
      <c r="G5678" s="3" t="s">
        <v>39</v>
      </c>
      <c r="H5678" s="2" t="s">
        <v>21</v>
      </c>
      <c r="I5678" s="2" t="s">
        <v>11394</v>
      </c>
      <c r="J5678" s="3" t="str">
        <f>HYPERLINK("https://www.boe.es/gazeta/dias/1823/05/06/pdfs/GES-1823-26.pdf#page=1","Abrir facsímil")</f>
        <v>Abrir facsímil</v>
      </c>
      <c r="K5678" s="3" t="s">
        <v>23</v>
      </c>
    </row>
    <row r="5679" spans="1:11" ht="42" customHeight="1">
      <c r="A5679" s="2" t="s">
        <v>11357</v>
      </c>
      <c r="B5679" s="2" t="s">
        <v>11357</v>
      </c>
      <c r="C5679" s="2" t="s">
        <v>73</v>
      </c>
      <c r="D5679" s="2" t="s">
        <v>74</v>
      </c>
      <c r="E5679" s="5">
        <v>-27997</v>
      </c>
      <c r="F5679" s="3" t="s">
        <v>937</v>
      </c>
      <c r="G5679" s="3" t="s">
        <v>48</v>
      </c>
      <c r="H5679" s="2" t="s">
        <v>21</v>
      </c>
      <c r="I5679" s="2" t="s">
        <v>11395</v>
      </c>
      <c r="J5679" s="3" t="str">
        <f>HYPERLINK("https://www.boe.es/gazeta/dias/1823/05/06/pdfs/GMD-1823-102.pdf#page=3","Abrir facsímil")</f>
        <v>Abrir facsímil</v>
      </c>
      <c r="K5679" s="3" t="s">
        <v>23</v>
      </c>
    </row>
    <row r="5680" spans="1:11" ht="42" customHeight="1">
      <c r="A5680" s="2" t="s">
        <v>11357</v>
      </c>
      <c r="B5680" s="2" t="s">
        <v>11357</v>
      </c>
      <c r="C5680" s="2" t="s">
        <v>17</v>
      </c>
      <c r="D5680" s="2" t="s">
        <v>18</v>
      </c>
      <c r="E5680" s="5">
        <v>-27995</v>
      </c>
      <c r="F5680" s="3" t="s">
        <v>326</v>
      </c>
      <c r="G5680" s="3" t="s">
        <v>27</v>
      </c>
      <c r="H5680" s="2" t="s">
        <v>21</v>
      </c>
      <c r="I5680" s="2" t="s">
        <v>11396</v>
      </c>
      <c r="J5680" s="3" t="str">
        <f>HYPERLINK("https://www.boe.es/gazeta/dias/1823/05/08/pdfs/GMD-1823-112.pdf#page=2","Abrir facsímil")</f>
        <v>Abrir facsímil</v>
      </c>
      <c r="K5680" s="3" t="s">
        <v>23</v>
      </c>
    </row>
    <row r="5681" spans="1:11" ht="42" customHeight="1">
      <c r="A5681" s="2" t="s">
        <v>11397</v>
      </c>
      <c r="B5681" s="2" t="s">
        <v>11397</v>
      </c>
      <c r="C5681" s="2" t="s">
        <v>56</v>
      </c>
      <c r="D5681" s="2" t="s">
        <v>57</v>
      </c>
      <c r="E5681" s="5">
        <v>-27993</v>
      </c>
      <c r="F5681" s="3" t="s">
        <v>1062</v>
      </c>
      <c r="G5681" s="3" t="s">
        <v>48</v>
      </c>
      <c r="H5681" s="2" t="s">
        <v>21</v>
      </c>
      <c r="I5681" s="2" t="s">
        <v>11398</v>
      </c>
      <c r="J5681" s="3" t="str">
        <f>HYPERLINK("https://www.boe.es/gazeta/dias/1823/05/10/pdfs/GMD-1823-122.pdf#page=3","Abrir facsímil")</f>
        <v>Abrir facsímil</v>
      </c>
      <c r="K5681" s="3" t="s">
        <v>23</v>
      </c>
    </row>
    <row r="5682" spans="1:11" ht="42" customHeight="1">
      <c r="A5682" s="2" t="s">
        <v>11357</v>
      </c>
      <c r="B5682" s="2" t="s">
        <v>11357</v>
      </c>
      <c r="C5682" s="2" t="s">
        <v>17</v>
      </c>
      <c r="D5682" s="2" t="s">
        <v>18</v>
      </c>
      <c r="E5682" s="5">
        <v>-27992</v>
      </c>
      <c r="F5682" s="3" t="s">
        <v>565</v>
      </c>
      <c r="G5682" s="3" t="s">
        <v>20</v>
      </c>
      <c r="H5682" s="2" t="s">
        <v>21</v>
      </c>
      <c r="I5682" s="2" t="s">
        <v>11399</v>
      </c>
      <c r="J5682" s="3" t="str">
        <f>HYPERLINK("https://www.boe.es/gazeta/dias/1823/05/11/pdfs/GES-1823-31.pdf#page=4","Abrir facsímil")</f>
        <v>Abrir facsímil</v>
      </c>
      <c r="K5682" s="3" t="s">
        <v>23</v>
      </c>
    </row>
    <row r="5683" spans="1:11" ht="42" customHeight="1">
      <c r="A5683" s="2" t="s">
        <v>11397</v>
      </c>
      <c r="B5683" s="2" t="s">
        <v>11397</v>
      </c>
      <c r="C5683" s="2" t="s">
        <v>56</v>
      </c>
      <c r="D5683" s="2" t="s">
        <v>57</v>
      </c>
      <c r="E5683" s="5">
        <v>-27990</v>
      </c>
      <c r="F5683" s="3" t="s">
        <v>330</v>
      </c>
      <c r="G5683" s="3" t="s">
        <v>39</v>
      </c>
      <c r="H5683" s="2" t="s">
        <v>21</v>
      </c>
      <c r="I5683" s="2" t="s">
        <v>11400</v>
      </c>
      <c r="J5683" s="3" t="str">
        <f>HYPERLINK("https://www.boe.es/gazeta/dias/1823/05/13/pdfs/GMD-1823-132.pdf#page=1","Abrir facsímil")</f>
        <v>Abrir facsímil</v>
      </c>
      <c r="K5683" s="3" t="s">
        <v>23</v>
      </c>
    </row>
    <row r="5684" spans="1:11" ht="42" customHeight="1">
      <c r="A5684" s="2" t="s">
        <v>11397</v>
      </c>
      <c r="B5684" s="2" t="s">
        <v>11397</v>
      </c>
      <c r="C5684" s="2" t="s">
        <v>56</v>
      </c>
      <c r="D5684" s="2" t="s">
        <v>57</v>
      </c>
      <c r="E5684" s="5">
        <v>-27986</v>
      </c>
      <c r="F5684" s="3" t="s">
        <v>607</v>
      </c>
      <c r="G5684" s="3" t="s">
        <v>39</v>
      </c>
      <c r="H5684" s="2" t="s">
        <v>21</v>
      </c>
      <c r="I5684" s="2" t="s">
        <v>11401</v>
      </c>
      <c r="J5684" s="3" t="str">
        <f>HYPERLINK("https://www.boe.es/gazeta/dias/1823/05/17/pdfs/GMD-1823-152.pdf#page=1","Abrir facsímil")</f>
        <v>Abrir facsímil</v>
      </c>
      <c r="K5684" s="3" t="s">
        <v>23</v>
      </c>
    </row>
    <row r="5685" spans="1:11" ht="42" customHeight="1">
      <c r="A5685" s="2" t="s">
        <v>11397</v>
      </c>
      <c r="B5685" s="2" t="s">
        <v>11397</v>
      </c>
      <c r="C5685" s="2" t="s">
        <v>56</v>
      </c>
      <c r="D5685" s="2" t="s">
        <v>57</v>
      </c>
      <c r="E5685" s="5">
        <v>-27982</v>
      </c>
      <c r="F5685" s="3" t="s">
        <v>340</v>
      </c>
      <c r="G5685" s="3" t="s">
        <v>39</v>
      </c>
      <c r="H5685" s="2" t="s">
        <v>21</v>
      </c>
      <c r="I5685" s="2" t="s">
        <v>11402</v>
      </c>
      <c r="J5685" s="3" t="str">
        <f>HYPERLINK("https://www.boe.es/gazeta/dias/1823/05/21/pdfs/GES-1823-42.pdf#page=1","Abrir facsímil")</f>
        <v>Abrir facsímil</v>
      </c>
      <c r="K5685" s="3" t="s">
        <v>23</v>
      </c>
    </row>
    <row r="5686" spans="1:11" ht="42" customHeight="1">
      <c r="A5686" s="2" t="s">
        <v>11397</v>
      </c>
      <c r="B5686" s="2" t="s">
        <v>11397</v>
      </c>
      <c r="C5686" s="2" t="s">
        <v>17</v>
      </c>
      <c r="D5686" s="2" t="s">
        <v>18</v>
      </c>
      <c r="E5686" s="5">
        <v>-27981</v>
      </c>
      <c r="F5686" s="3" t="s">
        <v>1521</v>
      </c>
      <c r="G5686" s="3" t="s">
        <v>2395</v>
      </c>
      <c r="H5686" s="2" t="s">
        <v>21</v>
      </c>
      <c r="I5686" s="2" t="s">
        <v>11403</v>
      </c>
      <c r="J5686" s="3" t="str">
        <f>HYPERLINK("https://www.boe.es/gazeta/dias/1823/05/22/pdfs/GES-1823-43.pdf#page=2","Abrir facsímil")</f>
        <v>Abrir facsímil</v>
      </c>
      <c r="K5686" s="3" t="s">
        <v>23</v>
      </c>
    </row>
    <row r="5687" spans="1:11" ht="42" customHeight="1">
      <c r="A5687" s="2" t="s">
        <v>11397</v>
      </c>
      <c r="B5687" s="2" t="s">
        <v>11397</v>
      </c>
      <c r="C5687" s="2" t="s">
        <v>17</v>
      </c>
      <c r="D5687" s="2" t="s">
        <v>18</v>
      </c>
      <c r="E5687" s="5">
        <v>-27980</v>
      </c>
      <c r="F5687" s="3" t="s">
        <v>1068</v>
      </c>
      <c r="G5687" s="3" t="s">
        <v>39</v>
      </c>
      <c r="H5687" s="2" t="s">
        <v>21</v>
      </c>
      <c r="I5687" s="2" t="s">
        <v>11404</v>
      </c>
      <c r="J5687" s="3" t="str">
        <f>HYPERLINK("https://www.boe.es/gazeta/dias/1823/05/23/pdfs/GES-1823-44.pdf#page=1","Abrir facsímil")</f>
        <v>Abrir facsímil</v>
      </c>
      <c r="K5687" s="3" t="s">
        <v>23</v>
      </c>
    </row>
    <row r="5688" spans="1:11" ht="42" customHeight="1">
      <c r="A5688" s="2" t="s">
        <v>11397</v>
      </c>
      <c r="B5688" s="2" t="s">
        <v>11397</v>
      </c>
      <c r="C5688" s="2" t="s">
        <v>109</v>
      </c>
      <c r="D5688" s="2" t="s">
        <v>74</v>
      </c>
      <c r="E5688" s="5">
        <v>-27975</v>
      </c>
      <c r="F5688" s="3" t="s">
        <v>47</v>
      </c>
      <c r="G5688" s="3" t="s">
        <v>39</v>
      </c>
      <c r="H5688" s="2" t="s">
        <v>21</v>
      </c>
      <c r="I5688" s="2" t="s">
        <v>11405</v>
      </c>
      <c r="J5688" s="3" t="str">
        <f>HYPERLINK("https://www.boe.es/gazeta/dias/1823/05/28/pdfs/GES-1823-50.pdf#page=1","Abrir facsímil")</f>
        <v>Abrir facsímil</v>
      </c>
      <c r="K5688" s="3" t="s">
        <v>23</v>
      </c>
    </row>
    <row r="5689" spans="1:11" ht="42" customHeight="1">
      <c r="A5689" s="2" t="s">
        <v>11357</v>
      </c>
      <c r="B5689" s="2" t="s">
        <v>11357</v>
      </c>
      <c r="C5689" s="2" t="s">
        <v>17</v>
      </c>
      <c r="D5689" s="2" t="s">
        <v>18</v>
      </c>
      <c r="E5689" s="5">
        <v>-27972</v>
      </c>
      <c r="F5689" s="3" t="s">
        <v>1515</v>
      </c>
      <c r="G5689" s="3" t="s">
        <v>27</v>
      </c>
      <c r="H5689" s="2" t="s">
        <v>21</v>
      </c>
      <c r="I5689" s="2" t="s">
        <v>11406</v>
      </c>
      <c r="J5689" s="3" t="str">
        <f>HYPERLINK("https://www.boe.es/gazeta/dias/1823/05/31/pdfs/GMD-1823-33.pdf#page=2","Abrir facsímil")</f>
        <v>Abrir facsímil</v>
      </c>
      <c r="K5689" s="3" t="s">
        <v>23</v>
      </c>
    </row>
    <row r="5690" spans="1:11" ht="42" customHeight="1">
      <c r="A5690" s="2" t="s">
        <v>11357</v>
      </c>
      <c r="B5690" s="2" t="s">
        <v>11357</v>
      </c>
      <c r="C5690" s="2" t="s">
        <v>56</v>
      </c>
      <c r="D5690" s="2" t="s">
        <v>57</v>
      </c>
      <c r="E5690" s="5">
        <v>-27968</v>
      </c>
      <c r="F5690" s="3" t="s">
        <v>1160</v>
      </c>
      <c r="G5690" s="3" t="s">
        <v>27</v>
      </c>
      <c r="H5690" s="2" t="s">
        <v>21</v>
      </c>
      <c r="I5690" s="2" t="s">
        <v>11407</v>
      </c>
      <c r="J5690" s="3" t="str">
        <f>HYPERLINK("https://www.boe.es/gazeta/dias/1823/06/04/pdfs/GES-1823-58.pdf#page=2","Abrir facsímil")</f>
        <v>Abrir facsímil</v>
      </c>
      <c r="K5690" s="3" t="s">
        <v>23</v>
      </c>
    </row>
    <row r="5691" spans="1:11" ht="42" customHeight="1">
      <c r="A5691" s="2" t="s">
        <v>11357</v>
      </c>
      <c r="B5691" s="2" t="s">
        <v>11357</v>
      </c>
      <c r="C5691" s="2" t="s">
        <v>79</v>
      </c>
      <c r="D5691" s="2" t="s">
        <v>74</v>
      </c>
      <c r="E5691" s="5">
        <v>-27964</v>
      </c>
      <c r="F5691" s="3" t="s">
        <v>58</v>
      </c>
      <c r="G5691" s="3" t="s">
        <v>39</v>
      </c>
      <c r="H5691" s="2" t="s">
        <v>21</v>
      </c>
      <c r="I5691" s="2" t="s">
        <v>11408</v>
      </c>
      <c r="J5691" s="3" t="str">
        <f>HYPERLINK("https://www.boe.es/gazeta/dias/1823/06/08/pdfs/GES-1823-62.pdf#page=1","Abrir facsímil")</f>
        <v>Abrir facsímil</v>
      </c>
      <c r="K5691" s="3" t="s">
        <v>23</v>
      </c>
    </row>
    <row r="5692" spans="1:11" ht="42" customHeight="1">
      <c r="A5692" s="2" t="s">
        <v>11357</v>
      </c>
      <c r="B5692" s="2" t="s">
        <v>11357</v>
      </c>
      <c r="C5692" s="2" t="s">
        <v>79</v>
      </c>
      <c r="D5692" s="2" t="s">
        <v>74</v>
      </c>
      <c r="E5692" s="5">
        <v>-27951</v>
      </c>
      <c r="F5692" s="3" t="s">
        <v>548</v>
      </c>
      <c r="G5692" s="3" t="s">
        <v>39</v>
      </c>
      <c r="H5692" s="2" t="s">
        <v>21</v>
      </c>
      <c r="I5692" s="2" t="s">
        <v>11409</v>
      </c>
      <c r="J5692" s="3" t="str">
        <f>HYPERLINK("https://www.boe.es/gazeta/dias/1823/06/21/pdfs/GES-1823-69.pdf#page=1","Abrir facsímil")</f>
        <v>Abrir facsímil</v>
      </c>
      <c r="K5692" s="3" t="s">
        <v>23</v>
      </c>
    </row>
    <row r="5693" spans="1:11" ht="42" customHeight="1">
      <c r="A5693" s="2" t="s">
        <v>11357</v>
      </c>
      <c r="B5693" s="2" t="s">
        <v>11357</v>
      </c>
      <c r="C5693" s="2" t="s">
        <v>79</v>
      </c>
      <c r="D5693" s="2" t="s">
        <v>74</v>
      </c>
      <c r="E5693" s="5">
        <v>-27951</v>
      </c>
      <c r="F5693" s="3" t="s">
        <v>548</v>
      </c>
      <c r="G5693" s="3" t="s">
        <v>27</v>
      </c>
      <c r="H5693" s="2" t="s">
        <v>21</v>
      </c>
      <c r="I5693" s="2" t="s">
        <v>11410</v>
      </c>
      <c r="J5693" s="3" t="str">
        <f>HYPERLINK("https://www.boe.es/gazeta/dias/1823/06/21/pdfs/GES-1823-69.pdf#page=2","Abrir facsímil")</f>
        <v>Abrir facsímil</v>
      </c>
      <c r="K5693" s="3" t="s">
        <v>23</v>
      </c>
    </row>
    <row r="5694" spans="1:11" ht="42" customHeight="1">
      <c r="A5694" s="2" t="s">
        <v>11357</v>
      </c>
      <c r="B5694" s="2" t="s">
        <v>11357</v>
      </c>
      <c r="C5694" s="2" t="s">
        <v>56</v>
      </c>
      <c r="D5694" s="2" t="s">
        <v>57</v>
      </c>
      <c r="E5694" s="5">
        <v>-27944</v>
      </c>
      <c r="F5694" s="3" t="s">
        <v>2823</v>
      </c>
      <c r="G5694" s="3" t="s">
        <v>39</v>
      </c>
      <c r="H5694" s="2" t="s">
        <v>21</v>
      </c>
      <c r="I5694" s="2" t="s">
        <v>11411</v>
      </c>
      <c r="J5694" s="3" t="str">
        <f>HYPERLINK("https://www.boe.es/gazeta/dias/1823/06/28/pdfs/GES-1823-78.pdf#page=1","Abrir facsímil")</f>
        <v>Abrir facsímil</v>
      </c>
      <c r="K5694" s="3" t="s">
        <v>23</v>
      </c>
    </row>
    <row r="5695" spans="1:11" ht="42" customHeight="1">
      <c r="A5695" s="2" t="s">
        <v>11357</v>
      </c>
      <c r="B5695" s="2" t="s">
        <v>11357</v>
      </c>
      <c r="C5695" s="2" t="s">
        <v>79</v>
      </c>
      <c r="D5695" s="2" t="s">
        <v>74</v>
      </c>
      <c r="E5695" s="5">
        <v>-27943</v>
      </c>
      <c r="F5695" s="3" t="s">
        <v>346</v>
      </c>
      <c r="G5695" s="3" t="s">
        <v>20</v>
      </c>
      <c r="H5695" s="2" t="s">
        <v>21</v>
      </c>
      <c r="I5695" s="2" t="s">
        <v>11412</v>
      </c>
      <c r="J5695" s="3" t="str">
        <f>HYPERLINK("https://www.boe.es/gazeta/dias/1823/06/29/pdfs/GES-1823-79.pdf#page=4","Abrir facsímil")</f>
        <v>Abrir facsímil</v>
      </c>
      <c r="K5695" s="3" t="s">
        <v>23</v>
      </c>
    </row>
    <row r="5696" spans="1:11" ht="42" customHeight="1">
      <c r="A5696" s="2" t="s">
        <v>11357</v>
      </c>
      <c r="B5696" s="2" t="s">
        <v>11357</v>
      </c>
      <c r="C5696" s="2" t="s">
        <v>56</v>
      </c>
      <c r="D5696" s="2" t="s">
        <v>57</v>
      </c>
      <c r="E5696" s="5">
        <v>-27942</v>
      </c>
      <c r="F5696" s="3" t="s">
        <v>596</v>
      </c>
      <c r="G5696" s="3" t="s">
        <v>48</v>
      </c>
      <c r="H5696" s="2" t="s">
        <v>21</v>
      </c>
      <c r="I5696" s="2" t="s">
        <v>11413</v>
      </c>
      <c r="J5696" s="3" t="str">
        <f>HYPERLINK("https://www.boe.es/gazeta/dias/1823/06/30/pdfs/GES-1823-80.pdf#page=3","Abrir facsímil")</f>
        <v>Abrir facsímil</v>
      </c>
      <c r="K5696" s="3" t="s">
        <v>23</v>
      </c>
    </row>
    <row r="5697" spans="1:11" ht="42" customHeight="1">
      <c r="A5697" s="2" t="s">
        <v>11357</v>
      </c>
      <c r="B5697" s="2" t="s">
        <v>11357</v>
      </c>
      <c r="C5697" s="2" t="s">
        <v>109</v>
      </c>
      <c r="D5697" s="2" t="s">
        <v>74</v>
      </c>
      <c r="E5697" s="5">
        <v>-27941</v>
      </c>
      <c r="F5697" s="3" t="s">
        <v>527</v>
      </c>
      <c r="G5697" s="3" t="s">
        <v>39</v>
      </c>
      <c r="H5697" s="2" t="s">
        <v>21</v>
      </c>
      <c r="I5697" s="2" t="s">
        <v>11414</v>
      </c>
      <c r="J5697" s="3" t="str">
        <f>HYPERLINK("https://www.boe.es/gazeta/dias/1823/07/01/pdfs/GES-1823-81.pdf#page=1","Abrir facsímil")</f>
        <v>Abrir facsímil</v>
      </c>
      <c r="K5697" s="3" t="s">
        <v>23</v>
      </c>
    </row>
    <row r="5698" spans="1:11" ht="42" customHeight="1">
      <c r="A5698" s="2" t="s">
        <v>11357</v>
      </c>
      <c r="B5698" s="2" t="s">
        <v>11357</v>
      </c>
      <c r="C5698" s="2" t="s">
        <v>293</v>
      </c>
      <c r="D5698" s="2" t="s">
        <v>74</v>
      </c>
      <c r="E5698" s="5">
        <v>-27935</v>
      </c>
      <c r="F5698" s="3" t="s">
        <v>350</v>
      </c>
      <c r="G5698" s="3" t="s">
        <v>48</v>
      </c>
      <c r="H5698" s="2" t="s">
        <v>21</v>
      </c>
      <c r="I5698" s="2" t="s">
        <v>11415</v>
      </c>
      <c r="J5698" s="3" t="str">
        <f>HYPERLINK("https://www.boe.es/gazeta/dias/1823/07/07/pdfs/GES-1823-87.pdf#page=3","Abrir facsímil")</f>
        <v>Abrir facsímil</v>
      </c>
      <c r="K5698" s="3" t="s">
        <v>23</v>
      </c>
    </row>
    <row r="5699" spans="1:11" ht="42" customHeight="1">
      <c r="A5699" s="2" t="s">
        <v>11374</v>
      </c>
      <c r="B5699" s="2" t="s">
        <v>11374</v>
      </c>
      <c r="C5699" s="2" t="s">
        <v>293</v>
      </c>
      <c r="D5699" s="2" t="s">
        <v>74</v>
      </c>
      <c r="E5699" s="5">
        <v>-27934</v>
      </c>
      <c r="F5699" s="3" t="s">
        <v>2155</v>
      </c>
      <c r="G5699" s="3" t="s">
        <v>48</v>
      </c>
      <c r="H5699" s="2" t="s">
        <v>21</v>
      </c>
      <c r="I5699" s="2" t="s">
        <v>11416</v>
      </c>
      <c r="J5699" s="3" t="str">
        <f>HYPERLINK("https://www.boe.es/gazeta/dias/1823/07/08/pdfs/GES-1823-88.pdf#page=3","Abrir facsímil")</f>
        <v>Abrir facsímil</v>
      </c>
      <c r="K5699" s="3" t="s">
        <v>23</v>
      </c>
    </row>
    <row r="5700" spans="1:11" ht="42" customHeight="1">
      <c r="A5700" s="2" t="s">
        <v>11357</v>
      </c>
      <c r="B5700" s="2" t="s">
        <v>11357</v>
      </c>
      <c r="C5700" s="2" t="s">
        <v>17</v>
      </c>
      <c r="D5700" s="2" t="s">
        <v>18</v>
      </c>
      <c r="E5700" s="5">
        <v>-27923</v>
      </c>
      <c r="F5700" s="3" t="s">
        <v>354</v>
      </c>
      <c r="G5700" s="3" t="s">
        <v>39</v>
      </c>
      <c r="H5700" s="2" t="s">
        <v>21</v>
      </c>
      <c r="I5700" s="2" t="s">
        <v>11417</v>
      </c>
      <c r="J5700" s="3" t="str">
        <f>HYPERLINK("https://www.boe.es/gazeta/dias/1823/07/19/pdfs/GES-1823-100.pdf#page=1","Abrir facsímil")</f>
        <v>Abrir facsímil</v>
      </c>
      <c r="K5700" s="3" t="s">
        <v>23</v>
      </c>
    </row>
    <row r="5701" spans="1:11" ht="42" customHeight="1">
      <c r="A5701" s="2" t="s">
        <v>11357</v>
      </c>
      <c r="B5701" s="2" t="s">
        <v>11357</v>
      </c>
      <c r="C5701" s="2" t="s">
        <v>56</v>
      </c>
      <c r="D5701" s="2" t="s">
        <v>57</v>
      </c>
      <c r="E5701" s="5">
        <v>-27922</v>
      </c>
      <c r="F5701" s="3" t="s">
        <v>1959</v>
      </c>
      <c r="G5701" s="3" t="s">
        <v>27</v>
      </c>
      <c r="H5701" s="2" t="s">
        <v>21</v>
      </c>
      <c r="I5701" s="2" t="s">
        <v>11418</v>
      </c>
      <c r="J5701" s="3" t="str">
        <f>HYPERLINK("https://www.boe.es/gazeta/dias/1823/07/20/pdfs/GES-1823-101.pdf#page=2","Abrir facsímil")</f>
        <v>Abrir facsímil</v>
      </c>
      <c r="K5701" s="3" t="s">
        <v>23</v>
      </c>
    </row>
    <row r="5702" spans="1:11" ht="42" customHeight="1">
      <c r="A5702" s="2" t="s">
        <v>11374</v>
      </c>
      <c r="B5702" s="2" t="s">
        <v>11374</v>
      </c>
      <c r="C5702" s="2" t="s">
        <v>109</v>
      </c>
      <c r="D5702" s="2" t="s">
        <v>74</v>
      </c>
      <c r="E5702" s="5">
        <v>-27921</v>
      </c>
      <c r="F5702" s="3" t="s">
        <v>356</v>
      </c>
      <c r="G5702" s="3" t="s">
        <v>27</v>
      </c>
      <c r="H5702" s="2" t="s">
        <v>21</v>
      </c>
      <c r="I5702" s="2" t="s">
        <v>11419</v>
      </c>
      <c r="J5702" s="3" t="str">
        <f>HYPERLINK("https://www.boe.es/gazeta/dias/1823/07/21/pdfs/GES-1823-102.pdf#page=2","Abrir facsímil")</f>
        <v>Abrir facsímil</v>
      </c>
      <c r="K5702" s="3" t="s">
        <v>23</v>
      </c>
    </row>
    <row r="5703" spans="1:11" ht="42" customHeight="1">
      <c r="A5703" s="2" t="s">
        <v>11357</v>
      </c>
      <c r="B5703" s="2" t="s">
        <v>11357</v>
      </c>
      <c r="C5703" s="2" t="s">
        <v>56</v>
      </c>
      <c r="D5703" s="2" t="s">
        <v>57</v>
      </c>
      <c r="E5703" s="5">
        <v>-27920</v>
      </c>
      <c r="F5703" s="3" t="s">
        <v>358</v>
      </c>
      <c r="G5703" s="3" t="s">
        <v>39</v>
      </c>
      <c r="H5703" s="2" t="s">
        <v>21</v>
      </c>
      <c r="I5703" s="2" t="s">
        <v>11420</v>
      </c>
      <c r="J5703" s="3" t="str">
        <f>HYPERLINK("https://www.boe.es/gazeta/dias/1823/07/22/pdfs/GES-1823-103.pdf#page=1","Abrir facsímil")</f>
        <v>Abrir facsímil</v>
      </c>
      <c r="K5703" s="3" t="s">
        <v>23</v>
      </c>
    </row>
    <row r="5704" spans="1:11" ht="42" customHeight="1">
      <c r="A5704" s="2" t="s">
        <v>11357</v>
      </c>
      <c r="B5704" s="2" t="s">
        <v>11357</v>
      </c>
      <c r="C5704" s="2" t="s">
        <v>17</v>
      </c>
      <c r="D5704" s="2" t="s">
        <v>18</v>
      </c>
      <c r="E5704" s="5">
        <v>-27920</v>
      </c>
      <c r="F5704" s="3" t="s">
        <v>358</v>
      </c>
      <c r="G5704" s="3" t="s">
        <v>27</v>
      </c>
      <c r="H5704" s="2" t="s">
        <v>21</v>
      </c>
      <c r="I5704" s="2" t="s">
        <v>11421</v>
      </c>
      <c r="J5704" s="3" t="str">
        <f>HYPERLINK("https://www.boe.es/gazeta/dias/1823/07/22/pdfs/GES-1823-103.pdf#page=2","Abrir facsímil")</f>
        <v>Abrir facsímil</v>
      </c>
      <c r="K5704" s="3" t="s">
        <v>23</v>
      </c>
    </row>
    <row r="5705" spans="1:11" ht="42" customHeight="1">
      <c r="A5705" s="2" t="s">
        <v>11357</v>
      </c>
      <c r="B5705" s="2" t="s">
        <v>11357</v>
      </c>
      <c r="C5705" s="2" t="s">
        <v>109</v>
      </c>
      <c r="D5705" s="2" t="s">
        <v>74</v>
      </c>
      <c r="E5705" s="5">
        <v>-27918</v>
      </c>
      <c r="F5705" s="3" t="s">
        <v>3181</v>
      </c>
      <c r="G5705" s="3" t="s">
        <v>39</v>
      </c>
      <c r="H5705" s="2" t="s">
        <v>21</v>
      </c>
      <c r="I5705" s="2" t="s">
        <v>11422</v>
      </c>
      <c r="J5705" s="3" t="str">
        <f>HYPERLINK("https://www.boe.es/gazeta/dias/1823/07/24/pdfs/GES-1823-105.pdf#page=1","Abrir facsímil")</f>
        <v>Abrir facsímil</v>
      </c>
      <c r="K5705" s="3" t="s">
        <v>23</v>
      </c>
    </row>
    <row r="5706" spans="1:11" ht="42" customHeight="1">
      <c r="A5706" s="2" t="s">
        <v>11357</v>
      </c>
      <c r="B5706" s="2" t="s">
        <v>11357</v>
      </c>
      <c r="C5706" s="2" t="s">
        <v>56</v>
      </c>
      <c r="D5706" s="2" t="s">
        <v>57</v>
      </c>
      <c r="E5706" s="5">
        <v>-27917</v>
      </c>
      <c r="F5706" s="3" t="s">
        <v>363</v>
      </c>
      <c r="G5706" s="3" t="s">
        <v>48</v>
      </c>
      <c r="H5706" s="2" t="s">
        <v>21</v>
      </c>
      <c r="I5706" s="2" t="s">
        <v>11423</v>
      </c>
      <c r="J5706" s="3" t="str">
        <f>HYPERLINK("https://www.boe.es/gazeta/dias/1823/07/25/pdfs/GES-1823-106.pdf#page=3","Abrir facsímil")</f>
        <v>Abrir facsímil</v>
      </c>
      <c r="K5706" s="3" t="s">
        <v>23</v>
      </c>
    </row>
    <row r="5707" spans="1:11" ht="42" customHeight="1">
      <c r="A5707" s="2" t="s">
        <v>11357</v>
      </c>
      <c r="B5707" s="2" t="s">
        <v>11357</v>
      </c>
      <c r="C5707" s="2" t="s">
        <v>109</v>
      </c>
      <c r="D5707" s="2" t="s">
        <v>74</v>
      </c>
      <c r="E5707" s="5">
        <v>-27916</v>
      </c>
      <c r="F5707" s="3" t="s">
        <v>772</v>
      </c>
      <c r="G5707" s="3" t="s">
        <v>39</v>
      </c>
      <c r="H5707" s="2" t="s">
        <v>21</v>
      </c>
      <c r="I5707" s="2" t="s">
        <v>11424</v>
      </c>
      <c r="J5707" s="3" t="str">
        <f>HYPERLINK("https://www.boe.es/gazeta/dias/1823/07/26/pdfs/GES-1823-107.pdf#page=1","Abrir facsímil")</f>
        <v>Abrir facsímil</v>
      </c>
      <c r="K5707" s="3" t="s">
        <v>23</v>
      </c>
    </row>
    <row r="5708" spans="1:11" ht="42" customHeight="1">
      <c r="A5708" s="2" t="s">
        <v>11357</v>
      </c>
      <c r="B5708" s="2" t="s">
        <v>11357</v>
      </c>
      <c r="C5708" s="2" t="s">
        <v>56</v>
      </c>
      <c r="D5708" s="2" t="s">
        <v>57</v>
      </c>
      <c r="E5708" s="5">
        <v>-27910</v>
      </c>
      <c r="F5708" s="3" t="s">
        <v>38</v>
      </c>
      <c r="G5708" s="3" t="s">
        <v>20</v>
      </c>
      <c r="H5708" s="2" t="s">
        <v>21</v>
      </c>
      <c r="I5708" s="2" t="s">
        <v>11425</v>
      </c>
      <c r="J5708" s="3" t="str">
        <f>HYPERLINK("https://www.boe.es/gazeta/dias/1823/08/01/pdfs/GES-1823-113.pdf#page=4","Abrir facsímil")</f>
        <v>Abrir facsímil</v>
      </c>
      <c r="K5708" s="3" t="s">
        <v>23</v>
      </c>
    </row>
    <row r="5709" spans="1:11" ht="42" customHeight="1">
      <c r="A5709" s="2" t="s">
        <v>11357</v>
      </c>
      <c r="B5709" s="2" t="s">
        <v>11357</v>
      </c>
      <c r="C5709" s="2" t="s">
        <v>17</v>
      </c>
      <c r="D5709" s="2" t="s">
        <v>18</v>
      </c>
      <c r="E5709" s="5">
        <v>-27909</v>
      </c>
      <c r="F5709" s="3" t="s">
        <v>1525</v>
      </c>
      <c r="G5709" s="3" t="s">
        <v>39</v>
      </c>
      <c r="H5709" s="2" t="s">
        <v>21</v>
      </c>
      <c r="I5709" s="2" t="s">
        <v>11426</v>
      </c>
      <c r="J5709" s="3" t="str">
        <f>HYPERLINK("https://www.boe.es/gazeta/dias/1823/08/02/pdfs/GMD-1823-513.pdf#page=1","Abrir facsímil")</f>
        <v>Abrir facsímil</v>
      </c>
      <c r="K5709" s="3" t="s">
        <v>23</v>
      </c>
    </row>
    <row r="5710" spans="1:11" ht="42" customHeight="1">
      <c r="A5710" s="2" t="s">
        <v>11357</v>
      </c>
      <c r="B5710" s="2" t="s">
        <v>11357</v>
      </c>
      <c r="C5710" s="2" t="s">
        <v>73</v>
      </c>
      <c r="D5710" s="2" t="s">
        <v>74</v>
      </c>
      <c r="E5710" s="5">
        <v>-27906</v>
      </c>
      <c r="F5710" s="3" t="s">
        <v>241</v>
      </c>
      <c r="G5710" s="3" t="s">
        <v>39</v>
      </c>
      <c r="H5710" s="2" t="s">
        <v>21</v>
      </c>
      <c r="I5710" s="2" t="s">
        <v>11427</v>
      </c>
      <c r="J5710" s="3" t="str">
        <f>HYPERLINK("https://www.boe.es/gazeta/dias/1823/08/05/pdfs/GES-1823-117.pdf#page=1","Abrir facsímil")</f>
        <v>Abrir facsímil</v>
      </c>
      <c r="K5710" s="3" t="s">
        <v>23</v>
      </c>
    </row>
    <row r="5711" spans="1:11" ht="42" customHeight="1">
      <c r="A5711" s="2" t="s">
        <v>11357</v>
      </c>
      <c r="B5711" s="2" t="s">
        <v>11357</v>
      </c>
      <c r="C5711" s="2" t="s">
        <v>17</v>
      </c>
      <c r="D5711" s="2" t="s">
        <v>18</v>
      </c>
      <c r="E5711" s="5">
        <v>-27873</v>
      </c>
      <c r="F5711" s="3" t="s">
        <v>160</v>
      </c>
      <c r="G5711" s="3" t="s">
        <v>48</v>
      </c>
      <c r="H5711" s="2" t="s">
        <v>21</v>
      </c>
      <c r="I5711" s="2" t="s">
        <v>11428</v>
      </c>
      <c r="J5711" s="3" t="str">
        <f>HYPERLINK("https://www.boe.es/gazeta/dias/1823/09/07/pdfs/GES-1823-151.pdf#page=3","Abrir facsímil")</f>
        <v>Abrir facsímil</v>
      </c>
      <c r="K5711" s="3" t="s">
        <v>23</v>
      </c>
    </row>
    <row r="5712" spans="1:11" ht="42" customHeight="1">
      <c r="A5712" s="2" t="s">
        <v>11357</v>
      </c>
      <c r="B5712" s="2" t="s">
        <v>11357</v>
      </c>
      <c r="C5712" s="2" t="s">
        <v>56</v>
      </c>
      <c r="D5712" s="2" t="s">
        <v>57</v>
      </c>
      <c r="E5712" s="5">
        <v>-27872</v>
      </c>
      <c r="F5712" s="3" t="s">
        <v>374</v>
      </c>
      <c r="G5712" s="3" t="s">
        <v>48</v>
      </c>
      <c r="H5712" s="2" t="s">
        <v>21</v>
      </c>
      <c r="I5712" s="2" t="s">
        <v>11429</v>
      </c>
      <c r="J5712" s="3" t="str">
        <f>HYPERLINK("https://www.boe.es/gazeta/dias/1823/09/08/pdfs/GES-1823-152.pdf#page=3","Abrir facsímil")</f>
        <v>Abrir facsímil</v>
      </c>
      <c r="K5712" s="3" t="s">
        <v>23</v>
      </c>
    </row>
    <row r="5713" spans="1:11" ht="42" customHeight="1">
      <c r="A5713" s="2" t="s">
        <v>11357</v>
      </c>
      <c r="B5713" s="2" t="s">
        <v>11357</v>
      </c>
      <c r="C5713" s="2" t="s">
        <v>17</v>
      </c>
      <c r="D5713" s="2" t="s">
        <v>18</v>
      </c>
      <c r="E5713" s="5">
        <v>-27863</v>
      </c>
      <c r="F5713" s="3" t="s">
        <v>651</v>
      </c>
      <c r="G5713" s="3" t="s">
        <v>27</v>
      </c>
      <c r="H5713" s="2" t="s">
        <v>21</v>
      </c>
      <c r="I5713" s="2" t="s">
        <v>11430</v>
      </c>
      <c r="J5713" s="3" t="str">
        <f>HYPERLINK("https://www.boe.es/gazeta/dias/1823/09/17/pdfs/GES-1823-161.pdf#page=2","Abrir facsímil")</f>
        <v>Abrir facsímil</v>
      </c>
      <c r="K5713" s="3" t="s">
        <v>23</v>
      </c>
    </row>
    <row r="5714" spans="1:11" ht="42" customHeight="1">
      <c r="A5714" s="2" t="s">
        <v>11357</v>
      </c>
      <c r="B5714" s="2" t="s">
        <v>11357</v>
      </c>
      <c r="C5714" s="2" t="s">
        <v>79</v>
      </c>
      <c r="D5714" s="2" t="s">
        <v>74</v>
      </c>
      <c r="E5714" s="5">
        <v>-27857</v>
      </c>
      <c r="F5714" s="3" t="s">
        <v>378</v>
      </c>
      <c r="G5714" s="3" t="s">
        <v>34</v>
      </c>
      <c r="H5714" s="2" t="s">
        <v>21</v>
      </c>
      <c r="I5714" s="2" t="s">
        <v>11431</v>
      </c>
      <c r="J5714" s="3" t="str">
        <f>HYPERLINK("https://www.boe.es/gazeta/dias/1823/09/23/pdfs/GMD-1823-833.pdf#page=5","Abrir facsímil")</f>
        <v>Abrir facsímil</v>
      </c>
      <c r="K5714" s="3" t="s">
        <v>23</v>
      </c>
    </row>
    <row r="5715" spans="1:11" ht="42" customHeight="1">
      <c r="A5715" s="2" t="s">
        <v>11357</v>
      </c>
      <c r="B5715" s="2" t="s">
        <v>11357</v>
      </c>
      <c r="C5715" s="2" t="s">
        <v>17</v>
      </c>
      <c r="D5715" s="2" t="s">
        <v>18</v>
      </c>
      <c r="E5715" s="5">
        <v>-27857</v>
      </c>
      <c r="F5715" s="3" t="s">
        <v>378</v>
      </c>
      <c r="G5715" s="3" t="s">
        <v>59</v>
      </c>
      <c r="H5715" s="2" t="s">
        <v>21</v>
      </c>
      <c r="I5715" s="2" t="s">
        <v>11432</v>
      </c>
      <c r="J5715" s="3" t="str">
        <f>HYPERLINK("https://www.boe.es/gazeta/dias/1823/09/23/pdfs/GMD-1823-833.pdf#page=6","Abrir facsímil")</f>
        <v>Abrir facsímil</v>
      </c>
      <c r="K5715" s="3" t="s">
        <v>23</v>
      </c>
    </row>
    <row r="5716" spans="1:11" ht="42" customHeight="1">
      <c r="A5716" s="2" t="s">
        <v>11357</v>
      </c>
      <c r="B5716" s="2" t="s">
        <v>11357</v>
      </c>
      <c r="C5716" s="2" t="s">
        <v>109</v>
      </c>
      <c r="D5716" s="2" t="s">
        <v>74</v>
      </c>
      <c r="E5716" s="5">
        <v>-27855</v>
      </c>
      <c r="F5716" s="3" t="s">
        <v>380</v>
      </c>
      <c r="G5716" s="3" t="s">
        <v>20</v>
      </c>
      <c r="H5716" s="2" t="s">
        <v>21</v>
      </c>
      <c r="I5716" s="2" t="s">
        <v>11433</v>
      </c>
      <c r="J5716" s="3" t="str">
        <f>HYPERLINK("https://www.boe.es/gazeta/dias/1823/09/25/pdfs/GMD-1823-853.pdf#page=4","Abrir facsímil")</f>
        <v>Abrir facsímil</v>
      </c>
      <c r="K5716" s="3" t="s">
        <v>23</v>
      </c>
    </row>
    <row r="5717" spans="1:11" ht="42" customHeight="1">
      <c r="A5717" s="2" t="s">
        <v>11357</v>
      </c>
      <c r="B5717" s="2" t="s">
        <v>11357</v>
      </c>
      <c r="C5717" s="2" t="s">
        <v>17</v>
      </c>
      <c r="D5717" s="2" t="s">
        <v>18</v>
      </c>
      <c r="E5717" s="5">
        <v>-27853</v>
      </c>
      <c r="F5717" s="3" t="s">
        <v>2626</v>
      </c>
      <c r="G5717" s="3" t="s">
        <v>20</v>
      </c>
      <c r="H5717" s="2" t="s">
        <v>21</v>
      </c>
      <c r="I5717" s="2" t="s">
        <v>11434</v>
      </c>
      <c r="J5717" s="3" t="str">
        <f>HYPERLINK("https://www.boe.es/gazeta/dias/1823/09/27/pdfs/GES-1823-171.pdf#page=4","Abrir facsímil")</f>
        <v>Abrir facsímil</v>
      </c>
      <c r="K5717" s="3" t="s">
        <v>23</v>
      </c>
    </row>
    <row r="5718" spans="1:11" ht="42" customHeight="1">
      <c r="A5718" s="2" t="s">
        <v>11435</v>
      </c>
      <c r="B5718" s="2" t="s">
        <v>11435</v>
      </c>
      <c r="C5718" s="2" t="s">
        <v>17</v>
      </c>
      <c r="D5718" s="2" t="s">
        <v>18</v>
      </c>
      <c r="E5718" s="5">
        <v>-28111</v>
      </c>
      <c r="F5718" s="3" t="s">
        <v>275</v>
      </c>
      <c r="G5718" s="3" t="s">
        <v>48</v>
      </c>
      <c r="H5718" s="2" t="s">
        <v>21</v>
      </c>
      <c r="I5718" s="2" t="s">
        <v>11436</v>
      </c>
      <c r="J5718" s="3" t="str">
        <f>HYPERLINK("https://www.boe.es/gazeta/dias/1823/01/12/pdfs/GMD-1823-12.pdf#page=3","Abrir facsímil")</f>
        <v>Abrir facsímil</v>
      </c>
      <c r="K5718" s="3" t="s">
        <v>23</v>
      </c>
    </row>
    <row r="5719" spans="1:11" ht="42" customHeight="1">
      <c r="A5719" s="2" t="s">
        <v>11437</v>
      </c>
      <c r="B5719" s="2" t="s">
        <v>11437</v>
      </c>
      <c r="C5719" s="2" t="s">
        <v>79</v>
      </c>
      <c r="D5719" s="2" t="s">
        <v>74</v>
      </c>
      <c r="E5719" s="5">
        <v>-27913</v>
      </c>
      <c r="F5719" s="3" t="s">
        <v>821</v>
      </c>
      <c r="G5719" s="3" t="s">
        <v>39</v>
      </c>
      <c r="H5719" s="2" t="s">
        <v>21</v>
      </c>
      <c r="I5719" s="2" t="s">
        <v>11438</v>
      </c>
      <c r="J5719" s="3" t="str">
        <f>HYPERLINK("https://www.boe.es/gazeta/dias/1823/07/29/pdfs/GES-1823-110.pdf#page=1","Abrir facsímil")</f>
        <v>Abrir facsímil</v>
      </c>
      <c r="K5719" s="3" t="s">
        <v>23</v>
      </c>
    </row>
    <row r="5720" spans="1:11" ht="42" customHeight="1">
      <c r="A5720" s="2" t="s">
        <v>11439</v>
      </c>
      <c r="B5720" s="2" t="s">
        <v>11439</v>
      </c>
      <c r="C5720" s="2" t="s">
        <v>79</v>
      </c>
      <c r="D5720" s="2" t="s">
        <v>74</v>
      </c>
      <c r="E5720" s="5">
        <v>-27950</v>
      </c>
      <c r="F5720" s="3" t="s">
        <v>4513</v>
      </c>
      <c r="G5720" s="3" t="s">
        <v>27</v>
      </c>
      <c r="H5720" s="2" t="s">
        <v>21</v>
      </c>
      <c r="I5720" s="2" t="s">
        <v>11440</v>
      </c>
      <c r="J5720" s="3" t="str">
        <f>HYPERLINK("https://www.boe.es/gazeta/dias/1823/06/22/pdfs/GES-1823-70.pdf#page=2","Abrir facsímil")</f>
        <v>Abrir facsímil</v>
      </c>
      <c r="K5720" s="3" t="s">
        <v>23</v>
      </c>
    </row>
    <row r="5721" spans="1:11" ht="42" customHeight="1">
      <c r="A5721" s="2" t="s">
        <v>11441</v>
      </c>
      <c r="B5721" s="2" t="s">
        <v>11441</v>
      </c>
      <c r="C5721" s="2" t="s">
        <v>73</v>
      </c>
      <c r="D5721" s="2" t="s">
        <v>74</v>
      </c>
      <c r="E5721" s="5">
        <v>-28099</v>
      </c>
      <c r="F5721" s="3" t="s">
        <v>1689</v>
      </c>
      <c r="G5721" s="3" t="s">
        <v>20</v>
      </c>
      <c r="H5721" s="2" t="s">
        <v>21</v>
      </c>
      <c r="I5721" s="2" t="s">
        <v>11442</v>
      </c>
      <c r="J5721" s="3" t="str">
        <f>HYPERLINK("https://www.boe.es/gazeta/dias/1823/01/24/pdfs/GMD-1823-25.pdf#page=4","Abrir facsímil")</f>
        <v>Abrir facsímil</v>
      </c>
      <c r="K5721" s="3" t="s">
        <v>23</v>
      </c>
    </row>
    <row r="5722" spans="1:11" ht="42" customHeight="1">
      <c r="A5722" s="2" t="s">
        <v>11443</v>
      </c>
      <c r="B5722" s="2" t="s">
        <v>11443</v>
      </c>
      <c r="C5722" s="2" t="s">
        <v>17</v>
      </c>
      <c r="D5722" s="2" t="s">
        <v>18</v>
      </c>
      <c r="E5722" s="5">
        <v>-28053</v>
      </c>
      <c r="F5722" s="3" t="s">
        <v>303</v>
      </c>
      <c r="G5722" s="3" t="s">
        <v>20</v>
      </c>
      <c r="H5722" s="2" t="s">
        <v>21</v>
      </c>
      <c r="I5722" s="2" t="s">
        <v>11444</v>
      </c>
      <c r="J5722" s="3" t="str">
        <f>HYPERLINK("https://www.boe.es/gazeta/dias/1823/03/11/pdfs/GMD-1823-74.pdf#page=4","Abrir facsímil")</f>
        <v>Abrir facsímil</v>
      </c>
      <c r="K5722" s="3" t="s">
        <v>23</v>
      </c>
    </row>
    <row r="5723" spans="1:11" ht="42" customHeight="1">
      <c r="A5723" s="2" t="s">
        <v>11445</v>
      </c>
      <c r="B5723" s="2" t="s">
        <v>11446</v>
      </c>
      <c r="C5723" s="2" t="s">
        <v>17</v>
      </c>
      <c r="D5723" s="2" t="s">
        <v>18</v>
      </c>
      <c r="E5723" s="5">
        <v>-27983</v>
      </c>
      <c r="F5723" s="3" t="s">
        <v>337</v>
      </c>
      <c r="G5723" s="3" t="s">
        <v>39</v>
      </c>
      <c r="H5723" s="2" t="s">
        <v>21</v>
      </c>
      <c r="I5723" s="2" t="s">
        <v>11447</v>
      </c>
      <c r="J5723" s="3" t="str">
        <f>HYPERLINK("https://www.boe.es/gazeta/dias/1823/05/20/pdfs/GES-1823-40.pdf#page=1","Abrir facsímil")</f>
        <v>Abrir facsímil</v>
      </c>
      <c r="K5723" s="3" t="s">
        <v>23</v>
      </c>
    </row>
    <row r="5724" spans="1:11" ht="42" customHeight="1">
      <c r="A5724" s="2" t="s">
        <v>11448</v>
      </c>
      <c r="B5724" s="2" t="s">
        <v>11448</v>
      </c>
      <c r="C5724" s="2" t="s">
        <v>17</v>
      </c>
      <c r="D5724" s="2" t="s">
        <v>18</v>
      </c>
      <c r="E5724" s="5">
        <v>-28100</v>
      </c>
      <c r="F5724" s="3" t="s">
        <v>737</v>
      </c>
      <c r="G5724" s="3" t="s">
        <v>27</v>
      </c>
      <c r="H5724" s="2" t="s">
        <v>21</v>
      </c>
      <c r="I5724" s="2" t="s">
        <v>11449</v>
      </c>
      <c r="J5724" s="3" t="str">
        <f>HYPERLINK("https://www.boe.es/gazeta/dias/1823/01/23/pdfs/GMD-1823-24.pdf#page=2","Abrir facsímil")</f>
        <v>Abrir facsímil</v>
      </c>
      <c r="K5724" s="3" t="s">
        <v>23</v>
      </c>
    </row>
    <row r="5725" spans="1:11" ht="42" customHeight="1">
      <c r="A5725" s="2" t="s">
        <v>11450</v>
      </c>
      <c r="B5725" s="2" t="s">
        <v>11451</v>
      </c>
      <c r="C5725" s="2" t="s">
        <v>84</v>
      </c>
      <c r="D5725" s="2" t="s">
        <v>74</v>
      </c>
      <c r="E5725" s="5">
        <v>-28078</v>
      </c>
      <c r="F5725" s="3" t="s">
        <v>508</v>
      </c>
      <c r="G5725" s="3" t="s">
        <v>39</v>
      </c>
      <c r="H5725" s="2" t="s">
        <v>21</v>
      </c>
      <c r="I5725" s="2" t="s">
        <v>11452</v>
      </c>
      <c r="J5725" s="3" t="str">
        <f>HYPERLINK("https://www.boe.es/gazeta/dias/1823/02/14/pdfs/GMD-1823-48.pdf#page=1","Abrir facsímil")</f>
        <v>Abrir facsímil</v>
      </c>
      <c r="K5725" s="3" t="s">
        <v>23</v>
      </c>
    </row>
    <row r="5726" spans="1:11" ht="42" customHeight="1">
      <c r="A5726" s="2" t="s">
        <v>11453</v>
      </c>
      <c r="B5726" s="2" t="s">
        <v>11453</v>
      </c>
      <c r="C5726" s="2" t="s">
        <v>17</v>
      </c>
      <c r="D5726" s="2" t="s">
        <v>18</v>
      </c>
      <c r="E5726" s="5">
        <v>-27951</v>
      </c>
      <c r="F5726" s="3" t="s">
        <v>4670</v>
      </c>
      <c r="G5726" s="3" t="s">
        <v>20</v>
      </c>
      <c r="H5726" s="2" t="s">
        <v>21</v>
      </c>
      <c r="I5726" s="2" t="s">
        <v>11454</v>
      </c>
      <c r="J5726" s="3" t="str">
        <f>HYPERLINK("https://www.boe.es/gazeta/dias/1823/06/21/pdfs/GMD-1823-223.pdf#page=4","Abrir facsímil")</f>
        <v>Abrir facsímil</v>
      </c>
      <c r="K5726" s="3" t="s">
        <v>23</v>
      </c>
    </row>
    <row r="5727" spans="1:11" ht="42" customHeight="1">
      <c r="A5727" s="2" t="s">
        <v>11455</v>
      </c>
      <c r="B5727" s="2" t="s">
        <v>11455</v>
      </c>
      <c r="C5727" s="2" t="s">
        <v>79</v>
      </c>
      <c r="D5727" s="2" t="s">
        <v>74</v>
      </c>
      <c r="E5727" s="5">
        <v>-27986</v>
      </c>
      <c r="F5727" s="3" t="s">
        <v>75</v>
      </c>
      <c r="G5727" s="3" t="s">
        <v>59</v>
      </c>
      <c r="H5727" s="2" t="s">
        <v>21</v>
      </c>
      <c r="I5727" s="2" t="s">
        <v>11456</v>
      </c>
      <c r="J5727" s="3" t="str">
        <f>HYPERLINK("https://www.boe.es/gazeta/dias/1823/05/17/pdfs/GES-1823-37.pdf#page=6","Abrir facsímil")</f>
        <v>Abrir facsímil</v>
      </c>
      <c r="K5727" s="3" t="s">
        <v>23</v>
      </c>
    </row>
    <row r="5728" spans="1:11" ht="42" customHeight="1">
      <c r="A5728" s="2" t="s">
        <v>11457</v>
      </c>
      <c r="B5728" s="2" t="s">
        <v>11458</v>
      </c>
      <c r="C5728" s="2" t="s">
        <v>79</v>
      </c>
      <c r="D5728" s="2" t="s">
        <v>74</v>
      </c>
      <c r="E5728" s="5">
        <v>-28048</v>
      </c>
      <c r="F5728" s="3" t="s">
        <v>399</v>
      </c>
      <c r="G5728" s="3" t="s">
        <v>20</v>
      </c>
      <c r="H5728" s="2" t="s">
        <v>21</v>
      </c>
      <c r="I5728" s="2" t="s">
        <v>11459</v>
      </c>
      <c r="J5728" s="3" t="str">
        <f>HYPERLINK("https://www.boe.es/gazeta/dias/1823/03/16/pdfs/GMD-1823-79.pdf#page=4","Abrir facsímil")</f>
        <v>Abrir facsímil</v>
      </c>
      <c r="K5728" s="3" t="s">
        <v>23</v>
      </c>
    </row>
    <row r="5729" spans="1:11" ht="42" customHeight="1">
      <c r="A5729" s="2" t="s">
        <v>11460</v>
      </c>
      <c r="B5729" s="2" t="s">
        <v>11460</v>
      </c>
      <c r="C5729" s="2" t="s">
        <v>79</v>
      </c>
      <c r="D5729" s="2" t="s">
        <v>74</v>
      </c>
      <c r="E5729" s="5">
        <v>-28102</v>
      </c>
      <c r="F5729" s="3" t="s">
        <v>287</v>
      </c>
      <c r="G5729" s="3" t="s">
        <v>27</v>
      </c>
      <c r="H5729" s="2" t="s">
        <v>21</v>
      </c>
      <c r="I5729" s="2" t="s">
        <v>11461</v>
      </c>
      <c r="J5729" s="3" t="str">
        <f>HYPERLINK("https://www.boe.es/gazeta/dias/1823/01/21/pdfs/GMD-1823-22.pdf#page=2","Abrir facsímil")</f>
        <v>Abrir facsímil</v>
      </c>
      <c r="K5729" s="3" t="s">
        <v>23</v>
      </c>
    </row>
    <row r="5730" spans="1:11" ht="42" customHeight="1">
      <c r="A5730" s="2" t="s">
        <v>11462</v>
      </c>
      <c r="B5730" s="2" t="s">
        <v>11462</v>
      </c>
      <c r="C5730" s="2" t="s">
        <v>79</v>
      </c>
      <c r="D5730" s="2" t="s">
        <v>74</v>
      </c>
      <c r="E5730" s="5">
        <v>-28117</v>
      </c>
      <c r="F5730" s="3" t="s">
        <v>271</v>
      </c>
      <c r="G5730" s="3" t="s">
        <v>48</v>
      </c>
      <c r="H5730" s="2" t="s">
        <v>21</v>
      </c>
      <c r="I5730" s="2" t="s">
        <v>11463</v>
      </c>
      <c r="J5730" s="3" t="str">
        <f>HYPERLINK("https://www.boe.es/gazeta/dias/1823/01/06/pdfs/GMD-1823-6.pdf#page=3","Abrir facsímil")</f>
        <v>Abrir facsímil</v>
      </c>
      <c r="K5730" s="3" t="s">
        <v>23</v>
      </c>
    </row>
    <row r="5731" spans="1:11" ht="42" customHeight="1">
      <c r="A5731" s="2" t="s">
        <v>11462</v>
      </c>
      <c r="B5731" s="2" t="s">
        <v>11462</v>
      </c>
      <c r="C5731" s="2" t="s">
        <v>109</v>
      </c>
      <c r="D5731" s="2" t="s">
        <v>74</v>
      </c>
      <c r="E5731" s="5">
        <v>-28098</v>
      </c>
      <c r="F5731" s="3" t="s">
        <v>1101</v>
      </c>
      <c r="G5731" s="3" t="s">
        <v>48</v>
      </c>
      <c r="H5731" s="2" t="s">
        <v>21</v>
      </c>
      <c r="I5731" s="2" t="s">
        <v>11464</v>
      </c>
      <c r="J5731" s="3" t="str">
        <f>HYPERLINK("https://www.boe.es/gazeta/dias/1823/01/25/pdfs/GMD-1823-26.pdf#page=3","Abrir facsímil")</f>
        <v>Abrir facsímil</v>
      </c>
      <c r="K5731" s="3" t="s">
        <v>23</v>
      </c>
    </row>
    <row r="5732" spans="1:11" ht="42" customHeight="1">
      <c r="A5732" s="2" t="s">
        <v>11462</v>
      </c>
      <c r="B5732" s="2" t="s">
        <v>11462</v>
      </c>
      <c r="C5732" s="2" t="s">
        <v>17</v>
      </c>
      <c r="D5732" s="2" t="s">
        <v>18</v>
      </c>
      <c r="E5732" s="5">
        <v>-28074</v>
      </c>
      <c r="F5732" s="3" t="s">
        <v>212</v>
      </c>
      <c r="G5732" s="3" t="s">
        <v>59</v>
      </c>
      <c r="H5732" s="2" t="s">
        <v>21</v>
      </c>
      <c r="I5732" s="2" t="s">
        <v>11465</v>
      </c>
      <c r="J5732" s="3" t="str">
        <f>HYPERLINK("https://www.boe.es/gazeta/dias/1823/02/18/pdfs/GMD-1823-52.pdf#page=6","Abrir facsímil")</f>
        <v>Abrir facsímil</v>
      </c>
      <c r="K5732" s="3" t="s">
        <v>23</v>
      </c>
    </row>
    <row r="5733" spans="1:11" ht="42" customHeight="1">
      <c r="A5733" s="2" t="s">
        <v>11462</v>
      </c>
      <c r="B5733" s="2" t="s">
        <v>11462</v>
      </c>
      <c r="C5733" s="2" t="s">
        <v>17</v>
      </c>
      <c r="D5733" s="2" t="s">
        <v>18</v>
      </c>
      <c r="E5733" s="5">
        <v>-28065</v>
      </c>
      <c r="F5733" s="3" t="s">
        <v>686</v>
      </c>
      <c r="G5733" s="3" t="s">
        <v>20</v>
      </c>
      <c r="H5733" s="2" t="s">
        <v>21</v>
      </c>
      <c r="I5733" s="2" t="s">
        <v>11466</v>
      </c>
      <c r="J5733" s="3" t="str">
        <f>HYPERLINK("https://www.boe.es/gazeta/dias/1823/02/27/pdfs/GMD-1823-61.pdf#page=4","Abrir facsímil")</f>
        <v>Abrir facsímil</v>
      </c>
      <c r="K5733" s="3" t="s">
        <v>23</v>
      </c>
    </row>
    <row r="5734" spans="1:11" ht="42" customHeight="1">
      <c r="A5734" s="2" t="s">
        <v>11462</v>
      </c>
      <c r="B5734" s="2" t="s">
        <v>11462</v>
      </c>
      <c r="C5734" s="2" t="s">
        <v>79</v>
      </c>
      <c r="D5734" s="2" t="s">
        <v>74</v>
      </c>
      <c r="E5734" s="5">
        <v>-28030</v>
      </c>
      <c r="F5734" s="3" t="s">
        <v>145</v>
      </c>
      <c r="G5734" s="3" t="s">
        <v>39</v>
      </c>
      <c r="H5734" s="2" t="s">
        <v>21</v>
      </c>
      <c r="I5734" s="2" t="s">
        <v>11467</v>
      </c>
      <c r="J5734" s="3" t="str">
        <f>HYPERLINK("https://www.boe.es/gazeta/dias/1823/04/03/pdfs/GMD-1823-97.pdf#page=1","Abrir facsímil")</f>
        <v>Abrir facsímil</v>
      </c>
      <c r="K5734" s="3" t="s">
        <v>23</v>
      </c>
    </row>
    <row r="5735" spans="1:11" ht="42" customHeight="1">
      <c r="A5735" s="2" t="s">
        <v>11462</v>
      </c>
      <c r="B5735" s="2" t="s">
        <v>11462</v>
      </c>
      <c r="C5735" s="2" t="s">
        <v>17</v>
      </c>
      <c r="D5735" s="2" t="s">
        <v>18</v>
      </c>
      <c r="E5735" s="5">
        <v>-27991</v>
      </c>
      <c r="F5735" s="3" t="s">
        <v>328</v>
      </c>
      <c r="G5735" s="3" t="s">
        <v>34</v>
      </c>
      <c r="H5735" s="2" t="s">
        <v>21</v>
      </c>
      <c r="I5735" s="2" t="s">
        <v>11468</v>
      </c>
      <c r="J5735" s="3" t="str">
        <f>HYPERLINK("https://www.boe.es/gazeta/dias/1823/05/12/pdfs/GES-1823-32.pdf#page=5","Abrir facsímil")</f>
        <v>Abrir facsímil</v>
      </c>
      <c r="K5735" s="3" t="s">
        <v>23</v>
      </c>
    </row>
    <row r="5736" spans="1:11" ht="42" customHeight="1">
      <c r="A5736" s="2" t="s">
        <v>11462</v>
      </c>
      <c r="B5736" s="2" t="s">
        <v>11462</v>
      </c>
      <c r="C5736" s="2" t="s">
        <v>17</v>
      </c>
      <c r="D5736" s="2" t="s">
        <v>18</v>
      </c>
      <c r="E5736" s="5">
        <v>-27892</v>
      </c>
      <c r="F5736" s="3" t="s">
        <v>1571</v>
      </c>
      <c r="G5736" s="3" t="s">
        <v>48</v>
      </c>
      <c r="H5736" s="2" t="s">
        <v>21</v>
      </c>
      <c r="I5736" s="2" t="s">
        <v>11469</v>
      </c>
      <c r="J5736" s="3" t="str">
        <f>HYPERLINK("https://www.boe.es/gazeta/dias/1823/08/19/pdfs/GMD-1823-613.pdf#page=3","Abrir facsímil")</f>
        <v>Abrir facsímil</v>
      </c>
      <c r="K5736" s="3" t="s">
        <v>23</v>
      </c>
    </row>
    <row r="5737" spans="1:11" ht="42" customHeight="1">
      <c r="A5737" s="2" t="s">
        <v>11462</v>
      </c>
      <c r="B5737" s="2" t="s">
        <v>11462</v>
      </c>
      <c r="C5737" s="2" t="s">
        <v>17</v>
      </c>
      <c r="D5737" s="2" t="s">
        <v>18</v>
      </c>
      <c r="E5737" s="5">
        <v>-27874</v>
      </c>
      <c r="F5737" s="3" t="s">
        <v>1410</v>
      </c>
      <c r="G5737" s="3" t="s">
        <v>39</v>
      </c>
      <c r="H5737" s="2" t="s">
        <v>21</v>
      </c>
      <c r="I5737" s="2" t="s">
        <v>11470</v>
      </c>
      <c r="J5737" s="3" t="str">
        <f>HYPERLINK("https://www.boe.es/gazeta/dias/1823/09/06/pdfs/GES-1823-150.pdf#page=1","Abrir facsímil")</f>
        <v>Abrir facsímil</v>
      </c>
      <c r="K5737" s="3" t="s">
        <v>23</v>
      </c>
    </row>
    <row r="5738" spans="1:11" ht="42" customHeight="1">
      <c r="A5738" s="2" t="s">
        <v>11471</v>
      </c>
      <c r="B5738" s="2" t="s">
        <v>11472</v>
      </c>
      <c r="C5738" s="2" t="s">
        <v>17</v>
      </c>
      <c r="D5738" s="2" t="s">
        <v>18</v>
      </c>
      <c r="E5738" s="5">
        <v>-28058</v>
      </c>
      <c r="F5738" s="3" t="s">
        <v>1282</v>
      </c>
      <c r="G5738" s="3" t="s">
        <v>39</v>
      </c>
      <c r="H5738" s="2" t="s">
        <v>28</v>
      </c>
      <c r="I5738" s="2" t="s">
        <v>11473</v>
      </c>
      <c r="J5738" s="3" t="str">
        <f>HYPERLINK("https://www.boe.es/gazeta/dias/1823/03/06/pdfs/GMD-1823-69.pdf#page=1","Abrir facsímil")</f>
        <v>Abrir facsímil</v>
      </c>
      <c r="K5738" s="3" t="s">
        <v>30</v>
      </c>
    </row>
    <row r="5739" spans="1:11" ht="42" customHeight="1">
      <c r="A5739" s="2" t="s">
        <v>11474</v>
      </c>
      <c r="B5739" s="2" t="s">
        <v>11475</v>
      </c>
      <c r="C5739" s="2" t="s">
        <v>17</v>
      </c>
      <c r="D5739" s="2" t="s">
        <v>18</v>
      </c>
      <c r="E5739" s="5">
        <v>-27931</v>
      </c>
      <c r="F5739" s="3" t="s">
        <v>1833</v>
      </c>
      <c r="G5739" s="3" t="s">
        <v>39</v>
      </c>
      <c r="H5739" s="2" t="s">
        <v>21</v>
      </c>
      <c r="I5739" s="2" t="s">
        <v>11476</v>
      </c>
      <c r="J5739" s="3" t="str">
        <f>HYPERLINK("https://www.boe.es/gazeta/dias/1823/07/11/pdfs/GES-1823-91.pdf#page=1","Abrir facsímil")</f>
        <v>Abrir facsímil</v>
      </c>
      <c r="K5739" s="3" t="s">
        <v>23</v>
      </c>
    </row>
    <row r="5740" spans="1:11" ht="42" customHeight="1">
      <c r="A5740" s="2" t="s">
        <v>11477</v>
      </c>
      <c r="B5740" s="2" t="s">
        <v>11478</v>
      </c>
      <c r="C5740" s="2" t="s">
        <v>56</v>
      </c>
      <c r="D5740" s="2" t="s">
        <v>57</v>
      </c>
      <c r="E5740" s="5">
        <v>-28007</v>
      </c>
      <c r="F5740" s="3" t="s">
        <v>1190</v>
      </c>
      <c r="G5740" s="3" t="s">
        <v>27</v>
      </c>
      <c r="H5740" s="2" t="s">
        <v>28</v>
      </c>
      <c r="I5740" s="2" t="s">
        <v>11479</v>
      </c>
      <c r="J5740" s="3" t="str">
        <f>HYPERLINK("https://www.boe.es/gazeta/dias/1823/04/26/pdfs/GMD-1823-62.pdf#page=2","Abrir facsímil")</f>
        <v>Abrir facsímil</v>
      </c>
      <c r="K5740" s="3" t="s">
        <v>30</v>
      </c>
    </row>
    <row r="5741" spans="1:11" ht="42" customHeight="1">
      <c r="A5741" s="2" t="s">
        <v>11480</v>
      </c>
      <c r="B5741" s="2" t="s">
        <v>11481</v>
      </c>
      <c r="C5741" s="2" t="s">
        <v>17</v>
      </c>
      <c r="D5741" s="2" t="s">
        <v>18</v>
      </c>
      <c r="E5741" s="5">
        <v>-28089</v>
      </c>
      <c r="F5741" s="3" t="s">
        <v>1979</v>
      </c>
      <c r="G5741" s="3" t="s">
        <v>27</v>
      </c>
      <c r="H5741" s="2" t="s">
        <v>21</v>
      </c>
      <c r="I5741" s="2" t="s">
        <v>11482</v>
      </c>
      <c r="J5741" s="3" t="str">
        <f>HYPERLINK("https://www.boe.es/gazeta/dias/1823/02/03/pdfs/GMD-1823-36.pdf#page=2","Abrir facsímil")</f>
        <v>Abrir facsímil</v>
      </c>
      <c r="K5741" s="3" t="s">
        <v>23</v>
      </c>
    </row>
    <row r="5742" spans="1:11" ht="42" customHeight="1">
      <c r="A5742" s="2" t="s">
        <v>11483</v>
      </c>
      <c r="B5742" s="2" t="s">
        <v>11483</v>
      </c>
      <c r="C5742" s="2" t="s">
        <v>109</v>
      </c>
      <c r="D5742" s="2" t="s">
        <v>74</v>
      </c>
      <c r="E5742" s="5">
        <v>-28074</v>
      </c>
      <c r="F5742" s="3" t="s">
        <v>212</v>
      </c>
      <c r="G5742" s="3" t="s">
        <v>296</v>
      </c>
      <c r="H5742" s="2" t="s">
        <v>21</v>
      </c>
      <c r="I5742" s="2" t="s">
        <v>11484</v>
      </c>
      <c r="J5742" s="3" t="str">
        <f>HYPERLINK("https://www.boe.es/gazeta/dias/1823/02/18/pdfs/GMD-1823-52.pdf#page=2","Abrir facsímil")</f>
        <v>Abrir facsímil</v>
      </c>
      <c r="K5742" s="3" t="s">
        <v>23</v>
      </c>
    </row>
    <row r="5743" spans="1:11" ht="42" customHeight="1">
      <c r="A5743" s="2" t="s">
        <v>11485</v>
      </c>
      <c r="B5743" s="2" t="s">
        <v>11485</v>
      </c>
      <c r="C5743" s="2" t="s">
        <v>79</v>
      </c>
      <c r="D5743" s="2" t="s">
        <v>74</v>
      </c>
      <c r="E5743" s="5">
        <v>-27967</v>
      </c>
      <c r="F5743" s="3" t="s">
        <v>412</v>
      </c>
      <c r="G5743" s="3" t="s">
        <v>34</v>
      </c>
      <c r="H5743" s="2" t="s">
        <v>21</v>
      </c>
      <c r="I5743" s="2" t="s">
        <v>11486</v>
      </c>
      <c r="J5743" s="3" t="str">
        <f>HYPERLINK("https://www.boe.es/gazeta/dias/1823/06/05/pdfs/GES-1823-59.pdf#page=5","Abrir facsímil")</f>
        <v>Abrir facsímil</v>
      </c>
      <c r="K5743" s="3" t="s">
        <v>23</v>
      </c>
    </row>
    <row r="5744" spans="1:11" ht="42" customHeight="1">
      <c r="A5744" s="2" t="s">
        <v>11487</v>
      </c>
      <c r="B5744" s="2" t="s">
        <v>11487</v>
      </c>
      <c r="C5744" s="2" t="s">
        <v>79</v>
      </c>
      <c r="D5744" s="2" t="s">
        <v>74</v>
      </c>
      <c r="E5744" s="5">
        <v>-28106</v>
      </c>
      <c r="F5744" s="3" t="s">
        <v>280</v>
      </c>
      <c r="G5744" s="3" t="s">
        <v>20</v>
      </c>
      <c r="H5744" s="2" t="s">
        <v>21</v>
      </c>
      <c r="I5744" s="2" t="s">
        <v>11488</v>
      </c>
      <c r="J5744" s="3" t="str">
        <f>HYPERLINK("https://www.boe.es/gazeta/dias/1823/01/17/pdfs/GMD-1823-17.pdf#page=4","Abrir facsímil")</f>
        <v>Abrir facsímil</v>
      </c>
      <c r="K5744" s="3" t="s">
        <v>23</v>
      </c>
    </row>
    <row r="5745" spans="1:11" ht="42" customHeight="1">
      <c r="A5745" s="2" t="s">
        <v>11487</v>
      </c>
      <c r="B5745" s="2" t="s">
        <v>11487</v>
      </c>
      <c r="C5745" s="2" t="s">
        <v>56</v>
      </c>
      <c r="D5745" s="2" t="s">
        <v>57</v>
      </c>
      <c r="E5745" s="5">
        <v>-28103</v>
      </c>
      <c r="F5745" s="3" t="s">
        <v>285</v>
      </c>
      <c r="G5745" s="3" t="s">
        <v>20</v>
      </c>
      <c r="H5745" s="2" t="s">
        <v>21</v>
      </c>
      <c r="I5745" s="2" t="s">
        <v>11489</v>
      </c>
      <c r="J5745" s="3" t="str">
        <f>HYPERLINK("https://www.boe.es/gazeta/dias/1823/01/20/pdfs/GMD-1823-20.pdf#page=4","Abrir facsímil")</f>
        <v>Abrir facsímil</v>
      </c>
      <c r="K5745" s="3" t="s">
        <v>23</v>
      </c>
    </row>
    <row r="5746" spans="1:11" ht="42" customHeight="1">
      <c r="A5746" s="2" t="s">
        <v>11487</v>
      </c>
      <c r="B5746" s="2" t="s">
        <v>11487</v>
      </c>
      <c r="C5746" s="2" t="s">
        <v>56</v>
      </c>
      <c r="D5746" s="2" t="s">
        <v>57</v>
      </c>
      <c r="E5746" s="5">
        <v>-28053</v>
      </c>
      <c r="F5746" s="3" t="s">
        <v>303</v>
      </c>
      <c r="G5746" s="3" t="s">
        <v>20</v>
      </c>
      <c r="H5746" s="2" t="s">
        <v>21</v>
      </c>
      <c r="I5746" s="2" t="s">
        <v>11490</v>
      </c>
      <c r="J5746" s="3" t="str">
        <f>HYPERLINK("https://www.boe.es/gazeta/dias/1823/03/11/pdfs/GMD-1823-74.pdf#page=4","Abrir facsímil")</f>
        <v>Abrir facsímil</v>
      </c>
      <c r="K5746" s="3" t="s">
        <v>23</v>
      </c>
    </row>
    <row r="5747" spans="1:11" ht="42" customHeight="1">
      <c r="A5747" s="2" t="s">
        <v>11487</v>
      </c>
      <c r="B5747" s="2" t="s">
        <v>11487</v>
      </c>
      <c r="C5747" s="2" t="s">
        <v>17</v>
      </c>
      <c r="D5747" s="2" t="s">
        <v>18</v>
      </c>
      <c r="E5747" s="5">
        <v>-28033</v>
      </c>
      <c r="F5747" s="3" t="s">
        <v>1372</v>
      </c>
      <c r="G5747" s="3" t="s">
        <v>27</v>
      </c>
      <c r="H5747" s="2" t="s">
        <v>21</v>
      </c>
      <c r="I5747" s="2" t="s">
        <v>11491</v>
      </c>
      <c r="J5747" s="3" t="str">
        <f>HYPERLINK("https://www.boe.es/gazeta/dias/1823/03/31/pdfs/GMD-1823-94.pdf#page=2","Abrir facsímil")</f>
        <v>Abrir facsímil</v>
      </c>
      <c r="K5747" s="3" t="s">
        <v>23</v>
      </c>
    </row>
    <row r="5748" spans="1:11" ht="42" customHeight="1">
      <c r="A5748" s="2" t="s">
        <v>11487</v>
      </c>
      <c r="B5748" s="2" t="s">
        <v>11487</v>
      </c>
      <c r="C5748" s="2" t="s">
        <v>17</v>
      </c>
      <c r="D5748" s="2" t="s">
        <v>18</v>
      </c>
      <c r="E5748" s="5">
        <v>-28015</v>
      </c>
      <c r="F5748" s="3" t="s">
        <v>985</v>
      </c>
      <c r="G5748" s="3" t="s">
        <v>27</v>
      </c>
      <c r="H5748" s="2" t="s">
        <v>21</v>
      </c>
      <c r="I5748" s="2" t="s">
        <v>11492</v>
      </c>
      <c r="J5748" s="3" t="str">
        <f>HYPERLINK("https://www.boe.es/gazeta/dias/1823/04/18/pdfs/GES-1823-8.pdf#page=2","Abrir facsímil")</f>
        <v>Abrir facsímil</v>
      </c>
      <c r="K5748" s="3" t="s">
        <v>23</v>
      </c>
    </row>
    <row r="5749" spans="1:11" ht="42" customHeight="1">
      <c r="A5749" s="2" t="s">
        <v>11487</v>
      </c>
      <c r="B5749" s="2" t="s">
        <v>11487</v>
      </c>
      <c r="C5749" s="2" t="s">
        <v>17</v>
      </c>
      <c r="D5749" s="2" t="s">
        <v>18</v>
      </c>
      <c r="E5749" s="5">
        <v>-27967</v>
      </c>
      <c r="F5749" s="3" t="s">
        <v>412</v>
      </c>
      <c r="G5749" s="3" t="s">
        <v>592</v>
      </c>
      <c r="H5749" s="2" t="s">
        <v>21</v>
      </c>
      <c r="I5749" s="2" t="s">
        <v>11493</v>
      </c>
      <c r="J5749" s="3" t="str">
        <f>HYPERLINK("https://www.boe.es/gazeta/dias/1823/06/05/pdfs/GES-1823-59.pdf#page=3","Abrir facsímil")</f>
        <v>Abrir facsímil</v>
      </c>
      <c r="K5749" s="3" t="s">
        <v>23</v>
      </c>
    </row>
    <row r="5750" spans="1:11" ht="42" customHeight="1">
      <c r="A5750" s="2" t="s">
        <v>11487</v>
      </c>
      <c r="B5750" s="2" t="s">
        <v>11487</v>
      </c>
      <c r="C5750" s="2" t="s">
        <v>17</v>
      </c>
      <c r="D5750" s="2" t="s">
        <v>18</v>
      </c>
      <c r="E5750" s="5">
        <v>-27881</v>
      </c>
      <c r="F5750" s="3" t="s">
        <v>725</v>
      </c>
      <c r="G5750" s="3" t="s">
        <v>39</v>
      </c>
      <c r="H5750" s="2" t="s">
        <v>21</v>
      </c>
      <c r="I5750" s="2" t="s">
        <v>11494</v>
      </c>
      <c r="J5750" s="3" t="str">
        <f>HYPERLINK("https://www.boe.es/gazeta/dias/1823/08/30/pdfs/GMD-1823-673.pdf#page=1","Abrir facsímil")</f>
        <v>Abrir facsímil</v>
      </c>
      <c r="K5750" s="3" t="s">
        <v>23</v>
      </c>
    </row>
    <row r="5751" spans="1:11" ht="42" customHeight="1">
      <c r="A5751" s="2" t="s">
        <v>11495</v>
      </c>
      <c r="B5751" s="2" t="s">
        <v>11495</v>
      </c>
      <c r="C5751" s="2" t="s">
        <v>73</v>
      </c>
      <c r="D5751" s="2" t="s">
        <v>74</v>
      </c>
      <c r="E5751" s="5">
        <v>-27913</v>
      </c>
      <c r="F5751" s="3" t="s">
        <v>829</v>
      </c>
      <c r="G5751" s="3" t="s">
        <v>276</v>
      </c>
      <c r="H5751" s="2" t="s">
        <v>21</v>
      </c>
      <c r="I5751" s="2" t="s">
        <v>11496</v>
      </c>
      <c r="J5751" s="3" t="str">
        <f>HYPERLINK("https://www.boe.es/gazeta/dias/1823/07/29/pdfs/GMD-1823-483.pdf#page=7","Abrir facsímil")</f>
        <v>Abrir facsímil</v>
      </c>
      <c r="K5751" s="3" t="s">
        <v>23</v>
      </c>
    </row>
    <row r="5752" spans="1:11" ht="42" customHeight="1">
      <c r="A5752" s="2" t="s">
        <v>11497</v>
      </c>
      <c r="B5752" s="2" t="s">
        <v>11497</v>
      </c>
      <c r="C5752" s="2" t="s">
        <v>17</v>
      </c>
      <c r="D5752" s="2" t="s">
        <v>18</v>
      </c>
      <c r="E5752" s="5">
        <v>-27944</v>
      </c>
      <c r="F5752" s="3" t="s">
        <v>2823</v>
      </c>
      <c r="G5752" s="3" t="s">
        <v>48</v>
      </c>
      <c r="H5752" s="2" t="s">
        <v>21</v>
      </c>
      <c r="I5752" s="2" t="s">
        <v>11498</v>
      </c>
      <c r="J5752" s="3" t="str">
        <f>HYPERLINK("https://www.boe.es/gazeta/dias/1823/06/28/pdfs/GES-1823-78.pdf#page=3","Abrir facsímil")</f>
        <v>Abrir facsímil</v>
      </c>
      <c r="K5752" s="3" t="s">
        <v>23</v>
      </c>
    </row>
    <row r="5753" spans="1:11" ht="42" customHeight="1">
      <c r="A5753" s="2" t="s">
        <v>11499</v>
      </c>
      <c r="B5753" s="2" t="s">
        <v>11499</v>
      </c>
      <c r="C5753" s="2" t="s">
        <v>56</v>
      </c>
      <c r="D5753" s="2" t="s">
        <v>57</v>
      </c>
      <c r="E5753" s="5">
        <v>-27944</v>
      </c>
      <c r="F5753" s="3" t="s">
        <v>2823</v>
      </c>
      <c r="G5753" s="3" t="s">
        <v>20</v>
      </c>
      <c r="H5753" s="2" t="s">
        <v>21</v>
      </c>
      <c r="I5753" s="2" t="s">
        <v>11500</v>
      </c>
      <c r="J5753" s="3" t="str">
        <f>HYPERLINK("https://www.boe.es/gazeta/dias/1823/06/28/pdfs/GES-1823-78.pdf#page=4","Abrir facsímil")</f>
        <v>Abrir facsímil</v>
      </c>
      <c r="K5753" s="3" t="s">
        <v>23</v>
      </c>
    </row>
    <row r="5754" spans="1:11" ht="42" customHeight="1">
      <c r="A5754" s="2" t="s">
        <v>11499</v>
      </c>
      <c r="B5754" s="2" t="s">
        <v>11499</v>
      </c>
      <c r="C5754" s="2" t="s">
        <v>56</v>
      </c>
      <c r="D5754" s="2" t="s">
        <v>57</v>
      </c>
      <c r="E5754" s="5">
        <v>-27942</v>
      </c>
      <c r="F5754" s="3" t="s">
        <v>596</v>
      </c>
      <c r="G5754" s="3" t="s">
        <v>48</v>
      </c>
      <c r="H5754" s="2" t="s">
        <v>21</v>
      </c>
      <c r="I5754" s="2" t="s">
        <v>11501</v>
      </c>
      <c r="J5754" s="3" t="str">
        <f>HYPERLINK("https://www.boe.es/gazeta/dias/1823/06/30/pdfs/GES-1823-80.pdf#page=3","Abrir facsímil")</f>
        <v>Abrir facsímil</v>
      </c>
      <c r="K5754" s="3" t="s">
        <v>23</v>
      </c>
    </row>
    <row r="5755" spans="1:11" ht="42" customHeight="1">
      <c r="A5755" s="2" t="s">
        <v>11499</v>
      </c>
      <c r="B5755" s="2" t="s">
        <v>11499</v>
      </c>
      <c r="C5755" s="2" t="s">
        <v>17</v>
      </c>
      <c r="D5755" s="2" t="s">
        <v>18</v>
      </c>
      <c r="E5755" s="5">
        <v>-27799</v>
      </c>
      <c r="F5755" s="3" t="s">
        <v>3388</v>
      </c>
      <c r="G5755" s="3" t="s">
        <v>39</v>
      </c>
      <c r="H5755" s="2" t="s">
        <v>21</v>
      </c>
      <c r="I5755" s="2" t="s">
        <v>11502</v>
      </c>
      <c r="J5755" s="3" t="str">
        <f>HYPERLINK("https://www.boe.es/gazeta/dias/1823/11/20/pdfs/GMD-1823-1143.pdf#page=1","Abrir facsímil")</f>
        <v>Abrir facsímil</v>
      </c>
      <c r="K5755" s="3" t="s">
        <v>23</v>
      </c>
    </row>
    <row r="5756" spans="1:11" ht="42" customHeight="1">
      <c r="A5756" s="2" t="s">
        <v>11503</v>
      </c>
      <c r="B5756" s="2" t="s">
        <v>11504</v>
      </c>
      <c r="C5756" s="2" t="s">
        <v>56</v>
      </c>
      <c r="D5756" s="2" t="s">
        <v>57</v>
      </c>
      <c r="E5756" s="5">
        <v>-28042</v>
      </c>
      <c r="F5756" s="3" t="s">
        <v>1218</v>
      </c>
      <c r="G5756" s="3" t="s">
        <v>20</v>
      </c>
      <c r="H5756" s="2" t="s">
        <v>21</v>
      </c>
      <c r="I5756" s="2" t="s">
        <v>11505</v>
      </c>
      <c r="J5756" s="3" t="str">
        <f>HYPERLINK("https://www.boe.es/gazeta/dias/1823/03/22/pdfs/GMD-1823-85.pdf#page=4","Abrir facsímil")</f>
        <v>Abrir facsímil</v>
      </c>
      <c r="K5756" s="3" t="s">
        <v>23</v>
      </c>
    </row>
    <row r="5757" spans="1:11" ht="42" customHeight="1">
      <c r="A5757" s="2" t="s">
        <v>11506</v>
      </c>
      <c r="B5757" s="2" t="s">
        <v>11506</v>
      </c>
      <c r="C5757" s="2" t="s">
        <v>17</v>
      </c>
      <c r="D5757" s="2" t="s">
        <v>18</v>
      </c>
      <c r="E5757" s="5">
        <v>-27827</v>
      </c>
      <c r="F5757" s="3" t="s">
        <v>531</v>
      </c>
      <c r="G5757" s="3" t="s">
        <v>39</v>
      </c>
      <c r="H5757" s="2" t="s">
        <v>21</v>
      </c>
      <c r="I5757" s="2" t="s">
        <v>11507</v>
      </c>
      <c r="J5757" s="3" t="str">
        <f>HYPERLINK("https://www.boe.es/gazeta/dias/1823/10/23/pdfs/GMD-1823-1013.pdf#page=1","Abrir facsímil")</f>
        <v>Abrir facsímil</v>
      </c>
      <c r="K5757" s="3" t="s">
        <v>23</v>
      </c>
    </row>
    <row r="5758" spans="1:11" ht="42" customHeight="1">
      <c r="A5758" s="2" t="s">
        <v>11508</v>
      </c>
      <c r="B5758" s="2" t="s">
        <v>11508</v>
      </c>
      <c r="C5758" s="2" t="s">
        <v>17</v>
      </c>
      <c r="D5758" s="2" t="s">
        <v>18</v>
      </c>
      <c r="E5758" s="5">
        <v>-28104</v>
      </c>
      <c r="F5758" s="3" t="s">
        <v>114</v>
      </c>
      <c r="G5758" s="3" t="s">
        <v>59</v>
      </c>
      <c r="H5758" s="2" t="s">
        <v>21</v>
      </c>
      <c r="I5758" s="2" t="s">
        <v>11509</v>
      </c>
      <c r="J5758" s="3" t="str">
        <f>HYPERLINK("https://www.boe.es/gazeta/dias/1823/01/19/pdfs/GMD-1823-19.pdf#page=6","Abrir facsímil")</f>
        <v>Abrir facsímil</v>
      </c>
      <c r="K5758" s="3" t="s">
        <v>23</v>
      </c>
    </row>
    <row r="5759" spans="1:11" ht="42" customHeight="1">
      <c r="A5759" s="2" t="s">
        <v>11508</v>
      </c>
      <c r="B5759" s="2" t="s">
        <v>11508</v>
      </c>
      <c r="C5759" s="2" t="s">
        <v>56</v>
      </c>
      <c r="D5759" s="2" t="s">
        <v>57</v>
      </c>
      <c r="E5759" s="5">
        <v>-28095</v>
      </c>
      <c r="F5759" s="3" t="s">
        <v>1770</v>
      </c>
      <c r="G5759" s="3" t="s">
        <v>27</v>
      </c>
      <c r="H5759" s="2" t="s">
        <v>21</v>
      </c>
      <c r="I5759" s="2" t="s">
        <v>11510</v>
      </c>
      <c r="J5759" s="3" t="str">
        <f>HYPERLINK("https://www.boe.es/gazeta/dias/1823/01/28/pdfs/GMD-1823-29.pdf#page=2","Abrir facsímil")</f>
        <v>Abrir facsímil</v>
      </c>
      <c r="K5759" s="3" t="s">
        <v>23</v>
      </c>
    </row>
    <row r="5760" spans="1:11" ht="42" customHeight="1">
      <c r="A5760" s="2" t="s">
        <v>11508</v>
      </c>
      <c r="B5760" s="2" t="s">
        <v>11508</v>
      </c>
      <c r="C5760" s="2" t="s">
        <v>84</v>
      </c>
      <c r="D5760" s="2" t="s">
        <v>74</v>
      </c>
      <c r="E5760" s="5">
        <v>-28094</v>
      </c>
      <c r="F5760" s="3" t="s">
        <v>93</v>
      </c>
      <c r="G5760" s="3" t="s">
        <v>20</v>
      </c>
      <c r="H5760" s="2" t="s">
        <v>21</v>
      </c>
      <c r="I5760" s="2" t="s">
        <v>11511</v>
      </c>
      <c r="J5760" s="3" t="str">
        <f>HYPERLINK("https://www.boe.es/gazeta/dias/1823/01/29/pdfs/GMD-1823-30.pdf#page=4","Abrir facsímil")</f>
        <v>Abrir facsímil</v>
      </c>
      <c r="K5760" s="3" t="s">
        <v>23</v>
      </c>
    </row>
    <row r="5761" spans="1:11" ht="42" customHeight="1">
      <c r="A5761" s="2" t="s">
        <v>11508</v>
      </c>
      <c r="B5761" s="2" t="s">
        <v>11508</v>
      </c>
      <c r="C5761" s="2" t="s">
        <v>56</v>
      </c>
      <c r="D5761" s="2" t="s">
        <v>57</v>
      </c>
      <c r="E5761" s="5">
        <v>-28092</v>
      </c>
      <c r="F5761" s="3" t="s">
        <v>105</v>
      </c>
      <c r="G5761" s="3" t="s">
        <v>20</v>
      </c>
      <c r="H5761" s="2" t="s">
        <v>21</v>
      </c>
      <c r="I5761" s="2" t="s">
        <v>11512</v>
      </c>
      <c r="J5761" s="3" t="str">
        <f>HYPERLINK("https://www.boe.es/gazeta/dias/1823/01/31/pdfs/GMD-1823-32.pdf#page=4","Abrir facsímil")</f>
        <v>Abrir facsímil</v>
      </c>
      <c r="K5761" s="3" t="s">
        <v>23</v>
      </c>
    </row>
    <row r="5762" spans="1:11" ht="42" customHeight="1">
      <c r="A5762" s="2" t="s">
        <v>11508</v>
      </c>
      <c r="B5762" s="2" t="s">
        <v>11508</v>
      </c>
      <c r="C5762" s="2" t="s">
        <v>56</v>
      </c>
      <c r="D5762" s="2" t="s">
        <v>57</v>
      </c>
      <c r="E5762" s="5">
        <v>-28082</v>
      </c>
      <c r="F5762" s="3" t="s">
        <v>468</v>
      </c>
      <c r="G5762" s="3" t="s">
        <v>59</v>
      </c>
      <c r="H5762" s="2" t="s">
        <v>21</v>
      </c>
      <c r="I5762" s="2" t="s">
        <v>11513</v>
      </c>
      <c r="J5762" s="3" t="str">
        <f>HYPERLINK("https://www.boe.es/gazeta/dias/1823/02/10/pdfs/GMD-1823-44.pdf#page=6","Abrir facsímil")</f>
        <v>Abrir facsímil</v>
      </c>
      <c r="K5762" s="3" t="s">
        <v>23</v>
      </c>
    </row>
    <row r="5763" spans="1:11" ht="42" customHeight="1">
      <c r="A5763" s="2" t="s">
        <v>11508</v>
      </c>
      <c r="B5763" s="2" t="s">
        <v>11508</v>
      </c>
      <c r="C5763" s="2" t="s">
        <v>79</v>
      </c>
      <c r="D5763" s="2" t="s">
        <v>74</v>
      </c>
      <c r="E5763" s="5">
        <v>-28081</v>
      </c>
      <c r="F5763" s="3" t="s">
        <v>170</v>
      </c>
      <c r="G5763" s="3" t="s">
        <v>20</v>
      </c>
      <c r="H5763" s="2" t="s">
        <v>21</v>
      </c>
      <c r="I5763" s="2" t="s">
        <v>11514</v>
      </c>
      <c r="J5763" s="3" t="str">
        <f>HYPERLINK("https://www.boe.es/gazeta/dias/1823/02/11/pdfs/GMD-1823-45.pdf#page=4","Abrir facsímil")</f>
        <v>Abrir facsímil</v>
      </c>
      <c r="K5763" s="3" t="s">
        <v>23</v>
      </c>
    </row>
    <row r="5764" spans="1:11" ht="42" customHeight="1">
      <c r="A5764" s="2" t="s">
        <v>11508</v>
      </c>
      <c r="B5764" s="2" t="s">
        <v>11508</v>
      </c>
      <c r="C5764" s="2" t="s">
        <v>73</v>
      </c>
      <c r="D5764" s="2" t="s">
        <v>74</v>
      </c>
      <c r="E5764" s="5">
        <v>-28074</v>
      </c>
      <c r="F5764" s="3" t="s">
        <v>212</v>
      </c>
      <c r="G5764" s="3" t="s">
        <v>296</v>
      </c>
      <c r="H5764" s="2" t="s">
        <v>21</v>
      </c>
      <c r="I5764" s="2" t="s">
        <v>11515</v>
      </c>
      <c r="J5764" s="3" t="str">
        <f>HYPERLINK("https://www.boe.es/gazeta/dias/1823/02/18/pdfs/GMD-1823-52.pdf#page=2","Abrir facsímil")</f>
        <v>Abrir facsímil</v>
      </c>
      <c r="K5764" s="3" t="s">
        <v>23</v>
      </c>
    </row>
    <row r="5765" spans="1:11" ht="42" customHeight="1">
      <c r="A5765" s="2" t="s">
        <v>11508</v>
      </c>
      <c r="B5765" s="2" t="s">
        <v>11508</v>
      </c>
      <c r="C5765" s="2" t="s">
        <v>79</v>
      </c>
      <c r="D5765" s="2" t="s">
        <v>74</v>
      </c>
      <c r="E5765" s="5">
        <v>-28073</v>
      </c>
      <c r="F5765" s="3" t="s">
        <v>204</v>
      </c>
      <c r="G5765" s="3" t="s">
        <v>20</v>
      </c>
      <c r="H5765" s="2" t="s">
        <v>21</v>
      </c>
      <c r="I5765" s="2" t="s">
        <v>11516</v>
      </c>
      <c r="J5765" s="3" t="str">
        <f>HYPERLINK("https://www.boe.es/gazeta/dias/1823/02/19/pdfs/GMD-1823-53.pdf#page=4","Abrir facsímil")</f>
        <v>Abrir facsímil</v>
      </c>
      <c r="K5765" s="3" t="s">
        <v>23</v>
      </c>
    </row>
    <row r="5766" spans="1:11" ht="42" customHeight="1">
      <c r="A5766" s="2" t="s">
        <v>11508</v>
      </c>
      <c r="B5766" s="2" t="s">
        <v>11508</v>
      </c>
      <c r="C5766" s="2" t="s">
        <v>56</v>
      </c>
      <c r="D5766" s="2" t="s">
        <v>57</v>
      </c>
      <c r="E5766" s="5">
        <v>-28069</v>
      </c>
      <c r="F5766" s="3" t="s">
        <v>2006</v>
      </c>
      <c r="G5766" s="3" t="s">
        <v>20</v>
      </c>
      <c r="H5766" s="2" t="s">
        <v>21</v>
      </c>
      <c r="I5766" s="2" t="s">
        <v>11517</v>
      </c>
      <c r="J5766" s="3" t="str">
        <f>HYPERLINK("https://www.boe.es/gazeta/dias/1823/02/23/pdfs/GMD-1823-57.pdf#page=4","Abrir facsímil")</f>
        <v>Abrir facsímil</v>
      </c>
      <c r="K5766" s="3" t="s">
        <v>23</v>
      </c>
    </row>
    <row r="5767" spans="1:11" ht="42" customHeight="1">
      <c r="A5767" s="2" t="s">
        <v>11508</v>
      </c>
      <c r="B5767" s="2" t="s">
        <v>11508</v>
      </c>
      <c r="C5767" s="2" t="s">
        <v>79</v>
      </c>
      <c r="D5767" s="2" t="s">
        <v>74</v>
      </c>
      <c r="E5767" s="5">
        <v>-28065</v>
      </c>
      <c r="F5767" s="3" t="s">
        <v>686</v>
      </c>
      <c r="G5767" s="3" t="s">
        <v>48</v>
      </c>
      <c r="H5767" s="2" t="s">
        <v>21</v>
      </c>
      <c r="I5767" s="2" t="s">
        <v>11518</v>
      </c>
      <c r="J5767" s="3" t="str">
        <f>HYPERLINK("https://www.boe.es/gazeta/dias/1823/02/27/pdfs/GMD-1823-61.pdf#page=3","Abrir facsímil")</f>
        <v>Abrir facsímil</v>
      </c>
      <c r="K5767" s="3" t="s">
        <v>23</v>
      </c>
    </row>
    <row r="5768" spans="1:11" ht="42" customHeight="1">
      <c r="A5768" s="2" t="s">
        <v>11508</v>
      </c>
      <c r="B5768" s="2" t="s">
        <v>11508</v>
      </c>
      <c r="C5768" s="2" t="s">
        <v>17</v>
      </c>
      <c r="D5768" s="2" t="s">
        <v>18</v>
      </c>
      <c r="E5768" s="5">
        <v>-28065</v>
      </c>
      <c r="F5768" s="3" t="s">
        <v>686</v>
      </c>
      <c r="G5768" s="3" t="s">
        <v>20</v>
      </c>
      <c r="H5768" s="2" t="s">
        <v>21</v>
      </c>
      <c r="I5768" s="2" t="s">
        <v>11519</v>
      </c>
      <c r="J5768" s="3" t="str">
        <f>HYPERLINK("https://www.boe.es/gazeta/dias/1823/02/27/pdfs/GMD-1823-61.pdf#page=4","Abrir facsímil")</f>
        <v>Abrir facsímil</v>
      </c>
      <c r="K5768" s="3" t="s">
        <v>23</v>
      </c>
    </row>
    <row r="5769" spans="1:11" ht="42" customHeight="1">
      <c r="A5769" s="2" t="s">
        <v>11508</v>
      </c>
      <c r="B5769" s="2" t="s">
        <v>11508</v>
      </c>
      <c r="C5769" s="2" t="s">
        <v>293</v>
      </c>
      <c r="D5769" s="2" t="s">
        <v>74</v>
      </c>
      <c r="E5769" s="5">
        <v>-28052</v>
      </c>
      <c r="F5769" s="3" t="s">
        <v>1025</v>
      </c>
      <c r="G5769" s="3" t="s">
        <v>59</v>
      </c>
      <c r="H5769" s="2" t="s">
        <v>21</v>
      </c>
      <c r="I5769" s="2" t="s">
        <v>11520</v>
      </c>
      <c r="J5769" s="3" t="str">
        <f>HYPERLINK("https://www.boe.es/gazeta/dias/1823/03/12/pdfs/GMD-1823-75.pdf#page=6","Abrir facsímil")</f>
        <v>Abrir facsímil</v>
      </c>
      <c r="K5769" s="3" t="s">
        <v>23</v>
      </c>
    </row>
    <row r="5770" spans="1:11" ht="42" customHeight="1">
      <c r="A5770" s="2" t="s">
        <v>11508</v>
      </c>
      <c r="B5770" s="2" t="s">
        <v>11508</v>
      </c>
      <c r="C5770" s="2" t="s">
        <v>17</v>
      </c>
      <c r="D5770" s="2" t="s">
        <v>18</v>
      </c>
      <c r="E5770" s="5">
        <v>-28048</v>
      </c>
      <c r="F5770" s="3" t="s">
        <v>399</v>
      </c>
      <c r="G5770" s="3" t="s">
        <v>59</v>
      </c>
      <c r="H5770" s="2" t="s">
        <v>21</v>
      </c>
      <c r="I5770" s="2" t="s">
        <v>11521</v>
      </c>
      <c r="J5770" s="3" t="str">
        <f>HYPERLINK("https://www.boe.es/gazeta/dias/1823/03/16/pdfs/GMD-1823-79.pdf#page=6","Abrir facsímil")</f>
        <v>Abrir facsímil</v>
      </c>
      <c r="K5770" s="3" t="s">
        <v>23</v>
      </c>
    </row>
    <row r="5771" spans="1:11" ht="42" customHeight="1">
      <c r="A5771" s="2" t="s">
        <v>11508</v>
      </c>
      <c r="B5771" s="2" t="s">
        <v>11508</v>
      </c>
      <c r="C5771" s="2" t="s">
        <v>79</v>
      </c>
      <c r="D5771" s="2" t="s">
        <v>74</v>
      </c>
      <c r="E5771" s="5">
        <v>-28037</v>
      </c>
      <c r="F5771" s="3" t="s">
        <v>192</v>
      </c>
      <c r="G5771" s="3" t="s">
        <v>48</v>
      </c>
      <c r="H5771" s="2" t="s">
        <v>21</v>
      </c>
      <c r="I5771" s="2" t="s">
        <v>11522</v>
      </c>
      <c r="J5771" s="3" t="str">
        <f>HYPERLINK("https://www.boe.es/gazeta/dias/1823/03/27/pdfs/GMD-1823-90.pdf#page=3","Abrir facsímil")</f>
        <v>Abrir facsímil</v>
      </c>
      <c r="K5771" s="3" t="s">
        <v>23</v>
      </c>
    </row>
    <row r="5772" spans="1:11" ht="42" customHeight="1">
      <c r="A5772" s="2" t="s">
        <v>11508</v>
      </c>
      <c r="B5772" s="2" t="s">
        <v>11508</v>
      </c>
      <c r="C5772" s="2" t="s">
        <v>79</v>
      </c>
      <c r="D5772" s="2" t="s">
        <v>74</v>
      </c>
      <c r="E5772" s="5">
        <v>-28037</v>
      </c>
      <c r="F5772" s="3" t="s">
        <v>192</v>
      </c>
      <c r="G5772" s="3" t="s">
        <v>20</v>
      </c>
      <c r="H5772" s="2" t="s">
        <v>21</v>
      </c>
      <c r="I5772" s="2" t="s">
        <v>11523</v>
      </c>
      <c r="J5772" s="3" t="str">
        <f>HYPERLINK("https://www.boe.es/gazeta/dias/1823/03/27/pdfs/GMD-1823-90.pdf#page=4","Abrir facsímil")</f>
        <v>Abrir facsímil</v>
      </c>
      <c r="K5772" s="3" t="s">
        <v>23</v>
      </c>
    </row>
    <row r="5773" spans="1:11" ht="42" customHeight="1">
      <c r="A5773" s="2" t="s">
        <v>11508</v>
      </c>
      <c r="B5773" s="2" t="s">
        <v>11508</v>
      </c>
      <c r="C5773" s="2" t="s">
        <v>79</v>
      </c>
      <c r="D5773" s="2" t="s">
        <v>74</v>
      </c>
      <c r="E5773" s="5">
        <v>-28032</v>
      </c>
      <c r="F5773" s="3" t="s">
        <v>668</v>
      </c>
      <c r="G5773" s="3" t="s">
        <v>39</v>
      </c>
      <c r="H5773" s="2" t="s">
        <v>21</v>
      </c>
      <c r="I5773" s="2" t="s">
        <v>11524</v>
      </c>
      <c r="J5773" s="3" t="str">
        <f>HYPERLINK("https://www.boe.es/gazeta/dias/1823/04/01/pdfs/GMD-1823-95.pdf#page=1","Abrir facsímil")</f>
        <v>Abrir facsímil</v>
      </c>
      <c r="K5773" s="3" t="s">
        <v>23</v>
      </c>
    </row>
    <row r="5774" spans="1:11" ht="42" customHeight="1">
      <c r="A5774" s="2" t="s">
        <v>11508</v>
      </c>
      <c r="B5774" s="2" t="s">
        <v>11508</v>
      </c>
      <c r="C5774" s="2" t="s">
        <v>84</v>
      </c>
      <c r="D5774" s="2" t="s">
        <v>74</v>
      </c>
      <c r="E5774" s="5">
        <v>-28028</v>
      </c>
      <c r="F5774" s="3" t="s">
        <v>893</v>
      </c>
      <c r="G5774" s="3" t="s">
        <v>20</v>
      </c>
      <c r="H5774" s="2" t="s">
        <v>21</v>
      </c>
      <c r="I5774" s="2" t="s">
        <v>11525</v>
      </c>
      <c r="J5774" s="3" t="str">
        <f>HYPERLINK("https://www.boe.es/gazeta/dias/1823/04/05/pdfs/GMD-1823-99.pdf#page=4","Abrir facsímil")</f>
        <v>Abrir facsímil</v>
      </c>
      <c r="K5774" s="3" t="s">
        <v>23</v>
      </c>
    </row>
    <row r="5775" spans="1:11" ht="42" customHeight="1">
      <c r="A5775" s="2" t="s">
        <v>11508</v>
      </c>
      <c r="B5775" s="2" t="s">
        <v>11508</v>
      </c>
      <c r="C5775" s="2" t="s">
        <v>17</v>
      </c>
      <c r="D5775" s="2" t="s">
        <v>18</v>
      </c>
      <c r="E5775" s="5">
        <v>-28024</v>
      </c>
      <c r="F5775" s="3" t="s">
        <v>1659</v>
      </c>
      <c r="G5775" s="3" t="s">
        <v>11526</v>
      </c>
      <c r="H5775" s="2" t="s">
        <v>21</v>
      </c>
      <c r="I5775" s="2" t="s">
        <v>11527</v>
      </c>
      <c r="J5775" s="3" t="str">
        <f>HYPERLINK("https://www.boe.es/gazeta/dias/1823/04/09/pdfs/GMD-1823-104.pdf#page=4","Abrir facsímil")</f>
        <v>Abrir facsímil</v>
      </c>
      <c r="K5775" s="3" t="s">
        <v>23</v>
      </c>
    </row>
    <row r="5776" spans="1:11" ht="42" customHeight="1">
      <c r="A5776" s="2" t="s">
        <v>11508</v>
      </c>
      <c r="B5776" s="2" t="s">
        <v>11508</v>
      </c>
      <c r="C5776" s="2" t="s">
        <v>17</v>
      </c>
      <c r="D5776" s="2" t="s">
        <v>18</v>
      </c>
      <c r="E5776" s="5">
        <v>-28019</v>
      </c>
      <c r="F5776" s="3" t="s">
        <v>1663</v>
      </c>
      <c r="G5776" s="3" t="s">
        <v>27</v>
      </c>
      <c r="H5776" s="2" t="s">
        <v>21</v>
      </c>
      <c r="I5776" s="2" t="s">
        <v>11528</v>
      </c>
      <c r="J5776" s="3" t="str">
        <f>HYPERLINK("https://www.boe.es/gazeta/dias/1823/04/14/pdfs/GES-1823-4.pdf#page=2","Abrir facsímil")</f>
        <v>Abrir facsímil</v>
      </c>
      <c r="K5776" s="3" t="s">
        <v>23</v>
      </c>
    </row>
    <row r="5777" spans="1:11" ht="42" customHeight="1">
      <c r="A5777" s="2" t="s">
        <v>11508</v>
      </c>
      <c r="B5777" s="2" t="s">
        <v>11508</v>
      </c>
      <c r="C5777" s="2" t="s">
        <v>79</v>
      </c>
      <c r="D5777" s="2" t="s">
        <v>74</v>
      </c>
      <c r="E5777" s="5">
        <v>-28018</v>
      </c>
      <c r="F5777" s="3" t="s">
        <v>275</v>
      </c>
      <c r="G5777" s="3" t="s">
        <v>20</v>
      </c>
      <c r="H5777" s="2" t="s">
        <v>21</v>
      </c>
      <c r="I5777" s="2" t="s">
        <v>11529</v>
      </c>
      <c r="J5777" s="3" t="str">
        <f>HYPERLINK("https://www.boe.es/gazeta/dias/1823/04/15/pdfs/GMD-1823-12.pdf#page=4","Abrir facsímil")</f>
        <v>Abrir facsímil</v>
      </c>
      <c r="K5777" s="3" t="s">
        <v>23</v>
      </c>
    </row>
    <row r="5778" spans="1:11" ht="42" customHeight="1">
      <c r="A5778" s="2" t="s">
        <v>11508</v>
      </c>
      <c r="B5778" s="2" t="s">
        <v>11508</v>
      </c>
      <c r="C5778" s="2" t="s">
        <v>109</v>
      </c>
      <c r="D5778" s="2" t="s">
        <v>74</v>
      </c>
      <c r="E5778" s="5">
        <v>-28007</v>
      </c>
      <c r="F5778" s="3" t="s">
        <v>311</v>
      </c>
      <c r="G5778" s="3" t="s">
        <v>1968</v>
      </c>
      <c r="H5778" s="2" t="s">
        <v>21</v>
      </c>
      <c r="I5778" s="2" t="s">
        <v>11530</v>
      </c>
      <c r="J5778" s="3" t="str">
        <f>HYPERLINK("https://www.boe.es/gazeta/dias/1823/04/26/pdfs/GES-1823-16.pdf#page=4","Abrir facsímil")</f>
        <v>Abrir facsímil</v>
      </c>
      <c r="K5778" s="3" t="s">
        <v>23</v>
      </c>
    </row>
    <row r="5779" spans="1:11" ht="42" customHeight="1">
      <c r="A5779" s="2" t="s">
        <v>11531</v>
      </c>
      <c r="B5779" s="2" t="s">
        <v>11531</v>
      </c>
      <c r="C5779" s="2" t="s">
        <v>79</v>
      </c>
      <c r="D5779" s="2" t="s">
        <v>74</v>
      </c>
      <c r="E5779" s="5">
        <v>-28004</v>
      </c>
      <c r="F5779" s="3" t="s">
        <v>313</v>
      </c>
      <c r="G5779" s="3" t="s">
        <v>27</v>
      </c>
      <c r="H5779" s="2" t="s">
        <v>21</v>
      </c>
      <c r="I5779" s="2" t="s">
        <v>11532</v>
      </c>
      <c r="J5779" s="3" t="str">
        <f>HYPERLINK("https://www.boe.es/gazeta/dias/1823/04/29/pdfs/GMD-1823-72.pdf#page=2","Abrir facsímil")</f>
        <v>Abrir facsímil</v>
      </c>
      <c r="K5779" s="3" t="s">
        <v>23</v>
      </c>
    </row>
    <row r="5780" spans="1:11" ht="42" customHeight="1">
      <c r="A5780" s="2" t="s">
        <v>11508</v>
      </c>
      <c r="B5780" s="2" t="s">
        <v>11508</v>
      </c>
      <c r="C5780" s="2" t="s">
        <v>84</v>
      </c>
      <c r="D5780" s="2" t="s">
        <v>74</v>
      </c>
      <c r="E5780" s="5">
        <v>-27997</v>
      </c>
      <c r="F5780" s="3" t="s">
        <v>317</v>
      </c>
      <c r="G5780" s="3" t="s">
        <v>39</v>
      </c>
      <c r="H5780" s="2" t="s">
        <v>21</v>
      </c>
      <c r="I5780" s="2" t="s">
        <v>11533</v>
      </c>
      <c r="J5780" s="3" t="str">
        <f>HYPERLINK("https://www.boe.es/gazeta/dias/1823/05/06/pdfs/GES-1823-26.pdf#page=1","Abrir facsímil")</f>
        <v>Abrir facsímil</v>
      </c>
      <c r="K5780" s="3" t="s">
        <v>23</v>
      </c>
    </row>
    <row r="5781" spans="1:11" ht="42" customHeight="1">
      <c r="A5781" s="2" t="s">
        <v>11508</v>
      </c>
      <c r="B5781" s="2" t="s">
        <v>11508</v>
      </c>
      <c r="C5781" s="2" t="s">
        <v>17</v>
      </c>
      <c r="D5781" s="2" t="s">
        <v>18</v>
      </c>
      <c r="E5781" s="5">
        <v>-27996</v>
      </c>
      <c r="F5781" s="3" t="s">
        <v>695</v>
      </c>
      <c r="G5781" s="3" t="s">
        <v>27</v>
      </c>
      <c r="H5781" s="2" t="s">
        <v>21</v>
      </c>
      <c r="I5781" s="2" t="s">
        <v>11534</v>
      </c>
      <c r="J5781" s="3" t="str">
        <f>HYPERLINK("https://www.boe.es/gazeta/dias/1823/05/07/pdfs/GES-1823-27.pdf#page=2","Abrir facsímil")</f>
        <v>Abrir facsímil</v>
      </c>
      <c r="K5781" s="3" t="s">
        <v>23</v>
      </c>
    </row>
    <row r="5782" spans="1:11" ht="42" customHeight="1">
      <c r="A5782" s="2" t="s">
        <v>11508</v>
      </c>
      <c r="B5782" s="2" t="s">
        <v>11508</v>
      </c>
      <c r="C5782" s="2" t="s">
        <v>17</v>
      </c>
      <c r="D5782" s="2" t="s">
        <v>18</v>
      </c>
      <c r="E5782" s="5">
        <v>-27992</v>
      </c>
      <c r="F5782" s="3" t="s">
        <v>565</v>
      </c>
      <c r="G5782" s="3" t="s">
        <v>20</v>
      </c>
      <c r="H5782" s="2" t="s">
        <v>21</v>
      </c>
      <c r="I5782" s="2" t="s">
        <v>11535</v>
      </c>
      <c r="J5782" s="3" t="str">
        <f>HYPERLINK("https://www.boe.es/gazeta/dias/1823/05/11/pdfs/GES-1823-31.pdf#page=4","Abrir facsímil")</f>
        <v>Abrir facsímil</v>
      </c>
      <c r="K5782" s="3" t="s">
        <v>23</v>
      </c>
    </row>
    <row r="5783" spans="1:11" ht="42" customHeight="1">
      <c r="A5783" s="2" t="s">
        <v>11508</v>
      </c>
      <c r="B5783" s="2" t="s">
        <v>11508</v>
      </c>
      <c r="C5783" s="2" t="s">
        <v>17</v>
      </c>
      <c r="D5783" s="2" t="s">
        <v>18</v>
      </c>
      <c r="E5783" s="5">
        <v>-27991</v>
      </c>
      <c r="F5783" s="3" t="s">
        <v>328</v>
      </c>
      <c r="G5783" s="3" t="s">
        <v>34</v>
      </c>
      <c r="H5783" s="2" t="s">
        <v>21</v>
      </c>
      <c r="I5783" s="2" t="s">
        <v>11536</v>
      </c>
      <c r="J5783" s="3" t="str">
        <f>HYPERLINK("https://www.boe.es/gazeta/dias/1823/05/12/pdfs/GES-1823-32.pdf#page=5","Abrir facsímil")</f>
        <v>Abrir facsímil</v>
      </c>
      <c r="K5783" s="3" t="s">
        <v>23</v>
      </c>
    </row>
    <row r="5784" spans="1:11" ht="42" customHeight="1">
      <c r="A5784" s="2" t="s">
        <v>11508</v>
      </c>
      <c r="B5784" s="2" t="s">
        <v>11508</v>
      </c>
      <c r="C5784" s="2" t="s">
        <v>109</v>
      </c>
      <c r="D5784" s="2" t="s">
        <v>74</v>
      </c>
      <c r="E5784" s="5">
        <v>-27987</v>
      </c>
      <c r="F5784" s="3" t="s">
        <v>332</v>
      </c>
      <c r="G5784" s="3" t="s">
        <v>39</v>
      </c>
      <c r="H5784" s="2" t="s">
        <v>21</v>
      </c>
      <c r="I5784" s="2" t="s">
        <v>11537</v>
      </c>
      <c r="J5784" s="3" t="str">
        <f>HYPERLINK("https://www.boe.es/gazeta/dias/1823/05/16/pdfs/GES-1823-36.pdf#page=1","Abrir facsímil")</f>
        <v>Abrir facsímil</v>
      </c>
      <c r="K5784" s="3" t="s">
        <v>23</v>
      </c>
    </row>
    <row r="5785" spans="1:11" ht="42" customHeight="1">
      <c r="A5785" s="2" t="s">
        <v>11508</v>
      </c>
      <c r="B5785" s="2" t="s">
        <v>11508</v>
      </c>
      <c r="C5785" s="2" t="s">
        <v>293</v>
      </c>
      <c r="D5785" s="2" t="s">
        <v>74</v>
      </c>
      <c r="E5785" s="5">
        <v>-27985</v>
      </c>
      <c r="F5785" s="3" t="s">
        <v>951</v>
      </c>
      <c r="G5785" s="3" t="s">
        <v>27</v>
      </c>
      <c r="H5785" s="2" t="s">
        <v>21</v>
      </c>
      <c r="I5785" s="2" t="s">
        <v>11538</v>
      </c>
      <c r="J5785" s="3" t="str">
        <f>HYPERLINK("https://www.boe.es/gazeta/dias/1823/05/18/pdfs/GES-1823-38.pdf#page=2","Abrir facsímil")</f>
        <v>Abrir facsímil</v>
      </c>
      <c r="K5785" s="3" t="s">
        <v>23</v>
      </c>
    </row>
    <row r="5786" spans="1:11" ht="42" customHeight="1">
      <c r="A5786" s="2" t="s">
        <v>11508</v>
      </c>
      <c r="B5786" s="2" t="s">
        <v>11508</v>
      </c>
      <c r="C5786" s="2" t="s">
        <v>73</v>
      </c>
      <c r="D5786" s="2" t="s">
        <v>74</v>
      </c>
      <c r="E5786" s="5">
        <v>-27978</v>
      </c>
      <c r="F5786" s="3" t="s">
        <v>342</v>
      </c>
      <c r="G5786" s="3" t="s">
        <v>34</v>
      </c>
      <c r="H5786" s="2" t="s">
        <v>21</v>
      </c>
      <c r="I5786" s="2" t="s">
        <v>11539</v>
      </c>
      <c r="J5786" s="3" t="str">
        <f>HYPERLINK("https://www.boe.es/gazeta/dias/1823/05/25/pdfs/GES-1823-46.pdf#page=5","Abrir facsímil")</f>
        <v>Abrir facsímil</v>
      </c>
      <c r="K5786" s="3" t="s">
        <v>23</v>
      </c>
    </row>
    <row r="5787" spans="1:11" ht="42" customHeight="1">
      <c r="A5787" s="2" t="s">
        <v>11508</v>
      </c>
      <c r="B5787" s="2" t="s">
        <v>11508</v>
      </c>
      <c r="C5787" s="2" t="s">
        <v>293</v>
      </c>
      <c r="D5787" s="2" t="s">
        <v>74</v>
      </c>
      <c r="E5787" s="5">
        <v>-27978</v>
      </c>
      <c r="F5787" s="3" t="s">
        <v>342</v>
      </c>
      <c r="G5787" s="3" t="s">
        <v>59</v>
      </c>
      <c r="H5787" s="2" t="s">
        <v>21</v>
      </c>
      <c r="I5787" s="2" t="s">
        <v>11540</v>
      </c>
      <c r="J5787" s="3" t="str">
        <f>HYPERLINK("https://www.boe.es/gazeta/dias/1823/05/25/pdfs/GES-1823-46.pdf#page=6","Abrir facsímil")</f>
        <v>Abrir facsímil</v>
      </c>
      <c r="K5787" s="3" t="s">
        <v>23</v>
      </c>
    </row>
    <row r="5788" spans="1:11" ht="42" customHeight="1">
      <c r="A5788" s="2" t="s">
        <v>11508</v>
      </c>
      <c r="B5788" s="2" t="s">
        <v>11508</v>
      </c>
      <c r="C5788" s="2" t="s">
        <v>293</v>
      </c>
      <c r="D5788" s="2" t="s">
        <v>74</v>
      </c>
      <c r="E5788" s="5">
        <v>-27977</v>
      </c>
      <c r="F5788" s="3" t="s">
        <v>1489</v>
      </c>
      <c r="G5788" s="3" t="s">
        <v>39</v>
      </c>
      <c r="H5788" s="2" t="s">
        <v>21</v>
      </c>
      <c r="I5788" s="2" t="s">
        <v>11541</v>
      </c>
      <c r="J5788" s="3" t="str">
        <f>HYPERLINK("https://www.boe.es/gazeta/dias/1823/05/26/pdfs/GES-1823-47.pdf#page=1","Abrir facsímil")</f>
        <v>Abrir facsímil</v>
      </c>
      <c r="K5788" s="3" t="s">
        <v>23</v>
      </c>
    </row>
    <row r="5789" spans="1:11" ht="42" customHeight="1">
      <c r="A5789" s="2" t="s">
        <v>11508</v>
      </c>
      <c r="B5789" s="2" t="s">
        <v>11508</v>
      </c>
      <c r="C5789" s="2" t="s">
        <v>17</v>
      </c>
      <c r="D5789" s="2" t="s">
        <v>18</v>
      </c>
      <c r="E5789" s="5">
        <v>-27975</v>
      </c>
      <c r="F5789" s="3" t="s">
        <v>47</v>
      </c>
      <c r="G5789" s="3" t="s">
        <v>20</v>
      </c>
      <c r="H5789" s="2" t="s">
        <v>21</v>
      </c>
      <c r="I5789" s="2" t="s">
        <v>11542</v>
      </c>
      <c r="J5789" s="3" t="str">
        <f>HYPERLINK("https://www.boe.es/gazeta/dias/1823/05/28/pdfs/GES-1823-50.pdf#page=4","Abrir facsímil")</f>
        <v>Abrir facsímil</v>
      </c>
      <c r="K5789" s="3" t="s">
        <v>23</v>
      </c>
    </row>
    <row r="5790" spans="1:11" ht="42" customHeight="1">
      <c r="A5790" s="2" t="s">
        <v>11508</v>
      </c>
      <c r="B5790" s="2" t="s">
        <v>11508</v>
      </c>
      <c r="C5790" s="2" t="s">
        <v>56</v>
      </c>
      <c r="D5790" s="2" t="s">
        <v>57</v>
      </c>
      <c r="E5790" s="5">
        <v>-27974</v>
      </c>
      <c r="F5790" s="3" t="s">
        <v>618</v>
      </c>
      <c r="G5790" s="3" t="s">
        <v>59</v>
      </c>
      <c r="H5790" s="2" t="s">
        <v>21</v>
      </c>
      <c r="I5790" s="2" t="s">
        <v>11543</v>
      </c>
      <c r="J5790" s="3" t="str">
        <f>HYPERLINK("https://www.boe.es/gazeta/dias/1823/05/29/pdfs/GES-1823-52.pdf#page=6","Abrir facsímil")</f>
        <v>Abrir facsímil</v>
      </c>
      <c r="K5790" s="3" t="s">
        <v>23</v>
      </c>
    </row>
    <row r="5791" spans="1:11" ht="42" customHeight="1">
      <c r="A5791" s="2" t="s">
        <v>11508</v>
      </c>
      <c r="B5791" s="2" t="s">
        <v>11508</v>
      </c>
      <c r="C5791" s="2" t="s">
        <v>17</v>
      </c>
      <c r="D5791" s="2" t="s">
        <v>18</v>
      </c>
      <c r="E5791" s="5">
        <v>-27971</v>
      </c>
      <c r="F5791" s="3" t="s">
        <v>4211</v>
      </c>
      <c r="G5791" s="3" t="s">
        <v>20</v>
      </c>
      <c r="H5791" s="2" t="s">
        <v>21</v>
      </c>
      <c r="I5791" s="2" t="s">
        <v>11544</v>
      </c>
      <c r="J5791" s="3" t="str">
        <f>HYPERLINK("https://www.boe.es/gazeta/dias/1823/06/01/pdfs/GES-1823-55.pdf#page=4","Abrir facsímil")</f>
        <v>Abrir facsímil</v>
      </c>
      <c r="K5791" s="3" t="s">
        <v>23</v>
      </c>
    </row>
    <row r="5792" spans="1:11" ht="42" customHeight="1">
      <c r="A5792" s="2" t="s">
        <v>11508</v>
      </c>
      <c r="B5792" s="2" t="s">
        <v>11508</v>
      </c>
      <c r="C5792" s="2" t="s">
        <v>17</v>
      </c>
      <c r="D5792" s="2" t="s">
        <v>18</v>
      </c>
      <c r="E5792" s="5">
        <v>-27970</v>
      </c>
      <c r="F5792" s="3" t="s">
        <v>1030</v>
      </c>
      <c r="G5792" s="3" t="s">
        <v>20</v>
      </c>
      <c r="H5792" s="2" t="s">
        <v>21</v>
      </c>
      <c r="I5792" s="2" t="s">
        <v>11545</v>
      </c>
      <c r="J5792" s="3" t="str">
        <f>HYPERLINK("https://www.boe.es/gazeta/dias/1823/06/02/pdfs/GES-1823-56.pdf#page=4","Abrir facsímil")</f>
        <v>Abrir facsímil</v>
      </c>
      <c r="K5792" s="3" t="s">
        <v>23</v>
      </c>
    </row>
    <row r="5793" spans="1:11" ht="42" customHeight="1">
      <c r="A5793" s="2" t="s">
        <v>11508</v>
      </c>
      <c r="B5793" s="2" t="s">
        <v>11508</v>
      </c>
      <c r="C5793" s="2" t="s">
        <v>17</v>
      </c>
      <c r="D5793" s="2" t="s">
        <v>18</v>
      </c>
      <c r="E5793" s="5">
        <v>-27968</v>
      </c>
      <c r="F5793" s="3" t="s">
        <v>1160</v>
      </c>
      <c r="G5793" s="3" t="s">
        <v>39</v>
      </c>
      <c r="H5793" s="2" t="s">
        <v>21</v>
      </c>
      <c r="I5793" s="2" t="s">
        <v>11546</v>
      </c>
      <c r="J5793" s="3" t="str">
        <f>HYPERLINK("https://www.boe.es/gazeta/dias/1823/06/04/pdfs/GES-1823-58.pdf#page=1","Abrir facsímil")</f>
        <v>Abrir facsímil</v>
      </c>
      <c r="K5793" s="3" t="s">
        <v>23</v>
      </c>
    </row>
    <row r="5794" spans="1:11" ht="42" customHeight="1">
      <c r="A5794" s="2" t="s">
        <v>11508</v>
      </c>
      <c r="B5794" s="2" t="s">
        <v>11508</v>
      </c>
      <c r="C5794" s="2" t="s">
        <v>79</v>
      </c>
      <c r="D5794" s="2" t="s">
        <v>74</v>
      </c>
      <c r="E5794" s="5">
        <v>-27962</v>
      </c>
      <c r="F5794" s="3" t="s">
        <v>594</v>
      </c>
      <c r="G5794" s="3" t="s">
        <v>27</v>
      </c>
      <c r="H5794" s="2" t="s">
        <v>21</v>
      </c>
      <c r="I5794" s="2" t="s">
        <v>11547</v>
      </c>
      <c r="J5794" s="3" t="str">
        <f>HYPERLINK("https://www.boe.es/gazeta/dias/1823/06/10/pdfs/GES-1823-64.pdf#page=2","Abrir facsímil")</f>
        <v>Abrir facsímil</v>
      </c>
      <c r="K5794" s="3" t="s">
        <v>23</v>
      </c>
    </row>
    <row r="5795" spans="1:11" ht="42" customHeight="1">
      <c r="A5795" s="2" t="s">
        <v>11508</v>
      </c>
      <c r="B5795" s="2" t="s">
        <v>11508</v>
      </c>
      <c r="C5795" s="2" t="s">
        <v>17</v>
      </c>
      <c r="D5795" s="2" t="s">
        <v>18</v>
      </c>
      <c r="E5795" s="5">
        <v>-27962</v>
      </c>
      <c r="F5795" s="3" t="s">
        <v>594</v>
      </c>
      <c r="G5795" s="3" t="s">
        <v>20</v>
      </c>
      <c r="H5795" s="2" t="s">
        <v>21</v>
      </c>
      <c r="I5795" s="2" t="s">
        <v>11548</v>
      </c>
      <c r="J5795" s="3" t="str">
        <f>HYPERLINK("https://www.boe.es/gazeta/dias/1823/06/10/pdfs/GES-1823-64.pdf#page=4","Abrir facsímil")</f>
        <v>Abrir facsímil</v>
      </c>
      <c r="K5795" s="3" t="s">
        <v>23</v>
      </c>
    </row>
    <row r="5796" spans="1:11" ht="42" customHeight="1">
      <c r="A5796" s="2" t="s">
        <v>11508</v>
      </c>
      <c r="B5796" s="2" t="s">
        <v>11508</v>
      </c>
      <c r="C5796" s="2" t="s">
        <v>17</v>
      </c>
      <c r="D5796" s="2" t="s">
        <v>18</v>
      </c>
      <c r="E5796" s="5">
        <v>-27939</v>
      </c>
      <c r="F5796" s="3" t="s">
        <v>1403</v>
      </c>
      <c r="G5796" s="3" t="s">
        <v>715</v>
      </c>
      <c r="H5796" s="2" t="s">
        <v>21</v>
      </c>
      <c r="I5796" s="2" t="s">
        <v>11549</v>
      </c>
      <c r="J5796" s="3" t="str">
        <f>HYPERLINK("https://www.boe.es/gazeta/dias/1823/07/03/pdfs/GMD-1823-333.pdf#page=8","Abrir facsímil")</f>
        <v>Abrir facsímil</v>
      </c>
      <c r="K5796" s="3" t="s">
        <v>23</v>
      </c>
    </row>
    <row r="5797" spans="1:11" ht="42" customHeight="1">
      <c r="A5797" s="2" t="s">
        <v>11508</v>
      </c>
      <c r="B5797" s="2" t="s">
        <v>11508</v>
      </c>
      <c r="C5797" s="2" t="s">
        <v>56</v>
      </c>
      <c r="D5797" s="2" t="s">
        <v>57</v>
      </c>
      <c r="E5797" s="5">
        <v>-27934</v>
      </c>
      <c r="F5797" s="3" t="s">
        <v>634</v>
      </c>
      <c r="G5797" s="3" t="s">
        <v>39</v>
      </c>
      <c r="H5797" s="2" t="s">
        <v>21</v>
      </c>
      <c r="I5797" s="2" t="s">
        <v>11550</v>
      </c>
      <c r="J5797" s="3" t="str">
        <f>HYPERLINK("https://www.boe.es/gazeta/dias/1823/07/08/pdfs/GMD-1823-353.pdf#page=1","Abrir facsímil")</f>
        <v>Abrir facsímil</v>
      </c>
      <c r="K5797" s="3" t="s">
        <v>23</v>
      </c>
    </row>
    <row r="5798" spans="1:11" ht="42" customHeight="1">
      <c r="A5798" s="2" t="s">
        <v>11508</v>
      </c>
      <c r="B5798" s="2" t="s">
        <v>11508</v>
      </c>
      <c r="C5798" s="2" t="s">
        <v>17</v>
      </c>
      <c r="D5798" s="2" t="s">
        <v>18</v>
      </c>
      <c r="E5798" s="5">
        <v>-27924</v>
      </c>
      <c r="F5798" s="3" t="s">
        <v>2385</v>
      </c>
      <c r="G5798" s="3" t="s">
        <v>39</v>
      </c>
      <c r="H5798" s="2" t="s">
        <v>21</v>
      </c>
      <c r="I5798" s="2" t="s">
        <v>11551</v>
      </c>
      <c r="J5798" s="3" t="str">
        <f>HYPERLINK("https://www.boe.es/gazeta/dias/1823/07/18/pdfs/GES-1823-99.pdf#page=1","Abrir facsímil")</f>
        <v>Abrir facsímil</v>
      </c>
      <c r="K5798" s="3" t="s">
        <v>23</v>
      </c>
    </row>
    <row r="5799" spans="1:11" ht="42" customHeight="1">
      <c r="A5799" s="2" t="s">
        <v>11508</v>
      </c>
      <c r="B5799" s="2" t="s">
        <v>11508</v>
      </c>
      <c r="C5799" s="2" t="s">
        <v>17</v>
      </c>
      <c r="D5799" s="2" t="s">
        <v>18</v>
      </c>
      <c r="E5799" s="5">
        <v>-27911</v>
      </c>
      <c r="F5799" s="3" t="s">
        <v>368</v>
      </c>
      <c r="G5799" s="3" t="s">
        <v>39</v>
      </c>
      <c r="H5799" s="2" t="s">
        <v>21</v>
      </c>
      <c r="I5799" s="2" t="s">
        <v>11552</v>
      </c>
      <c r="J5799" s="3" t="str">
        <f>HYPERLINK("https://www.boe.es/gazeta/dias/1823/07/31/pdfs/GES-1823-112.pdf#page=1","Abrir facsímil")</f>
        <v>Abrir facsímil</v>
      </c>
      <c r="K5799" s="3" t="s">
        <v>23</v>
      </c>
    </row>
    <row r="5800" spans="1:11" ht="42" customHeight="1">
      <c r="A5800" s="2" t="s">
        <v>11508</v>
      </c>
      <c r="B5800" s="2" t="s">
        <v>11508</v>
      </c>
      <c r="C5800" s="2" t="s">
        <v>109</v>
      </c>
      <c r="D5800" s="2" t="s">
        <v>74</v>
      </c>
      <c r="E5800" s="5">
        <v>-27909</v>
      </c>
      <c r="F5800" s="3" t="s">
        <v>948</v>
      </c>
      <c r="G5800" s="3" t="s">
        <v>20</v>
      </c>
      <c r="H5800" s="2" t="s">
        <v>21</v>
      </c>
      <c r="I5800" s="2" t="s">
        <v>11553</v>
      </c>
      <c r="J5800" s="3" t="str">
        <f>HYPERLINK("https://www.boe.es/gazeta/dias/1823/08/02/pdfs/GES-1823-114.pdf#page=4","Abrir facsímil")</f>
        <v>Abrir facsímil</v>
      </c>
      <c r="K5800" s="3" t="s">
        <v>23</v>
      </c>
    </row>
    <row r="5801" spans="1:11" ht="42" customHeight="1">
      <c r="A5801" s="2" t="s">
        <v>11508</v>
      </c>
      <c r="B5801" s="2" t="s">
        <v>11508</v>
      </c>
      <c r="C5801" s="2" t="s">
        <v>73</v>
      </c>
      <c r="D5801" s="2" t="s">
        <v>74</v>
      </c>
      <c r="E5801" s="5">
        <v>-27908</v>
      </c>
      <c r="F5801" s="3" t="s">
        <v>80</v>
      </c>
      <c r="G5801" s="3" t="s">
        <v>39</v>
      </c>
      <c r="H5801" s="2" t="s">
        <v>21</v>
      </c>
      <c r="I5801" s="2" t="s">
        <v>11554</v>
      </c>
      <c r="J5801" s="3" t="str">
        <f>HYPERLINK("https://www.boe.es/gazeta/dias/1823/08/03/pdfs/GES-1823-115.pdf#page=1","Abrir facsímil")</f>
        <v>Abrir facsímil</v>
      </c>
      <c r="K5801" s="3" t="s">
        <v>23</v>
      </c>
    </row>
    <row r="5802" spans="1:11" ht="42" customHeight="1">
      <c r="A5802" s="2" t="s">
        <v>11508</v>
      </c>
      <c r="B5802" s="2" t="s">
        <v>11508</v>
      </c>
      <c r="C5802" s="2" t="s">
        <v>17</v>
      </c>
      <c r="D5802" s="2" t="s">
        <v>18</v>
      </c>
      <c r="E5802" s="5">
        <v>-27906</v>
      </c>
      <c r="F5802" s="3" t="s">
        <v>241</v>
      </c>
      <c r="G5802" s="3" t="s">
        <v>34</v>
      </c>
      <c r="H5802" s="2" t="s">
        <v>21</v>
      </c>
      <c r="I5802" s="2" t="s">
        <v>11555</v>
      </c>
      <c r="J5802" s="3" t="str">
        <f>HYPERLINK("https://www.boe.es/gazeta/dias/1823/08/05/pdfs/GES-1823-117.pdf#page=5","Abrir facsímil")</f>
        <v>Abrir facsímil</v>
      </c>
      <c r="K5802" s="3" t="s">
        <v>23</v>
      </c>
    </row>
    <row r="5803" spans="1:11" ht="42" customHeight="1">
      <c r="A5803" s="2" t="s">
        <v>11508</v>
      </c>
      <c r="B5803" s="2" t="s">
        <v>11508</v>
      </c>
      <c r="C5803" s="2" t="s">
        <v>56</v>
      </c>
      <c r="D5803" s="2" t="s">
        <v>57</v>
      </c>
      <c r="E5803" s="5">
        <v>-27906</v>
      </c>
      <c r="F5803" s="3" t="s">
        <v>1527</v>
      </c>
      <c r="G5803" s="3" t="s">
        <v>39</v>
      </c>
      <c r="H5803" s="2" t="s">
        <v>21</v>
      </c>
      <c r="I5803" s="2" t="s">
        <v>11556</v>
      </c>
      <c r="J5803" s="3" t="str">
        <f>HYPERLINK("https://www.boe.es/gazeta/dias/1823/08/05/pdfs/GMD-1823-533.pdf#page=1","Abrir facsímil")</f>
        <v>Abrir facsímil</v>
      </c>
      <c r="K5803" s="3" t="s">
        <v>23</v>
      </c>
    </row>
    <row r="5804" spans="1:11" ht="42" customHeight="1">
      <c r="A5804" s="2" t="s">
        <v>11508</v>
      </c>
      <c r="B5804" s="2" t="s">
        <v>11508</v>
      </c>
      <c r="C5804" s="2" t="s">
        <v>17</v>
      </c>
      <c r="D5804" s="2" t="s">
        <v>18</v>
      </c>
      <c r="E5804" s="5">
        <v>-27905</v>
      </c>
      <c r="F5804" s="3" t="s">
        <v>236</v>
      </c>
      <c r="G5804" s="3" t="s">
        <v>237</v>
      </c>
      <c r="H5804" s="2" t="s">
        <v>21</v>
      </c>
      <c r="I5804" s="2" t="s">
        <v>11557</v>
      </c>
      <c r="J5804" s="3" t="str">
        <f>HYPERLINK("https://www.boe.es/gazeta/dias/1823/08/06/pdfs/GES-1823-119.pdf#page=4","Abrir facsímil")</f>
        <v>Abrir facsímil</v>
      </c>
      <c r="K5804" s="3" t="s">
        <v>23</v>
      </c>
    </row>
    <row r="5805" spans="1:11" ht="42" customHeight="1">
      <c r="A5805" s="2" t="s">
        <v>11508</v>
      </c>
      <c r="B5805" s="2" t="s">
        <v>11508</v>
      </c>
      <c r="C5805" s="2" t="s">
        <v>17</v>
      </c>
      <c r="D5805" s="2" t="s">
        <v>18</v>
      </c>
      <c r="E5805" s="5">
        <v>-27893</v>
      </c>
      <c r="F5805" s="3" t="s">
        <v>1893</v>
      </c>
      <c r="G5805" s="3" t="s">
        <v>1894</v>
      </c>
      <c r="H5805" s="2" t="s">
        <v>21</v>
      </c>
      <c r="I5805" s="2" t="s">
        <v>11558</v>
      </c>
      <c r="J5805" s="3" t="str">
        <f>HYPERLINK("https://www.boe.es/gazeta/dias/1823/08/18/pdfs/GES-1823-131.pdf#page=4","Abrir facsímil")</f>
        <v>Abrir facsímil</v>
      </c>
      <c r="K5805" s="3" t="s">
        <v>23</v>
      </c>
    </row>
    <row r="5806" spans="1:11" ht="42" customHeight="1">
      <c r="A5806" s="2" t="s">
        <v>11508</v>
      </c>
      <c r="B5806" s="2" t="s">
        <v>11508</v>
      </c>
      <c r="C5806" s="2" t="s">
        <v>17</v>
      </c>
      <c r="D5806" s="2" t="s">
        <v>18</v>
      </c>
      <c r="E5806" s="5">
        <v>-27891</v>
      </c>
      <c r="F5806" s="3" t="s">
        <v>825</v>
      </c>
      <c r="G5806" s="3" t="s">
        <v>20</v>
      </c>
      <c r="H5806" s="2" t="s">
        <v>21</v>
      </c>
      <c r="I5806" s="2" t="s">
        <v>11559</v>
      </c>
      <c r="J5806" s="3" t="str">
        <f>HYPERLINK("https://www.boe.es/gazeta/dias/1823/08/20/pdfs/GES-1823-133.pdf#page=4","Abrir facsímil")</f>
        <v>Abrir facsímil</v>
      </c>
      <c r="K5806" s="3" t="s">
        <v>23</v>
      </c>
    </row>
    <row r="5807" spans="1:11" ht="42" customHeight="1">
      <c r="A5807" s="2" t="s">
        <v>11508</v>
      </c>
      <c r="B5807" s="2" t="s">
        <v>11508</v>
      </c>
      <c r="C5807" s="2" t="s">
        <v>79</v>
      </c>
      <c r="D5807" s="2" t="s">
        <v>74</v>
      </c>
      <c r="E5807" s="5">
        <v>-27884</v>
      </c>
      <c r="F5807" s="3" t="s">
        <v>61</v>
      </c>
      <c r="G5807" s="3" t="s">
        <v>48</v>
      </c>
      <c r="H5807" s="2" t="s">
        <v>21</v>
      </c>
      <c r="I5807" s="2" t="s">
        <v>11560</v>
      </c>
      <c r="J5807" s="3" t="str">
        <f>HYPERLINK("https://www.boe.es/gazeta/dias/1823/08/27/pdfs/GES-1823-140.pdf#page=3","Abrir facsímil")</f>
        <v>Abrir facsímil</v>
      </c>
      <c r="K5807" s="3" t="s">
        <v>23</v>
      </c>
    </row>
    <row r="5808" spans="1:11" ht="42" customHeight="1">
      <c r="A5808" s="2" t="s">
        <v>11508</v>
      </c>
      <c r="B5808" s="2" t="s">
        <v>11508</v>
      </c>
      <c r="C5808" s="2" t="s">
        <v>17</v>
      </c>
      <c r="D5808" s="2" t="s">
        <v>18</v>
      </c>
      <c r="E5808" s="5">
        <v>-27879</v>
      </c>
      <c r="F5808" s="3" t="s">
        <v>638</v>
      </c>
      <c r="G5808" s="3" t="s">
        <v>39</v>
      </c>
      <c r="H5808" s="2" t="s">
        <v>21</v>
      </c>
      <c r="I5808" s="2" t="s">
        <v>11561</v>
      </c>
      <c r="J5808" s="3" t="str">
        <f>HYPERLINK("https://www.boe.es/gazeta/dias/1823/09/01/pdfs/GES-1823-145.pdf#page=1","Abrir facsímil")</f>
        <v>Abrir facsímil</v>
      </c>
      <c r="K5808" s="3" t="s">
        <v>23</v>
      </c>
    </row>
    <row r="5809" spans="1:11" ht="42" customHeight="1">
      <c r="A5809" s="2" t="s">
        <v>11508</v>
      </c>
      <c r="B5809" s="2" t="s">
        <v>11508</v>
      </c>
      <c r="C5809" s="2" t="s">
        <v>17</v>
      </c>
      <c r="D5809" s="2" t="s">
        <v>18</v>
      </c>
      <c r="E5809" s="5">
        <v>-27878</v>
      </c>
      <c r="F5809" s="3" t="s">
        <v>130</v>
      </c>
      <c r="G5809" s="3" t="s">
        <v>48</v>
      </c>
      <c r="H5809" s="2" t="s">
        <v>21</v>
      </c>
      <c r="I5809" s="2" t="s">
        <v>11562</v>
      </c>
      <c r="J5809" s="3" t="str">
        <f>HYPERLINK("https://www.boe.es/gazeta/dias/1823/09/02/pdfs/GES-1823-146.pdf#page=3","Abrir facsímil")</f>
        <v>Abrir facsímil</v>
      </c>
      <c r="K5809" s="3" t="s">
        <v>23</v>
      </c>
    </row>
    <row r="5810" spans="1:11" ht="42" customHeight="1">
      <c r="A5810" s="2" t="s">
        <v>11508</v>
      </c>
      <c r="B5810" s="2" t="s">
        <v>11508</v>
      </c>
      <c r="C5810" s="2" t="s">
        <v>17</v>
      </c>
      <c r="D5810" s="2" t="s">
        <v>18</v>
      </c>
      <c r="E5810" s="5">
        <v>-27875</v>
      </c>
      <c r="F5810" s="3" t="s">
        <v>1858</v>
      </c>
      <c r="G5810" s="3" t="s">
        <v>2437</v>
      </c>
      <c r="H5810" s="2" t="s">
        <v>21</v>
      </c>
      <c r="I5810" s="2" t="s">
        <v>11563</v>
      </c>
      <c r="J5810" s="3" t="str">
        <f>HYPERLINK("https://www.boe.es/gazeta/dias/1823/09/05/pdfs/GES-1823-149.pdf#page=2","Abrir facsímil")</f>
        <v>Abrir facsímil</v>
      </c>
      <c r="K5810" s="3" t="s">
        <v>23</v>
      </c>
    </row>
    <row r="5811" spans="1:11" ht="42" customHeight="1">
      <c r="A5811" s="2" t="s">
        <v>11508</v>
      </c>
      <c r="B5811" s="2" t="s">
        <v>11508</v>
      </c>
      <c r="C5811" s="2" t="s">
        <v>17</v>
      </c>
      <c r="D5811" s="2" t="s">
        <v>18</v>
      </c>
      <c r="E5811" s="5">
        <v>-27874</v>
      </c>
      <c r="F5811" s="3" t="s">
        <v>1410</v>
      </c>
      <c r="G5811" s="3" t="s">
        <v>27</v>
      </c>
      <c r="H5811" s="2" t="s">
        <v>21</v>
      </c>
      <c r="I5811" s="2" t="s">
        <v>11564</v>
      </c>
      <c r="J5811" s="3" t="str">
        <f>HYPERLINK("https://www.boe.es/gazeta/dias/1823/09/06/pdfs/GES-1823-150.pdf#page=2","Abrir facsímil")</f>
        <v>Abrir facsímil</v>
      </c>
      <c r="K5811" s="3" t="s">
        <v>23</v>
      </c>
    </row>
    <row r="5812" spans="1:11" ht="42" customHeight="1">
      <c r="A5812" s="2" t="s">
        <v>11508</v>
      </c>
      <c r="B5812" s="2" t="s">
        <v>11508</v>
      </c>
      <c r="C5812" s="2" t="s">
        <v>17</v>
      </c>
      <c r="D5812" s="2" t="s">
        <v>18</v>
      </c>
      <c r="E5812" s="5">
        <v>-27841</v>
      </c>
      <c r="F5812" s="3" t="s">
        <v>721</v>
      </c>
      <c r="G5812" s="3" t="s">
        <v>27</v>
      </c>
      <c r="H5812" s="2" t="s">
        <v>21</v>
      </c>
      <c r="I5812" s="2" t="s">
        <v>11565</v>
      </c>
      <c r="J5812" s="3" t="str">
        <f>HYPERLINK("https://www.boe.es/gazeta/dias/1823/10/09/pdfs/GMD-1823-953.pdf#page=2","Abrir facsímil")</f>
        <v>Abrir facsímil</v>
      </c>
      <c r="K5812" s="3" t="s">
        <v>23</v>
      </c>
    </row>
    <row r="5813" spans="1:11" ht="42" customHeight="1">
      <c r="A5813" s="2" t="s">
        <v>11508</v>
      </c>
      <c r="B5813" s="2" t="s">
        <v>11508</v>
      </c>
      <c r="C5813" s="2" t="s">
        <v>17</v>
      </c>
      <c r="D5813" s="2" t="s">
        <v>18</v>
      </c>
      <c r="E5813" s="5">
        <v>-27839</v>
      </c>
      <c r="F5813" s="3" t="s">
        <v>263</v>
      </c>
      <c r="G5813" s="3" t="s">
        <v>39</v>
      </c>
      <c r="H5813" s="2" t="s">
        <v>21</v>
      </c>
      <c r="I5813" s="2" t="s">
        <v>11566</v>
      </c>
      <c r="J5813" s="3" t="str">
        <f>HYPERLINK("https://www.boe.es/gazeta/dias/1823/10/11/pdfs/GMD-1823-963.pdf#page=1","Abrir facsímil")</f>
        <v>Abrir facsímil</v>
      </c>
      <c r="K5813" s="3" t="s">
        <v>23</v>
      </c>
    </row>
    <row r="5814" spans="1:11" ht="42" customHeight="1">
      <c r="A5814" s="2" t="s">
        <v>11508</v>
      </c>
      <c r="B5814" s="2" t="s">
        <v>11508</v>
      </c>
      <c r="C5814" s="2" t="s">
        <v>17</v>
      </c>
      <c r="D5814" s="2" t="s">
        <v>18</v>
      </c>
      <c r="E5814" s="5">
        <v>-27822</v>
      </c>
      <c r="F5814" s="3" t="s">
        <v>992</v>
      </c>
      <c r="G5814" s="3" t="s">
        <v>27</v>
      </c>
      <c r="H5814" s="2" t="s">
        <v>21</v>
      </c>
      <c r="I5814" s="2" t="s">
        <v>11567</v>
      </c>
      <c r="J5814" s="3" t="str">
        <f>HYPERLINK("https://www.boe.es/gazeta/dias/1823/10/28/pdfs/GMD-1823-1033.pdf#page=2","Abrir facsímil")</f>
        <v>Abrir facsímil</v>
      </c>
      <c r="K5814" s="3" t="s">
        <v>23</v>
      </c>
    </row>
    <row r="5815" spans="1:11" ht="42" customHeight="1">
      <c r="A5815" s="2" t="s">
        <v>11508</v>
      </c>
      <c r="B5815" s="2" t="s">
        <v>11508</v>
      </c>
      <c r="C5815" s="2" t="s">
        <v>17</v>
      </c>
      <c r="D5815" s="2" t="s">
        <v>18</v>
      </c>
      <c r="E5815" s="5">
        <v>-27797</v>
      </c>
      <c r="F5815" s="3" t="s">
        <v>3409</v>
      </c>
      <c r="G5815" s="3" t="s">
        <v>7570</v>
      </c>
      <c r="H5815" s="2" t="s">
        <v>21</v>
      </c>
      <c r="I5815" s="2" t="s">
        <v>11568</v>
      </c>
      <c r="J5815" s="3" t="str">
        <f>HYPERLINK("https://www.boe.es/gazeta/dias/1823/11/22/pdfs/GMD-1823-1153.pdf#page=2","Abrir facsímil")</f>
        <v>Abrir facsímil</v>
      </c>
      <c r="K5815" s="3" t="s">
        <v>23</v>
      </c>
    </row>
    <row r="5816" spans="1:11" ht="42" customHeight="1">
      <c r="A5816" s="2" t="s">
        <v>11508</v>
      </c>
      <c r="B5816" s="2" t="s">
        <v>11508</v>
      </c>
      <c r="C5816" s="2" t="s">
        <v>17</v>
      </c>
      <c r="D5816" s="2" t="s">
        <v>18</v>
      </c>
      <c r="E5816" s="5">
        <v>-27785</v>
      </c>
      <c r="F5816" s="3" t="s">
        <v>1397</v>
      </c>
      <c r="G5816" s="3" t="s">
        <v>20</v>
      </c>
      <c r="H5816" s="2" t="s">
        <v>21</v>
      </c>
      <c r="I5816" s="2" t="s">
        <v>11569</v>
      </c>
      <c r="J5816" s="3" t="str">
        <f>HYPERLINK("https://www.boe.es/gazeta/dias/1823/12/04/pdfs/GMD-1823-1203.pdf#page=4","Abrir facsímil")</f>
        <v>Abrir facsímil</v>
      </c>
      <c r="K5816" s="3" t="s">
        <v>23</v>
      </c>
    </row>
    <row r="5817" spans="1:11" ht="42" customHeight="1">
      <c r="A5817" s="2" t="s">
        <v>11508</v>
      </c>
      <c r="B5817" s="2" t="s">
        <v>11508</v>
      </c>
      <c r="C5817" s="2" t="s">
        <v>79</v>
      </c>
      <c r="D5817" s="2" t="s">
        <v>74</v>
      </c>
      <c r="E5817" s="5">
        <v>-27773</v>
      </c>
      <c r="F5817" s="3" t="s">
        <v>513</v>
      </c>
      <c r="G5817" s="3" t="s">
        <v>39</v>
      </c>
      <c r="H5817" s="2" t="s">
        <v>21</v>
      </c>
      <c r="I5817" s="2" t="s">
        <v>11570</v>
      </c>
      <c r="J5817" s="3" t="str">
        <f>HYPERLINK("https://www.boe.es/gazeta/dias/1823/12/16/pdfs/GMD-1823-1253.pdf#page=1","Abrir facsímil")</f>
        <v>Abrir facsímil</v>
      </c>
      <c r="K5817" s="3" t="s">
        <v>23</v>
      </c>
    </row>
    <row r="5818" spans="1:11" ht="42" customHeight="1">
      <c r="A5818" s="2" t="s">
        <v>11508</v>
      </c>
      <c r="B5818" s="2" t="s">
        <v>11508</v>
      </c>
      <c r="C5818" s="2" t="s">
        <v>17</v>
      </c>
      <c r="D5818" s="2" t="s">
        <v>18</v>
      </c>
      <c r="E5818" s="5">
        <v>-27773</v>
      </c>
      <c r="F5818" s="3" t="s">
        <v>513</v>
      </c>
      <c r="G5818" s="3" t="s">
        <v>27</v>
      </c>
      <c r="H5818" s="2" t="s">
        <v>21</v>
      </c>
      <c r="I5818" s="2" t="s">
        <v>11571</v>
      </c>
      <c r="J5818" s="3" t="str">
        <f>HYPERLINK("https://www.boe.es/gazeta/dias/1823/12/16/pdfs/GMD-1823-1253.pdf#page=2","Abrir facsímil")</f>
        <v>Abrir facsímil</v>
      </c>
      <c r="K5818" s="3" t="s">
        <v>23</v>
      </c>
    </row>
    <row r="5819" spans="1:11" ht="42" customHeight="1">
      <c r="A5819" s="2" t="s">
        <v>11572</v>
      </c>
      <c r="B5819" s="2" t="s">
        <v>11573</v>
      </c>
      <c r="C5819" s="2" t="s">
        <v>17</v>
      </c>
      <c r="D5819" s="2" t="s">
        <v>18</v>
      </c>
      <c r="E5819" s="5">
        <v>-27883</v>
      </c>
      <c r="F5819" s="3" t="s">
        <v>2838</v>
      </c>
      <c r="G5819" s="3" t="s">
        <v>20</v>
      </c>
      <c r="H5819" s="2" t="s">
        <v>21</v>
      </c>
      <c r="I5819" s="2" t="s">
        <v>11574</v>
      </c>
      <c r="J5819" s="3" t="str">
        <f>HYPERLINK("https://www.boe.es/gazeta/dias/1823/08/28/pdfs/GES-1823-141.pdf#page=4","Abrir facsímil")</f>
        <v>Abrir facsímil</v>
      </c>
      <c r="K5819" s="3" t="s">
        <v>23</v>
      </c>
    </row>
    <row r="5820" spans="1:11" ht="42" customHeight="1">
      <c r="A5820" s="2" t="s">
        <v>11575</v>
      </c>
      <c r="B5820" s="2" t="s">
        <v>11576</v>
      </c>
      <c r="C5820" s="2" t="s">
        <v>56</v>
      </c>
      <c r="D5820" s="2" t="s">
        <v>57</v>
      </c>
      <c r="E5820" s="5">
        <v>-27895</v>
      </c>
      <c r="F5820" s="3" t="s">
        <v>734</v>
      </c>
      <c r="G5820" s="3" t="s">
        <v>20</v>
      </c>
      <c r="H5820" s="2" t="s">
        <v>21</v>
      </c>
      <c r="I5820" s="2" t="s">
        <v>11577</v>
      </c>
      <c r="J5820" s="3" t="str">
        <f>HYPERLINK("https://www.boe.es/gazeta/dias/1823/08/16/pdfs/GES-1823-129.pdf#page=4","Abrir facsímil")</f>
        <v>Abrir facsímil</v>
      </c>
      <c r="K5820" s="3" t="s">
        <v>23</v>
      </c>
    </row>
    <row r="5821" spans="1:11" ht="42" customHeight="1">
      <c r="A5821" s="2" t="s">
        <v>11578</v>
      </c>
      <c r="B5821" s="2" t="s">
        <v>11579</v>
      </c>
      <c r="C5821" s="2" t="s">
        <v>56</v>
      </c>
      <c r="D5821" s="2" t="s">
        <v>57</v>
      </c>
      <c r="E5821" s="5">
        <v>-27965</v>
      </c>
      <c r="F5821" s="3" t="s">
        <v>208</v>
      </c>
      <c r="G5821" s="3" t="s">
        <v>20</v>
      </c>
      <c r="H5821" s="2" t="s">
        <v>21</v>
      </c>
      <c r="I5821" s="2" t="s">
        <v>11580</v>
      </c>
      <c r="J5821" s="3" t="str">
        <f>HYPERLINK("https://www.boe.es/gazeta/dias/1823/06/07/pdfs/GES-1823-61.pdf#page=4","Abrir facsímil")</f>
        <v>Abrir facsímil</v>
      </c>
      <c r="K5821" s="3" t="s">
        <v>23</v>
      </c>
    </row>
    <row r="5822" spans="1:11" ht="42" customHeight="1">
      <c r="A5822" s="2" t="s">
        <v>11581</v>
      </c>
      <c r="B5822" s="2" t="s">
        <v>11582</v>
      </c>
      <c r="C5822" s="2" t="s">
        <v>293</v>
      </c>
      <c r="D5822" s="2" t="s">
        <v>74</v>
      </c>
      <c r="E5822" s="5">
        <v>-28025</v>
      </c>
      <c r="F5822" s="3" t="s">
        <v>477</v>
      </c>
      <c r="G5822" s="3" t="s">
        <v>20</v>
      </c>
      <c r="H5822" s="2" t="s">
        <v>21</v>
      </c>
      <c r="I5822" s="2" t="s">
        <v>11583</v>
      </c>
      <c r="J5822" s="3" t="str">
        <f>HYPERLINK("https://www.boe.es/gazeta/dias/1823/04/08/pdfs/GMD-1823-103.pdf#page=4","Abrir facsímil")</f>
        <v>Abrir facsímil</v>
      </c>
      <c r="K5822" s="3" t="s">
        <v>23</v>
      </c>
    </row>
    <row r="5823" spans="1:11" ht="42" customHeight="1">
      <c r="A5823" s="2" t="s">
        <v>11584</v>
      </c>
      <c r="B5823" s="2" t="s">
        <v>11584</v>
      </c>
      <c r="C5823" s="2" t="s">
        <v>79</v>
      </c>
      <c r="D5823" s="2" t="s">
        <v>74</v>
      </c>
      <c r="E5823" s="5">
        <v>-27797</v>
      </c>
      <c r="F5823" s="3" t="s">
        <v>3409</v>
      </c>
      <c r="G5823" s="3" t="s">
        <v>48</v>
      </c>
      <c r="H5823" s="2" t="s">
        <v>21</v>
      </c>
      <c r="I5823" s="2" t="s">
        <v>11585</v>
      </c>
      <c r="J5823" s="3" t="str">
        <f>HYPERLINK("https://www.boe.es/gazeta/dias/1823/11/22/pdfs/GMD-1823-1153.pdf#page=3","Abrir facsímil")</f>
        <v>Abrir facsímil</v>
      </c>
      <c r="K5823" s="3" t="s">
        <v>23</v>
      </c>
    </row>
    <row r="5824" spans="1:11" ht="42" customHeight="1">
      <c r="A5824" s="2" t="s">
        <v>11586</v>
      </c>
      <c r="B5824" s="2" t="s">
        <v>11586</v>
      </c>
      <c r="C5824" s="2" t="s">
        <v>17</v>
      </c>
      <c r="D5824" s="2" t="s">
        <v>18</v>
      </c>
      <c r="E5824" s="5">
        <v>-27982</v>
      </c>
      <c r="F5824" s="3" t="s">
        <v>340</v>
      </c>
      <c r="G5824" s="3" t="s">
        <v>59</v>
      </c>
      <c r="H5824" s="2" t="s">
        <v>21</v>
      </c>
      <c r="I5824" s="2" t="s">
        <v>11587</v>
      </c>
      <c r="J5824" s="3" t="str">
        <f>HYPERLINK("https://www.boe.es/gazeta/dias/1823/05/21/pdfs/GES-1823-42.pdf#page=6","Abrir facsímil")</f>
        <v>Abrir facsímil</v>
      </c>
      <c r="K5824" s="3" t="s">
        <v>23</v>
      </c>
    </row>
    <row r="5825" spans="1:11" ht="42" customHeight="1">
      <c r="A5825" s="2" t="s">
        <v>11588</v>
      </c>
      <c r="B5825" s="2" t="s">
        <v>11588</v>
      </c>
      <c r="C5825" s="2" t="s">
        <v>17</v>
      </c>
      <c r="D5825" s="2" t="s">
        <v>18</v>
      </c>
      <c r="E5825" s="5">
        <v>-28040</v>
      </c>
      <c r="F5825" s="3" t="s">
        <v>2971</v>
      </c>
      <c r="G5825" s="3" t="s">
        <v>8045</v>
      </c>
      <c r="H5825" s="2" t="s">
        <v>21</v>
      </c>
      <c r="I5825" s="2" t="s">
        <v>11589</v>
      </c>
      <c r="J5825" s="3" t="str">
        <f>HYPERLINK("https://www.boe.es/gazeta/dias/1823/03/24/pdfs/GMD-1823-87.pdf#page=2","Abrir facsímil")</f>
        <v>Abrir facsímil</v>
      </c>
      <c r="K5825" s="3" t="s">
        <v>23</v>
      </c>
    </row>
    <row r="5826" spans="1:11" ht="42" customHeight="1">
      <c r="A5826" s="2" t="s">
        <v>11588</v>
      </c>
      <c r="B5826" s="2" t="s">
        <v>11588</v>
      </c>
      <c r="C5826" s="2" t="s">
        <v>17</v>
      </c>
      <c r="D5826" s="2" t="s">
        <v>18</v>
      </c>
      <c r="E5826" s="5">
        <v>-27978</v>
      </c>
      <c r="F5826" s="3" t="s">
        <v>342</v>
      </c>
      <c r="G5826" s="3" t="s">
        <v>39</v>
      </c>
      <c r="H5826" s="2" t="s">
        <v>21</v>
      </c>
      <c r="I5826" s="2" t="s">
        <v>11590</v>
      </c>
      <c r="J5826" s="3" t="str">
        <f>HYPERLINK("https://www.boe.es/gazeta/dias/1823/05/25/pdfs/GES-1823-46.pdf#page=1","Abrir facsímil")</f>
        <v>Abrir facsímil</v>
      </c>
      <c r="K5826" s="3" t="s">
        <v>23</v>
      </c>
    </row>
    <row r="5827" spans="1:11" ht="42" customHeight="1">
      <c r="A5827" s="2" t="s">
        <v>11588</v>
      </c>
      <c r="B5827" s="2" t="s">
        <v>11588</v>
      </c>
      <c r="C5827" s="2" t="s">
        <v>109</v>
      </c>
      <c r="D5827" s="2" t="s">
        <v>74</v>
      </c>
      <c r="E5827" s="5">
        <v>-27921</v>
      </c>
      <c r="F5827" s="3" t="s">
        <v>356</v>
      </c>
      <c r="G5827" s="3" t="s">
        <v>27</v>
      </c>
      <c r="H5827" s="2" t="s">
        <v>21</v>
      </c>
      <c r="I5827" s="2" t="s">
        <v>11591</v>
      </c>
      <c r="J5827" s="3" t="str">
        <f>HYPERLINK("https://www.boe.es/gazeta/dias/1823/07/21/pdfs/GES-1823-102.pdf#page=2","Abrir facsímil")</f>
        <v>Abrir facsímil</v>
      </c>
      <c r="K5827" s="3" t="s">
        <v>23</v>
      </c>
    </row>
    <row r="5828" spans="1:11" ht="42" customHeight="1">
      <c r="A5828" s="2" t="s">
        <v>11588</v>
      </c>
      <c r="B5828" s="2" t="s">
        <v>11588</v>
      </c>
      <c r="C5828" s="2" t="s">
        <v>17</v>
      </c>
      <c r="D5828" s="2" t="s">
        <v>18</v>
      </c>
      <c r="E5828" s="5">
        <v>-27811</v>
      </c>
      <c r="F5828" s="3" t="s">
        <v>834</v>
      </c>
      <c r="G5828" s="3" t="s">
        <v>20</v>
      </c>
      <c r="H5828" s="2" t="s">
        <v>21</v>
      </c>
      <c r="I5828" s="2" t="s">
        <v>11592</v>
      </c>
      <c r="J5828" s="3" t="str">
        <f>HYPERLINK("https://www.boe.es/gazeta/dias/1823/11/08/pdfs/GMD-1823-1083.pdf#page=4","Abrir facsímil")</f>
        <v>Abrir facsímil</v>
      </c>
      <c r="K5828" s="3" t="s">
        <v>23</v>
      </c>
    </row>
    <row r="5829" spans="1:11" ht="42" customHeight="1">
      <c r="A5829" s="2" t="s">
        <v>11593</v>
      </c>
      <c r="B5829" s="2" t="s">
        <v>11593</v>
      </c>
      <c r="C5829" s="2" t="s">
        <v>17</v>
      </c>
      <c r="D5829" s="2" t="s">
        <v>18</v>
      </c>
      <c r="E5829" s="5">
        <v>-27984</v>
      </c>
      <c r="F5829" s="3" t="s">
        <v>335</v>
      </c>
      <c r="G5829" s="3" t="s">
        <v>27</v>
      </c>
      <c r="H5829" s="2" t="s">
        <v>21</v>
      </c>
      <c r="I5829" s="2" t="s">
        <v>11594</v>
      </c>
      <c r="J5829" s="3" t="str">
        <f>HYPERLINK("https://www.boe.es/gazeta/dias/1823/05/19/pdfs/GES-1823-39.pdf#page=2","Abrir facsímil")</f>
        <v>Abrir facsímil</v>
      </c>
      <c r="K5829" s="3" t="s">
        <v>23</v>
      </c>
    </row>
    <row r="5830" spans="1:11" ht="42" customHeight="1">
      <c r="A5830" s="2" t="s">
        <v>11595</v>
      </c>
      <c r="B5830" s="2" t="s">
        <v>11595</v>
      </c>
      <c r="C5830" s="2" t="s">
        <v>17</v>
      </c>
      <c r="D5830" s="2" t="s">
        <v>18</v>
      </c>
      <c r="E5830" s="5">
        <v>-27771</v>
      </c>
      <c r="F5830" s="3" t="s">
        <v>1611</v>
      </c>
      <c r="G5830" s="3" t="s">
        <v>20</v>
      </c>
      <c r="H5830" s="2" t="s">
        <v>21</v>
      </c>
      <c r="I5830" s="2" t="s">
        <v>11596</v>
      </c>
      <c r="J5830" s="3" t="str">
        <f>HYPERLINK("https://www.boe.es/gazeta/dias/1823/12/18/pdfs/GMD-1823-1263.pdf#page=4","Abrir facsímil")</f>
        <v>Abrir facsímil</v>
      </c>
      <c r="K5830" s="3" t="s">
        <v>23</v>
      </c>
    </row>
    <row r="5831" spans="1:11" ht="42" customHeight="1">
      <c r="A5831" s="2" t="s">
        <v>11597</v>
      </c>
      <c r="B5831" s="2" t="s">
        <v>11597</v>
      </c>
      <c r="C5831" s="2" t="s">
        <v>56</v>
      </c>
      <c r="D5831" s="2" t="s">
        <v>57</v>
      </c>
      <c r="E5831" s="5">
        <v>-28078</v>
      </c>
      <c r="F5831" s="3" t="s">
        <v>508</v>
      </c>
      <c r="G5831" s="3" t="s">
        <v>59</v>
      </c>
      <c r="H5831" s="2" t="s">
        <v>21</v>
      </c>
      <c r="I5831" s="2" t="s">
        <v>11598</v>
      </c>
      <c r="J5831" s="3" t="str">
        <f>HYPERLINK("https://www.boe.es/gazeta/dias/1823/02/14/pdfs/GMD-1823-48.pdf#page=6","Abrir facsímil")</f>
        <v>Abrir facsímil</v>
      </c>
      <c r="K5831" s="3" t="s">
        <v>23</v>
      </c>
    </row>
    <row r="5832" spans="1:11" ht="42" customHeight="1">
      <c r="A5832" s="2" t="s">
        <v>11599</v>
      </c>
      <c r="B5832" s="2" t="s">
        <v>11600</v>
      </c>
      <c r="C5832" s="2" t="s">
        <v>56</v>
      </c>
      <c r="D5832" s="2" t="s">
        <v>57</v>
      </c>
      <c r="E5832" s="5">
        <v>-28048</v>
      </c>
      <c r="F5832" s="3" t="s">
        <v>399</v>
      </c>
      <c r="G5832" s="3" t="s">
        <v>59</v>
      </c>
      <c r="H5832" s="2" t="s">
        <v>21</v>
      </c>
      <c r="I5832" s="2" t="s">
        <v>11601</v>
      </c>
      <c r="J5832" s="3" t="str">
        <f>HYPERLINK("https://www.boe.es/gazeta/dias/1823/03/16/pdfs/GMD-1823-79.pdf#page=6","Abrir facsímil")</f>
        <v>Abrir facsímil</v>
      </c>
      <c r="K5832" s="3" t="s">
        <v>23</v>
      </c>
    </row>
    <row r="5833" spans="1:11" ht="42" customHeight="1">
      <c r="A5833" s="2" t="s">
        <v>11602</v>
      </c>
      <c r="B5833" s="2" t="s">
        <v>11602</v>
      </c>
      <c r="C5833" s="2" t="s">
        <v>56</v>
      </c>
      <c r="D5833" s="2" t="s">
        <v>57</v>
      </c>
      <c r="E5833" s="5">
        <v>-27972</v>
      </c>
      <c r="F5833" s="3" t="s">
        <v>1515</v>
      </c>
      <c r="G5833" s="3" t="s">
        <v>39</v>
      </c>
      <c r="H5833" s="2" t="s">
        <v>21</v>
      </c>
      <c r="I5833" s="2" t="s">
        <v>11603</v>
      </c>
      <c r="J5833" s="3" t="str">
        <f>HYPERLINK("https://www.boe.es/gazeta/dias/1823/05/31/pdfs/GMD-1823-33.pdf#page=1","Abrir facsímil")</f>
        <v>Abrir facsímil</v>
      </c>
      <c r="K5833" s="3" t="s">
        <v>23</v>
      </c>
    </row>
    <row r="5834" spans="1:11" ht="42" customHeight="1">
      <c r="A5834" s="2" t="s">
        <v>11604</v>
      </c>
      <c r="B5834" s="2" t="s">
        <v>11604</v>
      </c>
      <c r="C5834" s="2" t="s">
        <v>56</v>
      </c>
      <c r="D5834" s="2" t="s">
        <v>57</v>
      </c>
      <c r="E5834" s="5">
        <v>-28025</v>
      </c>
      <c r="F5834" s="3" t="s">
        <v>477</v>
      </c>
      <c r="G5834" s="3" t="s">
        <v>20</v>
      </c>
      <c r="H5834" s="2" t="s">
        <v>21</v>
      </c>
      <c r="I5834" s="2" t="s">
        <v>11605</v>
      </c>
      <c r="J5834" s="3" t="str">
        <f>HYPERLINK("https://www.boe.es/gazeta/dias/1823/04/08/pdfs/GMD-1823-103.pdf#page=4","Abrir facsímil")</f>
        <v>Abrir facsímil</v>
      </c>
      <c r="K5834" s="3" t="s">
        <v>23</v>
      </c>
    </row>
    <row r="5835" spans="1:11" ht="42" customHeight="1">
      <c r="A5835" s="2" t="s">
        <v>11604</v>
      </c>
      <c r="B5835" s="2" t="s">
        <v>11604</v>
      </c>
      <c r="C5835" s="2" t="s">
        <v>17</v>
      </c>
      <c r="D5835" s="2" t="s">
        <v>18</v>
      </c>
      <c r="E5835" s="5">
        <v>-27967</v>
      </c>
      <c r="F5835" s="3" t="s">
        <v>412</v>
      </c>
      <c r="G5835" s="3" t="s">
        <v>59</v>
      </c>
      <c r="H5835" s="2" t="s">
        <v>21</v>
      </c>
      <c r="I5835" s="2" t="s">
        <v>11606</v>
      </c>
      <c r="J5835" s="3" t="str">
        <f>HYPERLINK("https://www.boe.es/gazeta/dias/1823/06/05/pdfs/GES-1823-59.pdf#page=6","Abrir facsímil")</f>
        <v>Abrir facsímil</v>
      </c>
      <c r="K5835" s="3" t="s">
        <v>23</v>
      </c>
    </row>
    <row r="5836" spans="1:11" ht="42" customHeight="1">
      <c r="A5836" s="2" t="s">
        <v>11607</v>
      </c>
      <c r="B5836" s="2" t="s">
        <v>11607</v>
      </c>
      <c r="C5836" s="2" t="s">
        <v>84</v>
      </c>
      <c r="D5836" s="2" t="s">
        <v>74</v>
      </c>
      <c r="E5836" s="5">
        <v>-28036</v>
      </c>
      <c r="F5836" s="3" t="s">
        <v>2216</v>
      </c>
      <c r="G5836" s="3" t="s">
        <v>27</v>
      </c>
      <c r="H5836" s="2" t="s">
        <v>21</v>
      </c>
      <c r="I5836" s="2" t="s">
        <v>11608</v>
      </c>
      <c r="J5836" s="3" t="str">
        <f>HYPERLINK("https://www.boe.es/gazeta/dias/1823/03/28/pdfs/GMD-1823-91.pdf#page=2","Abrir facsímil")</f>
        <v>Abrir facsímil</v>
      </c>
      <c r="K5836" s="3" t="s">
        <v>23</v>
      </c>
    </row>
    <row r="5837" spans="1:11" ht="42" customHeight="1">
      <c r="A5837" s="2" t="s">
        <v>11609</v>
      </c>
      <c r="B5837" s="2" t="s">
        <v>11609</v>
      </c>
      <c r="C5837" s="2" t="s">
        <v>56</v>
      </c>
      <c r="D5837" s="2" t="s">
        <v>57</v>
      </c>
      <c r="E5837" s="5">
        <v>-28064</v>
      </c>
      <c r="F5837" s="3" t="s">
        <v>1190</v>
      </c>
      <c r="G5837" s="3" t="s">
        <v>27</v>
      </c>
      <c r="H5837" s="2" t="s">
        <v>21</v>
      </c>
      <c r="I5837" s="2" t="s">
        <v>11610</v>
      </c>
      <c r="J5837" s="3" t="str">
        <f>HYPERLINK("https://www.boe.es/gazeta/dias/1823/02/28/pdfs/GMD-1823-62.pdf#page=2","Abrir facsímil")</f>
        <v>Abrir facsímil</v>
      </c>
      <c r="K5837" s="3" t="s">
        <v>23</v>
      </c>
    </row>
    <row r="5838" spans="1:11" ht="42" customHeight="1">
      <c r="A5838" s="2" t="s">
        <v>11611</v>
      </c>
      <c r="B5838" s="2" t="s">
        <v>11612</v>
      </c>
      <c r="C5838" s="2" t="s">
        <v>79</v>
      </c>
      <c r="D5838" s="2" t="s">
        <v>74</v>
      </c>
      <c r="E5838" s="5">
        <v>-28028</v>
      </c>
      <c r="F5838" s="3" t="s">
        <v>893</v>
      </c>
      <c r="G5838" s="3" t="s">
        <v>27</v>
      </c>
      <c r="H5838" s="2" t="s">
        <v>21</v>
      </c>
      <c r="I5838" s="2" t="s">
        <v>11613</v>
      </c>
      <c r="J5838" s="3" t="str">
        <f>HYPERLINK("https://www.boe.es/gazeta/dias/1823/04/05/pdfs/GMD-1823-99.pdf#page=2","Abrir facsímil")</f>
        <v>Abrir facsímil</v>
      </c>
      <c r="K5838" s="3" t="s">
        <v>23</v>
      </c>
    </row>
    <row r="5839" spans="1:11" ht="42" customHeight="1">
      <c r="A5839" s="2" t="s">
        <v>11614</v>
      </c>
      <c r="B5839" s="2" t="s">
        <v>11615</v>
      </c>
      <c r="C5839" s="2" t="s">
        <v>79</v>
      </c>
      <c r="D5839" s="2" t="s">
        <v>74</v>
      </c>
      <c r="E5839" s="5">
        <v>-28053</v>
      </c>
      <c r="F5839" s="3" t="s">
        <v>303</v>
      </c>
      <c r="G5839" s="3" t="s">
        <v>20</v>
      </c>
      <c r="H5839" s="2" t="s">
        <v>21</v>
      </c>
      <c r="I5839" s="2" t="s">
        <v>11616</v>
      </c>
      <c r="J5839" s="3" t="str">
        <f>HYPERLINK("https://www.boe.es/gazeta/dias/1823/03/11/pdfs/GMD-1823-74.pdf#page=4","Abrir facsímil")</f>
        <v>Abrir facsímil</v>
      </c>
      <c r="K5839" s="3" t="s">
        <v>23</v>
      </c>
    </row>
    <row r="5840" spans="1:11" ht="42" customHeight="1">
      <c r="A5840" s="2" t="s">
        <v>11617</v>
      </c>
      <c r="B5840" s="2" t="s">
        <v>11617</v>
      </c>
      <c r="C5840" s="2" t="s">
        <v>17</v>
      </c>
      <c r="D5840" s="2" t="s">
        <v>18</v>
      </c>
      <c r="E5840" s="5">
        <v>-27991</v>
      </c>
      <c r="F5840" s="3" t="s">
        <v>328</v>
      </c>
      <c r="G5840" s="3" t="s">
        <v>34</v>
      </c>
      <c r="H5840" s="2" t="s">
        <v>21</v>
      </c>
      <c r="I5840" s="2" t="s">
        <v>11618</v>
      </c>
      <c r="J5840" s="3" t="str">
        <f>HYPERLINK("https://www.boe.es/gazeta/dias/1823/05/12/pdfs/GES-1823-32.pdf#page=5","Abrir facsímil")</f>
        <v>Abrir facsímil</v>
      </c>
      <c r="K5840" s="3" t="s">
        <v>23</v>
      </c>
    </row>
    <row r="5841" spans="1:11" ht="42" customHeight="1">
      <c r="A5841" s="2" t="s">
        <v>11619</v>
      </c>
      <c r="B5841" s="2" t="s">
        <v>11619</v>
      </c>
      <c r="C5841" s="2" t="s">
        <v>56</v>
      </c>
      <c r="D5841" s="2" t="s">
        <v>57</v>
      </c>
      <c r="E5841" s="5">
        <v>-27989</v>
      </c>
      <c r="F5841" s="3" t="s">
        <v>1134</v>
      </c>
      <c r="G5841" s="3" t="s">
        <v>27</v>
      </c>
      <c r="H5841" s="2" t="s">
        <v>21</v>
      </c>
      <c r="I5841" s="2" t="s">
        <v>11620</v>
      </c>
      <c r="J5841" s="3" t="str">
        <f>HYPERLINK("https://www.boe.es/gazeta/dias/1823/05/14/pdfs/GES-1823-34.pdf#page=2","Abrir facsímil")</f>
        <v>Abrir facsímil</v>
      </c>
      <c r="K5841" s="3" t="s">
        <v>23</v>
      </c>
    </row>
    <row r="5842" spans="1:11" ht="42" customHeight="1">
      <c r="A5842" s="2" t="s">
        <v>11621</v>
      </c>
      <c r="B5842" s="2" t="s">
        <v>11622</v>
      </c>
      <c r="C5842" s="2" t="s">
        <v>17</v>
      </c>
      <c r="D5842" s="2" t="s">
        <v>18</v>
      </c>
      <c r="E5842" s="5">
        <v>-27946</v>
      </c>
      <c r="F5842" s="3" t="s">
        <v>2146</v>
      </c>
      <c r="G5842" s="3" t="s">
        <v>20</v>
      </c>
      <c r="H5842" s="2" t="s">
        <v>21</v>
      </c>
      <c r="I5842" s="2" t="s">
        <v>11623</v>
      </c>
      <c r="J5842" s="3" t="str">
        <f>HYPERLINK("https://www.boe.es/gazeta/dias/1823/06/26/pdfs/GES-1823-76.pdf#page=4","Abrir facsímil")</f>
        <v>Abrir facsímil</v>
      </c>
      <c r="K5842" s="3" t="s">
        <v>23</v>
      </c>
    </row>
    <row r="5843" spans="1:11" ht="42" customHeight="1">
      <c r="A5843" s="2" t="s">
        <v>11624</v>
      </c>
      <c r="B5843" s="2" t="s">
        <v>11624</v>
      </c>
      <c r="C5843" s="2" t="s">
        <v>293</v>
      </c>
      <c r="D5843" s="2" t="s">
        <v>74</v>
      </c>
      <c r="E5843" s="5">
        <v>-27967</v>
      </c>
      <c r="F5843" s="3" t="s">
        <v>412</v>
      </c>
      <c r="G5843" s="3" t="s">
        <v>20</v>
      </c>
      <c r="H5843" s="2" t="s">
        <v>21</v>
      </c>
      <c r="I5843" s="2" t="s">
        <v>11625</v>
      </c>
      <c r="J5843" s="3" t="str">
        <f>HYPERLINK("https://www.boe.es/gazeta/dias/1823/06/05/pdfs/GES-1823-59.pdf#page=4","Abrir facsímil")</f>
        <v>Abrir facsímil</v>
      </c>
      <c r="K5843" s="3" t="s">
        <v>23</v>
      </c>
    </row>
    <row r="5844" spans="1:11" ht="42" customHeight="1">
      <c r="A5844" s="2" t="s">
        <v>11626</v>
      </c>
      <c r="B5844" s="2" t="s">
        <v>11626</v>
      </c>
      <c r="C5844" s="2" t="s">
        <v>109</v>
      </c>
      <c r="D5844" s="2" t="s">
        <v>74</v>
      </c>
      <c r="E5844" s="5">
        <v>-28104</v>
      </c>
      <c r="F5844" s="3" t="s">
        <v>114</v>
      </c>
      <c r="G5844" s="3" t="s">
        <v>39</v>
      </c>
      <c r="H5844" s="2" t="s">
        <v>21</v>
      </c>
      <c r="I5844" s="2" t="s">
        <v>11627</v>
      </c>
      <c r="J5844" s="3" t="str">
        <f>HYPERLINK("https://www.boe.es/gazeta/dias/1823/01/19/pdfs/GMD-1823-19.pdf#page=1","Abrir facsímil")</f>
        <v>Abrir facsímil</v>
      </c>
      <c r="K5844" s="3" t="s">
        <v>23</v>
      </c>
    </row>
    <row r="5845" spans="1:11" ht="42" customHeight="1">
      <c r="A5845" s="2" t="s">
        <v>11628</v>
      </c>
      <c r="B5845" s="2" t="s">
        <v>11628</v>
      </c>
      <c r="C5845" s="2" t="s">
        <v>79</v>
      </c>
      <c r="D5845" s="2" t="s">
        <v>74</v>
      </c>
      <c r="E5845" s="5">
        <v>-27967</v>
      </c>
      <c r="F5845" s="3" t="s">
        <v>412</v>
      </c>
      <c r="G5845" s="3" t="s">
        <v>20</v>
      </c>
      <c r="H5845" s="2" t="s">
        <v>21</v>
      </c>
      <c r="I5845" s="2" t="s">
        <v>11629</v>
      </c>
      <c r="J5845" s="3" t="str">
        <f>HYPERLINK("https://www.boe.es/gazeta/dias/1823/06/05/pdfs/GES-1823-59.pdf#page=4","Abrir facsímil")</f>
        <v>Abrir facsímil</v>
      </c>
      <c r="K5845" s="3" t="s">
        <v>23</v>
      </c>
    </row>
    <row r="5846" spans="1:11" ht="42" customHeight="1">
      <c r="A5846" s="2" t="s">
        <v>11630</v>
      </c>
      <c r="B5846" s="2" t="s">
        <v>11630</v>
      </c>
      <c r="C5846" s="2" t="s">
        <v>79</v>
      </c>
      <c r="D5846" s="2" t="s">
        <v>74</v>
      </c>
      <c r="E5846" s="5">
        <v>-27967</v>
      </c>
      <c r="F5846" s="3" t="s">
        <v>412</v>
      </c>
      <c r="G5846" s="3" t="s">
        <v>20</v>
      </c>
      <c r="H5846" s="2" t="s">
        <v>21</v>
      </c>
      <c r="I5846" s="2" t="s">
        <v>11631</v>
      </c>
      <c r="J5846" s="3" t="str">
        <f>HYPERLINK("https://www.boe.es/gazeta/dias/1823/06/05/pdfs/GES-1823-59.pdf#page=4","Abrir facsímil")</f>
        <v>Abrir facsímil</v>
      </c>
      <c r="K5846" s="3" t="s">
        <v>23</v>
      </c>
    </row>
    <row r="5847" spans="1:11" ht="42" customHeight="1">
      <c r="A5847" s="2" t="s">
        <v>11632</v>
      </c>
      <c r="B5847" s="2" t="s">
        <v>11632</v>
      </c>
      <c r="C5847" s="2" t="s">
        <v>79</v>
      </c>
      <c r="D5847" s="2" t="s">
        <v>74</v>
      </c>
      <c r="E5847" s="5">
        <v>-27860</v>
      </c>
      <c r="F5847" s="3" t="s">
        <v>998</v>
      </c>
      <c r="G5847" s="3" t="s">
        <v>59</v>
      </c>
      <c r="H5847" s="2" t="s">
        <v>21</v>
      </c>
      <c r="I5847" s="2" t="s">
        <v>11633</v>
      </c>
      <c r="J5847" s="3" t="str">
        <f>HYPERLINK("https://www.boe.es/gazeta/dias/1823/09/20/pdfs/GMD-1823-813.pdf#page=6","Abrir facsímil")</f>
        <v>Abrir facsímil</v>
      </c>
      <c r="K5847" s="3" t="s">
        <v>23</v>
      </c>
    </row>
    <row r="5848" spans="1:11" ht="42" customHeight="1">
      <c r="A5848" s="2" t="s">
        <v>11634</v>
      </c>
      <c r="B5848" s="2" t="s">
        <v>11634</v>
      </c>
      <c r="C5848" s="2" t="s">
        <v>17</v>
      </c>
      <c r="D5848" s="2" t="s">
        <v>18</v>
      </c>
      <c r="E5848" s="5">
        <v>-28070</v>
      </c>
      <c r="F5848" s="3" t="s">
        <v>972</v>
      </c>
      <c r="G5848" s="3" t="s">
        <v>48</v>
      </c>
      <c r="H5848" s="2" t="s">
        <v>21</v>
      </c>
      <c r="I5848" s="2" t="s">
        <v>11635</v>
      </c>
      <c r="J5848" s="3" t="str">
        <f>HYPERLINK("https://www.boe.es/gazeta/dias/1823/02/22/pdfs/GMD-1823-56.pdf#page=3","Abrir facsímil")</f>
        <v>Abrir facsímil</v>
      </c>
      <c r="K5848" s="3" t="s">
        <v>23</v>
      </c>
    </row>
    <row r="5849" spans="1:11" ht="42" customHeight="1">
      <c r="A5849" s="2" t="s">
        <v>11636</v>
      </c>
      <c r="B5849" s="2" t="s">
        <v>11636</v>
      </c>
      <c r="C5849" s="2" t="s">
        <v>79</v>
      </c>
      <c r="D5849" s="2" t="s">
        <v>74</v>
      </c>
      <c r="E5849" s="5">
        <v>-27996</v>
      </c>
      <c r="F5849" s="3" t="s">
        <v>695</v>
      </c>
      <c r="G5849" s="3" t="s">
        <v>48</v>
      </c>
      <c r="H5849" s="2" t="s">
        <v>21</v>
      </c>
      <c r="I5849" s="2" t="s">
        <v>11637</v>
      </c>
      <c r="J5849" s="3" t="str">
        <f>HYPERLINK("https://www.boe.es/gazeta/dias/1823/05/07/pdfs/GES-1823-27.pdf#page=3","Abrir facsímil")</f>
        <v>Abrir facsímil</v>
      </c>
      <c r="K5849" s="3" t="s">
        <v>23</v>
      </c>
    </row>
    <row r="5850" spans="1:11" ht="42" customHeight="1">
      <c r="A5850" s="2" t="s">
        <v>11636</v>
      </c>
      <c r="B5850" s="2" t="s">
        <v>11636</v>
      </c>
      <c r="C5850" s="2" t="s">
        <v>17</v>
      </c>
      <c r="D5850" s="2" t="s">
        <v>18</v>
      </c>
      <c r="E5850" s="5">
        <v>-27964</v>
      </c>
      <c r="F5850" s="3" t="s">
        <v>58</v>
      </c>
      <c r="G5850" s="3" t="s">
        <v>59</v>
      </c>
      <c r="H5850" s="2" t="s">
        <v>21</v>
      </c>
      <c r="I5850" s="2" t="s">
        <v>11638</v>
      </c>
      <c r="J5850" s="3" t="str">
        <f>HYPERLINK("https://www.boe.es/gazeta/dias/1823/06/08/pdfs/GES-1823-62.pdf#page=6","Abrir facsímil")</f>
        <v>Abrir facsímil</v>
      </c>
      <c r="K5850" s="3" t="s">
        <v>23</v>
      </c>
    </row>
    <row r="5851" spans="1:11" ht="42" customHeight="1">
      <c r="A5851" s="2" t="s">
        <v>11636</v>
      </c>
      <c r="B5851" s="2" t="s">
        <v>11636</v>
      </c>
      <c r="C5851" s="2" t="s">
        <v>56</v>
      </c>
      <c r="D5851" s="2" t="s">
        <v>57</v>
      </c>
      <c r="E5851" s="5">
        <v>-27932</v>
      </c>
      <c r="F5851" s="3" t="s">
        <v>786</v>
      </c>
      <c r="G5851" s="3" t="s">
        <v>48</v>
      </c>
      <c r="H5851" s="2" t="s">
        <v>21</v>
      </c>
      <c r="I5851" s="2" t="s">
        <v>11639</v>
      </c>
      <c r="J5851" s="3" t="str">
        <f>HYPERLINK("https://www.boe.es/gazeta/dias/1823/07/10/pdfs/GMD-1823-363.pdf#page=3","Abrir facsímil")</f>
        <v>Abrir facsímil</v>
      </c>
      <c r="K5851" s="3" t="s">
        <v>23</v>
      </c>
    </row>
    <row r="5852" spans="1:11" ht="42" customHeight="1">
      <c r="A5852" s="2" t="s">
        <v>11636</v>
      </c>
      <c r="B5852" s="2" t="s">
        <v>11636</v>
      </c>
      <c r="C5852" s="2" t="s">
        <v>17</v>
      </c>
      <c r="D5852" s="2" t="s">
        <v>18</v>
      </c>
      <c r="E5852" s="5">
        <v>-27867</v>
      </c>
      <c r="F5852" s="3" t="s">
        <v>1585</v>
      </c>
      <c r="G5852" s="3" t="s">
        <v>39</v>
      </c>
      <c r="H5852" s="2" t="s">
        <v>21</v>
      </c>
      <c r="I5852" s="2" t="s">
        <v>11640</v>
      </c>
      <c r="J5852" s="3" t="str">
        <f>HYPERLINK("https://www.boe.es/gazeta/dias/1823/09/13/pdfs/GMD-1823-773.pdf#page=1","Abrir facsímil")</f>
        <v>Abrir facsímil</v>
      </c>
      <c r="K5852" s="3" t="s">
        <v>23</v>
      </c>
    </row>
    <row r="5853" spans="1:11" ht="42" customHeight="1">
      <c r="A5853" s="2" t="s">
        <v>11641</v>
      </c>
      <c r="B5853" s="2" t="s">
        <v>11641</v>
      </c>
      <c r="C5853" s="2" t="s">
        <v>17</v>
      </c>
      <c r="D5853" s="2" t="s">
        <v>18</v>
      </c>
      <c r="E5853" s="5">
        <v>-28110</v>
      </c>
      <c r="F5853" s="3" t="s">
        <v>249</v>
      </c>
      <c r="G5853" s="3" t="s">
        <v>39</v>
      </c>
      <c r="H5853" s="2" t="s">
        <v>21</v>
      </c>
      <c r="I5853" s="2" t="s">
        <v>11642</v>
      </c>
      <c r="J5853" s="3" t="str">
        <f>HYPERLINK("https://www.boe.es/gazeta/dias/1823/01/13/pdfs/GMD-1823-13.pdf#page=1","Abrir facsímil")</f>
        <v>Abrir facsímil</v>
      </c>
      <c r="K5853" s="3" t="s">
        <v>23</v>
      </c>
    </row>
    <row r="5854" spans="1:11" ht="42" customHeight="1">
      <c r="A5854" s="2" t="s">
        <v>11641</v>
      </c>
      <c r="B5854" s="2" t="s">
        <v>11641</v>
      </c>
      <c r="C5854" s="2" t="s">
        <v>56</v>
      </c>
      <c r="D5854" s="2" t="s">
        <v>57</v>
      </c>
      <c r="E5854" s="5">
        <v>-28107</v>
      </c>
      <c r="F5854" s="3" t="s">
        <v>278</v>
      </c>
      <c r="G5854" s="3" t="s">
        <v>2827</v>
      </c>
      <c r="H5854" s="2" t="s">
        <v>21</v>
      </c>
      <c r="I5854" s="2" t="s">
        <v>11643</v>
      </c>
      <c r="J5854" s="3" t="str">
        <f>HYPERLINK("https://www.boe.es/gazeta/dias/1823/01/16/pdfs/GMD-1823-16.pdf#page=6","Abrir facsímil")</f>
        <v>Abrir facsímil</v>
      </c>
      <c r="K5854" s="3" t="s">
        <v>23</v>
      </c>
    </row>
    <row r="5855" spans="1:11" ht="42" customHeight="1">
      <c r="A5855" s="2" t="s">
        <v>11641</v>
      </c>
      <c r="B5855" s="2" t="s">
        <v>11641</v>
      </c>
      <c r="C5855" s="2" t="s">
        <v>56</v>
      </c>
      <c r="D5855" s="2" t="s">
        <v>57</v>
      </c>
      <c r="E5855" s="5">
        <v>-28101</v>
      </c>
      <c r="F5855" s="3" t="s">
        <v>1041</v>
      </c>
      <c r="G5855" s="3" t="s">
        <v>20</v>
      </c>
      <c r="H5855" s="2" t="s">
        <v>21</v>
      </c>
      <c r="I5855" s="2" t="s">
        <v>11644</v>
      </c>
      <c r="J5855" s="3" t="str">
        <f>HYPERLINK("https://www.boe.es/gazeta/dias/1823/01/22/pdfs/GMD-1823-23.pdf#page=4","Abrir facsímil")</f>
        <v>Abrir facsímil</v>
      </c>
      <c r="K5855" s="3" t="s">
        <v>23</v>
      </c>
    </row>
    <row r="5856" spans="1:11" ht="42" customHeight="1">
      <c r="A5856" s="2" t="s">
        <v>11641</v>
      </c>
      <c r="B5856" s="2" t="s">
        <v>11641</v>
      </c>
      <c r="C5856" s="2" t="s">
        <v>79</v>
      </c>
      <c r="D5856" s="2" t="s">
        <v>74</v>
      </c>
      <c r="E5856" s="5">
        <v>-28099</v>
      </c>
      <c r="F5856" s="3" t="s">
        <v>1689</v>
      </c>
      <c r="G5856" s="3" t="s">
        <v>20</v>
      </c>
      <c r="H5856" s="2" t="s">
        <v>21</v>
      </c>
      <c r="I5856" s="2" t="s">
        <v>11645</v>
      </c>
      <c r="J5856" s="3" t="str">
        <f>HYPERLINK("https://www.boe.es/gazeta/dias/1823/01/24/pdfs/GMD-1823-25.pdf#page=4","Abrir facsímil")</f>
        <v>Abrir facsímil</v>
      </c>
      <c r="K5856" s="3" t="s">
        <v>23</v>
      </c>
    </row>
    <row r="5857" spans="1:11" ht="42" customHeight="1">
      <c r="A5857" s="2" t="s">
        <v>11641</v>
      </c>
      <c r="B5857" s="2" t="s">
        <v>11641</v>
      </c>
      <c r="C5857" s="2" t="s">
        <v>56</v>
      </c>
      <c r="D5857" s="2" t="s">
        <v>57</v>
      </c>
      <c r="E5857" s="5">
        <v>-28097</v>
      </c>
      <c r="F5857" s="3" t="s">
        <v>1368</v>
      </c>
      <c r="G5857" s="3" t="s">
        <v>39</v>
      </c>
      <c r="H5857" s="2" t="s">
        <v>21</v>
      </c>
      <c r="I5857" s="2" t="s">
        <v>11646</v>
      </c>
      <c r="J5857" s="3" t="str">
        <f>HYPERLINK("https://www.boe.es/gazeta/dias/1823/01/26/pdfs/GMD-1823-27.pdf#page=1","Abrir facsímil")</f>
        <v>Abrir facsímil</v>
      </c>
      <c r="K5857" s="3" t="s">
        <v>23</v>
      </c>
    </row>
    <row r="5858" spans="1:11" ht="42" customHeight="1">
      <c r="A5858" s="2" t="s">
        <v>11641</v>
      </c>
      <c r="B5858" s="2" t="s">
        <v>11641</v>
      </c>
      <c r="C5858" s="2" t="s">
        <v>17</v>
      </c>
      <c r="D5858" s="2" t="s">
        <v>18</v>
      </c>
      <c r="E5858" s="5">
        <v>-28093</v>
      </c>
      <c r="F5858" s="3" t="s">
        <v>1044</v>
      </c>
      <c r="G5858" s="3" t="s">
        <v>59</v>
      </c>
      <c r="H5858" s="2" t="s">
        <v>21</v>
      </c>
      <c r="I5858" s="2" t="s">
        <v>11647</v>
      </c>
      <c r="J5858" s="3" t="str">
        <f>HYPERLINK("https://www.boe.es/gazeta/dias/1823/01/30/pdfs/GMD-1823-31.pdf#page=6","Abrir facsímil")</f>
        <v>Abrir facsímil</v>
      </c>
      <c r="K5858" s="3" t="s">
        <v>23</v>
      </c>
    </row>
    <row r="5859" spans="1:11" ht="42" customHeight="1">
      <c r="A5859" s="2" t="s">
        <v>11641</v>
      </c>
      <c r="B5859" s="2" t="s">
        <v>11641</v>
      </c>
      <c r="C5859" s="2" t="s">
        <v>84</v>
      </c>
      <c r="D5859" s="2" t="s">
        <v>74</v>
      </c>
      <c r="E5859" s="5">
        <v>-28078</v>
      </c>
      <c r="F5859" s="3" t="s">
        <v>508</v>
      </c>
      <c r="G5859" s="3" t="s">
        <v>59</v>
      </c>
      <c r="H5859" s="2" t="s">
        <v>21</v>
      </c>
      <c r="I5859" s="2" t="s">
        <v>11648</v>
      </c>
      <c r="J5859" s="3" t="str">
        <f>HYPERLINK("https://www.boe.es/gazeta/dias/1823/02/14/pdfs/GMD-1823-48.pdf#page=6","Abrir facsímil")</f>
        <v>Abrir facsímil</v>
      </c>
      <c r="K5859" s="3" t="s">
        <v>23</v>
      </c>
    </row>
    <row r="5860" spans="1:11" ht="42" customHeight="1">
      <c r="A5860" s="2" t="s">
        <v>11641</v>
      </c>
      <c r="B5860" s="2" t="s">
        <v>11641</v>
      </c>
      <c r="C5860" s="2" t="s">
        <v>109</v>
      </c>
      <c r="D5860" s="2" t="s">
        <v>74</v>
      </c>
      <c r="E5860" s="5">
        <v>-28058</v>
      </c>
      <c r="F5860" s="3" t="s">
        <v>1282</v>
      </c>
      <c r="G5860" s="3" t="s">
        <v>20</v>
      </c>
      <c r="H5860" s="2" t="s">
        <v>21</v>
      </c>
      <c r="I5860" s="2" t="s">
        <v>11649</v>
      </c>
      <c r="J5860" s="3" t="str">
        <f>HYPERLINK("https://www.boe.es/gazeta/dias/1823/03/06/pdfs/GMD-1823-69.pdf#page=4","Abrir facsímil")</f>
        <v>Abrir facsímil</v>
      </c>
      <c r="K5860" s="3" t="s">
        <v>23</v>
      </c>
    </row>
    <row r="5861" spans="1:11" ht="42" customHeight="1">
      <c r="A5861" s="2" t="s">
        <v>11641</v>
      </c>
      <c r="B5861" s="2" t="s">
        <v>11641</v>
      </c>
      <c r="C5861" s="2" t="s">
        <v>1477</v>
      </c>
      <c r="D5861" s="2" t="s">
        <v>57</v>
      </c>
      <c r="E5861" s="5">
        <v>-28055</v>
      </c>
      <c r="F5861" s="3" t="s">
        <v>313</v>
      </c>
      <c r="G5861" s="3" t="s">
        <v>20</v>
      </c>
      <c r="H5861" s="2" t="s">
        <v>21</v>
      </c>
      <c r="I5861" s="2" t="s">
        <v>11650</v>
      </c>
      <c r="J5861" s="3" t="str">
        <f>HYPERLINK("https://www.boe.es/gazeta/dias/1823/03/09/pdfs/GMD-1823-72.pdf#page=4","Abrir facsímil")</f>
        <v>Abrir facsímil</v>
      </c>
      <c r="K5861" s="3" t="s">
        <v>23</v>
      </c>
    </row>
    <row r="5862" spans="1:11" ht="42" customHeight="1">
      <c r="A5862" s="2" t="s">
        <v>11641</v>
      </c>
      <c r="B5862" s="2" t="s">
        <v>11641</v>
      </c>
      <c r="C5862" s="2" t="s">
        <v>73</v>
      </c>
      <c r="D5862" s="2" t="s">
        <v>74</v>
      </c>
      <c r="E5862" s="5">
        <v>-28049</v>
      </c>
      <c r="F5862" s="3" t="s">
        <v>198</v>
      </c>
      <c r="G5862" s="3" t="s">
        <v>48</v>
      </c>
      <c r="H5862" s="2" t="s">
        <v>21</v>
      </c>
      <c r="I5862" s="2" t="s">
        <v>11651</v>
      </c>
      <c r="J5862" s="3" t="str">
        <f>HYPERLINK("https://www.boe.es/gazeta/dias/1823/03/15/pdfs/GMD-1823-78.pdf#page=3","Abrir facsímil")</f>
        <v>Abrir facsímil</v>
      </c>
      <c r="K5862" s="3" t="s">
        <v>23</v>
      </c>
    </row>
    <row r="5863" spans="1:11" ht="42" customHeight="1">
      <c r="A5863" s="2" t="s">
        <v>11641</v>
      </c>
      <c r="B5863" s="2" t="s">
        <v>11641</v>
      </c>
      <c r="C5863" s="2" t="s">
        <v>73</v>
      </c>
      <c r="D5863" s="2" t="s">
        <v>74</v>
      </c>
      <c r="E5863" s="5">
        <v>-28044</v>
      </c>
      <c r="F5863" s="3" t="s">
        <v>1930</v>
      </c>
      <c r="G5863" s="3" t="s">
        <v>20</v>
      </c>
      <c r="H5863" s="2" t="s">
        <v>21</v>
      </c>
      <c r="I5863" s="2" t="s">
        <v>11652</v>
      </c>
      <c r="J5863" s="3" t="str">
        <f>HYPERLINK("https://www.boe.es/gazeta/dias/1823/03/20/pdfs/GMD-1823-83.pdf#page=4","Abrir facsímil")</f>
        <v>Abrir facsímil</v>
      </c>
      <c r="K5863" s="3" t="s">
        <v>23</v>
      </c>
    </row>
    <row r="5864" spans="1:11" ht="42" customHeight="1">
      <c r="A5864" s="2" t="s">
        <v>11641</v>
      </c>
      <c r="B5864" s="2" t="s">
        <v>11641</v>
      </c>
      <c r="C5864" s="2" t="s">
        <v>73</v>
      </c>
      <c r="D5864" s="2" t="s">
        <v>74</v>
      </c>
      <c r="E5864" s="5">
        <v>-28043</v>
      </c>
      <c r="F5864" s="3" t="s">
        <v>69</v>
      </c>
      <c r="G5864" s="3" t="s">
        <v>59</v>
      </c>
      <c r="H5864" s="2" t="s">
        <v>21</v>
      </c>
      <c r="I5864" s="2" t="s">
        <v>11653</v>
      </c>
      <c r="J5864" s="3" t="str">
        <f>HYPERLINK("https://www.boe.es/gazeta/dias/1823/03/21/pdfs/GMD-1823-84.pdf#page=6","Abrir facsímil")</f>
        <v>Abrir facsímil</v>
      </c>
      <c r="K5864" s="3" t="s">
        <v>23</v>
      </c>
    </row>
    <row r="5865" spans="1:11" ht="42" customHeight="1">
      <c r="A5865" s="2" t="s">
        <v>11641</v>
      </c>
      <c r="B5865" s="2" t="s">
        <v>11641</v>
      </c>
      <c r="C5865" s="2" t="s">
        <v>17</v>
      </c>
      <c r="D5865" s="2" t="s">
        <v>18</v>
      </c>
      <c r="E5865" s="5">
        <v>-28042</v>
      </c>
      <c r="F5865" s="3" t="s">
        <v>1218</v>
      </c>
      <c r="G5865" s="3" t="s">
        <v>48</v>
      </c>
      <c r="H5865" s="2" t="s">
        <v>21</v>
      </c>
      <c r="I5865" s="2" t="s">
        <v>11654</v>
      </c>
      <c r="J5865" s="3" t="str">
        <f>HYPERLINK("https://www.boe.es/gazeta/dias/1823/03/22/pdfs/GMD-1823-85.pdf#page=3","Abrir facsímil")</f>
        <v>Abrir facsímil</v>
      </c>
      <c r="K5865" s="3" t="s">
        <v>23</v>
      </c>
    </row>
    <row r="5866" spans="1:11" ht="42" customHeight="1">
      <c r="A5866" s="2" t="s">
        <v>11641</v>
      </c>
      <c r="B5866" s="2" t="s">
        <v>11641</v>
      </c>
      <c r="C5866" s="2" t="s">
        <v>17</v>
      </c>
      <c r="D5866" s="2" t="s">
        <v>18</v>
      </c>
      <c r="E5866" s="5">
        <v>-28041</v>
      </c>
      <c r="F5866" s="3" t="s">
        <v>873</v>
      </c>
      <c r="G5866" s="3" t="s">
        <v>27</v>
      </c>
      <c r="H5866" s="2" t="s">
        <v>21</v>
      </c>
      <c r="I5866" s="2" t="s">
        <v>11655</v>
      </c>
      <c r="J5866" s="3" t="str">
        <f>HYPERLINK("https://www.boe.es/gazeta/dias/1823/03/23/pdfs/GMD-1823-86.pdf#page=2","Abrir facsímil")</f>
        <v>Abrir facsímil</v>
      </c>
      <c r="K5866" s="3" t="s">
        <v>23</v>
      </c>
    </row>
    <row r="5867" spans="1:11" ht="42" customHeight="1">
      <c r="A5867" s="2" t="s">
        <v>11641</v>
      </c>
      <c r="B5867" s="2" t="s">
        <v>11641</v>
      </c>
      <c r="C5867" s="2" t="s">
        <v>56</v>
      </c>
      <c r="D5867" s="2" t="s">
        <v>57</v>
      </c>
      <c r="E5867" s="5">
        <v>-28040</v>
      </c>
      <c r="F5867" s="3" t="s">
        <v>2971</v>
      </c>
      <c r="G5867" s="3" t="s">
        <v>20</v>
      </c>
      <c r="H5867" s="2" t="s">
        <v>21</v>
      </c>
      <c r="I5867" s="2" t="s">
        <v>11656</v>
      </c>
      <c r="J5867" s="3" t="str">
        <f>HYPERLINK("https://www.boe.es/gazeta/dias/1823/03/24/pdfs/GMD-1823-87.pdf#page=4","Abrir facsímil")</f>
        <v>Abrir facsímil</v>
      </c>
      <c r="K5867" s="3" t="s">
        <v>23</v>
      </c>
    </row>
    <row r="5868" spans="1:11" ht="42" customHeight="1">
      <c r="A5868" s="2" t="s">
        <v>11641</v>
      </c>
      <c r="B5868" s="2" t="s">
        <v>11641</v>
      </c>
      <c r="C5868" s="2" t="s">
        <v>17</v>
      </c>
      <c r="D5868" s="2" t="s">
        <v>18</v>
      </c>
      <c r="E5868" s="5">
        <v>-28028</v>
      </c>
      <c r="F5868" s="3" t="s">
        <v>893</v>
      </c>
      <c r="G5868" s="3" t="s">
        <v>20</v>
      </c>
      <c r="H5868" s="2" t="s">
        <v>21</v>
      </c>
      <c r="I5868" s="2" t="s">
        <v>11657</v>
      </c>
      <c r="J5868" s="3" t="str">
        <f>HYPERLINK("https://www.boe.es/gazeta/dias/1823/04/05/pdfs/GMD-1823-99.pdf#page=4","Abrir facsímil")</f>
        <v>Abrir facsímil</v>
      </c>
      <c r="K5868" s="3" t="s">
        <v>23</v>
      </c>
    </row>
    <row r="5869" spans="1:11" ht="42" customHeight="1">
      <c r="A5869" s="2" t="s">
        <v>11641</v>
      </c>
      <c r="B5869" s="2" t="s">
        <v>11641</v>
      </c>
      <c r="C5869" s="2" t="s">
        <v>293</v>
      </c>
      <c r="D5869" s="2" t="s">
        <v>74</v>
      </c>
      <c r="E5869" s="5">
        <v>-28024</v>
      </c>
      <c r="F5869" s="3" t="s">
        <v>1659</v>
      </c>
      <c r="G5869" s="3" t="s">
        <v>27</v>
      </c>
      <c r="H5869" s="2" t="s">
        <v>21</v>
      </c>
      <c r="I5869" s="2" t="s">
        <v>11658</v>
      </c>
      <c r="J5869" s="3" t="str">
        <f>HYPERLINK("https://www.boe.es/gazeta/dias/1823/04/09/pdfs/GMD-1823-104.pdf#page=2","Abrir facsímil")</f>
        <v>Abrir facsímil</v>
      </c>
      <c r="K5869" s="3" t="s">
        <v>23</v>
      </c>
    </row>
    <row r="5870" spans="1:11" ht="42" customHeight="1">
      <c r="A5870" s="2" t="s">
        <v>11641</v>
      </c>
      <c r="B5870" s="2" t="s">
        <v>11641</v>
      </c>
      <c r="C5870" s="2" t="s">
        <v>17</v>
      </c>
      <c r="D5870" s="2" t="s">
        <v>18</v>
      </c>
      <c r="E5870" s="5">
        <v>-28016</v>
      </c>
      <c r="F5870" s="3" t="s">
        <v>2259</v>
      </c>
      <c r="G5870" s="3" t="s">
        <v>20</v>
      </c>
      <c r="H5870" s="2" t="s">
        <v>21</v>
      </c>
      <c r="I5870" s="2" t="s">
        <v>11659</v>
      </c>
      <c r="J5870" s="3" t="str">
        <f>HYPERLINK("https://www.boe.es/gazeta/dias/1823/04/17/pdfs/GES-1823-7.pdf#page=4","Abrir facsímil")</f>
        <v>Abrir facsímil</v>
      </c>
      <c r="K5870" s="3" t="s">
        <v>23</v>
      </c>
    </row>
    <row r="5871" spans="1:11" ht="42" customHeight="1">
      <c r="A5871" s="2" t="s">
        <v>11641</v>
      </c>
      <c r="B5871" s="2" t="s">
        <v>11641</v>
      </c>
      <c r="C5871" s="2" t="s">
        <v>17</v>
      </c>
      <c r="D5871" s="2" t="s">
        <v>18</v>
      </c>
      <c r="E5871" s="5">
        <v>-28013</v>
      </c>
      <c r="F5871" s="3" t="s">
        <v>105</v>
      </c>
      <c r="G5871" s="3" t="s">
        <v>48</v>
      </c>
      <c r="H5871" s="2" t="s">
        <v>21</v>
      </c>
      <c r="I5871" s="2" t="s">
        <v>11660</v>
      </c>
      <c r="J5871" s="3" t="str">
        <f>HYPERLINK("https://www.boe.es/gazeta/dias/1823/04/20/pdfs/GMD-1823-32.pdf#page=3","Abrir facsímil")</f>
        <v>Abrir facsímil</v>
      </c>
      <c r="K5871" s="3" t="s">
        <v>23</v>
      </c>
    </row>
    <row r="5872" spans="1:11" ht="42" customHeight="1">
      <c r="A5872" s="2" t="s">
        <v>11641</v>
      </c>
      <c r="B5872" s="2" t="s">
        <v>11641</v>
      </c>
      <c r="C5872" s="2" t="s">
        <v>73</v>
      </c>
      <c r="D5872" s="2" t="s">
        <v>74</v>
      </c>
      <c r="E5872" s="5">
        <v>-28013</v>
      </c>
      <c r="F5872" s="3" t="s">
        <v>105</v>
      </c>
      <c r="G5872" s="3" t="s">
        <v>20</v>
      </c>
      <c r="H5872" s="2" t="s">
        <v>21</v>
      </c>
      <c r="I5872" s="2" t="s">
        <v>11661</v>
      </c>
      <c r="J5872" s="3" t="str">
        <f>HYPERLINK("https://www.boe.es/gazeta/dias/1823/04/20/pdfs/GMD-1823-32.pdf#page=4","Abrir facsímil")</f>
        <v>Abrir facsímil</v>
      </c>
      <c r="K5872" s="3" t="s">
        <v>23</v>
      </c>
    </row>
    <row r="5873" spans="1:11" ht="42" customHeight="1">
      <c r="A5873" s="2" t="s">
        <v>11641</v>
      </c>
      <c r="B5873" s="2" t="s">
        <v>11641</v>
      </c>
      <c r="C5873" s="2" t="s">
        <v>17</v>
      </c>
      <c r="D5873" s="2" t="s">
        <v>18</v>
      </c>
      <c r="E5873" s="5">
        <v>-28009</v>
      </c>
      <c r="F5873" s="3" t="s">
        <v>212</v>
      </c>
      <c r="G5873" s="3" t="s">
        <v>48</v>
      </c>
      <c r="H5873" s="2" t="s">
        <v>21</v>
      </c>
      <c r="I5873" s="2" t="s">
        <v>11662</v>
      </c>
      <c r="J5873" s="3" t="str">
        <f>HYPERLINK("https://www.boe.es/gazeta/dias/1823/04/24/pdfs/GMD-1823-52.pdf#page=3","Abrir facsímil")</f>
        <v>Abrir facsímil</v>
      </c>
      <c r="K5873" s="3" t="s">
        <v>23</v>
      </c>
    </row>
    <row r="5874" spans="1:11" ht="42" customHeight="1">
      <c r="A5874" s="2" t="s">
        <v>11641</v>
      </c>
      <c r="B5874" s="2" t="s">
        <v>11641</v>
      </c>
      <c r="C5874" s="2" t="s">
        <v>84</v>
      </c>
      <c r="D5874" s="2" t="s">
        <v>74</v>
      </c>
      <c r="E5874" s="5">
        <v>-28008</v>
      </c>
      <c r="F5874" s="3" t="s">
        <v>309</v>
      </c>
      <c r="G5874" s="3" t="s">
        <v>20</v>
      </c>
      <c r="H5874" s="2" t="s">
        <v>21</v>
      </c>
      <c r="I5874" s="2" t="s">
        <v>11663</v>
      </c>
      <c r="J5874" s="3" t="str">
        <f>HYPERLINK("https://www.boe.es/gazeta/dias/1823/04/25/pdfs/GES-1823-15.pdf#page=4","Abrir facsímil")</f>
        <v>Abrir facsímil</v>
      </c>
      <c r="K5874" s="3" t="s">
        <v>23</v>
      </c>
    </row>
    <row r="5875" spans="1:11" ht="42" customHeight="1">
      <c r="A5875" s="2" t="s">
        <v>11641</v>
      </c>
      <c r="B5875" s="2" t="s">
        <v>11641</v>
      </c>
      <c r="C5875" s="2" t="s">
        <v>56</v>
      </c>
      <c r="D5875" s="2" t="s">
        <v>57</v>
      </c>
      <c r="E5875" s="5">
        <v>-28005</v>
      </c>
      <c r="F5875" s="3" t="s">
        <v>1648</v>
      </c>
      <c r="G5875" s="3" t="s">
        <v>48</v>
      </c>
      <c r="H5875" s="2" t="s">
        <v>21</v>
      </c>
      <c r="I5875" s="2" t="s">
        <v>11664</v>
      </c>
      <c r="J5875" s="3" t="str">
        <f>HYPERLINK("https://www.boe.es/gazeta/dias/1823/04/28/pdfs/GES-1823-18.pdf#page=3","Abrir facsímil")</f>
        <v>Abrir facsímil</v>
      </c>
      <c r="K5875" s="3" t="s">
        <v>23</v>
      </c>
    </row>
    <row r="5876" spans="1:11" ht="42" customHeight="1">
      <c r="A5876" s="2" t="s">
        <v>11641</v>
      </c>
      <c r="B5876" s="2" t="s">
        <v>11641</v>
      </c>
      <c r="C5876" s="2" t="s">
        <v>17</v>
      </c>
      <c r="D5876" s="2" t="s">
        <v>18</v>
      </c>
      <c r="E5876" s="5">
        <v>-27995</v>
      </c>
      <c r="F5876" s="3" t="s">
        <v>326</v>
      </c>
      <c r="G5876" s="3" t="s">
        <v>39</v>
      </c>
      <c r="H5876" s="2" t="s">
        <v>21</v>
      </c>
      <c r="I5876" s="2" t="s">
        <v>11665</v>
      </c>
      <c r="J5876" s="3" t="str">
        <f>HYPERLINK("https://www.boe.es/gazeta/dias/1823/05/08/pdfs/GMD-1823-112.pdf#page=1","Abrir facsímil")</f>
        <v>Abrir facsímil</v>
      </c>
      <c r="K5876" s="3" t="s">
        <v>23</v>
      </c>
    </row>
    <row r="5877" spans="1:11" ht="42" customHeight="1">
      <c r="A5877" s="2" t="s">
        <v>11641</v>
      </c>
      <c r="B5877" s="2" t="s">
        <v>11641</v>
      </c>
      <c r="C5877" s="2" t="s">
        <v>17</v>
      </c>
      <c r="D5877" s="2" t="s">
        <v>18</v>
      </c>
      <c r="E5877" s="5">
        <v>-27992</v>
      </c>
      <c r="F5877" s="3" t="s">
        <v>565</v>
      </c>
      <c r="G5877" s="3" t="s">
        <v>20</v>
      </c>
      <c r="H5877" s="2" t="s">
        <v>21</v>
      </c>
      <c r="I5877" s="2" t="s">
        <v>11666</v>
      </c>
      <c r="J5877" s="3" t="str">
        <f>HYPERLINK("https://www.boe.es/gazeta/dias/1823/05/11/pdfs/GES-1823-31.pdf#page=4","Abrir facsímil")</f>
        <v>Abrir facsímil</v>
      </c>
      <c r="K5877" s="3" t="s">
        <v>23</v>
      </c>
    </row>
    <row r="5878" spans="1:11" ht="42" customHeight="1">
      <c r="A5878" s="2" t="s">
        <v>11641</v>
      </c>
      <c r="B5878" s="2" t="s">
        <v>11641</v>
      </c>
      <c r="C5878" s="2" t="s">
        <v>79</v>
      </c>
      <c r="D5878" s="2" t="s">
        <v>74</v>
      </c>
      <c r="E5878" s="5">
        <v>-27986</v>
      </c>
      <c r="F5878" s="3" t="s">
        <v>75</v>
      </c>
      <c r="G5878" s="3" t="s">
        <v>59</v>
      </c>
      <c r="H5878" s="2" t="s">
        <v>21</v>
      </c>
      <c r="I5878" s="2" t="s">
        <v>11667</v>
      </c>
      <c r="J5878" s="3" t="str">
        <f>HYPERLINK("https://www.boe.es/gazeta/dias/1823/05/17/pdfs/GES-1823-37.pdf#page=6","Abrir facsímil")</f>
        <v>Abrir facsímil</v>
      </c>
      <c r="K5878" s="3" t="s">
        <v>23</v>
      </c>
    </row>
    <row r="5879" spans="1:11" ht="42" customHeight="1">
      <c r="A5879" s="2" t="s">
        <v>11641</v>
      </c>
      <c r="B5879" s="2" t="s">
        <v>11641</v>
      </c>
      <c r="C5879" s="2" t="s">
        <v>17</v>
      </c>
      <c r="D5879" s="2" t="s">
        <v>18</v>
      </c>
      <c r="E5879" s="5">
        <v>-27984</v>
      </c>
      <c r="F5879" s="3" t="s">
        <v>335</v>
      </c>
      <c r="G5879" s="3" t="s">
        <v>27</v>
      </c>
      <c r="H5879" s="2" t="s">
        <v>21</v>
      </c>
      <c r="I5879" s="2" t="s">
        <v>11668</v>
      </c>
      <c r="J5879" s="3" t="str">
        <f>HYPERLINK("https://www.boe.es/gazeta/dias/1823/05/19/pdfs/GES-1823-39.pdf#page=2","Abrir facsímil")</f>
        <v>Abrir facsímil</v>
      </c>
      <c r="K5879" s="3" t="s">
        <v>23</v>
      </c>
    </row>
    <row r="5880" spans="1:11" ht="42" customHeight="1">
      <c r="A5880" s="2" t="s">
        <v>11641</v>
      </c>
      <c r="B5880" s="2" t="s">
        <v>11641</v>
      </c>
      <c r="C5880" s="2" t="s">
        <v>17</v>
      </c>
      <c r="D5880" s="2" t="s">
        <v>18</v>
      </c>
      <c r="E5880" s="5">
        <v>-27982</v>
      </c>
      <c r="F5880" s="3" t="s">
        <v>340</v>
      </c>
      <c r="G5880" s="3" t="s">
        <v>39</v>
      </c>
      <c r="H5880" s="2" t="s">
        <v>21</v>
      </c>
      <c r="I5880" s="2" t="s">
        <v>11669</v>
      </c>
      <c r="J5880" s="3" t="str">
        <f>HYPERLINK("https://www.boe.es/gazeta/dias/1823/05/21/pdfs/GES-1823-42.pdf#page=1","Abrir facsímil")</f>
        <v>Abrir facsímil</v>
      </c>
      <c r="K5880" s="3" t="s">
        <v>23</v>
      </c>
    </row>
    <row r="5881" spans="1:11" ht="42" customHeight="1">
      <c r="A5881" s="2" t="s">
        <v>11641</v>
      </c>
      <c r="B5881" s="2" t="s">
        <v>11641</v>
      </c>
      <c r="C5881" s="2" t="s">
        <v>109</v>
      </c>
      <c r="D5881" s="2" t="s">
        <v>74</v>
      </c>
      <c r="E5881" s="5">
        <v>-27981</v>
      </c>
      <c r="F5881" s="3" t="s">
        <v>1521</v>
      </c>
      <c r="G5881" s="3" t="s">
        <v>2395</v>
      </c>
      <c r="H5881" s="2" t="s">
        <v>21</v>
      </c>
      <c r="I5881" s="2" t="s">
        <v>11670</v>
      </c>
      <c r="J5881" s="3" t="str">
        <f>HYPERLINK("https://www.boe.es/gazeta/dias/1823/05/22/pdfs/GES-1823-43.pdf#page=2","Abrir facsímil")</f>
        <v>Abrir facsímil</v>
      </c>
      <c r="K5881" s="3" t="s">
        <v>23</v>
      </c>
    </row>
    <row r="5882" spans="1:11" ht="42" customHeight="1">
      <c r="A5882" s="2" t="s">
        <v>11641</v>
      </c>
      <c r="B5882" s="2" t="s">
        <v>11641</v>
      </c>
      <c r="C5882" s="2" t="s">
        <v>17</v>
      </c>
      <c r="D5882" s="2" t="s">
        <v>18</v>
      </c>
      <c r="E5882" s="5">
        <v>-27981</v>
      </c>
      <c r="F5882" s="3" t="s">
        <v>1521</v>
      </c>
      <c r="G5882" s="3" t="s">
        <v>48</v>
      </c>
      <c r="H5882" s="2" t="s">
        <v>21</v>
      </c>
      <c r="I5882" s="2" t="s">
        <v>11671</v>
      </c>
      <c r="J5882" s="3" t="str">
        <f>HYPERLINK("https://www.boe.es/gazeta/dias/1823/05/22/pdfs/GES-1823-43.pdf#page=3","Abrir facsímil")</f>
        <v>Abrir facsímil</v>
      </c>
      <c r="K5882" s="3" t="s">
        <v>23</v>
      </c>
    </row>
    <row r="5883" spans="1:11" ht="42" customHeight="1">
      <c r="A5883" s="2" t="s">
        <v>11641</v>
      </c>
      <c r="B5883" s="2" t="s">
        <v>11641</v>
      </c>
      <c r="C5883" s="2" t="s">
        <v>17</v>
      </c>
      <c r="D5883" s="2" t="s">
        <v>18</v>
      </c>
      <c r="E5883" s="5">
        <v>-27979</v>
      </c>
      <c r="F5883" s="3" t="s">
        <v>1071</v>
      </c>
      <c r="G5883" s="3" t="s">
        <v>39</v>
      </c>
      <c r="H5883" s="2" t="s">
        <v>21</v>
      </c>
      <c r="I5883" s="2" t="s">
        <v>11672</v>
      </c>
      <c r="J5883" s="3" t="str">
        <f>HYPERLINK("https://www.boe.es/gazeta/dias/1823/05/24/pdfs/GES-1823-45.pdf#page=1","Abrir facsímil")</f>
        <v>Abrir facsímil</v>
      </c>
      <c r="K5883" s="3" t="s">
        <v>23</v>
      </c>
    </row>
    <row r="5884" spans="1:11" ht="42" customHeight="1">
      <c r="A5884" s="2" t="s">
        <v>11641</v>
      </c>
      <c r="B5884" s="2" t="s">
        <v>11641</v>
      </c>
      <c r="C5884" s="2" t="s">
        <v>17</v>
      </c>
      <c r="D5884" s="2" t="s">
        <v>18</v>
      </c>
      <c r="E5884" s="5">
        <v>-27978</v>
      </c>
      <c r="F5884" s="3" t="s">
        <v>342</v>
      </c>
      <c r="G5884" s="3" t="s">
        <v>34</v>
      </c>
      <c r="H5884" s="2" t="s">
        <v>21</v>
      </c>
      <c r="I5884" s="2" t="s">
        <v>11673</v>
      </c>
      <c r="J5884" s="3" t="str">
        <f>HYPERLINK("https://www.boe.es/gazeta/dias/1823/05/25/pdfs/GES-1823-46.pdf#page=5","Abrir facsímil")</f>
        <v>Abrir facsímil</v>
      </c>
      <c r="K5884" s="3" t="s">
        <v>23</v>
      </c>
    </row>
    <row r="5885" spans="1:11" ht="42" customHeight="1">
      <c r="A5885" s="2" t="s">
        <v>11641</v>
      </c>
      <c r="B5885" s="2" t="s">
        <v>11641</v>
      </c>
      <c r="C5885" s="2" t="s">
        <v>17</v>
      </c>
      <c r="D5885" s="2" t="s">
        <v>18</v>
      </c>
      <c r="E5885" s="5">
        <v>-27976</v>
      </c>
      <c r="F5885" s="3" t="s">
        <v>1156</v>
      </c>
      <c r="G5885" s="3" t="s">
        <v>7112</v>
      </c>
      <c r="H5885" s="2" t="s">
        <v>21</v>
      </c>
      <c r="I5885" s="2" t="s">
        <v>11674</v>
      </c>
      <c r="J5885" s="3" t="str">
        <f>HYPERLINK("https://www.boe.es/gazeta/dias/1823/05/27/pdfs/GES-1823-49.pdf#page=6","Abrir facsímil")</f>
        <v>Abrir facsímil</v>
      </c>
      <c r="K5885" s="3" t="s">
        <v>23</v>
      </c>
    </row>
    <row r="5886" spans="1:11" ht="42" customHeight="1">
      <c r="A5886" s="2" t="s">
        <v>11641</v>
      </c>
      <c r="B5886" s="2" t="s">
        <v>11641</v>
      </c>
      <c r="C5886" s="2" t="s">
        <v>56</v>
      </c>
      <c r="D5886" s="2" t="s">
        <v>57</v>
      </c>
      <c r="E5886" s="5">
        <v>-27965</v>
      </c>
      <c r="F5886" s="3" t="s">
        <v>208</v>
      </c>
      <c r="G5886" s="3" t="s">
        <v>39</v>
      </c>
      <c r="H5886" s="2" t="s">
        <v>21</v>
      </c>
      <c r="I5886" s="2" t="s">
        <v>11675</v>
      </c>
      <c r="J5886" s="3" t="str">
        <f>HYPERLINK("https://www.boe.es/gazeta/dias/1823/06/07/pdfs/GES-1823-61.pdf#page=1","Abrir facsímil")</f>
        <v>Abrir facsímil</v>
      </c>
      <c r="K5886" s="3" t="s">
        <v>23</v>
      </c>
    </row>
    <row r="5887" spans="1:11" ht="42" customHeight="1">
      <c r="A5887" s="2" t="s">
        <v>11641</v>
      </c>
      <c r="B5887" s="2" t="s">
        <v>11641</v>
      </c>
      <c r="C5887" s="2" t="s">
        <v>17</v>
      </c>
      <c r="D5887" s="2" t="s">
        <v>18</v>
      </c>
      <c r="E5887" s="5">
        <v>-27965</v>
      </c>
      <c r="F5887" s="3" t="s">
        <v>1930</v>
      </c>
      <c r="G5887" s="3" t="s">
        <v>20</v>
      </c>
      <c r="H5887" s="2" t="s">
        <v>21</v>
      </c>
      <c r="I5887" s="2" t="s">
        <v>11676</v>
      </c>
      <c r="J5887" s="3" t="str">
        <f>HYPERLINK("https://www.boe.es/gazeta/dias/1823/06/07/pdfs/GMD-1823-83.pdf#page=4","Abrir facsímil")</f>
        <v>Abrir facsímil</v>
      </c>
      <c r="K5887" s="3" t="s">
        <v>23</v>
      </c>
    </row>
    <row r="5888" spans="1:11" ht="42" customHeight="1">
      <c r="A5888" s="2" t="s">
        <v>11641</v>
      </c>
      <c r="B5888" s="2" t="s">
        <v>11641</v>
      </c>
      <c r="C5888" s="2" t="s">
        <v>17</v>
      </c>
      <c r="D5888" s="2" t="s">
        <v>18</v>
      </c>
      <c r="E5888" s="5">
        <v>-27964</v>
      </c>
      <c r="F5888" s="3" t="s">
        <v>58</v>
      </c>
      <c r="G5888" s="3" t="s">
        <v>34</v>
      </c>
      <c r="H5888" s="2" t="s">
        <v>21</v>
      </c>
      <c r="I5888" s="2" t="s">
        <v>11677</v>
      </c>
      <c r="J5888" s="3" t="str">
        <f>HYPERLINK("https://www.boe.es/gazeta/dias/1823/06/08/pdfs/GES-1823-62.pdf#page=5","Abrir facsímil")</f>
        <v>Abrir facsímil</v>
      </c>
      <c r="K5888" s="3" t="s">
        <v>23</v>
      </c>
    </row>
    <row r="5889" spans="1:11" ht="42" customHeight="1">
      <c r="A5889" s="2" t="s">
        <v>11641</v>
      </c>
      <c r="B5889" s="2" t="s">
        <v>11641</v>
      </c>
      <c r="C5889" s="2" t="s">
        <v>56</v>
      </c>
      <c r="D5889" s="2" t="s">
        <v>57</v>
      </c>
      <c r="E5889" s="5">
        <v>-27962</v>
      </c>
      <c r="F5889" s="3" t="s">
        <v>594</v>
      </c>
      <c r="G5889" s="3" t="s">
        <v>39</v>
      </c>
      <c r="H5889" s="2" t="s">
        <v>21</v>
      </c>
      <c r="I5889" s="2" t="s">
        <v>11678</v>
      </c>
      <c r="J5889" s="3" t="str">
        <f>HYPERLINK("https://www.boe.es/gazeta/dias/1823/06/10/pdfs/GES-1823-64.pdf#page=1","Abrir facsímil")</f>
        <v>Abrir facsímil</v>
      </c>
      <c r="K5889" s="3" t="s">
        <v>23</v>
      </c>
    </row>
    <row r="5890" spans="1:11" ht="42" customHeight="1">
      <c r="A5890" s="2" t="s">
        <v>11641</v>
      </c>
      <c r="B5890" s="2" t="s">
        <v>11641</v>
      </c>
      <c r="C5890" s="2" t="s">
        <v>325</v>
      </c>
      <c r="D5890" s="2" t="s">
        <v>74</v>
      </c>
      <c r="E5890" s="5">
        <v>-27944</v>
      </c>
      <c r="F5890" s="3" t="s">
        <v>658</v>
      </c>
      <c r="G5890" s="3" t="s">
        <v>59</v>
      </c>
      <c r="H5890" s="2" t="s">
        <v>21</v>
      </c>
      <c r="I5890" s="2" t="s">
        <v>11679</v>
      </c>
      <c r="J5890" s="3" t="str">
        <f>HYPERLINK("https://www.boe.es/gazeta/dias/1823/06/28/pdfs/GMD-1823-303.pdf#page=6","Abrir facsímil")</f>
        <v>Abrir facsímil</v>
      </c>
      <c r="K5890" s="3" t="s">
        <v>23</v>
      </c>
    </row>
    <row r="5891" spans="1:11" ht="42" customHeight="1">
      <c r="A5891" s="2" t="s">
        <v>11641</v>
      </c>
      <c r="B5891" s="2" t="s">
        <v>11641</v>
      </c>
      <c r="C5891" s="2" t="s">
        <v>17</v>
      </c>
      <c r="D5891" s="2" t="s">
        <v>18</v>
      </c>
      <c r="E5891" s="5">
        <v>-27939</v>
      </c>
      <c r="F5891" s="3" t="s">
        <v>1403</v>
      </c>
      <c r="G5891" s="3" t="s">
        <v>715</v>
      </c>
      <c r="H5891" s="2" t="s">
        <v>21</v>
      </c>
      <c r="I5891" s="2" t="s">
        <v>11680</v>
      </c>
      <c r="J5891" s="3" t="str">
        <f>HYPERLINK("https://www.boe.es/gazeta/dias/1823/07/03/pdfs/GMD-1823-333.pdf#page=8","Abrir facsímil")</f>
        <v>Abrir facsímil</v>
      </c>
      <c r="K5891" s="3" t="s">
        <v>23</v>
      </c>
    </row>
    <row r="5892" spans="1:11" ht="42" customHeight="1">
      <c r="A5892" s="2" t="s">
        <v>11641</v>
      </c>
      <c r="B5892" s="2" t="s">
        <v>11641</v>
      </c>
      <c r="C5892" s="2" t="s">
        <v>109</v>
      </c>
      <c r="D5892" s="2" t="s">
        <v>74</v>
      </c>
      <c r="E5892" s="5">
        <v>-27937</v>
      </c>
      <c r="F5892" s="3" t="s">
        <v>897</v>
      </c>
      <c r="G5892" s="3" t="s">
        <v>48</v>
      </c>
      <c r="H5892" s="2" t="s">
        <v>21</v>
      </c>
      <c r="I5892" s="2" t="s">
        <v>11681</v>
      </c>
      <c r="J5892" s="3" t="str">
        <f>HYPERLINK("https://www.boe.es/gazeta/dias/1823/07/05/pdfs/GMD-1823-343.pdf#page=3","Abrir facsímil")</f>
        <v>Abrir facsímil</v>
      </c>
      <c r="K5892" s="3" t="s">
        <v>23</v>
      </c>
    </row>
    <row r="5893" spans="1:11" ht="42" customHeight="1">
      <c r="A5893" s="2" t="s">
        <v>11641</v>
      </c>
      <c r="B5893" s="2" t="s">
        <v>11641</v>
      </c>
      <c r="C5893" s="2" t="s">
        <v>17</v>
      </c>
      <c r="D5893" s="2" t="s">
        <v>18</v>
      </c>
      <c r="E5893" s="5">
        <v>-27937</v>
      </c>
      <c r="F5893" s="3" t="s">
        <v>897</v>
      </c>
      <c r="G5893" s="3" t="s">
        <v>20</v>
      </c>
      <c r="H5893" s="2" t="s">
        <v>21</v>
      </c>
      <c r="I5893" s="2" t="s">
        <v>11682</v>
      </c>
      <c r="J5893" s="3" t="str">
        <f>HYPERLINK("https://www.boe.es/gazeta/dias/1823/07/05/pdfs/GMD-1823-343.pdf#page=4","Abrir facsímil")</f>
        <v>Abrir facsímil</v>
      </c>
      <c r="K5893" s="3" t="s">
        <v>23</v>
      </c>
    </row>
    <row r="5894" spans="1:11" ht="42" customHeight="1">
      <c r="A5894" s="2" t="s">
        <v>11641</v>
      </c>
      <c r="B5894" s="2" t="s">
        <v>11641</v>
      </c>
      <c r="C5894" s="2" t="s">
        <v>109</v>
      </c>
      <c r="D5894" s="2" t="s">
        <v>74</v>
      </c>
      <c r="E5894" s="5">
        <v>-27936</v>
      </c>
      <c r="F5894" s="3" t="s">
        <v>4620</v>
      </c>
      <c r="G5894" s="3" t="s">
        <v>27</v>
      </c>
      <c r="H5894" s="2" t="s">
        <v>21</v>
      </c>
      <c r="I5894" s="2" t="s">
        <v>11683</v>
      </c>
      <c r="J5894" s="3" t="str">
        <f>HYPERLINK("https://www.boe.es/gazeta/dias/1823/07/06/pdfs/GES-1823-86.pdf#page=2","Abrir facsímil")</f>
        <v>Abrir facsímil</v>
      </c>
      <c r="K5894" s="3" t="s">
        <v>23</v>
      </c>
    </row>
    <row r="5895" spans="1:11" ht="42" customHeight="1">
      <c r="A5895" s="2" t="s">
        <v>11641</v>
      </c>
      <c r="B5895" s="2" t="s">
        <v>11641</v>
      </c>
      <c r="C5895" s="2" t="s">
        <v>79</v>
      </c>
      <c r="D5895" s="2" t="s">
        <v>74</v>
      </c>
      <c r="E5895" s="5">
        <v>-27928</v>
      </c>
      <c r="F5895" s="3" t="s">
        <v>1316</v>
      </c>
      <c r="G5895" s="3" t="s">
        <v>20</v>
      </c>
      <c r="H5895" s="2" t="s">
        <v>21</v>
      </c>
      <c r="I5895" s="2" t="s">
        <v>11684</v>
      </c>
      <c r="J5895" s="3" t="str">
        <f>HYPERLINK("https://www.boe.es/gazeta/dias/1823/07/14/pdfs/GES-1823-94.pdf#page=4","Abrir facsímil")</f>
        <v>Abrir facsímil</v>
      </c>
      <c r="K5895" s="3" t="s">
        <v>23</v>
      </c>
    </row>
    <row r="5896" spans="1:11" ht="42" customHeight="1">
      <c r="A5896" s="2" t="s">
        <v>11641</v>
      </c>
      <c r="B5896" s="2" t="s">
        <v>11641</v>
      </c>
      <c r="C5896" s="2" t="s">
        <v>79</v>
      </c>
      <c r="D5896" s="2" t="s">
        <v>74</v>
      </c>
      <c r="E5896" s="5">
        <v>-27920</v>
      </c>
      <c r="F5896" s="3" t="s">
        <v>1334</v>
      </c>
      <c r="G5896" s="3" t="s">
        <v>20</v>
      </c>
      <c r="H5896" s="2" t="s">
        <v>21</v>
      </c>
      <c r="I5896" s="2" t="s">
        <v>11685</v>
      </c>
      <c r="J5896" s="3" t="str">
        <f>HYPERLINK("https://www.boe.es/gazeta/dias/1823/07/22/pdfs/GMD-1823-443.pdf#page=4","Abrir facsímil")</f>
        <v>Abrir facsímil</v>
      </c>
      <c r="K5896" s="3" t="s">
        <v>23</v>
      </c>
    </row>
    <row r="5897" spans="1:11" ht="42" customHeight="1">
      <c r="A5897" s="2" t="s">
        <v>11641</v>
      </c>
      <c r="B5897" s="2" t="s">
        <v>11641</v>
      </c>
      <c r="C5897" s="2" t="s">
        <v>56</v>
      </c>
      <c r="D5897" s="2" t="s">
        <v>57</v>
      </c>
      <c r="E5897" s="5">
        <v>-27915</v>
      </c>
      <c r="F5897" s="3" t="s">
        <v>524</v>
      </c>
      <c r="G5897" s="3" t="s">
        <v>39</v>
      </c>
      <c r="H5897" s="2" t="s">
        <v>21</v>
      </c>
      <c r="I5897" s="2" t="s">
        <v>11686</v>
      </c>
      <c r="J5897" s="3" t="str">
        <f>HYPERLINK("https://www.boe.es/gazeta/dias/1823/07/27/pdfs/GES-1823-108.pdf#page=1","Abrir facsímil")</f>
        <v>Abrir facsímil</v>
      </c>
      <c r="K5897" s="3" t="s">
        <v>23</v>
      </c>
    </row>
    <row r="5898" spans="1:11" ht="42" customHeight="1">
      <c r="A5898" s="2" t="s">
        <v>11641</v>
      </c>
      <c r="B5898" s="2" t="s">
        <v>11641</v>
      </c>
      <c r="C5898" s="2" t="s">
        <v>17</v>
      </c>
      <c r="D5898" s="2" t="s">
        <v>18</v>
      </c>
      <c r="E5898" s="5">
        <v>-27902</v>
      </c>
      <c r="F5898" s="3" t="s">
        <v>259</v>
      </c>
      <c r="G5898" s="3" t="s">
        <v>39</v>
      </c>
      <c r="H5898" s="2" t="s">
        <v>21</v>
      </c>
      <c r="I5898" s="2" t="s">
        <v>11687</v>
      </c>
      <c r="J5898" s="3" t="str">
        <f>HYPERLINK("https://www.boe.es/gazeta/dias/1823/08/09/pdfs/GMD-1823-563.pdf#page=1","Abrir facsímil")</f>
        <v>Abrir facsímil</v>
      </c>
      <c r="K5898" s="3" t="s">
        <v>23</v>
      </c>
    </row>
    <row r="5899" spans="1:11" ht="42" customHeight="1">
      <c r="A5899" s="2" t="s">
        <v>11641</v>
      </c>
      <c r="B5899" s="2" t="s">
        <v>11641</v>
      </c>
      <c r="C5899" s="2" t="s">
        <v>56</v>
      </c>
      <c r="D5899" s="2" t="s">
        <v>57</v>
      </c>
      <c r="E5899" s="5">
        <v>-27901</v>
      </c>
      <c r="F5899" s="3" t="s">
        <v>840</v>
      </c>
      <c r="G5899" s="3" t="s">
        <v>20</v>
      </c>
      <c r="H5899" s="2" t="s">
        <v>21</v>
      </c>
      <c r="I5899" s="2" t="s">
        <v>11688</v>
      </c>
      <c r="J5899" s="3" t="str">
        <f>HYPERLINK("https://www.boe.es/gazeta/dias/1823/08/10/pdfs/GES-1823-123.pdf#page=4","Abrir facsímil")</f>
        <v>Abrir facsímil</v>
      </c>
      <c r="K5899" s="3" t="s">
        <v>23</v>
      </c>
    </row>
    <row r="5900" spans="1:11" ht="42" customHeight="1">
      <c r="A5900" s="2" t="s">
        <v>11641</v>
      </c>
      <c r="B5900" s="2" t="s">
        <v>11641</v>
      </c>
      <c r="C5900" s="2" t="s">
        <v>293</v>
      </c>
      <c r="D5900" s="2" t="s">
        <v>74</v>
      </c>
      <c r="E5900" s="5">
        <v>-27897</v>
      </c>
      <c r="F5900" s="3" t="s">
        <v>1569</v>
      </c>
      <c r="G5900" s="3" t="s">
        <v>20</v>
      </c>
      <c r="H5900" s="2" t="s">
        <v>21</v>
      </c>
      <c r="I5900" s="2" t="s">
        <v>11689</v>
      </c>
      <c r="J5900" s="3" t="str">
        <f>HYPERLINK("https://www.boe.es/gazeta/dias/1823/08/14/pdfs/GMD-1823-593.pdf#page=4","Abrir facsímil")</f>
        <v>Abrir facsímil</v>
      </c>
      <c r="K5900" s="3" t="s">
        <v>23</v>
      </c>
    </row>
    <row r="5901" spans="1:11" ht="42" customHeight="1">
      <c r="A5901" s="2" t="s">
        <v>11641</v>
      </c>
      <c r="B5901" s="2" t="s">
        <v>11641</v>
      </c>
      <c r="C5901" s="2" t="s">
        <v>79</v>
      </c>
      <c r="D5901" s="2" t="s">
        <v>74</v>
      </c>
      <c r="E5901" s="5">
        <v>-27891</v>
      </c>
      <c r="F5901" s="3" t="s">
        <v>825</v>
      </c>
      <c r="G5901" s="3" t="s">
        <v>20</v>
      </c>
      <c r="H5901" s="2" t="s">
        <v>21</v>
      </c>
      <c r="I5901" s="2" t="s">
        <v>11690</v>
      </c>
      <c r="J5901" s="3" t="str">
        <f>HYPERLINK("https://www.boe.es/gazeta/dias/1823/08/20/pdfs/GES-1823-133.pdf#page=4","Abrir facsímil")</f>
        <v>Abrir facsímil</v>
      </c>
      <c r="K5901" s="3" t="s">
        <v>23</v>
      </c>
    </row>
    <row r="5902" spans="1:11" ht="42" customHeight="1">
      <c r="A5902" s="2" t="s">
        <v>11641</v>
      </c>
      <c r="B5902" s="2" t="s">
        <v>11641</v>
      </c>
      <c r="C5902" s="2" t="s">
        <v>17</v>
      </c>
      <c r="D5902" s="2" t="s">
        <v>18</v>
      </c>
      <c r="E5902" s="5">
        <v>-27885</v>
      </c>
      <c r="F5902" s="3" t="s">
        <v>65</v>
      </c>
      <c r="G5902" s="3" t="s">
        <v>39</v>
      </c>
      <c r="H5902" s="2" t="s">
        <v>21</v>
      </c>
      <c r="I5902" s="2" t="s">
        <v>11691</v>
      </c>
      <c r="J5902" s="3" t="str">
        <f>HYPERLINK("https://www.boe.es/gazeta/dias/1823/08/26/pdfs/GMD-1823-653.pdf#page=1","Abrir facsímil")</f>
        <v>Abrir facsímil</v>
      </c>
      <c r="K5902" s="3" t="s">
        <v>23</v>
      </c>
    </row>
    <row r="5903" spans="1:11" ht="42" customHeight="1">
      <c r="A5903" s="2" t="s">
        <v>11641</v>
      </c>
      <c r="B5903" s="2" t="s">
        <v>11641</v>
      </c>
      <c r="C5903" s="2" t="s">
        <v>17</v>
      </c>
      <c r="D5903" s="2" t="s">
        <v>18</v>
      </c>
      <c r="E5903" s="5">
        <v>-27879</v>
      </c>
      <c r="F5903" s="3" t="s">
        <v>638</v>
      </c>
      <c r="G5903" s="3" t="s">
        <v>39</v>
      </c>
      <c r="H5903" s="2" t="s">
        <v>21</v>
      </c>
      <c r="I5903" s="2" t="s">
        <v>11692</v>
      </c>
      <c r="J5903" s="3" t="str">
        <f>HYPERLINK("https://www.boe.es/gazeta/dias/1823/09/01/pdfs/GES-1823-145.pdf#page=1","Abrir facsímil")</f>
        <v>Abrir facsímil</v>
      </c>
      <c r="K5903" s="3" t="s">
        <v>23</v>
      </c>
    </row>
    <row r="5904" spans="1:11" ht="42" customHeight="1">
      <c r="A5904" s="2" t="s">
        <v>11641</v>
      </c>
      <c r="B5904" s="2" t="s">
        <v>11641</v>
      </c>
      <c r="C5904" s="2" t="s">
        <v>73</v>
      </c>
      <c r="D5904" s="2" t="s">
        <v>74</v>
      </c>
      <c r="E5904" s="5">
        <v>-27879</v>
      </c>
      <c r="F5904" s="3" t="s">
        <v>638</v>
      </c>
      <c r="G5904" s="3" t="s">
        <v>20</v>
      </c>
      <c r="H5904" s="2" t="s">
        <v>21</v>
      </c>
      <c r="I5904" s="2" t="s">
        <v>11693</v>
      </c>
      <c r="J5904" s="3" t="str">
        <f>HYPERLINK("https://www.boe.es/gazeta/dias/1823/09/01/pdfs/GES-1823-145.pdf#page=4","Abrir facsímil")</f>
        <v>Abrir facsímil</v>
      </c>
      <c r="K5904" s="3" t="s">
        <v>23</v>
      </c>
    </row>
    <row r="5905" spans="1:11" ht="42" customHeight="1">
      <c r="A5905" s="2" t="s">
        <v>11641</v>
      </c>
      <c r="B5905" s="2" t="s">
        <v>11641</v>
      </c>
      <c r="C5905" s="2" t="s">
        <v>56</v>
      </c>
      <c r="D5905" s="2" t="s">
        <v>57</v>
      </c>
      <c r="E5905" s="5">
        <v>-27860</v>
      </c>
      <c r="F5905" s="3" t="s">
        <v>998</v>
      </c>
      <c r="G5905" s="3" t="s">
        <v>715</v>
      </c>
      <c r="H5905" s="2" t="s">
        <v>21</v>
      </c>
      <c r="I5905" s="2" t="s">
        <v>11694</v>
      </c>
      <c r="J5905" s="3" t="str">
        <f>HYPERLINK("https://www.boe.es/gazeta/dias/1823/09/20/pdfs/GMD-1823-813.pdf#page=8","Abrir facsímil")</f>
        <v>Abrir facsímil</v>
      </c>
      <c r="K5905" s="3" t="s">
        <v>23</v>
      </c>
    </row>
    <row r="5906" spans="1:11" ht="42" customHeight="1">
      <c r="A5906" s="2" t="s">
        <v>11641</v>
      </c>
      <c r="B5906" s="2" t="s">
        <v>11641</v>
      </c>
      <c r="C5906" s="2" t="s">
        <v>17</v>
      </c>
      <c r="D5906" s="2" t="s">
        <v>18</v>
      </c>
      <c r="E5906" s="5">
        <v>-27848</v>
      </c>
      <c r="F5906" s="3" t="s">
        <v>1083</v>
      </c>
      <c r="G5906" s="3" t="s">
        <v>1084</v>
      </c>
      <c r="H5906" s="2" t="s">
        <v>21</v>
      </c>
      <c r="I5906" s="2" t="s">
        <v>11695</v>
      </c>
      <c r="J5906" s="3" t="str">
        <f>HYPERLINK("https://www.boe.es/gazeta/dias/1823/10/02/pdfs/GES-1823-176.pdf#page=3","Abrir facsímil")</f>
        <v>Abrir facsímil</v>
      </c>
      <c r="K5906" s="3" t="s">
        <v>23</v>
      </c>
    </row>
    <row r="5907" spans="1:11" ht="42" customHeight="1">
      <c r="A5907" s="2" t="s">
        <v>11641</v>
      </c>
      <c r="B5907" s="2" t="s">
        <v>11641</v>
      </c>
      <c r="C5907" s="2" t="s">
        <v>79</v>
      </c>
      <c r="D5907" s="2" t="s">
        <v>74</v>
      </c>
      <c r="E5907" s="5">
        <v>-27832</v>
      </c>
      <c r="F5907" s="3" t="s">
        <v>1815</v>
      </c>
      <c r="G5907" s="3" t="s">
        <v>48</v>
      </c>
      <c r="H5907" s="2" t="s">
        <v>21</v>
      </c>
      <c r="I5907" s="2" t="s">
        <v>11696</v>
      </c>
      <c r="J5907" s="3" t="str">
        <f>HYPERLINK("https://www.boe.es/gazeta/dias/1823/10/18/pdfs/GMD-1823-993.pdf#page=3","Abrir facsímil")</f>
        <v>Abrir facsímil</v>
      </c>
      <c r="K5907" s="3" t="s">
        <v>23</v>
      </c>
    </row>
    <row r="5908" spans="1:11" ht="42" customHeight="1">
      <c r="A5908" s="2" t="s">
        <v>11641</v>
      </c>
      <c r="B5908" s="2" t="s">
        <v>11641</v>
      </c>
      <c r="C5908" s="2" t="s">
        <v>17</v>
      </c>
      <c r="D5908" s="2" t="s">
        <v>18</v>
      </c>
      <c r="E5908" s="5">
        <v>-27787</v>
      </c>
      <c r="F5908" s="3" t="s">
        <v>865</v>
      </c>
      <c r="G5908" s="3" t="s">
        <v>39</v>
      </c>
      <c r="H5908" s="2" t="s">
        <v>21</v>
      </c>
      <c r="I5908" s="2" t="s">
        <v>11697</v>
      </c>
      <c r="J5908" s="3" t="str">
        <f>HYPERLINK("https://www.boe.es/gazeta/dias/1823/12/02/pdfs/GMD-1823-1193.pdf#page=1","Abrir facsímil")</f>
        <v>Abrir facsímil</v>
      </c>
      <c r="K5908" s="3" t="s">
        <v>23</v>
      </c>
    </row>
    <row r="5909" spans="1:11" ht="42" customHeight="1">
      <c r="A5909" s="2" t="s">
        <v>11641</v>
      </c>
      <c r="B5909" s="2" t="s">
        <v>11641</v>
      </c>
      <c r="C5909" s="2" t="s">
        <v>56</v>
      </c>
      <c r="D5909" s="2" t="s">
        <v>57</v>
      </c>
      <c r="E5909" s="5">
        <v>-27783</v>
      </c>
      <c r="F5909" s="3" t="s">
        <v>941</v>
      </c>
      <c r="G5909" s="3" t="s">
        <v>20</v>
      </c>
      <c r="H5909" s="2" t="s">
        <v>21</v>
      </c>
      <c r="I5909" s="2" t="s">
        <v>11698</v>
      </c>
      <c r="J5909" s="3" t="str">
        <f>HYPERLINK("https://www.boe.es/gazeta/dias/1823/12/06/pdfs/GMD-1823-1213.pdf#page=4","Abrir facsímil")</f>
        <v>Abrir facsímil</v>
      </c>
      <c r="K5909" s="3" t="s">
        <v>23</v>
      </c>
    </row>
    <row r="5910" spans="1:11" ht="42" customHeight="1">
      <c r="A5910" s="2" t="s">
        <v>11699</v>
      </c>
      <c r="B5910" s="2" t="s">
        <v>11699</v>
      </c>
      <c r="C5910" s="2" t="s">
        <v>17</v>
      </c>
      <c r="D5910" s="2" t="s">
        <v>18</v>
      </c>
      <c r="E5910" s="5">
        <v>-27881</v>
      </c>
      <c r="F5910" s="3" t="s">
        <v>725</v>
      </c>
      <c r="G5910" s="3" t="s">
        <v>39</v>
      </c>
      <c r="H5910" s="2" t="s">
        <v>21</v>
      </c>
      <c r="I5910" s="2" t="s">
        <v>11700</v>
      </c>
      <c r="J5910" s="3" t="str">
        <f>HYPERLINK("https://www.boe.es/gazeta/dias/1823/08/30/pdfs/GMD-1823-673.pdf#page=1","Abrir facsímil")</f>
        <v>Abrir facsímil</v>
      </c>
      <c r="K5910" s="3" t="s">
        <v>23</v>
      </c>
    </row>
    <row r="5911" spans="1:11" ht="42" customHeight="1">
      <c r="A5911" s="2" t="s">
        <v>11701</v>
      </c>
      <c r="B5911" s="2" t="s">
        <v>11702</v>
      </c>
      <c r="C5911" s="2" t="s">
        <v>17</v>
      </c>
      <c r="D5911" s="2" t="s">
        <v>18</v>
      </c>
      <c r="E5911" s="5">
        <v>-27972</v>
      </c>
      <c r="F5911" s="3" t="s">
        <v>1515</v>
      </c>
      <c r="G5911" s="3" t="s">
        <v>39</v>
      </c>
      <c r="H5911" s="2" t="s">
        <v>21</v>
      </c>
      <c r="I5911" s="2" t="s">
        <v>11703</v>
      </c>
      <c r="J5911" s="3" t="str">
        <f>HYPERLINK("https://www.boe.es/gazeta/dias/1823/05/31/pdfs/GMD-1823-33.pdf#page=1","Abrir facsímil")</f>
        <v>Abrir facsímil</v>
      </c>
      <c r="K5911" s="3" t="s">
        <v>23</v>
      </c>
    </row>
    <row r="5912" spans="1:11" ht="42" customHeight="1">
      <c r="A5912" s="2" t="s">
        <v>11704</v>
      </c>
      <c r="B5912" s="2" t="s">
        <v>11705</v>
      </c>
      <c r="C5912" s="2" t="s">
        <v>109</v>
      </c>
      <c r="D5912" s="2" t="s">
        <v>74</v>
      </c>
      <c r="E5912" s="5">
        <v>-28013</v>
      </c>
      <c r="F5912" s="3" t="s">
        <v>105</v>
      </c>
      <c r="G5912" s="3" t="s">
        <v>48</v>
      </c>
      <c r="H5912" s="2" t="s">
        <v>21</v>
      </c>
      <c r="I5912" s="2" t="s">
        <v>11706</v>
      </c>
      <c r="J5912" s="3" t="str">
        <f>HYPERLINK("https://www.boe.es/gazeta/dias/1823/04/20/pdfs/GMD-1823-32.pdf#page=3","Abrir facsímil")</f>
        <v>Abrir facsímil</v>
      </c>
      <c r="K5912" s="3" t="s">
        <v>23</v>
      </c>
    </row>
    <row r="5913" spans="1:11" ht="42" customHeight="1">
      <c r="A5913" s="2" t="s">
        <v>11707</v>
      </c>
      <c r="B5913" s="2" t="s">
        <v>11707</v>
      </c>
      <c r="C5913" s="2" t="s">
        <v>325</v>
      </c>
      <c r="D5913" s="2" t="s">
        <v>74</v>
      </c>
      <c r="E5913" s="5">
        <v>-27920</v>
      </c>
      <c r="F5913" s="3" t="s">
        <v>1334</v>
      </c>
      <c r="G5913" s="3" t="s">
        <v>715</v>
      </c>
      <c r="H5913" s="2" t="s">
        <v>21</v>
      </c>
      <c r="I5913" s="2" t="s">
        <v>11708</v>
      </c>
      <c r="J5913" s="3" t="str">
        <f>HYPERLINK("https://www.boe.es/gazeta/dias/1823/07/22/pdfs/GMD-1823-443.pdf#page=8","Abrir facsímil")</f>
        <v>Abrir facsímil</v>
      </c>
      <c r="K5913" s="3" t="s">
        <v>23</v>
      </c>
    </row>
    <row r="5914" spans="1:11" ht="42" customHeight="1">
      <c r="A5914" s="2" t="s">
        <v>11707</v>
      </c>
      <c r="B5914" s="2" t="s">
        <v>11707</v>
      </c>
      <c r="C5914" s="2" t="s">
        <v>109</v>
      </c>
      <c r="D5914" s="2" t="s">
        <v>74</v>
      </c>
      <c r="E5914" s="5">
        <v>-27917</v>
      </c>
      <c r="F5914" s="3" t="s">
        <v>363</v>
      </c>
      <c r="G5914" s="3" t="s">
        <v>27</v>
      </c>
      <c r="H5914" s="2" t="s">
        <v>21</v>
      </c>
      <c r="I5914" s="2" t="s">
        <v>11709</v>
      </c>
      <c r="J5914" s="3" t="str">
        <f>HYPERLINK("https://www.boe.es/gazeta/dias/1823/07/25/pdfs/GES-1823-106.pdf#page=2","Abrir facsímil")</f>
        <v>Abrir facsímil</v>
      </c>
      <c r="K5914" s="3" t="s">
        <v>23</v>
      </c>
    </row>
    <row r="5915" spans="1:11" ht="42" customHeight="1">
      <c r="A5915" s="2" t="s">
        <v>11710</v>
      </c>
      <c r="B5915" s="2" t="s">
        <v>11710</v>
      </c>
      <c r="C5915" s="2" t="s">
        <v>56</v>
      </c>
      <c r="D5915" s="2" t="s">
        <v>57</v>
      </c>
      <c r="E5915" s="5">
        <v>-27970</v>
      </c>
      <c r="F5915" s="3" t="s">
        <v>1030</v>
      </c>
      <c r="G5915" s="3" t="s">
        <v>34</v>
      </c>
      <c r="H5915" s="2" t="s">
        <v>21</v>
      </c>
      <c r="I5915" s="2" t="s">
        <v>11711</v>
      </c>
      <c r="J5915" s="3" t="str">
        <f>HYPERLINK("https://www.boe.es/gazeta/dias/1823/06/02/pdfs/GES-1823-56.pdf#page=5","Abrir facsímil")</f>
        <v>Abrir facsímil</v>
      </c>
      <c r="K5915" s="3" t="s">
        <v>23</v>
      </c>
    </row>
    <row r="5916" spans="1:11" ht="42" customHeight="1">
      <c r="A5916" s="2" t="s">
        <v>11712</v>
      </c>
      <c r="B5916" s="2" t="s">
        <v>11712</v>
      </c>
      <c r="C5916" s="2" t="s">
        <v>325</v>
      </c>
      <c r="D5916" s="2" t="s">
        <v>74</v>
      </c>
      <c r="E5916" s="5">
        <v>-28055</v>
      </c>
      <c r="F5916" s="3" t="s">
        <v>313</v>
      </c>
      <c r="G5916" s="3" t="s">
        <v>48</v>
      </c>
      <c r="H5916" s="2" t="s">
        <v>21</v>
      </c>
      <c r="I5916" s="2" t="s">
        <v>11713</v>
      </c>
      <c r="J5916" s="3" t="str">
        <f>HYPERLINK("https://www.boe.es/gazeta/dias/1823/03/09/pdfs/GMD-1823-72.pdf#page=3","Abrir facsímil")</f>
        <v>Abrir facsímil</v>
      </c>
      <c r="K5916" s="3" t="s">
        <v>23</v>
      </c>
    </row>
    <row r="5917" spans="1:11" ht="42" customHeight="1">
      <c r="A5917" s="2" t="s">
        <v>11714</v>
      </c>
      <c r="B5917" s="2" t="s">
        <v>11714</v>
      </c>
      <c r="C5917" s="2" t="s">
        <v>73</v>
      </c>
      <c r="D5917" s="2" t="s">
        <v>74</v>
      </c>
      <c r="E5917" s="5">
        <v>-28048</v>
      </c>
      <c r="F5917" s="3" t="s">
        <v>399</v>
      </c>
      <c r="G5917" s="3" t="s">
        <v>20</v>
      </c>
      <c r="H5917" s="2" t="s">
        <v>21</v>
      </c>
      <c r="I5917" s="2" t="s">
        <v>11715</v>
      </c>
      <c r="J5917" s="3" t="str">
        <f>HYPERLINK("https://www.boe.es/gazeta/dias/1823/03/16/pdfs/GMD-1823-79.pdf#page=4","Abrir facsímil")</f>
        <v>Abrir facsímil</v>
      </c>
      <c r="K5917" s="3" t="s">
        <v>23</v>
      </c>
    </row>
    <row r="5918" spans="1:11" ht="42" customHeight="1">
      <c r="A5918" s="2" t="s">
        <v>11716</v>
      </c>
      <c r="B5918" s="2" t="s">
        <v>11717</v>
      </c>
      <c r="C5918" s="2" t="s">
        <v>17</v>
      </c>
      <c r="D5918" s="2" t="s">
        <v>18</v>
      </c>
      <c r="E5918" s="5">
        <v>-27801</v>
      </c>
      <c r="F5918" s="3" t="s">
        <v>800</v>
      </c>
      <c r="G5918" s="3" t="s">
        <v>48</v>
      </c>
      <c r="H5918" s="2" t="s">
        <v>21</v>
      </c>
      <c r="I5918" s="2" t="s">
        <v>11718</v>
      </c>
      <c r="J5918" s="3" t="str">
        <f>HYPERLINK("https://www.boe.es/gazeta/dias/1823/11/18/pdfs/GMD-1823-1133.pdf#page=3","Abrir facsímil")</f>
        <v>Abrir facsímil</v>
      </c>
      <c r="K5918" s="3" t="s">
        <v>23</v>
      </c>
    </row>
    <row r="5919" spans="1:11" ht="42" customHeight="1">
      <c r="A5919" s="2" t="s">
        <v>11719</v>
      </c>
      <c r="B5919" s="2" t="s">
        <v>11719</v>
      </c>
      <c r="C5919" s="2" t="s">
        <v>73</v>
      </c>
      <c r="D5919" s="2" t="s">
        <v>74</v>
      </c>
      <c r="E5919" s="5">
        <v>-28044</v>
      </c>
      <c r="F5919" s="3" t="s">
        <v>1930</v>
      </c>
      <c r="G5919" s="3" t="s">
        <v>39</v>
      </c>
      <c r="H5919" s="2" t="s">
        <v>21</v>
      </c>
      <c r="I5919" s="2" t="s">
        <v>11720</v>
      </c>
      <c r="J5919" s="3" t="str">
        <f>HYPERLINK("https://www.boe.es/gazeta/dias/1823/03/20/pdfs/GMD-1823-83.pdf#page=1","Abrir facsímil")</f>
        <v>Abrir facsímil</v>
      </c>
      <c r="K5919" s="3" t="s">
        <v>23</v>
      </c>
    </row>
    <row r="5920" spans="1:11" ht="42" customHeight="1">
      <c r="A5920" s="2" t="s">
        <v>11719</v>
      </c>
      <c r="B5920" s="2" t="s">
        <v>11719</v>
      </c>
      <c r="C5920" s="2" t="s">
        <v>79</v>
      </c>
      <c r="D5920" s="2" t="s">
        <v>74</v>
      </c>
      <c r="E5920" s="5">
        <v>-27960</v>
      </c>
      <c r="F5920" s="3" t="s">
        <v>682</v>
      </c>
      <c r="G5920" s="3" t="s">
        <v>39</v>
      </c>
      <c r="H5920" s="2" t="s">
        <v>21</v>
      </c>
      <c r="I5920" s="2" t="s">
        <v>11721</v>
      </c>
      <c r="J5920" s="3" t="str">
        <f>HYPERLINK("https://www.boe.es/gazeta/dias/1823/06/12/pdfs/GMD-1823-123.pdf#page=1","Abrir facsímil")</f>
        <v>Abrir facsímil</v>
      </c>
      <c r="K5920" s="3" t="s">
        <v>23</v>
      </c>
    </row>
    <row r="5921" spans="1:11" ht="42" customHeight="1">
      <c r="A5921" s="2" t="s">
        <v>11722</v>
      </c>
      <c r="B5921" s="2" t="s">
        <v>11723</v>
      </c>
      <c r="C5921" s="2" t="s">
        <v>17</v>
      </c>
      <c r="D5921" s="2" t="s">
        <v>18</v>
      </c>
      <c r="E5921" s="5">
        <v>-28113</v>
      </c>
      <c r="F5921" s="3" t="s">
        <v>2088</v>
      </c>
      <c r="G5921" s="3" t="s">
        <v>39</v>
      </c>
      <c r="H5921" s="2" t="s">
        <v>21</v>
      </c>
      <c r="I5921" s="2" t="s">
        <v>11724</v>
      </c>
      <c r="J5921" s="3" t="str">
        <f>HYPERLINK("https://www.boe.es/gazeta/dias/1823/01/10/pdfs/GMD-1823-10.pdf#page=1","Abrir facsímil")</f>
        <v>Abrir facsímil</v>
      </c>
      <c r="K5921" s="3" t="s">
        <v>23</v>
      </c>
    </row>
    <row r="5922" spans="1:11" ht="42" customHeight="1">
      <c r="A5922" s="2" t="s">
        <v>11725</v>
      </c>
      <c r="B5922" s="2" t="s">
        <v>11725</v>
      </c>
      <c r="C5922" s="2" t="s">
        <v>56</v>
      </c>
      <c r="D5922" s="2" t="s">
        <v>57</v>
      </c>
      <c r="E5922" s="5">
        <v>-28055</v>
      </c>
      <c r="F5922" s="3" t="s">
        <v>313</v>
      </c>
      <c r="G5922" s="3" t="s">
        <v>20</v>
      </c>
      <c r="H5922" s="2" t="s">
        <v>21</v>
      </c>
      <c r="I5922" s="2" t="s">
        <v>11726</v>
      </c>
      <c r="J5922" s="3" t="str">
        <f>HYPERLINK("https://www.boe.es/gazeta/dias/1823/03/09/pdfs/GMD-1823-72.pdf#page=4","Abrir facsímil")</f>
        <v>Abrir facsímil</v>
      </c>
      <c r="K5922" s="3" t="s">
        <v>23</v>
      </c>
    </row>
    <row r="5923" spans="1:11" ht="42" customHeight="1">
      <c r="A5923" s="2" t="s">
        <v>11725</v>
      </c>
      <c r="B5923" s="2" t="s">
        <v>11725</v>
      </c>
      <c r="C5923" s="2" t="s">
        <v>17</v>
      </c>
      <c r="D5923" s="2" t="s">
        <v>18</v>
      </c>
      <c r="E5923" s="5">
        <v>-27813</v>
      </c>
      <c r="F5923" s="3" t="s">
        <v>1600</v>
      </c>
      <c r="G5923" s="3" t="s">
        <v>20</v>
      </c>
      <c r="H5923" s="2" t="s">
        <v>21</v>
      </c>
      <c r="I5923" s="2" t="s">
        <v>11727</v>
      </c>
      <c r="J5923" s="3" t="str">
        <f>HYPERLINK("https://www.boe.es/gazeta/dias/1823/11/06/pdfs/GMD-1823-1073.pdf#page=4","Abrir facsímil")</f>
        <v>Abrir facsímil</v>
      </c>
      <c r="K5923" s="3" t="s">
        <v>23</v>
      </c>
    </row>
    <row r="5924" spans="1:11" ht="42" customHeight="1">
      <c r="A5924" s="2" t="s">
        <v>11725</v>
      </c>
      <c r="B5924" s="2" t="s">
        <v>11725</v>
      </c>
      <c r="C5924" s="2" t="s">
        <v>56</v>
      </c>
      <c r="D5924" s="2" t="s">
        <v>57</v>
      </c>
      <c r="E5924" s="5">
        <v>-27783</v>
      </c>
      <c r="F5924" s="3" t="s">
        <v>941</v>
      </c>
      <c r="G5924" s="3" t="s">
        <v>20</v>
      </c>
      <c r="H5924" s="2" t="s">
        <v>21</v>
      </c>
      <c r="I5924" s="2" t="s">
        <v>11728</v>
      </c>
      <c r="J5924" s="3" t="str">
        <f>HYPERLINK("https://www.boe.es/gazeta/dias/1823/12/06/pdfs/GMD-1823-1213.pdf#page=4","Abrir facsímil")</f>
        <v>Abrir facsímil</v>
      </c>
      <c r="K5924" s="3" t="s">
        <v>23</v>
      </c>
    </row>
    <row r="5925" spans="1:11" ht="42" customHeight="1">
      <c r="A5925" s="2" t="s">
        <v>11725</v>
      </c>
      <c r="B5925" s="2" t="s">
        <v>11725</v>
      </c>
      <c r="C5925" s="2" t="s">
        <v>56</v>
      </c>
      <c r="D5925" s="2" t="s">
        <v>57</v>
      </c>
      <c r="E5925" s="5">
        <v>-27776</v>
      </c>
      <c r="F5925" s="3" t="s">
        <v>1399</v>
      </c>
      <c r="G5925" s="3" t="s">
        <v>20</v>
      </c>
      <c r="H5925" s="2" t="s">
        <v>21</v>
      </c>
      <c r="I5925" s="2" t="s">
        <v>11729</v>
      </c>
      <c r="J5925" s="3" t="str">
        <f>HYPERLINK("https://www.boe.es/gazeta/dias/1823/12/13/pdfs/GMD-1823-1243.pdf#page=4","Abrir facsímil")</f>
        <v>Abrir facsímil</v>
      </c>
      <c r="K5925" s="3" t="s">
        <v>23</v>
      </c>
    </row>
    <row r="5926" spans="1:11" ht="42" customHeight="1">
      <c r="A5926" s="2" t="s">
        <v>11730</v>
      </c>
      <c r="B5926" s="2" t="s">
        <v>11731</v>
      </c>
      <c r="C5926" s="2" t="s">
        <v>109</v>
      </c>
      <c r="D5926" s="2" t="s">
        <v>74</v>
      </c>
      <c r="E5926" s="5">
        <v>-28049</v>
      </c>
      <c r="F5926" s="3" t="s">
        <v>198</v>
      </c>
      <c r="G5926" s="3" t="s">
        <v>27</v>
      </c>
      <c r="H5926" s="2" t="s">
        <v>21</v>
      </c>
      <c r="I5926" s="2" t="s">
        <v>11732</v>
      </c>
      <c r="J5926" s="3" t="str">
        <f>HYPERLINK("https://www.boe.es/gazeta/dias/1823/03/15/pdfs/GMD-1823-78.pdf#page=2","Abrir facsímil")</f>
        <v>Abrir facsímil</v>
      </c>
      <c r="K5926" s="3" t="s">
        <v>23</v>
      </c>
    </row>
    <row r="5927" spans="1:11" ht="42" customHeight="1">
      <c r="A5927" s="2" t="s">
        <v>11733</v>
      </c>
      <c r="B5927" s="2" t="s">
        <v>11734</v>
      </c>
      <c r="C5927" s="2" t="s">
        <v>17</v>
      </c>
      <c r="D5927" s="2" t="s">
        <v>18</v>
      </c>
      <c r="E5927" s="5">
        <v>-28104</v>
      </c>
      <c r="F5927" s="3" t="s">
        <v>114</v>
      </c>
      <c r="G5927" s="3" t="s">
        <v>59</v>
      </c>
      <c r="H5927" s="2" t="s">
        <v>28</v>
      </c>
      <c r="I5927" s="2" t="s">
        <v>11735</v>
      </c>
      <c r="J5927" s="3" t="str">
        <f>HYPERLINK("https://www.boe.es/gazeta/dias/1823/01/19/pdfs/GMD-1823-19.pdf#page=6","Abrir facsímil")</f>
        <v>Abrir facsímil</v>
      </c>
      <c r="K5927" s="3" t="s">
        <v>30</v>
      </c>
    </row>
    <row r="5928" spans="1:11" ht="42" customHeight="1">
      <c r="A5928" s="2" t="s">
        <v>11736</v>
      </c>
      <c r="B5928" s="2" t="s">
        <v>11736</v>
      </c>
      <c r="C5928" s="2" t="s">
        <v>17</v>
      </c>
      <c r="D5928" s="2" t="s">
        <v>18</v>
      </c>
      <c r="E5928" s="5">
        <v>-28018</v>
      </c>
      <c r="F5928" s="3" t="s">
        <v>2613</v>
      </c>
      <c r="G5928" s="3" t="s">
        <v>34</v>
      </c>
      <c r="H5928" s="2" t="s">
        <v>21</v>
      </c>
      <c r="I5928" s="2" t="s">
        <v>11737</v>
      </c>
      <c r="J5928" s="3" t="str">
        <f>HYPERLINK("https://www.boe.es/gazeta/dias/1823/04/15/pdfs/GES-1823-5.pdf#page=5","Abrir facsímil")</f>
        <v>Abrir facsímil</v>
      </c>
      <c r="K5928" s="3" t="s">
        <v>23</v>
      </c>
    </row>
    <row r="5929" spans="1:11" ht="42" customHeight="1">
      <c r="A5929" s="2" t="s">
        <v>11736</v>
      </c>
      <c r="B5929" s="2" t="s">
        <v>11736</v>
      </c>
      <c r="C5929" s="2" t="s">
        <v>17</v>
      </c>
      <c r="D5929" s="2" t="s">
        <v>18</v>
      </c>
      <c r="E5929" s="5">
        <v>-28000</v>
      </c>
      <c r="F5929" s="3" t="s">
        <v>138</v>
      </c>
      <c r="G5929" s="3" t="s">
        <v>20</v>
      </c>
      <c r="H5929" s="2" t="s">
        <v>21</v>
      </c>
      <c r="I5929" s="2" t="s">
        <v>11738</v>
      </c>
      <c r="J5929" s="3" t="str">
        <f>HYPERLINK("https://www.boe.es/gazeta/dias/1823/05/03/pdfs/GMD-1823-92.pdf#page=4","Abrir facsímil")</f>
        <v>Abrir facsímil</v>
      </c>
      <c r="K5929" s="3" t="s">
        <v>23</v>
      </c>
    </row>
    <row r="5930" spans="1:11" ht="42" customHeight="1">
      <c r="A5930" s="2" t="s">
        <v>11736</v>
      </c>
      <c r="B5930" s="2" t="s">
        <v>11736</v>
      </c>
      <c r="C5930" s="2" t="s">
        <v>84</v>
      </c>
      <c r="D5930" s="2" t="s">
        <v>74</v>
      </c>
      <c r="E5930" s="5">
        <v>-27965</v>
      </c>
      <c r="F5930" s="3" t="s">
        <v>1930</v>
      </c>
      <c r="G5930" s="3" t="s">
        <v>48</v>
      </c>
      <c r="H5930" s="2" t="s">
        <v>21</v>
      </c>
      <c r="I5930" s="2" t="s">
        <v>11739</v>
      </c>
      <c r="J5930" s="3" t="str">
        <f>HYPERLINK("https://www.boe.es/gazeta/dias/1823/06/07/pdfs/GMD-1823-83.pdf#page=3","Abrir facsímil")</f>
        <v>Abrir facsímil</v>
      </c>
      <c r="K5930" s="3" t="s">
        <v>23</v>
      </c>
    </row>
    <row r="5931" spans="1:11" ht="42" customHeight="1">
      <c r="A5931" s="2" t="s">
        <v>11736</v>
      </c>
      <c r="B5931" s="2" t="s">
        <v>11736</v>
      </c>
      <c r="C5931" s="2" t="s">
        <v>17</v>
      </c>
      <c r="D5931" s="2" t="s">
        <v>18</v>
      </c>
      <c r="E5931" s="5">
        <v>-27864</v>
      </c>
      <c r="F5931" s="3" t="s">
        <v>1301</v>
      </c>
      <c r="G5931" s="3" t="s">
        <v>27</v>
      </c>
      <c r="H5931" s="2" t="s">
        <v>21</v>
      </c>
      <c r="I5931" s="2" t="s">
        <v>11740</v>
      </c>
      <c r="J5931" s="3" t="str">
        <f>HYPERLINK("https://www.boe.es/gazeta/dias/1823/09/16/pdfs/GES-1823-160.pdf#page=2","Abrir facsímil")</f>
        <v>Abrir facsímil</v>
      </c>
      <c r="K5931" s="3" t="s">
        <v>23</v>
      </c>
    </row>
    <row r="5932" spans="1:11" ht="42" customHeight="1">
      <c r="A5932" s="2" t="s">
        <v>11741</v>
      </c>
      <c r="B5932" s="2" t="s">
        <v>11742</v>
      </c>
      <c r="C5932" s="2" t="s">
        <v>17</v>
      </c>
      <c r="D5932" s="2" t="s">
        <v>18</v>
      </c>
      <c r="E5932" s="5">
        <v>-27897</v>
      </c>
      <c r="F5932" s="3" t="s">
        <v>1569</v>
      </c>
      <c r="G5932" s="3" t="s">
        <v>20</v>
      </c>
      <c r="H5932" s="2" t="s">
        <v>21</v>
      </c>
      <c r="I5932" s="2" t="s">
        <v>11743</v>
      </c>
      <c r="J5932" s="3" t="str">
        <f>HYPERLINK("https://www.boe.es/gazeta/dias/1823/08/14/pdfs/GMD-1823-593.pdf#page=4","Abrir facsímil")</f>
        <v>Abrir facsímil</v>
      </c>
      <c r="K5932" s="3" t="s">
        <v>23</v>
      </c>
    </row>
    <row r="5933" spans="1:11" ht="42" customHeight="1">
      <c r="A5933" s="2" t="s">
        <v>11744</v>
      </c>
      <c r="B5933" s="2" t="s">
        <v>11745</v>
      </c>
      <c r="C5933" s="2" t="s">
        <v>17</v>
      </c>
      <c r="D5933" s="2" t="s">
        <v>18</v>
      </c>
      <c r="E5933" s="5">
        <v>-27895</v>
      </c>
      <c r="F5933" s="3" t="s">
        <v>5642</v>
      </c>
      <c r="G5933" s="3" t="s">
        <v>48</v>
      </c>
      <c r="H5933" s="2" t="s">
        <v>21</v>
      </c>
      <c r="I5933" s="2" t="s">
        <v>11746</v>
      </c>
      <c r="J5933" s="3" t="str">
        <f>HYPERLINK("https://www.boe.es/gazeta/dias/1823/08/16/pdfs/GMD-1823-603.pdf#page=3","Abrir facsímil")</f>
        <v>Abrir facsímil</v>
      </c>
      <c r="K5933" s="3" t="s">
        <v>23</v>
      </c>
    </row>
    <row r="5934" spans="1:11" ht="42" customHeight="1">
      <c r="A5934" s="2" t="s">
        <v>11747</v>
      </c>
      <c r="B5934" s="2" t="s">
        <v>11748</v>
      </c>
      <c r="C5934" s="2" t="s">
        <v>17</v>
      </c>
      <c r="D5934" s="2" t="s">
        <v>18</v>
      </c>
      <c r="E5934" s="5">
        <v>-27874</v>
      </c>
      <c r="F5934" s="3" t="s">
        <v>1410</v>
      </c>
      <c r="G5934" s="3" t="s">
        <v>27</v>
      </c>
      <c r="H5934" s="2" t="s">
        <v>21</v>
      </c>
      <c r="I5934" s="2" t="s">
        <v>11749</v>
      </c>
      <c r="J5934" s="3" t="str">
        <f>HYPERLINK("https://www.boe.es/gazeta/dias/1823/09/06/pdfs/GES-1823-150.pdf#page=2","Abrir facsímil")</f>
        <v>Abrir facsímil</v>
      </c>
      <c r="K5934" s="3" t="s">
        <v>23</v>
      </c>
    </row>
    <row r="5935" spans="1:11" ht="42" customHeight="1">
      <c r="A5935" s="2" t="s">
        <v>11750</v>
      </c>
      <c r="B5935" s="2" t="s">
        <v>11751</v>
      </c>
      <c r="C5935" s="2" t="s">
        <v>56</v>
      </c>
      <c r="D5935" s="2" t="s">
        <v>57</v>
      </c>
      <c r="E5935" s="5">
        <v>-28091</v>
      </c>
      <c r="F5935" s="3" t="s">
        <v>1047</v>
      </c>
      <c r="G5935" s="3" t="s">
        <v>59</v>
      </c>
      <c r="H5935" s="2" t="s">
        <v>21</v>
      </c>
      <c r="I5935" s="2" t="s">
        <v>11752</v>
      </c>
      <c r="J5935" s="3" t="str">
        <f>HYPERLINK("https://www.boe.es/gazeta/dias/1823/02/01/pdfs/GMD-1823-34.pdf#page=6","Abrir facsímil")</f>
        <v>Abrir facsímil</v>
      </c>
      <c r="K5935" s="3" t="s">
        <v>23</v>
      </c>
    </row>
    <row r="5936" spans="1:11" ht="42" customHeight="1">
      <c r="A5936" s="2" t="s">
        <v>11753</v>
      </c>
      <c r="B5936" s="2" t="s">
        <v>11754</v>
      </c>
      <c r="C5936" s="2" t="s">
        <v>56</v>
      </c>
      <c r="D5936" s="2" t="s">
        <v>57</v>
      </c>
      <c r="E5936" s="5">
        <v>-27941</v>
      </c>
      <c r="F5936" s="3" t="s">
        <v>527</v>
      </c>
      <c r="G5936" s="3" t="s">
        <v>48</v>
      </c>
      <c r="H5936" s="2" t="s">
        <v>28</v>
      </c>
      <c r="I5936" s="2" t="s">
        <v>11755</v>
      </c>
      <c r="J5936" s="3" t="str">
        <f>HYPERLINK("https://www.boe.es/gazeta/dias/1823/07/01/pdfs/GES-1823-81.pdf#page=3","Abrir facsímil")</f>
        <v>Abrir facsímil</v>
      </c>
      <c r="K5936" s="3" t="s">
        <v>30</v>
      </c>
    </row>
    <row r="5937" spans="1:11" ht="42" customHeight="1">
      <c r="A5937" s="2" t="s">
        <v>11753</v>
      </c>
      <c r="B5937" s="2" t="s">
        <v>11754</v>
      </c>
      <c r="C5937" s="2" t="s">
        <v>56</v>
      </c>
      <c r="D5937" s="2" t="s">
        <v>57</v>
      </c>
      <c r="E5937" s="5">
        <v>-27939</v>
      </c>
      <c r="F5937" s="3" t="s">
        <v>1076</v>
      </c>
      <c r="G5937" s="3" t="s">
        <v>48</v>
      </c>
      <c r="H5937" s="2" t="s">
        <v>28</v>
      </c>
      <c r="I5937" s="2" t="s">
        <v>11756</v>
      </c>
      <c r="J5937" s="3" t="str">
        <f>HYPERLINK("https://www.boe.es/gazeta/dias/1823/07/03/pdfs/GES-1823-83.pdf#page=3","Abrir facsímil")</f>
        <v>Abrir facsímil</v>
      </c>
      <c r="K5937" s="3" t="s">
        <v>30</v>
      </c>
    </row>
    <row r="5938" spans="1:11" ht="42" customHeight="1">
      <c r="A5938" s="2" t="s">
        <v>11753</v>
      </c>
      <c r="B5938" s="2" t="s">
        <v>11754</v>
      </c>
      <c r="C5938" s="2" t="s">
        <v>17</v>
      </c>
      <c r="D5938" s="2" t="s">
        <v>18</v>
      </c>
      <c r="E5938" s="5">
        <v>-27933</v>
      </c>
      <c r="F5938" s="3" t="s">
        <v>1079</v>
      </c>
      <c r="G5938" s="3" t="s">
        <v>48</v>
      </c>
      <c r="H5938" s="2" t="s">
        <v>28</v>
      </c>
      <c r="I5938" s="2" t="s">
        <v>11757</v>
      </c>
      <c r="J5938" s="3" t="str">
        <f>HYPERLINK("https://www.boe.es/gazeta/dias/1823/07/09/pdfs/GES-1823-89.pdf#page=3","Abrir facsímil")</f>
        <v>Abrir facsímil</v>
      </c>
      <c r="K5938" s="3" t="s">
        <v>30</v>
      </c>
    </row>
    <row r="5939" spans="1:11" ht="42" customHeight="1">
      <c r="A5939" s="2" t="s">
        <v>11753</v>
      </c>
      <c r="B5939" s="2" t="s">
        <v>11754</v>
      </c>
      <c r="C5939" s="2" t="s">
        <v>17</v>
      </c>
      <c r="D5939" s="2" t="s">
        <v>18</v>
      </c>
      <c r="E5939" s="5">
        <v>-27857</v>
      </c>
      <c r="F5939" s="3" t="s">
        <v>378</v>
      </c>
      <c r="G5939" s="3" t="s">
        <v>34</v>
      </c>
      <c r="H5939" s="2" t="s">
        <v>28</v>
      </c>
      <c r="I5939" s="2" t="s">
        <v>11758</v>
      </c>
      <c r="J5939" s="3" t="str">
        <f>HYPERLINK("https://www.boe.es/gazeta/dias/1823/09/23/pdfs/GMD-1823-833.pdf#page=5","Abrir facsímil")</f>
        <v>Abrir facsímil</v>
      </c>
      <c r="K5939" s="3" t="s">
        <v>30</v>
      </c>
    </row>
    <row r="5940" spans="1:11" ht="42" customHeight="1">
      <c r="A5940" s="2" t="s">
        <v>11759</v>
      </c>
      <c r="B5940" s="2" t="s">
        <v>11760</v>
      </c>
      <c r="C5940" s="2" t="s">
        <v>56</v>
      </c>
      <c r="D5940" s="2" t="s">
        <v>57</v>
      </c>
      <c r="E5940" s="5">
        <v>-27935</v>
      </c>
      <c r="F5940" s="3" t="s">
        <v>350</v>
      </c>
      <c r="G5940" s="3" t="s">
        <v>39</v>
      </c>
      <c r="H5940" s="2" t="s">
        <v>28</v>
      </c>
      <c r="I5940" s="2" t="s">
        <v>11761</v>
      </c>
      <c r="J5940" s="3" t="str">
        <f>HYPERLINK("https://www.boe.es/gazeta/dias/1823/07/07/pdfs/GES-1823-87.pdf#page=1","Abrir facsímil")</f>
        <v>Abrir facsímil</v>
      </c>
      <c r="K5940" s="3" t="s">
        <v>30</v>
      </c>
    </row>
    <row r="5941" spans="1:11" ht="42" customHeight="1">
      <c r="A5941" s="2" t="s">
        <v>11759</v>
      </c>
      <c r="B5941" s="2" t="s">
        <v>11760</v>
      </c>
      <c r="C5941" s="2" t="s">
        <v>17</v>
      </c>
      <c r="D5941" s="2" t="s">
        <v>18</v>
      </c>
      <c r="E5941" s="5">
        <v>-27797</v>
      </c>
      <c r="F5941" s="3" t="s">
        <v>3409</v>
      </c>
      <c r="G5941" s="3" t="s">
        <v>20</v>
      </c>
      <c r="H5941" s="2" t="s">
        <v>28</v>
      </c>
      <c r="I5941" s="2" t="s">
        <v>11762</v>
      </c>
      <c r="J5941" s="3" t="str">
        <f>HYPERLINK("https://www.boe.es/gazeta/dias/1823/11/22/pdfs/GMD-1823-1153.pdf#page=4","Abrir facsímil")</f>
        <v>Abrir facsímil</v>
      </c>
      <c r="K5941" s="3" t="s">
        <v>30</v>
      </c>
    </row>
    <row r="5942" spans="1:11" ht="42" customHeight="1">
      <c r="A5942" s="2" t="s">
        <v>11763</v>
      </c>
      <c r="B5942" s="2" t="s">
        <v>11764</v>
      </c>
      <c r="C5942" s="2" t="s">
        <v>79</v>
      </c>
      <c r="D5942" s="2" t="s">
        <v>74</v>
      </c>
      <c r="E5942" s="5">
        <v>-27907</v>
      </c>
      <c r="F5942" s="3" t="s">
        <v>370</v>
      </c>
      <c r="G5942" s="3" t="s">
        <v>20</v>
      </c>
      <c r="H5942" s="2" t="s">
        <v>21</v>
      </c>
      <c r="I5942" s="2" t="s">
        <v>11765</v>
      </c>
      <c r="J5942" s="3" t="str">
        <f>HYPERLINK("https://www.boe.es/gazeta/dias/1823/08/04/pdfs/GES-1823-116.pdf#page=4","Abrir facsímil")</f>
        <v>Abrir facsímil</v>
      </c>
      <c r="K5942" s="3" t="s">
        <v>23</v>
      </c>
    </row>
    <row r="5943" spans="1:11" ht="42" customHeight="1">
      <c r="A5943" s="2" t="s">
        <v>11766</v>
      </c>
      <c r="B5943" s="2" t="s">
        <v>11766</v>
      </c>
      <c r="C5943" s="2" t="s">
        <v>56</v>
      </c>
      <c r="D5943" s="2" t="s">
        <v>57</v>
      </c>
      <c r="E5943" s="5">
        <v>-28066</v>
      </c>
      <c r="F5943" s="3" t="s">
        <v>19</v>
      </c>
      <c r="G5943" s="3" t="s">
        <v>20</v>
      </c>
      <c r="H5943" s="2" t="s">
        <v>21</v>
      </c>
      <c r="I5943" s="2" t="s">
        <v>11767</v>
      </c>
      <c r="J5943" s="3" t="str">
        <f>HYPERLINK("https://www.boe.es/gazeta/dias/1823/02/26/pdfs/GMD-1823-60.pdf#page=4","Abrir facsímil")</f>
        <v>Abrir facsímil</v>
      </c>
      <c r="K5943" s="3" t="s">
        <v>23</v>
      </c>
    </row>
    <row r="5944" spans="1:11" ht="42" customHeight="1">
      <c r="A5944" s="2" t="s">
        <v>11768</v>
      </c>
      <c r="B5944" s="2" t="s">
        <v>11769</v>
      </c>
      <c r="C5944" s="2" t="s">
        <v>17</v>
      </c>
      <c r="D5944" s="2" t="s">
        <v>18</v>
      </c>
      <c r="E5944" s="5">
        <v>-27972</v>
      </c>
      <c r="F5944" s="3" t="s">
        <v>1515</v>
      </c>
      <c r="G5944" s="3" t="s">
        <v>27</v>
      </c>
      <c r="H5944" s="2" t="s">
        <v>21</v>
      </c>
      <c r="I5944" s="2" t="s">
        <v>11770</v>
      </c>
      <c r="J5944" s="3" t="str">
        <f>HYPERLINK("https://www.boe.es/gazeta/dias/1823/05/31/pdfs/GMD-1823-33.pdf#page=2","Abrir facsímil")</f>
        <v>Abrir facsímil</v>
      </c>
      <c r="K5944" s="3" t="s">
        <v>23</v>
      </c>
    </row>
    <row r="5945" spans="1:11" ht="42" customHeight="1">
      <c r="A5945" s="2" t="s">
        <v>11771</v>
      </c>
      <c r="B5945" s="2" t="s">
        <v>11771</v>
      </c>
      <c r="C5945" s="2" t="s">
        <v>84</v>
      </c>
      <c r="D5945" s="2" t="s">
        <v>74</v>
      </c>
      <c r="E5945" s="5">
        <v>-27920</v>
      </c>
      <c r="F5945" s="3" t="s">
        <v>1334</v>
      </c>
      <c r="G5945" s="3" t="s">
        <v>715</v>
      </c>
      <c r="H5945" s="2" t="s">
        <v>21</v>
      </c>
      <c r="I5945" s="2" t="s">
        <v>11772</v>
      </c>
      <c r="J5945" s="3" t="str">
        <f>HYPERLINK("https://www.boe.es/gazeta/dias/1823/07/22/pdfs/GMD-1823-443.pdf#page=8","Abrir facsímil")</f>
        <v>Abrir facsímil</v>
      </c>
      <c r="K5945" s="3" t="s">
        <v>23</v>
      </c>
    </row>
    <row r="5946" spans="1:11" ht="42" customHeight="1">
      <c r="A5946" s="2" t="s">
        <v>11773</v>
      </c>
      <c r="B5946" s="2" t="s">
        <v>11774</v>
      </c>
      <c r="C5946" s="2" t="s">
        <v>17</v>
      </c>
      <c r="D5946" s="2" t="s">
        <v>18</v>
      </c>
      <c r="E5946" s="5">
        <v>-27964</v>
      </c>
      <c r="F5946" s="3" t="s">
        <v>58</v>
      </c>
      <c r="G5946" s="3" t="s">
        <v>34</v>
      </c>
      <c r="H5946" s="2" t="s">
        <v>21</v>
      </c>
      <c r="I5946" s="2" t="s">
        <v>11775</v>
      </c>
      <c r="J5946" s="3" t="str">
        <f>HYPERLINK("https://www.boe.es/gazeta/dias/1823/06/08/pdfs/GES-1823-62.pdf#page=5","Abrir facsímil")</f>
        <v>Abrir facsímil</v>
      </c>
      <c r="K5946" s="3" t="s">
        <v>23</v>
      </c>
    </row>
    <row r="5947" spans="1:11" ht="42" customHeight="1">
      <c r="A5947" s="2" t="s">
        <v>11776</v>
      </c>
      <c r="B5947" s="2" t="s">
        <v>11776</v>
      </c>
      <c r="C5947" s="2" t="s">
        <v>17</v>
      </c>
      <c r="D5947" s="2" t="s">
        <v>18</v>
      </c>
      <c r="E5947" s="5">
        <v>-27927</v>
      </c>
      <c r="F5947" s="3" t="s">
        <v>2409</v>
      </c>
      <c r="G5947" s="3" t="s">
        <v>48</v>
      </c>
      <c r="H5947" s="2" t="s">
        <v>21</v>
      </c>
      <c r="I5947" s="2" t="s">
        <v>11777</v>
      </c>
      <c r="J5947" s="3" t="str">
        <f>HYPERLINK("https://www.boe.es/gazeta/dias/1823/07/15/pdfs/GMD-1823-403.pdf#page=3","Abrir facsímil")</f>
        <v>Abrir facsímil</v>
      </c>
      <c r="K5947" s="3" t="s">
        <v>23</v>
      </c>
    </row>
    <row r="5948" spans="1:11" ht="42" customHeight="1">
      <c r="A5948" s="2" t="s">
        <v>11778</v>
      </c>
      <c r="B5948" s="2" t="s">
        <v>11779</v>
      </c>
      <c r="C5948" s="2" t="s">
        <v>17</v>
      </c>
      <c r="D5948" s="2" t="s">
        <v>18</v>
      </c>
      <c r="E5948" s="5">
        <v>-28110</v>
      </c>
      <c r="F5948" s="3" t="s">
        <v>249</v>
      </c>
      <c r="G5948" s="3" t="s">
        <v>39</v>
      </c>
      <c r="H5948" s="2" t="s">
        <v>21</v>
      </c>
      <c r="I5948" s="2" t="s">
        <v>11780</v>
      </c>
      <c r="J5948" s="3" t="str">
        <f>HYPERLINK("https://www.boe.es/gazeta/dias/1823/01/13/pdfs/GMD-1823-13.pdf#page=1","Abrir facsímil")</f>
        <v>Abrir facsímil</v>
      </c>
      <c r="K5948" s="3" t="s">
        <v>23</v>
      </c>
    </row>
    <row r="5949" spans="1:11" ht="42" customHeight="1">
      <c r="A5949" s="2" t="s">
        <v>11781</v>
      </c>
      <c r="B5949" s="2" t="s">
        <v>11781</v>
      </c>
      <c r="C5949" s="2" t="s">
        <v>17</v>
      </c>
      <c r="D5949" s="2" t="s">
        <v>18</v>
      </c>
      <c r="E5949" s="5">
        <v>-27910</v>
      </c>
      <c r="F5949" s="3" t="s">
        <v>38</v>
      </c>
      <c r="G5949" s="3" t="s">
        <v>39</v>
      </c>
      <c r="H5949" s="2" t="s">
        <v>21</v>
      </c>
      <c r="I5949" s="2" t="s">
        <v>11782</v>
      </c>
      <c r="J5949" s="3" t="str">
        <f>HYPERLINK("https://www.boe.es/gazeta/dias/1823/08/01/pdfs/GES-1823-113.pdf#page=1","Abrir facsímil")</f>
        <v>Abrir facsímil</v>
      </c>
      <c r="K5949" s="3" t="s">
        <v>23</v>
      </c>
    </row>
    <row r="5950" spans="1:11" ht="42" customHeight="1">
      <c r="A5950" s="2" t="s">
        <v>11783</v>
      </c>
      <c r="B5950" s="2" t="s">
        <v>11783</v>
      </c>
      <c r="C5950" s="2" t="s">
        <v>17</v>
      </c>
      <c r="D5950" s="2" t="s">
        <v>18</v>
      </c>
      <c r="E5950" s="5">
        <v>-27850</v>
      </c>
      <c r="F5950" s="3" t="s">
        <v>910</v>
      </c>
      <c r="G5950" s="3" t="s">
        <v>48</v>
      </c>
      <c r="H5950" s="2" t="s">
        <v>21</v>
      </c>
      <c r="I5950" s="2" t="s">
        <v>11784</v>
      </c>
      <c r="J5950" s="3" t="str">
        <f>HYPERLINK("https://www.boe.es/gazeta/dias/1823/09/30/pdfs/GMD-1823-873.pdf#page=3","Abrir facsímil")</f>
        <v>Abrir facsímil</v>
      </c>
      <c r="K5950" s="3" t="s">
        <v>23</v>
      </c>
    </row>
    <row r="5951" spans="1:11" ht="42" customHeight="1">
      <c r="A5951" s="2" t="s">
        <v>11785</v>
      </c>
      <c r="B5951" s="2" t="s">
        <v>11786</v>
      </c>
      <c r="C5951" s="2" t="s">
        <v>17</v>
      </c>
      <c r="D5951" s="2" t="s">
        <v>18</v>
      </c>
      <c r="E5951" s="5">
        <v>-28049</v>
      </c>
      <c r="F5951" s="3" t="s">
        <v>198</v>
      </c>
      <c r="G5951" s="3" t="s">
        <v>20</v>
      </c>
      <c r="H5951" s="2" t="s">
        <v>21</v>
      </c>
      <c r="I5951" s="2" t="s">
        <v>11787</v>
      </c>
      <c r="J5951" s="3" t="str">
        <f>HYPERLINK("https://www.boe.es/gazeta/dias/1823/03/15/pdfs/GMD-1823-78.pdf#page=4","Abrir facsímil")</f>
        <v>Abrir facsímil</v>
      </c>
      <c r="K5951" s="3" t="s">
        <v>23</v>
      </c>
    </row>
    <row r="5952" spans="1:11" ht="42" customHeight="1">
      <c r="A5952" s="2" t="s">
        <v>11788</v>
      </c>
      <c r="B5952" s="2" t="s">
        <v>11788</v>
      </c>
      <c r="C5952" s="2" t="s">
        <v>17</v>
      </c>
      <c r="D5952" s="2" t="s">
        <v>18</v>
      </c>
      <c r="E5952" s="5">
        <v>-27881</v>
      </c>
      <c r="F5952" s="3" t="s">
        <v>485</v>
      </c>
      <c r="G5952" s="3" t="s">
        <v>48</v>
      </c>
      <c r="H5952" s="2" t="s">
        <v>21</v>
      </c>
      <c r="I5952" s="2" t="s">
        <v>11789</v>
      </c>
      <c r="J5952" s="3" t="str">
        <f>HYPERLINK("https://www.boe.es/gazeta/dias/1823/08/30/pdfs/GES-1823-143.pdf#page=3","Abrir facsímil")</f>
        <v>Abrir facsímil</v>
      </c>
      <c r="K5952" s="3" t="s">
        <v>23</v>
      </c>
    </row>
    <row r="5953" spans="1:11" ht="42" customHeight="1">
      <c r="A5953" s="2" t="s">
        <v>11790</v>
      </c>
      <c r="B5953" s="2" t="s">
        <v>11790</v>
      </c>
      <c r="C5953" s="2" t="s">
        <v>17</v>
      </c>
      <c r="D5953" s="2" t="s">
        <v>18</v>
      </c>
      <c r="E5953" s="5">
        <v>-27934</v>
      </c>
      <c r="F5953" s="3" t="s">
        <v>634</v>
      </c>
      <c r="G5953" s="3" t="s">
        <v>20</v>
      </c>
      <c r="H5953" s="2" t="s">
        <v>21</v>
      </c>
      <c r="I5953" s="2" t="s">
        <v>11791</v>
      </c>
      <c r="J5953" s="3" t="str">
        <f>HYPERLINK("https://www.boe.es/gazeta/dias/1823/07/08/pdfs/GMD-1823-353.pdf#page=4","Abrir facsímil")</f>
        <v>Abrir facsímil</v>
      </c>
      <c r="K5953" s="3" t="s">
        <v>23</v>
      </c>
    </row>
    <row r="5954" spans="1:11" ht="42" customHeight="1">
      <c r="A5954" s="2" t="s">
        <v>11792</v>
      </c>
      <c r="B5954" s="2" t="s">
        <v>11792</v>
      </c>
      <c r="C5954" s="2" t="s">
        <v>293</v>
      </c>
      <c r="D5954" s="2" t="s">
        <v>74</v>
      </c>
      <c r="E5954" s="5">
        <v>-28061</v>
      </c>
      <c r="F5954" s="3" t="s">
        <v>704</v>
      </c>
      <c r="G5954" s="3" t="s">
        <v>34</v>
      </c>
      <c r="H5954" s="2" t="s">
        <v>21</v>
      </c>
      <c r="I5954" s="2" t="s">
        <v>11793</v>
      </c>
      <c r="J5954" s="3" t="str">
        <f>HYPERLINK("https://www.boe.es/gazeta/dias/1823/03/03/pdfs/GMD-1823-66.pdf#page=5","Abrir facsímil")</f>
        <v>Abrir facsímil</v>
      </c>
      <c r="K5954" s="3" t="s">
        <v>23</v>
      </c>
    </row>
    <row r="5955" spans="1:11" ht="42" customHeight="1">
      <c r="A5955" s="2" t="s">
        <v>11794</v>
      </c>
      <c r="B5955" s="2" t="s">
        <v>11794</v>
      </c>
      <c r="C5955" s="2" t="s">
        <v>17</v>
      </c>
      <c r="D5955" s="2" t="s">
        <v>18</v>
      </c>
      <c r="E5955" s="5">
        <v>-28105</v>
      </c>
      <c r="F5955" s="3" t="s">
        <v>502</v>
      </c>
      <c r="G5955" s="3" t="s">
        <v>39</v>
      </c>
      <c r="H5955" s="2" t="s">
        <v>21</v>
      </c>
      <c r="I5955" s="2" t="s">
        <v>11795</v>
      </c>
      <c r="J5955" s="3" t="str">
        <f>HYPERLINK("https://www.boe.es/gazeta/dias/1823/01/18/pdfs/GMD-1823-18.pdf#page=1","Abrir facsímil")</f>
        <v>Abrir facsímil</v>
      </c>
      <c r="K5955" s="3" t="s">
        <v>23</v>
      </c>
    </row>
    <row r="5956" spans="1:11" ht="42" customHeight="1">
      <c r="A5956" s="2" t="s">
        <v>11796</v>
      </c>
      <c r="B5956" s="2" t="s">
        <v>11797</v>
      </c>
      <c r="C5956" s="2" t="s">
        <v>17</v>
      </c>
      <c r="D5956" s="2" t="s">
        <v>18</v>
      </c>
      <c r="E5956" s="5">
        <v>-28018</v>
      </c>
      <c r="F5956" s="3" t="s">
        <v>275</v>
      </c>
      <c r="G5956" s="3" t="s">
        <v>48</v>
      </c>
      <c r="H5956" s="2" t="s">
        <v>21</v>
      </c>
      <c r="I5956" s="2" t="s">
        <v>11798</v>
      </c>
      <c r="J5956" s="3" t="str">
        <f>HYPERLINK("https://www.boe.es/gazeta/dias/1823/04/15/pdfs/GMD-1823-12.pdf#page=3","Abrir facsímil")</f>
        <v>Abrir facsímil</v>
      </c>
      <c r="K5956" s="3" t="s">
        <v>23</v>
      </c>
    </row>
    <row r="5957" spans="1:11" ht="42" customHeight="1">
      <c r="A5957" s="2" t="s">
        <v>11799</v>
      </c>
      <c r="B5957" s="2" t="s">
        <v>11800</v>
      </c>
      <c r="C5957" s="2" t="s">
        <v>79</v>
      </c>
      <c r="D5957" s="2" t="s">
        <v>74</v>
      </c>
      <c r="E5957" s="5">
        <v>-28007</v>
      </c>
      <c r="F5957" s="3" t="s">
        <v>311</v>
      </c>
      <c r="G5957" s="3" t="s">
        <v>48</v>
      </c>
      <c r="H5957" s="2" t="s">
        <v>28</v>
      </c>
      <c r="I5957" s="2" t="s">
        <v>11801</v>
      </c>
      <c r="J5957" s="3" t="str">
        <f>HYPERLINK("https://www.boe.es/gazeta/dias/1823/04/26/pdfs/GES-1823-16.pdf#page=3","Abrir facsímil")</f>
        <v>Abrir facsímil</v>
      </c>
      <c r="K5957" s="3" t="s">
        <v>30</v>
      </c>
    </row>
    <row r="5958" spans="1:11" ht="42" customHeight="1">
      <c r="A5958" s="2" t="s">
        <v>11799</v>
      </c>
      <c r="B5958" s="2" t="s">
        <v>11800</v>
      </c>
      <c r="C5958" s="2" t="s">
        <v>17</v>
      </c>
      <c r="D5958" s="2" t="s">
        <v>18</v>
      </c>
      <c r="E5958" s="5">
        <v>-28006</v>
      </c>
      <c r="F5958" s="3" t="s">
        <v>183</v>
      </c>
      <c r="G5958" s="3" t="s">
        <v>59</v>
      </c>
      <c r="H5958" s="2" t="s">
        <v>28</v>
      </c>
      <c r="I5958" s="2" t="s">
        <v>11802</v>
      </c>
      <c r="J5958" s="3" t="str">
        <f>HYPERLINK("https://www.boe.es/gazeta/dias/1823/04/27/pdfs/GES-1823-17.pdf#page=6","Abrir facsímil")</f>
        <v>Abrir facsímil</v>
      </c>
      <c r="K5958" s="3" t="s">
        <v>30</v>
      </c>
    </row>
    <row r="5959" spans="1:11" ht="42" customHeight="1">
      <c r="A5959" s="2" t="s">
        <v>11803</v>
      </c>
      <c r="B5959" s="2" t="s">
        <v>11804</v>
      </c>
      <c r="C5959" s="2" t="s">
        <v>56</v>
      </c>
      <c r="D5959" s="2" t="s">
        <v>57</v>
      </c>
      <c r="E5959" s="5">
        <v>-27964</v>
      </c>
      <c r="F5959" s="3" t="s">
        <v>58</v>
      </c>
      <c r="G5959" s="3" t="s">
        <v>48</v>
      </c>
      <c r="H5959" s="2" t="s">
        <v>28</v>
      </c>
      <c r="I5959" s="2" t="s">
        <v>11805</v>
      </c>
      <c r="J5959" s="3" t="str">
        <f>HYPERLINK("https://www.boe.es/gazeta/dias/1823/06/08/pdfs/GES-1823-62.pdf#page=3","Abrir facsímil")</f>
        <v>Abrir facsímil</v>
      </c>
      <c r="K5959" s="3" t="s">
        <v>30</v>
      </c>
    </row>
    <row r="5960" spans="1:11" ht="42" customHeight="1">
      <c r="A5960" s="2" t="s">
        <v>11806</v>
      </c>
      <c r="B5960" s="2" t="s">
        <v>11807</v>
      </c>
      <c r="C5960" s="2" t="s">
        <v>79</v>
      </c>
      <c r="D5960" s="2" t="s">
        <v>74</v>
      </c>
      <c r="E5960" s="5">
        <v>-28021</v>
      </c>
      <c r="F5960" s="3" t="s">
        <v>1054</v>
      </c>
      <c r="G5960" s="3" t="s">
        <v>48</v>
      </c>
      <c r="H5960" s="2" t="s">
        <v>28</v>
      </c>
      <c r="I5960" s="2" t="s">
        <v>11808</v>
      </c>
      <c r="J5960" s="3" t="str">
        <f>HYPERLINK("https://www.boe.es/gazeta/dias/1823/04/12/pdfs/GMD-1823-107.pdf#page=3","Abrir facsímil")</f>
        <v>Abrir facsímil</v>
      </c>
      <c r="K5960" s="3" t="s">
        <v>30</v>
      </c>
    </row>
    <row r="5961" spans="1:11" ht="42" customHeight="1">
      <c r="A5961" s="2" t="s">
        <v>11809</v>
      </c>
      <c r="B5961" s="2" t="s">
        <v>11810</v>
      </c>
      <c r="C5961" s="2" t="s">
        <v>17</v>
      </c>
      <c r="D5961" s="2" t="s">
        <v>18</v>
      </c>
      <c r="E5961" s="5">
        <v>-28091</v>
      </c>
      <c r="F5961" s="3" t="s">
        <v>1047</v>
      </c>
      <c r="G5961" s="3" t="s">
        <v>34</v>
      </c>
      <c r="H5961" s="2" t="s">
        <v>28</v>
      </c>
      <c r="I5961" s="2" t="s">
        <v>11811</v>
      </c>
      <c r="J5961" s="3" t="str">
        <f>HYPERLINK("https://www.boe.es/gazeta/dias/1823/02/01/pdfs/GMD-1823-34.pdf#page=5","Abrir facsímil")</f>
        <v>Abrir facsímil</v>
      </c>
      <c r="K5961" s="3" t="s">
        <v>30</v>
      </c>
    </row>
    <row r="5962" spans="1:11" ht="42" customHeight="1">
      <c r="A5962" s="2" t="s">
        <v>11812</v>
      </c>
      <c r="B5962" s="2" t="s">
        <v>11812</v>
      </c>
      <c r="C5962" s="2" t="s">
        <v>73</v>
      </c>
      <c r="D5962" s="2" t="s">
        <v>74</v>
      </c>
      <c r="E5962" s="5">
        <v>-27925</v>
      </c>
      <c r="F5962" s="3" t="s">
        <v>89</v>
      </c>
      <c r="G5962" s="3" t="s">
        <v>27</v>
      </c>
      <c r="H5962" s="2" t="s">
        <v>21</v>
      </c>
      <c r="I5962" s="2" t="s">
        <v>11813</v>
      </c>
      <c r="J5962" s="3" t="str">
        <f>HYPERLINK("https://www.boe.es/gazeta/dias/1823/07/17/pdfs/GES-1823-97.pdf#page=2","Abrir facsímil")</f>
        <v>Abrir facsímil</v>
      </c>
      <c r="K5962" s="3" t="s">
        <v>23</v>
      </c>
    </row>
    <row r="5963" spans="1:11" ht="42" customHeight="1">
      <c r="A5963" s="2" t="s">
        <v>11814</v>
      </c>
      <c r="B5963" s="2" t="s">
        <v>11814</v>
      </c>
      <c r="C5963" s="2" t="s">
        <v>17</v>
      </c>
      <c r="D5963" s="2" t="s">
        <v>18</v>
      </c>
      <c r="E5963" s="5">
        <v>-27939</v>
      </c>
      <c r="F5963" s="3" t="s">
        <v>1076</v>
      </c>
      <c r="G5963" s="3" t="s">
        <v>27</v>
      </c>
      <c r="H5963" s="2" t="s">
        <v>21</v>
      </c>
      <c r="I5963" s="2" t="s">
        <v>11815</v>
      </c>
      <c r="J5963" s="3" t="str">
        <f>HYPERLINK("https://www.boe.es/gazeta/dias/1823/07/03/pdfs/GES-1823-83.pdf#page=2","Abrir facsímil")</f>
        <v>Abrir facsímil</v>
      </c>
      <c r="K5963" s="3" t="s">
        <v>23</v>
      </c>
    </row>
    <row r="5964" spans="1:11" ht="42" customHeight="1">
      <c r="A5964" s="2" t="s">
        <v>11816</v>
      </c>
      <c r="B5964" s="2" t="s">
        <v>11816</v>
      </c>
      <c r="C5964" s="2" t="s">
        <v>17</v>
      </c>
      <c r="D5964" s="2" t="s">
        <v>18</v>
      </c>
      <c r="E5964" s="5">
        <v>-27948</v>
      </c>
      <c r="F5964" s="3" t="s">
        <v>3752</v>
      </c>
      <c r="G5964" s="3" t="s">
        <v>39</v>
      </c>
      <c r="H5964" s="2" t="s">
        <v>21</v>
      </c>
      <c r="I5964" s="2" t="s">
        <v>11817</v>
      </c>
      <c r="J5964" s="3" t="str">
        <f>HYPERLINK("https://www.boe.es/gazeta/dias/1823/06/24/pdfs/GMD-1823-263.pdf#page=1","Abrir facsímil")</f>
        <v>Abrir facsímil</v>
      </c>
      <c r="K5964" s="3" t="s">
        <v>23</v>
      </c>
    </row>
    <row r="5965" spans="1:11" ht="42" customHeight="1">
      <c r="A5965" s="2" t="s">
        <v>11818</v>
      </c>
      <c r="B5965" s="2" t="s">
        <v>11819</v>
      </c>
      <c r="C5965" s="2" t="s">
        <v>17</v>
      </c>
      <c r="D5965" s="2" t="s">
        <v>18</v>
      </c>
      <c r="E5965" s="5">
        <v>-27964</v>
      </c>
      <c r="F5965" s="3" t="s">
        <v>58</v>
      </c>
      <c r="G5965" s="3" t="s">
        <v>34</v>
      </c>
      <c r="H5965" s="2" t="s">
        <v>21</v>
      </c>
      <c r="I5965" s="2" t="s">
        <v>11820</v>
      </c>
      <c r="J5965" s="3" t="str">
        <f>HYPERLINK("https://www.boe.es/gazeta/dias/1823/06/08/pdfs/GES-1823-62.pdf#page=5","Abrir facsímil")</f>
        <v>Abrir facsímil</v>
      </c>
      <c r="K5965" s="3" t="s">
        <v>23</v>
      </c>
    </row>
    <row r="5966" spans="1:11" ht="42" customHeight="1">
      <c r="A5966" s="2" t="s">
        <v>11821</v>
      </c>
      <c r="B5966" s="2" t="s">
        <v>11821</v>
      </c>
      <c r="C5966" s="2" t="s">
        <v>17</v>
      </c>
      <c r="D5966" s="2" t="s">
        <v>18</v>
      </c>
      <c r="E5966" s="5">
        <v>-27909</v>
      </c>
      <c r="F5966" s="3" t="s">
        <v>1525</v>
      </c>
      <c r="G5966" s="3" t="s">
        <v>20</v>
      </c>
      <c r="H5966" s="2" t="s">
        <v>21</v>
      </c>
      <c r="I5966" s="2" t="s">
        <v>11822</v>
      </c>
      <c r="J5966" s="3" t="str">
        <f>HYPERLINK("https://www.boe.es/gazeta/dias/1823/08/02/pdfs/GMD-1823-513.pdf#page=4","Abrir facsímil")</f>
        <v>Abrir facsímil</v>
      </c>
      <c r="K5966" s="3" t="s">
        <v>23</v>
      </c>
    </row>
    <row r="5967" spans="1:11" ht="42" customHeight="1">
      <c r="A5967" s="2" t="s">
        <v>11823</v>
      </c>
      <c r="B5967" s="2" t="s">
        <v>11823</v>
      </c>
      <c r="C5967" s="2" t="s">
        <v>17</v>
      </c>
      <c r="D5967" s="2" t="s">
        <v>18</v>
      </c>
      <c r="E5967" s="5">
        <v>-28017</v>
      </c>
      <c r="F5967" s="3" t="s">
        <v>2912</v>
      </c>
      <c r="G5967" s="3" t="s">
        <v>39</v>
      </c>
      <c r="H5967" s="2" t="s">
        <v>21</v>
      </c>
      <c r="I5967" s="2" t="s">
        <v>11824</v>
      </c>
      <c r="J5967" s="3" t="str">
        <f>HYPERLINK("https://www.boe.es/gazeta/dias/1823/04/16/pdfs/GES-1823-6.pdf#page=1","Abrir facsímil")</f>
        <v>Abrir facsímil</v>
      </c>
      <c r="K5967" s="3" t="s">
        <v>23</v>
      </c>
    </row>
    <row r="5968" spans="1:11" ht="42" customHeight="1">
      <c r="A5968" s="2" t="s">
        <v>11825</v>
      </c>
      <c r="B5968" s="2" t="s">
        <v>11825</v>
      </c>
      <c r="C5968" s="2" t="s">
        <v>17</v>
      </c>
      <c r="D5968" s="2" t="s">
        <v>18</v>
      </c>
      <c r="E5968" s="5">
        <v>-27850</v>
      </c>
      <c r="F5968" s="3" t="s">
        <v>910</v>
      </c>
      <c r="G5968" s="3" t="s">
        <v>27</v>
      </c>
      <c r="H5968" s="2" t="s">
        <v>21</v>
      </c>
      <c r="I5968" s="2" t="s">
        <v>11826</v>
      </c>
      <c r="J5968" s="3" t="str">
        <f>HYPERLINK("https://www.boe.es/gazeta/dias/1823/09/30/pdfs/GMD-1823-873.pdf#page=2","Abrir facsímil")</f>
        <v>Abrir facsímil</v>
      </c>
      <c r="K5968" s="3" t="s">
        <v>23</v>
      </c>
    </row>
    <row r="5969" spans="1:11" ht="42" customHeight="1">
      <c r="A5969" s="2" t="s">
        <v>11827</v>
      </c>
      <c r="B5969" s="2" t="s">
        <v>11828</v>
      </c>
      <c r="C5969" s="2" t="s">
        <v>17</v>
      </c>
      <c r="D5969" s="2" t="s">
        <v>18</v>
      </c>
      <c r="E5969" s="5">
        <v>-27911</v>
      </c>
      <c r="F5969" s="3" t="s">
        <v>1393</v>
      </c>
      <c r="G5969" s="3" t="s">
        <v>39</v>
      </c>
      <c r="H5969" s="2" t="s">
        <v>21</v>
      </c>
      <c r="I5969" s="2" t="s">
        <v>11829</v>
      </c>
      <c r="J5969" s="3" t="str">
        <f>HYPERLINK("https://www.boe.es/gazeta/dias/1823/07/31/pdfs/GMD-1823-503.pdf#page=1","Abrir facsímil")</f>
        <v>Abrir facsímil</v>
      </c>
      <c r="K5969" s="3" t="s">
        <v>23</v>
      </c>
    </row>
    <row r="5970" spans="1:11" ht="42" customHeight="1">
      <c r="A5970" s="2" t="s">
        <v>11830</v>
      </c>
      <c r="B5970" s="2" t="s">
        <v>11831</v>
      </c>
      <c r="C5970" s="2" t="s">
        <v>79</v>
      </c>
      <c r="D5970" s="2" t="s">
        <v>74</v>
      </c>
      <c r="E5970" s="5">
        <v>-27965</v>
      </c>
      <c r="F5970" s="3" t="s">
        <v>208</v>
      </c>
      <c r="G5970" s="3" t="s">
        <v>20</v>
      </c>
      <c r="H5970" s="2" t="s">
        <v>21</v>
      </c>
      <c r="I5970" s="2" t="s">
        <v>11832</v>
      </c>
      <c r="J5970" s="3" t="str">
        <f>HYPERLINK("https://www.boe.es/gazeta/dias/1823/06/07/pdfs/GES-1823-61.pdf#page=4","Abrir facsímil")</f>
        <v>Abrir facsímil</v>
      </c>
      <c r="K5970" s="3" t="s">
        <v>23</v>
      </c>
    </row>
    <row r="5971" spans="1:11" ht="42" customHeight="1">
      <c r="A5971" s="2" t="s">
        <v>11833</v>
      </c>
      <c r="B5971" s="2" t="s">
        <v>11833</v>
      </c>
      <c r="C5971" s="2" t="s">
        <v>17</v>
      </c>
      <c r="D5971" s="2" t="s">
        <v>18</v>
      </c>
      <c r="E5971" s="5">
        <v>-27764</v>
      </c>
      <c r="F5971" s="3" t="s">
        <v>3370</v>
      </c>
      <c r="G5971" s="3" t="s">
        <v>39</v>
      </c>
      <c r="H5971" s="2" t="s">
        <v>21</v>
      </c>
      <c r="I5971" s="2" t="s">
        <v>11834</v>
      </c>
      <c r="J5971" s="3" t="str">
        <f>HYPERLINK("https://www.boe.es/gazeta/dias/1823/12/25/pdfs/GMD-1823-1293.pdf#page=1","Abrir facsímil")</f>
        <v>Abrir facsímil</v>
      </c>
      <c r="K5971" s="3" t="s">
        <v>23</v>
      </c>
    </row>
    <row r="5972" spans="1:11" ht="42" customHeight="1">
      <c r="A5972" s="2" t="s">
        <v>11835</v>
      </c>
      <c r="B5972" s="2" t="s">
        <v>11836</v>
      </c>
      <c r="C5972" s="2" t="s">
        <v>17</v>
      </c>
      <c r="D5972" s="2" t="s">
        <v>18</v>
      </c>
      <c r="E5972" s="5">
        <v>-28076</v>
      </c>
      <c r="F5972" s="3" t="s">
        <v>1638</v>
      </c>
      <c r="G5972" s="3" t="s">
        <v>59</v>
      </c>
      <c r="H5972" s="2" t="s">
        <v>21</v>
      </c>
      <c r="I5972" s="2" t="s">
        <v>11837</v>
      </c>
      <c r="J5972" s="3" t="str">
        <f>HYPERLINK("https://www.boe.es/gazeta/dias/1823/02/16/pdfs/GMD-1823-50.pdf#page=6","Abrir facsímil")</f>
        <v>Abrir facsímil</v>
      </c>
      <c r="K5972" s="3" t="s">
        <v>23</v>
      </c>
    </row>
    <row r="5973" spans="1:11" ht="42" customHeight="1">
      <c r="A5973" s="2" t="s">
        <v>11835</v>
      </c>
      <c r="B5973" s="2" t="s">
        <v>11836</v>
      </c>
      <c r="C5973" s="2" t="s">
        <v>17</v>
      </c>
      <c r="D5973" s="2" t="s">
        <v>18</v>
      </c>
      <c r="E5973" s="5">
        <v>-28005</v>
      </c>
      <c r="F5973" s="3" t="s">
        <v>1648</v>
      </c>
      <c r="G5973" s="3" t="s">
        <v>20</v>
      </c>
      <c r="H5973" s="2" t="s">
        <v>21</v>
      </c>
      <c r="I5973" s="2" t="s">
        <v>11838</v>
      </c>
      <c r="J5973" s="3" t="str">
        <f>HYPERLINK("https://www.boe.es/gazeta/dias/1823/04/28/pdfs/GES-1823-18.pdf#page=4","Abrir facsímil")</f>
        <v>Abrir facsímil</v>
      </c>
      <c r="K5973" s="3" t="s">
        <v>23</v>
      </c>
    </row>
    <row r="5974" spans="1:11" ht="42" customHeight="1">
      <c r="A5974" s="2" t="s">
        <v>11835</v>
      </c>
      <c r="B5974" s="2" t="s">
        <v>11836</v>
      </c>
      <c r="C5974" s="2" t="s">
        <v>17</v>
      </c>
      <c r="D5974" s="2" t="s">
        <v>18</v>
      </c>
      <c r="E5974" s="5">
        <v>-27993</v>
      </c>
      <c r="F5974" s="3" t="s">
        <v>1062</v>
      </c>
      <c r="G5974" s="3" t="s">
        <v>59</v>
      </c>
      <c r="H5974" s="2" t="s">
        <v>21</v>
      </c>
      <c r="I5974" s="2" t="s">
        <v>11839</v>
      </c>
      <c r="J5974" s="3" t="str">
        <f>HYPERLINK("https://www.boe.es/gazeta/dias/1823/05/10/pdfs/GMD-1823-122.pdf#page=6","Abrir facsímil")</f>
        <v>Abrir facsímil</v>
      </c>
      <c r="K5974" s="3" t="s">
        <v>23</v>
      </c>
    </row>
    <row r="5975" spans="1:11" ht="42" customHeight="1">
      <c r="A5975" s="2" t="s">
        <v>11835</v>
      </c>
      <c r="B5975" s="2" t="s">
        <v>11836</v>
      </c>
      <c r="C5975" s="2" t="s">
        <v>17</v>
      </c>
      <c r="D5975" s="2" t="s">
        <v>18</v>
      </c>
      <c r="E5975" s="5">
        <v>-27764</v>
      </c>
      <c r="F5975" s="3" t="s">
        <v>3370</v>
      </c>
      <c r="G5975" s="3" t="s">
        <v>39</v>
      </c>
      <c r="H5975" s="2" t="s">
        <v>21</v>
      </c>
      <c r="I5975" s="2" t="s">
        <v>11840</v>
      </c>
      <c r="J5975" s="3" t="str">
        <f>HYPERLINK("https://www.boe.es/gazeta/dias/1823/12/25/pdfs/GMD-1823-1293.pdf#page=1","Abrir facsímil")</f>
        <v>Abrir facsímil</v>
      </c>
      <c r="K5975" s="3" t="s">
        <v>23</v>
      </c>
    </row>
    <row r="5976" spans="1:11" ht="42" customHeight="1">
      <c r="A5976" s="2" t="s">
        <v>11841</v>
      </c>
      <c r="B5976" s="2" t="s">
        <v>11842</v>
      </c>
      <c r="C5976" s="2" t="s">
        <v>325</v>
      </c>
      <c r="D5976" s="2" t="s">
        <v>74</v>
      </c>
      <c r="E5976" s="5">
        <v>-27967</v>
      </c>
      <c r="F5976" s="3" t="s">
        <v>412</v>
      </c>
      <c r="G5976" s="3" t="s">
        <v>27</v>
      </c>
      <c r="H5976" s="2" t="s">
        <v>21</v>
      </c>
      <c r="I5976" s="2" t="s">
        <v>11843</v>
      </c>
      <c r="J5976" s="3" t="str">
        <f>HYPERLINK("https://www.boe.es/gazeta/dias/1823/06/05/pdfs/GES-1823-59.pdf#page=2","Abrir facsímil")</f>
        <v>Abrir facsímil</v>
      </c>
      <c r="K5976" s="3" t="s">
        <v>23</v>
      </c>
    </row>
    <row r="5977" spans="1:11" ht="42" customHeight="1">
      <c r="A5977" s="2" t="s">
        <v>11844</v>
      </c>
      <c r="B5977" s="2" t="s">
        <v>11845</v>
      </c>
      <c r="C5977" s="2" t="s">
        <v>17</v>
      </c>
      <c r="D5977" s="2" t="s">
        <v>18</v>
      </c>
      <c r="E5977" s="5">
        <v>-27785</v>
      </c>
      <c r="F5977" s="3" t="s">
        <v>1397</v>
      </c>
      <c r="G5977" s="3" t="s">
        <v>48</v>
      </c>
      <c r="H5977" s="2" t="s">
        <v>21</v>
      </c>
      <c r="I5977" s="2" t="s">
        <v>11846</v>
      </c>
      <c r="J5977" s="3" t="str">
        <f>HYPERLINK("https://www.boe.es/gazeta/dias/1823/12/04/pdfs/GMD-1823-1203.pdf#page=3","Abrir facsímil")</f>
        <v>Abrir facsímil</v>
      </c>
      <c r="K5977" s="3" t="s">
        <v>23</v>
      </c>
    </row>
    <row r="5978" spans="1:11" ht="42" customHeight="1">
      <c r="A5978" s="2" t="s">
        <v>11847</v>
      </c>
      <c r="B5978" s="2" t="s">
        <v>11848</v>
      </c>
      <c r="C5978" s="2" t="s">
        <v>17</v>
      </c>
      <c r="D5978" s="2" t="s">
        <v>18</v>
      </c>
      <c r="E5978" s="5">
        <v>-28116</v>
      </c>
      <c r="F5978" s="3" t="s">
        <v>134</v>
      </c>
      <c r="G5978" s="3" t="s">
        <v>59</v>
      </c>
      <c r="H5978" s="2" t="s">
        <v>21</v>
      </c>
      <c r="I5978" s="2" t="s">
        <v>11849</v>
      </c>
      <c r="J5978" s="3" t="str">
        <f>HYPERLINK("https://www.boe.es/gazeta/dias/1823/01/07/pdfs/GMD-1823-7.pdf#page=6","Abrir facsímil")</f>
        <v>Abrir facsímil</v>
      </c>
      <c r="K5978" s="3" t="s">
        <v>23</v>
      </c>
    </row>
    <row r="5979" spans="1:11" ht="42" customHeight="1">
      <c r="A5979" s="2" t="s">
        <v>11850</v>
      </c>
      <c r="B5979" s="2" t="s">
        <v>11851</v>
      </c>
      <c r="C5979" s="2" t="s">
        <v>17</v>
      </c>
      <c r="D5979" s="2" t="s">
        <v>18</v>
      </c>
      <c r="E5979" s="5">
        <v>-28112</v>
      </c>
      <c r="F5979" s="3" t="s">
        <v>43</v>
      </c>
      <c r="G5979" s="3" t="s">
        <v>39</v>
      </c>
      <c r="H5979" s="2" t="s">
        <v>21</v>
      </c>
      <c r="I5979" s="2" t="s">
        <v>11852</v>
      </c>
      <c r="J5979" s="3" t="str">
        <f>HYPERLINK("https://www.boe.es/gazeta/dias/1823/01/11/pdfs/GMD-1823-11.pdf#page=1","Abrir facsímil")</f>
        <v>Abrir facsímil</v>
      </c>
      <c r="K5979" s="3" t="s">
        <v>23</v>
      </c>
    </row>
    <row r="5980" spans="1:11" ht="42" customHeight="1">
      <c r="A5980" s="2" t="s">
        <v>11853</v>
      </c>
      <c r="B5980" s="2" t="s">
        <v>11854</v>
      </c>
      <c r="C5980" s="2" t="s">
        <v>17</v>
      </c>
      <c r="D5980" s="2" t="s">
        <v>18</v>
      </c>
      <c r="E5980" s="5">
        <v>-27965</v>
      </c>
      <c r="F5980" s="3" t="s">
        <v>208</v>
      </c>
      <c r="G5980" s="3" t="s">
        <v>39</v>
      </c>
      <c r="H5980" s="2" t="s">
        <v>21</v>
      </c>
      <c r="I5980" s="2" t="s">
        <v>11855</v>
      </c>
      <c r="J5980" s="3" t="str">
        <f>HYPERLINK("https://www.boe.es/gazeta/dias/1823/06/07/pdfs/GES-1823-61.pdf#page=1","Abrir facsímil")</f>
        <v>Abrir facsímil</v>
      </c>
      <c r="K5980" s="3" t="s">
        <v>23</v>
      </c>
    </row>
    <row r="5981" spans="1:11" ht="42" customHeight="1">
      <c r="A5981" s="2" t="s">
        <v>11853</v>
      </c>
      <c r="B5981" s="2" t="s">
        <v>11854</v>
      </c>
      <c r="C5981" s="2" t="s">
        <v>17</v>
      </c>
      <c r="D5981" s="2" t="s">
        <v>18</v>
      </c>
      <c r="E5981" s="5">
        <v>-27965</v>
      </c>
      <c r="F5981" s="3" t="s">
        <v>208</v>
      </c>
      <c r="G5981" s="3" t="s">
        <v>27</v>
      </c>
      <c r="H5981" s="2" t="s">
        <v>21</v>
      </c>
      <c r="I5981" s="2" t="s">
        <v>11856</v>
      </c>
      <c r="J5981" s="3" t="str">
        <f>HYPERLINK("https://www.boe.es/gazeta/dias/1823/06/07/pdfs/GES-1823-61.pdf#page=2","Abrir facsímil")</f>
        <v>Abrir facsímil</v>
      </c>
      <c r="K5981" s="3" t="s">
        <v>23</v>
      </c>
    </row>
    <row r="5982" spans="1:11" ht="42" customHeight="1">
      <c r="A5982" s="2" t="s">
        <v>11857</v>
      </c>
      <c r="B5982" s="2" t="s">
        <v>11858</v>
      </c>
      <c r="C5982" s="2" t="s">
        <v>17</v>
      </c>
      <c r="D5982" s="2" t="s">
        <v>117</v>
      </c>
      <c r="E5982" s="5">
        <v>-27943</v>
      </c>
      <c r="F5982" s="3" t="s">
        <v>2511</v>
      </c>
      <c r="G5982" s="3" t="s">
        <v>39</v>
      </c>
      <c r="H5982" s="2" t="s">
        <v>21</v>
      </c>
      <c r="I5982" s="2" t="s">
        <v>11859</v>
      </c>
      <c r="J5982" s="3" t="str">
        <f>HYPERLINK("https://www.boe.es/gazeta/dias/1823/06/29/pdfs/GMD-1823-313E.pdf#page=1","Abrir facsímil")</f>
        <v>Abrir facsímil</v>
      </c>
      <c r="K5982" s="3" t="s">
        <v>23</v>
      </c>
    </row>
    <row r="5983" spans="1:11" ht="42" customHeight="1">
      <c r="A5983" s="2" t="s">
        <v>11860</v>
      </c>
      <c r="B5983" s="2" t="s">
        <v>11861</v>
      </c>
      <c r="C5983" s="2" t="s">
        <v>17</v>
      </c>
      <c r="D5983" s="2" t="s">
        <v>18</v>
      </c>
      <c r="E5983" s="5">
        <v>-27923</v>
      </c>
      <c r="F5983" s="3" t="s">
        <v>1225</v>
      </c>
      <c r="G5983" s="3" t="s">
        <v>20</v>
      </c>
      <c r="H5983" s="2" t="s">
        <v>21</v>
      </c>
      <c r="I5983" s="2" t="s">
        <v>11862</v>
      </c>
      <c r="J5983" s="3" t="str">
        <f>HYPERLINK("https://www.boe.es/gazeta/dias/1823/07/19/pdfs/GMD-1823-433.pdf#page=4","Abrir facsímil")</f>
        <v>Abrir facsímil</v>
      </c>
      <c r="K5983" s="3" t="s">
        <v>23</v>
      </c>
    </row>
    <row r="5984" spans="1:11" ht="42" customHeight="1">
      <c r="A5984" s="2" t="s">
        <v>11863</v>
      </c>
      <c r="B5984" s="2" t="s">
        <v>11864</v>
      </c>
      <c r="C5984" s="2" t="s">
        <v>17</v>
      </c>
      <c r="D5984" s="2" t="s">
        <v>18</v>
      </c>
      <c r="E5984" s="5">
        <v>-27759</v>
      </c>
      <c r="F5984" s="3" t="s">
        <v>415</v>
      </c>
      <c r="G5984" s="3" t="s">
        <v>20</v>
      </c>
      <c r="H5984" s="2" t="s">
        <v>21</v>
      </c>
      <c r="I5984" s="2" t="s">
        <v>11865</v>
      </c>
      <c r="J5984" s="3" t="str">
        <f>HYPERLINK("https://www.boe.es/gazeta/dias/1823/12/30/pdfs/GMD-1823-1313.pdf#page=4","Abrir facsímil")</f>
        <v>Abrir facsímil</v>
      </c>
      <c r="K5984" s="3" t="s">
        <v>23</v>
      </c>
    </row>
    <row r="5985" spans="1:11" ht="42" customHeight="1">
      <c r="A5985" s="2" t="s">
        <v>11866</v>
      </c>
      <c r="B5985" s="2" t="s">
        <v>11867</v>
      </c>
      <c r="C5985" s="2" t="s">
        <v>17</v>
      </c>
      <c r="D5985" s="2" t="s">
        <v>18</v>
      </c>
      <c r="E5985" s="5">
        <v>-28074</v>
      </c>
      <c r="F5985" s="3" t="s">
        <v>212</v>
      </c>
      <c r="G5985" s="3" t="s">
        <v>39</v>
      </c>
      <c r="H5985" s="2" t="s">
        <v>21</v>
      </c>
      <c r="I5985" s="2" t="s">
        <v>11868</v>
      </c>
      <c r="J5985" s="3" t="str">
        <f>HYPERLINK("https://www.boe.es/gazeta/dias/1823/02/18/pdfs/GMD-1823-52.pdf#page=1","Abrir facsímil")</f>
        <v>Abrir facsímil</v>
      </c>
      <c r="K5985" s="3" t="s">
        <v>23</v>
      </c>
    </row>
    <row r="5986" spans="1:11" ht="42" customHeight="1">
      <c r="A5986" s="2" t="s">
        <v>11869</v>
      </c>
      <c r="B5986" s="2" t="s">
        <v>11870</v>
      </c>
      <c r="C5986" s="2" t="s">
        <v>17</v>
      </c>
      <c r="D5986" s="2" t="s">
        <v>18</v>
      </c>
      <c r="E5986" s="5">
        <v>-28090</v>
      </c>
      <c r="F5986" s="3" t="s">
        <v>174</v>
      </c>
      <c r="G5986" s="3" t="s">
        <v>20</v>
      </c>
      <c r="H5986" s="2" t="s">
        <v>21</v>
      </c>
      <c r="I5986" s="2" t="s">
        <v>11871</v>
      </c>
      <c r="J5986" s="3" t="str">
        <f>HYPERLINK("https://www.boe.es/gazeta/dias/1823/02/02/pdfs/GMD-1823-35.pdf#page=4","Abrir facsímil")</f>
        <v>Abrir facsímil</v>
      </c>
      <c r="K5986" s="3" t="s">
        <v>23</v>
      </c>
    </row>
    <row r="5987" spans="1:11" ht="42" customHeight="1">
      <c r="A5987" s="2" t="s">
        <v>11872</v>
      </c>
      <c r="B5987" s="2" t="s">
        <v>11872</v>
      </c>
      <c r="C5987" s="2" t="s">
        <v>17</v>
      </c>
      <c r="D5987" s="2" t="s">
        <v>18</v>
      </c>
      <c r="E5987" s="5">
        <v>-28114</v>
      </c>
      <c r="F5987" s="3" t="s">
        <v>153</v>
      </c>
      <c r="G5987" s="3" t="s">
        <v>39</v>
      </c>
      <c r="H5987" s="2" t="s">
        <v>21</v>
      </c>
      <c r="I5987" s="2" t="s">
        <v>11873</v>
      </c>
      <c r="J5987" s="3" t="str">
        <f>HYPERLINK("https://www.boe.es/gazeta/dias/1823/01/09/pdfs/GMD-1823-9.pdf#page=1","Abrir facsímil")</f>
        <v>Abrir facsímil</v>
      </c>
      <c r="K5987" s="3" t="s">
        <v>23</v>
      </c>
    </row>
    <row r="5988" spans="1:11" ht="42" customHeight="1">
      <c r="A5988" s="2" t="s">
        <v>11872</v>
      </c>
      <c r="B5988" s="2" t="s">
        <v>11872</v>
      </c>
      <c r="C5988" s="2" t="s">
        <v>17</v>
      </c>
      <c r="D5988" s="2" t="s">
        <v>18</v>
      </c>
      <c r="E5988" s="5">
        <v>-27909</v>
      </c>
      <c r="F5988" s="3" t="s">
        <v>948</v>
      </c>
      <c r="G5988" s="3" t="s">
        <v>27</v>
      </c>
      <c r="H5988" s="2" t="s">
        <v>21</v>
      </c>
      <c r="I5988" s="2" t="s">
        <v>11874</v>
      </c>
      <c r="J5988" s="3" t="str">
        <f>HYPERLINK("https://www.boe.es/gazeta/dias/1823/08/02/pdfs/GES-1823-114.pdf#page=2","Abrir facsímil")</f>
        <v>Abrir facsímil</v>
      </c>
      <c r="K5988" s="3" t="s">
        <v>23</v>
      </c>
    </row>
    <row r="5989" spans="1:11" ht="42" customHeight="1">
      <c r="A5989" s="2" t="s">
        <v>11875</v>
      </c>
      <c r="B5989" s="2" t="s">
        <v>11875</v>
      </c>
      <c r="C5989" s="2" t="s">
        <v>17</v>
      </c>
      <c r="D5989" s="2" t="s">
        <v>18</v>
      </c>
      <c r="E5989" s="5">
        <v>-27944</v>
      </c>
      <c r="F5989" s="3" t="s">
        <v>658</v>
      </c>
      <c r="G5989" s="3" t="s">
        <v>39</v>
      </c>
      <c r="H5989" s="2" t="s">
        <v>21</v>
      </c>
      <c r="I5989" s="2" t="s">
        <v>11876</v>
      </c>
      <c r="J5989" s="3" t="str">
        <f>HYPERLINK("https://www.boe.es/gazeta/dias/1823/06/28/pdfs/GMD-1823-303.pdf#page=1","Abrir facsímil")</f>
        <v>Abrir facsímil</v>
      </c>
      <c r="K5989" s="3" t="s">
        <v>23</v>
      </c>
    </row>
    <row r="5990" spans="1:11" ht="42" customHeight="1">
      <c r="A5990" s="2" t="s">
        <v>11877</v>
      </c>
      <c r="B5990" s="2" t="s">
        <v>11877</v>
      </c>
      <c r="C5990" s="2" t="s">
        <v>17</v>
      </c>
      <c r="D5990" s="2" t="s">
        <v>18</v>
      </c>
      <c r="E5990" s="5">
        <v>-28071</v>
      </c>
      <c r="F5990" s="3" t="s">
        <v>587</v>
      </c>
      <c r="G5990" s="3" t="s">
        <v>27</v>
      </c>
      <c r="H5990" s="2" t="s">
        <v>21</v>
      </c>
      <c r="I5990" s="2" t="s">
        <v>11878</v>
      </c>
      <c r="J5990" s="3" t="str">
        <f>HYPERLINK("https://www.boe.es/gazeta/dias/1823/02/21/pdfs/GMD-1823-55.pdf#page=2","Abrir facsímil")</f>
        <v>Abrir facsímil</v>
      </c>
      <c r="K5990" s="3" t="s">
        <v>23</v>
      </c>
    </row>
    <row r="5991" spans="1:11" ht="42" customHeight="1">
      <c r="A5991" s="2" t="s">
        <v>11879</v>
      </c>
      <c r="B5991" s="2" t="s">
        <v>11880</v>
      </c>
      <c r="C5991" s="2" t="s">
        <v>56</v>
      </c>
      <c r="D5991" s="2" t="s">
        <v>57</v>
      </c>
      <c r="E5991" s="5">
        <v>-27879</v>
      </c>
      <c r="F5991" s="3" t="s">
        <v>638</v>
      </c>
      <c r="G5991" s="3" t="s">
        <v>20</v>
      </c>
      <c r="H5991" s="2" t="s">
        <v>21</v>
      </c>
      <c r="I5991" s="2" t="s">
        <v>11881</v>
      </c>
      <c r="J5991" s="3" t="str">
        <f>HYPERLINK("https://www.boe.es/gazeta/dias/1823/09/01/pdfs/GES-1823-145.pdf#page=4","Abrir facsímil")</f>
        <v>Abrir facsímil</v>
      </c>
      <c r="K5991" s="3" t="s">
        <v>23</v>
      </c>
    </row>
    <row r="5992" spans="1:11" ht="42" customHeight="1">
      <c r="A5992" s="2" t="s">
        <v>11882</v>
      </c>
      <c r="B5992" s="2" t="s">
        <v>11883</v>
      </c>
      <c r="C5992" s="2" t="s">
        <v>79</v>
      </c>
      <c r="D5992" s="2" t="s">
        <v>74</v>
      </c>
      <c r="E5992" s="5">
        <v>-27946</v>
      </c>
      <c r="F5992" s="3" t="s">
        <v>1547</v>
      </c>
      <c r="G5992" s="3" t="s">
        <v>48</v>
      </c>
      <c r="H5992" s="2" t="s">
        <v>21</v>
      </c>
      <c r="I5992" s="2" t="s">
        <v>11884</v>
      </c>
      <c r="J5992" s="3" t="str">
        <f>HYPERLINK("https://www.boe.es/gazeta/dias/1823/06/26/pdfs/GMD-1823-283.pdf#page=3","Abrir facsímil")</f>
        <v>Abrir facsímil</v>
      </c>
      <c r="K5992" s="3" t="s">
        <v>23</v>
      </c>
    </row>
    <row r="5993" spans="1:11" ht="42" customHeight="1">
      <c r="A5993" s="2" t="s">
        <v>11882</v>
      </c>
      <c r="B5993" s="2" t="s">
        <v>11883</v>
      </c>
      <c r="C5993" s="2" t="s">
        <v>17</v>
      </c>
      <c r="D5993" s="2" t="s">
        <v>117</v>
      </c>
      <c r="E5993" s="5">
        <v>-27912</v>
      </c>
      <c r="F5993" s="3" t="s">
        <v>2353</v>
      </c>
      <c r="G5993" s="3" t="s">
        <v>39</v>
      </c>
      <c r="H5993" s="2" t="s">
        <v>21</v>
      </c>
      <c r="I5993" s="2" t="s">
        <v>11885</v>
      </c>
      <c r="J5993" s="3" t="str">
        <f>HYPERLINK("https://www.boe.es/gazeta/dias/1823/07/30/pdfs/GMD-1823-493E.pdf#page=1","Abrir facsímil")</f>
        <v>Abrir facsímil</v>
      </c>
      <c r="K5993" s="3" t="s">
        <v>23</v>
      </c>
    </row>
    <row r="5994" spans="1:11" ht="42" customHeight="1">
      <c r="A5994" s="2" t="s">
        <v>11882</v>
      </c>
      <c r="B5994" s="2" t="s">
        <v>11883</v>
      </c>
      <c r="C5994" s="2" t="s">
        <v>79</v>
      </c>
      <c r="D5994" s="2" t="s">
        <v>74</v>
      </c>
      <c r="E5994" s="5">
        <v>-27909</v>
      </c>
      <c r="F5994" s="3" t="s">
        <v>1525</v>
      </c>
      <c r="G5994" s="3" t="s">
        <v>20</v>
      </c>
      <c r="H5994" s="2" t="s">
        <v>21</v>
      </c>
      <c r="I5994" s="2" t="s">
        <v>11886</v>
      </c>
      <c r="J5994" s="3" t="str">
        <f>HYPERLINK("https://www.boe.es/gazeta/dias/1823/08/02/pdfs/GMD-1823-513.pdf#page=4","Abrir facsímil")</f>
        <v>Abrir facsímil</v>
      </c>
      <c r="K5994" s="3" t="s">
        <v>23</v>
      </c>
    </row>
    <row r="5995" spans="1:11" ht="42" customHeight="1">
      <c r="A5995" s="2" t="s">
        <v>11882</v>
      </c>
      <c r="B5995" s="2" t="s">
        <v>11883</v>
      </c>
      <c r="C5995" s="2" t="s">
        <v>17</v>
      </c>
      <c r="D5995" s="2" t="s">
        <v>18</v>
      </c>
      <c r="E5995" s="5">
        <v>-27890</v>
      </c>
      <c r="F5995" s="3" t="s">
        <v>1573</v>
      </c>
      <c r="G5995" s="3" t="s">
        <v>1574</v>
      </c>
      <c r="H5995" s="2" t="s">
        <v>21</v>
      </c>
      <c r="I5995" s="2" t="s">
        <v>11887</v>
      </c>
      <c r="J5995" s="3" t="str">
        <f>HYPERLINK("https://www.boe.es/gazeta/dias/1823/08/21/pdfs/GMD-1823-623.pdf#page=2","Abrir facsímil")</f>
        <v>Abrir facsímil</v>
      </c>
      <c r="K5995" s="3" t="s">
        <v>23</v>
      </c>
    </row>
    <row r="5996" spans="1:11" ht="42" customHeight="1">
      <c r="A5996" s="2" t="s">
        <v>11888</v>
      </c>
      <c r="B5996" s="2" t="s">
        <v>11889</v>
      </c>
      <c r="C5996" s="2" t="s">
        <v>79</v>
      </c>
      <c r="D5996" s="2" t="s">
        <v>74</v>
      </c>
      <c r="E5996" s="5">
        <v>-27762</v>
      </c>
      <c r="F5996" s="3" t="s">
        <v>1614</v>
      </c>
      <c r="G5996" s="3" t="s">
        <v>20</v>
      </c>
      <c r="H5996" s="2" t="s">
        <v>21</v>
      </c>
      <c r="I5996" s="2" t="s">
        <v>11890</v>
      </c>
      <c r="J5996" s="3" t="str">
        <f>HYPERLINK("https://www.boe.es/gazeta/dias/1823/12/27/pdfs/GMD-1823-1303.pdf#page=4","Abrir facsímil")</f>
        <v>Abrir facsímil</v>
      </c>
      <c r="K5996" s="3" t="s">
        <v>23</v>
      </c>
    </row>
    <row r="5997" spans="1:11" ht="42" customHeight="1">
      <c r="A5997" s="2" t="s">
        <v>11891</v>
      </c>
      <c r="B5997" s="2" t="s">
        <v>11892</v>
      </c>
      <c r="C5997" s="2" t="s">
        <v>56</v>
      </c>
      <c r="D5997" s="2" t="s">
        <v>57</v>
      </c>
      <c r="E5997" s="5">
        <v>-28028</v>
      </c>
      <c r="F5997" s="3" t="s">
        <v>893</v>
      </c>
      <c r="G5997" s="3" t="s">
        <v>20</v>
      </c>
      <c r="H5997" s="2" t="s">
        <v>21</v>
      </c>
      <c r="I5997" s="2" t="s">
        <v>11893</v>
      </c>
      <c r="J5997" s="3" t="str">
        <f>HYPERLINK("https://www.boe.es/gazeta/dias/1823/04/05/pdfs/GMD-1823-99.pdf#page=4","Abrir facsímil")</f>
        <v>Abrir facsímil</v>
      </c>
      <c r="K5997" s="3" t="s">
        <v>23</v>
      </c>
    </row>
    <row r="5998" spans="1:11" ht="42" customHeight="1">
      <c r="A5998" s="2" t="s">
        <v>11894</v>
      </c>
      <c r="B5998" s="2" t="s">
        <v>11894</v>
      </c>
      <c r="C5998" s="2" t="s">
        <v>84</v>
      </c>
      <c r="D5998" s="2" t="s">
        <v>74</v>
      </c>
      <c r="E5998" s="5">
        <v>-27966</v>
      </c>
      <c r="F5998" s="3" t="s">
        <v>675</v>
      </c>
      <c r="G5998" s="3" t="s">
        <v>34</v>
      </c>
      <c r="H5998" s="2" t="s">
        <v>21</v>
      </c>
      <c r="I5998" s="2" t="s">
        <v>11895</v>
      </c>
      <c r="J5998" s="3" t="str">
        <f>HYPERLINK("https://www.boe.es/gazeta/dias/1823/06/06/pdfs/GES-1823-60.pdf#page=5","Abrir facsímil")</f>
        <v>Abrir facsímil</v>
      </c>
      <c r="K5998" s="3" t="s">
        <v>23</v>
      </c>
    </row>
    <row r="5999" spans="1:11" ht="42" customHeight="1">
      <c r="A5999" s="2" t="s">
        <v>11896</v>
      </c>
      <c r="B5999" s="2" t="s">
        <v>11896</v>
      </c>
      <c r="C5999" s="2" t="s">
        <v>56</v>
      </c>
      <c r="D5999" s="2" t="s">
        <v>57</v>
      </c>
      <c r="E5999" s="5">
        <v>-28094</v>
      </c>
      <c r="F5999" s="3" t="s">
        <v>93</v>
      </c>
      <c r="G5999" s="3" t="s">
        <v>20</v>
      </c>
      <c r="H5999" s="2" t="s">
        <v>21</v>
      </c>
      <c r="I5999" s="2" t="s">
        <v>11897</v>
      </c>
      <c r="J5999" s="3" t="str">
        <f>HYPERLINK("https://www.boe.es/gazeta/dias/1823/01/29/pdfs/GMD-1823-30.pdf#page=4","Abrir facsímil")</f>
        <v>Abrir facsímil</v>
      </c>
      <c r="K5999" s="3" t="s">
        <v>23</v>
      </c>
    </row>
    <row r="6000" spans="1:11" ht="42" customHeight="1">
      <c r="A6000" s="2" t="s">
        <v>11896</v>
      </c>
      <c r="B6000" s="2" t="s">
        <v>11896</v>
      </c>
      <c r="C6000" s="2" t="s">
        <v>17</v>
      </c>
      <c r="D6000" s="2" t="s">
        <v>18</v>
      </c>
      <c r="E6000" s="5">
        <v>-27993</v>
      </c>
      <c r="F6000" s="3" t="s">
        <v>1062</v>
      </c>
      <c r="G6000" s="3" t="s">
        <v>20</v>
      </c>
      <c r="H6000" s="2" t="s">
        <v>21</v>
      </c>
      <c r="I6000" s="2" t="s">
        <v>11898</v>
      </c>
      <c r="J6000" s="3" t="str">
        <f>HYPERLINK("https://www.boe.es/gazeta/dias/1823/05/10/pdfs/GMD-1823-122.pdf#page=4","Abrir facsímil")</f>
        <v>Abrir facsímil</v>
      </c>
      <c r="K6000" s="3" t="s">
        <v>23</v>
      </c>
    </row>
    <row r="6001" spans="1:11" ht="42" customHeight="1">
      <c r="A6001" s="2" t="s">
        <v>11896</v>
      </c>
      <c r="B6001" s="2" t="s">
        <v>11896</v>
      </c>
      <c r="C6001" s="2" t="s">
        <v>109</v>
      </c>
      <c r="D6001" s="2" t="s">
        <v>74</v>
      </c>
      <c r="E6001" s="5">
        <v>-27952</v>
      </c>
      <c r="F6001" s="3" t="s">
        <v>929</v>
      </c>
      <c r="G6001" s="3" t="s">
        <v>39</v>
      </c>
      <c r="H6001" s="2" t="s">
        <v>21</v>
      </c>
      <c r="I6001" s="2" t="s">
        <v>11899</v>
      </c>
      <c r="J6001" s="3" t="str">
        <f>HYPERLINK("https://www.boe.es/gazeta/dias/1823/06/20/pdfs/GES-1823-68.pdf#page=1","Abrir facsímil")</f>
        <v>Abrir facsímil</v>
      </c>
      <c r="K6001" s="3" t="s">
        <v>23</v>
      </c>
    </row>
    <row r="6002" spans="1:11" ht="42" customHeight="1">
      <c r="A6002" s="2" t="s">
        <v>11896</v>
      </c>
      <c r="B6002" s="2" t="s">
        <v>11896</v>
      </c>
      <c r="C6002" s="2" t="s">
        <v>73</v>
      </c>
      <c r="D6002" s="2" t="s">
        <v>74</v>
      </c>
      <c r="E6002" s="5">
        <v>-27932</v>
      </c>
      <c r="F6002" s="3" t="s">
        <v>707</v>
      </c>
      <c r="G6002" s="3" t="s">
        <v>27</v>
      </c>
      <c r="H6002" s="2" t="s">
        <v>21</v>
      </c>
      <c r="I6002" s="2" t="s">
        <v>11900</v>
      </c>
      <c r="J6002" s="3" t="str">
        <f>HYPERLINK("https://www.boe.es/gazeta/dias/1823/07/10/pdfs/GES-1823-90.pdf#page=2","Abrir facsímil")</f>
        <v>Abrir facsímil</v>
      </c>
      <c r="K6002" s="3" t="s">
        <v>23</v>
      </c>
    </row>
    <row r="6003" spans="1:11" ht="42" customHeight="1">
      <c r="A6003" s="2" t="s">
        <v>11896</v>
      </c>
      <c r="B6003" s="2" t="s">
        <v>11896</v>
      </c>
      <c r="C6003" s="2" t="s">
        <v>17</v>
      </c>
      <c r="D6003" s="2" t="s">
        <v>18</v>
      </c>
      <c r="E6003" s="5">
        <v>-27923</v>
      </c>
      <c r="F6003" s="3" t="s">
        <v>354</v>
      </c>
      <c r="G6003" s="3" t="s">
        <v>39</v>
      </c>
      <c r="H6003" s="2" t="s">
        <v>21</v>
      </c>
      <c r="I6003" s="2" t="s">
        <v>11901</v>
      </c>
      <c r="J6003" s="3" t="str">
        <f>HYPERLINK("https://www.boe.es/gazeta/dias/1823/07/19/pdfs/GES-1823-100.pdf#page=1","Abrir facsímil")</f>
        <v>Abrir facsímil</v>
      </c>
      <c r="K6003" s="3" t="s">
        <v>23</v>
      </c>
    </row>
    <row r="6004" spans="1:11" ht="42" customHeight="1">
      <c r="A6004" s="2" t="s">
        <v>11896</v>
      </c>
      <c r="B6004" s="2" t="s">
        <v>11896</v>
      </c>
      <c r="C6004" s="2" t="s">
        <v>17</v>
      </c>
      <c r="D6004" s="2" t="s">
        <v>18</v>
      </c>
      <c r="E6004" s="5">
        <v>-27922</v>
      </c>
      <c r="F6004" s="3" t="s">
        <v>1959</v>
      </c>
      <c r="G6004" s="3" t="s">
        <v>48</v>
      </c>
      <c r="H6004" s="2" t="s">
        <v>21</v>
      </c>
      <c r="I6004" s="2" t="s">
        <v>11902</v>
      </c>
      <c r="J6004" s="3" t="str">
        <f>HYPERLINK("https://www.boe.es/gazeta/dias/1823/07/20/pdfs/GES-1823-101.pdf#page=3","Abrir facsímil")</f>
        <v>Abrir facsímil</v>
      </c>
      <c r="K6004" s="3" t="s">
        <v>23</v>
      </c>
    </row>
    <row r="6005" spans="1:11" ht="42" customHeight="1">
      <c r="A6005" s="2" t="s">
        <v>11896</v>
      </c>
      <c r="B6005" s="2" t="s">
        <v>11896</v>
      </c>
      <c r="C6005" s="2" t="s">
        <v>56</v>
      </c>
      <c r="D6005" s="2" t="s">
        <v>57</v>
      </c>
      <c r="E6005" s="5">
        <v>-27915</v>
      </c>
      <c r="F6005" s="3" t="s">
        <v>524</v>
      </c>
      <c r="G6005" s="3" t="s">
        <v>39</v>
      </c>
      <c r="H6005" s="2" t="s">
        <v>21</v>
      </c>
      <c r="I6005" s="2" t="s">
        <v>11903</v>
      </c>
      <c r="J6005" s="3" t="str">
        <f>HYPERLINK("https://www.boe.es/gazeta/dias/1823/07/27/pdfs/GES-1823-108.pdf#page=1","Abrir facsímil")</f>
        <v>Abrir facsímil</v>
      </c>
      <c r="K6005" s="3" t="s">
        <v>23</v>
      </c>
    </row>
    <row r="6006" spans="1:11" ht="42" customHeight="1">
      <c r="A6006" s="2" t="s">
        <v>11904</v>
      </c>
      <c r="B6006" s="2" t="s">
        <v>11904</v>
      </c>
      <c r="C6006" s="2" t="s">
        <v>17</v>
      </c>
      <c r="D6006" s="2" t="s">
        <v>18</v>
      </c>
      <c r="E6006" s="5">
        <v>-28061</v>
      </c>
      <c r="F6006" s="3" t="s">
        <v>704</v>
      </c>
      <c r="G6006" s="3" t="s">
        <v>20</v>
      </c>
      <c r="H6006" s="2" t="s">
        <v>21</v>
      </c>
      <c r="I6006" s="2" t="s">
        <v>11905</v>
      </c>
      <c r="J6006" s="3" t="str">
        <f>HYPERLINK("https://www.boe.es/gazeta/dias/1823/03/03/pdfs/GMD-1823-66.pdf#page=4","Abrir facsímil")</f>
        <v>Abrir facsímil</v>
      </c>
      <c r="K6006" s="3" t="s">
        <v>23</v>
      </c>
    </row>
    <row r="6007" spans="1:11" ht="42" customHeight="1">
      <c r="A6007" s="2" t="s">
        <v>11906</v>
      </c>
      <c r="B6007" s="2" t="s">
        <v>11906</v>
      </c>
      <c r="C6007" s="2" t="s">
        <v>17</v>
      </c>
      <c r="D6007" s="2" t="s">
        <v>18</v>
      </c>
      <c r="E6007" s="5">
        <v>-27999</v>
      </c>
      <c r="F6007" s="3" t="s">
        <v>97</v>
      </c>
      <c r="G6007" s="3" t="s">
        <v>1257</v>
      </c>
      <c r="H6007" s="2" t="s">
        <v>21</v>
      </c>
      <c r="I6007" s="2" t="s">
        <v>11907</v>
      </c>
      <c r="J6007" s="3" t="str">
        <f>HYPERLINK("https://www.boe.es/gazeta/dias/1823/05/04/pdfs/GES-1823-24.pdf#page=2","Abrir facsímil")</f>
        <v>Abrir facsímil</v>
      </c>
      <c r="K6007" s="3" t="s">
        <v>23</v>
      </c>
    </row>
    <row r="6008" spans="1:11" ht="42" customHeight="1">
      <c r="A6008" s="2" t="s">
        <v>11908</v>
      </c>
      <c r="B6008" s="2" t="s">
        <v>11908</v>
      </c>
      <c r="C6008" s="2" t="s">
        <v>109</v>
      </c>
      <c r="D6008" s="2" t="s">
        <v>74</v>
      </c>
      <c r="E6008" s="5">
        <v>-28062</v>
      </c>
      <c r="F6008" s="3" t="s">
        <v>1357</v>
      </c>
      <c r="G6008" s="3" t="s">
        <v>39</v>
      </c>
      <c r="H6008" s="2" t="s">
        <v>21</v>
      </c>
      <c r="I6008" s="2" t="s">
        <v>11909</v>
      </c>
      <c r="J6008" s="3" t="str">
        <f>HYPERLINK("https://www.boe.es/gazeta/dias/1823/03/02/pdfs/GMD-1823-65.pdf#page=1","Abrir facsímil")</f>
        <v>Abrir facsímil</v>
      </c>
      <c r="K6008" s="3" t="s">
        <v>23</v>
      </c>
    </row>
    <row r="6009" spans="1:11" ht="42" customHeight="1">
      <c r="A6009" s="2" t="s">
        <v>11910</v>
      </c>
      <c r="B6009" s="2" t="s">
        <v>11911</v>
      </c>
      <c r="C6009" s="2" t="s">
        <v>17</v>
      </c>
      <c r="D6009" s="2" t="s">
        <v>18</v>
      </c>
      <c r="E6009" s="5">
        <v>-27818</v>
      </c>
      <c r="F6009" s="3" t="s">
        <v>1597</v>
      </c>
      <c r="G6009" s="3" t="s">
        <v>20</v>
      </c>
      <c r="H6009" s="2" t="s">
        <v>21</v>
      </c>
      <c r="I6009" s="2" t="s">
        <v>11912</v>
      </c>
      <c r="J6009" s="3" t="str">
        <f>HYPERLINK("https://www.boe.es/gazeta/dias/1823/11/01/pdfs/GMD-1823-1053.pdf#page=4","Abrir facsímil")</f>
        <v>Abrir facsímil</v>
      </c>
      <c r="K6009" s="3" t="s">
        <v>23</v>
      </c>
    </row>
    <row r="6010" spans="1:11" ht="42" customHeight="1">
      <c r="A6010" s="2" t="s">
        <v>11913</v>
      </c>
      <c r="B6010" s="2" t="s">
        <v>11914</v>
      </c>
      <c r="C6010" s="2" t="s">
        <v>79</v>
      </c>
      <c r="D6010" s="2" t="s">
        <v>74</v>
      </c>
      <c r="E6010" s="5">
        <v>-27785</v>
      </c>
      <c r="F6010" s="3" t="s">
        <v>1397</v>
      </c>
      <c r="G6010" s="3" t="s">
        <v>39</v>
      </c>
      <c r="H6010" s="2" t="s">
        <v>21</v>
      </c>
      <c r="I6010" s="2" t="s">
        <v>11915</v>
      </c>
      <c r="J6010" s="3" t="str">
        <f>HYPERLINK("https://www.boe.es/gazeta/dias/1823/12/04/pdfs/GMD-1823-1203.pdf#page=1","Abrir facsímil")</f>
        <v>Abrir facsímil</v>
      </c>
      <c r="K6010" s="3" t="s">
        <v>23</v>
      </c>
    </row>
    <row r="6011" spans="1:11" ht="42" customHeight="1">
      <c r="A6011" s="2" t="s">
        <v>11916</v>
      </c>
      <c r="B6011" s="2" t="s">
        <v>11917</v>
      </c>
      <c r="C6011" s="2" t="s">
        <v>79</v>
      </c>
      <c r="D6011" s="2" t="s">
        <v>74</v>
      </c>
      <c r="E6011" s="5">
        <v>-27902</v>
      </c>
      <c r="F6011" s="3" t="s">
        <v>259</v>
      </c>
      <c r="G6011" s="3" t="s">
        <v>39</v>
      </c>
      <c r="H6011" s="2" t="s">
        <v>28</v>
      </c>
      <c r="I6011" s="2" t="s">
        <v>11918</v>
      </c>
      <c r="J6011" s="3" t="str">
        <f>HYPERLINK("https://www.boe.es/gazeta/dias/1823/08/09/pdfs/GMD-1823-563.pdf#page=1","Abrir facsímil")</f>
        <v>Abrir facsímil</v>
      </c>
      <c r="K6011" s="3" t="s">
        <v>30</v>
      </c>
    </row>
    <row r="6012" spans="1:11" ht="42" customHeight="1">
      <c r="A6012" s="2" t="s">
        <v>11919</v>
      </c>
      <c r="B6012" s="2" t="s">
        <v>11920</v>
      </c>
      <c r="C6012" s="2" t="s">
        <v>79</v>
      </c>
      <c r="D6012" s="2" t="s">
        <v>74</v>
      </c>
      <c r="E6012" s="5">
        <v>-27902</v>
      </c>
      <c r="F6012" s="3" t="s">
        <v>259</v>
      </c>
      <c r="G6012" s="3" t="s">
        <v>39</v>
      </c>
      <c r="H6012" s="2" t="s">
        <v>28</v>
      </c>
      <c r="I6012" s="2" t="s">
        <v>11921</v>
      </c>
      <c r="J6012" s="3" t="str">
        <f>HYPERLINK("https://www.boe.es/gazeta/dias/1823/08/09/pdfs/GMD-1823-563.pdf#page=1","Abrir facsímil")</f>
        <v>Abrir facsímil</v>
      </c>
      <c r="K6012" s="3" t="s">
        <v>30</v>
      </c>
    </row>
    <row r="6013" spans="1:11" ht="42" customHeight="1">
      <c r="A6013" s="2" t="s">
        <v>11922</v>
      </c>
      <c r="B6013" s="2" t="s">
        <v>11923</v>
      </c>
      <c r="C6013" s="2" t="s">
        <v>17</v>
      </c>
      <c r="D6013" s="2" t="s">
        <v>18</v>
      </c>
      <c r="E6013" s="5">
        <v>-27827</v>
      </c>
      <c r="F6013" s="3" t="s">
        <v>531</v>
      </c>
      <c r="G6013" s="3" t="s">
        <v>48</v>
      </c>
      <c r="H6013" s="2" t="s">
        <v>28</v>
      </c>
      <c r="I6013" s="2" t="s">
        <v>11924</v>
      </c>
      <c r="J6013" s="3" t="str">
        <f>HYPERLINK("https://www.boe.es/gazeta/dias/1823/10/23/pdfs/GMD-1823-1013.pdf#page=3","Abrir facsímil")</f>
        <v>Abrir facsímil</v>
      </c>
      <c r="K6013" s="3" t="s">
        <v>30</v>
      </c>
    </row>
    <row r="6014" spans="1:11" ht="42" customHeight="1">
      <c r="A6014" s="2" t="s">
        <v>11925</v>
      </c>
      <c r="B6014" s="2" t="s">
        <v>11926</v>
      </c>
      <c r="C6014" s="2" t="s">
        <v>17</v>
      </c>
      <c r="D6014" s="2" t="s">
        <v>18</v>
      </c>
      <c r="E6014" s="5">
        <v>-27818</v>
      </c>
      <c r="F6014" s="3" t="s">
        <v>1597</v>
      </c>
      <c r="G6014" s="3" t="s">
        <v>20</v>
      </c>
      <c r="H6014" s="2" t="s">
        <v>21</v>
      </c>
      <c r="I6014" s="2" t="s">
        <v>11927</v>
      </c>
      <c r="J6014" s="3" t="str">
        <f>HYPERLINK("https://www.boe.es/gazeta/dias/1823/11/01/pdfs/GMD-1823-1053.pdf#page=4","Abrir facsímil")</f>
        <v>Abrir facsímil</v>
      </c>
      <c r="K6014" s="3" t="s">
        <v>23</v>
      </c>
    </row>
    <row r="6015" spans="1:11" ht="42" customHeight="1">
      <c r="A6015" s="2" t="s">
        <v>11928</v>
      </c>
      <c r="B6015" s="2" t="s">
        <v>11929</v>
      </c>
      <c r="C6015" s="2" t="s">
        <v>17</v>
      </c>
      <c r="D6015" s="2" t="s">
        <v>18</v>
      </c>
      <c r="E6015" s="5">
        <v>-27951</v>
      </c>
      <c r="F6015" s="3" t="s">
        <v>4670</v>
      </c>
      <c r="G6015" s="3" t="s">
        <v>20</v>
      </c>
      <c r="H6015" s="2" t="s">
        <v>21</v>
      </c>
      <c r="I6015" s="2" t="s">
        <v>11930</v>
      </c>
      <c r="J6015" s="3" t="str">
        <f>HYPERLINK("https://www.boe.es/gazeta/dias/1823/06/21/pdfs/GMD-1823-223.pdf#page=4","Abrir facsímil")</f>
        <v>Abrir facsímil</v>
      </c>
      <c r="K6015" s="3" t="s">
        <v>23</v>
      </c>
    </row>
    <row r="6016" spans="1:11" ht="42" customHeight="1">
      <c r="A6016" s="2" t="s">
        <v>11928</v>
      </c>
      <c r="B6016" s="2" t="s">
        <v>11929</v>
      </c>
      <c r="C6016" s="2" t="s">
        <v>17</v>
      </c>
      <c r="D6016" s="2" t="s">
        <v>18</v>
      </c>
      <c r="E6016" s="5">
        <v>-27829</v>
      </c>
      <c r="F6016" s="3" t="s">
        <v>228</v>
      </c>
      <c r="G6016" s="3" t="s">
        <v>20</v>
      </c>
      <c r="H6016" s="2" t="s">
        <v>21</v>
      </c>
      <c r="I6016" s="2" t="s">
        <v>11931</v>
      </c>
      <c r="J6016" s="3" t="str">
        <f>HYPERLINK("https://www.boe.es/gazeta/dias/1823/10/21/pdfs/GMD-1823-1003.pdf#page=4","Abrir facsímil")</f>
        <v>Abrir facsímil</v>
      </c>
      <c r="K6016" s="3" t="s">
        <v>23</v>
      </c>
    </row>
    <row r="6017" spans="1:11" ht="42" customHeight="1">
      <c r="A6017" s="2" t="s">
        <v>11928</v>
      </c>
      <c r="B6017" s="2" t="s">
        <v>11929</v>
      </c>
      <c r="C6017" s="2" t="s">
        <v>17</v>
      </c>
      <c r="D6017" s="2" t="s">
        <v>18</v>
      </c>
      <c r="E6017" s="5">
        <v>-27820</v>
      </c>
      <c r="F6017" s="3" t="s">
        <v>6283</v>
      </c>
      <c r="G6017" s="3" t="s">
        <v>20</v>
      </c>
      <c r="H6017" s="2" t="s">
        <v>21</v>
      </c>
      <c r="I6017" s="2" t="s">
        <v>11932</v>
      </c>
      <c r="J6017" s="3" t="str">
        <f>HYPERLINK("https://www.boe.es/gazeta/dias/1823/10/30/pdfs/GMD-1823-1043.pdf#page=4","Abrir facsímil")</f>
        <v>Abrir facsímil</v>
      </c>
      <c r="K6017" s="3" t="s">
        <v>23</v>
      </c>
    </row>
    <row r="6018" spans="1:11" ht="42" customHeight="1">
      <c r="A6018" s="2" t="s">
        <v>11928</v>
      </c>
      <c r="B6018" s="2" t="s">
        <v>11929</v>
      </c>
      <c r="C6018" s="2" t="s">
        <v>17</v>
      </c>
      <c r="D6018" s="2" t="s">
        <v>18</v>
      </c>
      <c r="E6018" s="5">
        <v>-27818</v>
      </c>
      <c r="F6018" s="3" t="s">
        <v>1597</v>
      </c>
      <c r="G6018" s="3" t="s">
        <v>20</v>
      </c>
      <c r="H6018" s="2" t="s">
        <v>21</v>
      </c>
      <c r="I6018" s="2" t="s">
        <v>11933</v>
      </c>
      <c r="J6018" s="3" t="str">
        <f>HYPERLINK("https://www.boe.es/gazeta/dias/1823/11/01/pdfs/GMD-1823-1053.pdf#page=4","Abrir facsímil")</f>
        <v>Abrir facsímil</v>
      </c>
      <c r="K6018" s="3" t="s">
        <v>23</v>
      </c>
    </row>
    <row r="6019" spans="1:11" ht="42" customHeight="1">
      <c r="A6019" s="2" t="s">
        <v>11934</v>
      </c>
      <c r="B6019" s="2" t="s">
        <v>11935</v>
      </c>
      <c r="C6019" s="2" t="s">
        <v>56</v>
      </c>
      <c r="D6019" s="2" t="s">
        <v>57</v>
      </c>
      <c r="E6019" s="5">
        <v>-27972</v>
      </c>
      <c r="F6019" s="3" t="s">
        <v>1515</v>
      </c>
      <c r="G6019" s="3" t="s">
        <v>39</v>
      </c>
      <c r="H6019" s="2" t="s">
        <v>21</v>
      </c>
      <c r="I6019" s="2" t="s">
        <v>11936</v>
      </c>
      <c r="J6019" s="3" t="str">
        <f>HYPERLINK("https://www.boe.es/gazeta/dias/1823/05/31/pdfs/GMD-1823-33.pdf#page=1","Abrir facsímil")</f>
        <v>Abrir facsímil</v>
      </c>
      <c r="K6019" s="3" t="s">
        <v>23</v>
      </c>
    </row>
    <row r="6020" spans="1:11" ht="42" customHeight="1">
      <c r="A6020" s="2" t="s">
        <v>11937</v>
      </c>
      <c r="B6020" s="2" t="s">
        <v>11937</v>
      </c>
      <c r="C6020" s="2" t="s">
        <v>17</v>
      </c>
      <c r="D6020" s="2" t="s">
        <v>18</v>
      </c>
      <c r="E6020" s="5">
        <v>-28032</v>
      </c>
      <c r="F6020" s="3" t="s">
        <v>668</v>
      </c>
      <c r="G6020" s="3" t="s">
        <v>48</v>
      </c>
      <c r="H6020" s="2" t="s">
        <v>21</v>
      </c>
      <c r="I6020" s="2" t="s">
        <v>11938</v>
      </c>
      <c r="J6020" s="3" t="str">
        <f>HYPERLINK("https://www.boe.es/gazeta/dias/1823/04/01/pdfs/GMD-1823-95.pdf#page=3","Abrir facsímil")</f>
        <v>Abrir facsímil</v>
      </c>
      <c r="K6020" s="3" t="s">
        <v>23</v>
      </c>
    </row>
    <row r="6021" spans="1:11" ht="42" customHeight="1">
      <c r="A6021" s="2" t="s">
        <v>11939</v>
      </c>
      <c r="B6021" s="2" t="s">
        <v>11939</v>
      </c>
      <c r="C6021" s="2" t="s">
        <v>17</v>
      </c>
      <c r="D6021" s="2" t="s">
        <v>18</v>
      </c>
      <c r="E6021" s="5">
        <v>-27948</v>
      </c>
      <c r="F6021" s="3" t="s">
        <v>3752</v>
      </c>
      <c r="G6021" s="3" t="s">
        <v>39</v>
      </c>
      <c r="H6021" s="2" t="s">
        <v>21</v>
      </c>
      <c r="I6021" s="2" t="s">
        <v>11940</v>
      </c>
      <c r="J6021" s="3" t="str">
        <f>HYPERLINK("https://www.boe.es/gazeta/dias/1823/06/24/pdfs/GMD-1823-263.pdf#page=1","Abrir facsímil")</f>
        <v>Abrir facsímil</v>
      </c>
      <c r="K6021" s="3" t="s">
        <v>23</v>
      </c>
    </row>
    <row r="6022" spans="1:11" ht="42" customHeight="1">
      <c r="A6022" s="2" t="s">
        <v>11941</v>
      </c>
      <c r="B6022" s="2" t="s">
        <v>11942</v>
      </c>
      <c r="C6022" s="2" t="s">
        <v>17</v>
      </c>
      <c r="D6022" s="2" t="s">
        <v>18</v>
      </c>
      <c r="E6022" s="5">
        <v>-27822</v>
      </c>
      <c r="F6022" s="3" t="s">
        <v>992</v>
      </c>
      <c r="G6022" s="3" t="s">
        <v>48</v>
      </c>
      <c r="H6022" s="2" t="s">
        <v>21</v>
      </c>
      <c r="I6022" s="2" t="s">
        <v>11943</v>
      </c>
      <c r="J6022" s="3" t="str">
        <f>HYPERLINK("https://www.boe.es/gazeta/dias/1823/10/28/pdfs/GMD-1823-1033.pdf#page=3","Abrir facsímil")</f>
        <v>Abrir facsímil</v>
      </c>
      <c r="K6022" s="3" t="s">
        <v>23</v>
      </c>
    </row>
    <row r="6023" spans="1:11" ht="42" customHeight="1">
      <c r="A6023" s="2" t="s">
        <v>11944</v>
      </c>
      <c r="B6023" s="2" t="s">
        <v>11944</v>
      </c>
      <c r="C6023" s="2" t="s">
        <v>17</v>
      </c>
      <c r="D6023" s="2" t="s">
        <v>18</v>
      </c>
      <c r="E6023" s="5">
        <v>-28039</v>
      </c>
      <c r="F6023" s="3" t="s">
        <v>126</v>
      </c>
      <c r="G6023" s="3" t="s">
        <v>39</v>
      </c>
      <c r="H6023" s="2" t="s">
        <v>21</v>
      </c>
      <c r="I6023" s="2" t="s">
        <v>11945</v>
      </c>
      <c r="J6023" s="3" t="str">
        <f>HYPERLINK("https://www.boe.es/gazeta/dias/1823/03/25/pdfs/GMD-1823-88.pdf#page=1","Abrir facsímil")</f>
        <v>Abrir facsímil</v>
      </c>
      <c r="K6023" s="3" t="s">
        <v>23</v>
      </c>
    </row>
    <row r="6024" spans="1:11" ht="42" customHeight="1">
      <c r="A6024" s="2" t="s">
        <v>11946</v>
      </c>
      <c r="B6024" s="2" t="s">
        <v>11946</v>
      </c>
      <c r="C6024" s="2" t="s">
        <v>109</v>
      </c>
      <c r="D6024" s="2" t="s">
        <v>74</v>
      </c>
      <c r="E6024" s="5">
        <v>-27951</v>
      </c>
      <c r="F6024" s="3" t="s">
        <v>548</v>
      </c>
      <c r="G6024" s="3" t="s">
        <v>39</v>
      </c>
      <c r="H6024" s="2" t="s">
        <v>21</v>
      </c>
      <c r="I6024" s="2" t="s">
        <v>11947</v>
      </c>
      <c r="J6024" s="3" t="str">
        <f>HYPERLINK("https://www.boe.es/gazeta/dias/1823/06/21/pdfs/GES-1823-69.pdf#page=1","Abrir facsímil")</f>
        <v>Abrir facsímil</v>
      </c>
      <c r="K6024" s="3" t="s">
        <v>23</v>
      </c>
    </row>
    <row r="6025" spans="1:11" ht="42" customHeight="1">
      <c r="A6025" s="2" t="s">
        <v>11948</v>
      </c>
      <c r="B6025" s="2" t="s">
        <v>11948</v>
      </c>
      <c r="C6025" s="2" t="s">
        <v>17</v>
      </c>
      <c r="D6025" s="2" t="s">
        <v>18</v>
      </c>
      <c r="E6025" s="5">
        <v>-27990</v>
      </c>
      <c r="F6025" s="3" t="s">
        <v>330</v>
      </c>
      <c r="G6025" s="3" t="s">
        <v>39</v>
      </c>
      <c r="H6025" s="2" t="s">
        <v>21</v>
      </c>
      <c r="I6025" s="2" t="s">
        <v>11949</v>
      </c>
      <c r="J6025" s="3" t="str">
        <f>HYPERLINK("https://www.boe.es/gazeta/dias/1823/05/13/pdfs/GMD-1823-132.pdf#page=1","Abrir facsímil")</f>
        <v>Abrir facsímil</v>
      </c>
      <c r="K6025" s="3" t="s">
        <v>23</v>
      </c>
    </row>
    <row r="6026" spans="1:11" ht="42" customHeight="1">
      <c r="A6026" s="2" t="s">
        <v>11950</v>
      </c>
      <c r="B6026" s="2" t="s">
        <v>11951</v>
      </c>
      <c r="C6026" s="2" t="s">
        <v>17</v>
      </c>
      <c r="D6026" s="2" t="s">
        <v>18</v>
      </c>
      <c r="E6026" s="5">
        <v>-28065</v>
      </c>
      <c r="F6026" s="3" t="s">
        <v>686</v>
      </c>
      <c r="G6026" s="3" t="s">
        <v>20</v>
      </c>
      <c r="H6026" s="2" t="s">
        <v>21</v>
      </c>
      <c r="I6026" s="2" t="s">
        <v>11952</v>
      </c>
      <c r="J6026" s="3" t="str">
        <f>HYPERLINK("https://www.boe.es/gazeta/dias/1823/02/27/pdfs/GMD-1823-61.pdf#page=4","Abrir facsímil")</f>
        <v>Abrir facsímil</v>
      </c>
      <c r="K6026" s="3" t="s">
        <v>23</v>
      </c>
    </row>
    <row r="6027" spans="1:11" ht="42" customHeight="1">
      <c r="A6027" s="2" t="s">
        <v>11953</v>
      </c>
      <c r="B6027" s="2" t="s">
        <v>11953</v>
      </c>
      <c r="C6027" s="2" t="s">
        <v>17</v>
      </c>
      <c r="D6027" s="2" t="s">
        <v>18</v>
      </c>
      <c r="E6027" s="5">
        <v>-27864</v>
      </c>
      <c r="F6027" s="3" t="s">
        <v>1301</v>
      </c>
      <c r="G6027" s="3" t="s">
        <v>27</v>
      </c>
      <c r="H6027" s="2" t="s">
        <v>21</v>
      </c>
      <c r="I6027" s="2" t="s">
        <v>11954</v>
      </c>
      <c r="J6027" s="3" t="str">
        <f>HYPERLINK("https://www.boe.es/gazeta/dias/1823/09/16/pdfs/GES-1823-160.pdf#page=2","Abrir facsímil")</f>
        <v>Abrir facsímil</v>
      </c>
      <c r="K6027" s="3" t="s">
        <v>23</v>
      </c>
    </row>
    <row r="6028" spans="1:11" ht="42" customHeight="1">
      <c r="A6028" s="2" t="s">
        <v>11955</v>
      </c>
      <c r="B6028" s="2" t="s">
        <v>11956</v>
      </c>
      <c r="C6028" s="2" t="s">
        <v>17</v>
      </c>
      <c r="D6028" s="2" t="s">
        <v>18</v>
      </c>
      <c r="E6028" s="5">
        <v>-28061</v>
      </c>
      <c r="F6028" s="3" t="s">
        <v>704</v>
      </c>
      <c r="G6028" s="3" t="s">
        <v>59</v>
      </c>
      <c r="H6028" s="2" t="s">
        <v>21</v>
      </c>
      <c r="I6028" s="2" t="s">
        <v>11957</v>
      </c>
      <c r="J6028" s="3" t="str">
        <f>HYPERLINK("https://www.boe.es/gazeta/dias/1823/03/03/pdfs/GMD-1823-66.pdf#page=6","Abrir facsímil")</f>
        <v>Abrir facsímil</v>
      </c>
      <c r="K6028" s="3" t="s">
        <v>23</v>
      </c>
    </row>
    <row r="6029" spans="1:11" ht="42" customHeight="1">
      <c r="A6029" s="2" t="s">
        <v>11958</v>
      </c>
      <c r="B6029" s="2" t="s">
        <v>11959</v>
      </c>
      <c r="C6029" s="2" t="s">
        <v>17</v>
      </c>
      <c r="D6029" s="2" t="s">
        <v>18</v>
      </c>
      <c r="E6029" s="5">
        <v>-28037</v>
      </c>
      <c r="F6029" s="3" t="s">
        <v>192</v>
      </c>
      <c r="G6029" s="3" t="s">
        <v>48</v>
      </c>
      <c r="H6029" s="2" t="s">
        <v>21</v>
      </c>
      <c r="I6029" s="2" t="s">
        <v>11960</v>
      </c>
      <c r="J6029" s="3" t="str">
        <f>HYPERLINK("https://www.boe.es/gazeta/dias/1823/03/27/pdfs/GMD-1823-90.pdf#page=3","Abrir facsímil")</f>
        <v>Abrir facsímil</v>
      </c>
      <c r="K6029" s="3" t="s">
        <v>23</v>
      </c>
    </row>
    <row r="6030" spans="1:11" ht="42" customHeight="1">
      <c r="A6030" s="2" t="s">
        <v>11961</v>
      </c>
      <c r="B6030" s="2" t="s">
        <v>11962</v>
      </c>
      <c r="C6030" s="2" t="s">
        <v>79</v>
      </c>
      <c r="D6030" s="2" t="s">
        <v>74</v>
      </c>
      <c r="E6030" s="5">
        <v>-28021</v>
      </c>
      <c r="F6030" s="3" t="s">
        <v>1054</v>
      </c>
      <c r="G6030" s="3" t="s">
        <v>1055</v>
      </c>
      <c r="H6030" s="2" t="s">
        <v>21</v>
      </c>
      <c r="I6030" s="2" t="s">
        <v>11963</v>
      </c>
      <c r="J6030" s="3" t="str">
        <f>HYPERLINK("https://www.boe.es/gazeta/dias/1823/04/12/pdfs/GMD-1823-107.pdf#page=4","Abrir facsímil")</f>
        <v>Abrir facsímil</v>
      </c>
      <c r="K6030" s="3" t="s">
        <v>23</v>
      </c>
    </row>
    <row r="6031" spans="1:11" ht="42" customHeight="1">
      <c r="A6031" s="2" t="s">
        <v>11961</v>
      </c>
      <c r="B6031" s="2" t="s">
        <v>11962</v>
      </c>
      <c r="C6031" s="2" t="s">
        <v>325</v>
      </c>
      <c r="D6031" s="2" t="s">
        <v>74</v>
      </c>
      <c r="E6031" s="5">
        <v>-28013</v>
      </c>
      <c r="F6031" s="3" t="s">
        <v>105</v>
      </c>
      <c r="G6031" s="3" t="s">
        <v>20</v>
      </c>
      <c r="H6031" s="2" t="s">
        <v>21</v>
      </c>
      <c r="I6031" s="2" t="s">
        <v>11964</v>
      </c>
      <c r="J6031" s="3" t="str">
        <f>HYPERLINK("https://www.boe.es/gazeta/dias/1823/04/20/pdfs/GMD-1823-32.pdf#page=4","Abrir facsímil")</f>
        <v>Abrir facsímil</v>
      </c>
      <c r="K6031" s="3" t="s">
        <v>23</v>
      </c>
    </row>
    <row r="6032" spans="1:11" ht="42" customHeight="1">
      <c r="A6032" s="2" t="s">
        <v>11965</v>
      </c>
      <c r="B6032" s="2" t="s">
        <v>11966</v>
      </c>
      <c r="C6032" s="2" t="s">
        <v>56</v>
      </c>
      <c r="D6032" s="2" t="s">
        <v>57</v>
      </c>
      <c r="E6032" s="5">
        <v>-28115</v>
      </c>
      <c r="F6032" s="3" t="s">
        <v>579</v>
      </c>
      <c r="G6032" s="3" t="s">
        <v>1458</v>
      </c>
      <c r="H6032" s="2" t="s">
        <v>21</v>
      </c>
      <c r="I6032" s="2" t="s">
        <v>11967</v>
      </c>
      <c r="J6032" s="3" t="str">
        <f>HYPERLINK("https://www.boe.es/gazeta/dias/1823/01/08/pdfs/GMD-1823-8.pdf#page=4","Abrir facsímil")</f>
        <v>Abrir facsímil</v>
      </c>
      <c r="K6032" s="3" t="s">
        <v>23</v>
      </c>
    </row>
    <row r="6033" spans="1:11" ht="42" customHeight="1">
      <c r="A6033" s="2" t="s">
        <v>11968</v>
      </c>
      <c r="B6033" s="2" t="s">
        <v>11968</v>
      </c>
      <c r="C6033" s="2" t="s">
        <v>17</v>
      </c>
      <c r="D6033" s="2" t="s">
        <v>18</v>
      </c>
      <c r="E6033" s="5">
        <v>-27855</v>
      </c>
      <c r="F6033" s="3" t="s">
        <v>380</v>
      </c>
      <c r="G6033" s="3" t="s">
        <v>27</v>
      </c>
      <c r="H6033" s="2" t="s">
        <v>21</v>
      </c>
      <c r="I6033" s="2" t="s">
        <v>11969</v>
      </c>
      <c r="J6033" s="3" t="str">
        <f>HYPERLINK("https://www.boe.es/gazeta/dias/1823/09/25/pdfs/GMD-1823-853.pdf#page=2","Abrir facsímil")</f>
        <v>Abrir facsímil</v>
      </c>
      <c r="K6033" s="3" t="s">
        <v>23</v>
      </c>
    </row>
    <row r="6034" spans="1:11" ht="42" customHeight="1">
      <c r="A6034" s="2" t="s">
        <v>11970</v>
      </c>
      <c r="B6034" s="2" t="s">
        <v>11970</v>
      </c>
      <c r="C6034" s="2" t="s">
        <v>73</v>
      </c>
      <c r="D6034" s="2" t="s">
        <v>74</v>
      </c>
      <c r="E6034" s="5">
        <v>-27974</v>
      </c>
      <c r="F6034" s="3" t="s">
        <v>618</v>
      </c>
      <c r="G6034" s="3" t="s">
        <v>59</v>
      </c>
      <c r="H6034" s="2" t="s">
        <v>21</v>
      </c>
      <c r="I6034" s="2" t="s">
        <v>11971</v>
      </c>
      <c r="J6034" s="3" t="str">
        <f>HYPERLINK("https://www.boe.es/gazeta/dias/1823/05/29/pdfs/GES-1823-52.pdf#page=6","Abrir facsímil")</f>
        <v>Abrir facsímil</v>
      </c>
      <c r="K6034" s="3" t="s">
        <v>23</v>
      </c>
    </row>
    <row r="6035" spans="1:11" ht="42" customHeight="1">
      <c r="A6035" s="2" t="s">
        <v>11972</v>
      </c>
      <c r="B6035" s="2" t="s">
        <v>11973</v>
      </c>
      <c r="C6035" s="2" t="s">
        <v>79</v>
      </c>
      <c r="D6035" s="2" t="s">
        <v>74</v>
      </c>
      <c r="E6035" s="5">
        <v>-28082</v>
      </c>
      <c r="F6035" s="3" t="s">
        <v>468</v>
      </c>
      <c r="G6035" s="3" t="s">
        <v>59</v>
      </c>
      <c r="H6035" s="2" t="s">
        <v>21</v>
      </c>
      <c r="I6035" s="2" t="s">
        <v>11974</v>
      </c>
      <c r="J6035" s="3" t="str">
        <f>HYPERLINK("https://www.boe.es/gazeta/dias/1823/02/10/pdfs/GMD-1823-44.pdf#page=6","Abrir facsímil")</f>
        <v>Abrir facsímil</v>
      </c>
      <c r="K6035" s="3" t="s">
        <v>23</v>
      </c>
    </row>
    <row r="6036" spans="1:11" ht="42" customHeight="1">
      <c r="A6036" s="2" t="s">
        <v>11975</v>
      </c>
      <c r="B6036" s="2" t="s">
        <v>11976</v>
      </c>
      <c r="C6036" s="2" t="s">
        <v>17</v>
      </c>
      <c r="D6036" s="2" t="s">
        <v>117</v>
      </c>
      <c r="E6036" s="5">
        <v>-27975</v>
      </c>
      <c r="F6036" s="3" t="s">
        <v>1922</v>
      </c>
      <c r="G6036" s="3" t="s">
        <v>39</v>
      </c>
      <c r="H6036" s="2" t="s">
        <v>21</v>
      </c>
      <c r="I6036" s="2" t="s">
        <v>11977</v>
      </c>
      <c r="J6036" s="3" t="str">
        <f>HYPERLINK("https://www.boe.es/gazeta/dias/1823/05/28/pdfs/GES-1823-51E.pdf#page=1","Abrir facsímil")</f>
        <v>Abrir facsímil</v>
      </c>
      <c r="K6036" s="3" t="s">
        <v>23</v>
      </c>
    </row>
    <row r="6037" spans="1:11" ht="42" customHeight="1">
      <c r="A6037" s="2" t="s">
        <v>11978</v>
      </c>
      <c r="B6037" s="2" t="s">
        <v>11979</v>
      </c>
      <c r="C6037" s="2" t="s">
        <v>17</v>
      </c>
      <c r="D6037" s="2" t="s">
        <v>18</v>
      </c>
      <c r="E6037" s="5">
        <v>-28002</v>
      </c>
      <c r="F6037" s="3" t="s">
        <v>315</v>
      </c>
      <c r="G6037" s="3" t="s">
        <v>34</v>
      </c>
      <c r="H6037" s="2" t="s">
        <v>21</v>
      </c>
      <c r="I6037" s="2" t="s">
        <v>11980</v>
      </c>
      <c r="J6037" s="3" t="str">
        <f>HYPERLINK("https://www.boe.es/gazeta/dias/1823/05/01/pdfs/GES-1823-21.pdf#page=5","Abrir facsímil")</f>
        <v>Abrir facsímil</v>
      </c>
      <c r="K6037" s="3" t="s">
        <v>23</v>
      </c>
    </row>
    <row r="6038" spans="1:11" ht="42" customHeight="1">
      <c r="A6038" s="2" t="s">
        <v>11981</v>
      </c>
      <c r="B6038" s="2" t="s">
        <v>11982</v>
      </c>
      <c r="C6038" s="2" t="s">
        <v>293</v>
      </c>
      <c r="D6038" s="2" t="s">
        <v>74</v>
      </c>
      <c r="E6038" s="5">
        <v>-28114</v>
      </c>
      <c r="F6038" s="3" t="s">
        <v>153</v>
      </c>
      <c r="G6038" s="3" t="s">
        <v>59</v>
      </c>
      <c r="H6038" s="2" t="s">
        <v>21</v>
      </c>
      <c r="I6038" s="2" t="s">
        <v>11983</v>
      </c>
      <c r="J6038" s="3" t="str">
        <f>HYPERLINK("https://www.boe.es/gazeta/dias/1823/01/09/pdfs/GMD-1823-9.pdf#page=6","Abrir facsímil")</f>
        <v>Abrir facsímil</v>
      </c>
      <c r="K6038" s="3" t="s">
        <v>23</v>
      </c>
    </row>
    <row r="6039" spans="1:11" ht="42" customHeight="1">
      <c r="A6039" s="2" t="s">
        <v>11984</v>
      </c>
      <c r="B6039" s="2" t="s">
        <v>11984</v>
      </c>
      <c r="C6039" s="2" t="s">
        <v>79</v>
      </c>
      <c r="D6039" s="2" t="s">
        <v>74</v>
      </c>
      <c r="E6039" s="5">
        <v>-27867</v>
      </c>
      <c r="F6039" s="3" t="s">
        <v>1585</v>
      </c>
      <c r="G6039" s="3" t="s">
        <v>48</v>
      </c>
      <c r="H6039" s="2" t="s">
        <v>21</v>
      </c>
      <c r="I6039" s="2" t="s">
        <v>11985</v>
      </c>
      <c r="J6039" s="3" t="str">
        <f>HYPERLINK("https://www.boe.es/gazeta/dias/1823/09/13/pdfs/GMD-1823-773.pdf#page=3","Abrir facsímil")</f>
        <v>Abrir facsímil</v>
      </c>
      <c r="K6039" s="3" t="s">
        <v>23</v>
      </c>
    </row>
    <row r="6040" spans="1:11" ht="42" customHeight="1">
      <c r="A6040" s="2" t="s">
        <v>11986</v>
      </c>
      <c r="B6040" s="2" t="s">
        <v>11986</v>
      </c>
      <c r="C6040" s="2" t="s">
        <v>17</v>
      </c>
      <c r="D6040" s="2" t="s">
        <v>18</v>
      </c>
      <c r="E6040" s="5">
        <v>-28105</v>
      </c>
      <c r="F6040" s="3" t="s">
        <v>502</v>
      </c>
      <c r="G6040" s="3" t="s">
        <v>39</v>
      </c>
      <c r="H6040" s="2" t="s">
        <v>21</v>
      </c>
      <c r="I6040" s="2" t="s">
        <v>11987</v>
      </c>
      <c r="J6040" s="3" t="str">
        <f>HYPERLINK("https://www.boe.es/gazeta/dias/1823/01/18/pdfs/GMD-1823-18.pdf#page=1","Abrir facsímil")</f>
        <v>Abrir facsímil</v>
      </c>
      <c r="K6040" s="3" t="s">
        <v>23</v>
      </c>
    </row>
    <row r="6041" spans="1:11" ht="42" customHeight="1">
      <c r="A6041" s="2" t="s">
        <v>11988</v>
      </c>
      <c r="B6041" s="2" t="s">
        <v>11988</v>
      </c>
      <c r="C6041" s="2" t="s">
        <v>17</v>
      </c>
      <c r="D6041" s="2" t="s">
        <v>18</v>
      </c>
      <c r="E6041" s="5">
        <v>-27931</v>
      </c>
      <c r="F6041" s="3" t="s">
        <v>1833</v>
      </c>
      <c r="G6041" s="3" t="s">
        <v>48</v>
      </c>
      <c r="H6041" s="2" t="s">
        <v>21</v>
      </c>
      <c r="I6041" s="2" t="s">
        <v>11989</v>
      </c>
      <c r="J6041" s="3" t="str">
        <f>HYPERLINK("https://www.boe.es/gazeta/dias/1823/07/11/pdfs/GES-1823-91.pdf#page=3","Abrir facsímil")</f>
        <v>Abrir facsímil</v>
      </c>
      <c r="K6041" s="3" t="s">
        <v>23</v>
      </c>
    </row>
    <row r="6042" spans="1:11" ht="42" customHeight="1">
      <c r="A6042" s="2" t="s">
        <v>11990</v>
      </c>
      <c r="B6042" s="2" t="s">
        <v>11991</v>
      </c>
      <c r="C6042" s="2" t="s">
        <v>109</v>
      </c>
      <c r="D6042" s="2" t="s">
        <v>74</v>
      </c>
      <c r="E6042" s="5">
        <v>-28031</v>
      </c>
      <c r="F6042" s="3" t="s">
        <v>1211</v>
      </c>
      <c r="G6042" s="3" t="s">
        <v>20</v>
      </c>
      <c r="H6042" s="2" t="s">
        <v>21</v>
      </c>
      <c r="I6042" s="2" t="s">
        <v>11992</v>
      </c>
      <c r="J6042" s="3" t="str">
        <f>HYPERLINK("https://www.boe.es/gazeta/dias/1823/04/02/pdfs/GMD-1823-96.pdf#page=4","Abrir facsímil")</f>
        <v>Abrir facsímil</v>
      </c>
      <c r="K6042" s="3" t="s">
        <v>23</v>
      </c>
    </row>
    <row r="6043" spans="1:11" ht="42" customHeight="1">
      <c r="A6043" s="2" t="s">
        <v>11993</v>
      </c>
      <c r="B6043" s="2" t="s">
        <v>11994</v>
      </c>
      <c r="C6043" s="2" t="s">
        <v>17</v>
      </c>
      <c r="D6043" s="2" t="s">
        <v>18</v>
      </c>
      <c r="E6043" s="5">
        <v>-27906</v>
      </c>
      <c r="F6043" s="3" t="s">
        <v>241</v>
      </c>
      <c r="G6043" s="3" t="s">
        <v>2212</v>
      </c>
      <c r="H6043" s="2" t="s">
        <v>28</v>
      </c>
      <c r="I6043" s="2" t="s">
        <v>11995</v>
      </c>
      <c r="J6043" s="3" t="str">
        <f>HYPERLINK("https://www.boe.es/gazeta/dias/1823/08/05/pdfs/GES-1823-117.pdf#page=2","Abrir facsímil")</f>
        <v>Abrir facsímil</v>
      </c>
      <c r="K6043" s="3" t="s">
        <v>30</v>
      </c>
    </row>
    <row r="6044" spans="1:11" ht="42" customHeight="1">
      <c r="A6044" s="2" t="s">
        <v>11996</v>
      </c>
      <c r="B6044" s="2" t="s">
        <v>11997</v>
      </c>
      <c r="C6044" s="2" t="s">
        <v>17</v>
      </c>
      <c r="D6044" s="2" t="s">
        <v>18</v>
      </c>
      <c r="E6044" s="5">
        <v>-27913</v>
      </c>
      <c r="F6044" s="3" t="s">
        <v>829</v>
      </c>
      <c r="G6044" s="3" t="s">
        <v>34</v>
      </c>
      <c r="H6044" s="2" t="s">
        <v>21</v>
      </c>
      <c r="I6044" s="2" t="s">
        <v>11998</v>
      </c>
      <c r="J6044" s="3" t="str">
        <f>HYPERLINK("https://www.boe.es/gazeta/dias/1823/07/29/pdfs/GMD-1823-483.pdf#page=5","Abrir facsímil")</f>
        <v>Abrir facsímil</v>
      </c>
      <c r="K6044" s="3" t="s">
        <v>23</v>
      </c>
    </row>
    <row r="6045" spans="1:11" ht="42" customHeight="1">
      <c r="A6045" s="2" t="s">
        <v>11999</v>
      </c>
      <c r="B6045" s="2" t="s">
        <v>11999</v>
      </c>
      <c r="C6045" s="2" t="s">
        <v>79</v>
      </c>
      <c r="D6045" s="2" t="s">
        <v>74</v>
      </c>
      <c r="E6045" s="5">
        <v>-28090</v>
      </c>
      <c r="F6045" s="3" t="s">
        <v>174</v>
      </c>
      <c r="G6045" s="3" t="s">
        <v>1103</v>
      </c>
      <c r="H6045" s="2" t="s">
        <v>21</v>
      </c>
      <c r="I6045" s="2" t="s">
        <v>12000</v>
      </c>
      <c r="J6045" s="3" t="str">
        <f>HYPERLINK("https://www.boe.es/gazeta/dias/1823/02/02/pdfs/GMD-1823-35.pdf#page=2","Abrir facsímil")</f>
        <v>Abrir facsímil</v>
      </c>
      <c r="K6045" s="3" t="s">
        <v>23</v>
      </c>
    </row>
    <row r="6046" spans="1:11" ht="42" customHeight="1">
      <c r="A6046" s="2" t="s">
        <v>12001</v>
      </c>
      <c r="B6046" s="2" t="s">
        <v>12001</v>
      </c>
      <c r="C6046" s="2" t="s">
        <v>84</v>
      </c>
      <c r="D6046" s="2" t="s">
        <v>74</v>
      </c>
      <c r="E6046" s="5">
        <v>-28090</v>
      </c>
      <c r="F6046" s="3" t="s">
        <v>174</v>
      </c>
      <c r="G6046" s="3" t="s">
        <v>48</v>
      </c>
      <c r="H6046" s="2" t="s">
        <v>21</v>
      </c>
      <c r="I6046" s="2" t="s">
        <v>12002</v>
      </c>
      <c r="J6046" s="3" t="str">
        <f>HYPERLINK("https://www.boe.es/gazeta/dias/1823/02/02/pdfs/GMD-1823-35.pdf#page=3","Abrir facsímil")</f>
        <v>Abrir facsímil</v>
      </c>
      <c r="K6046" s="3" t="s">
        <v>23</v>
      </c>
    </row>
    <row r="6047" spans="1:11" ht="42" customHeight="1">
      <c r="A6047" s="2" t="s">
        <v>12001</v>
      </c>
      <c r="B6047" s="2" t="s">
        <v>12001</v>
      </c>
      <c r="C6047" s="2" t="s">
        <v>17</v>
      </c>
      <c r="D6047" s="2" t="s">
        <v>18</v>
      </c>
      <c r="E6047" s="5">
        <v>-27995</v>
      </c>
      <c r="F6047" s="3" t="s">
        <v>320</v>
      </c>
      <c r="G6047" s="3" t="s">
        <v>321</v>
      </c>
      <c r="H6047" s="2" t="s">
        <v>21</v>
      </c>
      <c r="I6047" s="2" t="s">
        <v>12003</v>
      </c>
      <c r="J6047" s="3" t="str">
        <f>HYPERLINK("https://www.boe.es/gazeta/dias/1823/05/08/pdfs/GES-1823-28.pdf#page=3","Abrir facsímil")</f>
        <v>Abrir facsímil</v>
      </c>
      <c r="K6047" s="3" t="s">
        <v>23</v>
      </c>
    </row>
    <row r="6048" spans="1:11" ht="42" customHeight="1">
      <c r="A6048" s="2" t="s">
        <v>12001</v>
      </c>
      <c r="B6048" s="2" t="s">
        <v>12001</v>
      </c>
      <c r="C6048" s="2" t="s">
        <v>325</v>
      </c>
      <c r="D6048" s="2" t="s">
        <v>74</v>
      </c>
      <c r="E6048" s="5">
        <v>-27962</v>
      </c>
      <c r="F6048" s="3" t="s">
        <v>594</v>
      </c>
      <c r="G6048" s="3" t="s">
        <v>39</v>
      </c>
      <c r="H6048" s="2" t="s">
        <v>21</v>
      </c>
      <c r="I6048" s="2" t="s">
        <v>12004</v>
      </c>
      <c r="J6048" s="3" t="str">
        <f>HYPERLINK("https://www.boe.es/gazeta/dias/1823/06/10/pdfs/GES-1823-64.pdf#page=1","Abrir facsímil")</f>
        <v>Abrir facsímil</v>
      </c>
      <c r="K6048" s="3" t="s">
        <v>23</v>
      </c>
    </row>
    <row r="6049" spans="1:11" ht="42" customHeight="1">
      <c r="A6049" s="2" t="s">
        <v>12005</v>
      </c>
      <c r="B6049" s="2" t="s">
        <v>12006</v>
      </c>
      <c r="C6049" s="2" t="s">
        <v>56</v>
      </c>
      <c r="D6049" s="2" t="s">
        <v>57</v>
      </c>
      <c r="E6049" s="5">
        <v>-27995</v>
      </c>
      <c r="F6049" s="3" t="s">
        <v>320</v>
      </c>
      <c r="G6049" s="3" t="s">
        <v>321</v>
      </c>
      <c r="H6049" s="2" t="s">
        <v>21</v>
      </c>
      <c r="I6049" s="2" t="s">
        <v>12007</v>
      </c>
      <c r="J6049" s="3" t="str">
        <f>HYPERLINK("https://www.boe.es/gazeta/dias/1823/05/08/pdfs/GES-1823-28.pdf#page=3","Abrir facsímil")</f>
        <v>Abrir facsímil</v>
      </c>
      <c r="K6049" s="3" t="s">
        <v>23</v>
      </c>
    </row>
    <row r="6050" spans="1:11" ht="42" customHeight="1">
      <c r="A6050" s="2" t="s">
        <v>12005</v>
      </c>
      <c r="B6050" s="2" t="s">
        <v>12006</v>
      </c>
      <c r="C6050" s="2" t="s">
        <v>56</v>
      </c>
      <c r="D6050" s="2" t="s">
        <v>57</v>
      </c>
      <c r="E6050" s="5">
        <v>-27988</v>
      </c>
      <c r="F6050" s="3" t="s">
        <v>692</v>
      </c>
      <c r="G6050" s="3" t="s">
        <v>27</v>
      </c>
      <c r="H6050" s="2" t="s">
        <v>21</v>
      </c>
      <c r="I6050" s="2" t="s">
        <v>12008</v>
      </c>
      <c r="J6050" s="3" t="str">
        <f>HYPERLINK("https://www.boe.es/gazeta/dias/1823/05/15/pdfs/GES-1823-35.pdf#page=2","Abrir facsímil")</f>
        <v>Abrir facsímil</v>
      </c>
      <c r="K6050" s="3" t="s">
        <v>23</v>
      </c>
    </row>
    <row r="6051" spans="1:11" ht="42" customHeight="1">
      <c r="A6051" s="2" t="s">
        <v>12005</v>
      </c>
      <c r="B6051" s="2" t="s">
        <v>12006</v>
      </c>
      <c r="C6051" s="2" t="s">
        <v>17</v>
      </c>
      <c r="D6051" s="2" t="s">
        <v>18</v>
      </c>
      <c r="E6051" s="5">
        <v>-27962</v>
      </c>
      <c r="F6051" s="3" t="s">
        <v>594</v>
      </c>
      <c r="G6051" s="3" t="s">
        <v>39</v>
      </c>
      <c r="H6051" s="2" t="s">
        <v>21</v>
      </c>
      <c r="I6051" s="2" t="s">
        <v>12009</v>
      </c>
      <c r="J6051" s="3" t="str">
        <f>HYPERLINK("https://www.boe.es/gazeta/dias/1823/06/10/pdfs/GES-1823-64.pdf#page=1","Abrir facsímil")</f>
        <v>Abrir facsímil</v>
      </c>
      <c r="K6051" s="3" t="s">
        <v>23</v>
      </c>
    </row>
    <row r="6052" spans="1:11" ht="42" customHeight="1">
      <c r="A6052" s="2" t="s">
        <v>12010</v>
      </c>
      <c r="B6052" s="2" t="s">
        <v>12011</v>
      </c>
      <c r="C6052" s="2" t="s">
        <v>79</v>
      </c>
      <c r="D6052" s="2" t="s">
        <v>74</v>
      </c>
      <c r="E6052" s="5">
        <v>-27886</v>
      </c>
      <c r="F6052" s="3" t="s">
        <v>1779</v>
      </c>
      <c r="G6052" s="3" t="s">
        <v>39</v>
      </c>
      <c r="H6052" s="2" t="s">
        <v>21</v>
      </c>
      <c r="I6052" s="2" t="s">
        <v>12012</v>
      </c>
      <c r="J6052" s="3" t="str">
        <f>HYPERLINK("https://www.boe.es/gazeta/dias/1823/08/25/pdfs/GES-1823-138.pdf#page=1","Abrir facsímil")</f>
        <v>Abrir facsímil</v>
      </c>
      <c r="K6052" s="3" t="s">
        <v>23</v>
      </c>
    </row>
    <row r="6053" spans="1:11" ht="42" customHeight="1">
      <c r="A6053" s="2" t="s">
        <v>12013</v>
      </c>
      <c r="B6053" s="2" t="s">
        <v>12014</v>
      </c>
      <c r="C6053" s="2" t="s">
        <v>17</v>
      </c>
      <c r="D6053" s="2" t="s">
        <v>18</v>
      </c>
      <c r="E6053" s="5">
        <v>-28079</v>
      </c>
      <c r="F6053" s="3" t="s">
        <v>178</v>
      </c>
      <c r="G6053" s="3" t="s">
        <v>20</v>
      </c>
      <c r="H6053" s="2" t="s">
        <v>21</v>
      </c>
      <c r="I6053" s="2" t="s">
        <v>12015</v>
      </c>
      <c r="J6053" s="3" t="str">
        <f>HYPERLINK("https://www.boe.es/gazeta/dias/1823/02/13/pdfs/GMD-1823-47.pdf#page=4","Abrir facsímil")</f>
        <v>Abrir facsímil</v>
      </c>
      <c r="K6053" s="3" t="s">
        <v>23</v>
      </c>
    </row>
    <row r="6054" spans="1:11" ht="42" customHeight="1">
      <c r="A6054" s="2" t="s">
        <v>12016</v>
      </c>
      <c r="B6054" s="2" t="s">
        <v>12017</v>
      </c>
      <c r="C6054" s="2" t="s">
        <v>79</v>
      </c>
      <c r="D6054" s="2" t="s">
        <v>74</v>
      </c>
      <c r="E6054" s="5">
        <v>-27920</v>
      </c>
      <c r="F6054" s="3" t="s">
        <v>1334</v>
      </c>
      <c r="G6054" s="3" t="s">
        <v>276</v>
      </c>
      <c r="H6054" s="2" t="s">
        <v>21</v>
      </c>
      <c r="I6054" s="2" t="s">
        <v>12018</v>
      </c>
      <c r="J6054" s="3" t="str">
        <f>HYPERLINK("https://www.boe.es/gazeta/dias/1823/07/22/pdfs/GMD-1823-443.pdf#page=7","Abrir facsímil")</f>
        <v>Abrir facsímil</v>
      </c>
      <c r="K6054" s="3" t="s">
        <v>23</v>
      </c>
    </row>
    <row r="6055" spans="1:11" ht="42" customHeight="1">
      <c r="A6055" s="2" t="s">
        <v>12019</v>
      </c>
      <c r="B6055" s="2" t="s">
        <v>12020</v>
      </c>
      <c r="C6055" s="2" t="s">
        <v>79</v>
      </c>
      <c r="D6055" s="2" t="s">
        <v>74</v>
      </c>
      <c r="E6055" s="5">
        <v>-27932</v>
      </c>
      <c r="F6055" s="3" t="s">
        <v>786</v>
      </c>
      <c r="G6055" s="3" t="s">
        <v>20</v>
      </c>
      <c r="H6055" s="2" t="s">
        <v>21</v>
      </c>
      <c r="I6055" s="2" t="s">
        <v>12021</v>
      </c>
      <c r="J6055" s="3" t="str">
        <f>HYPERLINK("https://www.boe.es/gazeta/dias/1823/07/10/pdfs/GMD-1823-363.pdf#page=4","Abrir facsímil")</f>
        <v>Abrir facsímil</v>
      </c>
      <c r="K6055" s="3" t="s">
        <v>23</v>
      </c>
    </row>
    <row r="6056" spans="1:11" ht="42" customHeight="1">
      <c r="A6056" s="2" t="s">
        <v>12022</v>
      </c>
      <c r="B6056" s="2" t="s">
        <v>12023</v>
      </c>
      <c r="C6056" s="2" t="s">
        <v>17</v>
      </c>
      <c r="D6056" s="2" t="s">
        <v>18</v>
      </c>
      <c r="E6056" s="5">
        <v>-28091</v>
      </c>
      <c r="F6056" s="3" t="s">
        <v>1047</v>
      </c>
      <c r="G6056" s="3" t="s">
        <v>59</v>
      </c>
      <c r="H6056" s="2" t="s">
        <v>28</v>
      </c>
      <c r="I6056" s="2" t="s">
        <v>12024</v>
      </c>
      <c r="J6056" s="3" t="str">
        <f>HYPERLINK("https://www.boe.es/gazeta/dias/1823/02/01/pdfs/GMD-1823-34.pdf#page=6","Abrir facsímil")</f>
        <v>Abrir facsímil</v>
      </c>
      <c r="K6056" s="3" t="s">
        <v>30</v>
      </c>
    </row>
    <row r="6057" spans="1:11" ht="42" customHeight="1">
      <c r="A6057" s="2" t="s">
        <v>12022</v>
      </c>
      <c r="B6057" s="2" t="s">
        <v>12023</v>
      </c>
      <c r="C6057" s="2" t="s">
        <v>56</v>
      </c>
      <c r="D6057" s="2" t="s">
        <v>57</v>
      </c>
      <c r="E6057" s="5">
        <v>-28089</v>
      </c>
      <c r="F6057" s="3" t="s">
        <v>1979</v>
      </c>
      <c r="G6057" s="3" t="s">
        <v>59</v>
      </c>
      <c r="H6057" s="2" t="s">
        <v>28</v>
      </c>
      <c r="I6057" s="2" t="s">
        <v>12025</v>
      </c>
      <c r="J6057" s="3" t="str">
        <f>HYPERLINK("https://www.boe.es/gazeta/dias/1823/02/03/pdfs/GMD-1823-36.pdf#page=6","Abrir facsímil")</f>
        <v>Abrir facsímil</v>
      </c>
      <c r="K6057" s="3" t="s">
        <v>30</v>
      </c>
    </row>
    <row r="6058" spans="1:11" ht="42" customHeight="1">
      <c r="A6058" s="2" t="s">
        <v>12026</v>
      </c>
      <c r="B6058" s="2" t="s">
        <v>12027</v>
      </c>
      <c r="C6058" s="2" t="s">
        <v>73</v>
      </c>
      <c r="D6058" s="2" t="s">
        <v>74</v>
      </c>
      <c r="E6058" s="5">
        <v>-28037</v>
      </c>
      <c r="F6058" s="3" t="s">
        <v>192</v>
      </c>
      <c r="G6058" s="3" t="s">
        <v>48</v>
      </c>
      <c r="H6058" s="2" t="s">
        <v>21</v>
      </c>
      <c r="I6058" s="2" t="s">
        <v>12028</v>
      </c>
      <c r="J6058" s="3" t="str">
        <f>HYPERLINK("https://www.boe.es/gazeta/dias/1823/03/27/pdfs/GMD-1823-90.pdf#page=3","Abrir facsímil")</f>
        <v>Abrir facsímil</v>
      </c>
      <c r="K6058" s="3" t="s">
        <v>23</v>
      </c>
    </row>
    <row r="6059" spans="1:11" ht="42" customHeight="1">
      <c r="A6059" s="2" t="s">
        <v>12029</v>
      </c>
      <c r="B6059" s="2" t="s">
        <v>12030</v>
      </c>
      <c r="C6059" s="2" t="s">
        <v>17</v>
      </c>
      <c r="D6059" s="2" t="s">
        <v>18</v>
      </c>
      <c r="E6059" s="5">
        <v>-27994</v>
      </c>
      <c r="F6059" s="3" t="s">
        <v>714</v>
      </c>
      <c r="G6059" s="3" t="s">
        <v>276</v>
      </c>
      <c r="H6059" s="2" t="s">
        <v>21</v>
      </c>
      <c r="I6059" s="2" t="s">
        <v>12031</v>
      </c>
      <c r="J6059" s="3" t="str">
        <f>HYPERLINK("https://www.boe.es/gazeta/dias/1823/05/09/pdfs/GES-1823-29.pdf#page=7","Abrir facsímil")</f>
        <v>Abrir facsímil</v>
      </c>
      <c r="K6059" s="3" t="s">
        <v>23</v>
      </c>
    </row>
    <row r="6060" spans="1:11" ht="42" customHeight="1">
      <c r="A6060" s="2" t="s">
        <v>12032</v>
      </c>
      <c r="B6060" s="2" t="s">
        <v>12033</v>
      </c>
      <c r="C6060" s="2" t="s">
        <v>17</v>
      </c>
      <c r="D6060" s="2" t="s">
        <v>18</v>
      </c>
      <c r="E6060" s="5">
        <v>-28001</v>
      </c>
      <c r="F6060" s="3" t="s">
        <v>768</v>
      </c>
      <c r="G6060" s="3" t="s">
        <v>2756</v>
      </c>
      <c r="H6060" s="2" t="s">
        <v>21</v>
      </c>
      <c r="I6060" s="2" t="s">
        <v>12034</v>
      </c>
      <c r="J6060" s="3" t="str">
        <f>HYPERLINK("https://www.boe.es/gazeta/dias/1823/05/02/pdfs/GES-1823-22.pdf#page=6","Abrir facsímil")</f>
        <v>Abrir facsímil</v>
      </c>
      <c r="K6060" s="3" t="s">
        <v>23</v>
      </c>
    </row>
    <row r="6061" spans="1:11" ht="42" customHeight="1">
      <c r="A6061" s="2" t="s">
        <v>12035</v>
      </c>
      <c r="B6061" s="2" t="s">
        <v>12035</v>
      </c>
      <c r="C6061" s="2" t="s">
        <v>17</v>
      </c>
      <c r="D6061" s="2" t="s">
        <v>18</v>
      </c>
      <c r="E6061" s="5">
        <v>-27856</v>
      </c>
      <c r="F6061" s="3" t="s">
        <v>4859</v>
      </c>
      <c r="G6061" s="3" t="s">
        <v>39</v>
      </c>
      <c r="H6061" s="2" t="s">
        <v>21</v>
      </c>
      <c r="I6061" s="2" t="s">
        <v>12036</v>
      </c>
      <c r="J6061" s="3" t="str">
        <f>HYPERLINK("https://www.boe.es/gazeta/dias/1823/09/24/pdfs/GES-1823-168.pdf#page=1","Abrir facsímil")</f>
        <v>Abrir facsímil</v>
      </c>
      <c r="K6061" s="3" t="s">
        <v>23</v>
      </c>
    </row>
    <row r="6062" spans="1:11" ht="42" customHeight="1">
      <c r="A6062" s="2" t="s">
        <v>12037</v>
      </c>
      <c r="B6062" s="2" t="s">
        <v>12037</v>
      </c>
      <c r="C6062" s="2" t="s">
        <v>56</v>
      </c>
      <c r="D6062" s="2" t="s">
        <v>57</v>
      </c>
      <c r="E6062" s="5">
        <v>-27938</v>
      </c>
      <c r="F6062" s="3" t="s">
        <v>101</v>
      </c>
      <c r="G6062" s="3" t="s">
        <v>27</v>
      </c>
      <c r="H6062" s="2" t="s">
        <v>21</v>
      </c>
      <c r="I6062" s="2" t="s">
        <v>12038</v>
      </c>
      <c r="J6062" s="3" t="str">
        <f>HYPERLINK("https://www.boe.es/gazeta/dias/1823/07/04/pdfs/GES-1823-84.pdf#page=2","Abrir facsímil")</f>
        <v>Abrir facsímil</v>
      </c>
      <c r="K6062" s="3" t="s">
        <v>23</v>
      </c>
    </row>
    <row r="6063" spans="1:11" ht="42" customHeight="1">
      <c r="A6063" s="2" t="s">
        <v>12037</v>
      </c>
      <c r="B6063" s="2" t="s">
        <v>12037</v>
      </c>
      <c r="C6063" s="2" t="s">
        <v>79</v>
      </c>
      <c r="D6063" s="2" t="s">
        <v>74</v>
      </c>
      <c r="E6063" s="5">
        <v>-27918</v>
      </c>
      <c r="F6063" s="3" t="s">
        <v>3181</v>
      </c>
      <c r="G6063" s="3" t="s">
        <v>39</v>
      </c>
      <c r="H6063" s="2" t="s">
        <v>21</v>
      </c>
      <c r="I6063" s="2" t="s">
        <v>12039</v>
      </c>
      <c r="J6063" s="3" t="str">
        <f>HYPERLINK("https://www.boe.es/gazeta/dias/1823/07/24/pdfs/GES-1823-105.pdf#page=1","Abrir facsímil")</f>
        <v>Abrir facsímil</v>
      </c>
      <c r="K6063" s="3" t="s">
        <v>23</v>
      </c>
    </row>
    <row r="6064" spans="1:11" ht="42" customHeight="1">
      <c r="A6064" s="2" t="s">
        <v>12037</v>
      </c>
      <c r="B6064" s="2" t="s">
        <v>12037</v>
      </c>
      <c r="C6064" s="2" t="s">
        <v>109</v>
      </c>
      <c r="D6064" s="2" t="s">
        <v>74</v>
      </c>
      <c r="E6064" s="5">
        <v>-27908</v>
      </c>
      <c r="F6064" s="3" t="s">
        <v>80</v>
      </c>
      <c r="G6064" s="3" t="s">
        <v>39</v>
      </c>
      <c r="H6064" s="2" t="s">
        <v>21</v>
      </c>
      <c r="I6064" s="2" t="s">
        <v>12040</v>
      </c>
      <c r="J6064" s="3" t="str">
        <f>HYPERLINK("https://www.boe.es/gazeta/dias/1823/08/03/pdfs/GES-1823-115.pdf#page=1","Abrir facsímil")</f>
        <v>Abrir facsímil</v>
      </c>
      <c r="K6064" s="3" t="s">
        <v>23</v>
      </c>
    </row>
    <row r="6065" spans="1:11" ht="42" customHeight="1">
      <c r="A6065" s="2" t="s">
        <v>12041</v>
      </c>
      <c r="B6065" s="2" t="s">
        <v>12042</v>
      </c>
      <c r="C6065" s="2" t="s">
        <v>17</v>
      </c>
      <c r="D6065" s="2" t="s">
        <v>18</v>
      </c>
      <c r="E6065" s="5">
        <v>-27897</v>
      </c>
      <c r="F6065" s="3" t="s">
        <v>1569</v>
      </c>
      <c r="G6065" s="3" t="s">
        <v>20</v>
      </c>
      <c r="H6065" s="2" t="s">
        <v>21</v>
      </c>
      <c r="I6065" s="2" t="s">
        <v>12043</v>
      </c>
      <c r="J6065" s="3" t="str">
        <f>HYPERLINK("https://www.boe.es/gazeta/dias/1823/08/14/pdfs/GMD-1823-593.pdf#page=4","Abrir facsímil")</f>
        <v>Abrir facsímil</v>
      </c>
      <c r="K6065" s="3" t="s">
        <v>23</v>
      </c>
    </row>
    <row r="6066" spans="1:11" ht="42" customHeight="1">
      <c r="A6066" s="2" t="s">
        <v>12044</v>
      </c>
      <c r="B6066" s="2" t="s">
        <v>12045</v>
      </c>
      <c r="C6066" s="2" t="s">
        <v>17</v>
      </c>
      <c r="D6066" s="2" t="s">
        <v>18</v>
      </c>
      <c r="E6066" s="5">
        <v>-28106</v>
      </c>
      <c r="F6066" s="3" t="s">
        <v>280</v>
      </c>
      <c r="G6066" s="3" t="s">
        <v>20</v>
      </c>
      <c r="H6066" s="2" t="s">
        <v>21</v>
      </c>
      <c r="I6066" s="2" t="s">
        <v>12046</v>
      </c>
      <c r="J6066" s="3" t="str">
        <f>HYPERLINK("https://www.boe.es/gazeta/dias/1823/01/17/pdfs/GMD-1823-17.pdf#page=4","Abrir facsímil")</f>
        <v>Abrir facsímil</v>
      </c>
      <c r="K6066" s="3" t="s">
        <v>23</v>
      </c>
    </row>
    <row r="6067" spans="1:11" ht="42" customHeight="1">
      <c r="A6067" s="2" t="s">
        <v>12047</v>
      </c>
      <c r="B6067" s="2" t="s">
        <v>12048</v>
      </c>
      <c r="C6067" s="2" t="s">
        <v>79</v>
      </c>
      <c r="D6067" s="2" t="s">
        <v>74</v>
      </c>
      <c r="E6067" s="5">
        <v>-28024</v>
      </c>
      <c r="F6067" s="3" t="s">
        <v>1659</v>
      </c>
      <c r="G6067" s="3" t="s">
        <v>27</v>
      </c>
      <c r="H6067" s="2" t="s">
        <v>21</v>
      </c>
      <c r="I6067" s="2" t="s">
        <v>12049</v>
      </c>
      <c r="J6067" s="3" t="str">
        <f>HYPERLINK("https://www.boe.es/gazeta/dias/1823/04/09/pdfs/GMD-1823-104.pdf#page=2","Abrir facsímil")</f>
        <v>Abrir facsímil</v>
      </c>
      <c r="K6067" s="3" t="s">
        <v>23</v>
      </c>
    </row>
    <row r="6068" spans="1:11" ht="42" customHeight="1">
      <c r="A6068" s="2" t="s">
        <v>12050</v>
      </c>
      <c r="B6068" s="2" t="s">
        <v>12051</v>
      </c>
      <c r="C6068" s="2" t="s">
        <v>17</v>
      </c>
      <c r="D6068" s="2" t="s">
        <v>18</v>
      </c>
      <c r="E6068" s="5">
        <v>-27967</v>
      </c>
      <c r="F6068" s="3" t="s">
        <v>2493</v>
      </c>
      <c r="G6068" s="3" t="s">
        <v>20</v>
      </c>
      <c r="H6068" s="2" t="s">
        <v>21</v>
      </c>
      <c r="I6068" s="2" t="s">
        <v>12052</v>
      </c>
      <c r="J6068" s="3" t="str">
        <f>HYPERLINK("https://www.boe.es/gazeta/dias/1823/06/05/pdfs/GMD-1823-63.pdf#page=4","Abrir facsímil")</f>
        <v>Abrir facsímil</v>
      </c>
      <c r="K6068" s="3" t="s">
        <v>23</v>
      </c>
    </row>
    <row r="6069" spans="1:11" ht="42" customHeight="1">
      <c r="A6069" s="2" t="s">
        <v>12053</v>
      </c>
      <c r="B6069" s="2" t="s">
        <v>12054</v>
      </c>
      <c r="C6069" s="2" t="s">
        <v>293</v>
      </c>
      <c r="D6069" s="2" t="s">
        <v>74</v>
      </c>
      <c r="E6069" s="5">
        <v>-28031</v>
      </c>
      <c r="F6069" s="3" t="s">
        <v>1211</v>
      </c>
      <c r="G6069" s="3" t="s">
        <v>20</v>
      </c>
      <c r="H6069" s="2" t="s">
        <v>21</v>
      </c>
      <c r="I6069" s="2" t="s">
        <v>12055</v>
      </c>
      <c r="J6069" s="3" t="str">
        <f>HYPERLINK("https://www.boe.es/gazeta/dias/1823/04/02/pdfs/GMD-1823-96.pdf#page=4","Abrir facsímil")</f>
        <v>Abrir facsímil</v>
      </c>
      <c r="K6069" s="3" t="s">
        <v>23</v>
      </c>
    </row>
    <row r="6070" spans="1:11" ht="42" customHeight="1">
      <c r="A6070" s="2" t="s">
        <v>12056</v>
      </c>
      <c r="B6070" s="2" t="s">
        <v>12057</v>
      </c>
      <c r="C6070" s="2" t="s">
        <v>17</v>
      </c>
      <c r="D6070" s="2" t="s">
        <v>18</v>
      </c>
      <c r="E6070" s="5">
        <v>-28043</v>
      </c>
      <c r="F6070" s="3" t="s">
        <v>69</v>
      </c>
      <c r="G6070" s="3" t="s">
        <v>34</v>
      </c>
      <c r="H6070" s="2" t="s">
        <v>21</v>
      </c>
      <c r="I6070" s="2" t="s">
        <v>12058</v>
      </c>
      <c r="J6070" s="3" t="str">
        <f>HYPERLINK("https://www.boe.es/gazeta/dias/1823/03/21/pdfs/GMD-1823-84.pdf#page=5","Abrir facsímil")</f>
        <v>Abrir facsímil</v>
      </c>
      <c r="K6070" s="3" t="s">
        <v>23</v>
      </c>
    </row>
    <row r="6071" spans="1:11" ht="42" customHeight="1">
      <c r="A6071" s="2" t="s">
        <v>12059</v>
      </c>
      <c r="B6071" s="2" t="s">
        <v>12059</v>
      </c>
      <c r="C6071" s="2" t="s">
        <v>79</v>
      </c>
      <c r="D6071" s="2" t="s">
        <v>74</v>
      </c>
      <c r="E6071" s="5">
        <v>-28071</v>
      </c>
      <c r="F6071" s="3" t="s">
        <v>587</v>
      </c>
      <c r="G6071" s="3" t="s">
        <v>27</v>
      </c>
      <c r="H6071" s="2" t="s">
        <v>21</v>
      </c>
      <c r="I6071" s="2" t="s">
        <v>12060</v>
      </c>
      <c r="J6071" s="3" t="str">
        <f>HYPERLINK("https://www.boe.es/gazeta/dias/1823/02/21/pdfs/GMD-1823-55.pdf#page=2","Abrir facsímil")</f>
        <v>Abrir facsímil</v>
      </c>
      <c r="K6071" s="3" t="s">
        <v>23</v>
      </c>
    </row>
    <row r="6072" spans="1:11" ht="42" customHeight="1">
      <c r="A6072" s="2" t="s">
        <v>12061</v>
      </c>
      <c r="B6072" s="2" t="s">
        <v>12062</v>
      </c>
      <c r="C6072" s="2" t="s">
        <v>73</v>
      </c>
      <c r="D6072" s="2" t="s">
        <v>74</v>
      </c>
      <c r="E6072" s="5">
        <v>-27879</v>
      </c>
      <c r="F6072" s="3" t="s">
        <v>638</v>
      </c>
      <c r="G6072" s="3" t="s">
        <v>20</v>
      </c>
      <c r="H6072" s="2" t="s">
        <v>21</v>
      </c>
      <c r="I6072" s="2" t="s">
        <v>12063</v>
      </c>
      <c r="J6072" s="3" t="str">
        <f>HYPERLINK("https://www.boe.es/gazeta/dias/1823/09/01/pdfs/GES-1823-145.pdf#page=4","Abrir facsímil")</f>
        <v>Abrir facsímil</v>
      </c>
      <c r="K6072" s="3" t="s">
        <v>23</v>
      </c>
    </row>
    <row r="6073" spans="1:11" ht="42" customHeight="1">
      <c r="A6073" s="2" t="s">
        <v>12064</v>
      </c>
      <c r="B6073" s="2" t="s">
        <v>12065</v>
      </c>
      <c r="C6073" s="2" t="s">
        <v>56</v>
      </c>
      <c r="D6073" s="2" t="s">
        <v>57</v>
      </c>
      <c r="E6073" s="5">
        <v>-27901</v>
      </c>
      <c r="F6073" s="3" t="s">
        <v>840</v>
      </c>
      <c r="G6073" s="3" t="s">
        <v>20</v>
      </c>
      <c r="H6073" s="2" t="s">
        <v>21</v>
      </c>
      <c r="I6073" s="2" t="s">
        <v>12066</v>
      </c>
      <c r="J6073" s="3" t="str">
        <f>HYPERLINK("https://www.boe.es/gazeta/dias/1823/08/10/pdfs/GES-1823-123.pdf#page=4","Abrir facsímil")</f>
        <v>Abrir facsímil</v>
      </c>
      <c r="K6073" s="3" t="s">
        <v>23</v>
      </c>
    </row>
    <row r="6074" spans="1:11" ht="42" customHeight="1">
      <c r="A6074" s="2" t="s">
        <v>12064</v>
      </c>
      <c r="B6074" s="2" t="s">
        <v>12065</v>
      </c>
      <c r="C6074" s="2" t="s">
        <v>79</v>
      </c>
      <c r="D6074" s="2" t="s">
        <v>74</v>
      </c>
      <c r="E6074" s="5">
        <v>-27891</v>
      </c>
      <c r="F6074" s="3" t="s">
        <v>825</v>
      </c>
      <c r="G6074" s="3" t="s">
        <v>20</v>
      </c>
      <c r="H6074" s="2" t="s">
        <v>21</v>
      </c>
      <c r="I6074" s="2" t="s">
        <v>12067</v>
      </c>
      <c r="J6074" s="3" t="str">
        <f>HYPERLINK("https://www.boe.es/gazeta/dias/1823/08/20/pdfs/GES-1823-133.pdf#page=4","Abrir facsímil")</f>
        <v>Abrir facsímil</v>
      </c>
      <c r="K6074" s="3" t="s">
        <v>23</v>
      </c>
    </row>
    <row r="6075" spans="1:11" ht="42" customHeight="1">
      <c r="A6075" s="2" t="s">
        <v>12068</v>
      </c>
      <c r="B6075" s="2" t="s">
        <v>12069</v>
      </c>
      <c r="C6075" s="2" t="s">
        <v>56</v>
      </c>
      <c r="D6075" s="2" t="s">
        <v>57</v>
      </c>
      <c r="E6075" s="5">
        <v>-28002</v>
      </c>
      <c r="F6075" s="3" t="s">
        <v>245</v>
      </c>
      <c r="G6075" s="3" t="s">
        <v>20</v>
      </c>
      <c r="H6075" s="2" t="s">
        <v>21</v>
      </c>
      <c r="I6075" s="2" t="s">
        <v>12070</v>
      </c>
      <c r="J6075" s="3" t="str">
        <f>HYPERLINK("https://www.boe.es/gazeta/dias/1823/05/01/pdfs/GMD-1823-82.pdf#page=4","Abrir facsímil")</f>
        <v>Abrir facsímil</v>
      </c>
      <c r="K6075" s="3" t="s">
        <v>23</v>
      </c>
    </row>
    <row r="6076" spans="1:11" ht="42" customHeight="1">
      <c r="A6076" s="2" t="s">
        <v>12068</v>
      </c>
      <c r="B6076" s="2" t="s">
        <v>12069</v>
      </c>
      <c r="C6076" s="2" t="s">
        <v>17</v>
      </c>
      <c r="D6076" s="2" t="s">
        <v>18</v>
      </c>
      <c r="E6076" s="5">
        <v>-27997</v>
      </c>
      <c r="F6076" s="3" t="s">
        <v>937</v>
      </c>
      <c r="G6076" s="3" t="s">
        <v>20</v>
      </c>
      <c r="H6076" s="2" t="s">
        <v>21</v>
      </c>
      <c r="I6076" s="2" t="s">
        <v>12071</v>
      </c>
      <c r="J6076" s="3" t="str">
        <f>HYPERLINK("https://www.boe.es/gazeta/dias/1823/05/06/pdfs/GMD-1823-102.pdf#page=4","Abrir facsímil")</f>
        <v>Abrir facsímil</v>
      </c>
      <c r="K6076" s="3" t="s">
        <v>23</v>
      </c>
    </row>
    <row r="6077" spans="1:11" ht="42" customHeight="1">
      <c r="A6077" s="2" t="s">
        <v>12068</v>
      </c>
      <c r="B6077" s="2" t="s">
        <v>12069</v>
      </c>
      <c r="C6077" s="2" t="s">
        <v>17</v>
      </c>
      <c r="D6077" s="2" t="s">
        <v>18</v>
      </c>
      <c r="E6077" s="5">
        <v>-27995</v>
      </c>
      <c r="F6077" s="3" t="s">
        <v>326</v>
      </c>
      <c r="G6077" s="3" t="s">
        <v>20</v>
      </c>
      <c r="H6077" s="2" t="s">
        <v>21</v>
      </c>
      <c r="I6077" s="2" t="s">
        <v>12072</v>
      </c>
      <c r="J6077" s="3" t="str">
        <f>HYPERLINK("https://www.boe.es/gazeta/dias/1823/05/08/pdfs/GMD-1823-112.pdf#page=4","Abrir facsímil")</f>
        <v>Abrir facsímil</v>
      </c>
      <c r="K6077" s="3" t="s">
        <v>23</v>
      </c>
    </row>
    <row r="6078" spans="1:11" ht="42" customHeight="1">
      <c r="A6078" s="2" t="s">
        <v>12068</v>
      </c>
      <c r="B6078" s="2" t="s">
        <v>12069</v>
      </c>
      <c r="C6078" s="2" t="s">
        <v>17</v>
      </c>
      <c r="D6078" s="2" t="s">
        <v>18</v>
      </c>
      <c r="E6078" s="5">
        <v>-27988</v>
      </c>
      <c r="F6078" s="3" t="s">
        <v>2022</v>
      </c>
      <c r="G6078" s="3" t="s">
        <v>20</v>
      </c>
      <c r="H6078" s="2" t="s">
        <v>21</v>
      </c>
      <c r="I6078" s="2" t="s">
        <v>12073</v>
      </c>
      <c r="J6078" s="3" t="str">
        <f>HYPERLINK("https://www.boe.es/gazeta/dias/1823/05/15/pdfs/GMD-1823-142.pdf#page=4","Abrir facsímil")</f>
        <v>Abrir facsímil</v>
      </c>
      <c r="K6078" s="3" t="s">
        <v>23</v>
      </c>
    </row>
    <row r="6079" spans="1:11" ht="42" customHeight="1">
      <c r="A6079" s="2" t="s">
        <v>12074</v>
      </c>
      <c r="B6079" s="2" t="s">
        <v>12075</v>
      </c>
      <c r="C6079" s="2" t="s">
        <v>109</v>
      </c>
      <c r="D6079" s="2" t="s">
        <v>74</v>
      </c>
      <c r="E6079" s="5">
        <v>-28062</v>
      </c>
      <c r="F6079" s="3" t="s">
        <v>1357</v>
      </c>
      <c r="G6079" s="3" t="s">
        <v>20</v>
      </c>
      <c r="H6079" s="2" t="s">
        <v>21</v>
      </c>
      <c r="I6079" s="2" t="s">
        <v>12076</v>
      </c>
      <c r="J6079" s="3" t="str">
        <f>HYPERLINK("https://www.boe.es/gazeta/dias/1823/03/02/pdfs/GMD-1823-65.pdf#page=4","Abrir facsímil")</f>
        <v>Abrir facsímil</v>
      </c>
      <c r="K6079" s="3" t="s">
        <v>23</v>
      </c>
    </row>
    <row r="6080" spans="1:11" ht="42" customHeight="1">
      <c r="A6080" s="2" t="s">
        <v>12077</v>
      </c>
      <c r="B6080" s="2" t="s">
        <v>12077</v>
      </c>
      <c r="C6080" s="2" t="s">
        <v>17</v>
      </c>
      <c r="D6080" s="2" t="s">
        <v>18</v>
      </c>
      <c r="E6080" s="5">
        <v>-28089</v>
      </c>
      <c r="F6080" s="3" t="s">
        <v>1979</v>
      </c>
      <c r="G6080" s="3" t="s">
        <v>27</v>
      </c>
      <c r="H6080" s="2" t="s">
        <v>21</v>
      </c>
      <c r="I6080" s="2" t="s">
        <v>12078</v>
      </c>
      <c r="J6080" s="3" t="str">
        <f>HYPERLINK("https://www.boe.es/gazeta/dias/1823/02/03/pdfs/GMD-1823-36.pdf#page=2","Abrir facsímil")</f>
        <v>Abrir facsímil</v>
      </c>
      <c r="K6080" s="3" t="s">
        <v>23</v>
      </c>
    </row>
    <row r="6081" spans="1:11" ht="42" customHeight="1">
      <c r="A6081" s="2" t="s">
        <v>12079</v>
      </c>
      <c r="B6081" s="2" t="s">
        <v>12080</v>
      </c>
      <c r="C6081" s="2" t="s">
        <v>109</v>
      </c>
      <c r="D6081" s="2" t="s">
        <v>74</v>
      </c>
      <c r="E6081" s="5">
        <v>-27880</v>
      </c>
      <c r="F6081" s="3" t="s">
        <v>6307</v>
      </c>
      <c r="G6081" s="3" t="s">
        <v>27</v>
      </c>
      <c r="H6081" s="2" t="s">
        <v>28</v>
      </c>
      <c r="I6081" s="2" t="s">
        <v>12081</v>
      </c>
      <c r="J6081" s="3" t="str">
        <f>HYPERLINK("https://www.boe.es/gazeta/dias/1823/08/31/pdfs/GES-1823-144.pdf#page=2","Abrir facsímil")</f>
        <v>Abrir facsímil</v>
      </c>
      <c r="K6081" s="3" t="s">
        <v>30</v>
      </c>
    </row>
    <row r="6082" spans="1:11" ht="42" customHeight="1">
      <c r="A6082" s="2" t="s">
        <v>12082</v>
      </c>
      <c r="B6082" s="2" t="s">
        <v>12083</v>
      </c>
      <c r="C6082" s="2" t="s">
        <v>293</v>
      </c>
      <c r="D6082" s="2" t="s">
        <v>74</v>
      </c>
      <c r="E6082" s="5">
        <v>-27999</v>
      </c>
      <c r="F6082" s="3" t="s">
        <v>97</v>
      </c>
      <c r="G6082" s="3" t="s">
        <v>48</v>
      </c>
      <c r="H6082" s="2" t="s">
        <v>21</v>
      </c>
      <c r="I6082" s="2" t="s">
        <v>12084</v>
      </c>
      <c r="J6082" s="3" t="str">
        <f>HYPERLINK("https://www.boe.es/gazeta/dias/1823/05/04/pdfs/GES-1823-24.pdf#page=3","Abrir facsímil")</f>
        <v>Abrir facsímil</v>
      </c>
      <c r="K6082" s="3" t="s">
        <v>23</v>
      </c>
    </row>
    <row r="6083" spans="1:11" ht="42" customHeight="1">
      <c r="A6083" s="2" t="s">
        <v>12085</v>
      </c>
      <c r="B6083" s="2" t="s">
        <v>12086</v>
      </c>
      <c r="C6083" s="2" t="s">
        <v>17</v>
      </c>
      <c r="D6083" s="2" t="s">
        <v>18</v>
      </c>
      <c r="E6083" s="5">
        <v>-28104</v>
      </c>
      <c r="F6083" s="3" t="s">
        <v>114</v>
      </c>
      <c r="G6083" s="3" t="s">
        <v>59</v>
      </c>
      <c r="H6083" s="2" t="s">
        <v>21</v>
      </c>
      <c r="I6083" s="2" t="s">
        <v>12087</v>
      </c>
      <c r="J6083" s="3" t="str">
        <f>HYPERLINK("https://www.boe.es/gazeta/dias/1823/01/19/pdfs/GMD-1823-19.pdf#page=6","Abrir facsímil")</f>
        <v>Abrir facsímil</v>
      </c>
      <c r="K6083" s="3" t="s">
        <v>23</v>
      </c>
    </row>
    <row r="6084" spans="1:11" ht="42" customHeight="1">
      <c r="A6084" s="2" t="s">
        <v>12088</v>
      </c>
      <c r="B6084" s="2" t="s">
        <v>12088</v>
      </c>
      <c r="C6084" s="2" t="s">
        <v>17</v>
      </c>
      <c r="D6084" s="2" t="s">
        <v>18</v>
      </c>
      <c r="E6084" s="5">
        <v>-27972</v>
      </c>
      <c r="F6084" s="3" t="s">
        <v>429</v>
      </c>
      <c r="G6084" s="3" t="s">
        <v>20</v>
      </c>
      <c r="H6084" s="2" t="s">
        <v>21</v>
      </c>
      <c r="I6084" s="2" t="s">
        <v>12089</v>
      </c>
      <c r="J6084" s="3" t="str">
        <f>HYPERLINK("https://www.boe.es/gazeta/dias/1823/05/31/pdfs/GES-1823-54.pdf#page=4","Abrir facsímil")</f>
        <v>Abrir facsímil</v>
      </c>
      <c r="K6084" s="3" t="s">
        <v>23</v>
      </c>
    </row>
    <row r="6085" spans="1:11" ht="42" customHeight="1">
      <c r="A6085" s="2" t="s">
        <v>12090</v>
      </c>
      <c r="B6085" s="2" t="s">
        <v>12090</v>
      </c>
      <c r="C6085" s="2" t="s">
        <v>17</v>
      </c>
      <c r="D6085" s="2" t="s">
        <v>18</v>
      </c>
      <c r="E6085" s="5">
        <v>-27906</v>
      </c>
      <c r="F6085" s="3" t="s">
        <v>1527</v>
      </c>
      <c r="G6085" s="3" t="s">
        <v>39</v>
      </c>
      <c r="H6085" s="2" t="s">
        <v>21</v>
      </c>
      <c r="I6085" s="2" t="s">
        <v>12091</v>
      </c>
      <c r="J6085" s="3" t="str">
        <f>HYPERLINK("https://www.boe.es/gazeta/dias/1823/08/05/pdfs/GMD-1823-533.pdf#page=1","Abrir facsímil")</f>
        <v>Abrir facsímil</v>
      </c>
      <c r="K6085" s="3" t="s">
        <v>23</v>
      </c>
    </row>
    <row r="6086" spans="1:11" ht="42" customHeight="1">
      <c r="A6086" s="2" t="s">
        <v>12092</v>
      </c>
      <c r="B6086" s="2" t="s">
        <v>12093</v>
      </c>
      <c r="C6086" s="2" t="s">
        <v>56</v>
      </c>
      <c r="D6086" s="2" t="s">
        <v>57</v>
      </c>
      <c r="E6086" s="5">
        <v>-28078</v>
      </c>
      <c r="F6086" s="3" t="s">
        <v>508</v>
      </c>
      <c r="G6086" s="3" t="s">
        <v>59</v>
      </c>
      <c r="H6086" s="2" t="s">
        <v>21</v>
      </c>
      <c r="I6086" s="2" t="s">
        <v>12094</v>
      </c>
      <c r="J6086" s="3" t="str">
        <f>HYPERLINK("https://www.boe.es/gazeta/dias/1823/02/14/pdfs/GMD-1823-48.pdf#page=6","Abrir facsímil")</f>
        <v>Abrir facsímil</v>
      </c>
      <c r="K6086" s="3" t="s">
        <v>23</v>
      </c>
    </row>
    <row r="6087" spans="1:11" ht="42" customHeight="1">
      <c r="A6087" s="2" t="s">
        <v>12095</v>
      </c>
      <c r="B6087" s="2" t="s">
        <v>12096</v>
      </c>
      <c r="C6087" s="2" t="s">
        <v>73</v>
      </c>
      <c r="D6087" s="2" t="s">
        <v>74</v>
      </c>
      <c r="E6087" s="5">
        <v>-28094</v>
      </c>
      <c r="F6087" s="3" t="s">
        <v>93</v>
      </c>
      <c r="G6087" s="3" t="s">
        <v>27</v>
      </c>
      <c r="H6087" s="2" t="s">
        <v>21</v>
      </c>
      <c r="I6087" s="2" t="s">
        <v>12097</v>
      </c>
      <c r="J6087" s="3" t="str">
        <f>HYPERLINK("https://www.boe.es/gazeta/dias/1823/01/29/pdfs/GMD-1823-30.pdf#page=2","Abrir facsímil")</f>
        <v>Abrir facsímil</v>
      </c>
      <c r="K6087" s="3" t="s">
        <v>23</v>
      </c>
    </row>
    <row r="6088" spans="1:11" ht="42" customHeight="1">
      <c r="A6088" s="2" t="s">
        <v>12098</v>
      </c>
      <c r="B6088" s="2" t="s">
        <v>12099</v>
      </c>
      <c r="C6088" s="2" t="s">
        <v>293</v>
      </c>
      <c r="D6088" s="2" t="s">
        <v>74</v>
      </c>
      <c r="E6088" s="5">
        <v>-28018</v>
      </c>
      <c r="F6088" s="3" t="s">
        <v>275</v>
      </c>
      <c r="G6088" s="3" t="s">
        <v>48</v>
      </c>
      <c r="H6088" s="2" t="s">
        <v>21</v>
      </c>
      <c r="I6088" s="2" t="s">
        <v>12100</v>
      </c>
      <c r="J6088" s="3" t="str">
        <f>HYPERLINK("https://www.boe.es/gazeta/dias/1823/04/15/pdfs/GMD-1823-12.pdf#page=3","Abrir facsímil")</f>
        <v>Abrir facsímil</v>
      </c>
      <c r="K6088" s="3" t="s">
        <v>23</v>
      </c>
    </row>
    <row r="6089" spans="1:11" ht="42" customHeight="1">
      <c r="A6089" s="2" t="s">
        <v>12101</v>
      </c>
      <c r="B6089" s="2" t="s">
        <v>12101</v>
      </c>
      <c r="C6089" s="2" t="s">
        <v>17</v>
      </c>
      <c r="D6089" s="2" t="s">
        <v>18</v>
      </c>
      <c r="E6089" s="5">
        <v>-28106</v>
      </c>
      <c r="F6089" s="3" t="s">
        <v>280</v>
      </c>
      <c r="G6089" s="3" t="s">
        <v>281</v>
      </c>
      <c r="H6089" s="2" t="s">
        <v>21</v>
      </c>
      <c r="I6089" s="2" t="s">
        <v>12102</v>
      </c>
      <c r="J6089" s="3" t="str">
        <f>HYPERLINK("https://www.boe.es/gazeta/dias/1823/01/17/pdfs/GMD-1823-17.pdf#page=2","Abrir facsímil")</f>
        <v>Abrir facsímil</v>
      </c>
      <c r="K6089" s="3" t="s">
        <v>23</v>
      </c>
    </row>
    <row r="6090" spans="1:11" ht="42" customHeight="1">
      <c r="A6090" s="2" t="s">
        <v>12101</v>
      </c>
      <c r="B6090" s="2" t="s">
        <v>12101</v>
      </c>
      <c r="C6090" s="2" t="s">
        <v>17</v>
      </c>
      <c r="D6090" s="2" t="s">
        <v>18</v>
      </c>
      <c r="E6090" s="5">
        <v>-28094</v>
      </c>
      <c r="F6090" s="3" t="s">
        <v>93</v>
      </c>
      <c r="G6090" s="3" t="s">
        <v>27</v>
      </c>
      <c r="H6090" s="2" t="s">
        <v>21</v>
      </c>
      <c r="I6090" s="2" t="s">
        <v>12103</v>
      </c>
      <c r="J6090" s="3" t="str">
        <f>HYPERLINK("https://www.boe.es/gazeta/dias/1823/01/29/pdfs/GMD-1823-30.pdf#page=2","Abrir facsímil")</f>
        <v>Abrir facsímil</v>
      </c>
      <c r="K6090" s="3" t="s">
        <v>23</v>
      </c>
    </row>
    <row r="6091" spans="1:11" ht="42" customHeight="1">
      <c r="A6091" s="2" t="s">
        <v>12101</v>
      </c>
      <c r="B6091" s="2" t="s">
        <v>12101</v>
      </c>
      <c r="C6091" s="2" t="s">
        <v>17</v>
      </c>
      <c r="D6091" s="2" t="s">
        <v>18</v>
      </c>
      <c r="E6091" s="5">
        <v>-28012</v>
      </c>
      <c r="F6091" s="3" t="s">
        <v>4707</v>
      </c>
      <c r="G6091" s="3" t="s">
        <v>27</v>
      </c>
      <c r="H6091" s="2" t="s">
        <v>21</v>
      </c>
      <c r="I6091" s="2" t="s">
        <v>12104</v>
      </c>
      <c r="J6091" s="3" t="str">
        <f>HYPERLINK("https://www.boe.es/gazeta/dias/1823/04/21/pdfs/GES-1823-11.pdf#page=2","Abrir facsímil")</f>
        <v>Abrir facsímil</v>
      </c>
      <c r="K6091" s="3" t="s">
        <v>23</v>
      </c>
    </row>
    <row r="6092" spans="1:11" ht="42" customHeight="1">
      <c r="A6092" s="2" t="s">
        <v>12105</v>
      </c>
      <c r="B6092" s="2" t="s">
        <v>12106</v>
      </c>
      <c r="C6092" s="2" t="s">
        <v>17</v>
      </c>
      <c r="D6092" s="2" t="s">
        <v>18</v>
      </c>
      <c r="E6092" s="5">
        <v>-27846</v>
      </c>
      <c r="F6092" s="3" t="s">
        <v>2535</v>
      </c>
      <c r="G6092" s="3" t="s">
        <v>48</v>
      </c>
      <c r="H6092" s="2" t="s">
        <v>21</v>
      </c>
      <c r="I6092" s="2" t="s">
        <v>12107</v>
      </c>
      <c r="J6092" s="3" t="str">
        <f>HYPERLINK("https://www.boe.es/gazeta/dias/1823/10/04/pdfs/GMD-1823-913.pdf#page=3","Abrir facsímil")</f>
        <v>Abrir facsímil</v>
      </c>
      <c r="K6092" s="3" t="s">
        <v>23</v>
      </c>
    </row>
    <row r="6093" spans="1:11" ht="42" customHeight="1">
      <c r="A6093" s="2" t="s">
        <v>12108</v>
      </c>
      <c r="B6093" s="2" t="s">
        <v>12108</v>
      </c>
      <c r="C6093" s="2" t="s">
        <v>17</v>
      </c>
      <c r="D6093" s="2" t="s">
        <v>18</v>
      </c>
      <c r="E6093" s="5">
        <v>-27960</v>
      </c>
      <c r="F6093" s="3" t="s">
        <v>682</v>
      </c>
      <c r="G6093" s="3" t="s">
        <v>3173</v>
      </c>
      <c r="H6093" s="2" t="s">
        <v>21</v>
      </c>
      <c r="I6093" s="2" t="s">
        <v>12109</v>
      </c>
      <c r="J6093" s="3" t="str">
        <f>HYPERLINK("https://www.boe.es/gazeta/dias/1823/06/12/pdfs/GMD-1823-123.pdf#page=4","Abrir facsímil")</f>
        <v>Abrir facsímil</v>
      </c>
      <c r="K6093" s="3" t="s">
        <v>23</v>
      </c>
    </row>
    <row r="6094" spans="1:11" ht="42" customHeight="1">
      <c r="A6094" s="2" t="s">
        <v>12110</v>
      </c>
      <c r="B6094" s="2" t="s">
        <v>12111</v>
      </c>
      <c r="C6094" s="2" t="s">
        <v>17</v>
      </c>
      <c r="D6094" s="2" t="s">
        <v>18</v>
      </c>
      <c r="E6094" s="5">
        <v>-27865</v>
      </c>
      <c r="F6094" s="3" t="s">
        <v>9815</v>
      </c>
      <c r="G6094" s="3" t="s">
        <v>27</v>
      </c>
      <c r="H6094" s="2" t="s">
        <v>21</v>
      </c>
      <c r="I6094" s="2" t="s">
        <v>12112</v>
      </c>
      <c r="J6094" s="3" t="str">
        <f>HYPERLINK("https://www.boe.es/gazeta/dias/1823/09/15/pdfs/GES-1823-159.pdf#page=2","Abrir facsímil")</f>
        <v>Abrir facsímil</v>
      </c>
      <c r="K6094" s="3" t="s">
        <v>23</v>
      </c>
    </row>
    <row r="6095" spans="1:11" ht="42" customHeight="1">
      <c r="A6095" s="2" t="s">
        <v>12113</v>
      </c>
      <c r="B6095" s="2" t="s">
        <v>12113</v>
      </c>
      <c r="C6095" s="2" t="s">
        <v>17</v>
      </c>
      <c r="D6095" s="2" t="s">
        <v>18</v>
      </c>
      <c r="E6095" s="5">
        <v>-27991</v>
      </c>
      <c r="F6095" s="3" t="s">
        <v>328</v>
      </c>
      <c r="G6095" s="3" t="s">
        <v>34</v>
      </c>
      <c r="H6095" s="2" t="s">
        <v>21</v>
      </c>
      <c r="I6095" s="2" t="s">
        <v>12114</v>
      </c>
      <c r="J6095" s="3" t="str">
        <f>HYPERLINK("https://www.boe.es/gazeta/dias/1823/05/12/pdfs/GES-1823-32.pdf#page=5","Abrir facsímil")</f>
        <v>Abrir facsímil</v>
      </c>
      <c r="K6095" s="3" t="s">
        <v>23</v>
      </c>
    </row>
    <row r="6096" spans="1:11" ht="42" customHeight="1">
      <c r="A6096" s="2" t="s">
        <v>12113</v>
      </c>
      <c r="B6096" s="2" t="s">
        <v>12113</v>
      </c>
      <c r="C6096" s="2" t="s">
        <v>17</v>
      </c>
      <c r="D6096" s="2" t="s">
        <v>18</v>
      </c>
      <c r="E6096" s="5">
        <v>-27947</v>
      </c>
      <c r="F6096" s="3" t="s">
        <v>2144</v>
      </c>
      <c r="G6096" s="3" t="s">
        <v>39</v>
      </c>
      <c r="H6096" s="2" t="s">
        <v>21</v>
      </c>
      <c r="I6096" s="2" t="s">
        <v>12115</v>
      </c>
      <c r="J6096" s="3" t="str">
        <f>HYPERLINK("https://www.boe.es/gazeta/dias/1823/06/25/pdfs/GES-1823-75.pdf#page=1","Abrir facsímil")</f>
        <v>Abrir facsímil</v>
      </c>
      <c r="K6096" s="3" t="s">
        <v>23</v>
      </c>
    </row>
    <row r="6097" spans="1:11" ht="42" customHeight="1">
      <c r="A6097" s="2" t="s">
        <v>12113</v>
      </c>
      <c r="B6097" s="2" t="s">
        <v>12113</v>
      </c>
      <c r="C6097" s="2" t="s">
        <v>56</v>
      </c>
      <c r="D6097" s="2" t="s">
        <v>57</v>
      </c>
      <c r="E6097" s="5">
        <v>-27873</v>
      </c>
      <c r="F6097" s="3" t="s">
        <v>160</v>
      </c>
      <c r="G6097" s="3" t="s">
        <v>27</v>
      </c>
      <c r="H6097" s="2" t="s">
        <v>21</v>
      </c>
      <c r="I6097" s="2" t="s">
        <v>12116</v>
      </c>
      <c r="J6097" s="3" t="str">
        <f>HYPERLINK("https://www.boe.es/gazeta/dias/1823/09/07/pdfs/GES-1823-151.pdf#page=2","Abrir facsímil")</f>
        <v>Abrir facsímil</v>
      </c>
      <c r="K6097" s="3" t="s">
        <v>23</v>
      </c>
    </row>
    <row r="6098" spans="1:11" ht="42" customHeight="1">
      <c r="A6098" s="2" t="s">
        <v>12117</v>
      </c>
      <c r="B6098" s="2" t="s">
        <v>12118</v>
      </c>
      <c r="C6098" s="2" t="s">
        <v>17</v>
      </c>
      <c r="D6098" s="2" t="s">
        <v>18</v>
      </c>
      <c r="E6098" s="5">
        <v>-27885</v>
      </c>
      <c r="F6098" s="3" t="s">
        <v>6503</v>
      </c>
      <c r="G6098" s="3" t="s">
        <v>48</v>
      </c>
      <c r="H6098" s="2" t="s">
        <v>21</v>
      </c>
      <c r="I6098" s="2" t="s">
        <v>12119</v>
      </c>
      <c r="J6098" s="3" t="str">
        <f>HYPERLINK("https://www.boe.es/gazeta/dias/1823/08/26/pdfs/GES-1823-139.pdf#page=3","Abrir facsímil")</f>
        <v>Abrir facsímil</v>
      </c>
      <c r="K6098" s="3" t="s">
        <v>23</v>
      </c>
    </row>
    <row r="6099" spans="1:11" ht="42" customHeight="1">
      <c r="A6099" s="2" t="s">
        <v>12117</v>
      </c>
      <c r="B6099" s="2" t="s">
        <v>12118</v>
      </c>
      <c r="C6099" s="2" t="s">
        <v>17</v>
      </c>
      <c r="D6099" s="2" t="s">
        <v>18</v>
      </c>
      <c r="E6099" s="5">
        <v>-27874</v>
      </c>
      <c r="F6099" s="3" t="s">
        <v>1410</v>
      </c>
      <c r="G6099" s="3" t="s">
        <v>48</v>
      </c>
      <c r="H6099" s="2" t="s">
        <v>21</v>
      </c>
      <c r="I6099" s="2" t="s">
        <v>12120</v>
      </c>
      <c r="J6099" s="3" t="str">
        <f>HYPERLINK("https://www.boe.es/gazeta/dias/1823/09/06/pdfs/GES-1823-150.pdf#page=3","Abrir facsímil")</f>
        <v>Abrir facsímil</v>
      </c>
      <c r="K6099" s="3" t="s">
        <v>23</v>
      </c>
    </row>
    <row r="6100" spans="1:11" ht="42" customHeight="1">
      <c r="A6100" s="2" t="s">
        <v>12117</v>
      </c>
      <c r="B6100" s="2" t="s">
        <v>12118</v>
      </c>
      <c r="C6100" s="2" t="s">
        <v>17</v>
      </c>
      <c r="D6100" s="2" t="s">
        <v>18</v>
      </c>
      <c r="E6100" s="5">
        <v>-27870</v>
      </c>
      <c r="F6100" s="3" t="s">
        <v>376</v>
      </c>
      <c r="G6100" s="3" t="s">
        <v>48</v>
      </c>
      <c r="H6100" s="2" t="s">
        <v>21</v>
      </c>
      <c r="I6100" s="2" t="s">
        <v>12121</v>
      </c>
      <c r="J6100" s="3" t="str">
        <f>HYPERLINK("https://www.boe.es/gazeta/dias/1823/09/10/pdfs/GES-1823-154.pdf#page=3","Abrir facsímil")</f>
        <v>Abrir facsímil</v>
      </c>
      <c r="K6100" s="3" t="s">
        <v>23</v>
      </c>
    </row>
    <row r="6101" spans="1:11" ht="42" customHeight="1">
      <c r="A6101" s="2" t="s">
        <v>12117</v>
      </c>
      <c r="B6101" s="2" t="s">
        <v>12118</v>
      </c>
      <c r="C6101" s="2" t="s">
        <v>17</v>
      </c>
      <c r="D6101" s="2" t="s">
        <v>18</v>
      </c>
      <c r="E6101" s="5">
        <v>-27866</v>
      </c>
      <c r="F6101" s="3" t="s">
        <v>1262</v>
      </c>
      <c r="G6101" s="3" t="s">
        <v>27</v>
      </c>
      <c r="H6101" s="2" t="s">
        <v>21</v>
      </c>
      <c r="I6101" s="2" t="s">
        <v>12122</v>
      </c>
      <c r="J6101" s="3" t="str">
        <f>HYPERLINK("https://www.boe.es/gazeta/dias/1823/09/14/pdfs/GES-1823-158.pdf#page=2","Abrir facsímil")</f>
        <v>Abrir facsímil</v>
      </c>
      <c r="K6101" s="3" t="s">
        <v>23</v>
      </c>
    </row>
    <row r="6102" spans="1:11" ht="42" customHeight="1">
      <c r="A6102" s="2" t="s">
        <v>12117</v>
      </c>
      <c r="B6102" s="2" t="s">
        <v>12118</v>
      </c>
      <c r="C6102" s="2" t="s">
        <v>17</v>
      </c>
      <c r="D6102" s="2" t="s">
        <v>18</v>
      </c>
      <c r="E6102" s="5">
        <v>-27848</v>
      </c>
      <c r="F6102" s="3" t="s">
        <v>1083</v>
      </c>
      <c r="G6102" s="3" t="s">
        <v>27</v>
      </c>
      <c r="H6102" s="2" t="s">
        <v>21</v>
      </c>
      <c r="I6102" s="2" t="s">
        <v>12123</v>
      </c>
      <c r="J6102" s="3" t="str">
        <f>HYPERLINK("https://www.boe.es/gazeta/dias/1823/10/02/pdfs/GES-1823-176.pdf#page=2","Abrir facsímil")</f>
        <v>Abrir facsímil</v>
      </c>
      <c r="K6102" s="3" t="s">
        <v>23</v>
      </c>
    </row>
    <row r="6103" spans="1:11" ht="42" customHeight="1">
      <c r="A6103" s="2" t="s">
        <v>12124</v>
      </c>
      <c r="B6103" s="2" t="s">
        <v>12124</v>
      </c>
      <c r="C6103" s="2" t="s">
        <v>84</v>
      </c>
      <c r="D6103" s="2" t="s">
        <v>74</v>
      </c>
      <c r="E6103" s="5">
        <v>-27878</v>
      </c>
      <c r="F6103" s="3" t="s">
        <v>1581</v>
      </c>
      <c r="G6103" s="3" t="s">
        <v>59</v>
      </c>
      <c r="H6103" s="2" t="s">
        <v>21</v>
      </c>
      <c r="I6103" s="2" t="s">
        <v>12125</v>
      </c>
      <c r="J6103" s="3" t="str">
        <f>HYPERLINK("https://www.boe.es/gazeta/dias/1823/09/02/pdfs/GMD-1823-683.pdf#page=6","Abrir facsímil")</f>
        <v>Abrir facsímil</v>
      </c>
      <c r="K6103" s="3" t="s">
        <v>23</v>
      </c>
    </row>
    <row r="6104" spans="1:11" ht="42" customHeight="1">
      <c r="A6104" s="2" t="s">
        <v>12126</v>
      </c>
      <c r="B6104" s="2" t="s">
        <v>12126</v>
      </c>
      <c r="C6104" s="2" t="s">
        <v>17</v>
      </c>
      <c r="D6104" s="2" t="s">
        <v>18</v>
      </c>
      <c r="E6104" s="5">
        <v>-27944</v>
      </c>
      <c r="F6104" s="3" t="s">
        <v>658</v>
      </c>
      <c r="G6104" s="3" t="s">
        <v>39</v>
      </c>
      <c r="H6104" s="2" t="s">
        <v>21</v>
      </c>
      <c r="I6104" s="2" t="s">
        <v>12127</v>
      </c>
      <c r="J6104" s="3" t="str">
        <f>HYPERLINK("https://www.boe.es/gazeta/dias/1823/06/28/pdfs/GMD-1823-303.pdf#page=1","Abrir facsímil")</f>
        <v>Abrir facsímil</v>
      </c>
      <c r="K6104" s="3" t="s">
        <v>23</v>
      </c>
    </row>
    <row r="6105" spans="1:11" ht="42" customHeight="1">
      <c r="A6105" s="2" t="s">
        <v>12126</v>
      </c>
      <c r="B6105" s="2" t="s">
        <v>12126</v>
      </c>
      <c r="C6105" s="2" t="s">
        <v>17</v>
      </c>
      <c r="D6105" s="2" t="s">
        <v>18</v>
      </c>
      <c r="E6105" s="5">
        <v>-27944</v>
      </c>
      <c r="F6105" s="3" t="s">
        <v>658</v>
      </c>
      <c r="G6105" s="3" t="s">
        <v>34</v>
      </c>
      <c r="H6105" s="2" t="s">
        <v>21</v>
      </c>
      <c r="I6105" s="2" t="s">
        <v>12128</v>
      </c>
      <c r="J6105" s="3" t="str">
        <f>HYPERLINK("https://www.boe.es/gazeta/dias/1823/06/28/pdfs/GMD-1823-303.pdf#page=5","Abrir facsímil")</f>
        <v>Abrir facsímil</v>
      </c>
      <c r="K6105" s="3" t="s">
        <v>23</v>
      </c>
    </row>
    <row r="6106" spans="1:11" ht="42" customHeight="1">
      <c r="A6106" s="2" t="s">
        <v>12126</v>
      </c>
      <c r="B6106" s="2" t="s">
        <v>12126</v>
      </c>
      <c r="C6106" s="2" t="s">
        <v>17</v>
      </c>
      <c r="D6106" s="2" t="s">
        <v>18</v>
      </c>
      <c r="E6106" s="5">
        <v>-27902</v>
      </c>
      <c r="F6106" s="3" t="s">
        <v>259</v>
      </c>
      <c r="G6106" s="3" t="s">
        <v>48</v>
      </c>
      <c r="H6106" s="2" t="s">
        <v>21</v>
      </c>
      <c r="I6106" s="2" t="s">
        <v>12129</v>
      </c>
      <c r="J6106" s="3" t="str">
        <f>HYPERLINK("https://www.boe.es/gazeta/dias/1823/08/09/pdfs/GMD-1823-563.pdf#page=3","Abrir facsímil")</f>
        <v>Abrir facsímil</v>
      </c>
      <c r="K6106" s="3" t="s">
        <v>23</v>
      </c>
    </row>
    <row r="6107" spans="1:11" ht="42" customHeight="1">
      <c r="A6107" s="2" t="s">
        <v>12126</v>
      </c>
      <c r="B6107" s="2" t="s">
        <v>12126</v>
      </c>
      <c r="C6107" s="2" t="s">
        <v>84</v>
      </c>
      <c r="D6107" s="2" t="s">
        <v>74</v>
      </c>
      <c r="E6107" s="5">
        <v>-27896</v>
      </c>
      <c r="F6107" s="3" t="s">
        <v>4122</v>
      </c>
      <c r="G6107" s="3" t="s">
        <v>27</v>
      </c>
      <c r="H6107" s="2" t="s">
        <v>21</v>
      </c>
      <c r="I6107" s="2" t="s">
        <v>12130</v>
      </c>
      <c r="J6107" s="3" t="str">
        <f>HYPERLINK("https://www.boe.es/gazeta/dias/1823/08/15/pdfs/GES-1823-128.pdf#page=2","Abrir facsímil")</f>
        <v>Abrir facsímil</v>
      </c>
      <c r="K6107" s="3" t="s">
        <v>23</v>
      </c>
    </row>
    <row r="6108" spans="1:11" ht="42" customHeight="1">
      <c r="A6108" s="2" t="s">
        <v>12126</v>
      </c>
      <c r="B6108" s="2" t="s">
        <v>12126</v>
      </c>
      <c r="C6108" s="2" t="s">
        <v>79</v>
      </c>
      <c r="D6108" s="2" t="s">
        <v>74</v>
      </c>
      <c r="E6108" s="5">
        <v>-27848</v>
      </c>
      <c r="F6108" s="3" t="s">
        <v>1083</v>
      </c>
      <c r="G6108" s="3" t="s">
        <v>27</v>
      </c>
      <c r="H6108" s="2" t="s">
        <v>21</v>
      </c>
      <c r="I6108" s="2" t="s">
        <v>12131</v>
      </c>
      <c r="J6108" s="3" t="str">
        <f>HYPERLINK("https://www.boe.es/gazeta/dias/1823/10/02/pdfs/GES-1823-176.pdf#page=2","Abrir facsímil")</f>
        <v>Abrir facsímil</v>
      </c>
      <c r="K6108" s="3" t="s">
        <v>23</v>
      </c>
    </row>
    <row r="6109" spans="1:11" ht="42" customHeight="1">
      <c r="A6109" s="2" t="s">
        <v>12132</v>
      </c>
      <c r="B6109" s="2" t="s">
        <v>12132</v>
      </c>
      <c r="C6109" s="2" t="s">
        <v>17</v>
      </c>
      <c r="D6109" s="2" t="s">
        <v>18</v>
      </c>
      <c r="E6109" s="5">
        <v>-27856</v>
      </c>
      <c r="F6109" s="3" t="s">
        <v>4859</v>
      </c>
      <c r="G6109" s="3" t="s">
        <v>39</v>
      </c>
      <c r="H6109" s="2" t="s">
        <v>21</v>
      </c>
      <c r="I6109" s="2" t="s">
        <v>12133</v>
      </c>
      <c r="J6109" s="3" t="str">
        <f>HYPERLINK("https://www.boe.es/gazeta/dias/1823/09/24/pdfs/GES-1823-168.pdf#page=1","Abrir facsímil")</f>
        <v>Abrir facsímil</v>
      </c>
      <c r="K6109" s="3" t="s">
        <v>23</v>
      </c>
    </row>
    <row r="6110" spans="1:11" ht="42" customHeight="1">
      <c r="A6110" s="2" t="s">
        <v>12134</v>
      </c>
      <c r="B6110" s="2" t="s">
        <v>12134</v>
      </c>
      <c r="C6110" s="2" t="s">
        <v>56</v>
      </c>
      <c r="D6110" s="2" t="s">
        <v>57</v>
      </c>
      <c r="E6110" s="5">
        <v>-27930</v>
      </c>
      <c r="F6110" s="3" t="s">
        <v>2334</v>
      </c>
      <c r="G6110" s="3" t="s">
        <v>39</v>
      </c>
      <c r="H6110" s="2" t="s">
        <v>21</v>
      </c>
      <c r="I6110" s="2" t="s">
        <v>12135</v>
      </c>
      <c r="J6110" s="3" t="str">
        <f>HYPERLINK("https://www.boe.es/gazeta/dias/1823/07/12/pdfs/GES-1823-92.pdf#page=1","Abrir facsímil")</f>
        <v>Abrir facsímil</v>
      </c>
      <c r="K6110" s="3" t="s">
        <v>23</v>
      </c>
    </row>
    <row r="6111" spans="1:11" ht="42" customHeight="1">
      <c r="A6111" s="2" t="s">
        <v>12136</v>
      </c>
      <c r="B6111" s="2" t="s">
        <v>12136</v>
      </c>
      <c r="C6111" s="2" t="s">
        <v>17</v>
      </c>
      <c r="D6111" s="2" t="s">
        <v>18</v>
      </c>
      <c r="E6111" s="5">
        <v>-27896</v>
      </c>
      <c r="F6111" s="3" t="s">
        <v>4122</v>
      </c>
      <c r="G6111" s="3" t="s">
        <v>27</v>
      </c>
      <c r="H6111" s="2" t="s">
        <v>21</v>
      </c>
      <c r="I6111" s="2" t="s">
        <v>12137</v>
      </c>
      <c r="J6111" s="3" t="str">
        <f>HYPERLINK("https://www.boe.es/gazeta/dias/1823/08/15/pdfs/GES-1823-128.pdf#page=2","Abrir facsímil")</f>
        <v>Abrir facsímil</v>
      </c>
      <c r="K6111" s="3" t="s">
        <v>23</v>
      </c>
    </row>
    <row r="6112" spans="1:11" ht="42" customHeight="1">
      <c r="A6112" s="2" t="s">
        <v>12138</v>
      </c>
      <c r="B6112" s="2" t="s">
        <v>12138</v>
      </c>
      <c r="C6112" s="2" t="s">
        <v>84</v>
      </c>
      <c r="D6112" s="2" t="s">
        <v>74</v>
      </c>
      <c r="E6112" s="5">
        <v>-27853</v>
      </c>
      <c r="F6112" s="3" t="s">
        <v>539</v>
      </c>
      <c r="G6112" s="3" t="s">
        <v>48</v>
      </c>
      <c r="H6112" s="2" t="s">
        <v>21</v>
      </c>
      <c r="I6112" s="2" t="s">
        <v>12139</v>
      </c>
      <c r="J6112" s="3" t="str">
        <f>HYPERLINK("https://www.boe.es/gazeta/dias/1823/09/27/pdfs/GMD-1823-863.pdf#page=3","Abrir facsímil")</f>
        <v>Abrir facsímil</v>
      </c>
      <c r="K6112" s="3" t="s">
        <v>23</v>
      </c>
    </row>
    <row r="6113" spans="1:11" ht="42" customHeight="1">
      <c r="A6113" s="2" t="s">
        <v>12140</v>
      </c>
      <c r="B6113" s="2" t="s">
        <v>12141</v>
      </c>
      <c r="C6113" s="2" t="s">
        <v>56</v>
      </c>
      <c r="D6113" s="2" t="s">
        <v>57</v>
      </c>
      <c r="E6113" s="5">
        <v>-27853</v>
      </c>
      <c r="F6113" s="3" t="s">
        <v>539</v>
      </c>
      <c r="G6113" s="3" t="s">
        <v>48</v>
      </c>
      <c r="H6113" s="2" t="s">
        <v>21</v>
      </c>
      <c r="I6113" s="2" t="s">
        <v>12142</v>
      </c>
      <c r="J6113" s="3" t="str">
        <f>HYPERLINK("https://www.boe.es/gazeta/dias/1823/09/27/pdfs/GMD-1823-863.pdf#page=3","Abrir facsímil")</f>
        <v>Abrir facsímil</v>
      </c>
      <c r="K6113" s="3" t="s">
        <v>23</v>
      </c>
    </row>
    <row r="6114" spans="1:11" ht="42" customHeight="1">
      <c r="A6114" s="2" t="s">
        <v>12143</v>
      </c>
      <c r="B6114" s="2" t="s">
        <v>12144</v>
      </c>
      <c r="C6114" s="2" t="s">
        <v>293</v>
      </c>
      <c r="D6114" s="2" t="s">
        <v>74</v>
      </c>
      <c r="E6114" s="5">
        <v>-27787</v>
      </c>
      <c r="F6114" s="3" t="s">
        <v>865</v>
      </c>
      <c r="G6114" s="3" t="s">
        <v>39</v>
      </c>
      <c r="H6114" s="2" t="s">
        <v>21</v>
      </c>
      <c r="I6114" s="2" t="s">
        <v>12145</v>
      </c>
      <c r="J6114" s="3" t="str">
        <f>HYPERLINK("https://www.boe.es/gazeta/dias/1823/12/02/pdfs/GMD-1823-1193.pdf#page=1","Abrir facsímil")</f>
        <v>Abrir facsímil</v>
      </c>
      <c r="K6114" s="3" t="s">
        <v>23</v>
      </c>
    </row>
    <row r="6115" spans="1:11" ht="42" customHeight="1">
      <c r="A6115" s="2" t="s">
        <v>12146</v>
      </c>
      <c r="B6115" s="2" t="s">
        <v>12147</v>
      </c>
      <c r="C6115" s="2" t="s">
        <v>17</v>
      </c>
      <c r="D6115" s="2" t="s">
        <v>18</v>
      </c>
      <c r="E6115" s="5">
        <v>-28066</v>
      </c>
      <c r="F6115" s="3" t="s">
        <v>19</v>
      </c>
      <c r="G6115" s="3" t="s">
        <v>20</v>
      </c>
      <c r="H6115" s="2" t="s">
        <v>21</v>
      </c>
      <c r="I6115" s="2" t="s">
        <v>12148</v>
      </c>
      <c r="J6115" s="3" t="str">
        <f>HYPERLINK("https://www.boe.es/gazeta/dias/1823/02/26/pdfs/GMD-1823-60.pdf#page=4","Abrir facsímil")</f>
        <v>Abrir facsímil</v>
      </c>
      <c r="K6115" s="3" t="s">
        <v>23</v>
      </c>
    </row>
    <row r="6116" spans="1:11" ht="42" customHeight="1">
      <c r="A6116" s="2" t="s">
        <v>12149</v>
      </c>
      <c r="B6116" s="2" t="s">
        <v>12149</v>
      </c>
      <c r="C6116" s="2" t="s">
        <v>293</v>
      </c>
      <c r="D6116" s="2" t="s">
        <v>74</v>
      </c>
      <c r="E6116" s="5">
        <v>-27942</v>
      </c>
      <c r="F6116" s="3" t="s">
        <v>596</v>
      </c>
      <c r="G6116" s="3" t="s">
        <v>48</v>
      </c>
      <c r="H6116" s="2" t="s">
        <v>21</v>
      </c>
      <c r="I6116" s="2" t="s">
        <v>12150</v>
      </c>
      <c r="J6116" s="3" t="str">
        <f>HYPERLINK("https://www.boe.es/gazeta/dias/1823/06/30/pdfs/GES-1823-80.pdf#page=3","Abrir facsímil")</f>
        <v>Abrir facsímil</v>
      </c>
      <c r="K6116" s="3" t="s">
        <v>23</v>
      </c>
    </row>
    <row r="6117" spans="1:11" ht="42" customHeight="1">
      <c r="A6117" s="2" t="s">
        <v>12151</v>
      </c>
      <c r="B6117" s="2" t="s">
        <v>12152</v>
      </c>
      <c r="C6117" s="2" t="s">
        <v>17</v>
      </c>
      <c r="D6117" s="2" t="s">
        <v>18</v>
      </c>
      <c r="E6117" s="5">
        <v>-28065</v>
      </c>
      <c r="F6117" s="3" t="s">
        <v>686</v>
      </c>
      <c r="G6117" s="3" t="s">
        <v>48</v>
      </c>
      <c r="H6117" s="2" t="s">
        <v>21</v>
      </c>
      <c r="I6117" s="2" t="s">
        <v>12153</v>
      </c>
      <c r="J6117" s="3" t="str">
        <f>HYPERLINK("https://www.boe.es/gazeta/dias/1823/02/27/pdfs/GMD-1823-61.pdf#page=3","Abrir facsímil")</f>
        <v>Abrir facsímil</v>
      </c>
      <c r="K6117" s="3" t="s">
        <v>23</v>
      </c>
    </row>
    <row r="6118" spans="1:11" ht="42" customHeight="1">
      <c r="A6118" s="2" t="s">
        <v>12154</v>
      </c>
      <c r="B6118" s="2" t="s">
        <v>12155</v>
      </c>
      <c r="C6118" s="2" t="s">
        <v>17</v>
      </c>
      <c r="D6118" s="2" t="s">
        <v>18</v>
      </c>
      <c r="E6118" s="5">
        <v>-28119</v>
      </c>
      <c r="F6118" s="3" t="s">
        <v>545</v>
      </c>
      <c r="G6118" s="3" t="s">
        <v>59</v>
      </c>
      <c r="H6118" s="2" t="s">
        <v>21</v>
      </c>
      <c r="I6118" s="2" t="s">
        <v>12156</v>
      </c>
      <c r="J6118" s="3" t="str">
        <f>HYPERLINK("https://www.boe.es/gazeta/dias/1823/01/04/pdfs/GMD-1823-4.pdf#page=6","Abrir facsímil")</f>
        <v>Abrir facsímil</v>
      </c>
      <c r="K6118" s="3" t="s">
        <v>23</v>
      </c>
    </row>
    <row r="6119" spans="1:11" ht="42" customHeight="1">
      <c r="A6119" s="2" t="s">
        <v>12157</v>
      </c>
      <c r="B6119" s="2" t="s">
        <v>12158</v>
      </c>
      <c r="C6119" s="2" t="s">
        <v>293</v>
      </c>
      <c r="D6119" s="2" t="s">
        <v>74</v>
      </c>
      <c r="E6119" s="5">
        <v>-28031</v>
      </c>
      <c r="F6119" s="3" t="s">
        <v>1211</v>
      </c>
      <c r="G6119" s="3" t="s">
        <v>20</v>
      </c>
      <c r="H6119" s="2" t="s">
        <v>21</v>
      </c>
      <c r="I6119" s="2" t="s">
        <v>12159</v>
      </c>
      <c r="J6119" s="3" t="str">
        <f>HYPERLINK("https://www.boe.es/gazeta/dias/1823/04/02/pdfs/GMD-1823-96.pdf#page=4","Abrir facsímil")</f>
        <v>Abrir facsímil</v>
      </c>
      <c r="K6119" s="3" t="s">
        <v>23</v>
      </c>
    </row>
    <row r="6120" spans="1:11" ht="42" customHeight="1">
      <c r="A6120" s="2" t="s">
        <v>12160</v>
      </c>
      <c r="B6120" s="2" t="s">
        <v>12160</v>
      </c>
      <c r="C6120" s="2" t="s">
        <v>17</v>
      </c>
      <c r="D6120" s="2" t="s">
        <v>18</v>
      </c>
      <c r="E6120" s="5">
        <v>-28018</v>
      </c>
      <c r="F6120" s="3" t="s">
        <v>2613</v>
      </c>
      <c r="G6120" s="3" t="s">
        <v>34</v>
      </c>
      <c r="H6120" s="2" t="s">
        <v>21</v>
      </c>
      <c r="I6120" s="2" t="s">
        <v>12161</v>
      </c>
      <c r="J6120" s="3" t="str">
        <f>HYPERLINK("https://www.boe.es/gazeta/dias/1823/04/15/pdfs/GES-1823-5.pdf#page=5","Abrir facsímil")</f>
        <v>Abrir facsímil</v>
      </c>
      <c r="K6120" s="3" t="s">
        <v>23</v>
      </c>
    </row>
    <row r="6121" spans="1:11" ht="42" customHeight="1">
      <c r="A6121" s="2" t="s">
        <v>12162</v>
      </c>
      <c r="B6121" s="2" t="s">
        <v>12163</v>
      </c>
      <c r="C6121" s="2" t="s">
        <v>109</v>
      </c>
      <c r="D6121" s="2" t="s">
        <v>74</v>
      </c>
      <c r="E6121" s="5">
        <v>-28033</v>
      </c>
      <c r="F6121" s="3" t="s">
        <v>1372</v>
      </c>
      <c r="G6121" s="3" t="s">
        <v>48</v>
      </c>
      <c r="H6121" s="2" t="s">
        <v>21</v>
      </c>
      <c r="I6121" s="2" t="s">
        <v>12164</v>
      </c>
      <c r="J6121" s="3" t="str">
        <f>HYPERLINK("https://www.boe.es/gazeta/dias/1823/03/31/pdfs/GMD-1823-94.pdf#page=3","Abrir facsímil")</f>
        <v>Abrir facsímil</v>
      </c>
      <c r="K6121" s="3" t="s">
        <v>23</v>
      </c>
    </row>
    <row r="6122" spans="1:11" ht="42" customHeight="1">
      <c r="A6122" s="2" t="s">
        <v>12165</v>
      </c>
      <c r="B6122" s="2" t="s">
        <v>12165</v>
      </c>
      <c r="C6122" s="2" t="s">
        <v>73</v>
      </c>
      <c r="D6122" s="2" t="s">
        <v>74</v>
      </c>
      <c r="E6122" s="5">
        <v>-27970</v>
      </c>
      <c r="F6122" s="3" t="s">
        <v>1030</v>
      </c>
      <c r="G6122" s="3" t="s">
        <v>27</v>
      </c>
      <c r="H6122" s="2" t="s">
        <v>21</v>
      </c>
      <c r="I6122" s="2" t="s">
        <v>12166</v>
      </c>
      <c r="J6122" s="3" t="str">
        <f>HYPERLINK("https://www.boe.es/gazeta/dias/1823/06/02/pdfs/GES-1823-56.pdf#page=2","Abrir facsímil")</f>
        <v>Abrir facsímil</v>
      </c>
      <c r="K6122" s="3" t="s">
        <v>23</v>
      </c>
    </row>
    <row r="6123" spans="1:11" ht="42" customHeight="1">
      <c r="A6123" s="2" t="s">
        <v>12167</v>
      </c>
      <c r="B6123" s="2" t="s">
        <v>12167</v>
      </c>
      <c r="C6123" s="2" t="s">
        <v>17</v>
      </c>
      <c r="D6123" s="2" t="s">
        <v>18</v>
      </c>
      <c r="E6123" s="5">
        <v>-27904</v>
      </c>
      <c r="F6123" s="3" t="s">
        <v>1227</v>
      </c>
      <c r="G6123" s="3" t="s">
        <v>20</v>
      </c>
      <c r="H6123" s="2" t="s">
        <v>21</v>
      </c>
      <c r="I6123" s="2" t="s">
        <v>12168</v>
      </c>
      <c r="J6123" s="3" t="str">
        <f>HYPERLINK("https://www.boe.es/gazeta/dias/1823/08/07/pdfs/GMD-1823-543.pdf#page=4","Abrir facsímil")</f>
        <v>Abrir facsímil</v>
      </c>
      <c r="K6123" s="3" t="s">
        <v>23</v>
      </c>
    </row>
    <row r="6124" spans="1:11" ht="42" customHeight="1">
      <c r="A6124" s="2" t="s">
        <v>12169</v>
      </c>
      <c r="B6124" s="2" t="s">
        <v>12169</v>
      </c>
      <c r="C6124" s="2" t="s">
        <v>17</v>
      </c>
      <c r="D6124" s="2" t="s">
        <v>18</v>
      </c>
      <c r="E6124" s="5">
        <v>-27905</v>
      </c>
      <c r="F6124" s="3" t="s">
        <v>236</v>
      </c>
      <c r="G6124" s="3" t="s">
        <v>372</v>
      </c>
      <c r="H6124" s="2" t="s">
        <v>21</v>
      </c>
      <c r="I6124" s="2" t="s">
        <v>12170</v>
      </c>
      <c r="J6124" s="3" t="str">
        <f>HYPERLINK("https://www.boe.es/gazeta/dias/1823/08/06/pdfs/GES-1823-119.pdf#page=1","Abrir facsímil")</f>
        <v>Abrir facsímil</v>
      </c>
      <c r="K6124" s="3" t="s">
        <v>23</v>
      </c>
    </row>
    <row r="6125" spans="1:11" ht="42" customHeight="1">
      <c r="A6125" s="2" t="s">
        <v>12171</v>
      </c>
      <c r="B6125" s="2" t="s">
        <v>12171</v>
      </c>
      <c r="C6125" s="2" t="s">
        <v>56</v>
      </c>
      <c r="D6125" s="2" t="s">
        <v>57</v>
      </c>
      <c r="E6125" s="5">
        <v>-28098</v>
      </c>
      <c r="F6125" s="3" t="s">
        <v>1101</v>
      </c>
      <c r="G6125" s="3" t="s">
        <v>48</v>
      </c>
      <c r="H6125" s="2" t="s">
        <v>21</v>
      </c>
      <c r="I6125" s="2" t="s">
        <v>12172</v>
      </c>
      <c r="J6125" s="3" t="str">
        <f>HYPERLINK("https://www.boe.es/gazeta/dias/1823/01/25/pdfs/GMD-1823-26.pdf#page=3","Abrir facsímil")</f>
        <v>Abrir facsímil</v>
      </c>
      <c r="K6125" s="3" t="s">
        <v>23</v>
      </c>
    </row>
    <row r="6126" spans="1:11" ht="42" customHeight="1">
      <c r="A6126" s="2" t="s">
        <v>12173</v>
      </c>
      <c r="B6126" s="2" t="s">
        <v>12174</v>
      </c>
      <c r="C6126" s="2" t="s">
        <v>17</v>
      </c>
      <c r="D6126" s="2" t="s">
        <v>18</v>
      </c>
      <c r="E6126" s="5">
        <v>-28105</v>
      </c>
      <c r="F6126" s="3" t="s">
        <v>502</v>
      </c>
      <c r="G6126" s="3" t="s">
        <v>34</v>
      </c>
      <c r="H6126" s="2" t="s">
        <v>21</v>
      </c>
      <c r="I6126" s="2" t="s">
        <v>12175</v>
      </c>
      <c r="J6126" s="3" t="str">
        <f>HYPERLINK("https://www.boe.es/gazeta/dias/1823/01/18/pdfs/GMD-1823-18.pdf#page=5","Abrir facsímil")</f>
        <v>Abrir facsímil</v>
      </c>
      <c r="K6126" s="3" t="s">
        <v>23</v>
      </c>
    </row>
    <row r="6127" spans="1:11" ht="42" customHeight="1">
      <c r="A6127" s="2" t="s">
        <v>12176</v>
      </c>
      <c r="B6127" s="2" t="s">
        <v>12176</v>
      </c>
      <c r="C6127" s="2" t="s">
        <v>17</v>
      </c>
      <c r="D6127" s="2" t="s">
        <v>18</v>
      </c>
      <c r="E6127" s="5">
        <v>-28084</v>
      </c>
      <c r="F6127" s="3" t="s">
        <v>1049</v>
      </c>
      <c r="G6127" s="3" t="s">
        <v>3129</v>
      </c>
      <c r="H6127" s="2" t="s">
        <v>21</v>
      </c>
      <c r="I6127" s="2" t="s">
        <v>12177</v>
      </c>
      <c r="J6127" s="3" t="str">
        <f>HYPERLINK("https://www.boe.es/gazeta/dias/1823/02/08/pdfs/GMD-1823-41.pdf#page=2","Abrir facsímil")</f>
        <v>Abrir facsímil</v>
      </c>
      <c r="K6127" s="3" t="s">
        <v>23</v>
      </c>
    </row>
    <row r="6128" spans="1:11" ht="42" customHeight="1">
      <c r="A6128" s="2" t="s">
        <v>12176</v>
      </c>
      <c r="B6128" s="2" t="s">
        <v>12176</v>
      </c>
      <c r="C6128" s="2" t="s">
        <v>17</v>
      </c>
      <c r="D6128" s="2" t="s">
        <v>18</v>
      </c>
      <c r="E6128" s="5">
        <v>-28018</v>
      </c>
      <c r="F6128" s="3" t="s">
        <v>2613</v>
      </c>
      <c r="G6128" s="3" t="s">
        <v>27</v>
      </c>
      <c r="H6128" s="2" t="s">
        <v>21</v>
      </c>
      <c r="I6128" s="2" t="s">
        <v>12178</v>
      </c>
      <c r="J6128" s="3" t="str">
        <f>HYPERLINK("https://www.boe.es/gazeta/dias/1823/04/15/pdfs/GES-1823-5.pdf#page=2","Abrir facsímil")</f>
        <v>Abrir facsímil</v>
      </c>
      <c r="K6128" s="3" t="s">
        <v>23</v>
      </c>
    </row>
    <row r="6129" spans="1:11" ht="42" customHeight="1">
      <c r="A6129" s="2" t="s">
        <v>12176</v>
      </c>
      <c r="B6129" s="2" t="s">
        <v>12176</v>
      </c>
      <c r="C6129" s="2" t="s">
        <v>17</v>
      </c>
      <c r="D6129" s="2" t="s">
        <v>18</v>
      </c>
      <c r="E6129" s="5">
        <v>-27983</v>
      </c>
      <c r="F6129" s="3" t="s">
        <v>337</v>
      </c>
      <c r="G6129" s="3" t="s">
        <v>39</v>
      </c>
      <c r="H6129" s="2" t="s">
        <v>21</v>
      </c>
      <c r="I6129" s="2" t="s">
        <v>12179</v>
      </c>
      <c r="J6129" s="3" t="str">
        <f>HYPERLINK("https://www.boe.es/gazeta/dias/1823/05/20/pdfs/GES-1823-40.pdf#page=1","Abrir facsímil")</f>
        <v>Abrir facsímil</v>
      </c>
      <c r="K6129" s="3" t="s">
        <v>23</v>
      </c>
    </row>
    <row r="6130" spans="1:11" ht="42" customHeight="1">
      <c r="A6130" s="2" t="s">
        <v>12176</v>
      </c>
      <c r="B6130" s="2" t="s">
        <v>12176</v>
      </c>
      <c r="C6130" s="2" t="s">
        <v>17</v>
      </c>
      <c r="D6130" s="2" t="s">
        <v>18</v>
      </c>
      <c r="E6130" s="5">
        <v>-27948</v>
      </c>
      <c r="F6130" s="3" t="s">
        <v>959</v>
      </c>
      <c r="G6130" s="3" t="s">
        <v>48</v>
      </c>
      <c r="H6130" s="2" t="s">
        <v>21</v>
      </c>
      <c r="I6130" s="2" t="s">
        <v>12180</v>
      </c>
      <c r="J6130" s="3" t="str">
        <f>HYPERLINK("https://www.boe.es/gazeta/dias/1823/06/24/pdfs/GES-1823-72.pdf#page=3","Abrir facsímil")</f>
        <v>Abrir facsímil</v>
      </c>
      <c r="K6130" s="3" t="s">
        <v>23</v>
      </c>
    </row>
    <row r="6131" spans="1:11" ht="42" customHeight="1">
      <c r="A6131" s="2" t="s">
        <v>12176</v>
      </c>
      <c r="B6131" s="2" t="s">
        <v>12176</v>
      </c>
      <c r="C6131" s="2" t="s">
        <v>17</v>
      </c>
      <c r="D6131" s="2" t="s">
        <v>18</v>
      </c>
      <c r="E6131" s="5">
        <v>-27888</v>
      </c>
      <c r="F6131" s="3" t="s">
        <v>1534</v>
      </c>
      <c r="G6131" s="3" t="s">
        <v>39</v>
      </c>
      <c r="H6131" s="2" t="s">
        <v>21</v>
      </c>
      <c r="I6131" s="2" t="s">
        <v>12181</v>
      </c>
      <c r="J6131" s="3" t="str">
        <f>HYPERLINK("https://www.boe.es/gazeta/dias/1823/08/23/pdfs/GES-1823-136.pdf#page=1","Abrir facsímil")</f>
        <v>Abrir facsímil</v>
      </c>
      <c r="K6131" s="3" t="s">
        <v>23</v>
      </c>
    </row>
    <row r="6132" spans="1:11" ht="42" customHeight="1">
      <c r="A6132" s="2" t="s">
        <v>12182</v>
      </c>
      <c r="B6132" s="2" t="s">
        <v>12183</v>
      </c>
      <c r="C6132" s="2" t="s">
        <v>79</v>
      </c>
      <c r="D6132" s="2" t="s">
        <v>74</v>
      </c>
      <c r="E6132" s="5">
        <v>-28037</v>
      </c>
      <c r="F6132" s="3" t="s">
        <v>192</v>
      </c>
      <c r="G6132" s="3" t="s">
        <v>48</v>
      </c>
      <c r="H6132" s="2" t="s">
        <v>21</v>
      </c>
      <c r="I6132" s="2" t="s">
        <v>12184</v>
      </c>
      <c r="J6132" s="3" t="str">
        <f>HYPERLINK("https://www.boe.es/gazeta/dias/1823/03/27/pdfs/GMD-1823-90.pdf#page=3","Abrir facsímil")</f>
        <v>Abrir facsímil</v>
      </c>
      <c r="K6132" s="3" t="s">
        <v>23</v>
      </c>
    </row>
    <row r="6133" spans="1:11" ht="42" customHeight="1">
      <c r="A6133" s="2" t="s">
        <v>12185</v>
      </c>
      <c r="B6133" s="2" t="s">
        <v>12186</v>
      </c>
      <c r="C6133" s="2" t="s">
        <v>56</v>
      </c>
      <c r="D6133" s="2" t="s">
        <v>57</v>
      </c>
      <c r="E6133" s="5">
        <v>-28048</v>
      </c>
      <c r="F6133" s="3" t="s">
        <v>399</v>
      </c>
      <c r="G6133" s="3" t="s">
        <v>59</v>
      </c>
      <c r="H6133" s="2" t="s">
        <v>21</v>
      </c>
      <c r="I6133" s="2" t="s">
        <v>12187</v>
      </c>
      <c r="J6133" s="3" t="str">
        <f>HYPERLINK("https://www.boe.es/gazeta/dias/1823/03/16/pdfs/GMD-1823-79.pdf#page=6","Abrir facsímil")</f>
        <v>Abrir facsímil</v>
      </c>
      <c r="K6133" s="3" t="s">
        <v>23</v>
      </c>
    </row>
    <row r="6134" spans="1:11" ht="42" customHeight="1">
      <c r="A6134" s="2" t="s">
        <v>12188</v>
      </c>
      <c r="B6134" s="2" t="s">
        <v>12189</v>
      </c>
      <c r="C6134" s="2" t="s">
        <v>17</v>
      </c>
      <c r="D6134" s="2" t="s">
        <v>18</v>
      </c>
      <c r="E6134" s="5">
        <v>-28113</v>
      </c>
      <c r="F6134" s="3" t="s">
        <v>2088</v>
      </c>
      <c r="G6134" s="3" t="s">
        <v>39</v>
      </c>
      <c r="H6134" s="2" t="s">
        <v>21</v>
      </c>
      <c r="I6134" s="2" t="s">
        <v>12190</v>
      </c>
      <c r="J6134" s="3" t="str">
        <f>HYPERLINK("https://www.boe.es/gazeta/dias/1823/01/10/pdfs/GMD-1823-10.pdf#page=1","Abrir facsímil")</f>
        <v>Abrir facsímil</v>
      </c>
      <c r="K6134" s="3" t="s">
        <v>23</v>
      </c>
    </row>
    <row r="6135" spans="1:11" ht="42" customHeight="1">
      <c r="A6135" s="2" t="s">
        <v>12191</v>
      </c>
      <c r="B6135" s="2" t="s">
        <v>12192</v>
      </c>
      <c r="C6135" s="2" t="s">
        <v>17</v>
      </c>
      <c r="D6135" s="2" t="s">
        <v>18</v>
      </c>
      <c r="E6135" s="5">
        <v>-28097</v>
      </c>
      <c r="F6135" s="3" t="s">
        <v>1368</v>
      </c>
      <c r="G6135" s="3" t="s">
        <v>48</v>
      </c>
      <c r="H6135" s="2" t="s">
        <v>21</v>
      </c>
      <c r="I6135" s="2" t="s">
        <v>12193</v>
      </c>
      <c r="J6135" s="3" t="str">
        <f>HYPERLINK("https://www.boe.es/gazeta/dias/1823/01/26/pdfs/GMD-1823-27.pdf#page=3","Abrir facsímil")</f>
        <v>Abrir facsímil</v>
      </c>
      <c r="K6135" s="3" t="s">
        <v>23</v>
      </c>
    </row>
    <row r="6136" spans="1:11" ht="42" customHeight="1">
      <c r="A6136" s="2" t="s">
        <v>12194</v>
      </c>
      <c r="B6136" s="2" t="s">
        <v>12195</v>
      </c>
      <c r="C6136" s="2" t="s">
        <v>17</v>
      </c>
      <c r="D6136" s="2" t="s">
        <v>18</v>
      </c>
      <c r="E6136" s="5">
        <v>-27797</v>
      </c>
      <c r="F6136" s="3" t="s">
        <v>3409</v>
      </c>
      <c r="G6136" s="3" t="s">
        <v>39</v>
      </c>
      <c r="H6136" s="2" t="s">
        <v>21</v>
      </c>
      <c r="I6136" s="2" t="s">
        <v>12196</v>
      </c>
      <c r="J6136" s="3" t="str">
        <f>HYPERLINK("https://www.boe.es/gazeta/dias/1823/11/22/pdfs/GMD-1823-1153.pdf#page=1","Abrir facsímil")</f>
        <v>Abrir facsímil</v>
      </c>
      <c r="K6136" s="3" t="s">
        <v>23</v>
      </c>
    </row>
    <row r="6137" spans="1:11" ht="42" customHeight="1">
      <c r="A6137" s="2" t="s">
        <v>12197</v>
      </c>
      <c r="B6137" s="2" t="s">
        <v>12197</v>
      </c>
      <c r="C6137" s="2" t="s">
        <v>56</v>
      </c>
      <c r="D6137" s="2" t="s">
        <v>57</v>
      </c>
      <c r="E6137" s="5">
        <v>-28082</v>
      </c>
      <c r="F6137" s="3" t="s">
        <v>468</v>
      </c>
      <c r="G6137" s="3" t="s">
        <v>39</v>
      </c>
      <c r="H6137" s="2" t="s">
        <v>21</v>
      </c>
      <c r="I6137" s="2" t="s">
        <v>12198</v>
      </c>
      <c r="J6137" s="3" t="str">
        <f>HYPERLINK("https://www.boe.es/gazeta/dias/1823/02/10/pdfs/GMD-1823-44.pdf#page=1","Abrir facsímil")</f>
        <v>Abrir facsímil</v>
      </c>
      <c r="K6137" s="3" t="s">
        <v>23</v>
      </c>
    </row>
    <row r="6138" spans="1:11" ht="42" customHeight="1">
      <c r="A6138" s="2" t="s">
        <v>12199</v>
      </c>
      <c r="B6138" s="2" t="s">
        <v>12199</v>
      </c>
      <c r="C6138" s="2" t="s">
        <v>17</v>
      </c>
      <c r="D6138" s="2" t="s">
        <v>18</v>
      </c>
      <c r="E6138" s="5">
        <v>-28024</v>
      </c>
      <c r="F6138" s="3" t="s">
        <v>1659</v>
      </c>
      <c r="G6138" s="3" t="s">
        <v>27</v>
      </c>
      <c r="H6138" s="2" t="s">
        <v>21</v>
      </c>
      <c r="I6138" s="2" t="s">
        <v>12200</v>
      </c>
      <c r="J6138" s="3" t="str">
        <f>HYPERLINK("https://www.boe.es/gazeta/dias/1823/04/09/pdfs/GMD-1823-104.pdf#page=2","Abrir facsímil")</f>
        <v>Abrir facsímil</v>
      </c>
      <c r="K6138" s="3" t="s">
        <v>23</v>
      </c>
    </row>
    <row r="6139" spans="1:11" ht="42" customHeight="1">
      <c r="A6139" s="2" t="s">
        <v>12199</v>
      </c>
      <c r="B6139" s="2" t="s">
        <v>12199</v>
      </c>
      <c r="C6139" s="2" t="s">
        <v>17</v>
      </c>
      <c r="D6139" s="2" t="s">
        <v>18</v>
      </c>
      <c r="E6139" s="5">
        <v>-28024</v>
      </c>
      <c r="F6139" s="3" t="s">
        <v>1659</v>
      </c>
      <c r="G6139" s="3" t="s">
        <v>48</v>
      </c>
      <c r="H6139" s="2" t="s">
        <v>21</v>
      </c>
      <c r="I6139" s="2" t="s">
        <v>12201</v>
      </c>
      <c r="J6139" s="3" t="str">
        <f>HYPERLINK("https://www.boe.es/gazeta/dias/1823/04/09/pdfs/GMD-1823-104.pdf#page=3","Abrir facsímil")</f>
        <v>Abrir facsímil</v>
      </c>
      <c r="K6139" s="3" t="s">
        <v>23</v>
      </c>
    </row>
    <row r="6140" spans="1:11" ht="42" customHeight="1">
      <c r="A6140" s="2" t="s">
        <v>12202</v>
      </c>
      <c r="B6140" s="2" t="s">
        <v>12203</v>
      </c>
      <c r="C6140" s="2" t="s">
        <v>17</v>
      </c>
      <c r="D6140" s="2" t="s">
        <v>18</v>
      </c>
      <c r="E6140" s="5">
        <v>-28018</v>
      </c>
      <c r="F6140" s="3" t="s">
        <v>275</v>
      </c>
      <c r="G6140" s="3" t="s">
        <v>39</v>
      </c>
      <c r="H6140" s="2" t="s">
        <v>21</v>
      </c>
      <c r="I6140" s="2" t="s">
        <v>12204</v>
      </c>
      <c r="J6140" s="3" t="str">
        <f>HYPERLINK("https://www.boe.es/gazeta/dias/1823/04/15/pdfs/GMD-1823-12.pdf#page=1","Abrir facsímil")</f>
        <v>Abrir facsímil</v>
      </c>
      <c r="K6140" s="3" t="s">
        <v>23</v>
      </c>
    </row>
    <row r="6141" spans="1:11" ht="42" customHeight="1">
      <c r="A6141" s="2" t="s">
        <v>12205</v>
      </c>
      <c r="B6141" s="2" t="s">
        <v>12206</v>
      </c>
      <c r="C6141" s="2" t="s">
        <v>17</v>
      </c>
      <c r="D6141" s="2" t="s">
        <v>117</v>
      </c>
      <c r="E6141" s="5">
        <v>-27943</v>
      </c>
      <c r="F6141" s="3" t="s">
        <v>2511</v>
      </c>
      <c r="G6141" s="3" t="s">
        <v>39</v>
      </c>
      <c r="H6141" s="2" t="s">
        <v>21</v>
      </c>
      <c r="I6141" s="2" t="s">
        <v>12207</v>
      </c>
      <c r="J6141" s="3" t="str">
        <f>HYPERLINK("https://www.boe.es/gazeta/dias/1823/06/29/pdfs/GMD-1823-313E.pdf#page=1","Abrir facsímil")</f>
        <v>Abrir facsímil</v>
      </c>
      <c r="K6141" s="3" t="s">
        <v>23</v>
      </c>
    </row>
    <row r="6142" spans="1:11" ht="42" customHeight="1">
      <c r="A6142" s="2" t="s">
        <v>12208</v>
      </c>
      <c r="B6142" s="2" t="s">
        <v>12209</v>
      </c>
      <c r="C6142" s="2" t="s">
        <v>56</v>
      </c>
      <c r="D6142" s="2" t="s">
        <v>57</v>
      </c>
      <c r="E6142" s="5">
        <v>-28118</v>
      </c>
      <c r="F6142" s="3" t="s">
        <v>252</v>
      </c>
      <c r="G6142" s="3" t="s">
        <v>59</v>
      </c>
      <c r="H6142" s="2" t="s">
        <v>21</v>
      </c>
      <c r="I6142" s="2" t="s">
        <v>12210</v>
      </c>
      <c r="J6142" s="3" t="str">
        <f>HYPERLINK("https://www.boe.es/gazeta/dias/1823/01/05/pdfs/GMD-1823-5.pdf#page=6","Abrir facsímil")</f>
        <v>Abrir facsímil</v>
      </c>
      <c r="K6142" s="3" t="s">
        <v>23</v>
      </c>
    </row>
    <row r="6143" spans="1:11" ht="42" customHeight="1">
      <c r="A6143" s="2" t="s">
        <v>12211</v>
      </c>
      <c r="B6143" s="2" t="s">
        <v>12211</v>
      </c>
      <c r="C6143" s="2" t="s">
        <v>17</v>
      </c>
      <c r="D6143" s="2" t="s">
        <v>18</v>
      </c>
      <c r="E6143" s="5">
        <v>-27932</v>
      </c>
      <c r="F6143" s="3" t="s">
        <v>786</v>
      </c>
      <c r="G6143" s="3" t="s">
        <v>34</v>
      </c>
      <c r="H6143" s="2" t="s">
        <v>21</v>
      </c>
      <c r="I6143" s="2" t="s">
        <v>12212</v>
      </c>
      <c r="J6143" s="3" t="str">
        <f>HYPERLINK("https://www.boe.es/gazeta/dias/1823/07/10/pdfs/GMD-1823-363.pdf#page=5","Abrir facsímil")</f>
        <v>Abrir facsímil</v>
      </c>
      <c r="K6143" s="3" t="s">
        <v>23</v>
      </c>
    </row>
    <row r="6144" spans="1:11" ht="42" customHeight="1">
      <c r="A6144" s="2" t="s">
        <v>12213</v>
      </c>
      <c r="B6144" s="2" t="s">
        <v>12214</v>
      </c>
      <c r="C6144" s="2" t="s">
        <v>293</v>
      </c>
      <c r="D6144" s="2" t="s">
        <v>74</v>
      </c>
      <c r="E6144" s="5">
        <v>-27899</v>
      </c>
      <c r="F6144" s="3" t="s">
        <v>2172</v>
      </c>
      <c r="G6144" s="3" t="s">
        <v>20</v>
      </c>
      <c r="H6144" s="2" t="s">
        <v>21</v>
      </c>
      <c r="I6144" s="2" t="s">
        <v>12215</v>
      </c>
      <c r="J6144" s="3" t="str">
        <f>HYPERLINK("https://www.boe.es/gazeta/dias/1823/08/12/pdfs/GES-1823-125.pdf#page=4","Abrir facsímil")</f>
        <v>Abrir facsímil</v>
      </c>
      <c r="K6144" s="3" t="s">
        <v>23</v>
      </c>
    </row>
    <row r="6145" spans="1:11" ht="42" customHeight="1">
      <c r="A6145" s="2" t="s">
        <v>12216</v>
      </c>
      <c r="B6145" s="2" t="s">
        <v>12216</v>
      </c>
      <c r="C6145" s="2" t="s">
        <v>79</v>
      </c>
      <c r="D6145" s="2" t="s">
        <v>74</v>
      </c>
      <c r="E6145" s="5">
        <v>-27905</v>
      </c>
      <c r="F6145" s="3" t="s">
        <v>236</v>
      </c>
      <c r="G6145" s="3" t="s">
        <v>48</v>
      </c>
      <c r="H6145" s="2" t="s">
        <v>21</v>
      </c>
      <c r="I6145" s="2" t="s">
        <v>12217</v>
      </c>
      <c r="J6145" s="3" t="str">
        <f>HYPERLINK("https://www.boe.es/gazeta/dias/1823/08/06/pdfs/GES-1823-119.pdf#page=3","Abrir facsímil")</f>
        <v>Abrir facsímil</v>
      </c>
      <c r="K6145" s="3" t="s">
        <v>23</v>
      </c>
    </row>
    <row r="6146" spans="1:11" ht="42" customHeight="1">
      <c r="A6146" s="2" t="s">
        <v>12218</v>
      </c>
      <c r="B6146" s="2" t="s">
        <v>12218</v>
      </c>
      <c r="C6146" s="2" t="s">
        <v>17</v>
      </c>
      <c r="D6146" s="2" t="s">
        <v>18</v>
      </c>
      <c r="E6146" s="5">
        <v>-28091</v>
      </c>
      <c r="F6146" s="3" t="s">
        <v>1047</v>
      </c>
      <c r="G6146" s="3" t="s">
        <v>39</v>
      </c>
      <c r="H6146" s="2" t="s">
        <v>21</v>
      </c>
      <c r="I6146" s="2" t="s">
        <v>12219</v>
      </c>
      <c r="J6146" s="3" t="str">
        <f>HYPERLINK("https://www.boe.es/gazeta/dias/1823/02/01/pdfs/GMD-1823-34.pdf#page=1","Abrir facsímil")</f>
        <v>Abrir facsímil</v>
      </c>
      <c r="K6146" s="3" t="s">
        <v>23</v>
      </c>
    </row>
    <row r="6147" spans="1:11" ht="42" customHeight="1">
      <c r="A6147" s="2" t="s">
        <v>12220</v>
      </c>
      <c r="B6147" s="2" t="s">
        <v>12220</v>
      </c>
      <c r="C6147" s="2" t="s">
        <v>17</v>
      </c>
      <c r="D6147" s="2" t="s">
        <v>18</v>
      </c>
      <c r="E6147" s="5">
        <v>-28050</v>
      </c>
      <c r="F6147" s="3" t="s">
        <v>473</v>
      </c>
      <c r="G6147" s="3" t="s">
        <v>59</v>
      </c>
      <c r="H6147" s="2" t="s">
        <v>21</v>
      </c>
      <c r="I6147" s="2" t="s">
        <v>12221</v>
      </c>
      <c r="J6147" s="3" t="str">
        <f>HYPERLINK("https://www.boe.es/gazeta/dias/1823/03/14/pdfs/GMD-1823-77.pdf#page=6","Abrir facsímil")</f>
        <v>Abrir facsímil</v>
      </c>
      <c r="K6147" s="3" t="s">
        <v>23</v>
      </c>
    </row>
    <row r="6148" spans="1:11" ht="42" customHeight="1">
      <c r="A6148" s="2" t="s">
        <v>12220</v>
      </c>
      <c r="B6148" s="2" t="s">
        <v>12220</v>
      </c>
      <c r="C6148" s="2" t="s">
        <v>56</v>
      </c>
      <c r="D6148" s="2" t="s">
        <v>57</v>
      </c>
      <c r="E6148" s="5">
        <v>-27806</v>
      </c>
      <c r="F6148" s="3" t="s">
        <v>11268</v>
      </c>
      <c r="G6148" s="3" t="s">
        <v>48</v>
      </c>
      <c r="H6148" s="2" t="s">
        <v>21</v>
      </c>
      <c r="I6148" s="2" t="s">
        <v>12222</v>
      </c>
      <c r="J6148" s="3" t="str">
        <f>HYPERLINK("https://www.boe.es/gazeta/dias/1823/11/13/pdfs/GMD-1823-1113.pdf#page=3","Abrir facsímil")</f>
        <v>Abrir facsímil</v>
      </c>
      <c r="K6148" s="3" t="s">
        <v>23</v>
      </c>
    </row>
    <row r="6149" spans="1:11" ht="42" customHeight="1">
      <c r="A6149" s="2" t="s">
        <v>12223</v>
      </c>
      <c r="B6149" s="2" t="s">
        <v>12224</v>
      </c>
      <c r="C6149" s="2" t="s">
        <v>79</v>
      </c>
      <c r="D6149" s="2" t="s">
        <v>74</v>
      </c>
      <c r="E6149" s="5">
        <v>-27965</v>
      </c>
      <c r="F6149" s="3" t="s">
        <v>208</v>
      </c>
      <c r="G6149" s="3" t="s">
        <v>20</v>
      </c>
      <c r="H6149" s="2" t="s">
        <v>21</v>
      </c>
      <c r="I6149" s="2" t="s">
        <v>12225</v>
      </c>
      <c r="J6149" s="3" t="str">
        <f>HYPERLINK("https://www.boe.es/gazeta/dias/1823/06/07/pdfs/GES-1823-61.pdf#page=4","Abrir facsímil")</f>
        <v>Abrir facsímil</v>
      </c>
      <c r="K6149" s="3" t="s">
        <v>23</v>
      </c>
    </row>
    <row r="6150" spans="1:11" ht="42" customHeight="1">
      <c r="A6150" s="2" t="s">
        <v>12226</v>
      </c>
      <c r="B6150" s="2" t="s">
        <v>12227</v>
      </c>
      <c r="C6150" s="2" t="s">
        <v>79</v>
      </c>
      <c r="D6150" s="2" t="s">
        <v>74</v>
      </c>
      <c r="E6150" s="5">
        <v>-27965</v>
      </c>
      <c r="F6150" s="3" t="s">
        <v>208</v>
      </c>
      <c r="G6150" s="3" t="s">
        <v>20</v>
      </c>
      <c r="H6150" s="2" t="s">
        <v>21</v>
      </c>
      <c r="I6150" s="2" t="s">
        <v>12228</v>
      </c>
      <c r="J6150" s="3" t="str">
        <f>HYPERLINK("https://www.boe.es/gazeta/dias/1823/06/07/pdfs/GES-1823-61.pdf#page=4","Abrir facsímil")</f>
        <v>Abrir facsímil</v>
      </c>
      <c r="K6150" s="3" t="s">
        <v>23</v>
      </c>
    </row>
    <row r="6151" spans="1:11" ht="42" customHeight="1">
      <c r="A6151" s="2" t="s">
        <v>12229</v>
      </c>
      <c r="B6151" s="2" t="s">
        <v>12230</v>
      </c>
      <c r="C6151" s="2" t="s">
        <v>109</v>
      </c>
      <c r="D6151" s="2" t="s">
        <v>74</v>
      </c>
      <c r="E6151" s="5">
        <v>-27982</v>
      </c>
      <c r="F6151" s="3" t="s">
        <v>340</v>
      </c>
      <c r="G6151" s="3" t="s">
        <v>27</v>
      </c>
      <c r="H6151" s="2" t="s">
        <v>21</v>
      </c>
      <c r="I6151" s="2" t="s">
        <v>12231</v>
      </c>
      <c r="J6151" s="3" t="str">
        <f>HYPERLINK("https://www.boe.es/gazeta/dias/1823/05/21/pdfs/GES-1823-42.pdf#page=2","Abrir facsímil")</f>
        <v>Abrir facsímil</v>
      </c>
      <c r="K6151" s="3" t="s">
        <v>23</v>
      </c>
    </row>
    <row r="6152" spans="1:11" ht="42" customHeight="1">
      <c r="A6152" s="2" t="s">
        <v>12232</v>
      </c>
      <c r="B6152" s="2" t="s">
        <v>12233</v>
      </c>
      <c r="C6152" s="2" t="s">
        <v>17</v>
      </c>
      <c r="D6152" s="2" t="s">
        <v>18</v>
      </c>
      <c r="E6152" s="5">
        <v>-28065</v>
      </c>
      <c r="F6152" s="3" t="s">
        <v>686</v>
      </c>
      <c r="G6152" s="3" t="s">
        <v>20</v>
      </c>
      <c r="H6152" s="2" t="s">
        <v>28</v>
      </c>
      <c r="I6152" s="2" t="s">
        <v>12234</v>
      </c>
      <c r="J6152" s="3" t="str">
        <f>HYPERLINK("https://www.boe.es/gazeta/dias/1823/02/27/pdfs/GMD-1823-61.pdf#page=4","Abrir facsímil")</f>
        <v>Abrir facsímil</v>
      </c>
      <c r="K6152" s="3" t="s">
        <v>30</v>
      </c>
    </row>
    <row r="6153" spans="1:11" ht="42" customHeight="1">
      <c r="A6153" s="2" t="s">
        <v>12235</v>
      </c>
      <c r="B6153" s="2" t="s">
        <v>12236</v>
      </c>
      <c r="C6153" s="2" t="s">
        <v>17</v>
      </c>
      <c r="D6153" s="2" t="s">
        <v>18</v>
      </c>
      <c r="E6153" s="5">
        <v>-27946</v>
      </c>
      <c r="F6153" s="3" t="s">
        <v>1547</v>
      </c>
      <c r="G6153" s="3" t="s">
        <v>39</v>
      </c>
      <c r="H6153" s="2" t="s">
        <v>21</v>
      </c>
      <c r="I6153" s="2" t="s">
        <v>12237</v>
      </c>
      <c r="J6153" s="3" t="str">
        <f>HYPERLINK("https://www.boe.es/gazeta/dias/1823/06/26/pdfs/GMD-1823-283.pdf#page=1","Abrir facsímil")</f>
        <v>Abrir facsímil</v>
      </c>
      <c r="K6153" s="3" t="s">
        <v>23</v>
      </c>
    </row>
    <row r="6154" spans="1:11" ht="42" customHeight="1">
      <c r="A6154" s="2" t="s">
        <v>12238</v>
      </c>
      <c r="B6154" s="2" t="s">
        <v>12239</v>
      </c>
      <c r="C6154" s="2" t="s">
        <v>17</v>
      </c>
      <c r="D6154" s="2" t="s">
        <v>18</v>
      </c>
      <c r="E6154" s="5">
        <v>-28063</v>
      </c>
      <c r="F6154" s="3" t="s">
        <v>2493</v>
      </c>
      <c r="G6154" s="3" t="s">
        <v>20</v>
      </c>
      <c r="H6154" s="2" t="s">
        <v>21</v>
      </c>
      <c r="I6154" s="2" t="s">
        <v>12240</v>
      </c>
      <c r="J6154" s="3" t="str">
        <f>HYPERLINK("https://www.boe.es/gazeta/dias/1823/03/01/pdfs/GMD-1823-63.pdf#page=4","Abrir facsímil")</f>
        <v>Abrir facsímil</v>
      </c>
      <c r="K6154" s="3" t="s">
        <v>23</v>
      </c>
    </row>
    <row r="6155" spans="1:11" ht="42" customHeight="1">
      <c r="A6155" s="2" t="s">
        <v>12241</v>
      </c>
      <c r="B6155" s="2" t="s">
        <v>12242</v>
      </c>
      <c r="C6155" s="2" t="s">
        <v>17</v>
      </c>
      <c r="D6155" s="2" t="s">
        <v>18</v>
      </c>
      <c r="E6155" s="5">
        <v>-27930</v>
      </c>
      <c r="F6155" s="3" t="s">
        <v>2334</v>
      </c>
      <c r="G6155" s="3" t="s">
        <v>48</v>
      </c>
      <c r="H6155" s="2" t="s">
        <v>21</v>
      </c>
      <c r="I6155" s="2" t="s">
        <v>12243</v>
      </c>
      <c r="J6155" s="3" t="str">
        <f>HYPERLINK("https://www.boe.es/gazeta/dias/1823/07/12/pdfs/GES-1823-92.pdf#page=3","Abrir facsímil")</f>
        <v>Abrir facsímil</v>
      </c>
      <c r="K6155" s="3" t="s">
        <v>23</v>
      </c>
    </row>
    <row r="6156" spans="1:11" ht="42" customHeight="1">
      <c r="A6156" s="2" t="s">
        <v>12244</v>
      </c>
      <c r="B6156" s="2" t="s">
        <v>12245</v>
      </c>
      <c r="C6156" s="2" t="s">
        <v>84</v>
      </c>
      <c r="D6156" s="2" t="s">
        <v>74</v>
      </c>
      <c r="E6156" s="5">
        <v>-27922</v>
      </c>
      <c r="F6156" s="3" t="s">
        <v>1959</v>
      </c>
      <c r="G6156" s="3" t="s">
        <v>39</v>
      </c>
      <c r="H6156" s="2" t="s">
        <v>21</v>
      </c>
      <c r="I6156" s="2" t="s">
        <v>12246</v>
      </c>
      <c r="J6156" s="3" t="str">
        <f>HYPERLINK("https://www.boe.es/gazeta/dias/1823/07/20/pdfs/GES-1823-101.pdf#page=1","Abrir facsímil")</f>
        <v>Abrir facsímil</v>
      </c>
      <c r="K6156" s="3" t="s">
        <v>23</v>
      </c>
    </row>
    <row r="6157" spans="1:11" ht="42" customHeight="1">
      <c r="A6157" s="2" t="s">
        <v>12247</v>
      </c>
      <c r="B6157" s="2" t="s">
        <v>12247</v>
      </c>
      <c r="C6157" s="2" t="s">
        <v>79</v>
      </c>
      <c r="D6157" s="2" t="s">
        <v>74</v>
      </c>
      <c r="E6157" s="5">
        <v>-28049</v>
      </c>
      <c r="F6157" s="3" t="s">
        <v>198</v>
      </c>
      <c r="G6157" s="3" t="s">
        <v>27</v>
      </c>
      <c r="H6157" s="2" t="s">
        <v>21</v>
      </c>
      <c r="I6157" s="2" t="s">
        <v>12248</v>
      </c>
      <c r="J6157" s="3" t="str">
        <f>HYPERLINK("https://www.boe.es/gazeta/dias/1823/03/15/pdfs/GMD-1823-78.pdf#page=2","Abrir facsímil")</f>
        <v>Abrir facsímil</v>
      </c>
      <c r="K6157" s="3" t="s">
        <v>23</v>
      </c>
    </row>
    <row r="6158" spans="1:11" ht="42" customHeight="1">
      <c r="A6158" s="2" t="s">
        <v>12249</v>
      </c>
      <c r="B6158" s="2" t="s">
        <v>12249</v>
      </c>
      <c r="C6158" s="2" t="s">
        <v>17</v>
      </c>
      <c r="D6158" s="2" t="s">
        <v>18</v>
      </c>
      <c r="E6158" s="5">
        <v>-28052</v>
      </c>
      <c r="F6158" s="3" t="s">
        <v>1025</v>
      </c>
      <c r="G6158" s="3" t="s">
        <v>1794</v>
      </c>
      <c r="H6158" s="2" t="s">
        <v>21</v>
      </c>
      <c r="I6158" s="2" t="s">
        <v>12250</v>
      </c>
      <c r="J6158" s="3" t="str">
        <f>HYPERLINK("https://www.boe.es/gazeta/dias/1823/03/12/pdfs/GMD-1823-75.pdf#page=1","Abrir facsímil")</f>
        <v>Abrir facsímil</v>
      </c>
      <c r="K6158" s="3" t="s">
        <v>23</v>
      </c>
    </row>
    <row r="6159" spans="1:11" ht="42" customHeight="1">
      <c r="A6159" s="2" t="s">
        <v>12251</v>
      </c>
      <c r="B6159" s="2" t="s">
        <v>12252</v>
      </c>
      <c r="C6159" s="2" t="s">
        <v>17</v>
      </c>
      <c r="D6159" s="2" t="s">
        <v>18</v>
      </c>
      <c r="E6159" s="5">
        <v>-27905</v>
      </c>
      <c r="F6159" s="3" t="s">
        <v>236</v>
      </c>
      <c r="G6159" s="3" t="s">
        <v>237</v>
      </c>
      <c r="H6159" s="2" t="s">
        <v>21</v>
      </c>
      <c r="I6159" s="2" t="s">
        <v>12253</v>
      </c>
      <c r="J6159" s="3" t="str">
        <f>HYPERLINK("https://www.boe.es/gazeta/dias/1823/08/06/pdfs/GES-1823-119.pdf#page=4","Abrir facsímil")</f>
        <v>Abrir facsímil</v>
      </c>
      <c r="K6159" s="3" t="s">
        <v>23</v>
      </c>
    </row>
    <row r="6160" spans="1:11" ht="42" customHeight="1">
      <c r="A6160" s="2" t="s">
        <v>12254</v>
      </c>
      <c r="B6160" s="2" t="s">
        <v>12255</v>
      </c>
      <c r="C6160" s="2" t="s">
        <v>17</v>
      </c>
      <c r="D6160" s="2" t="s">
        <v>18</v>
      </c>
      <c r="E6160" s="5">
        <v>-27990</v>
      </c>
      <c r="F6160" s="3" t="s">
        <v>330</v>
      </c>
      <c r="G6160" s="3" t="s">
        <v>20</v>
      </c>
      <c r="H6160" s="2" t="s">
        <v>21</v>
      </c>
      <c r="I6160" s="2" t="s">
        <v>12256</v>
      </c>
      <c r="J6160" s="3" t="str">
        <f>HYPERLINK("https://www.boe.es/gazeta/dias/1823/05/13/pdfs/GMD-1823-132.pdf#page=4","Abrir facsímil")</f>
        <v>Abrir facsímil</v>
      </c>
      <c r="K6160" s="3" t="s">
        <v>23</v>
      </c>
    </row>
    <row r="6161" spans="1:11" ht="42" customHeight="1">
      <c r="A6161" s="2" t="s">
        <v>12254</v>
      </c>
      <c r="B6161" s="2" t="s">
        <v>12255</v>
      </c>
      <c r="C6161" s="2" t="s">
        <v>17</v>
      </c>
      <c r="D6161" s="2" t="s">
        <v>18</v>
      </c>
      <c r="E6161" s="5">
        <v>-27984</v>
      </c>
      <c r="F6161" s="3" t="s">
        <v>335</v>
      </c>
      <c r="G6161" s="3" t="s">
        <v>27</v>
      </c>
      <c r="H6161" s="2" t="s">
        <v>21</v>
      </c>
      <c r="I6161" s="2" t="s">
        <v>12257</v>
      </c>
      <c r="J6161" s="3" t="str">
        <f>HYPERLINK("https://www.boe.es/gazeta/dias/1823/05/19/pdfs/GES-1823-39.pdf#page=2","Abrir facsímil")</f>
        <v>Abrir facsímil</v>
      </c>
      <c r="K6161" s="3" t="s">
        <v>23</v>
      </c>
    </row>
    <row r="6162" spans="1:11" ht="42" customHeight="1">
      <c r="A6162" s="2" t="s">
        <v>12258</v>
      </c>
      <c r="B6162" s="2" t="s">
        <v>12258</v>
      </c>
      <c r="C6162" s="2" t="s">
        <v>17</v>
      </c>
      <c r="D6162" s="2" t="s">
        <v>18</v>
      </c>
      <c r="E6162" s="5">
        <v>-28078</v>
      </c>
      <c r="F6162" s="3" t="s">
        <v>508</v>
      </c>
      <c r="G6162" s="3" t="s">
        <v>59</v>
      </c>
      <c r="H6162" s="2" t="s">
        <v>21</v>
      </c>
      <c r="I6162" s="2" t="s">
        <v>12259</v>
      </c>
      <c r="J6162" s="3" t="str">
        <f>HYPERLINK("https://www.boe.es/gazeta/dias/1823/02/14/pdfs/GMD-1823-48.pdf#page=6","Abrir facsímil")</f>
        <v>Abrir facsímil</v>
      </c>
      <c r="K6162" s="3" t="s">
        <v>23</v>
      </c>
    </row>
    <row r="6163" spans="1:11" ht="42" customHeight="1">
      <c r="A6163" s="2" t="s">
        <v>12260</v>
      </c>
      <c r="B6163" s="2" t="s">
        <v>12261</v>
      </c>
      <c r="C6163" s="2" t="s">
        <v>79</v>
      </c>
      <c r="D6163" s="2" t="s">
        <v>74</v>
      </c>
      <c r="E6163" s="5">
        <v>-28064</v>
      </c>
      <c r="F6163" s="3" t="s">
        <v>1190</v>
      </c>
      <c r="G6163" s="3" t="s">
        <v>20</v>
      </c>
      <c r="H6163" s="2" t="s">
        <v>21</v>
      </c>
      <c r="I6163" s="2" t="s">
        <v>12262</v>
      </c>
      <c r="J6163" s="3" t="str">
        <f>HYPERLINK("https://www.boe.es/gazeta/dias/1823/02/28/pdfs/GMD-1823-62.pdf#page=4","Abrir facsímil")</f>
        <v>Abrir facsímil</v>
      </c>
      <c r="K6163" s="3" t="s">
        <v>23</v>
      </c>
    </row>
    <row r="6164" spans="1:11" ht="42" customHeight="1">
      <c r="A6164" s="2" t="s">
        <v>12260</v>
      </c>
      <c r="B6164" s="2" t="s">
        <v>12261</v>
      </c>
      <c r="C6164" s="2" t="s">
        <v>79</v>
      </c>
      <c r="D6164" s="2" t="s">
        <v>74</v>
      </c>
      <c r="E6164" s="5">
        <v>-28011</v>
      </c>
      <c r="F6164" s="3" t="s">
        <v>2416</v>
      </c>
      <c r="G6164" s="3" t="s">
        <v>1966</v>
      </c>
      <c r="H6164" s="2" t="s">
        <v>21</v>
      </c>
      <c r="I6164" s="2" t="s">
        <v>12263</v>
      </c>
      <c r="J6164" s="3" t="str">
        <f>HYPERLINK("https://www.boe.es/gazeta/dias/1823/04/22/pdfs/GMD-1823-42.pdf#page=4","Abrir facsímil")</f>
        <v>Abrir facsímil</v>
      </c>
      <c r="K6164" s="3" t="s">
        <v>23</v>
      </c>
    </row>
    <row r="6165" spans="1:11" ht="42" customHeight="1">
      <c r="A6165" s="2" t="s">
        <v>12264</v>
      </c>
      <c r="B6165" s="2" t="s">
        <v>12265</v>
      </c>
      <c r="C6165" s="2" t="s">
        <v>79</v>
      </c>
      <c r="D6165" s="2" t="s">
        <v>74</v>
      </c>
      <c r="E6165" s="5">
        <v>-28037</v>
      </c>
      <c r="F6165" s="3" t="s">
        <v>192</v>
      </c>
      <c r="G6165" s="3" t="s">
        <v>48</v>
      </c>
      <c r="H6165" s="2" t="s">
        <v>21</v>
      </c>
      <c r="I6165" s="2" t="s">
        <v>12266</v>
      </c>
      <c r="J6165" s="3" t="str">
        <f>HYPERLINK("https://www.boe.es/gazeta/dias/1823/03/27/pdfs/GMD-1823-90.pdf#page=3","Abrir facsímil")</f>
        <v>Abrir facsímil</v>
      </c>
      <c r="K6165" s="3" t="s">
        <v>23</v>
      </c>
    </row>
    <row r="6166" spans="1:11" ht="42" customHeight="1">
      <c r="A6166" s="2" t="s">
        <v>12267</v>
      </c>
      <c r="B6166" s="2" t="s">
        <v>12267</v>
      </c>
      <c r="C6166" s="2" t="s">
        <v>17</v>
      </c>
      <c r="D6166" s="2" t="s">
        <v>18</v>
      </c>
      <c r="E6166" s="5">
        <v>-27990</v>
      </c>
      <c r="F6166" s="3" t="s">
        <v>330</v>
      </c>
      <c r="G6166" s="3" t="s">
        <v>39</v>
      </c>
      <c r="H6166" s="2" t="s">
        <v>21</v>
      </c>
      <c r="I6166" s="2" t="s">
        <v>12268</v>
      </c>
      <c r="J6166" s="3" t="str">
        <f>HYPERLINK("https://www.boe.es/gazeta/dias/1823/05/13/pdfs/GMD-1823-132.pdf#page=1","Abrir facsímil")</f>
        <v>Abrir facsímil</v>
      </c>
      <c r="K6166" s="3" t="s">
        <v>23</v>
      </c>
    </row>
    <row r="6167" spans="1:11" ht="42" customHeight="1">
      <c r="A6167" s="2" t="s">
        <v>12269</v>
      </c>
      <c r="B6167" s="2" t="s">
        <v>12270</v>
      </c>
      <c r="C6167" s="2" t="s">
        <v>17</v>
      </c>
      <c r="D6167" s="2" t="s">
        <v>18</v>
      </c>
      <c r="E6167" s="5">
        <v>-28092</v>
      </c>
      <c r="F6167" s="3" t="s">
        <v>105</v>
      </c>
      <c r="G6167" s="3" t="s">
        <v>59</v>
      </c>
      <c r="H6167" s="2" t="s">
        <v>21</v>
      </c>
      <c r="I6167" s="2" t="s">
        <v>12271</v>
      </c>
      <c r="J6167" s="3" t="str">
        <f>HYPERLINK("https://www.boe.es/gazeta/dias/1823/01/31/pdfs/GMD-1823-32.pdf#page=6","Abrir facsímil")</f>
        <v>Abrir facsímil</v>
      </c>
      <c r="K6167" s="3" t="s">
        <v>23</v>
      </c>
    </row>
    <row r="6168" spans="1:11" ht="42" customHeight="1">
      <c r="A6168" s="2" t="s">
        <v>12272</v>
      </c>
      <c r="B6168" s="2" t="s">
        <v>12273</v>
      </c>
      <c r="C6168" s="2" t="s">
        <v>79</v>
      </c>
      <c r="D6168" s="2" t="s">
        <v>74</v>
      </c>
      <c r="E6168" s="5">
        <v>-27926</v>
      </c>
      <c r="F6168" s="3" t="s">
        <v>2158</v>
      </c>
      <c r="G6168" s="3" t="s">
        <v>39</v>
      </c>
      <c r="H6168" s="2" t="s">
        <v>21</v>
      </c>
      <c r="I6168" s="2" t="s">
        <v>12274</v>
      </c>
      <c r="J6168" s="3" t="str">
        <f>HYPERLINK("https://www.boe.es/gazeta/dias/1823/07/16/pdfs/GES-1823-96.pdf#page=1","Abrir facsímil")</f>
        <v>Abrir facsímil</v>
      </c>
      <c r="K6168" s="3" t="s">
        <v>23</v>
      </c>
    </row>
    <row r="6169" spans="1:11" ht="42" customHeight="1">
      <c r="A6169" s="2" t="s">
        <v>12275</v>
      </c>
      <c r="B6169" s="2" t="s">
        <v>12275</v>
      </c>
      <c r="C6169" s="2" t="s">
        <v>17</v>
      </c>
      <c r="D6169" s="2" t="s">
        <v>18</v>
      </c>
      <c r="E6169" s="5">
        <v>-27918</v>
      </c>
      <c r="F6169" s="3" t="s">
        <v>218</v>
      </c>
      <c r="G6169" s="3" t="s">
        <v>34</v>
      </c>
      <c r="H6169" s="2" t="s">
        <v>21</v>
      </c>
      <c r="I6169" s="2" t="s">
        <v>12276</v>
      </c>
      <c r="J6169" s="3" t="str">
        <f>HYPERLINK("https://www.boe.es/gazeta/dias/1823/07/24/pdfs/GMD-1823-463.pdf#page=5","Abrir facsímil")</f>
        <v>Abrir facsímil</v>
      </c>
      <c r="K6169" s="3" t="s">
        <v>23</v>
      </c>
    </row>
    <row r="6170" spans="1:11" ht="42" customHeight="1">
      <c r="A6170" s="2" t="s">
        <v>12277</v>
      </c>
      <c r="B6170" s="2" t="s">
        <v>12277</v>
      </c>
      <c r="C6170" s="2" t="s">
        <v>79</v>
      </c>
      <c r="D6170" s="2" t="s">
        <v>74</v>
      </c>
      <c r="E6170" s="5">
        <v>-27978</v>
      </c>
      <c r="F6170" s="3" t="s">
        <v>342</v>
      </c>
      <c r="G6170" s="3" t="s">
        <v>48</v>
      </c>
      <c r="H6170" s="2" t="s">
        <v>21</v>
      </c>
      <c r="I6170" s="2" t="s">
        <v>12278</v>
      </c>
      <c r="J6170" s="3" t="str">
        <f>HYPERLINK("https://www.boe.es/gazeta/dias/1823/05/25/pdfs/GES-1823-46.pdf#page=3","Abrir facsímil")</f>
        <v>Abrir facsímil</v>
      </c>
      <c r="K6170" s="3" t="s">
        <v>23</v>
      </c>
    </row>
    <row r="6171" spans="1:11" ht="42" customHeight="1">
      <c r="A6171" s="2" t="s">
        <v>12277</v>
      </c>
      <c r="B6171" s="2" t="s">
        <v>12277</v>
      </c>
      <c r="C6171" s="2" t="s">
        <v>56</v>
      </c>
      <c r="D6171" s="2" t="s">
        <v>57</v>
      </c>
      <c r="E6171" s="5">
        <v>-27846</v>
      </c>
      <c r="F6171" s="3" t="s">
        <v>2535</v>
      </c>
      <c r="G6171" s="3" t="s">
        <v>20</v>
      </c>
      <c r="H6171" s="2" t="s">
        <v>21</v>
      </c>
      <c r="I6171" s="2" t="s">
        <v>12279</v>
      </c>
      <c r="J6171" s="3" t="str">
        <f>HYPERLINK("https://www.boe.es/gazeta/dias/1823/10/04/pdfs/GMD-1823-913.pdf#page=4","Abrir facsímil")</f>
        <v>Abrir facsímil</v>
      </c>
      <c r="K6171" s="3" t="s">
        <v>23</v>
      </c>
    </row>
    <row r="6172" spans="1:11" ht="42" customHeight="1">
      <c r="A6172" s="2" t="s">
        <v>12280</v>
      </c>
      <c r="B6172" s="2" t="s">
        <v>12281</v>
      </c>
      <c r="C6172" s="2" t="s">
        <v>79</v>
      </c>
      <c r="D6172" s="2" t="s">
        <v>74</v>
      </c>
      <c r="E6172" s="5">
        <v>-28088</v>
      </c>
      <c r="F6172" s="3" t="s">
        <v>542</v>
      </c>
      <c r="G6172" s="3" t="s">
        <v>20</v>
      </c>
      <c r="H6172" s="2" t="s">
        <v>21</v>
      </c>
      <c r="I6172" s="2" t="s">
        <v>12282</v>
      </c>
      <c r="J6172" s="3" t="str">
        <f>HYPERLINK("https://www.boe.es/gazeta/dias/1823/02/04/pdfs/GMD-1823-37.pdf#page=4","Abrir facsímil")</f>
        <v>Abrir facsímil</v>
      </c>
      <c r="K6172" s="3" t="s">
        <v>23</v>
      </c>
    </row>
    <row r="6173" spans="1:11" ht="42" customHeight="1">
      <c r="A6173" s="2" t="s">
        <v>12283</v>
      </c>
      <c r="B6173" s="2" t="s">
        <v>12284</v>
      </c>
      <c r="C6173" s="2" t="s">
        <v>17</v>
      </c>
      <c r="D6173" s="2" t="s">
        <v>18</v>
      </c>
      <c r="E6173" s="5">
        <v>-28070</v>
      </c>
      <c r="F6173" s="3" t="s">
        <v>972</v>
      </c>
      <c r="G6173" s="3" t="s">
        <v>48</v>
      </c>
      <c r="H6173" s="2" t="s">
        <v>21</v>
      </c>
      <c r="I6173" s="2" t="s">
        <v>12285</v>
      </c>
      <c r="J6173" s="3" t="str">
        <f>HYPERLINK("https://www.boe.es/gazeta/dias/1823/02/22/pdfs/GMD-1823-56.pdf#page=3","Abrir facsímil")</f>
        <v>Abrir facsímil</v>
      </c>
      <c r="K6173" s="3" t="s">
        <v>23</v>
      </c>
    </row>
    <row r="6174" spans="1:11" ht="42" customHeight="1">
      <c r="A6174" s="2" t="s">
        <v>12286</v>
      </c>
      <c r="B6174" s="2" t="s">
        <v>12287</v>
      </c>
      <c r="C6174" s="2" t="s">
        <v>79</v>
      </c>
      <c r="D6174" s="2" t="s">
        <v>74</v>
      </c>
      <c r="E6174" s="5">
        <v>-28117</v>
      </c>
      <c r="F6174" s="3" t="s">
        <v>271</v>
      </c>
      <c r="G6174" s="3" t="s">
        <v>39</v>
      </c>
      <c r="H6174" s="2" t="s">
        <v>21</v>
      </c>
      <c r="I6174" s="2" t="s">
        <v>12288</v>
      </c>
      <c r="J6174" s="3" t="str">
        <f>HYPERLINK("https://www.boe.es/gazeta/dias/1823/01/06/pdfs/GMD-1823-6.pdf#page=1","Abrir facsímil")</f>
        <v>Abrir facsímil</v>
      </c>
      <c r="K6174" s="3" t="s">
        <v>23</v>
      </c>
    </row>
    <row r="6175" spans="1:11" ht="42" customHeight="1">
      <c r="A6175" s="2" t="s">
        <v>12289</v>
      </c>
      <c r="B6175" s="2" t="s">
        <v>12290</v>
      </c>
      <c r="C6175" s="2" t="s">
        <v>56</v>
      </c>
      <c r="D6175" s="2" t="s">
        <v>57</v>
      </c>
      <c r="E6175" s="5">
        <v>-27967</v>
      </c>
      <c r="F6175" s="3" t="s">
        <v>412</v>
      </c>
      <c r="G6175" s="3" t="s">
        <v>39</v>
      </c>
      <c r="H6175" s="2" t="s">
        <v>21</v>
      </c>
      <c r="I6175" s="2" t="s">
        <v>12291</v>
      </c>
      <c r="J6175" s="3" t="str">
        <f>HYPERLINK("https://www.boe.es/gazeta/dias/1823/06/05/pdfs/GES-1823-59.pdf#page=1","Abrir facsímil")</f>
        <v>Abrir facsímil</v>
      </c>
      <c r="K6175" s="3" t="s">
        <v>23</v>
      </c>
    </row>
    <row r="6176" spans="1:11" ht="42" customHeight="1">
      <c r="A6176" s="2" t="s">
        <v>12292</v>
      </c>
      <c r="B6176" s="2" t="s">
        <v>12293</v>
      </c>
      <c r="C6176" s="2" t="s">
        <v>17</v>
      </c>
      <c r="D6176" s="2" t="s">
        <v>18</v>
      </c>
      <c r="E6176" s="5">
        <v>-28091</v>
      </c>
      <c r="F6176" s="3" t="s">
        <v>1047</v>
      </c>
      <c r="G6176" s="3" t="s">
        <v>34</v>
      </c>
      <c r="H6176" s="2" t="s">
        <v>21</v>
      </c>
      <c r="I6176" s="2" t="s">
        <v>12294</v>
      </c>
      <c r="J6176" s="3" t="str">
        <f>HYPERLINK("https://www.boe.es/gazeta/dias/1823/02/01/pdfs/GMD-1823-34.pdf#page=5","Abrir facsímil")</f>
        <v>Abrir facsímil</v>
      </c>
      <c r="K6176" s="3" t="s">
        <v>23</v>
      </c>
    </row>
    <row r="6177" spans="1:11" ht="42" customHeight="1">
      <c r="A6177" s="2" t="s">
        <v>12295</v>
      </c>
      <c r="B6177" s="2" t="s">
        <v>12295</v>
      </c>
      <c r="C6177" s="2" t="s">
        <v>17</v>
      </c>
      <c r="D6177" s="2" t="s">
        <v>18</v>
      </c>
      <c r="E6177" s="5">
        <v>-27890</v>
      </c>
      <c r="F6177" s="3" t="s">
        <v>1573</v>
      </c>
      <c r="G6177" s="3" t="s">
        <v>48</v>
      </c>
      <c r="H6177" s="2" t="s">
        <v>21</v>
      </c>
      <c r="I6177" s="2" t="s">
        <v>12296</v>
      </c>
      <c r="J6177" s="3" t="str">
        <f>HYPERLINK("https://www.boe.es/gazeta/dias/1823/08/21/pdfs/GMD-1823-623.pdf#page=3","Abrir facsímil")</f>
        <v>Abrir facsímil</v>
      </c>
      <c r="K6177" s="3" t="s">
        <v>23</v>
      </c>
    </row>
    <row r="6178" spans="1:11" ht="42" customHeight="1">
      <c r="A6178" s="2" t="s">
        <v>12297</v>
      </c>
      <c r="B6178" s="2" t="s">
        <v>12297</v>
      </c>
      <c r="C6178" s="2" t="s">
        <v>79</v>
      </c>
      <c r="D6178" s="2" t="s">
        <v>74</v>
      </c>
      <c r="E6178" s="5">
        <v>-28098</v>
      </c>
      <c r="F6178" s="3" t="s">
        <v>1101</v>
      </c>
      <c r="G6178" s="3" t="s">
        <v>48</v>
      </c>
      <c r="H6178" s="2" t="s">
        <v>21</v>
      </c>
      <c r="I6178" s="2" t="s">
        <v>12298</v>
      </c>
      <c r="J6178" s="3" t="str">
        <f>HYPERLINK("https://www.boe.es/gazeta/dias/1823/01/25/pdfs/GMD-1823-26.pdf#page=3","Abrir facsímil")</f>
        <v>Abrir facsímil</v>
      </c>
      <c r="K6178" s="3" t="s">
        <v>23</v>
      </c>
    </row>
    <row r="6179" spans="1:11" ht="42" customHeight="1">
      <c r="A6179" s="2" t="s">
        <v>12299</v>
      </c>
      <c r="B6179" s="2" t="s">
        <v>12299</v>
      </c>
      <c r="C6179" s="2" t="s">
        <v>17</v>
      </c>
      <c r="D6179" s="2" t="s">
        <v>18</v>
      </c>
      <c r="E6179" s="5">
        <v>-28120</v>
      </c>
      <c r="F6179" s="3" t="s">
        <v>2772</v>
      </c>
      <c r="G6179" s="3" t="s">
        <v>3108</v>
      </c>
      <c r="H6179" s="2" t="s">
        <v>21</v>
      </c>
      <c r="I6179" s="2" t="s">
        <v>12300</v>
      </c>
      <c r="J6179" s="3" t="str">
        <f>HYPERLINK("https://www.boe.es/gazeta/dias/1823/01/03/pdfs/GMD-1823-3.pdf#page=3","Abrir facsímil")</f>
        <v>Abrir facsímil</v>
      </c>
      <c r="K6179" s="3" t="s">
        <v>23</v>
      </c>
    </row>
    <row r="6180" spans="1:11" ht="42" customHeight="1">
      <c r="A6180" s="2" t="s">
        <v>12301</v>
      </c>
      <c r="B6180" s="2" t="s">
        <v>12301</v>
      </c>
      <c r="C6180" s="2" t="s">
        <v>56</v>
      </c>
      <c r="D6180" s="2" t="s">
        <v>57</v>
      </c>
      <c r="E6180" s="5">
        <v>-28120</v>
      </c>
      <c r="F6180" s="3" t="s">
        <v>2772</v>
      </c>
      <c r="G6180" s="3" t="s">
        <v>27</v>
      </c>
      <c r="H6180" s="2" t="s">
        <v>21</v>
      </c>
      <c r="I6180" s="2" t="s">
        <v>12302</v>
      </c>
      <c r="J6180" s="3" t="str">
        <f>HYPERLINK("https://www.boe.es/gazeta/dias/1823/01/03/pdfs/GMD-1823-3.pdf#page=2","Abrir facsímil")</f>
        <v>Abrir facsímil</v>
      </c>
      <c r="K6180" s="3" t="s">
        <v>23</v>
      </c>
    </row>
    <row r="6181" spans="1:11" ht="42" customHeight="1">
      <c r="A6181" s="2" t="s">
        <v>12301</v>
      </c>
      <c r="B6181" s="2" t="s">
        <v>12301</v>
      </c>
      <c r="C6181" s="2" t="s">
        <v>17</v>
      </c>
      <c r="D6181" s="2" t="s">
        <v>18</v>
      </c>
      <c r="E6181" s="5">
        <v>-28101</v>
      </c>
      <c r="F6181" s="3" t="s">
        <v>1041</v>
      </c>
      <c r="G6181" s="3" t="s">
        <v>27</v>
      </c>
      <c r="H6181" s="2" t="s">
        <v>21</v>
      </c>
      <c r="I6181" s="2" t="s">
        <v>12303</v>
      </c>
      <c r="J6181" s="3" t="str">
        <f>HYPERLINK("https://www.boe.es/gazeta/dias/1823/01/22/pdfs/GMD-1823-23.pdf#page=2","Abrir facsímil")</f>
        <v>Abrir facsímil</v>
      </c>
      <c r="K6181" s="3" t="s">
        <v>23</v>
      </c>
    </row>
    <row r="6182" spans="1:11" ht="42" customHeight="1">
      <c r="A6182" s="2" t="s">
        <v>12301</v>
      </c>
      <c r="B6182" s="2" t="s">
        <v>12301</v>
      </c>
      <c r="C6182" s="2" t="s">
        <v>17</v>
      </c>
      <c r="D6182" s="2" t="s">
        <v>18</v>
      </c>
      <c r="E6182" s="5">
        <v>-28094</v>
      </c>
      <c r="F6182" s="3" t="s">
        <v>93</v>
      </c>
      <c r="G6182" s="3" t="s">
        <v>27</v>
      </c>
      <c r="H6182" s="2" t="s">
        <v>21</v>
      </c>
      <c r="I6182" s="2" t="s">
        <v>12304</v>
      </c>
      <c r="J6182" s="3" t="str">
        <f>HYPERLINK("https://www.boe.es/gazeta/dias/1823/01/29/pdfs/GMD-1823-30.pdf#page=2","Abrir facsímil")</f>
        <v>Abrir facsímil</v>
      </c>
      <c r="K6182" s="3" t="s">
        <v>23</v>
      </c>
    </row>
    <row r="6183" spans="1:11" ht="42" customHeight="1">
      <c r="A6183" s="2" t="s">
        <v>12301</v>
      </c>
      <c r="B6183" s="2" t="s">
        <v>12301</v>
      </c>
      <c r="C6183" s="2" t="s">
        <v>17</v>
      </c>
      <c r="D6183" s="2" t="s">
        <v>18</v>
      </c>
      <c r="E6183" s="5">
        <v>-28092</v>
      </c>
      <c r="F6183" s="3" t="s">
        <v>105</v>
      </c>
      <c r="G6183" s="3" t="s">
        <v>27</v>
      </c>
      <c r="H6183" s="2" t="s">
        <v>21</v>
      </c>
      <c r="I6183" s="2" t="s">
        <v>12305</v>
      </c>
      <c r="J6183" s="3" t="str">
        <f>HYPERLINK("https://www.boe.es/gazeta/dias/1823/01/31/pdfs/GMD-1823-32.pdf#page=2","Abrir facsímil")</f>
        <v>Abrir facsímil</v>
      </c>
      <c r="K6183" s="3" t="s">
        <v>23</v>
      </c>
    </row>
    <row r="6184" spans="1:11" ht="42" customHeight="1">
      <c r="A6184" s="2" t="s">
        <v>12301</v>
      </c>
      <c r="B6184" s="2" t="s">
        <v>12301</v>
      </c>
      <c r="C6184" s="2" t="s">
        <v>56</v>
      </c>
      <c r="D6184" s="2" t="s">
        <v>57</v>
      </c>
      <c r="E6184" s="5">
        <v>-28082</v>
      </c>
      <c r="F6184" s="3" t="s">
        <v>468</v>
      </c>
      <c r="G6184" s="3" t="s">
        <v>27</v>
      </c>
      <c r="H6184" s="2" t="s">
        <v>21</v>
      </c>
      <c r="I6184" s="2" t="s">
        <v>12306</v>
      </c>
      <c r="J6184" s="3" t="str">
        <f>HYPERLINK("https://www.boe.es/gazeta/dias/1823/02/10/pdfs/GMD-1823-44.pdf#page=2","Abrir facsímil")</f>
        <v>Abrir facsímil</v>
      </c>
      <c r="K6184" s="3" t="s">
        <v>23</v>
      </c>
    </row>
    <row r="6185" spans="1:11" ht="42" customHeight="1">
      <c r="A6185" s="2" t="s">
        <v>12301</v>
      </c>
      <c r="B6185" s="2" t="s">
        <v>12301</v>
      </c>
      <c r="C6185" s="2" t="s">
        <v>325</v>
      </c>
      <c r="D6185" s="2" t="s">
        <v>74</v>
      </c>
      <c r="E6185" s="5">
        <v>-28071</v>
      </c>
      <c r="F6185" s="3" t="s">
        <v>587</v>
      </c>
      <c r="G6185" s="3" t="s">
        <v>27</v>
      </c>
      <c r="H6185" s="2" t="s">
        <v>21</v>
      </c>
      <c r="I6185" s="2" t="s">
        <v>12307</v>
      </c>
      <c r="J6185" s="3" t="str">
        <f>HYPERLINK("https://www.boe.es/gazeta/dias/1823/02/21/pdfs/GMD-1823-55.pdf#page=2","Abrir facsímil")</f>
        <v>Abrir facsímil</v>
      </c>
      <c r="K6185" s="3" t="s">
        <v>23</v>
      </c>
    </row>
    <row r="6186" spans="1:11" ht="42" customHeight="1">
      <c r="A6186" s="2" t="s">
        <v>12301</v>
      </c>
      <c r="B6186" s="2" t="s">
        <v>12301</v>
      </c>
      <c r="C6186" s="2" t="s">
        <v>17</v>
      </c>
      <c r="D6186" s="2" t="s">
        <v>18</v>
      </c>
      <c r="E6186" s="5">
        <v>-28060</v>
      </c>
      <c r="F6186" s="3" t="s">
        <v>180</v>
      </c>
      <c r="G6186" s="3" t="s">
        <v>27</v>
      </c>
      <c r="H6186" s="2" t="s">
        <v>21</v>
      </c>
      <c r="I6186" s="2" t="s">
        <v>12308</v>
      </c>
      <c r="J6186" s="3" t="str">
        <f>HYPERLINK("https://www.boe.es/gazeta/dias/1823/03/04/pdfs/GMD-1823-67.pdf#page=2","Abrir facsímil")</f>
        <v>Abrir facsímil</v>
      </c>
      <c r="K6186" s="3" t="s">
        <v>23</v>
      </c>
    </row>
    <row r="6187" spans="1:11" ht="42" customHeight="1">
      <c r="A6187" s="2" t="s">
        <v>12301</v>
      </c>
      <c r="B6187" s="2" t="s">
        <v>12301</v>
      </c>
      <c r="C6187" s="2" t="s">
        <v>79</v>
      </c>
      <c r="D6187" s="2" t="s">
        <v>74</v>
      </c>
      <c r="E6187" s="5">
        <v>-28055</v>
      </c>
      <c r="F6187" s="3" t="s">
        <v>313</v>
      </c>
      <c r="G6187" s="3" t="s">
        <v>27</v>
      </c>
      <c r="H6187" s="2" t="s">
        <v>21</v>
      </c>
      <c r="I6187" s="2" t="s">
        <v>12309</v>
      </c>
      <c r="J6187" s="3" t="str">
        <f>HYPERLINK("https://www.boe.es/gazeta/dias/1823/03/09/pdfs/GMD-1823-72.pdf#page=2","Abrir facsímil")</f>
        <v>Abrir facsímil</v>
      </c>
      <c r="K6187" s="3" t="s">
        <v>23</v>
      </c>
    </row>
    <row r="6188" spans="1:11" ht="42" customHeight="1">
      <c r="A6188" s="2" t="s">
        <v>12301</v>
      </c>
      <c r="B6188" s="2" t="s">
        <v>12301</v>
      </c>
      <c r="C6188" s="2" t="s">
        <v>109</v>
      </c>
      <c r="D6188" s="2" t="s">
        <v>74</v>
      </c>
      <c r="E6188" s="5">
        <v>-28007</v>
      </c>
      <c r="F6188" s="3" t="s">
        <v>311</v>
      </c>
      <c r="G6188" s="3" t="s">
        <v>27</v>
      </c>
      <c r="H6188" s="2" t="s">
        <v>21</v>
      </c>
      <c r="I6188" s="2" t="s">
        <v>12310</v>
      </c>
      <c r="J6188" s="3" t="str">
        <f>HYPERLINK("https://www.boe.es/gazeta/dias/1823/04/26/pdfs/GES-1823-16.pdf#page=2","Abrir facsímil")</f>
        <v>Abrir facsímil</v>
      </c>
      <c r="K6188" s="3" t="s">
        <v>23</v>
      </c>
    </row>
    <row r="6189" spans="1:11" ht="42" customHeight="1">
      <c r="A6189" s="2" t="s">
        <v>12301</v>
      </c>
      <c r="B6189" s="2" t="s">
        <v>12301</v>
      </c>
      <c r="C6189" s="2" t="s">
        <v>79</v>
      </c>
      <c r="D6189" s="2" t="s">
        <v>74</v>
      </c>
      <c r="E6189" s="5">
        <v>-28003</v>
      </c>
      <c r="F6189" s="3" t="s">
        <v>26</v>
      </c>
      <c r="G6189" s="3" t="s">
        <v>48</v>
      </c>
      <c r="H6189" s="2" t="s">
        <v>21</v>
      </c>
      <c r="I6189" s="2" t="s">
        <v>12311</v>
      </c>
      <c r="J6189" s="3" t="str">
        <f>HYPERLINK("https://www.boe.es/gazeta/dias/1823/04/30/pdfs/GES-1823-20.pdf#page=3","Abrir facsímil")</f>
        <v>Abrir facsímil</v>
      </c>
      <c r="K6189" s="3" t="s">
        <v>23</v>
      </c>
    </row>
    <row r="6190" spans="1:11" ht="42" customHeight="1">
      <c r="A6190" s="2" t="s">
        <v>12301</v>
      </c>
      <c r="B6190" s="2" t="s">
        <v>12301</v>
      </c>
      <c r="C6190" s="2" t="s">
        <v>56</v>
      </c>
      <c r="D6190" s="2" t="s">
        <v>57</v>
      </c>
      <c r="E6190" s="5">
        <v>-27970</v>
      </c>
      <c r="F6190" s="3" t="s">
        <v>1030</v>
      </c>
      <c r="G6190" s="3" t="s">
        <v>27</v>
      </c>
      <c r="H6190" s="2" t="s">
        <v>21</v>
      </c>
      <c r="I6190" s="2" t="s">
        <v>12312</v>
      </c>
      <c r="J6190" s="3" t="str">
        <f>HYPERLINK("https://www.boe.es/gazeta/dias/1823/06/02/pdfs/GES-1823-56.pdf#page=2","Abrir facsímil")</f>
        <v>Abrir facsímil</v>
      </c>
      <c r="K6190" s="3" t="s">
        <v>23</v>
      </c>
    </row>
    <row r="6191" spans="1:11" ht="42" customHeight="1">
      <c r="A6191" s="2" t="s">
        <v>12313</v>
      </c>
      <c r="B6191" s="2" t="s">
        <v>12314</v>
      </c>
      <c r="C6191" s="2" t="s">
        <v>17</v>
      </c>
      <c r="D6191" s="2" t="s">
        <v>18</v>
      </c>
      <c r="E6191" s="5">
        <v>-27970</v>
      </c>
      <c r="F6191" s="3" t="s">
        <v>1030</v>
      </c>
      <c r="G6191" s="3" t="s">
        <v>20</v>
      </c>
      <c r="H6191" s="2" t="s">
        <v>21</v>
      </c>
      <c r="I6191" s="2" t="s">
        <v>12315</v>
      </c>
      <c r="J6191" s="3" t="str">
        <f>HYPERLINK("https://www.boe.es/gazeta/dias/1823/06/02/pdfs/GES-1823-56.pdf#page=4","Abrir facsímil")</f>
        <v>Abrir facsímil</v>
      </c>
      <c r="K6191" s="3" t="s">
        <v>23</v>
      </c>
    </row>
    <row r="6192" spans="1:11" ht="42" customHeight="1">
      <c r="A6192" s="2" t="s">
        <v>12316</v>
      </c>
      <c r="B6192" s="2" t="s">
        <v>12316</v>
      </c>
      <c r="C6192" s="2" t="s">
        <v>17</v>
      </c>
      <c r="D6192" s="2" t="s">
        <v>18</v>
      </c>
      <c r="E6192" s="5">
        <v>-27848</v>
      </c>
      <c r="F6192" s="3" t="s">
        <v>1083</v>
      </c>
      <c r="G6192" s="3" t="s">
        <v>39</v>
      </c>
      <c r="H6192" s="2" t="s">
        <v>21</v>
      </c>
      <c r="I6192" s="2" t="s">
        <v>12317</v>
      </c>
      <c r="J6192" s="3" t="str">
        <f>HYPERLINK("https://www.boe.es/gazeta/dias/1823/10/02/pdfs/GES-1823-176.pdf#page=1","Abrir facsímil")</f>
        <v>Abrir facsímil</v>
      </c>
      <c r="K6192" s="3" t="s">
        <v>23</v>
      </c>
    </row>
    <row r="6193" spans="1:11" ht="42" customHeight="1">
      <c r="A6193" s="2" t="s">
        <v>12318</v>
      </c>
      <c r="B6193" s="2" t="s">
        <v>12319</v>
      </c>
      <c r="C6193" s="2" t="s">
        <v>56</v>
      </c>
      <c r="D6193" s="2" t="s">
        <v>57</v>
      </c>
      <c r="E6193" s="5">
        <v>-27906</v>
      </c>
      <c r="F6193" s="3" t="s">
        <v>1527</v>
      </c>
      <c r="G6193" s="3" t="s">
        <v>59</v>
      </c>
      <c r="H6193" s="2" t="s">
        <v>21</v>
      </c>
      <c r="I6193" s="2" t="s">
        <v>12320</v>
      </c>
      <c r="J6193" s="3" t="str">
        <f>HYPERLINK("https://www.boe.es/gazeta/dias/1823/08/05/pdfs/GMD-1823-533.pdf#page=6","Abrir facsímil")</f>
        <v>Abrir facsímil</v>
      </c>
      <c r="K6193" s="3" t="s">
        <v>23</v>
      </c>
    </row>
    <row r="6194" spans="1:11" ht="42" customHeight="1">
      <c r="A6194" s="2" t="s">
        <v>12321</v>
      </c>
      <c r="B6194" s="2" t="s">
        <v>12322</v>
      </c>
      <c r="C6194" s="2" t="s">
        <v>17</v>
      </c>
      <c r="D6194" s="2" t="s">
        <v>18</v>
      </c>
      <c r="E6194" s="5">
        <v>-27887</v>
      </c>
      <c r="F6194" s="3" t="s">
        <v>1196</v>
      </c>
      <c r="G6194" s="3" t="s">
        <v>20</v>
      </c>
      <c r="H6194" s="2" t="s">
        <v>21</v>
      </c>
      <c r="I6194" s="2" t="s">
        <v>12323</v>
      </c>
      <c r="J6194" s="3" t="str">
        <f>HYPERLINK("https://www.boe.es/gazeta/dias/1823/08/24/pdfs/GES-1823-137.pdf#page=4","Abrir facsímil")</f>
        <v>Abrir facsímil</v>
      </c>
      <c r="K6194" s="3" t="s">
        <v>23</v>
      </c>
    </row>
    <row r="6195" spans="1:11" ht="42" customHeight="1">
      <c r="A6195" s="2" t="s">
        <v>12324</v>
      </c>
      <c r="B6195" s="2" t="s">
        <v>12325</v>
      </c>
      <c r="C6195" s="2" t="s">
        <v>17</v>
      </c>
      <c r="D6195" s="2" t="s">
        <v>18</v>
      </c>
      <c r="E6195" s="5">
        <v>-27984</v>
      </c>
      <c r="F6195" s="3" t="s">
        <v>335</v>
      </c>
      <c r="G6195" s="3" t="s">
        <v>27</v>
      </c>
      <c r="H6195" s="2" t="s">
        <v>21</v>
      </c>
      <c r="I6195" s="2" t="s">
        <v>12326</v>
      </c>
      <c r="J6195" s="3" t="str">
        <f>HYPERLINK("https://www.boe.es/gazeta/dias/1823/05/19/pdfs/GES-1823-39.pdf#page=2","Abrir facsímil")</f>
        <v>Abrir facsímil</v>
      </c>
      <c r="K6195" s="3" t="s">
        <v>23</v>
      </c>
    </row>
    <row r="6196" spans="1:11" ht="42" customHeight="1">
      <c r="A6196" s="2" t="s">
        <v>12327</v>
      </c>
      <c r="B6196" s="2" t="s">
        <v>12328</v>
      </c>
      <c r="C6196" s="2" t="s">
        <v>73</v>
      </c>
      <c r="D6196" s="2" t="s">
        <v>74</v>
      </c>
      <c r="E6196" s="5">
        <v>-27972</v>
      </c>
      <c r="F6196" s="3" t="s">
        <v>429</v>
      </c>
      <c r="G6196" s="3" t="s">
        <v>39</v>
      </c>
      <c r="H6196" s="2" t="s">
        <v>21</v>
      </c>
      <c r="I6196" s="2" t="s">
        <v>12329</v>
      </c>
      <c r="J6196" s="3" t="str">
        <f>HYPERLINK("https://www.boe.es/gazeta/dias/1823/05/31/pdfs/GES-1823-54.pdf#page=1","Abrir facsímil")</f>
        <v>Abrir facsímil</v>
      </c>
      <c r="K6196" s="3" t="s">
        <v>23</v>
      </c>
    </row>
    <row r="6197" spans="1:11" ht="42" customHeight="1">
      <c r="A6197" s="2" t="s">
        <v>12330</v>
      </c>
      <c r="B6197" s="2" t="s">
        <v>12331</v>
      </c>
      <c r="C6197" s="2" t="s">
        <v>109</v>
      </c>
      <c r="D6197" s="2" t="s">
        <v>74</v>
      </c>
      <c r="E6197" s="5">
        <v>-28097</v>
      </c>
      <c r="F6197" s="3" t="s">
        <v>1368</v>
      </c>
      <c r="G6197" s="3" t="s">
        <v>20</v>
      </c>
      <c r="H6197" s="2" t="s">
        <v>21</v>
      </c>
      <c r="I6197" s="2" t="s">
        <v>12332</v>
      </c>
      <c r="J6197" s="3" t="str">
        <f>HYPERLINK("https://www.boe.es/gazeta/dias/1823/01/26/pdfs/GMD-1823-27.pdf#page=4","Abrir facsímil")</f>
        <v>Abrir facsímil</v>
      </c>
      <c r="K6197" s="3" t="s">
        <v>23</v>
      </c>
    </row>
    <row r="6198" spans="1:11" ht="42" customHeight="1">
      <c r="A6198" s="2" t="s">
        <v>12333</v>
      </c>
      <c r="B6198" s="2" t="s">
        <v>12334</v>
      </c>
      <c r="C6198" s="2" t="s">
        <v>56</v>
      </c>
      <c r="D6198" s="2" t="s">
        <v>57</v>
      </c>
      <c r="E6198" s="5">
        <v>-27906</v>
      </c>
      <c r="F6198" s="3" t="s">
        <v>241</v>
      </c>
      <c r="G6198" s="3" t="s">
        <v>2212</v>
      </c>
      <c r="H6198" s="2" t="s">
        <v>21</v>
      </c>
      <c r="I6198" s="2" t="s">
        <v>12335</v>
      </c>
      <c r="J6198" s="3" t="str">
        <f>HYPERLINK("https://www.boe.es/gazeta/dias/1823/08/05/pdfs/GES-1823-117.pdf#page=2","Abrir facsímil")</f>
        <v>Abrir facsímil</v>
      </c>
      <c r="K6198" s="3" t="s">
        <v>23</v>
      </c>
    </row>
    <row r="6199" spans="1:11" ht="42" customHeight="1">
      <c r="A6199" s="2" t="s">
        <v>12336</v>
      </c>
      <c r="B6199" s="2" t="s">
        <v>12337</v>
      </c>
      <c r="C6199" s="2" t="s">
        <v>17</v>
      </c>
      <c r="D6199" s="2" t="s">
        <v>18</v>
      </c>
      <c r="E6199" s="5">
        <v>-28007</v>
      </c>
      <c r="F6199" s="3" t="s">
        <v>311</v>
      </c>
      <c r="G6199" s="3" t="s">
        <v>1968</v>
      </c>
      <c r="H6199" s="2" t="s">
        <v>21</v>
      </c>
      <c r="I6199" s="2" t="s">
        <v>12338</v>
      </c>
      <c r="J6199" s="3" t="str">
        <f>HYPERLINK("https://www.boe.es/gazeta/dias/1823/04/26/pdfs/GES-1823-16.pdf#page=4","Abrir facsímil")</f>
        <v>Abrir facsímil</v>
      </c>
      <c r="K6199" s="3" t="s">
        <v>23</v>
      </c>
    </row>
    <row r="6200" spans="1:11" ht="42" customHeight="1">
      <c r="A6200" s="2" t="s">
        <v>12339</v>
      </c>
      <c r="B6200" s="2" t="s">
        <v>12339</v>
      </c>
      <c r="C6200" s="2" t="s">
        <v>56</v>
      </c>
      <c r="D6200" s="2" t="s">
        <v>57</v>
      </c>
      <c r="E6200" s="5">
        <v>-28100</v>
      </c>
      <c r="F6200" s="3" t="s">
        <v>737</v>
      </c>
      <c r="G6200" s="3" t="s">
        <v>39</v>
      </c>
      <c r="H6200" s="2" t="s">
        <v>21</v>
      </c>
      <c r="I6200" s="2" t="s">
        <v>12340</v>
      </c>
      <c r="J6200" s="3" t="str">
        <f>HYPERLINK("https://www.boe.es/gazeta/dias/1823/01/23/pdfs/GMD-1823-24.pdf#page=1","Abrir facsímil")</f>
        <v>Abrir facsímil</v>
      </c>
      <c r="K6200" s="3" t="s">
        <v>23</v>
      </c>
    </row>
    <row r="6201" spans="1:11" ht="42" customHeight="1">
      <c r="A6201" s="2" t="s">
        <v>12341</v>
      </c>
      <c r="B6201" s="2" t="s">
        <v>12342</v>
      </c>
      <c r="C6201" s="2" t="s">
        <v>17</v>
      </c>
      <c r="D6201" s="2" t="s">
        <v>18</v>
      </c>
      <c r="E6201" s="5">
        <v>-27932</v>
      </c>
      <c r="F6201" s="3" t="s">
        <v>707</v>
      </c>
      <c r="G6201" s="3" t="s">
        <v>48</v>
      </c>
      <c r="H6201" s="2" t="s">
        <v>21</v>
      </c>
      <c r="I6201" s="2" t="s">
        <v>12343</v>
      </c>
      <c r="J6201" s="3" t="str">
        <f>HYPERLINK("https://www.boe.es/gazeta/dias/1823/07/10/pdfs/GES-1823-90.pdf#page=3","Abrir facsímil")</f>
        <v>Abrir facsímil</v>
      </c>
      <c r="K6201" s="3" t="s">
        <v>23</v>
      </c>
    </row>
    <row r="6202" spans="1:11" ht="42" customHeight="1">
      <c r="A6202" s="2" t="s">
        <v>12344</v>
      </c>
      <c r="B6202" s="2" t="s">
        <v>12345</v>
      </c>
      <c r="C6202" s="2" t="s">
        <v>56</v>
      </c>
      <c r="D6202" s="2" t="s">
        <v>57</v>
      </c>
      <c r="E6202" s="5">
        <v>-27820</v>
      </c>
      <c r="F6202" s="3" t="s">
        <v>6283</v>
      </c>
      <c r="G6202" s="3" t="s">
        <v>39</v>
      </c>
      <c r="H6202" s="2" t="s">
        <v>21</v>
      </c>
      <c r="I6202" s="2" t="s">
        <v>12346</v>
      </c>
      <c r="J6202" s="3" t="str">
        <f>HYPERLINK("https://www.boe.es/gazeta/dias/1823/10/30/pdfs/GMD-1823-1043.pdf#page=1","Abrir facsímil")</f>
        <v>Abrir facsímil</v>
      </c>
      <c r="K6202" s="3" t="s">
        <v>23</v>
      </c>
    </row>
    <row r="6203" spans="1:11" ht="42" customHeight="1">
      <c r="A6203" s="2" t="s">
        <v>12347</v>
      </c>
      <c r="B6203" s="2" t="s">
        <v>12347</v>
      </c>
      <c r="C6203" s="2" t="s">
        <v>56</v>
      </c>
      <c r="D6203" s="2" t="s">
        <v>57</v>
      </c>
      <c r="E6203" s="5">
        <v>-28106</v>
      </c>
      <c r="F6203" s="3" t="s">
        <v>280</v>
      </c>
      <c r="G6203" s="3" t="s">
        <v>20</v>
      </c>
      <c r="H6203" s="2" t="s">
        <v>21</v>
      </c>
      <c r="I6203" s="2" t="s">
        <v>12348</v>
      </c>
      <c r="J6203" s="3" t="str">
        <f>HYPERLINK("https://www.boe.es/gazeta/dias/1823/01/17/pdfs/GMD-1823-17.pdf#page=4","Abrir facsímil")</f>
        <v>Abrir facsímil</v>
      </c>
      <c r="K6203" s="3" t="s">
        <v>23</v>
      </c>
    </row>
    <row r="6204" spans="1:11" ht="42" customHeight="1">
      <c r="A6204" s="2" t="s">
        <v>12349</v>
      </c>
      <c r="B6204" s="2" t="s">
        <v>12349</v>
      </c>
      <c r="C6204" s="2" t="s">
        <v>17</v>
      </c>
      <c r="D6204" s="2" t="s">
        <v>18</v>
      </c>
      <c r="E6204" s="5">
        <v>-28071</v>
      </c>
      <c r="F6204" s="3" t="s">
        <v>587</v>
      </c>
      <c r="G6204" s="3" t="s">
        <v>48</v>
      </c>
      <c r="H6204" s="2" t="s">
        <v>21</v>
      </c>
      <c r="I6204" s="2" t="s">
        <v>12350</v>
      </c>
      <c r="J6204" s="3" t="str">
        <f>HYPERLINK("https://www.boe.es/gazeta/dias/1823/02/21/pdfs/GMD-1823-55.pdf#page=3","Abrir facsímil")</f>
        <v>Abrir facsímil</v>
      </c>
      <c r="K6204" s="3" t="s">
        <v>23</v>
      </c>
    </row>
    <row r="6205" spans="1:11" ht="42" customHeight="1">
      <c r="A6205" s="2" t="s">
        <v>12351</v>
      </c>
      <c r="B6205" s="2" t="s">
        <v>12352</v>
      </c>
      <c r="C6205" s="2" t="s">
        <v>84</v>
      </c>
      <c r="D6205" s="2" t="s">
        <v>74</v>
      </c>
      <c r="E6205" s="5">
        <v>-28100</v>
      </c>
      <c r="F6205" s="3" t="s">
        <v>737</v>
      </c>
      <c r="G6205" s="3" t="s">
        <v>27</v>
      </c>
      <c r="H6205" s="2" t="s">
        <v>21</v>
      </c>
      <c r="I6205" s="2" t="s">
        <v>12353</v>
      </c>
      <c r="J6205" s="3" t="str">
        <f>HYPERLINK("https://www.boe.es/gazeta/dias/1823/01/23/pdfs/GMD-1823-24.pdf#page=2","Abrir facsímil")</f>
        <v>Abrir facsímil</v>
      </c>
      <c r="K6205" s="3" t="s">
        <v>23</v>
      </c>
    </row>
    <row r="6206" spans="1:11" ht="42" customHeight="1">
      <c r="A6206" s="2" t="s">
        <v>12354</v>
      </c>
      <c r="B6206" s="2" t="s">
        <v>12354</v>
      </c>
      <c r="C6206" s="2" t="s">
        <v>109</v>
      </c>
      <c r="D6206" s="2" t="s">
        <v>74</v>
      </c>
      <c r="E6206" s="5">
        <v>-27968</v>
      </c>
      <c r="F6206" s="3" t="s">
        <v>1160</v>
      </c>
      <c r="G6206" s="3" t="s">
        <v>34</v>
      </c>
      <c r="H6206" s="2" t="s">
        <v>21</v>
      </c>
      <c r="I6206" s="2" t="s">
        <v>12355</v>
      </c>
      <c r="J6206" s="3" t="str">
        <f>HYPERLINK("https://www.boe.es/gazeta/dias/1823/06/04/pdfs/GES-1823-58.pdf#page=5","Abrir facsímil")</f>
        <v>Abrir facsímil</v>
      </c>
      <c r="K6206" s="3" t="s">
        <v>23</v>
      </c>
    </row>
    <row r="6207" spans="1:11" ht="42" customHeight="1">
      <c r="A6207" s="2" t="s">
        <v>12356</v>
      </c>
      <c r="B6207" s="2" t="s">
        <v>12357</v>
      </c>
      <c r="C6207" s="2" t="s">
        <v>56</v>
      </c>
      <c r="D6207" s="2" t="s">
        <v>57</v>
      </c>
      <c r="E6207" s="5">
        <v>-28037</v>
      </c>
      <c r="F6207" s="3" t="s">
        <v>192</v>
      </c>
      <c r="G6207" s="3" t="s">
        <v>20</v>
      </c>
      <c r="H6207" s="2" t="s">
        <v>21</v>
      </c>
      <c r="I6207" s="2" t="s">
        <v>12358</v>
      </c>
      <c r="J6207" s="3" t="str">
        <f>HYPERLINK("https://www.boe.es/gazeta/dias/1823/03/27/pdfs/GMD-1823-90.pdf#page=4","Abrir facsímil")</f>
        <v>Abrir facsímil</v>
      </c>
      <c r="K6207" s="3" t="s">
        <v>23</v>
      </c>
    </row>
    <row r="6208" spans="1:11" ht="42" customHeight="1">
      <c r="A6208" s="2" t="s">
        <v>12359</v>
      </c>
      <c r="B6208" s="2" t="s">
        <v>12360</v>
      </c>
      <c r="C6208" s="2" t="s">
        <v>17</v>
      </c>
      <c r="D6208" s="2" t="s">
        <v>18</v>
      </c>
      <c r="E6208" s="5">
        <v>-27878</v>
      </c>
      <c r="F6208" s="3" t="s">
        <v>130</v>
      </c>
      <c r="G6208" s="3" t="s">
        <v>48</v>
      </c>
      <c r="H6208" s="2" t="s">
        <v>21</v>
      </c>
      <c r="I6208" s="2" t="s">
        <v>12361</v>
      </c>
      <c r="J6208" s="3" t="str">
        <f>HYPERLINK("https://www.boe.es/gazeta/dias/1823/09/02/pdfs/GES-1823-146.pdf#page=3","Abrir facsímil")</f>
        <v>Abrir facsímil</v>
      </c>
      <c r="K6208" s="3" t="s">
        <v>23</v>
      </c>
    </row>
    <row r="6209" spans="1:11" ht="42" customHeight="1">
      <c r="A6209" s="2" t="s">
        <v>12362</v>
      </c>
      <c r="B6209" s="2" t="s">
        <v>12363</v>
      </c>
      <c r="C6209" s="2" t="s">
        <v>56</v>
      </c>
      <c r="D6209" s="2" t="s">
        <v>57</v>
      </c>
      <c r="E6209" s="5">
        <v>-28105</v>
      </c>
      <c r="F6209" s="3" t="s">
        <v>502</v>
      </c>
      <c r="G6209" s="3" t="s">
        <v>20</v>
      </c>
      <c r="H6209" s="2" t="s">
        <v>21</v>
      </c>
      <c r="I6209" s="2" t="s">
        <v>12364</v>
      </c>
      <c r="J6209" s="3" t="str">
        <f>HYPERLINK("https://www.boe.es/gazeta/dias/1823/01/18/pdfs/GMD-1823-18.pdf#page=4","Abrir facsímil")</f>
        <v>Abrir facsímil</v>
      </c>
      <c r="K6209" s="3" t="s">
        <v>23</v>
      </c>
    </row>
    <row r="6210" spans="1:11" ht="42" customHeight="1">
      <c r="A6210" s="2" t="s">
        <v>12362</v>
      </c>
      <c r="B6210" s="2" t="s">
        <v>12363</v>
      </c>
      <c r="C6210" s="2" t="s">
        <v>73</v>
      </c>
      <c r="D6210" s="2" t="s">
        <v>74</v>
      </c>
      <c r="E6210" s="5">
        <v>-28054</v>
      </c>
      <c r="F6210" s="3" t="s">
        <v>1292</v>
      </c>
      <c r="G6210" s="3" t="s">
        <v>27</v>
      </c>
      <c r="H6210" s="2" t="s">
        <v>21</v>
      </c>
      <c r="I6210" s="2" t="s">
        <v>12365</v>
      </c>
      <c r="J6210" s="3" t="str">
        <f>HYPERLINK("https://www.boe.es/gazeta/dias/1823/03/10/pdfs/GMD-1823-73.pdf#page=2","Abrir facsímil")</f>
        <v>Abrir facsímil</v>
      </c>
      <c r="K6210" s="3" t="s">
        <v>23</v>
      </c>
    </row>
    <row r="6211" spans="1:11" ht="42" customHeight="1">
      <c r="A6211" s="2" t="s">
        <v>12362</v>
      </c>
      <c r="B6211" s="2" t="s">
        <v>12363</v>
      </c>
      <c r="C6211" s="2" t="s">
        <v>17</v>
      </c>
      <c r="D6211" s="2" t="s">
        <v>18</v>
      </c>
      <c r="E6211" s="5">
        <v>-27906</v>
      </c>
      <c r="F6211" s="3" t="s">
        <v>241</v>
      </c>
      <c r="G6211" s="3" t="s">
        <v>2212</v>
      </c>
      <c r="H6211" s="2" t="s">
        <v>21</v>
      </c>
      <c r="I6211" s="2" t="s">
        <v>12366</v>
      </c>
      <c r="J6211" s="3" t="str">
        <f>HYPERLINK("https://www.boe.es/gazeta/dias/1823/08/05/pdfs/GES-1823-117.pdf#page=2","Abrir facsímil")</f>
        <v>Abrir facsímil</v>
      </c>
      <c r="K6211" s="3" t="s">
        <v>23</v>
      </c>
    </row>
    <row r="6212" spans="1:11" ht="42" customHeight="1">
      <c r="A6212" s="2" t="s">
        <v>12362</v>
      </c>
      <c r="B6212" s="2" t="s">
        <v>12363</v>
      </c>
      <c r="C6212" s="2" t="s">
        <v>17</v>
      </c>
      <c r="D6212" s="2" t="s">
        <v>18</v>
      </c>
      <c r="E6212" s="5">
        <v>-27873</v>
      </c>
      <c r="F6212" s="3" t="s">
        <v>160</v>
      </c>
      <c r="G6212" s="3" t="s">
        <v>27</v>
      </c>
      <c r="H6212" s="2" t="s">
        <v>21</v>
      </c>
      <c r="I6212" s="2" t="s">
        <v>12367</v>
      </c>
      <c r="J6212" s="3" t="str">
        <f>HYPERLINK("https://www.boe.es/gazeta/dias/1823/09/07/pdfs/GES-1823-151.pdf#page=2","Abrir facsímil")</f>
        <v>Abrir facsímil</v>
      </c>
      <c r="K6212" s="3" t="s">
        <v>23</v>
      </c>
    </row>
    <row r="6213" spans="1:11" ht="42" customHeight="1">
      <c r="A6213" s="2" t="s">
        <v>12368</v>
      </c>
      <c r="B6213" s="2" t="s">
        <v>12369</v>
      </c>
      <c r="C6213" s="2" t="s">
        <v>56</v>
      </c>
      <c r="D6213" s="2" t="s">
        <v>57</v>
      </c>
      <c r="E6213" s="5">
        <v>-28113</v>
      </c>
      <c r="F6213" s="3" t="s">
        <v>2088</v>
      </c>
      <c r="G6213" s="3" t="s">
        <v>276</v>
      </c>
      <c r="H6213" s="2" t="s">
        <v>21</v>
      </c>
      <c r="I6213" s="2" t="s">
        <v>12370</v>
      </c>
      <c r="J6213" s="3" t="str">
        <f>HYPERLINK("https://www.boe.es/gazeta/dias/1823/01/10/pdfs/GMD-1823-10.pdf#page=7","Abrir facsímil")</f>
        <v>Abrir facsímil</v>
      </c>
      <c r="K6213" s="3" t="s">
        <v>23</v>
      </c>
    </row>
    <row r="6214" spans="1:11" ht="42" customHeight="1">
      <c r="A6214" s="2" t="s">
        <v>12368</v>
      </c>
      <c r="B6214" s="2" t="s">
        <v>12369</v>
      </c>
      <c r="C6214" s="2" t="s">
        <v>56</v>
      </c>
      <c r="D6214" s="2" t="s">
        <v>57</v>
      </c>
      <c r="E6214" s="5">
        <v>-28112</v>
      </c>
      <c r="F6214" s="3" t="s">
        <v>43</v>
      </c>
      <c r="G6214" s="3" t="s">
        <v>48</v>
      </c>
      <c r="H6214" s="2" t="s">
        <v>21</v>
      </c>
      <c r="I6214" s="2" t="s">
        <v>12371</v>
      </c>
      <c r="J6214" s="3" t="str">
        <f>HYPERLINK("https://www.boe.es/gazeta/dias/1823/01/11/pdfs/GMD-1823-11.pdf#page=3","Abrir facsímil")</f>
        <v>Abrir facsímil</v>
      </c>
      <c r="K6214" s="3" t="s">
        <v>23</v>
      </c>
    </row>
    <row r="6215" spans="1:11" ht="42" customHeight="1">
      <c r="A6215" s="2" t="s">
        <v>12368</v>
      </c>
      <c r="B6215" s="2" t="s">
        <v>12369</v>
      </c>
      <c r="C6215" s="2" t="s">
        <v>79</v>
      </c>
      <c r="D6215" s="2" t="s">
        <v>74</v>
      </c>
      <c r="E6215" s="5">
        <v>-28111</v>
      </c>
      <c r="F6215" s="3" t="s">
        <v>275</v>
      </c>
      <c r="G6215" s="3" t="s">
        <v>276</v>
      </c>
      <c r="H6215" s="2" t="s">
        <v>21</v>
      </c>
      <c r="I6215" s="2" t="s">
        <v>12372</v>
      </c>
      <c r="J6215" s="3" t="str">
        <f>HYPERLINK("https://www.boe.es/gazeta/dias/1823/01/12/pdfs/GMD-1823-12.pdf#page=7","Abrir facsímil")</f>
        <v>Abrir facsímil</v>
      </c>
      <c r="K6215" s="3" t="s">
        <v>23</v>
      </c>
    </row>
    <row r="6216" spans="1:11" ht="42" customHeight="1">
      <c r="A6216" s="2" t="s">
        <v>12368</v>
      </c>
      <c r="B6216" s="2" t="s">
        <v>12369</v>
      </c>
      <c r="C6216" s="2" t="s">
        <v>109</v>
      </c>
      <c r="D6216" s="2" t="s">
        <v>74</v>
      </c>
      <c r="E6216" s="5">
        <v>-28079</v>
      </c>
      <c r="F6216" s="3" t="s">
        <v>178</v>
      </c>
      <c r="G6216" s="3" t="s">
        <v>27</v>
      </c>
      <c r="H6216" s="2" t="s">
        <v>21</v>
      </c>
      <c r="I6216" s="2" t="s">
        <v>12373</v>
      </c>
      <c r="J6216" s="3" t="str">
        <f>HYPERLINK("https://www.boe.es/gazeta/dias/1823/02/13/pdfs/GMD-1823-47.pdf#page=2","Abrir facsímil")</f>
        <v>Abrir facsímil</v>
      </c>
      <c r="K6216" s="3" t="s">
        <v>23</v>
      </c>
    </row>
    <row r="6217" spans="1:11" ht="42" customHeight="1">
      <c r="A6217" s="2" t="s">
        <v>12368</v>
      </c>
      <c r="B6217" s="2" t="s">
        <v>12369</v>
      </c>
      <c r="C6217" s="2" t="s">
        <v>109</v>
      </c>
      <c r="D6217" s="2" t="s">
        <v>74</v>
      </c>
      <c r="E6217" s="5">
        <v>-28057</v>
      </c>
      <c r="F6217" s="3" t="s">
        <v>301</v>
      </c>
      <c r="G6217" s="3" t="s">
        <v>20</v>
      </c>
      <c r="H6217" s="2" t="s">
        <v>21</v>
      </c>
      <c r="I6217" s="2" t="s">
        <v>12374</v>
      </c>
      <c r="J6217" s="3" t="str">
        <f>HYPERLINK("https://www.boe.es/gazeta/dias/1823/03/07/pdfs/GMD-1823-70.pdf#page=4","Abrir facsímil")</f>
        <v>Abrir facsímil</v>
      </c>
      <c r="K6217" s="3" t="s">
        <v>23</v>
      </c>
    </row>
    <row r="6218" spans="1:11" ht="42" customHeight="1">
      <c r="A6218" s="2" t="s">
        <v>12368</v>
      </c>
      <c r="B6218" s="2" t="s">
        <v>12369</v>
      </c>
      <c r="C6218" s="2" t="s">
        <v>17</v>
      </c>
      <c r="D6218" s="2" t="s">
        <v>18</v>
      </c>
      <c r="E6218" s="5">
        <v>-28046</v>
      </c>
      <c r="F6218" s="3" t="s">
        <v>85</v>
      </c>
      <c r="G6218" s="3" t="s">
        <v>48</v>
      </c>
      <c r="H6218" s="2" t="s">
        <v>21</v>
      </c>
      <c r="I6218" s="2" t="s">
        <v>12375</v>
      </c>
      <c r="J6218" s="3" t="str">
        <f>HYPERLINK("https://www.boe.es/gazeta/dias/1823/03/18/pdfs/GMD-1823-81.pdf#page=3","Abrir facsímil")</f>
        <v>Abrir facsímil</v>
      </c>
      <c r="K6218" s="3" t="s">
        <v>23</v>
      </c>
    </row>
    <row r="6219" spans="1:11" ht="42" customHeight="1">
      <c r="A6219" s="2" t="s">
        <v>12368</v>
      </c>
      <c r="B6219" s="2" t="s">
        <v>12369</v>
      </c>
      <c r="C6219" s="2" t="s">
        <v>56</v>
      </c>
      <c r="D6219" s="2" t="s">
        <v>57</v>
      </c>
      <c r="E6219" s="5">
        <v>-27964</v>
      </c>
      <c r="F6219" s="3" t="s">
        <v>58</v>
      </c>
      <c r="G6219" s="3" t="s">
        <v>48</v>
      </c>
      <c r="H6219" s="2" t="s">
        <v>21</v>
      </c>
      <c r="I6219" s="2" t="s">
        <v>12376</v>
      </c>
      <c r="J6219" s="3" t="str">
        <f>HYPERLINK("https://www.boe.es/gazeta/dias/1823/06/08/pdfs/GES-1823-62.pdf#page=3","Abrir facsímil")</f>
        <v>Abrir facsímil</v>
      </c>
      <c r="K6219" s="3" t="s">
        <v>23</v>
      </c>
    </row>
    <row r="6220" spans="1:11" ht="42" customHeight="1">
      <c r="A6220" s="2" t="s">
        <v>12377</v>
      </c>
      <c r="B6220" s="2" t="s">
        <v>12378</v>
      </c>
      <c r="C6220" s="2" t="s">
        <v>84</v>
      </c>
      <c r="D6220" s="2" t="s">
        <v>74</v>
      </c>
      <c r="E6220" s="5">
        <v>-28083</v>
      </c>
      <c r="F6220" s="3" t="s">
        <v>291</v>
      </c>
      <c r="G6220" s="3" t="s">
        <v>39</v>
      </c>
      <c r="H6220" s="2" t="s">
        <v>21</v>
      </c>
      <c r="I6220" s="2" t="s">
        <v>12379</v>
      </c>
      <c r="J6220" s="3" t="str">
        <f>HYPERLINK("https://www.boe.es/gazeta/dias/1823/02/09/pdfs/GMD-1823-43.pdf#page=1","Abrir facsímil")</f>
        <v>Abrir facsímil</v>
      </c>
      <c r="K6220" s="3" t="s">
        <v>23</v>
      </c>
    </row>
    <row r="6221" spans="1:11" ht="42" customHeight="1">
      <c r="A6221" s="2" t="s">
        <v>12380</v>
      </c>
      <c r="B6221" s="2" t="s">
        <v>12381</v>
      </c>
      <c r="C6221" s="2" t="s">
        <v>109</v>
      </c>
      <c r="D6221" s="2" t="s">
        <v>74</v>
      </c>
      <c r="E6221" s="5">
        <v>-28051</v>
      </c>
      <c r="F6221" s="3" t="s">
        <v>305</v>
      </c>
      <c r="G6221" s="3" t="s">
        <v>48</v>
      </c>
      <c r="H6221" s="2" t="s">
        <v>21</v>
      </c>
      <c r="I6221" s="2" t="s">
        <v>12382</v>
      </c>
      <c r="J6221" s="3" t="str">
        <f>HYPERLINK("https://www.boe.es/gazeta/dias/1823/03/13/pdfs/GMD-1823-76.pdf#page=3","Abrir facsímil")</f>
        <v>Abrir facsímil</v>
      </c>
      <c r="K6221" s="3" t="s">
        <v>23</v>
      </c>
    </row>
    <row r="6222" spans="1:11" ht="42" customHeight="1">
      <c r="A6222" s="2" t="s">
        <v>12383</v>
      </c>
      <c r="B6222" s="2" t="s">
        <v>12384</v>
      </c>
      <c r="C6222" s="2" t="s">
        <v>56</v>
      </c>
      <c r="D6222" s="2" t="s">
        <v>57</v>
      </c>
      <c r="E6222" s="5">
        <v>-28117</v>
      </c>
      <c r="F6222" s="3" t="s">
        <v>271</v>
      </c>
      <c r="G6222" s="3" t="s">
        <v>20</v>
      </c>
      <c r="H6222" s="2" t="s">
        <v>21</v>
      </c>
      <c r="I6222" s="2" t="s">
        <v>12385</v>
      </c>
      <c r="J6222" s="3" t="str">
        <f>HYPERLINK("https://www.boe.es/gazeta/dias/1823/01/06/pdfs/GMD-1823-6.pdf#page=4","Abrir facsímil")</f>
        <v>Abrir facsímil</v>
      </c>
      <c r="K6222" s="3" t="s">
        <v>23</v>
      </c>
    </row>
    <row r="6223" spans="1:11" ht="42" customHeight="1">
      <c r="A6223" s="2" t="s">
        <v>12386</v>
      </c>
      <c r="B6223" s="2" t="s">
        <v>12387</v>
      </c>
      <c r="C6223" s="2" t="s">
        <v>109</v>
      </c>
      <c r="D6223" s="2" t="s">
        <v>74</v>
      </c>
      <c r="E6223" s="5">
        <v>-27806</v>
      </c>
      <c r="F6223" s="3" t="s">
        <v>11268</v>
      </c>
      <c r="G6223" s="3" t="s">
        <v>20</v>
      </c>
      <c r="H6223" s="2" t="s">
        <v>21</v>
      </c>
      <c r="I6223" s="2" t="s">
        <v>12388</v>
      </c>
      <c r="J6223" s="3" t="str">
        <f>HYPERLINK("https://www.boe.es/gazeta/dias/1823/11/13/pdfs/GMD-1823-1113.pdf#page=4","Abrir facsímil")</f>
        <v>Abrir facsímil</v>
      </c>
      <c r="K6223" s="3" t="s">
        <v>23</v>
      </c>
    </row>
    <row r="6224" spans="1:11" ht="42" customHeight="1">
      <c r="A6224" s="2" t="s">
        <v>12389</v>
      </c>
      <c r="B6224" s="2" t="s">
        <v>12390</v>
      </c>
      <c r="C6224" s="2" t="s">
        <v>17</v>
      </c>
      <c r="D6224" s="2" t="s">
        <v>18</v>
      </c>
      <c r="E6224" s="5">
        <v>-27990</v>
      </c>
      <c r="F6224" s="3" t="s">
        <v>330</v>
      </c>
      <c r="G6224" s="3" t="s">
        <v>39</v>
      </c>
      <c r="H6224" s="2" t="s">
        <v>21</v>
      </c>
      <c r="I6224" s="2" t="s">
        <v>12391</v>
      </c>
      <c r="J6224" s="3" t="str">
        <f>HYPERLINK("https://www.boe.es/gazeta/dias/1823/05/13/pdfs/GMD-1823-132.pdf#page=1","Abrir facsímil")</f>
        <v>Abrir facsímil</v>
      </c>
      <c r="K6224" s="3" t="s">
        <v>23</v>
      </c>
    </row>
    <row r="6225" spans="1:11" ht="42" customHeight="1">
      <c r="A6225" s="2" t="s">
        <v>12392</v>
      </c>
      <c r="B6225" s="2" t="s">
        <v>12392</v>
      </c>
      <c r="C6225" s="2" t="s">
        <v>17</v>
      </c>
      <c r="D6225" s="2" t="s">
        <v>18</v>
      </c>
      <c r="E6225" s="5">
        <v>-28085</v>
      </c>
      <c r="F6225" s="3" t="s">
        <v>458</v>
      </c>
      <c r="G6225" s="3" t="s">
        <v>27</v>
      </c>
      <c r="H6225" s="2" t="s">
        <v>21</v>
      </c>
      <c r="I6225" s="2" t="s">
        <v>12393</v>
      </c>
      <c r="J6225" s="3" t="str">
        <f>HYPERLINK("https://www.boe.es/gazeta/dias/1823/02/07/pdfs/GMD-1823-40.pdf#page=2","Abrir facsímil")</f>
        <v>Abrir facsímil</v>
      </c>
      <c r="K6225" s="3" t="s">
        <v>23</v>
      </c>
    </row>
    <row r="6226" spans="1:11" ht="42" customHeight="1">
      <c r="A6226" s="2" t="s">
        <v>12394</v>
      </c>
      <c r="B6226" s="2" t="s">
        <v>12395</v>
      </c>
      <c r="C6226" s="2" t="s">
        <v>17</v>
      </c>
      <c r="D6226" s="2" t="s">
        <v>18</v>
      </c>
      <c r="E6226" s="5">
        <v>-27948</v>
      </c>
      <c r="F6226" s="3" t="s">
        <v>959</v>
      </c>
      <c r="G6226" s="3" t="s">
        <v>27</v>
      </c>
      <c r="H6226" s="2" t="s">
        <v>21</v>
      </c>
      <c r="I6226" s="2" t="s">
        <v>12396</v>
      </c>
      <c r="J6226" s="3" t="str">
        <f>HYPERLINK("https://www.boe.es/gazeta/dias/1823/06/24/pdfs/GES-1823-72.pdf#page=2","Abrir facsímil")</f>
        <v>Abrir facsímil</v>
      </c>
      <c r="K6226" s="3" t="s">
        <v>23</v>
      </c>
    </row>
    <row r="6227" spans="1:11" ht="42" customHeight="1">
      <c r="A6227" s="2" t="s">
        <v>12397</v>
      </c>
      <c r="B6227" s="2" t="s">
        <v>12397</v>
      </c>
      <c r="C6227" s="2" t="s">
        <v>79</v>
      </c>
      <c r="D6227" s="2" t="s">
        <v>74</v>
      </c>
      <c r="E6227" s="5">
        <v>-28061</v>
      </c>
      <c r="F6227" s="3" t="s">
        <v>704</v>
      </c>
      <c r="G6227" s="3" t="s">
        <v>34</v>
      </c>
      <c r="H6227" s="2" t="s">
        <v>21</v>
      </c>
      <c r="I6227" s="2" t="s">
        <v>12398</v>
      </c>
      <c r="J6227" s="3" t="str">
        <f>HYPERLINK("https://www.boe.es/gazeta/dias/1823/03/03/pdfs/GMD-1823-66.pdf#page=5","Abrir facsímil")</f>
        <v>Abrir facsímil</v>
      </c>
      <c r="K6227" s="3" t="s">
        <v>23</v>
      </c>
    </row>
    <row r="6228" spans="1:11" ht="42" customHeight="1">
      <c r="A6228" s="2" t="s">
        <v>12397</v>
      </c>
      <c r="B6228" s="2" t="s">
        <v>12397</v>
      </c>
      <c r="C6228" s="2" t="s">
        <v>109</v>
      </c>
      <c r="D6228" s="2" t="s">
        <v>74</v>
      </c>
      <c r="E6228" s="5">
        <v>-27990</v>
      </c>
      <c r="F6228" s="3" t="s">
        <v>1132</v>
      </c>
      <c r="G6228" s="3" t="s">
        <v>20</v>
      </c>
      <c r="H6228" s="2" t="s">
        <v>21</v>
      </c>
      <c r="I6228" s="2" t="s">
        <v>12399</v>
      </c>
      <c r="J6228" s="3" t="str">
        <f>HYPERLINK("https://www.boe.es/gazeta/dias/1823/05/13/pdfs/GES-1823-33.pdf#page=4","Abrir facsímil")</f>
        <v>Abrir facsímil</v>
      </c>
      <c r="K6228" s="3" t="s">
        <v>23</v>
      </c>
    </row>
    <row r="6229" spans="1:11" ht="42" customHeight="1">
      <c r="A6229" s="2" t="s">
        <v>12400</v>
      </c>
      <c r="B6229" s="2" t="s">
        <v>12400</v>
      </c>
      <c r="C6229" s="2" t="s">
        <v>56</v>
      </c>
      <c r="D6229" s="2" t="s">
        <v>57</v>
      </c>
      <c r="E6229" s="5">
        <v>-28118</v>
      </c>
      <c r="F6229" s="3" t="s">
        <v>252</v>
      </c>
      <c r="G6229" s="3" t="s">
        <v>39</v>
      </c>
      <c r="H6229" s="2" t="s">
        <v>21</v>
      </c>
      <c r="I6229" s="2" t="s">
        <v>12401</v>
      </c>
      <c r="J6229" s="3" t="str">
        <f>HYPERLINK("https://www.boe.es/gazeta/dias/1823/01/05/pdfs/GMD-1823-5.pdf#page=1","Abrir facsímil")</f>
        <v>Abrir facsímil</v>
      </c>
      <c r="K6229" s="3" t="s">
        <v>23</v>
      </c>
    </row>
    <row r="6230" spans="1:11" ht="42" customHeight="1">
      <c r="A6230" s="2" t="s">
        <v>12400</v>
      </c>
      <c r="B6230" s="2" t="s">
        <v>12400</v>
      </c>
      <c r="C6230" s="2" t="s">
        <v>17</v>
      </c>
      <c r="D6230" s="2" t="s">
        <v>18</v>
      </c>
      <c r="E6230" s="5">
        <v>-28068</v>
      </c>
      <c r="F6230" s="3" t="s">
        <v>1325</v>
      </c>
      <c r="G6230" s="3" t="s">
        <v>27</v>
      </c>
      <c r="H6230" s="2" t="s">
        <v>21</v>
      </c>
      <c r="I6230" s="2" t="s">
        <v>12402</v>
      </c>
      <c r="J6230" s="3" t="str">
        <f>HYPERLINK("https://www.boe.es/gazeta/dias/1823/02/24/pdfs/GMD-1823-58.pdf#page=2","Abrir facsímil")</f>
        <v>Abrir facsímil</v>
      </c>
      <c r="K6230" s="3" t="s">
        <v>23</v>
      </c>
    </row>
    <row r="6231" spans="1:11" ht="42" customHeight="1">
      <c r="A6231" s="2" t="s">
        <v>12400</v>
      </c>
      <c r="B6231" s="2" t="s">
        <v>12400</v>
      </c>
      <c r="C6231" s="2" t="s">
        <v>79</v>
      </c>
      <c r="D6231" s="2" t="s">
        <v>74</v>
      </c>
      <c r="E6231" s="5">
        <v>-28065</v>
      </c>
      <c r="F6231" s="3" t="s">
        <v>686</v>
      </c>
      <c r="G6231" s="3" t="s">
        <v>27</v>
      </c>
      <c r="H6231" s="2" t="s">
        <v>21</v>
      </c>
      <c r="I6231" s="2" t="s">
        <v>12403</v>
      </c>
      <c r="J6231" s="3" t="str">
        <f>HYPERLINK("https://www.boe.es/gazeta/dias/1823/02/27/pdfs/GMD-1823-61.pdf#page=2","Abrir facsímil")</f>
        <v>Abrir facsímil</v>
      </c>
      <c r="K6231" s="3" t="s">
        <v>23</v>
      </c>
    </row>
    <row r="6232" spans="1:11" ht="42" customHeight="1">
      <c r="A6232" s="2" t="s">
        <v>12400</v>
      </c>
      <c r="B6232" s="2" t="s">
        <v>12400</v>
      </c>
      <c r="C6232" s="2" t="s">
        <v>109</v>
      </c>
      <c r="D6232" s="2" t="s">
        <v>74</v>
      </c>
      <c r="E6232" s="5">
        <v>-28063</v>
      </c>
      <c r="F6232" s="3" t="s">
        <v>2493</v>
      </c>
      <c r="G6232" s="3" t="s">
        <v>27</v>
      </c>
      <c r="H6232" s="2" t="s">
        <v>21</v>
      </c>
      <c r="I6232" s="2" t="s">
        <v>12404</v>
      </c>
      <c r="J6232" s="3" t="str">
        <f>HYPERLINK("https://www.boe.es/gazeta/dias/1823/03/01/pdfs/GMD-1823-63.pdf#page=2","Abrir facsímil")</f>
        <v>Abrir facsímil</v>
      </c>
      <c r="K6232" s="3" t="s">
        <v>23</v>
      </c>
    </row>
    <row r="6233" spans="1:11" ht="42" customHeight="1">
      <c r="A6233" s="2" t="s">
        <v>12400</v>
      </c>
      <c r="B6233" s="2" t="s">
        <v>12400</v>
      </c>
      <c r="C6233" s="2" t="s">
        <v>79</v>
      </c>
      <c r="D6233" s="2" t="s">
        <v>74</v>
      </c>
      <c r="E6233" s="5">
        <v>-28056</v>
      </c>
      <c r="F6233" s="3" t="s">
        <v>572</v>
      </c>
      <c r="G6233" s="3" t="s">
        <v>27</v>
      </c>
      <c r="H6233" s="2" t="s">
        <v>21</v>
      </c>
      <c r="I6233" s="2" t="s">
        <v>12405</v>
      </c>
      <c r="J6233" s="3" t="str">
        <f>HYPERLINK("https://www.boe.es/gazeta/dias/1823/03/08/pdfs/GMD-1823-71.pdf#page=2","Abrir facsímil")</f>
        <v>Abrir facsímil</v>
      </c>
      <c r="K6233" s="3" t="s">
        <v>23</v>
      </c>
    </row>
    <row r="6234" spans="1:11" ht="42" customHeight="1">
      <c r="A6234" s="2" t="s">
        <v>12400</v>
      </c>
      <c r="B6234" s="2" t="s">
        <v>12400</v>
      </c>
      <c r="C6234" s="2" t="s">
        <v>73</v>
      </c>
      <c r="D6234" s="2" t="s">
        <v>74</v>
      </c>
      <c r="E6234" s="5">
        <v>-28056</v>
      </c>
      <c r="F6234" s="3" t="s">
        <v>572</v>
      </c>
      <c r="G6234" s="3" t="s">
        <v>48</v>
      </c>
      <c r="H6234" s="2" t="s">
        <v>21</v>
      </c>
      <c r="I6234" s="2" t="s">
        <v>12406</v>
      </c>
      <c r="J6234" s="3" t="str">
        <f>HYPERLINK("https://www.boe.es/gazeta/dias/1823/03/08/pdfs/GMD-1823-71.pdf#page=3","Abrir facsímil")</f>
        <v>Abrir facsímil</v>
      </c>
      <c r="K6234" s="3" t="s">
        <v>23</v>
      </c>
    </row>
    <row r="6235" spans="1:11" ht="42" customHeight="1">
      <c r="A6235" s="2" t="s">
        <v>12400</v>
      </c>
      <c r="B6235" s="2" t="s">
        <v>12400</v>
      </c>
      <c r="C6235" s="2" t="s">
        <v>17</v>
      </c>
      <c r="D6235" s="2" t="s">
        <v>18</v>
      </c>
      <c r="E6235" s="5">
        <v>-28052</v>
      </c>
      <c r="F6235" s="3" t="s">
        <v>1025</v>
      </c>
      <c r="G6235" s="3" t="s">
        <v>1794</v>
      </c>
      <c r="H6235" s="2" t="s">
        <v>21</v>
      </c>
      <c r="I6235" s="2" t="s">
        <v>12407</v>
      </c>
      <c r="J6235" s="3" t="str">
        <f>HYPERLINK("https://www.boe.es/gazeta/dias/1823/03/12/pdfs/GMD-1823-75.pdf#page=1","Abrir facsímil")</f>
        <v>Abrir facsímil</v>
      </c>
      <c r="K6235" s="3" t="s">
        <v>23</v>
      </c>
    </row>
    <row r="6236" spans="1:11" ht="42" customHeight="1">
      <c r="A6236" s="2" t="s">
        <v>12400</v>
      </c>
      <c r="B6236" s="2" t="s">
        <v>12400</v>
      </c>
      <c r="C6236" s="2" t="s">
        <v>79</v>
      </c>
      <c r="D6236" s="2" t="s">
        <v>74</v>
      </c>
      <c r="E6236" s="5">
        <v>-27998</v>
      </c>
      <c r="F6236" s="3" t="s">
        <v>1058</v>
      </c>
      <c r="G6236" s="3" t="s">
        <v>39</v>
      </c>
      <c r="H6236" s="2" t="s">
        <v>21</v>
      </c>
      <c r="I6236" s="2" t="s">
        <v>12408</v>
      </c>
      <c r="J6236" s="3" t="str">
        <f>HYPERLINK("https://www.boe.es/gazeta/dias/1823/05/05/pdfs/GES-1823-25.pdf#page=1","Abrir facsímil")</f>
        <v>Abrir facsímil</v>
      </c>
      <c r="K6236" s="3" t="s">
        <v>23</v>
      </c>
    </row>
    <row r="6237" spans="1:11" ht="42" customHeight="1">
      <c r="A6237" s="2" t="s">
        <v>12400</v>
      </c>
      <c r="B6237" s="2" t="s">
        <v>12400</v>
      </c>
      <c r="C6237" s="2" t="s">
        <v>79</v>
      </c>
      <c r="D6237" s="2" t="s">
        <v>74</v>
      </c>
      <c r="E6237" s="5">
        <v>-27998</v>
      </c>
      <c r="F6237" s="3" t="s">
        <v>1058</v>
      </c>
      <c r="G6237" s="3" t="s">
        <v>27</v>
      </c>
      <c r="H6237" s="2" t="s">
        <v>21</v>
      </c>
      <c r="I6237" s="2" t="s">
        <v>12409</v>
      </c>
      <c r="J6237" s="3" t="str">
        <f>HYPERLINK("https://www.boe.es/gazeta/dias/1823/05/05/pdfs/GES-1823-25.pdf#page=2","Abrir facsímil")</f>
        <v>Abrir facsímil</v>
      </c>
      <c r="K6237" s="3" t="s">
        <v>23</v>
      </c>
    </row>
    <row r="6238" spans="1:11" ht="42" customHeight="1">
      <c r="A6238" s="2" t="s">
        <v>12400</v>
      </c>
      <c r="B6238" s="2" t="s">
        <v>12400</v>
      </c>
      <c r="C6238" s="2" t="s">
        <v>79</v>
      </c>
      <c r="D6238" s="2" t="s">
        <v>74</v>
      </c>
      <c r="E6238" s="5">
        <v>-27995</v>
      </c>
      <c r="F6238" s="3" t="s">
        <v>326</v>
      </c>
      <c r="G6238" s="3" t="s">
        <v>48</v>
      </c>
      <c r="H6238" s="2" t="s">
        <v>21</v>
      </c>
      <c r="I6238" s="2" t="s">
        <v>12410</v>
      </c>
      <c r="J6238" s="3" t="str">
        <f>HYPERLINK("https://www.boe.es/gazeta/dias/1823/05/08/pdfs/GMD-1823-112.pdf#page=3","Abrir facsímil")</f>
        <v>Abrir facsímil</v>
      </c>
      <c r="K6238" s="3" t="s">
        <v>23</v>
      </c>
    </row>
    <row r="6239" spans="1:11" ht="42" customHeight="1">
      <c r="A6239" s="2" t="s">
        <v>12400</v>
      </c>
      <c r="B6239" s="2" t="s">
        <v>12400</v>
      </c>
      <c r="C6239" s="2" t="s">
        <v>79</v>
      </c>
      <c r="D6239" s="2" t="s">
        <v>74</v>
      </c>
      <c r="E6239" s="5">
        <v>-27995</v>
      </c>
      <c r="F6239" s="3" t="s">
        <v>326</v>
      </c>
      <c r="G6239" s="3" t="s">
        <v>20</v>
      </c>
      <c r="H6239" s="2" t="s">
        <v>21</v>
      </c>
      <c r="I6239" s="2" t="s">
        <v>12411</v>
      </c>
      <c r="J6239" s="3" t="str">
        <f>HYPERLINK("https://www.boe.es/gazeta/dias/1823/05/08/pdfs/GMD-1823-112.pdf#page=4","Abrir facsímil")</f>
        <v>Abrir facsímil</v>
      </c>
      <c r="K6239" s="3" t="s">
        <v>23</v>
      </c>
    </row>
    <row r="6240" spans="1:11" ht="42" customHeight="1">
      <c r="A6240" s="2" t="s">
        <v>12400</v>
      </c>
      <c r="B6240" s="2" t="s">
        <v>12400</v>
      </c>
      <c r="C6240" s="2" t="s">
        <v>109</v>
      </c>
      <c r="D6240" s="2" t="s">
        <v>74</v>
      </c>
      <c r="E6240" s="5">
        <v>-27993</v>
      </c>
      <c r="F6240" s="3" t="s">
        <v>1062</v>
      </c>
      <c r="G6240" s="3" t="s">
        <v>48</v>
      </c>
      <c r="H6240" s="2" t="s">
        <v>21</v>
      </c>
      <c r="I6240" s="2" t="s">
        <v>12412</v>
      </c>
      <c r="J6240" s="3" t="str">
        <f>HYPERLINK("https://www.boe.es/gazeta/dias/1823/05/10/pdfs/GMD-1823-122.pdf#page=3","Abrir facsímil")</f>
        <v>Abrir facsímil</v>
      </c>
      <c r="K6240" s="3" t="s">
        <v>23</v>
      </c>
    </row>
    <row r="6241" spans="1:11" ht="42" customHeight="1">
      <c r="A6241" s="2" t="s">
        <v>12400</v>
      </c>
      <c r="B6241" s="2" t="s">
        <v>12400</v>
      </c>
      <c r="C6241" s="2" t="s">
        <v>79</v>
      </c>
      <c r="D6241" s="2" t="s">
        <v>74</v>
      </c>
      <c r="E6241" s="5">
        <v>-27978</v>
      </c>
      <c r="F6241" s="3" t="s">
        <v>342</v>
      </c>
      <c r="G6241" s="3" t="s">
        <v>48</v>
      </c>
      <c r="H6241" s="2" t="s">
        <v>21</v>
      </c>
      <c r="I6241" s="2" t="s">
        <v>12413</v>
      </c>
      <c r="J6241" s="3" t="str">
        <f>HYPERLINK("https://www.boe.es/gazeta/dias/1823/05/25/pdfs/GES-1823-46.pdf#page=3","Abrir facsímil")</f>
        <v>Abrir facsímil</v>
      </c>
      <c r="K6241" s="3" t="s">
        <v>23</v>
      </c>
    </row>
    <row r="6242" spans="1:11" ht="42" customHeight="1">
      <c r="A6242" s="2" t="s">
        <v>12400</v>
      </c>
      <c r="B6242" s="2" t="s">
        <v>12400</v>
      </c>
      <c r="C6242" s="2" t="s">
        <v>109</v>
      </c>
      <c r="D6242" s="2" t="s">
        <v>74</v>
      </c>
      <c r="E6242" s="5">
        <v>-27939</v>
      </c>
      <c r="F6242" s="3" t="s">
        <v>1403</v>
      </c>
      <c r="G6242" s="3" t="s">
        <v>12414</v>
      </c>
      <c r="H6242" s="2" t="s">
        <v>21</v>
      </c>
      <c r="I6242" s="2" t="s">
        <v>12415</v>
      </c>
      <c r="J6242" s="3" t="str">
        <f>HYPERLINK("https://www.boe.es/gazeta/dias/1823/07/03/pdfs/GMD-1823-333.pdf#page=4","Abrir facsímil")</f>
        <v>Abrir facsímil</v>
      </c>
      <c r="K6242" s="3" t="s">
        <v>23</v>
      </c>
    </row>
    <row r="6243" spans="1:11" ht="42" customHeight="1">
      <c r="A6243" s="2" t="s">
        <v>12400</v>
      </c>
      <c r="B6243" s="2" t="s">
        <v>12400</v>
      </c>
      <c r="C6243" s="2" t="s">
        <v>293</v>
      </c>
      <c r="D6243" s="2" t="s">
        <v>74</v>
      </c>
      <c r="E6243" s="5">
        <v>-27911</v>
      </c>
      <c r="F6243" s="3" t="s">
        <v>1393</v>
      </c>
      <c r="G6243" s="3" t="s">
        <v>48</v>
      </c>
      <c r="H6243" s="2" t="s">
        <v>21</v>
      </c>
      <c r="I6243" s="2" t="s">
        <v>12416</v>
      </c>
      <c r="J6243" s="3" t="str">
        <f>HYPERLINK("https://www.boe.es/gazeta/dias/1823/07/31/pdfs/GMD-1823-503.pdf#page=3","Abrir facsímil")</f>
        <v>Abrir facsímil</v>
      </c>
      <c r="K6243" s="3" t="s">
        <v>23</v>
      </c>
    </row>
    <row r="6244" spans="1:11" ht="42" customHeight="1">
      <c r="A6244" s="2" t="s">
        <v>12400</v>
      </c>
      <c r="B6244" s="2" t="s">
        <v>12400</v>
      </c>
      <c r="C6244" s="2" t="s">
        <v>79</v>
      </c>
      <c r="D6244" s="2" t="s">
        <v>74</v>
      </c>
      <c r="E6244" s="5">
        <v>-27899</v>
      </c>
      <c r="F6244" s="3" t="s">
        <v>215</v>
      </c>
      <c r="G6244" s="3" t="s">
        <v>34</v>
      </c>
      <c r="H6244" s="2" t="s">
        <v>21</v>
      </c>
      <c r="I6244" s="2" t="s">
        <v>12417</v>
      </c>
      <c r="J6244" s="3" t="str">
        <f>HYPERLINK("https://www.boe.es/gazeta/dias/1823/08/12/pdfs/GMD-1823-583.pdf#page=5","Abrir facsímil")</f>
        <v>Abrir facsímil</v>
      </c>
      <c r="K6244" s="3" t="s">
        <v>23</v>
      </c>
    </row>
    <row r="6245" spans="1:11" ht="42" customHeight="1">
      <c r="A6245" s="2" t="s">
        <v>12418</v>
      </c>
      <c r="B6245" s="2" t="s">
        <v>12419</v>
      </c>
      <c r="C6245" s="2" t="s">
        <v>79</v>
      </c>
      <c r="D6245" s="2" t="s">
        <v>74</v>
      </c>
      <c r="E6245" s="5">
        <v>-28037</v>
      </c>
      <c r="F6245" s="3" t="s">
        <v>192</v>
      </c>
      <c r="G6245" s="3" t="s">
        <v>27</v>
      </c>
      <c r="H6245" s="2" t="s">
        <v>21</v>
      </c>
      <c r="I6245" s="2" t="s">
        <v>12420</v>
      </c>
      <c r="J6245" s="3" t="str">
        <f>HYPERLINK("https://www.boe.es/gazeta/dias/1823/03/27/pdfs/GMD-1823-90.pdf#page=2","Abrir facsímil")</f>
        <v>Abrir facsímil</v>
      </c>
      <c r="K6245" s="3" t="s">
        <v>23</v>
      </c>
    </row>
    <row r="6246" spans="1:11" ht="42" customHeight="1">
      <c r="A6246" s="2" t="s">
        <v>12421</v>
      </c>
      <c r="B6246" s="2" t="s">
        <v>12421</v>
      </c>
      <c r="C6246" s="2" t="s">
        <v>79</v>
      </c>
      <c r="D6246" s="2" t="s">
        <v>74</v>
      </c>
      <c r="E6246" s="5">
        <v>-27963</v>
      </c>
      <c r="F6246" s="3" t="s">
        <v>344</v>
      </c>
      <c r="G6246" s="3" t="s">
        <v>20</v>
      </c>
      <c r="H6246" s="2" t="s">
        <v>21</v>
      </c>
      <c r="I6246" s="2" t="s">
        <v>12422</v>
      </c>
      <c r="J6246" s="3" t="str">
        <f>HYPERLINK("https://www.boe.es/gazeta/dias/1823/06/09/pdfs/GES-1823-63.pdf#page=4","Abrir facsímil")</f>
        <v>Abrir facsímil</v>
      </c>
      <c r="K6246" s="3" t="s">
        <v>23</v>
      </c>
    </row>
    <row r="6247" spans="1:11" ht="42" customHeight="1">
      <c r="A6247" s="2" t="s">
        <v>12423</v>
      </c>
      <c r="B6247" s="2" t="s">
        <v>12423</v>
      </c>
      <c r="C6247" s="2" t="s">
        <v>79</v>
      </c>
      <c r="D6247" s="2" t="s">
        <v>74</v>
      </c>
      <c r="E6247" s="5">
        <v>-27955</v>
      </c>
      <c r="F6247" s="3" t="s">
        <v>3015</v>
      </c>
      <c r="G6247" s="3" t="s">
        <v>48</v>
      </c>
      <c r="H6247" s="2" t="s">
        <v>21</v>
      </c>
      <c r="I6247" s="2" t="s">
        <v>12424</v>
      </c>
      <c r="J6247" s="3" t="str">
        <f>HYPERLINK("https://www.boe.es/gazeta/dias/1823/06/17/pdfs/GMD-1823-183.pdf#page=3","Abrir facsímil")</f>
        <v>Abrir facsímil</v>
      </c>
      <c r="K6247" s="3" t="s">
        <v>23</v>
      </c>
    </row>
    <row r="6248" spans="1:11" ht="42" customHeight="1">
      <c r="A6248" s="2" t="s">
        <v>12425</v>
      </c>
      <c r="B6248" s="2" t="s">
        <v>12425</v>
      </c>
      <c r="C6248" s="2" t="s">
        <v>109</v>
      </c>
      <c r="D6248" s="2" t="s">
        <v>74</v>
      </c>
      <c r="E6248" s="5">
        <v>-28083</v>
      </c>
      <c r="F6248" s="3" t="s">
        <v>291</v>
      </c>
      <c r="G6248" s="3" t="s">
        <v>39</v>
      </c>
      <c r="H6248" s="2" t="s">
        <v>21</v>
      </c>
      <c r="I6248" s="2" t="s">
        <v>12426</v>
      </c>
      <c r="J6248" s="3" t="str">
        <f>HYPERLINK("https://www.boe.es/gazeta/dias/1823/02/09/pdfs/GMD-1823-43.pdf#page=1","Abrir facsímil")</f>
        <v>Abrir facsímil</v>
      </c>
      <c r="K6248" s="3" t="s">
        <v>23</v>
      </c>
    </row>
    <row r="6249" spans="1:11" ht="42" customHeight="1">
      <c r="A6249" s="2" t="s">
        <v>12427</v>
      </c>
      <c r="B6249" s="2" t="s">
        <v>12428</v>
      </c>
      <c r="C6249" s="2" t="s">
        <v>109</v>
      </c>
      <c r="D6249" s="2" t="s">
        <v>74</v>
      </c>
      <c r="E6249" s="5">
        <v>-27920</v>
      </c>
      <c r="F6249" s="3" t="s">
        <v>1334</v>
      </c>
      <c r="G6249" s="3" t="s">
        <v>59</v>
      </c>
      <c r="H6249" s="2" t="s">
        <v>21</v>
      </c>
      <c r="I6249" s="2" t="s">
        <v>12429</v>
      </c>
      <c r="J6249" s="3" t="str">
        <f>HYPERLINK("https://www.boe.es/gazeta/dias/1823/07/22/pdfs/GMD-1823-443.pdf#page=6","Abrir facsímil")</f>
        <v>Abrir facsímil</v>
      </c>
      <c r="K6249" s="3" t="s">
        <v>23</v>
      </c>
    </row>
    <row r="6250" spans="1:11" ht="42" customHeight="1">
      <c r="A6250" s="2" t="s">
        <v>12430</v>
      </c>
      <c r="B6250" s="2" t="s">
        <v>12431</v>
      </c>
      <c r="C6250" s="2" t="s">
        <v>79</v>
      </c>
      <c r="D6250" s="2" t="s">
        <v>74</v>
      </c>
      <c r="E6250" s="5">
        <v>-27920</v>
      </c>
      <c r="F6250" s="3" t="s">
        <v>1334</v>
      </c>
      <c r="G6250" s="3" t="s">
        <v>715</v>
      </c>
      <c r="H6250" s="2" t="s">
        <v>21</v>
      </c>
      <c r="I6250" s="2" t="s">
        <v>12432</v>
      </c>
      <c r="J6250" s="3" t="str">
        <f>HYPERLINK("https://www.boe.es/gazeta/dias/1823/07/22/pdfs/GMD-1823-443.pdf#page=8","Abrir facsímil")</f>
        <v>Abrir facsímil</v>
      </c>
      <c r="K6250" s="3" t="s">
        <v>23</v>
      </c>
    </row>
    <row r="6251" spans="1:11" ht="42" customHeight="1">
      <c r="A6251" s="2" t="s">
        <v>12430</v>
      </c>
      <c r="B6251" s="2" t="s">
        <v>12431</v>
      </c>
      <c r="C6251" s="2" t="s">
        <v>325</v>
      </c>
      <c r="D6251" s="2" t="s">
        <v>74</v>
      </c>
      <c r="E6251" s="5">
        <v>-27766</v>
      </c>
      <c r="F6251" s="3" t="s">
        <v>3450</v>
      </c>
      <c r="G6251" s="3" t="s">
        <v>20</v>
      </c>
      <c r="H6251" s="2" t="s">
        <v>21</v>
      </c>
      <c r="I6251" s="2" t="s">
        <v>12433</v>
      </c>
      <c r="J6251" s="3" t="str">
        <f>HYPERLINK("https://www.boe.es/gazeta/dias/1823/12/23/pdfs/GMD-1823-1283.pdf#page=4","Abrir facsímil")</f>
        <v>Abrir facsímil</v>
      </c>
      <c r="K6251" s="3" t="s">
        <v>23</v>
      </c>
    </row>
    <row r="6252" spans="1:11" ht="42" customHeight="1">
      <c r="A6252" s="2" t="s">
        <v>12434</v>
      </c>
      <c r="B6252" s="2" t="s">
        <v>12435</v>
      </c>
      <c r="C6252" s="2" t="s">
        <v>17</v>
      </c>
      <c r="D6252" s="2" t="s">
        <v>18</v>
      </c>
      <c r="E6252" s="5">
        <v>-27962</v>
      </c>
      <c r="F6252" s="3" t="s">
        <v>477</v>
      </c>
      <c r="G6252" s="3" t="s">
        <v>27</v>
      </c>
      <c r="H6252" s="2" t="s">
        <v>21</v>
      </c>
      <c r="I6252" s="2" t="s">
        <v>12436</v>
      </c>
      <c r="J6252" s="3" t="str">
        <f>HYPERLINK("https://www.boe.es/gazeta/dias/1823/06/10/pdfs/GMD-1823-103.pdf#page=2","Abrir facsímil")</f>
        <v>Abrir facsímil</v>
      </c>
      <c r="K6252" s="3" t="s">
        <v>23</v>
      </c>
    </row>
    <row r="6253" spans="1:11" ht="42" customHeight="1">
      <c r="A6253" s="2" t="s">
        <v>12437</v>
      </c>
      <c r="B6253" s="2" t="s">
        <v>12438</v>
      </c>
      <c r="C6253" s="2" t="s">
        <v>17</v>
      </c>
      <c r="D6253" s="2" t="s">
        <v>18</v>
      </c>
      <c r="E6253" s="5">
        <v>-27911</v>
      </c>
      <c r="F6253" s="3" t="s">
        <v>368</v>
      </c>
      <c r="G6253" s="3" t="s">
        <v>39</v>
      </c>
      <c r="H6253" s="2" t="s">
        <v>21</v>
      </c>
      <c r="I6253" s="2" t="s">
        <v>12439</v>
      </c>
      <c r="J6253" s="3" t="str">
        <f>HYPERLINK("https://www.boe.es/gazeta/dias/1823/07/31/pdfs/GES-1823-112.pdf#page=1","Abrir facsímil")</f>
        <v>Abrir facsímil</v>
      </c>
      <c r="K6253" s="3" t="s">
        <v>23</v>
      </c>
    </row>
    <row r="6254" spans="1:11" ht="42" customHeight="1">
      <c r="A6254" s="2" t="s">
        <v>12440</v>
      </c>
      <c r="B6254" s="2" t="s">
        <v>12441</v>
      </c>
      <c r="C6254" s="2" t="s">
        <v>17</v>
      </c>
      <c r="D6254" s="2" t="s">
        <v>18</v>
      </c>
      <c r="E6254" s="5">
        <v>-28032</v>
      </c>
      <c r="F6254" s="3" t="s">
        <v>668</v>
      </c>
      <c r="G6254" s="3" t="s">
        <v>39</v>
      </c>
      <c r="H6254" s="2" t="s">
        <v>21</v>
      </c>
      <c r="I6254" s="2" t="s">
        <v>12442</v>
      </c>
      <c r="J6254" s="3" t="str">
        <f>HYPERLINK("https://www.boe.es/gazeta/dias/1823/04/01/pdfs/GMD-1823-95.pdf#page=1","Abrir facsímil")</f>
        <v>Abrir facsímil</v>
      </c>
      <c r="K6254" s="3" t="s">
        <v>23</v>
      </c>
    </row>
    <row r="6255" spans="1:11" ht="42" customHeight="1">
      <c r="A6255" s="2" t="s">
        <v>12443</v>
      </c>
      <c r="B6255" s="2" t="s">
        <v>12444</v>
      </c>
      <c r="C6255" s="2" t="s">
        <v>17</v>
      </c>
      <c r="D6255" s="2" t="s">
        <v>18</v>
      </c>
      <c r="E6255" s="5">
        <v>-27794</v>
      </c>
      <c r="F6255" s="3" t="s">
        <v>747</v>
      </c>
      <c r="G6255" s="3" t="s">
        <v>48</v>
      </c>
      <c r="H6255" s="2" t="s">
        <v>21</v>
      </c>
      <c r="I6255" s="2" t="s">
        <v>12445</v>
      </c>
      <c r="J6255" s="3" t="str">
        <f>HYPERLINK("https://www.boe.es/gazeta/dias/1823/11/25/pdfs/GMD-1823-1163.pdf#page=3","Abrir facsímil")</f>
        <v>Abrir facsímil</v>
      </c>
      <c r="K6255" s="3" t="s">
        <v>23</v>
      </c>
    </row>
    <row r="6256" spans="1:11" ht="42" customHeight="1">
      <c r="A6256" s="2" t="s">
        <v>12446</v>
      </c>
      <c r="B6256" s="2" t="s">
        <v>12446</v>
      </c>
      <c r="C6256" s="2" t="s">
        <v>17</v>
      </c>
      <c r="D6256" s="2" t="s">
        <v>18</v>
      </c>
      <c r="E6256" s="5">
        <v>-27906</v>
      </c>
      <c r="F6256" s="3" t="s">
        <v>241</v>
      </c>
      <c r="G6256" s="3" t="s">
        <v>39</v>
      </c>
      <c r="H6256" s="2" t="s">
        <v>21</v>
      </c>
      <c r="I6256" s="2" t="s">
        <v>12447</v>
      </c>
      <c r="J6256" s="3" t="str">
        <f>HYPERLINK("https://www.boe.es/gazeta/dias/1823/08/05/pdfs/GES-1823-117.pdf#page=1","Abrir facsímil")</f>
        <v>Abrir facsímil</v>
      </c>
      <c r="K6256" s="3" t="s">
        <v>23</v>
      </c>
    </row>
    <row r="6257" spans="1:11" ht="42" customHeight="1">
      <c r="A6257" s="2" t="s">
        <v>12448</v>
      </c>
      <c r="B6257" s="2" t="s">
        <v>12448</v>
      </c>
      <c r="C6257" s="2" t="s">
        <v>17</v>
      </c>
      <c r="D6257" s="2" t="s">
        <v>18</v>
      </c>
      <c r="E6257" s="5">
        <v>-28101</v>
      </c>
      <c r="F6257" s="3" t="s">
        <v>1041</v>
      </c>
      <c r="G6257" s="3" t="s">
        <v>39</v>
      </c>
      <c r="H6257" s="2" t="s">
        <v>21</v>
      </c>
      <c r="I6257" s="2" t="s">
        <v>12449</v>
      </c>
      <c r="J6257" s="3" t="str">
        <f>HYPERLINK("https://www.boe.es/gazeta/dias/1823/01/22/pdfs/GMD-1823-23.pdf#page=1","Abrir facsímil")</f>
        <v>Abrir facsímil</v>
      </c>
      <c r="K6257" s="3" t="s">
        <v>23</v>
      </c>
    </row>
    <row r="6258" spans="1:11" ht="42" customHeight="1">
      <c r="A6258" s="2" t="s">
        <v>12448</v>
      </c>
      <c r="B6258" s="2" t="s">
        <v>12448</v>
      </c>
      <c r="C6258" s="2" t="s">
        <v>17</v>
      </c>
      <c r="D6258" s="2" t="s">
        <v>18</v>
      </c>
      <c r="E6258" s="5">
        <v>-27963</v>
      </c>
      <c r="F6258" s="3" t="s">
        <v>344</v>
      </c>
      <c r="G6258" s="3" t="s">
        <v>20</v>
      </c>
      <c r="H6258" s="2" t="s">
        <v>21</v>
      </c>
      <c r="I6258" s="2" t="s">
        <v>12450</v>
      </c>
      <c r="J6258" s="3" t="str">
        <f>HYPERLINK("https://www.boe.es/gazeta/dias/1823/06/09/pdfs/GES-1823-63.pdf#page=4","Abrir facsímil")</f>
        <v>Abrir facsímil</v>
      </c>
      <c r="K6258" s="3" t="s">
        <v>23</v>
      </c>
    </row>
    <row r="6259" spans="1:11" ht="42" customHeight="1">
      <c r="A6259" s="2" t="s">
        <v>12451</v>
      </c>
      <c r="B6259" s="2" t="s">
        <v>12452</v>
      </c>
      <c r="C6259" s="2" t="s">
        <v>17</v>
      </c>
      <c r="D6259" s="2" t="s">
        <v>18</v>
      </c>
      <c r="E6259" s="5">
        <v>-27792</v>
      </c>
      <c r="F6259" s="3" t="s">
        <v>611</v>
      </c>
      <c r="G6259" s="3" t="s">
        <v>39</v>
      </c>
      <c r="H6259" s="2" t="s">
        <v>28</v>
      </c>
      <c r="I6259" s="2" t="s">
        <v>12453</v>
      </c>
      <c r="J6259" s="3" t="str">
        <f>HYPERLINK("https://www.boe.es/gazeta/dias/1823/11/27/pdfs/GMD-1823-1173.pdf#page=1","Abrir facsímil")</f>
        <v>Abrir facsímil</v>
      </c>
      <c r="K6259" s="3" t="s">
        <v>30</v>
      </c>
    </row>
    <row r="6260" spans="1:11" ht="42" customHeight="1">
      <c r="A6260" s="2" t="s">
        <v>12454</v>
      </c>
      <c r="B6260" s="2" t="s">
        <v>12455</v>
      </c>
      <c r="C6260" s="2" t="s">
        <v>56</v>
      </c>
      <c r="D6260" s="2" t="s">
        <v>57</v>
      </c>
      <c r="E6260" s="5">
        <v>-28084</v>
      </c>
      <c r="F6260" s="3" t="s">
        <v>1049</v>
      </c>
      <c r="G6260" s="3" t="s">
        <v>20</v>
      </c>
      <c r="H6260" s="2" t="s">
        <v>21</v>
      </c>
      <c r="I6260" s="2" t="s">
        <v>12456</v>
      </c>
      <c r="J6260" s="3" t="str">
        <f>HYPERLINK("https://www.boe.es/gazeta/dias/1823/02/08/pdfs/GMD-1823-41.pdf#page=4","Abrir facsímil")</f>
        <v>Abrir facsímil</v>
      </c>
      <c r="K6260" s="3" t="s">
        <v>23</v>
      </c>
    </row>
    <row r="6261" spans="1:11" ht="42" customHeight="1">
      <c r="A6261" s="2" t="s">
        <v>12457</v>
      </c>
      <c r="B6261" s="2" t="s">
        <v>12458</v>
      </c>
      <c r="C6261" s="2" t="s">
        <v>109</v>
      </c>
      <c r="D6261" s="2" t="s">
        <v>74</v>
      </c>
      <c r="E6261" s="5">
        <v>-28098</v>
      </c>
      <c r="F6261" s="3" t="s">
        <v>1101</v>
      </c>
      <c r="G6261" s="3" t="s">
        <v>20</v>
      </c>
      <c r="H6261" s="2" t="s">
        <v>21</v>
      </c>
      <c r="I6261" s="2" t="s">
        <v>12459</v>
      </c>
      <c r="J6261" s="3" t="str">
        <f>HYPERLINK("https://www.boe.es/gazeta/dias/1823/01/25/pdfs/GMD-1823-26.pdf#page=4","Abrir facsímil")</f>
        <v>Abrir facsímil</v>
      </c>
      <c r="K6261" s="3" t="s">
        <v>23</v>
      </c>
    </row>
    <row r="6262" spans="1:11" ht="42" customHeight="1">
      <c r="A6262" s="2" t="s">
        <v>12457</v>
      </c>
      <c r="B6262" s="2" t="s">
        <v>12458</v>
      </c>
      <c r="C6262" s="2" t="s">
        <v>17</v>
      </c>
      <c r="D6262" s="2" t="s">
        <v>18</v>
      </c>
      <c r="E6262" s="5">
        <v>-28043</v>
      </c>
      <c r="F6262" s="3" t="s">
        <v>69</v>
      </c>
      <c r="G6262" s="3" t="s">
        <v>59</v>
      </c>
      <c r="H6262" s="2" t="s">
        <v>21</v>
      </c>
      <c r="I6262" s="2" t="s">
        <v>12460</v>
      </c>
      <c r="J6262" s="3" t="str">
        <f>HYPERLINK("https://www.boe.es/gazeta/dias/1823/03/21/pdfs/GMD-1823-84.pdf#page=6","Abrir facsímil")</f>
        <v>Abrir facsímil</v>
      </c>
      <c r="K6262" s="3" t="s">
        <v>23</v>
      </c>
    </row>
    <row r="6263" spans="1:11" ht="42" customHeight="1">
      <c r="A6263" s="2" t="s">
        <v>12457</v>
      </c>
      <c r="B6263" s="2" t="s">
        <v>12458</v>
      </c>
      <c r="C6263" s="2" t="s">
        <v>1477</v>
      </c>
      <c r="D6263" s="2" t="s">
        <v>57</v>
      </c>
      <c r="E6263" s="5">
        <v>-28037</v>
      </c>
      <c r="F6263" s="3" t="s">
        <v>192</v>
      </c>
      <c r="G6263" s="3" t="s">
        <v>48</v>
      </c>
      <c r="H6263" s="2" t="s">
        <v>21</v>
      </c>
      <c r="I6263" s="2" t="s">
        <v>12461</v>
      </c>
      <c r="J6263" s="3" t="str">
        <f>HYPERLINK("https://www.boe.es/gazeta/dias/1823/03/27/pdfs/GMD-1823-90.pdf#page=3","Abrir facsímil")</f>
        <v>Abrir facsímil</v>
      </c>
      <c r="K6263" s="3" t="s">
        <v>23</v>
      </c>
    </row>
    <row r="6264" spans="1:11" ht="42" customHeight="1">
      <c r="A6264" s="2" t="s">
        <v>12457</v>
      </c>
      <c r="B6264" s="2" t="s">
        <v>12458</v>
      </c>
      <c r="C6264" s="2" t="s">
        <v>325</v>
      </c>
      <c r="D6264" s="2" t="s">
        <v>74</v>
      </c>
      <c r="E6264" s="5">
        <v>-28037</v>
      </c>
      <c r="F6264" s="3" t="s">
        <v>192</v>
      </c>
      <c r="G6264" s="3" t="s">
        <v>20</v>
      </c>
      <c r="H6264" s="2" t="s">
        <v>21</v>
      </c>
      <c r="I6264" s="2" t="s">
        <v>12462</v>
      </c>
      <c r="J6264" s="3" t="str">
        <f>HYPERLINK("https://www.boe.es/gazeta/dias/1823/03/27/pdfs/GMD-1823-90.pdf#page=4","Abrir facsímil")</f>
        <v>Abrir facsímil</v>
      </c>
      <c r="K6264" s="3" t="s">
        <v>23</v>
      </c>
    </row>
    <row r="6265" spans="1:11" ht="42" customHeight="1">
      <c r="A6265" s="2" t="s">
        <v>12463</v>
      </c>
      <c r="B6265" s="2" t="s">
        <v>12464</v>
      </c>
      <c r="C6265" s="2" t="s">
        <v>17</v>
      </c>
      <c r="D6265" s="2" t="s">
        <v>18</v>
      </c>
      <c r="E6265" s="5">
        <v>-28010</v>
      </c>
      <c r="F6265" s="3" t="s">
        <v>808</v>
      </c>
      <c r="G6265" s="3" t="s">
        <v>27</v>
      </c>
      <c r="H6265" s="2" t="s">
        <v>21</v>
      </c>
      <c r="I6265" s="2" t="s">
        <v>12465</v>
      </c>
      <c r="J6265" s="3" t="str">
        <f>HYPERLINK("https://www.boe.es/gazeta/dias/1823/04/23/pdfs/GES-1823-13.pdf#page=2","Abrir facsímil")</f>
        <v>Abrir facsímil</v>
      </c>
      <c r="K6265" s="3" t="s">
        <v>23</v>
      </c>
    </row>
    <row r="6266" spans="1:11" ht="42" customHeight="1">
      <c r="A6266" s="2" t="s">
        <v>12466</v>
      </c>
      <c r="B6266" s="2" t="s">
        <v>12466</v>
      </c>
      <c r="C6266" s="2" t="s">
        <v>84</v>
      </c>
      <c r="D6266" s="2" t="s">
        <v>74</v>
      </c>
      <c r="E6266" s="5">
        <v>-28092</v>
      </c>
      <c r="F6266" s="3" t="s">
        <v>105</v>
      </c>
      <c r="G6266" s="3" t="s">
        <v>27</v>
      </c>
      <c r="H6266" s="2" t="s">
        <v>21</v>
      </c>
      <c r="I6266" s="2" t="s">
        <v>12467</v>
      </c>
      <c r="J6266" s="3" t="str">
        <f>HYPERLINK("https://www.boe.es/gazeta/dias/1823/01/31/pdfs/GMD-1823-32.pdf#page=2","Abrir facsímil")</f>
        <v>Abrir facsímil</v>
      </c>
      <c r="K6266" s="3" t="s">
        <v>23</v>
      </c>
    </row>
    <row r="6267" spans="1:11" ht="42" customHeight="1">
      <c r="A6267" s="2" t="s">
        <v>12466</v>
      </c>
      <c r="B6267" s="2" t="s">
        <v>12466</v>
      </c>
      <c r="C6267" s="2" t="s">
        <v>17</v>
      </c>
      <c r="D6267" s="2" t="s">
        <v>18</v>
      </c>
      <c r="E6267" s="5">
        <v>-28082</v>
      </c>
      <c r="F6267" s="3" t="s">
        <v>468</v>
      </c>
      <c r="G6267" s="3" t="s">
        <v>27</v>
      </c>
      <c r="H6267" s="2" t="s">
        <v>21</v>
      </c>
      <c r="I6267" s="2" t="s">
        <v>12468</v>
      </c>
      <c r="J6267" s="3" t="str">
        <f>HYPERLINK("https://www.boe.es/gazeta/dias/1823/02/10/pdfs/GMD-1823-44.pdf#page=2","Abrir facsímil")</f>
        <v>Abrir facsímil</v>
      </c>
      <c r="K6267" s="3" t="s">
        <v>23</v>
      </c>
    </row>
    <row r="6268" spans="1:11" ht="42" customHeight="1">
      <c r="A6268" s="2" t="s">
        <v>12466</v>
      </c>
      <c r="B6268" s="2" t="s">
        <v>12466</v>
      </c>
      <c r="C6268" s="2" t="s">
        <v>17</v>
      </c>
      <c r="D6268" s="2" t="s">
        <v>18</v>
      </c>
      <c r="E6268" s="5">
        <v>-28055</v>
      </c>
      <c r="F6268" s="3" t="s">
        <v>313</v>
      </c>
      <c r="G6268" s="3" t="s">
        <v>27</v>
      </c>
      <c r="H6268" s="2" t="s">
        <v>21</v>
      </c>
      <c r="I6268" s="2" t="s">
        <v>12469</v>
      </c>
      <c r="J6268" s="3" t="str">
        <f>HYPERLINK("https://www.boe.es/gazeta/dias/1823/03/09/pdfs/GMD-1823-72.pdf#page=2","Abrir facsímil")</f>
        <v>Abrir facsímil</v>
      </c>
      <c r="K6268" s="3" t="s">
        <v>23</v>
      </c>
    </row>
    <row r="6269" spans="1:11" ht="42" customHeight="1">
      <c r="A6269" s="2" t="s">
        <v>12466</v>
      </c>
      <c r="B6269" s="2" t="s">
        <v>12466</v>
      </c>
      <c r="C6269" s="2" t="s">
        <v>56</v>
      </c>
      <c r="D6269" s="2" t="s">
        <v>57</v>
      </c>
      <c r="E6269" s="5">
        <v>-27913</v>
      </c>
      <c r="F6269" s="3" t="s">
        <v>821</v>
      </c>
      <c r="G6269" s="3" t="s">
        <v>39</v>
      </c>
      <c r="H6269" s="2" t="s">
        <v>21</v>
      </c>
      <c r="I6269" s="2" t="s">
        <v>12470</v>
      </c>
      <c r="J6269" s="3" t="str">
        <f>HYPERLINK("https://www.boe.es/gazeta/dias/1823/07/29/pdfs/GES-1823-110.pdf#page=1","Abrir facsímil")</f>
        <v>Abrir facsímil</v>
      </c>
      <c r="K6269" s="3" t="s">
        <v>23</v>
      </c>
    </row>
    <row r="6270" spans="1:11" ht="42" customHeight="1">
      <c r="A6270" s="2" t="s">
        <v>12466</v>
      </c>
      <c r="B6270" s="2" t="s">
        <v>12466</v>
      </c>
      <c r="C6270" s="2" t="s">
        <v>109</v>
      </c>
      <c r="D6270" s="2" t="s">
        <v>74</v>
      </c>
      <c r="E6270" s="5">
        <v>-27906</v>
      </c>
      <c r="F6270" s="3" t="s">
        <v>241</v>
      </c>
      <c r="G6270" s="3" t="s">
        <v>39</v>
      </c>
      <c r="H6270" s="2" t="s">
        <v>21</v>
      </c>
      <c r="I6270" s="2" t="s">
        <v>12471</v>
      </c>
      <c r="J6270" s="3" t="str">
        <f>HYPERLINK("https://www.boe.es/gazeta/dias/1823/08/05/pdfs/GES-1823-117.pdf#page=1","Abrir facsímil")</f>
        <v>Abrir facsímil</v>
      </c>
      <c r="K6270" s="3" t="s">
        <v>23</v>
      </c>
    </row>
    <row r="6271" spans="1:11" ht="42" customHeight="1">
      <c r="A6271" s="2" t="s">
        <v>12466</v>
      </c>
      <c r="B6271" s="2" t="s">
        <v>12466</v>
      </c>
      <c r="C6271" s="2" t="s">
        <v>56</v>
      </c>
      <c r="D6271" s="2" t="s">
        <v>57</v>
      </c>
      <c r="E6271" s="5">
        <v>-27873</v>
      </c>
      <c r="F6271" s="3" t="s">
        <v>160</v>
      </c>
      <c r="G6271" s="3" t="s">
        <v>27</v>
      </c>
      <c r="H6271" s="2" t="s">
        <v>21</v>
      </c>
      <c r="I6271" s="2" t="s">
        <v>12472</v>
      </c>
      <c r="J6271" s="3" t="str">
        <f>HYPERLINK("https://www.boe.es/gazeta/dias/1823/09/07/pdfs/GES-1823-151.pdf#page=2","Abrir facsímil")</f>
        <v>Abrir facsímil</v>
      </c>
      <c r="K6271" s="3" t="s">
        <v>23</v>
      </c>
    </row>
    <row r="6272" spans="1:11" ht="42" customHeight="1">
      <c r="A6272" s="2" t="s">
        <v>12466</v>
      </c>
      <c r="B6272" s="2" t="s">
        <v>12466</v>
      </c>
      <c r="C6272" s="2" t="s">
        <v>79</v>
      </c>
      <c r="D6272" s="2" t="s">
        <v>74</v>
      </c>
      <c r="E6272" s="5">
        <v>-27870</v>
      </c>
      <c r="F6272" s="3" t="s">
        <v>376</v>
      </c>
      <c r="G6272" s="3" t="s">
        <v>27</v>
      </c>
      <c r="H6272" s="2" t="s">
        <v>21</v>
      </c>
      <c r="I6272" s="2" t="s">
        <v>12473</v>
      </c>
      <c r="J6272" s="3" t="str">
        <f>HYPERLINK("https://www.boe.es/gazeta/dias/1823/09/10/pdfs/GES-1823-154.pdf#page=2","Abrir facsímil")</f>
        <v>Abrir facsímil</v>
      </c>
      <c r="K6272" s="3" t="s">
        <v>23</v>
      </c>
    </row>
    <row r="6273" spans="1:11" ht="42" customHeight="1">
      <c r="A6273" s="2" t="s">
        <v>12466</v>
      </c>
      <c r="B6273" s="2" t="s">
        <v>12466</v>
      </c>
      <c r="C6273" s="2" t="s">
        <v>56</v>
      </c>
      <c r="D6273" s="2" t="s">
        <v>57</v>
      </c>
      <c r="E6273" s="5">
        <v>-27857</v>
      </c>
      <c r="F6273" s="3" t="s">
        <v>378</v>
      </c>
      <c r="G6273" s="3" t="s">
        <v>34</v>
      </c>
      <c r="H6273" s="2" t="s">
        <v>21</v>
      </c>
      <c r="I6273" s="2" t="s">
        <v>12474</v>
      </c>
      <c r="J6273" s="3" t="str">
        <f>HYPERLINK("https://www.boe.es/gazeta/dias/1823/09/23/pdfs/GMD-1823-833.pdf#page=5","Abrir facsímil")</f>
        <v>Abrir facsímil</v>
      </c>
      <c r="K6273" s="3" t="s">
        <v>23</v>
      </c>
    </row>
    <row r="6274" spans="1:11" ht="42" customHeight="1">
      <c r="A6274" s="2" t="s">
        <v>12475</v>
      </c>
      <c r="B6274" s="2" t="s">
        <v>12476</v>
      </c>
      <c r="C6274" s="2" t="s">
        <v>17</v>
      </c>
      <c r="D6274" s="2" t="s">
        <v>18</v>
      </c>
      <c r="E6274" s="5">
        <v>-28042</v>
      </c>
      <c r="F6274" s="3" t="s">
        <v>1218</v>
      </c>
      <c r="G6274" s="3" t="s">
        <v>48</v>
      </c>
      <c r="H6274" s="2" t="s">
        <v>21</v>
      </c>
      <c r="I6274" s="2" t="s">
        <v>12477</v>
      </c>
      <c r="J6274" s="3" t="str">
        <f>HYPERLINK("https://www.boe.es/gazeta/dias/1823/03/22/pdfs/GMD-1823-85.pdf#page=3","Abrir facsímil")</f>
        <v>Abrir facsímil</v>
      </c>
      <c r="K6274" s="3" t="s">
        <v>23</v>
      </c>
    </row>
    <row r="6275" spans="1:11" ht="42" customHeight="1">
      <c r="A6275" s="2" t="s">
        <v>12478</v>
      </c>
      <c r="B6275" s="2" t="s">
        <v>12479</v>
      </c>
      <c r="C6275" s="2" t="s">
        <v>109</v>
      </c>
      <c r="D6275" s="2" t="s">
        <v>74</v>
      </c>
      <c r="E6275" s="5">
        <v>-27877</v>
      </c>
      <c r="F6275" s="3" t="s">
        <v>844</v>
      </c>
      <c r="G6275" s="3" t="s">
        <v>20</v>
      </c>
      <c r="H6275" s="2" t="s">
        <v>21</v>
      </c>
      <c r="I6275" s="2" t="s">
        <v>12480</v>
      </c>
      <c r="J6275" s="3" t="str">
        <f>HYPERLINK("https://www.boe.es/gazeta/dias/1823/09/03/pdfs/GES-1823-147.pdf#page=4","Abrir facsímil")</f>
        <v>Abrir facsímil</v>
      </c>
      <c r="K6275" s="3" t="s">
        <v>23</v>
      </c>
    </row>
    <row r="6276" spans="1:11" ht="42" customHeight="1">
      <c r="A6276" s="2" t="s">
        <v>12481</v>
      </c>
      <c r="B6276" s="2" t="s">
        <v>12482</v>
      </c>
      <c r="C6276" s="2" t="s">
        <v>56</v>
      </c>
      <c r="D6276" s="2" t="s">
        <v>57</v>
      </c>
      <c r="E6276" s="5">
        <v>-27913</v>
      </c>
      <c r="F6276" s="3" t="s">
        <v>821</v>
      </c>
      <c r="G6276" s="3" t="s">
        <v>20</v>
      </c>
      <c r="H6276" s="2" t="s">
        <v>21</v>
      </c>
      <c r="I6276" s="2" t="s">
        <v>12483</v>
      </c>
      <c r="J6276" s="3" t="str">
        <f>HYPERLINK("https://www.boe.es/gazeta/dias/1823/07/29/pdfs/GES-1823-110.pdf#page=4","Abrir facsímil")</f>
        <v>Abrir facsímil</v>
      </c>
      <c r="K6276" s="3" t="s">
        <v>23</v>
      </c>
    </row>
    <row r="6277" spans="1:11" ht="42" customHeight="1">
      <c r="A6277" s="2" t="s">
        <v>12484</v>
      </c>
      <c r="B6277" s="2" t="s">
        <v>12484</v>
      </c>
      <c r="C6277" s="2" t="s">
        <v>79</v>
      </c>
      <c r="D6277" s="2" t="s">
        <v>74</v>
      </c>
      <c r="E6277" s="5">
        <v>-28108</v>
      </c>
      <c r="F6277" s="3" t="s">
        <v>406</v>
      </c>
      <c r="G6277" s="3" t="s">
        <v>1710</v>
      </c>
      <c r="H6277" s="2" t="s">
        <v>21</v>
      </c>
      <c r="I6277" s="2" t="s">
        <v>12485</v>
      </c>
      <c r="J6277" s="3" t="str">
        <f>HYPERLINK("https://www.boe.es/gazeta/dias/1823/01/15/pdfs/GMD-1823-15.pdf#page=3","Abrir facsímil")</f>
        <v>Abrir facsímil</v>
      </c>
      <c r="K6277" s="3" t="s">
        <v>23</v>
      </c>
    </row>
    <row r="6278" spans="1:11" ht="42" customHeight="1">
      <c r="A6278" s="2" t="s">
        <v>12486</v>
      </c>
      <c r="B6278" s="2" t="s">
        <v>12486</v>
      </c>
      <c r="C6278" s="2" t="s">
        <v>17</v>
      </c>
      <c r="D6278" s="2" t="s">
        <v>18</v>
      </c>
      <c r="E6278" s="5">
        <v>-28082</v>
      </c>
      <c r="F6278" s="3" t="s">
        <v>468</v>
      </c>
      <c r="G6278" s="3" t="s">
        <v>34</v>
      </c>
      <c r="H6278" s="2" t="s">
        <v>21</v>
      </c>
      <c r="I6278" s="2" t="s">
        <v>12487</v>
      </c>
      <c r="J6278" s="3" t="str">
        <f>HYPERLINK("https://www.boe.es/gazeta/dias/1823/02/10/pdfs/GMD-1823-44.pdf#page=5","Abrir facsímil")</f>
        <v>Abrir facsímil</v>
      </c>
      <c r="K6278" s="3" t="s">
        <v>23</v>
      </c>
    </row>
    <row r="6279" spans="1:11" ht="42" customHeight="1">
      <c r="A6279" s="2" t="s">
        <v>12486</v>
      </c>
      <c r="B6279" s="2" t="s">
        <v>12486</v>
      </c>
      <c r="C6279" s="2" t="s">
        <v>17</v>
      </c>
      <c r="D6279" s="2" t="s">
        <v>18</v>
      </c>
      <c r="E6279" s="5">
        <v>-27948</v>
      </c>
      <c r="F6279" s="3" t="s">
        <v>959</v>
      </c>
      <c r="G6279" s="3" t="s">
        <v>48</v>
      </c>
      <c r="H6279" s="2" t="s">
        <v>21</v>
      </c>
      <c r="I6279" s="2" t="s">
        <v>12488</v>
      </c>
      <c r="J6279" s="3" t="str">
        <f>HYPERLINK("https://www.boe.es/gazeta/dias/1823/06/24/pdfs/GES-1823-72.pdf#page=3","Abrir facsímil")</f>
        <v>Abrir facsímil</v>
      </c>
      <c r="K6279" s="3" t="s">
        <v>23</v>
      </c>
    </row>
    <row r="6280" spans="1:11" ht="42" customHeight="1">
      <c r="A6280" s="2" t="s">
        <v>12489</v>
      </c>
      <c r="B6280" s="2" t="s">
        <v>12490</v>
      </c>
      <c r="C6280" s="2" t="s">
        <v>79</v>
      </c>
      <c r="D6280" s="2" t="s">
        <v>74</v>
      </c>
      <c r="E6280" s="5">
        <v>-27890</v>
      </c>
      <c r="F6280" s="3" t="s">
        <v>1573</v>
      </c>
      <c r="G6280" s="3" t="s">
        <v>20</v>
      </c>
      <c r="H6280" s="2" t="s">
        <v>28</v>
      </c>
      <c r="I6280" s="2" t="s">
        <v>12491</v>
      </c>
      <c r="J6280" s="3" t="str">
        <f>HYPERLINK("https://www.boe.es/gazeta/dias/1823/08/21/pdfs/GMD-1823-623.pdf#page=4","Abrir facsímil")</f>
        <v>Abrir facsímil</v>
      </c>
      <c r="K6280" s="3" t="s">
        <v>30</v>
      </c>
    </row>
    <row r="6281" spans="1:11" ht="42" customHeight="1">
      <c r="A6281" s="2" t="s">
        <v>12492</v>
      </c>
      <c r="B6281" s="2" t="s">
        <v>12493</v>
      </c>
      <c r="C6281" s="2" t="s">
        <v>73</v>
      </c>
      <c r="D6281" s="2" t="s">
        <v>74</v>
      </c>
      <c r="E6281" s="5">
        <v>-27891</v>
      </c>
      <c r="F6281" s="3" t="s">
        <v>825</v>
      </c>
      <c r="G6281" s="3" t="s">
        <v>20</v>
      </c>
      <c r="H6281" s="2" t="s">
        <v>21</v>
      </c>
      <c r="I6281" s="2" t="s">
        <v>12494</v>
      </c>
      <c r="J6281" s="3" t="str">
        <f>HYPERLINK("https://www.boe.es/gazeta/dias/1823/08/20/pdfs/GES-1823-133.pdf#page=4","Abrir facsímil")</f>
        <v>Abrir facsímil</v>
      </c>
      <c r="K6281" s="3" t="s">
        <v>23</v>
      </c>
    </row>
    <row r="6282" spans="1:11" ht="42" customHeight="1">
      <c r="A6282" s="2" t="s">
        <v>12495</v>
      </c>
      <c r="B6282" s="2" t="s">
        <v>12495</v>
      </c>
      <c r="C6282" s="2" t="s">
        <v>109</v>
      </c>
      <c r="D6282" s="2" t="s">
        <v>74</v>
      </c>
      <c r="E6282" s="5">
        <v>-27996</v>
      </c>
      <c r="F6282" s="3" t="s">
        <v>695</v>
      </c>
      <c r="G6282" s="3" t="s">
        <v>27</v>
      </c>
      <c r="H6282" s="2" t="s">
        <v>21</v>
      </c>
      <c r="I6282" s="2" t="s">
        <v>12496</v>
      </c>
      <c r="J6282" s="3" t="str">
        <f>HYPERLINK("https://www.boe.es/gazeta/dias/1823/05/07/pdfs/GES-1823-27.pdf#page=2","Abrir facsímil")</f>
        <v>Abrir facsímil</v>
      </c>
      <c r="K6282" s="3" t="s">
        <v>23</v>
      </c>
    </row>
    <row r="6283" spans="1:11" ht="42" customHeight="1">
      <c r="A6283" s="2" t="s">
        <v>12497</v>
      </c>
      <c r="B6283" s="2" t="s">
        <v>12497</v>
      </c>
      <c r="C6283" s="2" t="s">
        <v>17</v>
      </c>
      <c r="D6283" s="2" t="s">
        <v>18</v>
      </c>
      <c r="E6283" s="5">
        <v>-27945</v>
      </c>
      <c r="F6283" s="3" t="s">
        <v>628</v>
      </c>
      <c r="G6283" s="3" t="s">
        <v>48</v>
      </c>
      <c r="H6283" s="2" t="s">
        <v>21</v>
      </c>
      <c r="I6283" s="2" t="s">
        <v>12498</v>
      </c>
      <c r="J6283" s="3" t="str">
        <f>HYPERLINK("https://www.boe.es/gazeta/dias/1823/06/27/pdfs/GES-1823-77.pdf#page=3","Abrir facsímil")</f>
        <v>Abrir facsímil</v>
      </c>
      <c r="K6283" s="3" t="s">
        <v>23</v>
      </c>
    </row>
    <row r="6284" spans="1:11" ht="42" customHeight="1">
      <c r="A6284" s="2" t="s">
        <v>12499</v>
      </c>
      <c r="B6284" s="2" t="s">
        <v>12499</v>
      </c>
      <c r="C6284" s="2" t="s">
        <v>56</v>
      </c>
      <c r="D6284" s="2" t="s">
        <v>57</v>
      </c>
      <c r="E6284" s="5">
        <v>-27873</v>
      </c>
      <c r="F6284" s="3" t="s">
        <v>160</v>
      </c>
      <c r="G6284" s="3" t="s">
        <v>27</v>
      </c>
      <c r="H6284" s="2" t="s">
        <v>21</v>
      </c>
      <c r="I6284" s="2" t="s">
        <v>12500</v>
      </c>
      <c r="J6284" s="3" t="str">
        <f>HYPERLINK("https://www.boe.es/gazeta/dias/1823/09/07/pdfs/GES-1823-151.pdf#page=2","Abrir facsímil")</f>
        <v>Abrir facsímil</v>
      </c>
      <c r="K6284" s="3" t="s">
        <v>23</v>
      </c>
    </row>
    <row r="6285" spans="1:11" ht="42" customHeight="1">
      <c r="A6285" s="2" t="s">
        <v>12501</v>
      </c>
      <c r="B6285" s="2" t="s">
        <v>12502</v>
      </c>
      <c r="C6285" s="2" t="s">
        <v>17</v>
      </c>
      <c r="D6285" s="2" t="s">
        <v>18</v>
      </c>
      <c r="E6285" s="5">
        <v>-27875</v>
      </c>
      <c r="F6285" s="3" t="s">
        <v>1858</v>
      </c>
      <c r="G6285" s="3" t="s">
        <v>2437</v>
      </c>
      <c r="H6285" s="2" t="s">
        <v>21</v>
      </c>
      <c r="I6285" s="2" t="s">
        <v>12503</v>
      </c>
      <c r="J6285" s="3" t="str">
        <f>HYPERLINK("https://www.boe.es/gazeta/dias/1823/09/05/pdfs/GES-1823-149.pdf#page=2","Abrir facsímil")</f>
        <v>Abrir facsímil</v>
      </c>
      <c r="K6285" s="3" t="s">
        <v>23</v>
      </c>
    </row>
    <row r="6286" spans="1:11" ht="42" customHeight="1">
      <c r="A6286" s="2" t="s">
        <v>12504</v>
      </c>
      <c r="B6286" s="2" t="s">
        <v>12504</v>
      </c>
      <c r="C6286" s="2" t="s">
        <v>79</v>
      </c>
      <c r="D6286" s="2" t="s">
        <v>74</v>
      </c>
      <c r="E6286" s="5">
        <v>-27972</v>
      </c>
      <c r="F6286" s="3" t="s">
        <v>429</v>
      </c>
      <c r="G6286" s="3" t="s">
        <v>39</v>
      </c>
      <c r="H6286" s="2" t="s">
        <v>21</v>
      </c>
      <c r="I6286" s="2" t="s">
        <v>12505</v>
      </c>
      <c r="J6286" s="3" t="str">
        <f>HYPERLINK("https://www.boe.es/gazeta/dias/1823/05/31/pdfs/GES-1823-54.pdf#page=1","Abrir facsímil")</f>
        <v>Abrir facsímil</v>
      </c>
      <c r="K6286" s="3" t="s">
        <v>23</v>
      </c>
    </row>
    <row r="6287" spans="1:11" ht="42" customHeight="1">
      <c r="A6287" s="2" t="s">
        <v>12504</v>
      </c>
      <c r="B6287" s="2" t="s">
        <v>12504</v>
      </c>
      <c r="C6287" s="2" t="s">
        <v>17</v>
      </c>
      <c r="D6287" s="2" t="s">
        <v>18</v>
      </c>
      <c r="E6287" s="5">
        <v>-27953</v>
      </c>
      <c r="F6287" s="3" t="s">
        <v>1783</v>
      </c>
      <c r="G6287" s="3" t="s">
        <v>48</v>
      </c>
      <c r="H6287" s="2" t="s">
        <v>21</v>
      </c>
      <c r="I6287" s="2" t="s">
        <v>12506</v>
      </c>
      <c r="J6287" s="3" t="str">
        <f>HYPERLINK("https://www.boe.es/gazeta/dias/1823/06/19/pdfs/GES-1823-67.pdf#page=3","Abrir facsímil")</f>
        <v>Abrir facsímil</v>
      </c>
      <c r="K6287" s="3" t="s">
        <v>23</v>
      </c>
    </row>
    <row r="6288" spans="1:11" ht="42" customHeight="1">
      <c r="A6288" s="2" t="s">
        <v>12507</v>
      </c>
      <c r="B6288" s="2" t="s">
        <v>12508</v>
      </c>
      <c r="C6288" s="2" t="s">
        <v>109</v>
      </c>
      <c r="D6288" s="2" t="s">
        <v>74</v>
      </c>
      <c r="E6288" s="5">
        <v>-28056</v>
      </c>
      <c r="F6288" s="3" t="s">
        <v>572</v>
      </c>
      <c r="G6288" s="3" t="s">
        <v>59</v>
      </c>
      <c r="H6288" s="2" t="s">
        <v>28</v>
      </c>
      <c r="I6288" s="2" t="s">
        <v>12509</v>
      </c>
      <c r="J6288" s="3" t="str">
        <f>HYPERLINK("https://www.boe.es/gazeta/dias/1823/03/08/pdfs/GMD-1823-71.pdf#page=6","Abrir facsímil")</f>
        <v>Abrir facsímil</v>
      </c>
      <c r="K6288" s="3" t="s">
        <v>30</v>
      </c>
    </row>
    <row r="6289" spans="1:11" ht="42" customHeight="1">
      <c r="A6289" s="2" t="s">
        <v>12507</v>
      </c>
      <c r="B6289" s="2" t="s">
        <v>12508</v>
      </c>
      <c r="C6289" s="2" t="s">
        <v>56</v>
      </c>
      <c r="D6289" s="2" t="s">
        <v>57</v>
      </c>
      <c r="E6289" s="5">
        <v>-27920</v>
      </c>
      <c r="F6289" s="3" t="s">
        <v>1334</v>
      </c>
      <c r="G6289" s="3" t="s">
        <v>715</v>
      </c>
      <c r="H6289" s="2" t="s">
        <v>28</v>
      </c>
      <c r="I6289" s="2" t="s">
        <v>12510</v>
      </c>
      <c r="J6289" s="3" t="str">
        <f>HYPERLINK("https://www.boe.es/gazeta/dias/1823/07/22/pdfs/GMD-1823-443.pdf#page=8","Abrir facsímil")</f>
        <v>Abrir facsímil</v>
      </c>
      <c r="K6289" s="3" t="s">
        <v>30</v>
      </c>
    </row>
    <row r="6290" spans="1:11" ht="42" customHeight="1">
      <c r="A6290" s="2" t="s">
        <v>12511</v>
      </c>
      <c r="B6290" s="2" t="s">
        <v>12512</v>
      </c>
      <c r="C6290" s="2" t="s">
        <v>109</v>
      </c>
      <c r="D6290" s="2" t="s">
        <v>74</v>
      </c>
      <c r="E6290" s="5">
        <v>-28062</v>
      </c>
      <c r="F6290" s="3" t="s">
        <v>1357</v>
      </c>
      <c r="G6290" s="3" t="s">
        <v>20</v>
      </c>
      <c r="H6290" s="2" t="s">
        <v>21</v>
      </c>
      <c r="I6290" s="2" t="s">
        <v>12513</v>
      </c>
      <c r="J6290" s="3" t="str">
        <f>HYPERLINK("https://www.boe.es/gazeta/dias/1823/03/02/pdfs/GMD-1823-65.pdf#page=4","Abrir facsímil")</f>
        <v>Abrir facsímil</v>
      </c>
      <c r="K6290" s="3" t="s">
        <v>23</v>
      </c>
    </row>
    <row r="6291" spans="1:11" ht="42" customHeight="1">
      <c r="A6291" s="2" t="s">
        <v>12514</v>
      </c>
      <c r="B6291" s="2" t="s">
        <v>12515</v>
      </c>
      <c r="C6291" s="2" t="s">
        <v>17</v>
      </c>
      <c r="D6291" s="2" t="s">
        <v>117</v>
      </c>
      <c r="E6291" s="5">
        <v>-27869</v>
      </c>
      <c r="F6291" s="3" t="s">
        <v>2363</v>
      </c>
      <c r="G6291" s="3" t="s">
        <v>39</v>
      </c>
      <c r="H6291" s="2" t="s">
        <v>21</v>
      </c>
      <c r="I6291" s="2" t="s">
        <v>12516</v>
      </c>
      <c r="J6291" s="3" t="str">
        <f>HYPERLINK("https://www.boe.es/gazeta/dias/1823/09/11/pdfs/GMD-1823-763E.pdf#page=1","Abrir facsímil")</f>
        <v>Abrir facsímil</v>
      </c>
      <c r="K6291" s="3" t="s">
        <v>23</v>
      </c>
    </row>
    <row r="6292" spans="1:11" ht="42" customHeight="1">
      <c r="A6292" s="2" t="s">
        <v>12517</v>
      </c>
      <c r="B6292" s="2" t="s">
        <v>12517</v>
      </c>
      <c r="C6292" s="2" t="s">
        <v>17</v>
      </c>
      <c r="D6292" s="2" t="s">
        <v>18</v>
      </c>
      <c r="E6292" s="5">
        <v>-28071</v>
      </c>
      <c r="F6292" s="3" t="s">
        <v>587</v>
      </c>
      <c r="G6292" s="3" t="s">
        <v>48</v>
      </c>
      <c r="H6292" s="2" t="s">
        <v>21</v>
      </c>
      <c r="I6292" s="2" t="s">
        <v>12518</v>
      </c>
      <c r="J6292" s="3" t="str">
        <f>HYPERLINK("https://www.boe.es/gazeta/dias/1823/02/21/pdfs/GMD-1823-55.pdf#page=3","Abrir facsímil")</f>
        <v>Abrir facsímil</v>
      </c>
      <c r="K6292" s="3" t="s">
        <v>23</v>
      </c>
    </row>
    <row r="6293" spans="1:11" ht="42" customHeight="1">
      <c r="A6293" s="2" t="s">
        <v>12519</v>
      </c>
      <c r="B6293" s="2" t="s">
        <v>12520</v>
      </c>
      <c r="C6293" s="2" t="s">
        <v>17</v>
      </c>
      <c r="D6293" s="2" t="s">
        <v>18</v>
      </c>
      <c r="E6293" s="5">
        <v>-27769</v>
      </c>
      <c r="F6293" s="3" t="s">
        <v>2743</v>
      </c>
      <c r="G6293" s="3" t="s">
        <v>39</v>
      </c>
      <c r="H6293" s="2" t="s">
        <v>21</v>
      </c>
      <c r="I6293" s="2" t="s">
        <v>12521</v>
      </c>
      <c r="J6293" s="3" t="str">
        <f>HYPERLINK("https://www.boe.es/gazeta/dias/1823/12/20/pdfs/GMD-1823-1273.pdf#page=1","Abrir facsímil")</f>
        <v>Abrir facsímil</v>
      </c>
      <c r="K6293" s="3" t="s">
        <v>23</v>
      </c>
    </row>
    <row r="6294" spans="1:11" ht="42" customHeight="1">
      <c r="A6294" s="2" t="s">
        <v>12522</v>
      </c>
      <c r="B6294" s="2" t="s">
        <v>12522</v>
      </c>
      <c r="C6294" s="2" t="s">
        <v>17</v>
      </c>
      <c r="D6294" s="2" t="s">
        <v>117</v>
      </c>
      <c r="E6294" s="5">
        <v>-27869</v>
      </c>
      <c r="F6294" s="3" t="s">
        <v>2363</v>
      </c>
      <c r="G6294" s="3" t="s">
        <v>39</v>
      </c>
      <c r="H6294" s="2" t="s">
        <v>21</v>
      </c>
      <c r="I6294" s="2" t="s">
        <v>12523</v>
      </c>
      <c r="J6294" s="3" t="str">
        <f>HYPERLINK("https://www.boe.es/gazeta/dias/1823/09/11/pdfs/GMD-1823-763E.pdf#page=1","Abrir facsímil")</f>
        <v>Abrir facsímil</v>
      </c>
      <c r="K6294" s="3" t="s">
        <v>23</v>
      </c>
    </row>
    <row r="6295" spans="1:11" ht="42" customHeight="1">
      <c r="A6295" s="2" t="s">
        <v>12524</v>
      </c>
      <c r="B6295" s="2" t="s">
        <v>12525</v>
      </c>
      <c r="C6295" s="2" t="s">
        <v>17</v>
      </c>
      <c r="D6295" s="2" t="s">
        <v>18</v>
      </c>
      <c r="E6295" s="5">
        <v>-28018</v>
      </c>
      <c r="F6295" s="3" t="s">
        <v>2613</v>
      </c>
      <c r="G6295" s="3" t="s">
        <v>27</v>
      </c>
      <c r="H6295" s="2" t="s">
        <v>21</v>
      </c>
      <c r="I6295" s="2" t="s">
        <v>12526</v>
      </c>
      <c r="J6295" s="3" t="str">
        <f>HYPERLINK("https://www.boe.es/gazeta/dias/1823/04/15/pdfs/GES-1823-5.pdf#page=2","Abrir facsímil")</f>
        <v>Abrir facsímil</v>
      </c>
      <c r="K6295" s="3" t="s">
        <v>23</v>
      </c>
    </row>
    <row r="6296" spans="1:11" ht="42" customHeight="1">
      <c r="A6296" s="2" t="s">
        <v>12527</v>
      </c>
      <c r="B6296" s="2" t="s">
        <v>12527</v>
      </c>
      <c r="C6296" s="2" t="s">
        <v>17</v>
      </c>
      <c r="D6296" s="2" t="s">
        <v>18</v>
      </c>
      <c r="E6296" s="5">
        <v>-27892</v>
      </c>
      <c r="F6296" s="3" t="s">
        <v>1571</v>
      </c>
      <c r="G6296" s="3" t="s">
        <v>27</v>
      </c>
      <c r="H6296" s="2" t="s">
        <v>21</v>
      </c>
      <c r="I6296" s="2" t="s">
        <v>12528</v>
      </c>
      <c r="J6296" s="3" t="str">
        <f>HYPERLINK("https://www.boe.es/gazeta/dias/1823/08/19/pdfs/GMD-1823-613.pdf#page=2","Abrir facsímil")</f>
        <v>Abrir facsímil</v>
      </c>
      <c r="K6296" s="3" t="s">
        <v>23</v>
      </c>
    </row>
    <row r="6297" spans="1:11" ht="42" customHeight="1">
      <c r="A6297" s="2" t="s">
        <v>12527</v>
      </c>
      <c r="B6297" s="2" t="s">
        <v>12527</v>
      </c>
      <c r="C6297" s="2" t="s">
        <v>17</v>
      </c>
      <c r="D6297" s="2" t="s">
        <v>18</v>
      </c>
      <c r="E6297" s="5">
        <v>-27892</v>
      </c>
      <c r="F6297" s="3" t="s">
        <v>1571</v>
      </c>
      <c r="G6297" s="3" t="s">
        <v>48</v>
      </c>
      <c r="H6297" s="2" t="s">
        <v>21</v>
      </c>
      <c r="I6297" s="2" t="s">
        <v>12529</v>
      </c>
      <c r="J6297" s="3" t="str">
        <f>HYPERLINK("https://www.boe.es/gazeta/dias/1823/08/19/pdfs/GMD-1823-613.pdf#page=3","Abrir facsímil")</f>
        <v>Abrir facsímil</v>
      </c>
      <c r="K6297" s="3" t="s">
        <v>23</v>
      </c>
    </row>
    <row r="6298" spans="1:11" ht="42" customHeight="1">
      <c r="A6298" s="2" t="s">
        <v>12530</v>
      </c>
      <c r="B6298" s="2" t="s">
        <v>12530</v>
      </c>
      <c r="C6298" s="2" t="s">
        <v>73</v>
      </c>
      <c r="D6298" s="2" t="s">
        <v>74</v>
      </c>
      <c r="E6298" s="5">
        <v>-28104</v>
      </c>
      <c r="F6298" s="3" t="s">
        <v>114</v>
      </c>
      <c r="G6298" s="3" t="s">
        <v>27</v>
      </c>
      <c r="H6298" s="2" t="s">
        <v>21</v>
      </c>
      <c r="I6298" s="2" t="s">
        <v>12531</v>
      </c>
      <c r="J6298" s="3" t="str">
        <f>HYPERLINK("https://www.boe.es/gazeta/dias/1823/01/19/pdfs/GMD-1823-19.pdf#page=2","Abrir facsímil")</f>
        <v>Abrir facsímil</v>
      </c>
      <c r="K6298" s="3" t="s">
        <v>23</v>
      </c>
    </row>
    <row r="6299" spans="1:11" ht="42" customHeight="1">
      <c r="A6299" s="2" t="s">
        <v>12532</v>
      </c>
      <c r="B6299" s="2" t="s">
        <v>12532</v>
      </c>
      <c r="C6299" s="2" t="s">
        <v>79</v>
      </c>
      <c r="D6299" s="2" t="s">
        <v>74</v>
      </c>
      <c r="E6299" s="5">
        <v>-28066</v>
      </c>
      <c r="F6299" s="3" t="s">
        <v>19</v>
      </c>
      <c r="G6299" s="3" t="s">
        <v>48</v>
      </c>
      <c r="H6299" s="2" t="s">
        <v>21</v>
      </c>
      <c r="I6299" s="2" t="s">
        <v>12533</v>
      </c>
      <c r="J6299" s="3" t="str">
        <f>HYPERLINK("https://www.boe.es/gazeta/dias/1823/02/26/pdfs/GMD-1823-60.pdf#page=3","Abrir facsímil")</f>
        <v>Abrir facsímil</v>
      </c>
      <c r="K6299" s="3" t="s">
        <v>23</v>
      </c>
    </row>
    <row r="6300" spans="1:11" ht="42" customHeight="1">
      <c r="A6300" s="2" t="s">
        <v>12532</v>
      </c>
      <c r="B6300" s="2" t="s">
        <v>12532</v>
      </c>
      <c r="C6300" s="2" t="s">
        <v>56</v>
      </c>
      <c r="D6300" s="2" t="s">
        <v>57</v>
      </c>
      <c r="E6300" s="5">
        <v>-28052</v>
      </c>
      <c r="F6300" s="3" t="s">
        <v>1025</v>
      </c>
      <c r="G6300" s="3" t="s">
        <v>27</v>
      </c>
      <c r="H6300" s="2" t="s">
        <v>21</v>
      </c>
      <c r="I6300" s="2" t="s">
        <v>12534</v>
      </c>
      <c r="J6300" s="3" t="str">
        <f>HYPERLINK("https://www.boe.es/gazeta/dias/1823/03/12/pdfs/GMD-1823-75.pdf#page=2","Abrir facsímil")</f>
        <v>Abrir facsímil</v>
      </c>
      <c r="K6300" s="3" t="s">
        <v>23</v>
      </c>
    </row>
    <row r="6301" spans="1:11" ht="42" customHeight="1">
      <c r="A6301" s="2" t="s">
        <v>12532</v>
      </c>
      <c r="B6301" s="2" t="s">
        <v>12532</v>
      </c>
      <c r="C6301" s="2" t="s">
        <v>79</v>
      </c>
      <c r="D6301" s="2" t="s">
        <v>74</v>
      </c>
      <c r="E6301" s="5">
        <v>-27992</v>
      </c>
      <c r="F6301" s="3" t="s">
        <v>565</v>
      </c>
      <c r="G6301" s="3" t="s">
        <v>1279</v>
      </c>
      <c r="H6301" s="2" t="s">
        <v>21</v>
      </c>
      <c r="I6301" s="2" t="s">
        <v>12535</v>
      </c>
      <c r="J6301" s="3" t="str">
        <f>HYPERLINK("https://www.boe.es/gazeta/dias/1823/05/11/pdfs/GES-1823-31.pdf#page=2","Abrir facsímil")</f>
        <v>Abrir facsímil</v>
      </c>
      <c r="K6301" s="3" t="s">
        <v>23</v>
      </c>
    </row>
    <row r="6302" spans="1:11" ht="42" customHeight="1">
      <c r="A6302" s="2" t="s">
        <v>12532</v>
      </c>
      <c r="B6302" s="2" t="s">
        <v>12532</v>
      </c>
      <c r="C6302" s="2" t="s">
        <v>79</v>
      </c>
      <c r="D6302" s="2" t="s">
        <v>74</v>
      </c>
      <c r="E6302" s="5">
        <v>-27986</v>
      </c>
      <c r="F6302" s="3" t="s">
        <v>607</v>
      </c>
      <c r="G6302" s="3" t="s">
        <v>48</v>
      </c>
      <c r="H6302" s="2" t="s">
        <v>21</v>
      </c>
      <c r="I6302" s="2" t="s">
        <v>12536</v>
      </c>
      <c r="J6302" s="3" t="str">
        <f>HYPERLINK("https://www.boe.es/gazeta/dias/1823/05/17/pdfs/GMD-1823-152.pdf#page=3","Abrir facsímil")</f>
        <v>Abrir facsímil</v>
      </c>
      <c r="K6302" s="3" t="s">
        <v>23</v>
      </c>
    </row>
    <row r="6303" spans="1:11" ht="42" customHeight="1">
      <c r="A6303" s="2" t="s">
        <v>12537</v>
      </c>
      <c r="B6303" s="2" t="s">
        <v>12537</v>
      </c>
      <c r="C6303" s="2" t="s">
        <v>109</v>
      </c>
      <c r="D6303" s="2" t="s">
        <v>74</v>
      </c>
      <c r="E6303" s="5">
        <v>-28120</v>
      </c>
      <c r="F6303" s="3" t="s">
        <v>2772</v>
      </c>
      <c r="G6303" s="3" t="s">
        <v>3108</v>
      </c>
      <c r="H6303" s="2" t="s">
        <v>21</v>
      </c>
      <c r="I6303" s="2" t="s">
        <v>12538</v>
      </c>
      <c r="J6303" s="3" t="str">
        <f>HYPERLINK("https://www.boe.es/gazeta/dias/1823/01/03/pdfs/GMD-1823-3.pdf#page=3","Abrir facsímil")</f>
        <v>Abrir facsímil</v>
      </c>
      <c r="K6303" s="3" t="s">
        <v>23</v>
      </c>
    </row>
    <row r="6304" spans="1:11" ht="42" customHeight="1">
      <c r="A6304" s="2" t="s">
        <v>12539</v>
      </c>
      <c r="B6304" s="2" t="s">
        <v>12540</v>
      </c>
      <c r="C6304" s="2" t="s">
        <v>17</v>
      </c>
      <c r="D6304" s="2" t="s">
        <v>18</v>
      </c>
      <c r="E6304" s="5">
        <v>-27982</v>
      </c>
      <c r="F6304" s="3" t="s">
        <v>340</v>
      </c>
      <c r="G6304" s="3" t="s">
        <v>27</v>
      </c>
      <c r="H6304" s="2" t="s">
        <v>21</v>
      </c>
      <c r="I6304" s="2" t="s">
        <v>12541</v>
      </c>
      <c r="J6304" s="3" t="str">
        <f>HYPERLINK("https://www.boe.es/gazeta/dias/1823/05/21/pdfs/GES-1823-42.pdf#page=2","Abrir facsímil")</f>
        <v>Abrir facsímil</v>
      </c>
      <c r="K6304" s="3" t="s">
        <v>23</v>
      </c>
    </row>
    <row r="6305" spans="1:11" ht="42" customHeight="1">
      <c r="A6305" s="2" t="s">
        <v>12542</v>
      </c>
      <c r="B6305" s="2" t="s">
        <v>12542</v>
      </c>
      <c r="C6305" s="2" t="s">
        <v>84</v>
      </c>
      <c r="D6305" s="2" t="s">
        <v>74</v>
      </c>
      <c r="E6305" s="5">
        <v>-27993</v>
      </c>
      <c r="F6305" s="3" t="s">
        <v>977</v>
      </c>
      <c r="G6305" s="3" t="s">
        <v>48</v>
      </c>
      <c r="H6305" s="2" t="s">
        <v>21</v>
      </c>
      <c r="I6305" s="2" t="s">
        <v>12543</v>
      </c>
      <c r="J6305" s="3" t="str">
        <f>HYPERLINK("https://www.boe.es/gazeta/dias/1823/05/10/pdfs/GES-1823-30.pdf#page=3","Abrir facsímil")</f>
        <v>Abrir facsímil</v>
      </c>
      <c r="K6305" s="3" t="s">
        <v>23</v>
      </c>
    </row>
    <row r="6306" spans="1:11" ht="42" customHeight="1">
      <c r="A6306" s="2" t="s">
        <v>12544</v>
      </c>
      <c r="B6306" s="2" t="s">
        <v>12545</v>
      </c>
      <c r="C6306" s="2" t="s">
        <v>17</v>
      </c>
      <c r="D6306" s="2" t="s">
        <v>18</v>
      </c>
      <c r="E6306" s="5">
        <v>-28056</v>
      </c>
      <c r="F6306" s="3" t="s">
        <v>572</v>
      </c>
      <c r="G6306" s="3" t="s">
        <v>59</v>
      </c>
      <c r="H6306" s="2" t="s">
        <v>28</v>
      </c>
      <c r="I6306" s="2" t="s">
        <v>12546</v>
      </c>
      <c r="J6306" s="3" t="str">
        <f>HYPERLINK("https://www.boe.es/gazeta/dias/1823/03/08/pdfs/GMD-1823-71.pdf#page=6","Abrir facsímil")</f>
        <v>Abrir facsímil</v>
      </c>
      <c r="K6306" s="3" t="s">
        <v>30</v>
      </c>
    </row>
    <row r="6307" spans="1:11" ht="42" customHeight="1">
      <c r="A6307" s="2" t="s">
        <v>12547</v>
      </c>
      <c r="B6307" s="2" t="s">
        <v>12548</v>
      </c>
      <c r="C6307" s="2" t="s">
        <v>56</v>
      </c>
      <c r="D6307" s="2" t="s">
        <v>57</v>
      </c>
      <c r="E6307" s="5">
        <v>-28057</v>
      </c>
      <c r="F6307" s="3" t="s">
        <v>301</v>
      </c>
      <c r="G6307" s="3" t="s">
        <v>20</v>
      </c>
      <c r="H6307" s="2" t="s">
        <v>28</v>
      </c>
      <c r="I6307" s="2" t="s">
        <v>12549</v>
      </c>
      <c r="J6307" s="3" t="str">
        <f>HYPERLINK("https://www.boe.es/gazeta/dias/1823/03/07/pdfs/GMD-1823-70.pdf#page=4","Abrir facsímil")</f>
        <v>Abrir facsímil</v>
      </c>
      <c r="K6307" s="3" t="s">
        <v>30</v>
      </c>
    </row>
    <row r="6308" spans="1:11" ht="42" customHeight="1">
      <c r="A6308" s="2" t="s">
        <v>12547</v>
      </c>
      <c r="B6308" s="2" t="s">
        <v>12548</v>
      </c>
      <c r="C6308" s="2" t="s">
        <v>56</v>
      </c>
      <c r="D6308" s="2" t="s">
        <v>57</v>
      </c>
      <c r="E6308" s="5">
        <v>-28037</v>
      </c>
      <c r="F6308" s="3" t="s">
        <v>192</v>
      </c>
      <c r="G6308" s="3" t="s">
        <v>20</v>
      </c>
      <c r="H6308" s="2" t="s">
        <v>28</v>
      </c>
      <c r="I6308" s="2" t="s">
        <v>12550</v>
      </c>
      <c r="J6308" s="3" t="str">
        <f>HYPERLINK("https://www.boe.es/gazeta/dias/1823/03/27/pdfs/GMD-1823-90.pdf#page=4","Abrir facsímil")</f>
        <v>Abrir facsímil</v>
      </c>
      <c r="K6308" s="3" t="s">
        <v>30</v>
      </c>
    </row>
    <row r="6309" spans="1:11" ht="42" customHeight="1">
      <c r="A6309" s="2" t="s">
        <v>12547</v>
      </c>
      <c r="B6309" s="2" t="s">
        <v>12548</v>
      </c>
      <c r="C6309" s="2" t="s">
        <v>56</v>
      </c>
      <c r="D6309" s="2" t="s">
        <v>57</v>
      </c>
      <c r="E6309" s="5">
        <v>-27932</v>
      </c>
      <c r="F6309" s="3" t="s">
        <v>786</v>
      </c>
      <c r="G6309" s="3" t="s">
        <v>715</v>
      </c>
      <c r="H6309" s="2" t="s">
        <v>28</v>
      </c>
      <c r="I6309" s="2" t="s">
        <v>12551</v>
      </c>
      <c r="J6309" s="3" t="str">
        <f>HYPERLINK("https://www.boe.es/gazeta/dias/1823/07/10/pdfs/GMD-1823-363.pdf#page=8","Abrir facsímil")</f>
        <v>Abrir facsímil</v>
      </c>
      <c r="K6309" s="3" t="s">
        <v>30</v>
      </c>
    </row>
    <row r="6310" spans="1:11" ht="42" customHeight="1">
      <c r="A6310" s="2" t="s">
        <v>12547</v>
      </c>
      <c r="B6310" s="2" t="s">
        <v>12548</v>
      </c>
      <c r="C6310" s="2" t="s">
        <v>56</v>
      </c>
      <c r="D6310" s="2" t="s">
        <v>57</v>
      </c>
      <c r="E6310" s="5">
        <v>-27930</v>
      </c>
      <c r="F6310" s="3" t="s">
        <v>3578</v>
      </c>
      <c r="G6310" s="3" t="s">
        <v>20</v>
      </c>
      <c r="H6310" s="2" t="s">
        <v>28</v>
      </c>
      <c r="I6310" s="2" t="s">
        <v>12552</v>
      </c>
      <c r="J6310" s="3" t="str">
        <f>HYPERLINK("https://www.boe.es/gazeta/dias/1823/07/12/pdfs/GMD-1823-393.pdf#page=4","Abrir facsímil")</f>
        <v>Abrir facsímil</v>
      </c>
      <c r="K6310" s="3" t="s">
        <v>30</v>
      </c>
    </row>
    <row r="6311" spans="1:11" ht="42" customHeight="1">
      <c r="A6311" s="2" t="s">
        <v>12547</v>
      </c>
      <c r="B6311" s="2" t="s">
        <v>12548</v>
      </c>
      <c r="C6311" s="2" t="s">
        <v>79</v>
      </c>
      <c r="D6311" s="2" t="s">
        <v>74</v>
      </c>
      <c r="E6311" s="5">
        <v>-27848</v>
      </c>
      <c r="F6311" s="3" t="s">
        <v>2665</v>
      </c>
      <c r="G6311" s="3" t="s">
        <v>20</v>
      </c>
      <c r="H6311" s="2" t="s">
        <v>28</v>
      </c>
      <c r="I6311" s="2" t="s">
        <v>12553</v>
      </c>
      <c r="J6311" s="3" t="str">
        <f>HYPERLINK("https://www.boe.es/gazeta/dias/1823/10/02/pdfs/GMD-1823-893.pdf#page=4","Abrir facsímil")</f>
        <v>Abrir facsímil</v>
      </c>
      <c r="K6311" s="3" t="s">
        <v>30</v>
      </c>
    </row>
    <row r="6312" spans="1:11" ht="42" customHeight="1">
      <c r="A6312" s="2" t="s">
        <v>12547</v>
      </c>
      <c r="B6312" s="2" t="s">
        <v>12548</v>
      </c>
      <c r="C6312" s="2" t="s">
        <v>17</v>
      </c>
      <c r="D6312" s="2" t="s">
        <v>18</v>
      </c>
      <c r="E6312" s="5">
        <v>-27797</v>
      </c>
      <c r="F6312" s="3" t="s">
        <v>3409</v>
      </c>
      <c r="G6312" s="3" t="s">
        <v>20</v>
      </c>
      <c r="H6312" s="2" t="s">
        <v>28</v>
      </c>
      <c r="I6312" s="2" t="s">
        <v>12554</v>
      </c>
      <c r="J6312" s="3" t="str">
        <f>HYPERLINK("https://www.boe.es/gazeta/dias/1823/11/22/pdfs/GMD-1823-1153.pdf#page=4","Abrir facsímil")</f>
        <v>Abrir facsímil</v>
      </c>
      <c r="K6312" s="3" t="s">
        <v>30</v>
      </c>
    </row>
    <row r="6313" spans="1:11" ht="42" customHeight="1">
      <c r="A6313" s="2" t="s">
        <v>12555</v>
      </c>
      <c r="B6313" s="2" t="s">
        <v>12556</v>
      </c>
      <c r="C6313" s="2" t="s">
        <v>17</v>
      </c>
      <c r="D6313" s="2" t="s">
        <v>18</v>
      </c>
      <c r="E6313" s="5">
        <v>-28104</v>
      </c>
      <c r="F6313" s="3" t="s">
        <v>114</v>
      </c>
      <c r="G6313" s="3" t="s">
        <v>34</v>
      </c>
      <c r="H6313" s="2" t="s">
        <v>21</v>
      </c>
      <c r="I6313" s="2" t="s">
        <v>12557</v>
      </c>
      <c r="J6313" s="3" t="str">
        <f>HYPERLINK("https://www.boe.es/gazeta/dias/1823/01/19/pdfs/GMD-1823-19.pdf#page=5","Abrir facsímil")</f>
        <v>Abrir facsímil</v>
      </c>
      <c r="K6313" s="3" t="s">
        <v>23</v>
      </c>
    </row>
    <row r="6314" spans="1:11" ht="42" customHeight="1">
      <c r="A6314" s="2" t="s">
        <v>12558</v>
      </c>
      <c r="B6314" s="2" t="s">
        <v>12559</v>
      </c>
      <c r="C6314" s="2" t="s">
        <v>56</v>
      </c>
      <c r="D6314" s="2" t="s">
        <v>57</v>
      </c>
      <c r="E6314" s="5">
        <v>-27920</v>
      </c>
      <c r="F6314" s="3" t="s">
        <v>1334</v>
      </c>
      <c r="G6314" s="3" t="s">
        <v>276</v>
      </c>
      <c r="H6314" s="2" t="s">
        <v>21</v>
      </c>
      <c r="I6314" s="2" t="s">
        <v>12560</v>
      </c>
      <c r="J6314" s="3" t="str">
        <f>HYPERLINK("https://www.boe.es/gazeta/dias/1823/07/22/pdfs/GMD-1823-443.pdf#page=7","Abrir facsímil")</f>
        <v>Abrir facsímil</v>
      </c>
      <c r="K6314" s="3" t="s">
        <v>23</v>
      </c>
    </row>
    <row r="6315" spans="1:11" ht="42" customHeight="1">
      <c r="A6315" s="2" t="s">
        <v>12561</v>
      </c>
      <c r="B6315" s="2" t="s">
        <v>12562</v>
      </c>
      <c r="C6315" s="2" t="s">
        <v>79</v>
      </c>
      <c r="D6315" s="2" t="s">
        <v>74</v>
      </c>
      <c r="E6315" s="5">
        <v>-27920</v>
      </c>
      <c r="F6315" s="3" t="s">
        <v>1334</v>
      </c>
      <c r="G6315" s="3" t="s">
        <v>276</v>
      </c>
      <c r="H6315" s="2" t="s">
        <v>21</v>
      </c>
      <c r="I6315" s="2" t="s">
        <v>12563</v>
      </c>
      <c r="J6315" s="3" t="str">
        <f>HYPERLINK("https://www.boe.es/gazeta/dias/1823/07/22/pdfs/GMD-1823-443.pdf#page=7","Abrir facsímil")</f>
        <v>Abrir facsímil</v>
      </c>
      <c r="K6315" s="3" t="s">
        <v>23</v>
      </c>
    </row>
    <row r="6316" spans="1:11" ht="42" customHeight="1">
      <c r="A6316" s="2" t="s">
        <v>12564</v>
      </c>
      <c r="B6316" s="2" t="s">
        <v>12565</v>
      </c>
      <c r="C6316" s="2" t="s">
        <v>79</v>
      </c>
      <c r="D6316" s="2" t="s">
        <v>74</v>
      </c>
      <c r="E6316" s="5">
        <v>-28058</v>
      </c>
      <c r="F6316" s="3" t="s">
        <v>1282</v>
      </c>
      <c r="G6316" s="3" t="s">
        <v>34</v>
      </c>
      <c r="H6316" s="2" t="s">
        <v>21</v>
      </c>
      <c r="I6316" s="2" t="s">
        <v>12566</v>
      </c>
      <c r="J6316" s="3" t="str">
        <f>HYPERLINK("https://www.boe.es/gazeta/dias/1823/03/06/pdfs/GMD-1823-69.pdf#page=5","Abrir facsímil")</f>
        <v>Abrir facsímil</v>
      </c>
      <c r="K6316" s="3" t="s">
        <v>23</v>
      </c>
    </row>
    <row r="6317" spans="1:11" ht="42" customHeight="1">
      <c r="A6317" s="2" t="s">
        <v>12567</v>
      </c>
      <c r="B6317" s="2" t="s">
        <v>12568</v>
      </c>
      <c r="C6317" s="2" t="s">
        <v>79</v>
      </c>
      <c r="D6317" s="2" t="s">
        <v>74</v>
      </c>
      <c r="E6317" s="5">
        <v>-27920</v>
      </c>
      <c r="F6317" s="3" t="s">
        <v>1334</v>
      </c>
      <c r="G6317" s="3" t="s">
        <v>715</v>
      </c>
      <c r="H6317" s="2" t="s">
        <v>21</v>
      </c>
      <c r="I6317" s="2" t="s">
        <v>12569</v>
      </c>
      <c r="J6317" s="3" t="str">
        <f>HYPERLINK("https://www.boe.es/gazeta/dias/1823/07/22/pdfs/GMD-1823-443.pdf#page=8","Abrir facsímil")</f>
        <v>Abrir facsímil</v>
      </c>
      <c r="K6317" s="3" t="s">
        <v>23</v>
      </c>
    </row>
    <row r="6318" spans="1:11" ht="42" customHeight="1">
      <c r="A6318" s="2" t="s">
        <v>12570</v>
      </c>
      <c r="B6318" s="2" t="s">
        <v>12570</v>
      </c>
      <c r="C6318" s="2" t="s">
        <v>17</v>
      </c>
      <c r="D6318" s="2" t="s">
        <v>18</v>
      </c>
      <c r="E6318" s="5">
        <v>-27841</v>
      </c>
      <c r="F6318" s="3" t="s">
        <v>721</v>
      </c>
      <c r="G6318" s="3" t="s">
        <v>27</v>
      </c>
      <c r="H6318" s="2" t="s">
        <v>21</v>
      </c>
      <c r="I6318" s="2" t="s">
        <v>12571</v>
      </c>
      <c r="J6318" s="3" t="str">
        <f>HYPERLINK("https://www.boe.es/gazeta/dias/1823/10/09/pdfs/GMD-1823-953.pdf#page=2","Abrir facsímil")</f>
        <v>Abrir facsímil</v>
      </c>
      <c r="K6318" s="3" t="s">
        <v>23</v>
      </c>
    </row>
    <row r="6319" spans="1:11" ht="42" customHeight="1">
      <c r="A6319" s="2" t="s">
        <v>12572</v>
      </c>
      <c r="B6319" s="2" t="s">
        <v>12572</v>
      </c>
      <c r="C6319" s="2" t="s">
        <v>17</v>
      </c>
      <c r="D6319" s="2" t="s">
        <v>18</v>
      </c>
      <c r="E6319" s="5">
        <v>-27839</v>
      </c>
      <c r="F6319" s="3" t="s">
        <v>263</v>
      </c>
      <c r="G6319" s="3" t="s">
        <v>27</v>
      </c>
      <c r="H6319" s="2" t="s">
        <v>21</v>
      </c>
      <c r="I6319" s="2" t="s">
        <v>12573</v>
      </c>
      <c r="J6319" s="3" t="str">
        <f>HYPERLINK("https://www.boe.es/gazeta/dias/1823/10/11/pdfs/GMD-1823-963.pdf#page=2","Abrir facsímil")</f>
        <v>Abrir facsímil</v>
      </c>
      <c r="K6319" s="3" t="s">
        <v>23</v>
      </c>
    </row>
    <row r="6320" spans="1:11" ht="42" customHeight="1">
      <c r="A6320" s="2" t="s">
        <v>12574</v>
      </c>
      <c r="B6320" s="2" t="s">
        <v>12575</v>
      </c>
      <c r="C6320" s="2" t="s">
        <v>17</v>
      </c>
      <c r="D6320" s="2" t="s">
        <v>18</v>
      </c>
      <c r="E6320" s="5">
        <v>-28031</v>
      </c>
      <c r="F6320" s="3" t="s">
        <v>1211</v>
      </c>
      <c r="G6320" s="3" t="s">
        <v>20</v>
      </c>
      <c r="H6320" s="2" t="s">
        <v>21</v>
      </c>
      <c r="I6320" s="2" t="s">
        <v>12576</v>
      </c>
      <c r="J6320" s="3" t="str">
        <f>HYPERLINK("https://www.boe.es/gazeta/dias/1823/04/02/pdfs/GMD-1823-96.pdf#page=4","Abrir facsímil")</f>
        <v>Abrir facsímil</v>
      </c>
      <c r="K6320" s="3" t="s">
        <v>23</v>
      </c>
    </row>
    <row r="6321" spans="1:11" ht="42" customHeight="1">
      <c r="A6321" s="2" t="s">
        <v>12577</v>
      </c>
      <c r="B6321" s="2" t="s">
        <v>12578</v>
      </c>
      <c r="C6321" s="2" t="s">
        <v>17</v>
      </c>
      <c r="D6321" s="2" t="s">
        <v>18</v>
      </c>
      <c r="E6321" s="5">
        <v>-28025</v>
      </c>
      <c r="F6321" s="3" t="s">
        <v>477</v>
      </c>
      <c r="G6321" s="3" t="s">
        <v>20</v>
      </c>
      <c r="H6321" s="2" t="s">
        <v>21</v>
      </c>
      <c r="I6321" s="2" t="s">
        <v>12579</v>
      </c>
      <c r="J6321" s="3" t="str">
        <f>HYPERLINK("https://www.boe.es/gazeta/dias/1823/04/08/pdfs/GMD-1823-103.pdf#page=4","Abrir facsímil")</f>
        <v>Abrir facsímil</v>
      </c>
      <c r="K6321" s="3" t="s">
        <v>23</v>
      </c>
    </row>
    <row r="6322" spans="1:11" ht="42" customHeight="1">
      <c r="A6322" s="2" t="s">
        <v>12580</v>
      </c>
      <c r="B6322" s="2" t="s">
        <v>12580</v>
      </c>
      <c r="C6322" s="2" t="s">
        <v>325</v>
      </c>
      <c r="D6322" s="2" t="s">
        <v>74</v>
      </c>
      <c r="E6322" s="5">
        <v>-28108</v>
      </c>
      <c r="F6322" s="3" t="s">
        <v>406</v>
      </c>
      <c r="G6322" s="3" t="s">
        <v>27</v>
      </c>
      <c r="H6322" s="2" t="s">
        <v>21</v>
      </c>
      <c r="I6322" s="2" t="s">
        <v>12581</v>
      </c>
      <c r="J6322" s="3" t="str">
        <f>HYPERLINK("https://www.boe.es/gazeta/dias/1823/01/15/pdfs/GMD-1823-15.pdf#page=2","Abrir facsímil")</f>
        <v>Abrir facsímil</v>
      </c>
      <c r="K6322" s="3" t="s">
        <v>23</v>
      </c>
    </row>
    <row r="6323" spans="1:11" ht="42" customHeight="1">
      <c r="A6323" s="2" t="s">
        <v>12582</v>
      </c>
      <c r="B6323" s="2" t="s">
        <v>12582</v>
      </c>
      <c r="C6323" s="2" t="s">
        <v>17</v>
      </c>
      <c r="D6323" s="2" t="s">
        <v>18</v>
      </c>
      <c r="E6323" s="5">
        <v>-27931</v>
      </c>
      <c r="F6323" s="3" t="s">
        <v>1833</v>
      </c>
      <c r="G6323" s="3" t="s">
        <v>48</v>
      </c>
      <c r="H6323" s="2" t="s">
        <v>21</v>
      </c>
      <c r="I6323" s="2" t="s">
        <v>12583</v>
      </c>
      <c r="J6323" s="3" t="str">
        <f>HYPERLINK("https://www.boe.es/gazeta/dias/1823/07/11/pdfs/GES-1823-91.pdf#page=3","Abrir facsímil")</f>
        <v>Abrir facsímil</v>
      </c>
      <c r="K6323" s="3" t="s">
        <v>23</v>
      </c>
    </row>
    <row r="6324" spans="1:11" ht="42" customHeight="1">
      <c r="A6324" s="2" t="s">
        <v>12584</v>
      </c>
      <c r="B6324" s="2" t="s">
        <v>12584</v>
      </c>
      <c r="C6324" s="2" t="s">
        <v>17</v>
      </c>
      <c r="D6324" s="2" t="s">
        <v>18</v>
      </c>
      <c r="E6324" s="5">
        <v>-28006</v>
      </c>
      <c r="F6324" s="3" t="s">
        <v>183</v>
      </c>
      <c r="G6324" s="3" t="s">
        <v>59</v>
      </c>
      <c r="H6324" s="2" t="s">
        <v>21</v>
      </c>
      <c r="I6324" s="2" t="s">
        <v>12585</v>
      </c>
      <c r="J6324" s="3" t="str">
        <f>HYPERLINK("https://www.boe.es/gazeta/dias/1823/04/27/pdfs/GES-1823-17.pdf#page=6","Abrir facsímil")</f>
        <v>Abrir facsímil</v>
      </c>
      <c r="K6324" s="3" t="s">
        <v>23</v>
      </c>
    </row>
    <row r="6325" spans="1:11" ht="42" customHeight="1">
      <c r="A6325" s="2" t="s">
        <v>12584</v>
      </c>
      <c r="B6325" s="2" t="s">
        <v>12584</v>
      </c>
      <c r="C6325" s="2" t="s">
        <v>17</v>
      </c>
      <c r="D6325" s="2" t="s">
        <v>18</v>
      </c>
      <c r="E6325" s="5">
        <v>-27934</v>
      </c>
      <c r="F6325" s="3" t="s">
        <v>634</v>
      </c>
      <c r="G6325" s="3" t="s">
        <v>20</v>
      </c>
      <c r="H6325" s="2" t="s">
        <v>21</v>
      </c>
      <c r="I6325" s="2" t="s">
        <v>12586</v>
      </c>
      <c r="J6325" s="3" t="str">
        <f>HYPERLINK("https://www.boe.es/gazeta/dias/1823/07/08/pdfs/GMD-1823-353.pdf#page=4","Abrir facsímil")</f>
        <v>Abrir facsímil</v>
      </c>
      <c r="K6325" s="3" t="s">
        <v>23</v>
      </c>
    </row>
    <row r="6326" spans="1:11" ht="42" customHeight="1">
      <c r="A6326" s="2" t="s">
        <v>12587</v>
      </c>
      <c r="B6326" s="2" t="s">
        <v>12588</v>
      </c>
      <c r="C6326" s="2" t="s">
        <v>17</v>
      </c>
      <c r="D6326" s="2" t="s">
        <v>18</v>
      </c>
      <c r="E6326" s="5">
        <v>-27903</v>
      </c>
      <c r="F6326" s="3" t="s">
        <v>110</v>
      </c>
      <c r="G6326" s="3" t="s">
        <v>20</v>
      </c>
      <c r="H6326" s="2" t="s">
        <v>21</v>
      </c>
      <c r="I6326" s="2" t="s">
        <v>12589</v>
      </c>
      <c r="J6326" s="3" t="str">
        <f>HYPERLINK("https://www.boe.es/gazeta/dias/1823/08/08/pdfs/GES-1823-121.pdf#page=4","Abrir facsímil")</f>
        <v>Abrir facsímil</v>
      </c>
      <c r="K6326" s="3" t="s">
        <v>23</v>
      </c>
    </row>
    <row r="6327" spans="1:11" ht="42" customHeight="1">
      <c r="A6327" s="2" t="s">
        <v>12590</v>
      </c>
      <c r="B6327" s="2" t="s">
        <v>12591</v>
      </c>
      <c r="C6327" s="2" t="s">
        <v>293</v>
      </c>
      <c r="D6327" s="2" t="s">
        <v>74</v>
      </c>
      <c r="E6327" s="5">
        <v>-27848</v>
      </c>
      <c r="F6327" s="3" t="s">
        <v>2665</v>
      </c>
      <c r="G6327" s="3" t="s">
        <v>20</v>
      </c>
      <c r="H6327" s="2" t="s">
        <v>21</v>
      </c>
      <c r="I6327" s="2" t="s">
        <v>12592</v>
      </c>
      <c r="J6327" s="3" t="str">
        <f>HYPERLINK("https://www.boe.es/gazeta/dias/1823/10/02/pdfs/GMD-1823-893.pdf#page=4","Abrir facsímil")</f>
        <v>Abrir facsímil</v>
      </c>
      <c r="K6327" s="3" t="s">
        <v>23</v>
      </c>
    </row>
    <row r="6328" spans="1:11" ht="42" customHeight="1">
      <c r="A6328" s="2" t="s">
        <v>12593</v>
      </c>
      <c r="B6328" s="2" t="s">
        <v>12594</v>
      </c>
      <c r="C6328" s="2" t="s">
        <v>17</v>
      </c>
      <c r="D6328" s="2" t="s">
        <v>18</v>
      </c>
      <c r="E6328" s="5">
        <v>-28118</v>
      </c>
      <c r="F6328" s="3" t="s">
        <v>252</v>
      </c>
      <c r="G6328" s="3" t="s">
        <v>59</v>
      </c>
      <c r="H6328" s="2" t="s">
        <v>21</v>
      </c>
      <c r="I6328" s="2" t="s">
        <v>12595</v>
      </c>
      <c r="J6328" s="3" t="str">
        <f>HYPERLINK("https://www.boe.es/gazeta/dias/1823/01/05/pdfs/GMD-1823-5.pdf#page=6","Abrir facsímil")</f>
        <v>Abrir facsímil</v>
      </c>
      <c r="K6328" s="3" t="s">
        <v>23</v>
      </c>
    </row>
    <row r="6329" spans="1:11" ht="42" customHeight="1">
      <c r="A6329" s="2" t="s">
        <v>12596</v>
      </c>
      <c r="B6329" s="2" t="s">
        <v>12596</v>
      </c>
      <c r="C6329" s="2" t="s">
        <v>17</v>
      </c>
      <c r="D6329" s="2" t="s">
        <v>18</v>
      </c>
      <c r="E6329" s="5">
        <v>-27854</v>
      </c>
      <c r="F6329" s="3" t="s">
        <v>933</v>
      </c>
      <c r="G6329" s="3" t="s">
        <v>48</v>
      </c>
      <c r="H6329" s="2" t="s">
        <v>21</v>
      </c>
      <c r="I6329" s="2" t="s">
        <v>12597</v>
      </c>
      <c r="J6329" s="3" t="str">
        <f>HYPERLINK("https://www.boe.es/gazeta/dias/1823/09/26/pdfs/GES-1823-170.pdf#page=3","Abrir facsímil")</f>
        <v>Abrir facsímil</v>
      </c>
      <c r="K6329" s="3" t="s">
        <v>23</v>
      </c>
    </row>
    <row r="6330" spans="1:11" ht="42" customHeight="1">
      <c r="A6330" s="2" t="s">
        <v>12598</v>
      </c>
      <c r="B6330" s="2" t="s">
        <v>12599</v>
      </c>
      <c r="C6330" s="2" t="s">
        <v>17</v>
      </c>
      <c r="D6330" s="2" t="s">
        <v>18</v>
      </c>
      <c r="E6330" s="5">
        <v>-27865</v>
      </c>
      <c r="F6330" s="3" t="s">
        <v>9815</v>
      </c>
      <c r="G6330" s="3" t="s">
        <v>20</v>
      </c>
      <c r="H6330" s="2" t="s">
        <v>21</v>
      </c>
      <c r="I6330" s="2" t="s">
        <v>12600</v>
      </c>
      <c r="J6330" s="3" t="str">
        <f>HYPERLINK("https://www.boe.es/gazeta/dias/1823/09/15/pdfs/GES-1823-159.pdf#page=4","Abrir facsímil")</f>
        <v>Abrir facsímil</v>
      </c>
      <c r="K6330" s="3" t="s">
        <v>23</v>
      </c>
    </row>
    <row r="6331" spans="1:11" ht="42" customHeight="1">
      <c r="A6331" s="2" t="s">
        <v>12601</v>
      </c>
      <c r="B6331" s="2" t="s">
        <v>12602</v>
      </c>
      <c r="C6331" s="2" t="s">
        <v>109</v>
      </c>
      <c r="D6331" s="2" t="s">
        <v>74</v>
      </c>
      <c r="E6331" s="5">
        <v>-28061</v>
      </c>
      <c r="F6331" s="3" t="s">
        <v>704</v>
      </c>
      <c r="G6331" s="3" t="s">
        <v>59</v>
      </c>
      <c r="H6331" s="2" t="s">
        <v>21</v>
      </c>
      <c r="I6331" s="2" t="s">
        <v>12603</v>
      </c>
      <c r="J6331" s="3" t="str">
        <f>HYPERLINK("https://www.boe.es/gazeta/dias/1823/03/03/pdfs/GMD-1823-66.pdf#page=6","Abrir facsímil")</f>
        <v>Abrir facsímil</v>
      </c>
      <c r="K6331" s="3" t="s">
        <v>23</v>
      </c>
    </row>
    <row r="6332" spans="1:11" ht="42" customHeight="1">
      <c r="A6332" s="2" t="s">
        <v>12604</v>
      </c>
      <c r="B6332" s="2" t="s">
        <v>12605</v>
      </c>
      <c r="C6332" s="2" t="s">
        <v>17</v>
      </c>
      <c r="D6332" s="2" t="s">
        <v>18</v>
      </c>
      <c r="E6332" s="5">
        <v>-28099</v>
      </c>
      <c r="F6332" s="3" t="s">
        <v>1689</v>
      </c>
      <c r="G6332" s="3" t="s">
        <v>39</v>
      </c>
      <c r="H6332" s="2" t="s">
        <v>21</v>
      </c>
      <c r="I6332" s="2" t="s">
        <v>12606</v>
      </c>
      <c r="J6332" s="3" t="str">
        <f>HYPERLINK("https://www.boe.es/gazeta/dias/1823/01/24/pdfs/GMD-1823-25.pdf#page=1","Abrir facsímil")</f>
        <v>Abrir facsímil</v>
      </c>
      <c r="K6332" s="3" t="s">
        <v>23</v>
      </c>
    </row>
    <row r="6333" spans="1:11" ht="42" customHeight="1">
      <c r="A6333" s="2" t="s">
        <v>12607</v>
      </c>
      <c r="B6333" s="2" t="s">
        <v>12607</v>
      </c>
      <c r="C6333" s="2" t="s">
        <v>17</v>
      </c>
      <c r="D6333" s="2" t="s">
        <v>18</v>
      </c>
      <c r="E6333" s="5">
        <v>-27949</v>
      </c>
      <c r="F6333" s="3" t="s">
        <v>1162</v>
      </c>
      <c r="G6333" s="3" t="s">
        <v>39</v>
      </c>
      <c r="H6333" s="2" t="s">
        <v>21</v>
      </c>
      <c r="I6333" s="2" t="s">
        <v>12608</v>
      </c>
      <c r="J6333" s="3" t="str">
        <f>HYPERLINK("https://www.boe.es/gazeta/dias/1823/06/23/pdfs/GES-1823-71.pdf#page=1","Abrir facsímil")</f>
        <v>Abrir facsímil</v>
      </c>
      <c r="K6333" s="3" t="s">
        <v>23</v>
      </c>
    </row>
    <row r="6334" spans="1:11" ht="42" customHeight="1">
      <c r="A6334" s="2" t="s">
        <v>12609</v>
      </c>
      <c r="B6334" s="2" t="s">
        <v>12609</v>
      </c>
      <c r="C6334" s="2" t="s">
        <v>17</v>
      </c>
      <c r="D6334" s="2" t="s">
        <v>18</v>
      </c>
      <c r="E6334" s="5">
        <v>-28095</v>
      </c>
      <c r="F6334" s="3" t="s">
        <v>1770</v>
      </c>
      <c r="G6334" s="3" t="s">
        <v>20</v>
      </c>
      <c r="H6334" s="2" t="s">
        <v>21</v>
      </c>
      <c r="I6334" s="2" t="s">
        <v>12610</v>
      </c>
      <c r="J6334" s="3" t="str">
        <f>HYPERLINK("https://www.boe.es/gazeta/dias/1823/01/28/pdfs/GMD-1823-29.pdf#page=4","Abrir facsímil")</f>
        <v>Abrir facsímil</v>
      </c>
      <c r="K6334" s="3" t="s">
        <v>23</v>
      </c>
    </row>
    <row r="6335" spans="1:11" ht="42" customHeight="1">
      <c r="A6335" s="2" t="s">
        <v>12609</v>
      </c>
      <c r="B6335" s="2" t="s">
        <v>12609</v>
      </c>
      <c r="C6335" s="2" t="s">
        <v>79</v>
      </c>
      <c r="D6335" s="2" t="s">
        <v>74</v>
      </c>
      <c r="E6335" s="5">
        <v>-28060</v>
      </c>
      <c r="F6335" s="3" t="s">
        <v>180</v>
      </c>
      <c r="G6335" s="3" t="s">
        <v>181</v>
      </c>
      <c r="H6335" s="2" t="s">
        <v>21</v>
      </c>
      <c r="I6335" s="2" t="s">
        <v>12611</v>
      </c>
      <c r="J6335" s="3" t="str">
        <f>HYPERLINK("https://www.boe.es/gazeta/dias/1823/03/04/pdfs/GMD-1823-67.pdf#page=6","Abrir facsímil")</f>
        <v>Abrir facsímil</v>
      </c>
      <c r="K6335" s="3" t="s">
        <v>23</v>
      </c>
    </row>
    <row r="6336" spans="1:11" ht="42" customHeight="1">
      <c r="A6336" s="2" t="s">
        <v>12609</v>
      </c>
      <c r="B6336" s="2" t="s">
        <v>12609</v>
      </c>
      <c r="C6336" s="2" t="s">
        <v>79</v>
      </c>
      <c r="D6336" s="2" t="s">
        <v>74</v>
      </c>
      <c r="E6336" s="5">
        <v>-28003</v>
      </c>
      <c r="F6336" s="3" t="s">
        <v>26</v>
      </c>
      <c r="G6336" s="3" t="s">
        <v>48</v>
      </c>
      <c r="H6336" s="2" t="s">
        <v>21</v>
      </c>
      <c r="I6336" s="2" t="s">
        <v>12612</v>
      </c>
      <c r="J6336" s="3" t="str">
        <f>HYPERLINK("https://www.boe.es/gazeta/dias/1823/04/30/pdfs/GES-1823-20.pdf#page=3","Abrir facsímil")</f>
        <v>Abrir facsímil</v>
      </c>
      <c r="K6336" s="3" t="s">
        <v>23</v>
      </c>
    </row>
    <row r="6337" spans="1:11" ht="42" customHeight="1">
      <c r="A6337" s="2" t="s">
        <v>12609</v>
      </c>
      <c r="B6337" s="2" t="s">
        <v>12609</v>
      </c>
      <c r="C6337" s="2" t="s">
        <v>17</v>
      </c>
      <c r="D6337" s="2" t="s">
        <v>18</v>
      </c>
      <c r="E6337" s="5">
        <v>-27960</v>
      </c>
      <c r="F6337" s="3" t="s">
        <v>741</v>
      </c>
      <c r="G6337" s="3" t="s">
        <v>48</v>
      </c>
      <c r="H6337" s="2" t="s">
        <v>21</v>
      </c>
      <c r="I6337" s="2" t="s">
        <v>12613</v>
      </c>
      <c r="J6337" s="3" t="str">
        <f>HYPERLINK("https://www.boe.es/gazeta/dias/1823/06/12/pdfs/GES-1823-66.pdf#page=3","Abrir facsímil")</f>
        <v>Abrir facsímil</v>
      </c>
      <c r="K6337" s="3" t="s">
        <v>23</v>
      </c>
    </row>
    <row r="6338" spans="1:11" ht="42" customHeight="1">
      <c r="A6338" s="2" t="s">
        <v>12609</v>
      </c>
      <c r="B6338" s="2" t="s">
        <v>12609</v>
      </c>
      <c r="C6338" s="2" t="s">
        <v>17</v>
      </c>
      <c r="D6338" s="2" t="s">
        <v>18</v>
      </c>
      <c r="E6338" s="5">
        <v>-27929</v>
      </c>
      <c r="F6338" s="3" t="s">
        <v>598</v>
      </c>
      <c r="G6338" s="3" t="s">
        <v>48</v>
      </c>
      <c r="H6338" s="2" t="s">
        <v>21</v>
      </c>
      <c r="I6338" s="2" t="s">
        <v>12614</v>
      </c>
      <c r="J6338" s="3" t="str">
        <f>HYPERLINK("https://www.boe.es/gazeta/dias/1823/07/13/pdfs/GES-1823-93.pdf#page=3","Abrir facsímil")</f>
        <v>Abrir facsímil</v>
      </c>
      <c r="K6338" s="3" t="s">
        <v>23</v>
      </c>
    </row>
    <row r="6339" spans="1:11" ht="42" customHeight="1">
      <c r="A6339" s="2" t="s">
        <v>12615</v>
      </c>
      <c r="B6339" s="2" t="s">
        <v>12616</v>
      </c>
      <c r="C6339" s="2" t="s">
        <v>293</v>
      </c>
      <c r="D6339" s="2" t="s">
        <v>74</v>
      </c>
      <c r="E6339" s="5">
        <v>-27977</v>
      </c>
      <c r="F6339" s="3" t="s">
        <v>1489</v>
      </c>
      <c r="G6339" s="3" t="s">
        <v>39</v>
      </c>
      <c r="H6339" s="2" t="s">
        <v>21</v>
      </c>
      <c r="I6339" s="2" t="s">
        <v>12617</v>
      </c>
      <c r="J6339" s="3" t="str">
        <f>HYPERLINK("https://www.boe.es/gazeta/dias/1823/05/26/pdfs/GES-1823-47.pdf#page=1","Abrir facsímil")</f>
        <v>Abrir facsímil</v>
      </c>
      <c r="K6339" s="3" t="s">
        <v>23</v>
      </c>
    </row>
    <row r="6340" spans="1:11" ht="42" customHeight="1">
      <c r="A6340" s="2" t="s">
        <v>12618</v>
      </c>
      <c r="B6340" s="2" t="s">
        <v>12619</v>
      </c>
      <c r="C6340" s="2" t="s">
        <v>79</v>
      </c>
      <c r="D6340" s="2" t="s">
        <v>74</v>
      </c>
      <c r="E6340" s="5">
        <v>-27921</v>
      </c>
      <c r="F6340" s="3" t="s">
        <v>356</v>
      </c>
      <c r="G6340" s="3" t="s">
        <v>27</v>
      </c>
      <c r="H6340" s="2" t="s">
        <v>28</v>
      </c>
      <c r="I6340" s="2" t="s">
        <v>12620</v>
      </c>
      <c r="J6340" s="3" t="str">
        <f>HYPERLINK("https://www.boe.es/gazeta/dias/1823/07/21/pdfs/GES-1823-102.pdf#page=2","Abrir facsímil")</f>
        <v>Abrir facsímil</v>
      </c>
      <c r="K6340" s="3" t="s">
        <v>30</v>
      </c>
    </row>
    <row r="6341" spans="1:11" ht="42" customHeight="1">
      <c r="A6341" s="2" t="s">
        <v>12621</v>
      </c>
      <c r="B6341" s="2" t="s">
        <v>12622</v>
      </c>
      <c r="C6341" s="2" t="s">
        <v>79</v>
      </c>
      <c r="D6341" s="2" t="s">
        <v>74</v>
      </c>
      <c r="E6341" s="5">
        <v>-28108</v>
      </c>
      <c r="F6341" s="3" t="s">
        <v>406</v>
      </c>
      <c r="G6341" s="3" t="s">
        <v>20</v>
      </c>
      <c r="H6341" s="2" t="s">
        <v>21</v>
      </c>
      <c r="I6341" s="2" t="s">
        <v>12623</v>
      </c>
      <c r="J6341" s="3" t="str">
        <f>HYPERLINK("https://www.boe.es/gazeta/dias/1823/01/15/pdfs/GMD-1823-15.pdf#page=4","Abrir facsímil")</f>
        <v>Abrir facsímil</v>
      </c>
      <c r="K6341" s="3" t="s">
        <v>23</v>
      </c>
    </row>
    <row r="6342" spans="1:11" ht="42" customHeight="1">
      <c r="A6342" s="2" t="s">
        <v>12624</v>
      </c>
      <c r="B6342" s="2" t="s">
        <v>12625</v>
      </c>
      <c r="C6342" s="2" t="s">
        <v>17</v>
      </c>
      <c r="D6342" s="2" t="s">
        <v>18</v>
      </c>
      <c r="E6342" s="5">
        <v>-28056</v>
      </c>
      <c r="F6342" s="3" t="s">
        <v>572</v>
      </c>
      <c r="G6342" s="3" t="s">
        <v>59</v>
      </c>
      <c r="H6342" s="2" t="s">
        <v>21</v>
      </c>
      <c r="I6342" s="2" t="s">
        <v>12626</v>
      </c>
      <c r="J6342" s="3" t="str">
        <f>HYPERLINK("https://www.boe.es/gazeta/dias/1823/03/08/pdfs/GMD-1823-71.pdf#page=6","Abrir facsímil")</f>
        <v>Abrir facsímil</v>
      </c>
      <c r="K6342" s="3" t="s">
        <v>23</v>
      </c>
    </row>
    <row r="6343" spans="1:11" ht="42" customHeight="1">
      <c r="A6343" s="2" t="s">
        <v>12624</v>
      </c>
      <c r="B6343" s="2" t="s">
        <v>12625</v>
      </c>
      <c r="C6343" s="2" t="s">
        <v>17</v>
      </c>
      <c r="D6343" s="2" t="s">
        <v>18</v>
      </c>
      <c r="E6343" s="5">
        <v>-27885</v>
      </c>
      <c r="F6343" s="3" t="s">
        <v>6503</v>
      </c>
      <c r="G6343" s="3" t="s">
        <v>48</v>
      </c>
      <c r="H6343" s="2" t="s">
        <v>21</v>
      </c>
      <c r="I6343" s="2" t="s">
        <v>12627</v>
      </c>
      <c r="J6343" s="3" t="str">
        <f>HYPERLINK("https://www.boe.es/gazeta/dias/1823/08/26/pdfs/GES-1823-139.pdf#page=3","Abrir facsímil")</f>
        <v>Abrir facsímil</v>
      </c>
      <c r="K6343" s="3" t="s">
        <v>23</v>
      </c>
    </row>
    <row r="6344" spans="1:11" ht="42" customHeight="1">
      <c r="A6344" s="2" t="s">
        <v>12628</v>
      </c>
      <c r="B6344" s="2" t="s">
        <v>12629</v>
      </c>
      <c r="C6344" s="2" t="s">
        <v>17</v>
      </c>
      <c r="D6344" s="2" t="s">
        <v>18</v>
      </c>
      <c r="E6344" s="5">
        <v>-27921</v>
      </c>
      <c r="F6344" s="3" t="s">
        <v>356</v>
      </c>
      <c r="G6344" s="3" t="s">
        <v>39</v>
      </c>
      <c r="H6344" s="2" t="s">
        <v>21</v>
      </c>
      <c r="I6344" s="2" t="s">
        <v>12630</v>
      </c>
      <c r="J6344" s="3" t="str">
        <f>HYPERLINK("https://www.boe.es/gazeta/dias/1823/07/21/pdfs/GES-1823-102.pdf#page=1","Abrir facsímil")</f>
        <v>Abrir facsímil</v>
      </c>
      <c r="K6344" s="3" t="s">
        <v>23</v>
      </c>
    </row>
    <row r="6345" spans="1:11" ht="42" customHeight="1">
      <c r="A6345" s="2" t="s">
        <v>12631</v>
      </c>
      <c r="B6345" s="2" t="s">
        <v>12632</v>
      </c>
      <c r="C6345" s="2" t="s">
        <v>17</v>
      </c>
      <c r="D6345" s="2" t="s">
        <v>18</v>
      </c>
      <c r="E6345" s="5">
        <v>-27906</v>
      </c>
      <c r="F6345" s="3" t="s">
        <v>1527</v>
      </c>
      <c r="G6345" s="3" t="s">
        <v>59</v>
      </c>
      <c r="H6345" s="2" t="s">
        <v>21</v>
      </c>
      <c r="I6345" s="2" t="s">
        <v>12633</v>
      </c>
      <c r="J6345" s="3" t="str">
        <f>HYPERLINK("https://www.boe.es/gazeta/dias/1823/08/05/pdfs/GMD-1823-533.pdf#page=6","Abrir facsímil")</f>
        <v>Abrir facsímil</v>
      </c>
      <c r="K6345" s="3" t="s">
        <v>23</v>
      </c>
    </row>
    <row r="6346" spans="1:11" ht="42" customHeight="1">
      <c r="A6346" s="2" t="s">
        <v>12631</v>
      </c>
      <c r="B6346" s="2" t="s">
        <v>12632</v>
      </c>
      <c r="C6346" s="2" t="s">
        <v>79</v>
      </c>
      <c r="D6346" s="2" t="s">
        <v>74</v>
      </c>
      <c r="E6346" s="5">
        <v>-27867</v>
      </c>
      <c r="F6346" s="3" t="s">
        <v>1585</v>
      </c>
      <c r="G6346" s="3" t="s">
        <v>20</v>
      </c>
      <c r="H6346" s="2" t="s">
        <v>21</v>
      </c>
      <c r="I6346" s="2" t="s">
        <v>12634</v>
      </c>
      <c r="J6346" s="3" t="str">
        <f>HYPERLINK("https://www.boe.es/gazeta/dias/1823/09/13/pdfs/GMD-1823-773.pdf#page=4","Abrir facsímil")</f>
        <v>Abrir facsímil</v>
      </c>
      <c r="K6346" s="3" t="s">
        <v>23</v>
      </c>
    </row>
    <row r="6347" spans="1:11" ht="42" customHeight="1">
      <c r="A6347" s="2" t="s">
        <v>12635</v>
      </c>
      <c r="B6347" s="2" t="s">
        <v>12636</v>
      </c>
      <c r="C6347" s="2" t="s">
        <v>17</v>
      </c>
      <c r="D6347" s="2" t="s">
        <v>18</v>
      </c>
      <c r="E6347" s="5">
        <v>-27864</v>
      </c>
      <c r="F6347" s="3" t="s">
        <v>395</v>
      </c>
      <c r="G6347" s="3" t="s">
        <v>39</v>
      </c>
      <c r="H6347" s="2" t="s">
        <v>21</v>
      </c>
      <c r="I6347" s="2" t="s">
        <v>12637</v>
      </c>
      <c r="J6347" s="3" t="str">
        <f>HYPERLINK("https://www.boe.es/gazeta/dias/1823/09/16/pdfs/GMD-1823-783.pdf#page=1","Abrir facsímil")</f>
        <v>Abrir facsímil</v>
      </c>
      <c r="K6347" s="3" t="s">
        <v>23</v>
      </c>
    </row>
    <row r="6348" spans="1:11" ht="42" customHeight="1">
      <c r="A6348" s="2" t="s">
        <v>12638</v>
      </c>
      <c r="B6348" s="2" t="s">
        <v>12639</v>
      </c>
      <c r="C6348" s="2" t="s">
        <v>17</v>
      </c>
      <c r="D6348" s="2" t="s">
        <v>18</v>
      </c>
      <c r="E6348" s="5">
        <v>-28019</v>
      </c>
      <c r="F6348" s="3" t="s">
        <v>1663</v>
      </c>
      <c r="G6348" s="3" t="s">
        <v>48</v>
      </c>
      <c r="H6348" s="2" t="s">
        <v>21</v>
      </c>
      <c r="I6348" s="2" t="s">
        <v>12640</v>
      </c>
      <c r="J6348" s="3" t="str">
        <f>HYPERLINK("https://www.boe.es/gazeta/dias/1823/04/14/pdfs/GES-1823-4.pdf#page=3","Abrir facsímil")</f>
        <v>Abrir facsímil</v>
      </c>
      <c r="K6348" s="3" t="s">
        <v>23</v>
      </c>
    </row>
    <row r="6349" spans="1:11" ht="42" customHeight="1">
      <c r="A6349" s="2" t="s">
        <v>12638</v>
      </c>
      <c r="B6349" s="2" t="s">
        <v>12639</v>
      </c>
      <c r="C6349" s="2" t="s">
        <v>79</v>
      </c>
      <c r="D6349" s="2" t="s">
        <v>74</v>
      </c>
      <c r="E6349" s="5">
        <v>-28013</v>
      </c>
      <c r="F6349" s="3" t="s">
        <v>105</v>
      </c>
      <c r="G6349" s="3" t="s">
        <v>48</v>
      </c>
      <c r="H6349" s="2" t="s">
        <v>21</v>
      </c>
      <c r="I6349" s="2" t="s">
        <v>12641</v>
      </c>
      <c r="J6349" s="3" t="str">
        <f>HYPERLINK("https://www.boe.es/gazeta/dias/1823/04/20/pdfs/GMD-1823-32.pdf#page=3","Abrir facsímil")</f>
        <v>Abrir facsímil</v>
      </c>
      <c r="K6349" s="3" t="s">
        <v>23</v>
      </c>
    </row>
    <row r="6350" spans="1:11" ht="42" customHeight="1">
      <c r="A6350" s="2" t="s">
        <v>12642</v>
      </c>
      <c r="B6350" s="2" t="s">
        <v>12643</v>
      </c>
      <c r="C6350" s="2" t="s">
        <v>17</v>
      </c>
      <c r="D6350" s="2" t="s">
        <v>18</v>
      </c>
      <c r="E6350" s="5">
        <v>-28112</v>
      </c>
      <c r="F6350" s="3" t="s">
        <v>43</v>
      </c>
      <c r="G6350" s="3" t="s">
        <v>20</v>
      </c>
      <c r="H6350" s="2" t="s">
        <v>21</v>
      </c>
      <c r="I6350" s="2" t="s">
        <v>12644</v>
      </c>
      <c r="J6350" s="3" t="str">
        <f>HYPERLINK("https://www.boe.es/gazeta/dias/1823/01/11/pdfs/GMD-1823-11.pdf#page=4","Abrir facsímil")</f>
        <v>Abrir facsímil</v>
      </c>
      <c r="K6350" s="3" t="s">
        <v>23</v>
      </c>
    </row>
    <row r="6351" spans="1:11" ht="42" customHeight="1">
      <c r="A6351" s="2" t="s">
        <v>12645</v>
      </c>
      <c r="B6351" s="2" t="s">
        <v>12646</v>
      </c>
      <c r="C6351" s="2" t="s">
        <v>79</v>
      </c>
      <c r="D6351" s="2" t="s">
        <v>74</v>
      </c>
      <c r="E6351" s="5">
        <v>-28082</v>
      </c>
      <c r="F6351" s="3" t="s">
        <v>468</v>
      </c>
      <c r="G6351" s="3" t="s">
        <v>59</v>
      </c>
      <c r="H6351" s="2" t="s">
        <v>21</v>
      </c>
      <c r="I6351" s="2" t="s">
        <v>12647</v>
      </c>
      <c r="J6351" s="3" t="str">
        <f>HYPERLINK("https://www.boe.es/gazeta/dias/1823/02/10/pdfs/GMD-1823-44.pdf#page=6","Abrir facsímil")</f>
        <v>Abrir facsímil</v>
      </c>
      <c r="K6351" s="3" t="s">
        <v>23</v>
      </c>
    </row>
    <row r="6352" spans="1:11" ht="42" customHeight="1">
      <c r="A6352" s="2" t="s">
        <v>12645</v>
      </c>
      <c r="B6352" s="2" t="s">
        <v>12646</v>
      </c>
      <c r="C6352" s="2" t="s">
        <v>17</v>
      </c>
      <c r="D6352" s="2" t="s">
        <v>18</v>
      </c>
      <c r="E6352" s="5">
        <v>-28078</v>
      </c>
      <c r="F6352" s="3" t="s">
        <v>508</v>
      </c>
      <c r="G6352" s="3" t="s">
        <v>59</v>
      </c>
      <c r="H6352" s="2" t="s">
        <v>21</v>
      </c>
      <c r="I6352" s="2" t="s">
        <v>12648</v>
      </c>
      <c r="J6352" s="3" t="str">
        <f>HYPERLINK("https://www.boe.es/gazeta/dias/1823/02/14/pdfs/GMD-1823-48.pdf#page=6","Abrir facsímil")</f>
        <v>Abrir facsímil</v>
      </c>
      <c r="K6352" s="3" t="s">
        <v>23</v>
      </c>
    </row>
    <row r="6353" spans="1:11" ht="42" customHeight="1">
      <c r="A6353" s="2" t="s">
        <v>12645</v>
      </c>
      <c r="B6353" s="2" t="s">
        <v>12646</v>
      </c>
      <c r="C6353" s="2" t="s">
        <v>79</v>
      </c>
      <c r="D6353" s="2" t="s">
        <v>74</v>
      </c>
      <c r="E6353" s="5">
        <v>-28057</v>
      </c>
      <c r="F6353" s="3" t="s">
        <v>301</v>
      </c>
      <c r="G6353" s="3" t="s">
        <v>20</v>
      </c>
      <c r="H6353" s="2" t="s">
        <v>21</v>
      </c>
      <c r="I6353" s="2" t="s">
        <v>12649</v>
      </c>
      <c r="J6353" s="3" t="str">
        <f>HYPERLINK("https://www.boe.es/gazeta/dias/1823/03/07/pdfs/GMD-1823-70.pdf#page=4","Abrir facsímil")</f>
        <v>Abrir facsímil</v>
      </c>
      <c r="K6353" s="3" t="s">
        <v>23</v>
      </c>
    </row>
    <row r="6354" spans="1:11" ht="42" customHeight="1">
      <c r="A6354" s="2" t="s">
        <v>12645</v>
      </c>
      <c r="B6354" s="2" t="s">
        <v>12646</v>
      </c>
      <c r="C6354" s="2" t="s">
        <v>109</v>
      </c>
      <c r="D6354" s="2" t="s">
        <v>74</v>
      </c>
      <c r="E6354" s="5">
        <v>-28037</v>
      </c>
      <c r="F6354" s="3" t="s">
        <v>192</v>
      </c>
      <c r="G6354" s="3" t="s">
        <v>48</v>
      </c>
      <c r="H6354" s="2" t="s">
        <v>21</v>
      </c>
      <c r="I6354" s="2" t="s">
        <v>12650</v>
      </c>
      <c r="J6354" s="3" t="str">
        <f>HYPERLINK("https://www.boe.es/gazeta/dias/1823/03/27/pdfs/GMD-1823-90.pdf#page=3","Abrir facsímil")</f>
        <v>Abrir facsímil</v>
      </c>
      <c r="K6354" s="3" t="s">
        <v>23</v>
      </c>
    </row>
    <row r="6355" spans="1:11" ht="42" customHeight="1">
      <c r="A6355" s="2" t="s">
        <v>12651</v>
      </c>
      <c r="B6355" s="2" t="s">
        <v>12652</v>
      </c>
      <c r="C6355" s="2" t="s">
        <v>17</v>
      </c>
      <c r="D6355" s="2" t="s">
        <v>18</v>
      </c>
      <c r="E6355" s="5">
        <v>-27932</v>
      </c>
      <c r="F6355" s="3" t="s">
        <v>707</v>
      </c>
      <c r="G6355" s="3" t="s">
        <v>20</v>
      </c>
      <c r="H6355" s="2" t="s">
        <v>21</v>
      </c>
      <c r="I6355" s="2" t="s">
        <v>12653</v>
      </c>
      <c r="J6355" s="3" t="str">
        <f>HYPERLINK("https://www.boe.es/gazeta/dias/1823/07/10/pdfs/GES-1823-90.pdf#page=4","Abrir facsímil")</f>
        <v>Abrir facsímil</v>
      </c>
      <c r="K6355" s="3" t="s">
        <v>23</v>
      </c>
    </row>
    <row r="6356" spans="1:11" ht="42" customHeight="1">
      <c r="A6356" s="2" t="s">
        <v>12654</v>
      </c>
      <c r="B6356" s="2" t="s">
        <v>12655</v>
      </c>
      <c r="C6356" s="2" t="s">
        <v>17</v>
      </c>
      <c r="D6356" s="2" t="s">
        <v>18</v>
      </c>
      <c r="E6356" s="5">
        <v>-27963</v>
      </c>
      <c r="F6356" s="3" t="s">
        <v>344</v>
      </c>
      <c r="G6356" s="3" t="s">
        <v>39</v>
      </c>
      <c r="H6356" s="2" t="s">
        <v>21</v>
      </c>
      <c r="I6356" s="2" t="s">
        <v>12656</v>
      </c>
      <c r="J6356" s="3" t="str">
        <f>HYPERLINK("https://www.boe.es/gazeta/dias/1823/06/09/pdfs/GES-1823-63.pdf#page=1","Abrir facsímil")</f>
        <v>Abrir facsímil</v>
      </c>
      <c r="K6356" s="3" t="s">
        <v>23</v>
      </c>
    </row>
    <row r="6357" spans="1:11" ht="42" customHeight="1">
      <c r="A6357" s="2" t="s">
        <v>12657</v>
      </c>
      <c r="B6357" s="2" t="s">
        <v>12658</v>
      </c>
      <c r="C6357" s="2" t="s">
        <v>17</v>
      </c>
      <c r="D6357" s="2" t="s">
        <v>18</v>
      </c>
      <c r="E6357" s="5">
        <v>-27785</v>
      </c>
      <c r="F6357" s="3" t="s">
        <v>1397</v>
      </c>
      <c r="G6357" s="3" t="s">
        <v>39</v>
      </c>
      <c r="H6357" s="2" t="s">
        <v>21</v>
      </c>
      <c r="I6357" s="2" t="s">
        <v>12659</v>
      </c>
      <c r="J6357" s="3" t="str">
        <f>HYPERLINK("https://www.boe.es/gazeta/dias/1823/12/04/pdfs/GMD-1823-1203.pdf#page=1","Abrir facsímil")</f>
        <v>Abrir facsímil</v>
      </c>
      <c r="K6357" s="3" t="s">
        <v>23</v>
      </c>
    </row>
    <row r="6358" spans="1:11" ht="42" customHeight="1">
      <c r="A6358" s="2" t="s">
        <v>12660</v>
      </c>
      <c r="B6358" s="2" t="s">
        <v>12661</v>
      </c>
      <c r="C6358" s="2" t="s">
        <v>56</v>
      </c>
      <c r="D6358" s="2" t="s">
        <v>57</v>
      </c>
      <c r="E6358" s="5">
        <v>-28087</v>
      </c>
      <c r="F6358" s="3" t="s">
        <v>3125</v>
      </c>
      <c r="G6358" s="3" t="s">
        <v>48</v>
      </c>
      <c r="H6358" s="2" t="s">
        <v>21</v>
      </c>
      <c r="I6358" s="2" t="s">
        <v>12662</v>
      </c>
      <c r="J6358" s="3" t="str">
        <f>HYPERLINK("https://www.boe.es/gazeta/dias/1823/02/05/pdfs/GMD-1823-38.pdf#page=3","Abrir facsímil")</f>
        <v>Abrir facsímil</v>
      </c>
      <c r="K6358" s="3" t="s">
        <v>23</v>
      </c>
    </row>
    <row r="6359" spans="1:11" ht="42" customHeight="1">
      <c r="A6359" s="2" t="s">
        <v>12660</v>
      </c>
      <c r="B6359" s="2" t="s">
        <v>12661</v>
      </c>
      <c r="C6359" s="2" t="s">
        <v>17</v>
      </c>
      <c r="D6359" s="2" t="s">
        <v>18</v>
      </c>
      <c r="E6359" s="5">
        <v>-28015</v>
      </c>
      <c r="F6359" s="3" t="s">
        <v>985</v>
      </c>
      <c r="G6359" s="3" t="s">
        <v>20</v>
      </c>
      <c r="H6359" s="2" t="s">
        <v>21</v>
      </c>
      <c r="I6359" s="2" t="s">
        <v>12663</v>
      </c>
      <c r="J6359" s="3" t="str">
        <f>HYPERLINK("https://www.boe.es/gazeta/dias/1823/04/18/pdfs/GES-1823-8.pdf#page=4","Abrir facsímil")</f>
        <v>Abrir facsímil</v>
      </c>
      <c r="K6359" s="3" t="s">
        <v>23</v>
      </c>
    </row>
    <row r="6360" spans="1:11" ht="42" customHeight="1">
      <c r="A6360" s="2" t="s">
        <v>12664</v>
      </c>
      <c r="B6360" s="2" t="s">
        <v>12665</v>
      </c>
      <c r="C6360" s="2" t="s">
        <v>17</v>
      </c>
      <c r="D6360" s="2" t="s">
        <v>18</v>
      </c>
      <c r="E6360" s="5">
        <v>-28066</v>
      </c>
      <c r="F6360" s="3" t="s">
        <v>19</v>
      </c>
      <c r="G6360" s="3" t="s">
        <v>20</v>
      </c>
      <c r="H6360" s="2" t="s">
        <v>21</v>
      </c>
      <c r="I6360" s="2" t="s">
        <v>12666</v>
      </c>
      <c r="J6360" s="3" t="str">
        <f>HYPERLINK("https://www.boe.es/gazeta/dias/1823/02/26/pdfs/GMD-1823-60.pdf#page=4","Abrir facsímil")</f>
        <v>Abrir facsímil</v>
      </c>
      <c r="K6360" s="3" t="s">
        <v>23</v>
      </c>
    </row>
    <row r="6361" spans="1:11" ht="42" customHeight="1">
      <c r="A6361" s="2" t="s">
        <v>12664</v>
      </c>
      <c r="B6361" s="2" t="s">
        <v>12665</v>
      </c>
      <c r="C6361" s="2" t="s">
        <v>17</v>
      </c>
      <c r="D6361" s="2" t="s">
        <v>18</v>
      </c>
      <c r="E6361" s="5">
        <v>-27951</v>
      </c>
      <c r="F6361" s="3" t="s">
        <v>548</v>
      </c>
      <c r="G6361" s="3" t="s">
        <v>27</v>
      </c>
      <c r="H6361" s="2" t="s">
        <v>21</v>
      </c>
      <c r="I6361" s="2" t="s">
        <v>12667</v>
      </c>
      <c r="J6361" s="3" t="str">
        <f>HYPERLINK("https://www.boe.es/gazeta/dias/1823/06/21/pdfs/GES-1823-69.pdf#page=2","Abrir facsímil")</f>
        <v>Abrir facsímil</v>
      </c>
      <c r="K6361" s="3" t="s">
        <v>23</v>
      </c>
    </row>
    <row r="6362" spans="1:11" ht="42" customHeight="1">
      <c r="A6362" s="2" t="s">
        <v>12668</v>
      </c>
      <c r="B6362" s="2" t="s">
        <v>12669</v>
      </c>
      <c r="C6362" s="2" t="s">
        <v>17</v>
      </c>
      <c r="D6362" s="2" t="s">
        <v>18</v>
      </c>
      <c r="E6362" s="5">
        <v>-27939</v>
      </c>
      <c r="F6362" s="3" t="s">
        <v>1076</v>
      </c>
      <c r="G6362" s="3" t="s">
        <v>39</v>
      </c>
      <c r="H6362" s="2" t="s">
        <v>21</v>
      </c>
      <c r="I6362" s="2" t="s">
        <v>12670</v>
      </c>
      <c r="J6362" s="3" t="str">
        <f>HYPERLINK("https://www.boe.es/gazeta/dias/1823/07/03/pdfs/GES-1823-83.pdf#page=1","Abrir facsímil")</f>
        <v>Abrir facsímil</v>
      </c>
      <c r="K6362" s="3" t="s">
        <v>23</v>
      </c>
    </row>
    <row r="6363" spans="1:11" ht="42" customHeight="1">
      <c r="A6363" s="2" t="s">
        <v>12671</v>
      </c>
      <c r="B6363" s="2" t="s">
        <v>12672</v>
      </c>
      <c r="C6363" s="2" t="s">
        <v>17</v>
      </c>
      <c r="D6363" s="2" t="s">
        <v>18</v>
      </c>
      <c r="E6363" s="5">
        <v>-28050</v>
      </c>
      <c r="F6363" s="3" t="s">
        <v>473</v>
      </c>
      <c r="G6363" s="3" t="s">
        <v>59</v>
      </c>
      <c r="H6363" s="2" t="s">
        <v>21</v>
      </c>
      <c r="I6363" s="2" t="s">
        <v>12673</v>
      </c>
      <c r="J6363" s="3" t="str">
        <f>HYPERLINK("https://www.boe.es/gazeta/dias/1823/03/14/pdfs/GMD-1823-77.pdf#page=6","Abrir facsímil")</f>
        <v>Abrir facsímil</v>
      </c>
      <c r="K6363" s="3" t="s">
        <v>23</v>
      </c>
    </row>
    <row r="6364" spans="1:11" ht="42" customHeight="1">
      <c r="A6364" s="2" t="s">
        <v>12671</v>
      </c>
      <c r="B6364" s="2" t="s">
        <v>12672</v>
      </c>
      <c r="C6364" s="2" t="s">
        <v>17</v>
      </c>
      <c r="D6364" s="2" t="s">
        <v>18</v>
      </c>
      <c r="E6364" s="5">
        <v>-28021</v>
      </c>
      <c r="F6364" s="3" t="s">
        <v>1054</v>
      </c>
      <c r="G6364" s="3" t="s">
        <v>1055</v>
      </c>
      <c r="H6364" s="2" t="s">
        <v>21</v>
      </c>
      <c r="I6364" s="2" t="s">
        <v>12674</v>
      </c>
      <c r="J6364" s="3" t="str">
        <f>HYPERLINK("https://www.boe.es/gazeta/dias/1823/04/12/pdfs/GMD-1823-107.pdf#page=4","Abrir facsímil")</f>
        <v>Abrir facsímil</v>
      </c>
      <c r="K6364" s="3" t="s">
        <v>23</v>
      </c>
    </row>
    <row r="6365" spans="1:11" ht="42" customHeight="1">
      <c r="A6365" s="2" t="s">
        <v>12671</v>
      </c>
      <c r="B6365" s="2" t="s">
        <v>12672</v>
      </c>
      <c r="C6365" s="2" t="s">
        <v>17</v>
      </c>
      <c r="D6365" s="2" t="s">
        <v>18</v>
      </c>
      <c r="E6365" s="5">
        <v>-28018</v>
      </c>
      <c r="F6365" s="3" t="s">
        <v>275</v>
      </c>
      <c r="G6365" s="3" t="s">
        <v>27</v>
      </c>
      <c r="H6365" s="2" t="s">
        <v>21</v>
      </c>
      <c r="I6365" s="2" t="s">
        <v>12675</v>
      </c>
      <c r="J6365" s="3" t="str">
        <f>HYPERLINK("https://www.boe.es/gazeta/dias/1823/04/15/pdfs/GMD-1823-12.pdf#page=2","Abrir facsímil")</f>
        <v>Abrir facsímil</v>
      </c>
      <c r="K6365" s="3" t="s">
        <v>23</v>
      </c>
    </row>
    <row r="6366" spans="1:11" ht="42" customHeight="1">
      <c r="A6366" s="2" t="s">
        <v>12671</v>
      </c>
      <c r="B6366" s="2" t="s">
        <v>12672</v>
      </c>
      <c r="C6366" s="2" t="s">
        <v>17</v>
      </c>
      <c r="D6366" s="2" t="s">
        <v>18</v>
      </c>
      <c r="E6366" s="5">
        <v>-27939</v>
      </c>
      <c r="F6366" s="3" t="s">
        <v>1076</v>
      </c>
      <c r="G6366" s="3" t="s">
        <v>27</v>
      </c>
      <c r="H6366" s="2" t="s">
        <v>21</v>
      </c>
      <c r="I6366" s="2" t="s">
        <v>12676</v>
      </c>
      <c r="J6366" s="3" t="str">
        <f>HYPERLINK("https://www.boe.es/gazeta/dias/1823/07/03/pdfs/GES-1823-83.pdf#page=2","Abrir facsímil")</f>
        <v>Abrir facsímil</v>
      </c>
      <c r="K6366" s="3" t="s">
        <v>23</v>
      </c>
    </row>
    <row r="6367" spans="1:11" ht="42" customHeight="1">
      <c r="A6367" s="2" t="s">
        <v>12677</v>
      </c>
      <c r="B6367" s="2" t="s">
        <v>12678</v>
      </c>
      <c r="C6367" s="2" t="s">
        <v>109</v>
      </c>
      <c r="D6367" s="2" t="s">
        <v>74</v>
      </c>
      <c r="E6367" s="5">
        <v>-28093</v>
      </c>
      <c r="F6367" s="3" t="s">
        <v>1044</v>
      </c>
      <c r="G6367" s="3" t="s">
        <v>27</v>
      </c>
      <c r="H6367" s="2" t="s">
        <v>21</v>
      </c>
      <c r="I6367" s="2" t="s">
        <v>12679</v>
      </c>
      <c r="J6367" s="3" t="str">
        <f>HYPERLINK("https://www.boe.es/gazeta/dias/1823/01/30/pdfs/GMD-1823-31.pdf#page=2","Abrir facsímil")</f>
        <v>Abrir facsímil</v>
      </c>
      <c r="K6367" s="3" t="s">
        <v>23</v>
      </c>
    </row>
    <row r="6368" spans="1:11" ht="42" customHeight="1">
      <c r="A6368" s="2" t="s">
        <v>12677</v>
      </c>
      <c r="B6368" s="2" t="s">
        <v>12678</v>
      </c>
      <c r="C6368" s="2" t="s">
        <v>17</v>
      </c>
      <c r="D6368" s="2" t="s">
        <v>18</v>
      </c>
      <c r="E6368" s="5">
        <v>-27991</v>
      </c>
      <c r="F6368" s="3" t="s">
        <v>328</v>
      </c>
      <c r="G6368" s="3" t="s">
        <v>27</v>
      </c>
      <c r="H6368" s="2" t="s">
        <v>21</v>
      </c>
      <c r="I6368" s="2" t="s">
        <v>12680</v>
      </c>
      <c r="J6368" s="3" t="str">
        <f>HYPERLINK("https://www.boe.es/gazeta/dias/1823/05/12/pdfs/GES-1823-32.pdf#page=2","Abrir facsímil")</f>
        <v>Abrir facsímil</v>
      </c>
      <c r="K6368" s="3" t="s">
        <v>23</v>
      </c>
    </row>
    <row r="6369" spans="1:11" ht="42" customHeight="1">
      <c r="A6369" s="2" t="s">
        <v>12681</v>
      </c>
      <c r="B6369" s="2" t="s">
        <v>12682</v>
      </c>
      <c r="C6369" s="2" t="s">
        <v>17</v>
      </c>
      <c r="D6369" s="2" t="s">
        <v>18</v>
      </c>
      <c r="E6369" s="5">
        <v>-28025</v>
      </c>
      <c r="F6369" s="3" t="s">
        <v>477</v>
      </c>
      <c r="G6369" s="3" t="s">
        <v>27</v>
      </c>
      <c r="H6369" s="2" t="s">
        <v>21</v>
      </c>
      <c r="I6369" s="2" t="s">
        <v>12683</v>
      </c>
      <c r="J6369" s="3" t="str">
        <f>HYPERLINK("https://www.boe.es/gazeta/dias/1823/04/08/pdfs/GMD-1823-103.pdf#page=2","Abrir facsímil")</f>
        <v>Abrir facsímil</v>
      </c>
      <c r="K6369" s="3" t="s">
        <v>23</v>
      </c>
    </row>
    <row r="6370" spans="1:11" ht="42" customHeight="1">
      <c r="A6370" s="2" t="s">
        <v>12684</v>
      </c>
      <c r="B6370" s="2" t="s">
        <v>12685</v>
      </c>
      <c r="C6370" s="2" t="s">
        <v>79</v>
      </c>
      <c r="D6370" s="2" t="s">
        <v>74</v>
      </c>
      <c r="E6370" s="5">
        <v>-27997</v>
      </c>
      <c r="F6370" s="3" t="s">
        <v>317</v>
      </c>
      <c r="G6370" s="3" t="s">
        <v>39</v>
      </c>
      <c r="H6370" s="2" t="s">
        <v>21</v>
      </c>
      <c r="I6370" s="2" t="s">
        <v>12686</v>
      </c>
      <c r="J6370" s="3" t="str">
        <f>HYPERLINK("https://www.boe.es/gazeta/dias/1823/05/06/pdfs/GES-1823-26.pdf#page=1","Abrir facsímil")</f>
        <v>Abrir facsímil</v>
      </c>
      <c r="K6370" s="3" t="s">
        <v>23</v>
      </c>
    </row>
    <row r="6371" spans="1:11" ht="42" customHeight="1">
      <c r="A6371" s="2" t="s">
        <v>12687</v>
      </c>
      <c r="B6371" s="2" t="s">
        <v>12688</v>
      </c>
      <c r="C6371" s="2" t="s">
        <v>109</v>
      </c>
      <c r="D6371" s="2" t="s">
        <v>74</v>
      </c>
      <c r="E6371" s="5">
        <v>-28011</v>
      </c>
      <c r="F6371" s="3" t="s">
        <v>3326</v>
      </c>
      <c r="G6371" s="3" t="s">
        <v>20</v>
      </c>
      <c r="H6371" s="2" t="s">
        <v>21</v>
      </c>
      <c r="I6371" s="2" t="s">
        <v>12689</v>
      </c>
      <c r="J6371" s="3" t="str">
        <f>HYPERLINK("https://www.boe.es/gazeta/dias/1823/04/22/pdfs/GES-1823-12.pdf#page=4","Abrir facsímil")</f>
        <v>Abrir facsímil</v>
      </c>
      <c r="K6371" s="3" t="s">
        <v>23</v>
      </c>
    </row>
    <row r="6372" spans="1:11" ht="42" customHeight="1">
      <c r="A6372" s="2" t="s">
        <v>12690</v>
      </c>
      <c r="B6372" s="2" t="s">
        <v>12691</v>
      </c>
      <c r="C6372" s="2" t="s">
        <v>79</v>
      </c>
      <c r="D6372" s="2" t="s">
        <v>74</v>
      </c>
      <c r="E6372" s="5">
        <v>-28015</v>
      </c>
      <c r="F6372" s="3" t="s">
        <v>985</v>
      </c>
      <c r="G6372" s="3" t="s">
        <v>20</v>
      </c>
      <c r="H6372" s="2" t="s">
        <v>21</v>
      </c>
      <c r="I6372" s="2" t="s">
        <v>12692</v>
      </c>
      <c r="J6372" s="3" t="str">
        <f>HYPERLINK("https://www.boe.es/gazeta/dias/1823/04/18/pdfs/GES-1823-8.pdf#page=4","Abrir facsímil")</f>
        <v>Abrir facsímil</v>
      </c>
      <c r="K6372" s="3" t="s">
        <v>23</v>
      </c>
    </row>
    <row r="6373" spans="1:11" ht="42" customHeight="1">
      <c r="A6373" s="2" t="s">
        <v>12690</v>
      </c>
      <c r="B6373" s="2" t="s">
        <v>12691</v>
      </c>
      <c r="C6373" s="2" t="s">
        <v>79</v>
      </c>
      <c r="D6373" s="2" t="s">
        <v>74</v>
      </c>
      <c r="E6373" s="5">
        <v>-27864</v>
      </c>
      <c r="F6373" s="3" t="s">
        <v>1301</v>
      </c>
      <c r="G6373" s="3" t="s">
        <v>48</v>
      </c>
      <c r="H6373" s="2" t="s">
        <v>21</v>
      </c>
      <c r="I6373" s="2" t="s">
        <v>12693</v>
      </c>
      <c r="J6373" s="3" t="str">
        <f>HYPERLINK("https://www.boe.es/gazeta/dias/1823/09/16/pdfs/GES-1823-160.pdf#page=3","Abrir facsímil")</f>
        <v>Abrir facsímil</v>
      </c>
      <c r="K6373" s="3" t="s">
        <v>23</v>
      </c>
    </row>
    <row r="6374" spans="1:11" ht="42" customHeight="1">
      <c r="A6374" s="2" t="s">
        <v>12694</v>
      </c>
      <c r="B6374" s="2" t="s">
        <v>12695</v>
      </c>
      <c r="C6374" s="2" t="s">
        <v>79</v>
      </c>
      <c r="D6374" s="2" t="s">
        <v>74</v>
      </c>
      <c r="E6374" s="5">
        <v>-27982</v>
      </c>
      <c r="F6374" s="3" t="s">
        <v>340</v>
      </c>
      <c r="G6374" s="3" t="s">
        <v>59</v>
      </c>
      <c r="H6374" s="2" t="s">
        <v>21</v>
      </c>
      <c r="I6374" s="2" t="s">
        <v>12696</v>
      </c>
      <c r="J6374" s="3" t="str">
        <f>HYPERLINK("https://www.boe.es/gazeta/dias/1823/05/21/pdfs/GES-1823-42.pdf#page=6","Abrir facsímil")</f>
        <v>Abrir facsímil</v>
      </c>
      <c r="K6374" s="3" t="s">
        <v>23</v>
      </c>
    </row>
    <row r="6375" spans="1:11" ht="42" customHeight="1">
      <c r="A6375" s="2" t="s">
        <v>12697</v>
      </c>
      <c r="B6375" s="2" t="s">
        <v>12698</v>
      </c>
      <c r="C6375" s="2" t="s">
        <v>56</v>
      </c>
      <c r="D6375" s="2" t="s">
        <v>57</v>
      </c>
      <c r="E6375" s="5">
        <v>-28060</v>
      </c>
      <c r="F6375" s="3" t="s">
        <v>180</v>
      </c>
      <c r="G6375" s="3" t="s">
        <v>181</v>
      </c>
      <c r="H6375" s="2" t="s">
        <v>21</v>
      </c>
      <c r="I6375" s="2" t="s">
        <v>12699</v>
      </c>
      <c r="J6375" s="3" t="str">
        <f>HYPERLINK("https://www.boe.es/gazeta/dias/1823/03/04/pdfs/GMD-1823-67.pdf#page=6","Abrir facsímil")</f>
        <v>Abrir facsímil</v>
      </c>
      <c r="K6375" s="3" t="s">
        <v>23</v>
      </c>
    </row>
    <row r="6376" spans="1:11" ht="42" customHeight="1">
      <c r="A6376" s="2" t="s">
        <v>12700</v>
      </c>
      <c r="B6376" s="2" t="s">
        <v>12700</v>
      </c>
      <c r="C6376" s="2" t="s">
        <v>17</v>
      </c>
      <c r="D6376" s="2" t="s">
        <v>18</v>
      </c>
      <c r="E6376" s="5">
        <v>-27953</v>
      </c>
      <c r="F6376" s="3" t="s">
        <v>1783</v>
      </c>
      <c r="G6376" s="3" t="s">
        <v>48</v>
      </c>
      <c r="H6376" s="2" t="s">
        <v>21</v>
      </c>
      <c r="I6376" s="2" t="s">
        <v>12701</v>
      </c>
      <c r="J6376" s="3" t="str">
        <f>HYPERLINK("https://www.boe.es/gazeta/dias/1823/06/19/pdfs/GES-1823-67.pdf#page=3","Abrir facsímil")</f>
        <v>Abrir facsímil</v>
      </c>
      <c r="K6376" s="3" t="s">
        <v>23</v>
      </c>
    </row>
    <row r="6377" spans="1:11" ht="42" customHeight="1">
      <c r="A6377" s="2" t="s">
        <v>12702</v>
      </c>
      <c r="B6377" s="2" t="s">
        <v>12702</v>
      </c>
      <c r="C6377" s="2" t="s">
        <v>17</v>
      </c>
      <c r="D6377" s="2" t="s">
        <v>18</v>
      </c>
      <c r="E6377" s="5">
        <v>-27949</v>
      </c>
      <c r="F6377" s="3" t="s">
        <v>1162</v>
      </c>
      <c r="G6377" s="3" t="s">
        <v>20</v>
      </c>
      <c r="H6377" s="2" t="s">
        <v>21</v>
      </c>
      <c r="I6377" s="2" t="s">
        <v>12703</v>
      </c>
      <c r="J6377" s="3" t="str">
        <f>HYPERLINK("https://www.boe.es/gazeta/dias/1823/06/23/pdfs/GES-1823-71.pdf#page=4","Abrir facsímil")</f>
        <v>Abrir facsímil</v>
      </c>
      <c r="K6377" s="3" t="s">
        <v>23</v>
      </c>
    </row>
    <row r="6378" spans="1:11" ht="42" customHeight="1">
      <c r="A6378" s="2" t="s">
        <v>12704</v>
      </c>
      <c r="B6378" s="2" t="s">
        <v>12705</v>
      </c>
      <c r="C6378" s="2" t="s">
        <v>17</v>
      </c>
      <c r="D6378" s="2" t="s">
        <v>18</v>
      </c>
      <c r="E6378" s="5">
        <v>-27871</v>
      </c>
      <c r="F6378" s="3" t="s">
        <v>1330</v>
      </c>
      <c r="G6378" s="3" t="s">
        <v>20</v>
      </c>
      <c r="H6378" s="2" t="s">
        <v>21</v>
      </c>
      <c r="I6378" s="2" t="s">
        <v>12706</v>
      </c>
      <c r="J6378" s="3" t="str">
        <f>HYPERLINK("https://www.boe.es/gazeta/dias/1823/09/09/pdfs/GMD-1823-733.pdf#page=4","Abrir facsímil")</f>
        <v>Abrir facsímil</v>
      </c>
      <c r="K6378" s="3" t="s">
        <v>23</v>
      </c>
    </row>
    <row r="6379" spans="1:11" ht="42" customHeight="1">
      <c r="A6379" s="2" t="s">
        <v>12707</v>
      </c>
      <c r="B6379" s="2" t="s">
        <v>12708</v>
      </c>
      <c r="C6379" s="2" t="s">
        <v>17</v>
      </c>
      <c r="D6379" s="2" t="s">
        <v>18</v>
      </c>
      <c r="E6379" s="5">
        <v>-28061</v>
      </c>
      <c r="F6379" s="3" t="s">
        <v>704</v>
      </c>
      <c r="G6379" s="3" t="s">
        <v>59</v>
      </c>
      <c r="H6379" s="2" t="s">
        <v>21</v>
      </c>
      <c r="I6379" s="2" t="s">
        <v>12709</v>
      </c>
      <c r="J6379" s="3" t="str">
        <f>HYPERLINK("https://www.boe.es/gazeta/dias/1823/03/03/pdfs/GMD-1823-66.pdf#page=6","Abrir facsímil")</f>
        <v>Abrir facsímil</v>
      </c>
      <c r="K6379" s="3" t="s">
        <v>23</v>
      </c>
    </row>
    <row r="6380" spans="1:11" ht="42" customHeight="1">
      <c r="A6380" s="2" t="s">
        <v>12710</v>
      </c>
      <c r="B6380" s="2" t="s">
        <v>12711</v>
      </c>
      <c r="C6380" s="2" t="s">
        <v>17</v>
      </c>
      <c r="D6380" s="2" t="s">
        <v>18</v>
      </c>
      <c r="E6380" s="5">
        <v>-28084</v>
      </c>
      <c r="F6380" s="3" t="s">
        <v>1049</v>
      </c>
      <c r="G6380" s="3" t="s">
        <v>20</v>
      </c>
      <c r="H6380" s="2" t="s">
        <v>21</v>
      </c>
      <c r="I6380" s="2" t="s">
        <v>12712</v>
      </c>
      <c r="J6380" s="3" t="str">
        <f>HYPERLINK("https://www.boe.es/gazeta/dias/1823/02/08/pdfs/GMD-1823-41.pdf#page=4","Abrir facsímil")</f>
        <v>Abrir facsímil</v>
      </c>
      <c r="K6380" s="3" t="s">
        <v>23</v>
      </c>
    </row>
    <row r="6381" spans="1:11" ht="42" customHeight="1">
      <c r="A6381" s="2" t="s">
        <v>12713</v>
      </c>
      <c r="B6381" s="2" t="s">
        <v>12714</v>
      </c>
      <c r="C6381" s="2" t="s">
        <v>17</v>
      </c>
      <c r="D6381" s="2" t="s">
        <v>18</v>
      </c>
      <c r="E6381" s="5">
        <v>-27937</v>
      </c>
      <c r="F6381" s="3" t="s">
        <v>897</v>
      </c>
      <c r="G6381" s="3" t="s">
        <v>34</v>
      </c>
      <c r="H6381" s="2" t="s">
        <v>28</v>
      </c>
      <c r="I6381" s="2" t="s">
        <v>12715</v>
      </c>
      <c r="J6381" s="3" t="str">
        <f>HYPERLINK("https://www.boe.es/gazeta/dias/1823/07/05/pdfs/GMD-1823-343.pdf#page=5","Abrir facsímil")</f>
        <v>Abrir facsímil</v>
      </c>
      <c r="K6381" s="3" t="s">
        <v>30</v>
      </c>
    </row>
    <row r="6382" spans="1:11" ht="42" customHeight="1">
      <c r="A6382" s="2" t="s">
        <v>12716</v>
      </c>
      <c r="B6382" s="2" t="s">
        <v>12717</v>
      </c>
      <c r="C6382" s="2" t="s">
        <v>84</v>
      </c>
      <c r="D6382" s="2" t="s">
        <v>74</v>
      </c>
      <c r="E6382" s="5">
        <v>-28078</v>
      </c>
      <c r="F6382" s="3" t="s">
        <v>508</v>
      </c>
      <c r="G6382" s="3" t="s">
        <v>59</v>
      </c>
      <c r="H6382" s="2" t="s">
        <v>21</v>
      </c>
      <c r="I6382" s="2" t="s">
        <v>12718</v>
      </c>
      <c r="J6382" s="3" t="str">
        <f>HYPERLINK("https://www.boe.es/gazeta/dias/1823/02/14/pdfs/GMD-1823-48.pdf#page=6","Abrir facsímil")</f>
        <v>Abrir facsímil</v>
      </c>
      <c r="K6382" s="3" t="s">
        <v>23</v>
      </c>
    </row>
    <row r="6383" spans="1:11" ht="42" customHeight="1">
      <c r="A6383" s="2" t="s">
        <v>12719</v>
      </c>
      <c r="B6383" s="2" t="s">
        <v>12720</v>
      </c>
      <c r="C6383" s="2" t="s">
        <v>17</v>
      </c>
      <c r="D6383" s="2" t="s">
        <v>18</v>
      </c>
      <c r="E6383" s="5">
        <v>-28062</v>
      </c>
      <c r="F6383" s="3" t="s">
        <v>1357</v>
      </c>
      <c r="G6383" s="3" t="s">
        <v>39</v>
      </c>
      <c r="H6383" s="2" t="s">
        <v>21</v>
      </c>
      <c r="I6383" s="2" t="s">
        <v>12721</v>
      </c>
      <c r="J6383" s="3" t="str">
        <f>HYPERLINK("https://www.boe.es/gazeta/dias/1823/03/02/pdfs/GMD-1823-65.pdf#page=1","Abrir facsímil")</f>
        <v>Abrir facsímil</v>
      </c>
      <c r="K6383" s="3" t="s">
        <v>23</v>
      </c>
    </row>
    <row r="6384" spans="1:11" ht="42" customHeight="1">
      <c r="A6384" s="2" t="s">
        <v>12722</v>
      </c>
      <c r="B6384" s="2" t="s">
        <v>12723</v>
      </c>
      <c r="C6384" s="2" t="s">
        <v>56</v>
      </c>
      <c r="D6384" s="2" t="s">
        <v>57</v>
      </c>
      <c r="E6384" s="5">
        <v>-28099</v>
      </c>
      <c r="F6384" s="3" t="s">
        <v>1689</v>
      </c>
      <c r="G6384" s="3" t="s">
        <v>27</v>
      </c>
      <c r="H6384" s="2" t="s">
        <v>21</v>
      </c>
      <c r="I6384" s="2" t="s">
        <v>12724</v>
      </c>
      <c r="J6384" s="3" t="str">
        <f>HYPERLINK("https://www.boe.es/gazeta/dias/1823/01/24/pdfs/GMD-1823-25.pdf#page=2","Abrir facsímil")</f>
        <v>Abrir facsímil</v>
      </c>
      <c r="K6384" s="3" t="s">
        <v>23</v>
      </c>
    </row>
    <row r="6385" spans="1:11" ht="42" customHeight="1">
      <c r="A6385" s="2" t="s">
        <v>12725</v>
      </c>
      <c r="B6385" s="2" t="s">
        <v>12725</v>
      </c>
      <c r="C6385" s="2" t="s">
        <v>79</v>
      </c>
      <c r="D6385" s="2" t="s">
        <v>74</v>
      </c>
      <c r="E6385" s="5">
        <v>-28069</v>
      </c>
      <c r="F6385" s="3" t="s">
        <v>2006</v>
      </c>
      <c r="G6385" s="3" t="s">
        <v>20</v>
      </c>
      <c r="H6385" s="2" t="s">
        <v>21</v>
      </c>
      <c r="I6385" s="2" t="s">
        <v>12726</v>
      </c>
      <c r="J6385" s="3" t="str">
        <f>HYPERLINK("https://www.boe.es/gazeta/dias/1823/02/23/pdfs/GMD-1823-57.pdf#page=4","Abrir facsímil")</f>
        <v>Abrir facsímil</v>
      </c>
      <c r="K6385" s="3" t="s">
        <v>23</v>
      </c>
    </row>
    <row r="6386" spans="1:11" ht="42" customHeight="1">
      <c r="A6386" s="2" t="s">
        <v>12725</v>
      </c>
      <c r="B6386" s="2" t="s">
        <v>12725</v>
      </c>
      <c r="C6386" s="2" t="s">
        <v>56</v>
      </c>
      <c r="D6386" s="2" t="s">
        <v>57</v>
      </c>
      <c r="E6386" s="5">
        <v>-28005</v>
      </c>
      <c r="F6386" s="3" t="s">
        <v>1648</v>
      </c>
      <c r="G6386" s="3" t="s">
        <v>20</v>
      </c>
      <c r="H6386" s="2" t="s">
        <v>21</v>
      </c>
      <c r="I6386" s="2" t="s">
        <v>12727</v>
      </c>
      <c r="J6386" s="3" t="str">
        <f>HYPERLINK("https://www.boe.es/gazeta/dias/1823/04/28/pdfs/GES-1823-18.pdf#page=4","Abrir facsímil")</f>
        <v>Abrir facsímil</v>
      </c>
      <c r="K6386" s="3" t="s">
        <v>23</v>
      </c>
    </row>
    <row r="6387" spans="1:11" ht="42" customHeight="1">
      <c r="A6387" s="2" t="s">
        <v>12725</v>
      </c>
      <c r="B6387" s="2" t="s">
        <v>12725</v>
      </c>
      <c r="C6387" s="2" t="s">
        <v>79</v>
      </c>
      <c r="D6387" s="2" t="s">
        <v>74</v>
      </c>
      <c r="E6387" s="5">
        <v>-28004</v>
      </c>
      <c r="F6387" s="3" t="s">
        <v>313</v>
      </c>
      <c r="G6387" s="3" t="s">
        <v>27</v>
      </c>
      <c r="H6387" s="2" t="s">
        <v>21</v>
      </c>
      <c r="I6387" s="2" t="s">
        <v>12728</v>
      </c>
      <c r="J6387" s="3" t="str">
        <f>HYPERLINK("https://www.boe.es/gazeta/dias/1823/04/29/pdfs/GMD-1823-72.pdf#page=2","Abrir facsímil")</f>
        <v>Abrir facsímil</v>
      </c>
      <c r="K6387" s="3" t="s">
        <v>23</v>
      </c>
    </row>
    <row r="6388" spans="1:11" ht="42" customHeight="1">
      <c r="A6388" s="2" t="s">
        <v>12725</v>
      </c>
      <c r="B6388" s="2" t="s">
        <v>12725</v>
      </c>
      <c r="C6388" s="2" t="s">
        <v>17</v>
      </c>
      <c r="D6388" s="2" t="s">
        <v>18</v>
      </c>
      <c r="E6388" s="5">
        <v>-27922</v>
      </c>
      <c r="F6388" s="3" t="s">
        <v>1959</v>
      </c>
      <c r="G6388" s="3" t="s">
        <v>48</v>
      </c>
      <c r="H6388" s="2" t="s">
        <v>21</v>
      </c>
      <c r="I6388" s="2" t="s">
        <v>12729</v>
      </c>
      <c r="J6388" s="3" t="str">
        <f>HYPERLINK("https://www.boe.es/gazeta/dias/1823/07/20/pdfs/GES-1823-101.pdf#page=3","Abrir facsímil")</f>
        <v>Abrir facsímil</v>
      </c>
      <c r="K6388" s="3" t="s">
        <v>23</v>
      </c>
    </row>
    <row r="6389" spans="1:11" ht="42" customHeight="1">
      <c r="A6389" s="2" t="s">
        <v>12725</v>
      </c>
      <c r="B6389" s="2" t="s">
        <v>12725</v>
      </c>
      <c r="C6389" s="2" t="s">
        <v>325</v>
      </c>
      <c r="D6389" s="2" t="s">
        <v>74</v>
      </c>
      <c r="E6389" s="5">
        <v>-27860</v>
      </c>
      <c r="F6389" s="3" t="s">
        <v>998</v>
      </c>
      <c r="G6389" s="3" t="s">
        <v>715</v>
      </c>
      <c r="H6389" s="2" t="s">
        <v>21</v>
      </c>
      <c r="I6389" s="2" t="s">
        <v>12730</v>
      </c>
      <c r="J6389" s="3" t="str">
        <f>HYPERLINK("https://www.boe.es/gazeta/dias/1823/09/20/pdfs/GMD-1823-813.pdf#page=8","Abrir facsímil")</f>
        <v>Abrir facsímil</v>
      </c>
      <c r="K6389" s="3" t="s">
        <v>23</v>
      </c>
    </row>
    <row r="6390" spans="1:11" ht="42" customHeight="1">
      <c r="A6390" s="2" t="s">
        <v>12731</v>
      </c>
      <c r="B6390" s="2" t="s">
        <v>12732</v>
      </c>
      <c r="C6390" s="2" t="s">
        <v>79</v>
      </c>
      <c r="D6390" s="2" t="s">
        <v>74</v>
      </c>
      <c r="E6390" s="5">
        <v>-28016</v>
      </c>
      <c r="F6390" s="3" t="s">
        <v>2259</v>
      </c>
      <c r="G6390" s="3" t="s">
        <v>27</v>
      </c>
      <c r="H6390" s="2" t="s">
        <v>21</v>
      </c>
      <c r="I6390" s="2" t="s">
        <v>12733</v>
      </c>
      <c r="J6390" s="3" t="str">
        <f>HYPERLINK("https://www.boe.es/gazeta/dias/1823/04/17/pdfs/GES-1823-7.pdf#page=2","Abrir facsímil")</f>
        <v>Abrir facsímil</v>
      </c>
      <c r="K6390" s="3" t="s">
        <v>23</v>
      </c>
    </row>
    <row r="6391" spans="1:11" ht="42" customHeight="1">
      <c r="A6391" s="2" t="s">
        <v>12731</v>
      </c>
      <c r="B6391" s="2" t="s">
        <v>12732</v>
      </c>
      <c r="C6391" s="2" t="s">
        <v>79</v>
      </c>
      <c r="D6391" s="2" t="s">
        <v>74</v>
      </c>
      <c r="E6391" s="5">
        <v>-28013</v>
      </c>
      <c r="F6391" s="3" t="s">
        <v>105</v>
      </c>
      <c r="G6391" s="3" t="s">
        <v>27</v>
      </c>
      <c r="H6391" s="2" t="s">
        <v>21</v>
      </c>
      <c r="I6391" s="2" t="s">
        <v>12734</v>
      </c>
      <c r="J6391" s="3" t="str">
        <f>HYPERLINK("https://www.boe.es/gazeta/dias/1823/04/20/pdfs/GMD-1823-32.pdf#page=2","Abrir facsímil")</f>
        <v>Abrir facsímil</v>
      </c>
      <c r="K6391" s="3" t="s">
        <v>23</v>
      </c>
    </row>
    <row r="6392" spans="1:11" ht="42" customHeight="1">
      <c r="A6392" s="2" t="s">
        <v>12731</v>
      </c>
      <c r="B6392" s="2" t="s">
        <v>12732</v>
      </c>
      <c r="C6392" s="2" t="s">
        <v>79</v>
      </c>
      <c r="D6392" s="2" t="s">
        <v>74</v>
      </c>
      <c r="E6392" s="5">
        <v>-27942</v>
      </c>
      <c r="F6392" s="3" t="s">
        <v>596</v>
      </c>
      <c r="G6392" s="3" t="s">
        <v>20</v>
      </c>
      <c r="H6392" s="2" t="s">
        <v>21</v>
      </c>
      <c r="I6392" s="2" t="s">
        <v>12735</v>
      </c>
      <c r="J6392" s="3" t="str">
        <f>HYPERLINK("https://www.boe.es/gazeta/dias/1823/06/30/pdfs/GES-1823-80.pdf#page=4","Abrir facsímil")</f>
        <v>Abrir facsímil</v>
      </c>
      <c r="K6392" s="3" t="s">
        <v>23</v>
      </c>
    </row>
    <row r="6393" spans="1:11" ht="42" customHeight="1">
      <c r="A6393" s="2" t="s">
        <v>12736</v>
      </c>
      <c r="B6393" s="2" t="s">
        <v>12737</v>
      </c>
      <c r="C6393" s="2" t="s">
        <v>56</v>
      </c>
      <c r="D6393" s="2" t="s">
        <v>57</v>
      </c>
      <c r="E6393" s="5">
        <v>-28111</v>
      </c>
      <c r="F6393" s="3" t="s">
        <v>275</v>
      </c>
      <c r="G6393" s="3" t="s">
        <v>7417</v>
      </c>
      <c r="H6393" s="2" t="s">
        <v>21</v>
      </c>
      <c r="I6393" s="2" t="s">
        <v>12738</v>
      </c>
      <c r="J6393" s="3" t="str">
        <f>HYPERLINK("https://www.boe.es/gazeta/dias/1823/01/12/pdfs/GMD-1823-12.pdf#page=8","Abrir facsímil")</f>
        <v>Abrir facsímil</v>
      </c>
      <c r="K6393" s="3" t="s">
        <v>23</v>
      </c>
    </row>
    <row r="6394" spans="1:11" ht="42" customHeight="1">
      <c r="A6394" s="2" t="s">
        <v>12739</v>
      </c>
      <c r="B6394" s="2" t="s">
        <v>12739</v>
      </c>
      <c r="C6394" s="2" t="s">
        <v>17</v>
      </c>
      <c r="D6394" s="2" t="s">
        <v>18</v>
      </c>
      <c r="E6394" s="5">
        <v>-27986</v>
      </c>
      <c r="F6394" s="3" t="s">
        <v>607</v>
      </c>
      <c r="G6394" s="3" t="s">
        <v>27</v>
      </c>
      <c r="H6394" s="2" t="s">
        <v>21</v>
      </c>
      <c r="I6394" s="2" t="s">
        <v>12740</v>
      </c>
      <c r="J6394" s="3" t="str">
        <f>HYPERLINK("https://www.boe.es/gazeta/dias/1823/05/17/pdfs/GMD-1823-152.pdf#page=2","Abrir facsímil")</f>
        <v>Abrir facsímil</v>
      </c>
      <c r="K6394" s="3" t="s">
        <v>23</v>
      </c>
    </row>
    <row r="6395" spans="1:11" ht="42" customHeight="1">
      <c r="A6395" s="2" t="s">
        <v>12741</v>
      </c>
      <c r="B6395" s="2" t="s">
        <v>12741</v>
      </c>
      <c r="C6395" s="2" t="s">
        <v>17</v>
      </c>
      <c r="D6395" s="2" t="s">
        <v>18</v>
      </c>
      <c r="E6395" s="5">
        <v>-28080</v>
      </c>
      <c r="F6395" s="3" t="s">
        <v>1010</v>
      </c>
      <c r="G6395" s="3" t="s">
        <v>48</v>
      </c>
      <c r="H6395" s="2" t="s">
        <v>21</v>
      </c>
      <c r="I6395" s="2" t="s">
        <v>12742</v>
      </c>
      <c r="J6395" s="3" t="str">
        <f>HYPERLINK("https://www.boe.es/gazeta/dias/1823/02/12/pdfs/GMD-1823-46.pdf#page=3","Abrir facsímil")</f>
        <v>Abrir facsímil</v>
      </c>
      <c r="K6395" s="3" t="s">
        <v>23</v>
      </c>
    </row>
    <row r="6396" spans="1:11" ht="42" customHeight="1">
      <c r="A6396" s="2" t="s">
        <v>12741</v>
      </c>
      <c r="B6396" s="2" t="s">
        <v>12741</v>
      </c>
      <c r="C6396" s="2" t="s">
        <v>17</v>
      </c>
      <c r="D6396" s="2" t="s">
        <v>18</v>
      </c>
      <c r="E6396" s="5">
        <v>-27884</v>
      </c>
      <c r="F6396" s="3" t="s">
        <v>61</v>
      </c>
      <c r="G6396" s="3" t="s">
        <v>27</v>
      </c>
      <c r="H6396" s="2" t="s">
        <v>21</v>
      </c>
      <c r="I6396" s="2" t="s">
        <v>12743</v>
      </c>
      <c r="J6396" s="3" t="str">
        <f>HYPERLINK("https://www.boe.es/gazeta/dias/1823/08/27/pdfs/GES-1823-140.pdf#page=2","Abrir facsímil")</f>
        <v>Abrir facsímil</v>
      </c>
      <c r="K6396" s="3" t="s">
        <v>23</v>
      </c>
    </row>
    <row r="6397" spans="1:11" ht="42" customHeight="1">
      <c r="A6397" s="2" t="s">
        <v>12741</v>
      </c>
      <c r="B6397" s="2" t="s">
        <v>12741</v>
      </c>
      <c r="C6397" s="2" t="s">
        <v>17</v>
      </c>
      <c r="D6397" s="2" t="s">
        <v>18</v>
      </c>
      <c r="E6397" s="5">
        <v>-27869</v>
      </c>
      <c r="F6397" s="3" t="s">
        <v>1886</v>
      </c>
      <c r="G6397" s="3" t="s">
        <v>39</v>
      </c>
      <c r="H6397" s="2" t="s">
        <v>21</v>
      </c>
      <c r="I6397" s="2" t="s">
        <v>12744</v>
      </c>
      <c r="J6397" s="3" t="str">
        <f>HYPERLINK("https://www.boe.es/gazeta/dias/1823/09/11/pdfs/GES-1823-155.pdf#page=1","Abrir facsímil")</f>
        <v>Abrir facsímil</v>
      </c>
      <c r="K6397" s="3" t="s">
        <v>23</v>
      </c>
    </row>
    <row r="6398" spans="1:11" ht="42" customHeight="1">
      <c r="A6398" s="2" t="s">
        <v>12741</v>
      </c>
      <c r="B6398" s="2" t="s">
        <v>12741</v>
      </c>
      <c r="C6398" s="2" t="s">
        <v>17</v>
      </c>
      <c r="D6398" s="2" t="s">
        <v>18</v>
      </c>
      <c r="E6398" s="5">
        <v>-27864</v>
      </c>
      <c r="F6398" s="3" t="s">
        <v>1301</v>
      </c>
      <c r="G6398" s="3" t="s">
        <v>27</v>
      </c>
      <c r="H6398" s="2" t="s">
        <v>21</v>
      </c>
      <c r="I6398" s="2" t="s">
        <v>12745</v>
      </c>
      <c r="J6398" s="3" t="str">
        <f>HYPERLINK("https://www.boe.es/gazeta/dias/1823/09/16/pdfs/GES-1823-160.pdf#page=2","Abrir facsímil")</f>
        <v>Abrir facsímil</v>
      </c>
      <c r="K6398" s="3" t="s">
        <v>23</v>
      </c>
    </row>
    <row r="6399" spans="1:11" ht="42" customHeight="1">
      <c r="A6399" s="2" t="s">
        <v>12741</v>
      </c>
      <c r="B6399" s="2" t="s">
        <v>12741</v>
      </c>
      <c r="C6399" s="2" t="s">
        <v>56</v>
      </c>
      <c r="D6399" s="2" t="s">
        <v>57</v>
      </c>
      <c r="E6399" s="5">
        <v>-27829</v>
      </c>
      <c r="F6399" s="3" t="s">
        <v>228</v>
      </c>
      <c r="G6399" s="3" t="s">
        <v>48</v>
      </c>
      <c r="H6399" s="2" t="s">
        <v>21</v>
      </c>
      <c r="I6399" s="2" t="s">
        <v>12746</v>
      </c>
      <c r="J6399" s="3" t="str">
        <f>HYPERLINK("https://www.boe.es/gazeta/dias/1823/10/21/pdfs/GMD-1823-1003.pdf#page=3","Abrir facsímil")</f>
        <v>Abrir facsímil</v>
      </c>
      <c r="K6399" s="3" t="s">
        <v>23</v>
      </c>
    </row>
    <row r="6400" spans="1:11" ht="42" customHeight="1">
      <c r="A6400" s="2" t="s">
        <v>12747</v>
      </c>
      <c r="B6400" s="2" t="s">
        <v>12748</v>
      </c>
      <c r="C6400" s="2" t="s">
        <v>17</v>
      </c>
      <c r="D6400" s="2" t="s">
        <v>18</v>
      </c>
      <c r="E6400" s="5">
        <v>-27970</v>
      </c>
      <c r="F6400" s="3" t="s">
        <v>1030</v>
      </c>
      <c r="G6400" s="3" t="s">
        <v>20</v>
      </c>
      <c r="H6400" s="2" t="s">
        <v>21</v>
      </c>
      <c r="I6400" s="2" t="s">
        <v>12749</v>
      </c>
      <c r="J6400" s="3" t="str">
        <f>HYPERLINK("https://www.boe.es/gazeta/dias/1823/06/02/pdfs/GES-1823-56.pdf#page=4","Abrir facsímil")</f>
        <v>Abrir facsímil</v>
      </c>
      <c r="K6400" s="3" t="s">
        <v>23</v>
      </c>
    </row>
    <row r="6401" spans="1:11" ht="42" customHeight="1">
      <c r="A6401" s="2" t="s">
        <v>12750</v>
      </c>
      <c r="B6401" s="2" t="s">
        <v>12751</v>
      </c>
      <c r="C6401" s="2" t="s">
        <v>17</v>
      </c>
      <c r="D6401" s="2" t="s">
        <v>18</v>
      </c>
      <c r="E6401" s="5">
        <v>-28080</v>
      </c>
      <c r="F6401" s="3" t="s">
        <v>1010</v>
      </c>
      <c r="G6401" s="3" t="s">
        <v>1382</v>
      </c>
      <c r="H6401" s="2" t="s">
        <v>21</v>
      </c>
      <c r="I6401" s="2" t="s">
        <v>12752</v>
      </c>
      <c r="J6401" s="3" t="str">
        <f>HYPERLINK("https://www.boe.es/gazeta/dias/1823/02/12/pdfs/GMD-1823-46.pdf#page=4","Abrir facsímil")</f>
        <v>Abrir facsímil</v>
      </c>
      <c r="K6401" s="3" t="s">
        <v>23</v>
      </c>
    </row>
    <row r="6402" spans="1:11" ht="42" customHeight="1">
      <c r="A6402" s="2" t="s">
        <v>12750</v>
      </c>
      <c r="B6402" s="2" t="s">
        <v>12751</v>
      </c>
      <c r="C6402" s="2" t="s">
        <v>17</v>
      </c>
      <c r="D6402" s="2" t="s">
        <v>18</v>
      </c>
      <c r="E6402" s="5">
        <v>-27883</v>
      </c>
      <c r="F6402" s="3" t="s">
        <v>2838</v>
      </c>
      <c r="G6402" s="3" t="s">
        <v>27</v>
      </c>
      <c r="H6402" s="2" t="s">
        <v>21</v>
      </c>
      <c r="I6402" s="2" t="s">
        <v>12753</v>
      </c>
      <c r="J6402" s="3" t="str">
        <f>HYPERLINK("https://www.boe.es/gazeta/dias/1823/08/28/pdfs/GES-1823-141.pdf#page=2","Abrir facsímil")</f>
        <v>Abrir facsímil</v>
      </c>
      <c r="K6402" s="3" t="s">
        <v>23</v>
      </c>
    </row>
    <row r="6403" spans="1:11" ht="42" customHeight="1">
      <c r="A6403" s="2" t="s">
        <v>12750</v>
      </c>
      <c r="B6403" s="2" t="s">
        <v>12751</v>
      </c>
      <c r="C6403" s="2" t="s">
        <v>17</v>
      </c>
      <c r="D6403" s="2" t="s">
        <v>18</v>
      </c>
      <c r="E6403" s="5">
        <v>-27875</v>
      </c>
      <c r="F6403" s="3" t="s">
        <v>1858</v>
      </c>
      <c r="G6403" s="3" t="s">
        <v>4933</v>
      </c>
      <c r="H6403" s="2" t="s">
        <v>21</v>
      </c>
      <c r="I6403" s="2" t="s">
        <v>12754</v>
      </c>
      <c r="J6403" s="3" t="str">
        <f>HYPERLINK("https://www.boe.es/gazeta/dias/1823/09/05/pdfs/GES-1823-149.pdf#page=3","Abrir facsímil")</f>
        <v>Abrir facsímil</v>
      </c>
      <c r="K6403" s="3" t="s">
        <v>23</v>
      </c>
    </row>
    <row r="6404" spans="1:11" ht="42" customHeight="1">
      <c r="A6404" s="2" t="s">
        <v>12750</v>
      </c>
      <c r="B6404" s="2" t="s">
        <v>12751</v>
      </c>
      <c r="C6404" s="2" t="s">
        <v>17</v>
      </c>
      <c r="D6404" s="2" t="s">
        <v>18</v>
      </c>
      <c r="E6404" s="5">
        <v>-27875</v>
      </c>
      <c r="F6404" s="3" t="s">
        <v>1858</v>
      </c>
      <c r="G6404" s="3" t="s">
        <v>39</v>
      </c>
      <c r="H6404" s="2" t="s">
        <v>21</v>
      </c>
      <c r="I6404" s="2" t="s">
        <v>12755</v>
      </c>
      <c r="J6404" s="3" t="str">
        <f>HYPERLINK("https://www.boe.es/gazeta/dias/1823/09/05/pdfs/GES-1823-149.pdf#page=1","Abrir facsímil")</f>
        <v>Abrir facsímil</v>
      </c>
      <c r="K6404" s="3" t="s">
        <v>23</v>
      </c>
    </row>
    <row r="6405" spans="1:11" ht="42" customHeight="1">
      <c r="A6405" s="2" t="s">
        <v>12750</v>
      </c>
      <c r="B6405" s="2" t="s">
        <v>12751</v>
      </c>
      <c r="C6405" s="2" t="s">
        <v>17</v>
      </c>
      <c r="D6405" s="2" t="s">
        <v>18</v>
      </c>
      <c r="E6405" s="5">
        <v>-27868</v>
      </c>
      <c r="F6405" s="3" t="s">
        <v>2166</v>
      </c>
      <c r="G6405" s="3" t="s">
        <v>39</v>
      </c>
      <c r="H6405" s="2" t="s">
        <v>21</v>
      </c>
      <c r="I6405" s="2" t="s">
        <v>12756</v>
      </c>
      <c r="J6405" s="3" t="str">
        <f>HYPERLINK("https://www.boe.es/gazeta/dias/1823/09/12/pdfs/GES-1823-156.pdf#page=1","Abrir facsímil")</f>
        <v>Abrir facsímil</v>
      </c>
      <c r="K6405" s="3" t="s">
        <v>23</v>
      </c>
    </row>
    <row r="6406" spans="1:11" ht="42" customHeight="1">
      <c r="A6406" s="2" t="s">
        <v>12757</v>
      </c>
      <c r="B6406" s="2" t="s">
        <v>12758</v>
      </c>
      <c r="C6406" s="2" t="s">
        <v>325</v>
      </c>
      <c r="D6406" s="2" t="s">
        <v>74</v>
      </c>
      <c r="E6406" s="5">
        <v>-28008</v>
      </c>
      <c r="F6406" s="3" t="s">
        <v>309</v>
      </c>
      <c r="G6406" s="3" t="s">
        <v>20</v>
      </c>
      <c r="H6406" s="2" t="s">
        <v>21</v>
      </c>
      <c r="I6406" s="2" t="s">
        <v>12759</v>
      </c>
      <c r="J6406" s="3" t="str">
        <f>HYPERLINK("https://www.boe.es/gazeta/dias/1823/04/25/pdfs/GES-1823-15.pdf#page=4","Abrir facsímil")</f>
        <v>Abrir facsímil</v>
      </c>
      <c r="K6406" s="3" t="s">
        <v>23</v>
      </c>
    </row>
    <row r="6407" spans="1:11" ht="42" customHeight="1">
      <c r="A6407" s="2" t="s">
        <v>12760</v>
      </c>
      <c r="B6407" s="2" t="s">
        <v>12760</v>
      </c>
      <c r="C6407" s="2" t="s">
        <v>17</v>
      </c>
      <c r="D6407" s="2" t="s">
        <v>18</v>
      </c>
      <c r="E6407" s="5">
        <v>-28104</v>
      </c>
      <c r="F6407" s="3" t="s">
        <v>114</v>
      </c>
      <c r="G6407" s="3" t="s">
        <v>59</v>
      </c>
      <c r="H6407" s="2" t="s">
        <v>21</v>
      </c>
      <c r="I6407" s="2" t="s">
        <v>12761</v>
      </c>
      <c r="J6407" s="3" t="str">
        <f>HYPERLINK("https://www.boe.es/gazeta/dias/1823/01/19/pdfs/GMD-1823-19.pdf#page=6","Abrir facsímil")</f>
        <v>Abrir facsímil</v>
      </c>
      <c r="K6407" s="3" t="s">
        <v>23</v>
      </c>
    </row>
    <row r="6408" spans="1:11" ht="42" customHeight="1">
      <c r="A6408" s="2" t="s">
        <v>12760</v>
      </c>
      <c r="B6408" s="2" t="s">
        <v>12760</v>
      </c>
      <c r="C6408" s="2" t="s">
        <v>17</v>
      </c>
      <c r="D6408" s="2" t="s">
        <v>18</v>
      </c>
      <c r="E6408" s="5">
        <v>-28033</v>
      </c>
      <c r="F6408" s="3" t="s">
        <v>1372</v>
      </c>
      <c r="G6408" s="3" t="s">
        <v>27</v>
      </c>
      <c r="H6408" s="2" t="s">
        <v>21</v>
      </c>
      <c r="I6408" s="2" t="s">
        <v>12762</v>
      </c>
      <c r="J6408" s="3" t="str">
        <f>HYPERLINK("https://www.boe.es/gazeta/dias/1823/03/31/pdfs/GMD-1823-94.pdf#page=2","Abrir facsímil")</f>
        <v>Abrir facsímil</v>
      </c>
      <c r="K6408" s="3" t="s">
        <v>23</v>
      </c>
    </row>
    <row r="6409" spans="1:11" ht="42" customHeight="1">
      <c r="A6409" s="2" t="s">
        <v>12760</v>
      </c>
      <c r="B6409" s="2" t="s">
        <v>12760</v>
      </c>
      <c r="C6409" s="2" t="s">
        <v>79</v>
      </c>
      <c r="D6409" s="2" t="s">
        <v>74</v>
      </c>
      <c r="E6409" s="5">
        <v>-28022</v>
      </c>
      <c r="F6409" s="3" t="s">
        <v>1661</v>
      </c>
      <c r="G6409" s="3" t="s">
        <v>39</v>
      </c>
      <c r="H6409" s="2" t="s">
        <v>21</v>
      </c>
      <c r="I6409" s="2" t="s">
        <v>12763</v>
      </c>
      <c r="J6409" s="3" t="str">
        <f>HYPERLINK("https://www.boe.es/gazeta/dias/1823/04/11/pdfs/GES-1823-1.pdf#page=1","Abrir facsímil")</f>
        <v>Abrir facsímil</v>
      </c>
      <c r="K6409" s="3" t="s">
        <v>23</v>
      </c>
    </row>
    <row r="6410" spans="1:11" ht="42" customHeight="1">
      <c r="A6410" s="2" t="s">
        <v>12764</v>
      </c>
      <c r="B6410" s="2" t="s">
        <v>12765</v>
      </c>
      <c r="C6410" s="2" t="s">
        <v>17</v>
      </c>
      <c r="D6410" s="2" t="s">
        <v>18</v>
      </c>
      <c r="E6410" s="5">
        <v>-28104</v>
      </c>
      <c r="F6410" s="3" t="s">
        <v>114</v>
      </c>
      <c r="G6410" s="3" t="s">
        <v>59</v>
      </c>
      <c r="H6410" s="2" t="s">
        <v>21</v>
      </c>
      <c r="I6410" s="2" t="s">
        <v>12766</v>
      </c>
      <c r="J6410" s="3" t="str">
        <f>HYPERLINK("https://www.boe.es/gazeta/dias/1823/01/19/pdfs/GMD-1823-19.pdf#page=6","Abrir facsímil")</f>
        <v>Abrir facsímil</v>
      </c>
      <c r="K6410" s="3" t="s">
        <v>23</v>
      </c>
    </row>
    <row r="6411" spans="1:11" ht="42" customHeight="1">
      <c r="A6411" s="2" t="s">
        <v>12764</v>
      </c>
      <c r="B6411" s="2" t="s">
        <v>12765</v>
      </c>
      <c r="C6411" s="2" t="s">
        <v>17</v>
      </c>
      <c r="D6411" s="2" t="s">
        <v>18</v>
      </c>
      <c r="E6411" s="5">
        <v>-28013</v>
      </c>
      <c r="F6411" s="3" t="s">
        <v>2466</v>
      </c>
      <c r="G6411" s="3" t="s">
        <v>27</v>
      </c>
      <c r="H6411" s="2" t="s">
        <v>21</v>
      </c>
      <c r="I6411" s="2" t="s">
        <v>12767</v>
      </c>
      <c r="J6411" s="3" t="str">
        <f>HYPERLINK("https://www.boe.es/gazeta/dias/1823/04/20/pdfs/GES-1823-10.pdf#page=2","Abrir facsímil")</f>
        <v>Abrir facsímil</v>
      </c>
      <c r="K6411" s="3" t="s">
        <v>23</v>
      </c>
    </row>
    <row r="6412" spans="1:11" ht="42" customHeight="1">
      <c r="A6412" s="2" t="s">
        <v>12764</v>
      </c>
      <c r="B6412" s="2" t="s">
        <v>12765</v>
      </c>
      <c r="C6412" s="2" t="s">
        <v>17</v>
      </c>
      <c r="D6412" s="2" t="s">
        <v>18</v>
      </c>
      <c r="E6412" s="5">
        <v>-28002</v>
      </c>
      <c r="F6412" s="3" t="s">
        <v>245</v>
      </c>
      <c r="G6412" s="3" t="s">
        <v>39</v>
      </c>
      <c r="H6412" s="2" t="s">
        <v>21</v>
      </c>
      <c r="I6412" s="2" t="s">
        <v>12768</v>
      </c>
      <c r="J6412" s="3" t="str">
        <f>HYPERLINK("https://www.boe.es/gazeta/dias/1823/05/01/pdfs/GMD-1823-82.pdf#page=1","Abrir facsímil")</f>
        <v>Abrir facsímil</v>
      </c>
      <c r="K6412" s="3" t="s">
        <v>23</v>
      </c>
    </row>
    <row r="6413" spans="1:11" ht="42" customHeight="1">
      <c r="A6413" s="2" t="s">
        <v>12769</v>
      </c>
      <c r="B6413" s="2" t="s">
        <v>12770</v>
      </c>
      <c r="C6413" s="2" t="s">
        <v>17</v>
      </c>
      <c r="D6413" s="2" t="s">
        <v>117</v>
      </c>
      <c r="E6413" s="5">
        <v>-27869</v>
      </c>
      <c r="F6413" s="3" t="s">
        <v>2363</v>
      </c>
      <c r="G6413" s="3" t="s">
        <v>39</v>
      </c>
      <c r="H6413" s="2" t="s">
        <v>21</v>
      </c>
      <c r="I6413" s="2" t="s">
        <v>12771</v>
      </c>
      <c r="J6413" s="3" t="str">
        <f>HYPERLINK("https://www.boe.es/gazeta/dias/1823/09/11/pdfs/GMD-1823-763E.pdf#page=1","Abrir facsímil")</f>
        <v>Abrir facsímil</v>
      </c>
      <c r="K6413" s="3" t="s">
        <v>23</v>
      </c>
    </row>
    <row r="6414" spans="1:11" ht="42" customHeight="1">
      <c r="A6414" s="2" t="s">
        <v>12772</v>
      </c>
      <c r="B6414" s="2" t="s">
        <v>12773</v>
      </c>
      <c r="C6414" s="2" t="s">
        <v>17</v>
      </c>
      <c r="D6414" s="2" t="s">
        <v>18</v>
      </c>
      <c r="E6414" s="5">
        <v>-27970</v>
      </c>
      <c r="F6414" s="3" t="s">
        <v>1030</v>
      </c>
      <c r="G6414" s="3" t="s">
        <v>20</v>
      </c>
      <c r="H6414" s="2" t="s">
        <v>21</v>
      </c>
      <c r="I6414" s="2" t="s">
        <v>12774</v>
      </c>
      <c r="J6414" s="3" t="str">
        <f>HYPERLINK("https://www.boe.es/gazeta/dias/1823/06/02/pdfs/GES-1823-56.pdf#page=4","Abrir facsímil")</f>
        <v>Abrir facsímil</v>
      </c>
      <c r="K6414" s="3" t="s">
        <v>23</v>
      </c>
    </row>
    <row r="6415" spans="1:11" ht="42" customHeight="1">
      <c r="A6415" s="2" t="s">
        <v>12775</v>
      </c>
      <c r="B6415" s="2" t="s">
        <v>12776</v>
      </c>
      <c r="C6415" s="2" t="s">
        <v>17</v>
      </c>
      <c r="D6415" s="2" t="s">
        <v>18</v>
      </c>
      <c r="E6415" s="5">
        <v>-27943</v>
      </c>
      <c r="F6415" s="3" t="s">
        <v>346</v>
      </c>
      <c r="G6415" s="3" t="s">
        <v>20</v>
      </c>
      <c r="H6415" s="2" t="s">
        <v>21</v>
      </c>
      <c r="I6415" s="2" t="s">
        <v>12777</v>
      </c>
      <c r="J6415" s="3" t="str">
        <f>HYPERLINK("https://www.boe.es/gazeta/dias/1823/06/29/pdfs/GES-1823-79.pdf#page=4","Abrir facsímil")</f>
        <v>Abrir facsímil</v>
      </c>
      <c r="K6415" s="3" t="s">
        <v>23</v>
      </c>
    </row>
    <row r="6416" spans="1:11" ht="42" customHeight="1">
      <c r="A6416" s="2" t="s">
        <v>12778</v>
      </c>
      <c r="B6416" s="2" t="s">
        <v>12779</v>
      </c>
      <c r="C6416" s="2" t="s">
        <v>17</v>
      </c>
      <c r="D6416" s="2" t="s">
        <v>18</v>
      </c>
      <c r="E6416" s="5">
        <v>-28029</v>
      </c>
      <c r="F6416" s="3" t="s">
        <v>141</v>
      </c>
      <c r="G6416" s="3" t="s">
        <v>27</v>
      </c>
      <c r="H6416" s="2" t="s">
        <v>21</v>
      </c>
      <c r="I6416" s="2" t="s">
        <v>12780</v>
      </c>
      <c r="J6416" s="3" t="str">
        <f>HYPERLINK("https://www.boe.es/gazeta/dias/1823/04/04/pdfs/GMD-1823-98.pdf#page=2","Abrir facsímil")</f>
        <v>Abrir facsímil</v>
      </c>
      <c r="K6416" s="3" t="s">
        <v>23</v>
      </c>
    </row>
    <row r="6417" spans="1:11" ht="42" customHeight="1">
      <c r="A6417" s="2" t="s">
        <v>12781</v>
      </c>
      <c r="B6417" s="2" t="s">
        <v>12782</v>
      </c>
      <c r="C6417" s="2" t="s">
        <v>17</v>
      </c>
      <c r="D6417" s="2" t="s">
        <v>18</v>
      </c>
      <c r="E6417" s="5">
        <v>-28018</v>
      </c>
      <c r="F6417" s="3" t="s">
        <v>275</v>
      </c>
      <c r="G6417" s="3" t="s">
        <v>27</v>
      </c>
      <c r="H6417" s="2" t="s">
        <v>21</v>
      </c>
      <c r="I6417" s="2" t="s">
        <v>12783</v>
      </c>
      <c r="J6417" s="3" t="str">
        <f>HYPERLINK("https://www.boe.es/gazeta/dias/1823/04/15/pdfs/GMD-1823-12.pdf#page=2","Abrir facsímil")</f>
        <v>Abrir facsímil</v>
      </c>
      <c r="K6417" s="3" t="s">
        <v>23</v>
      </c>
    </row>
    <row r="6418" spans="1:11" ht="42" customHeight="1">
      <c r="A6418" s="2" t="s">
        <v>12784</v>
      </c>
      <c r="B6418" s="2" t="s">
        <v>12785</v>
      </c>
      <c r="C6418" s="2" t="s">
        <v>84</v>
      </c>
      <c r="D6418" s="2" t="s">
        <v>74</v>
      </c>
      <c r="E6418" s="5">
        <v>-27967</v>
      </c>
      <c r="F6418" s="3" t="s">
        <v>412</v>
      </c>
      <c r="G6418" s="3" t="s">
        <v>39</v>
      </c>
      <c r="H6418" s="2" t="s">
        <v>21</v>
      </c>
      <c r="I6418" s="2" t="s">
        <v>12786</v>
      </c>
      <c r="J6418" s="3" t="str">
        <f>HYPERLINK("https://www.boe.es/gazeta/dias/1823/06/05/pdfs/GES-1823-59.pdf#page=1","Abrir facsímil")</f>
        <v>Abrir facsímil</v>
      </c>
      <c r="K6418" s="3" t="s">
        <v>23</v>
      </c>
    </row>
    <row r="6419" spans="1:11" ht="42" customHeight="1">
      <c r="A6419" s="2" t="s">
        <v>12787</v>
      </c>
      <c r="B6419" s="2" t="s">
        <v>12788</v>
      </c>
      <c r="C6419" s="2" t="s">
        <v>17</v>
      </c>
      <c r="D6419" s="2" t="s">
        <v>18</v>
      </c>
      <c r="E6419" s="5">
        <v>-27905</v>
      </c>
      <c r="F6419" s="3" t="s">
        <v>236</v>
      </c>
      <c r="G6419" s="3" t="s">
        <v>237</v>
      </c>
      <c r="H6419" s="2" t="s">
        <v>21</v>
      </c>
      <c r="I6419" s="2" t="s">
        <v>12789</v>
      </c>
      <c r="J6419" s="3" t="str">
        <f>HYPERLINK("https://www.boe.es/gazeta/dias/1823/08/06/pdfs/GES-1823-119.pdf#page=4","Abrir facsímil")</f>
        <v>Abrir facsímil</v>
      </c>
      <c r="K6419" s="3" t="s">
        <v>23</v>
      </c>
    </row>
    <row r="6420" spans="1:11" ht="42" customHeight="1">
      <c r="A6420" s="2" t="s">
        <v>12790</v>
      </c>
      <c r="B6420" s="2" t="s">
        <v>12790</v>
      </c>
      <c r="C6420" s="2" t="s">
        <v>17</v>
      </c>
      <c r="D6420" s="2" t="s">
        <v>18</v>
      </c>
      <c r="E6420" s="5">
        <v>-28040</v>
      </c>
      <c r="F6420" s="3" t="s">
        <v>2971</v>
      </c>
      <c r="G6420" s="3" t="s">
        <v>48</v>
      </c>
      <c r="H6420" s="2" t="s">
        <v>21</v>
      </c>
      <c r="I6420" s="2" t="s">
        <v>12791</v>
      </c>
      <c r="J6420" s="3" t="str">
        <f>HYPERLINK("https://www.boe.es/gazeta/dias/1823/03/24/pdfs/GMD-1823-87.pdf#page=3","Abrir facsímil")</f>
        <v>Abrir facsímil</v>
      </c>
      <c r="K6420" s="3" t="s">
        <v>23</v>
      </c>
    </row>
    <row r="6421" spans="1:11" ht="42" customHeight="1">
      <c r="A6421" s="2" t="s">
        <v>12792</v>
      </c>
      <c r="B6421" s="2" t="s">
        <v>12793</v>
      </c>
      <c r="C6421" s="2" t="s">
        <v>17</v>
      </c>
      <c r="D6421" s="2" t="s">
        <v>18</v>
      </c>
      <c r="E6421" s="5">
        <v>-27853</v>
      </c>
      <c r="F6421" s="3" t="s">
        <v>2626</v>
      </c>
      <c r="G6421" s="3" t="s">
        <v>20</v>
      </c>
      <c r="H6421" s="2" t="s">
        <v>21</v>
      </c>
      <c r="I6421" s="2" t="s">
        <v>12794</v>
      </c>
      <c r="J6421" s="3" t="str">
        <f>HYPERLINK("https://www.boe.es/gazeta/dias/1823/09/27/pdfs/GES-1823-171.pdf#page=4","Abrir facsímil")</f>
        <v>Abrir facsímil</v>
      </c>
      <c r="K6421" s="3" t="s">
        <v>23</v>
      </c>
    </row>
    <row r="6422" spans="1:11" ht="42" customHeight="1">
      <c r="A6422" s="2" t="s">
        <v>12795</v>
      </c>
      <c r="B6422" s="2" t="s">
        <v>12795</v>
      </c>
      <c r="C6422" s="2" t="s">
        <v>17</v>
      </c>
      <c r="D6422" s="2" t="s">
        <v>18</v>
      </c>
      <c r="E6422" s="5">
        <v>-27944</v>
      </c>
      <c r="F6422" s="3" t="s">
        <v>658</v>
      </c>
      <c r="G6422" s="3" t="s">
        <v>39</v>
      </c>
      <c r="H6422" s="2" t="s">
        <v>21</v>
      </c>
      <c r="I6422" s="2" t="s">
        <v>12796</v>
      </c>
      <c r="J6422" s="3" t="str">
        <f>HYPERLINK("https://www.boe.es/gazeta/dias/1823/06/28/pdfs/GMD-1823-303.pdf#page=1","Abrir facsímil")</f>
        <v>Abrir facsímil</v>
      </c>
      <c r="K6422" s="3" t="s">
        <v>23</v>
      </c>
    </row>
    <row r="6423" spans="1:11" ht="42" customHeight="1">
      <c r="A6423" s="2" t="s">
        <v>12797</v>
      </c>
      <c r="B6423" s="2" t="s">
        <v>12797</v>
      </c>
      <c r="C6423" s="2" t="s">
        <v>17</v>
      </c>
      <c r="D6423" s="2" t="s">
        <v>18</v>
      </c>
      <c r="E6423" s="5">
        <v>-27918</v>
      </c>
      <c r="F6423" s="3" t="s">
        <v>218</v>
      </c>
      <c r="G6423" s="3" t="s">
        <v>20</v>
      </c>
      <c r="H6423" s="2" t="s">
        <v>21</v>
      </c>
      <c r="I6423" s="2" t="s">
        <v>12798</v>
      </c>
      <c r="J6423" s="3" t="str">
        <f>HYPERLINK("https://www.boe.es/gazeta/dias/1823/07/24/pdfs/GMD-1823-463.pdf#page=4","Abrir facsímil")</f>
        <v>Abrir facsímil</v>
      </c>
      <c r="K6423" s="3" t="s">
        <v>23</v>
      </c>
    </row>
    <row r="6424" spans="1:11" ht="42" customHeight="1">
      <c r="A6424" s="2" t="s">
        <v>12797</v>
      </c>
      <c r="B6424" s="2" t="s">
        <v>12797</v>
      </c>
      <c r="C6424" s="2" t="s">
        <v>17</v>
      </c>
      <c r="D6424" s="2" t="s">
        <v>18</v>
      </c>
      <c r="E6424" s="5">
        <v>-27906</v>
      </c>
      <c r="F6424" s="3" t="s">
        <v>1527</v>
      </c>
      <c r="G6424" s="3" t="s">
        <v>20</v>
      </c>
      <c r="H6424" s="2" t="s">
        <v>21</v>
      </c>
      <c r="I6424" s="2" t="s">
        <v>12799</v>
      </c>
      <c r="J6424" s="3" t="str">
        <f>HYPERLINK("https://www.boe.es/gazeta/dias/1823/08/05/pdfs/GMD-1823-533.pdf#page=4","Abrir facsímil")</f>
        <v>Abrir facsímil</v>
      </c>
      <c r="K6424" s="3" t="s">
        <v>23</v>
      </c>
    </row>
    <row r="6425" spans="1:11" ht="42" customHeight="1">
      <c r="A6425" s="2" t="s">
        <v>12797</v>
      </c>
      <c r="B6425" s="2" t="s">
        <v>12797</v>
      </c>
      <c r="C6425" s="2" t="s">
        <v>17</v>
      </c>
      <c r="D6425" s="2" t="s">
        <v>18</v>
      </c>
      <c r="E6425" s="5">
        <v>-27878</v>
      </c>
      <c r="F6425" s="3" t="s">
        <v>1581</v>
      </c>
      <c r="G6425" s="3" t="s">
        <v>20</v>
      </c>
      <c r="H6425" s="2" t="s">
        <v>21</v>
      </c>
      <c r="I6425" s="2" t="s">
        <v>12800</v>
      </c>
      <c r="J6425" s="3" t="str">
        <f>HYPERLINK("https://www.boe.es/gazeta/dias/1823/09/02/pdfs/GMD-1823-683.pdf#page=4","Abrir facsímil")</f>
        <v>Abrir facsímil</v>
      </c>
      <c r="K6425" s="3" t="s">
        <v>23</v>
      </c>
    </row>
    <row r="6426" spans="1:11" ht="42" customHeight="1">
      <c r="A6426" s="2" t="s">
        <v>12797</v>
      </c>
      <c r="B6426" s="2" t="s">
        <v>12797</v>
      </c>
      <c r="C6426" s="2" t="s">
        <v>17</v>
      </c>
      <c r="D6426" s="2" t="s">
        <v>18</v>
      </c>
      <c r="E6426" s="5">
        <v>-27860</v>
      </c>
      <c r="F6426" s="3" t="s">
        <v>998</v>
      </c>
      <c r="G6426" s="3" t="s">
        <v>59</v>
      </c>
      <c r="H6426" s="2" t="s">
        <v>21</v>
      </c>
      <c r="I6426" s="2" t="s">
        <v>12801</v>
      </c>
      <c r="J6426" s="3" t="str">
        <f>HYPERLINK("https://www.boe.es/gazeta/dias/1823/09/20/pdfs/GMD-1823-813.pdf#page=6","Abrir facsímil")</f>
        <v>Abrir facsímil</v>
      </c>
      <c r="K6426" s="3" t="s">
        <v>23</v>
      </c>
    </row>
    <row r="6427" spans="1:11" ht="42" customHeight="1">
      <c r="A6427" s="2" t="s">
        <v>12802</v>
      </c>
      <c r="B6427" s="2" t="s">
        <v>12803</v>
      </c>
      <c r="C6427" s="2" t="s">
        <v>17</v>
      </c>
      <c r="D6427" s="2" t="s">
        <v>18</v>
      </c>
      <c r="E6427" s="5">
        <v>-28050</v>
      </c>
      <c r="F6427" s="3" t="s">
        <v>473</v>
      </c>
      <c r="G6427" s="3" t="s">
        <v>59</v>
      </c>
      <c r="H6427" s="2" t="s">
        <v>21</v>
      </c>
      <c r="I6427" s="2" t="s">
        <v>12804</v>
      </c>
      <c r="J6427" s="3" t="str">
        <f>HYPERLINK("https://www.boe.es/gazeta/dias/1823/03/14/pdfs/GMD-1823-77.pdf#page=6","Abrir facsímil")</f>
        <v>Abrir facsímil</v>
      </c>
      <c r="K6427" s="3" t="s">
        <v>23</v>
      </c>
    </row>
    <row r="6428" spans="1:11" ht="42" customHeight="1">
      <c r="A6428" s="2" t="s">
        <v>12805</v>
      </c>
      <c r="B6428" s="2" t="s">
        <v>12806</v>
      </c>
      <c r="C6428" s="2" t="s">
        <v>17</v>
      </c>
      <c r="D6428" s="2" t="s">
        <v>18</v>
      </c>
      <c r="E6428" s="5">
        <v>-28037</v>
      </c>
      <c r="F6428" s="3" t="s">
        <v>192</v>
      </c>
      <c r="G6428" s="3" t="s">
        <v>48</v>
      </c>
      <c r="H6428" s="2" t="s">
        <v>21</v>
      </c>
      <c r="I6428" s="2" t="s">
        <v>12807</v>
      </c>
      <c r="J6428" s="3" t="str">
        <f>HYPERLINK("https://www.boe.es/gazeta/dias/1823/03/27/pdfs/GMD-1823-90.pdf#page=3","Abrir facsímil")</f>
        <v>Abrir facsímil</v>
      </c>
      <c r="K6428" s="3" t="s">
        <v>23</v>
      </c>
    </row>
    <row r="6429" spans="1:11" ht="42" customHeight="1">
      <c r="A6429" s="2" t="s">
        <v>12808</v>
      </c>
      <c r="B6429" s="2" t="s">
        <v>12809</v>
      </c>
      <c r="C6429" s="2" t="s">
        <v>73</v>
      </c>
      <c r="D6429" s="2" t="s">
        <v>74</v>
      </c>
      <c r="E6429" s="5">
        <v>-27911</v>
      </c>
      <c r="F6429" s="3" t="s">
        <v>1393</v>
      </c>
      <c r="G6429" s="3" t="s">
        <v>39</v>
      </c>
      <c r="H6429" s="2" t="s">
        <v>21</v>
      </c>
      <c r="I6429" s="2" t="s">
        <v>12810</v>
      </c>
      <c r="J6429" s="3" t="str">
        <f>HYPERLINK("https://www.boe.es/gazeta/dias/1823/07/31/pdfs/GMD-1823-503.pdf#page=1","Abrir facsímil")</f>
        <v>Abrir facsímil</v>
      </c>
      <c r="K6429" s="3" t="s">
        <v>23</v>
      </c>
    </row>
    <row r="6430" spans="1:11" ht="42" customHeight="1">
      <c r="A6430" s="2" t="s">
        <v>12811</v>
      </c>
      <c r="B6430" s="2" t="s">
        <v>12812</v>
      </c>
      <c r="C6430" s="2" t="s">
        <v>1477</v>
      </c>
      <c r="D6430" s="2" t="s">
        <v>57</v>
      </c>
      <c r="E6430" s="5">
        <v>-28055</v>
      </c>
      <c r="F6430" s="3" t="s">
        <v>313</v>
      </c>
      <c r="G6430" s="3" t="s">
        <v>20</v>
      </c>
      <c r="H6430" s="2" t="s">
        <v>21</v>
      </c>
      <c r="I6430" s="2" t="s">
        <v>12813</v>
      </c>
      <c r="J6430" s="3" t="str">
        <f>HYPERLINK("https://www.boe.es/gazeta/dias/1823/03/09/pdfs/GMD-1823-72.pdf#page=4","Abrir facsímil")</f>
        <v>Abrir facsímil</v>
      </c>
      <c r="K6430" s="3" t="s">
        <v>23</v>
      </c>
    </row>
    <row r="6431" spans="1:11" ht="42" customHeight="1">
      <c r="A6431" s="2" t="s">
        <v>12811</v>
      </c>
      <c r="B6431" s="2" t="s">
        <v>12812</v>
      </c>
      <c r="C6431" s="2" t="s">
        <v>17</v>
      </c>
      <c r="D6431" s="2" t="s">
        <v>18</v>
      </c>
      <c r="E6431" s="5">
        <v>-28044</v>
      </c>
      <c r="F6431" s="3" t="s">
        <v>1930</v>
      </c>
      <c r="G6431" s="3" t="s">
        <v>20</v>
      </c>
      <c r="H6431" s="2" t="s">
        <v>21</v>
      </c>
      <c r="I6431" s="2" t="s">
        <v>12814</v>
      </c>
      <c r="J6431" s="3" t="str">
        <f>HYPERLINK("https://www.boe.es/gazeta/dias/1823/03/20/pdfs/GMD-1823-83.pdf#page=4","Abrir facsímil")</f>
        <v>Abrir facsímil</v>
      </c>
      <c r="K6431" s="3" t="s">
        <v>23</v>
      </c>
    </row>
    <row r="6432" spans="1:11" ht="42" customHeight="1">
      <c r="A6432" s="2" t="s">
        <v>12815</v>
      </c>
      <c r="B6432" s="2" t="s">
        <v>12815</v>
      </c>
      <c r="C6432" s="2" t="s">
        <v>79</v>
      </c>
      <c r="D6432" s="2" t="s">
        <v>74</v>
      </c>
      <c r="E6432" s="5">
        <v>-28062</v>
      </c>
      <c r="F6432" s="3" t="s">
        <v>1357</v>
      </c>
      <c r="G6432" s="3" t="s">
        <v>27</v>
      </c>
      <c r="H6432" s="2" t="s">
        <v>21</v>
      </c>
      <c r="I6432" s="2" t="s">
        <v>12816</v>
      </c>
      <c r="J6432" s="3" t="str">
        <f>HYPERLINK("https://www.boe.es/gazeta/dias/1823/03/02/pdfs/GMD-1823-65.pdf#page=2","Abrir facsímil")</f>
        <v>Abrir facsímil</v>
      </c>
      <c r="K6432" s="3" t="s">
        <v>23</v>
      </c>
    </row>
    <row r="6433" spans="1:11" ht="42" customHeight="1">
      <c r="A6433" s="2" t="s">
        <v>12817</v>
      </c>
      <c r="B6433" s="2" t="s">
        <v>12818</v>
      </c>
      <c r="C6433" s="2" t="s">
        <v>17</v>
      </c>
      <c r="D6433" s="2" t="s">
        <v>18</v>
      </c>
      <c r="E6433" s="5">
        <v>-27998</v>
      </c>
      <c r="F6433" s="3" t="s">
        <v>1058</v>
      </c>
      <c r="G6433" s="3" t="s">
        <v>48</v>
      </c>
      <c r="H6433" s="2" t="s">
        <v>21</v>
      </c>
      <c r="I6433" s="2" t="s">
        <v>12819</v>
      </c>
      <c r="J6433" s="3" t="str">
        <f>HYPERLINK("https://www.boe.es/gazeta/dias/1823/05/05/pdfs/GES-1823-25.pdf#page=3","Abrir facsímil")</f>
        <v>Abrir facsímil</v>
      </c>
      <c r="K6433" s="3" t="s">
        <v>23</v>
      </c>
    </row>
    <row r="6434" spans="1:11" ht="42" customHeight="1">
      <c r="A6434" s="2" t="s">
        <v>12820</v>
      </c>
      <c r="B6434" s="2" t="s">
        <v>12820</v>
      </c>
      <c r="C6434" s="2" t="s">
        <v>79</v>
      </c>
      <c r="D6434" s="2" t="s">
        <v>74</v>
      </c>
      <c r="E6434" s="5">
        <v>-27887</v>
      </c>
      <c r="F6434" s="3" t="s">
        <v>1196</v>
      </c>
      <c r="G6434" s="3" t="s">
        <v>48</v>
      </c>
      <c r="H6434" s="2" t="s">
        <v>21</v>
      </c>
      <c r="I6434" s="2" t="s">
        <v>12821</v>
      </c>
      <c r="J6434" s="3" t="str">
        <f>HYPERLINK("https://www.boe.es/gazeta/dias/1823/08/24/pdfs/GES-1823-137.pdf#page=3","Abrir facsímil")</f>
        <v>Abrir facsímil</v>
      </c>
      <c r="K6434" s="3" t="s">
        <v>23</v>
      </c>
    </row>
    <row r="6435" spans="1:11" ht="42" customHeight="1">
      <c r="A6435" s="2" t="s">
        <v>12822</v>
      </c>
      <c r="B6435" s="2" t="s">
        <v>12823</v>
      </c>
      <c r="C6435" s="2" t="s">
        <v>17</v>
      </c>
      <c r="D6435" s="2" t="s">
        <v>18</v>
      </c>
      <c r="E6435" s="5">
        <v>-27909</v>
      </c>
      <c r="F6435" s="3" t="s">
        <v>1525</v>
      </c>
      <c r="G6435" s="3" t="s">
        <v>20</v>
      </c>
      <c r="H6435" s="2" t="s">
        <v>21</v>
      </c>
      <c r="I6435" s="2" t="s">
        <v>12824</v>
      </c>
      <c r="J6435" s="3" t="str">
        <f>HYPERLINK("https://www.boe.es/gazeta/dias/1823/08/02/pdfs/GMD-1823-513.pdf#page=4","Abrir facsímil")</f>
        <v>Abrir facsímil</v>
      </c>
      <c r="K6435" s="3" t="s">
        <v>23</v>
      </c>
    </row>
    <row r="6436" spans="1:11" ht="42" customHeight="1">
      <c r="A6436" s="2" t="s">
        <v>12825</v>
      </c>
      <c r="B6436" s="2" t="s">
        <v>12825</v>
      </c>
      <c r="C6436" s="2" t="s">
        <v>17</v>
      </c>
      <c r="D6436" s="2" t="s">
        <v>18</v>
      </c>
      <c r="E6436" s="5">
        <v>-28048</v>
      </c>
      <c r="F6436" s="3" t="s">
        <v>399</v>
      </c>
      <c r="G6436" s="3" t="s">
        <v>39</v>
      </c>
      <c r="H6436" s="2" t="s">
        <v>21</v>
      </c>
      <c r="I6436" s="2" t="s">
        <v>12826</v>
      </c>
      <c r="J6436" s="3" t="str">
        <f>HYPERLINK("https://www.boe.es/gazeta/dias/1823/03/16/pdfs/GMD-1823-79.pdf#page=1","Abrir facsímil")</f>
        <v>Abrir facsímil</v>
      </c>
      <c r="K6436" s="3" t="s">
        <v>23</v>
      </c>
    </row>
    <row r="6437" spans="1:11" ht="42" customHeight="1">
      <c r="A6437" s="2" t="s">
        <v>12827</v>
      </c>
      <c r="B6437" s="2" t="s">
        <v>12828</v>
      </c>
      <c r="C6437" s="2" t="s">
        <v>293</v>
      </c>
      <c r="D6437" s="2" t="s">
        <v>74</v>
      </c>
      <c r="E6437" s="5">
        <v>-28057</v>
      </c>
      <c r="F6437" s="3" t="s">
        <v>301</v>
      </c>
      <c r="G6437" s="3" t="s">
        <v>27</v>
      </c>
      <c r="H6437" s="2" t="s">
        <v>21</v>
      </c>
      <c r="I6437" s="2" t="s">
        <v>12829</v>
      </c>
      <c r="J6437" s="3" t="str">
        <f>HYPERLINK("https://www.boe.es/gazeta/dias/1823/03/07/pdfs/GMD-1823-70.pdf#page=2","Abrir facsímil")</f>
        <v>Abrir facsímil</v>
      </c>
      <c r="K6437" s="3" t="s">
        <v>23</v>
      </c>
    </row>
    <row r="6438" spans="1:11" ht="42" customHeight="1">
      <c r="A6438" s="2" t="s">
        <v>12830</v>
      </c>
      <c r="B6438" s="2" t="s">
        <v>12831</v>
      </c>
      <c r="C6438" s="2" t="s">
        <v>17</v>
      </c>
      <c r="D6438" s="2" t="s">
        <v>18</v>
      </c>
      <c r="E6438" s="5">
        <v>-28069</v>
      </c>
      <c r="F6438" s="3" t="s">
        <v>2006</v>
      </c>
      <c r="G6438" s="3" t="s">
        <v>20</v>
      </c>
      <c r="H6438" s="2" t="s">
        <v>21</v>
      </c>
      <c r="I6438" s="2" t="s">
        <v>12832</v>
      </c>
      <c r="J6438" s="3" t="str">
        <f>HYPERLINK("https://www.boe.es/gazeta/dias/1823/02/23/pdfs/GMD-1823-57.pdf#page=4","Abrir facsímil")</f>
        <v>Abrir facsímil</v>
      </c>
      <c r="K6438" s="3" t="s">
        <v>23</v>
      </c>
    </row>
    <row r="6439" spans="1:11" ht="42" customHeight="1">
      <c r="A6439" s="2" t="s">
        <v>12833</v>
      </c>
      <c r="B6439" s="2" t="s">
        <v>12833</v>
      </c>
      <c r="C6439" s="2" t="s">
        <v>17</v>
      </c>
      <c r="D6439" s="2" t="s">
        <v>18</v>
      </c>
      <c r="E6439" s="5">
        <v>-27892</v>
      </c>
      <c r="F6439" s="3" t="s">
        <v>1571</v>
      </c>
      <c r="G6439" s="3" t="s">
        <v>48</v>
      </c>
      <c r="H6439" s="2" t="s">
        <v>21</v>
      </c>
      <c r="I6439" s="2" t="s">
        <v>12834</v>
      </c>
      <c r="J6439" s="3" t="str">
        <f>HYPERLINK("https://www.boe.es/gazeta/dias/1823/08/19/pdfs/GMD-1823-613.pdf#page=3","Abrir facsímil")</f>
        <v>Abrir facsímil</v>
      </c>
      <c r="K6439" s="3" t="s">
        <v>23</v>
      </c>
    </row>
    <row r="6440" spans="1:11" ht="42" customHeight="1">
      <c r="A6440" s="2" t="s">
        <v>12835</v>
      </c>
      <c r="B6440" s="2" t="s">
        <v>12836</v>
      </c>
      <c r="C6440" s="2" t="s">
        <v>73</v>
      </c>
      <c r="D6440" s="2" t="s">
        <v>74</v>
      </c>
      <c r="E6440" s="5">
        <v>-28115</v>
      </c>
      <c r="F6440" s="3" t="s">
        <v>579</v>
      </c>
      <c r="G6440" s="3" t="s">
        <v>1458</v>
      </c>
      <c r="H6440" s="2" t="s">
        <v>21</v>
      </c>
      <c r="I6440" s="2" t="s">
        <v>12837</v>
      </c>
      <c r="J6440" s="3" t="str">
        <f>HYPERLINK("https://www.boe.es/gazeta/dias/1823/01/08/pdfs/GMD-1823-8.pdf#page=4","Abrir facsímil")</f>
        <v>Abrir facsímil</v>
      </c>
      <c r="K6440" s="3" t="s">
        <v>23</v>
      </c>
    </row>
    <row r="6441" spans="1:11" ht="42" customHeight="1">
      <c r="A6441" s="2" t="s">
        <v>12838</v>
      </c>
      <c r="B6441" s="2" t="s">
        <v>12839</v>
      </c>
      <c r="C6441" s="2" t="s">
        <v>73</v>
      </c>
      <c r="D6441" s="2" t="s">
        <v>74</v>
      </c>
      <c r="E6441" s="5">
        <v>-28064</v>
      </c>
      <c r="F6441" s="3" t="s">
        <v>1190</v>
      </c>
      <c r="G6441" s="3" t="s">
        <v>20</v>
      </c>
      <c r="H6441" s="2" t="s">
        <v>21</v>
      </c>
      <c r="I6441" s="2" t="s">
        <v>12840</v>
      </c>
      <c r="J6441" s="3" t="str">
        <f>HYPERLINK("https://www.boe.es/gazeta/dias/1823/02/28/pdfs/GMD-1823-62.pdf#page=4","Abrir facsímil")</f>
        <v>Abrir facsímil</v>
      </c>
      <c r="K6441" s="3" t="s">
        <v>23</v>
      </c>
    </row>
    <row r="6442" spans="1:11" ht="42" customHeight="1">
      <c r="A6442" s="2" t="s">
        <v>12841</v>
      </c>
      <c r="B6442" s="2" t="s">
        <v>12842</v>
      </c>
      <c r="C6442" s="2" t="s">
        <v>17</v>
      </c>
      <c r="D6442" s="2" t="s">
        <v>18</v>
      </c>
      <c r="E6442" s="5">
        <v>-28044</v>
      </c>
      <c r="F6442" s="3" t="s">
        <v>1930</v>
      </c>
      <c r="G6442" s="3" t="s">
        <v>27</v>
      </c>
      <c r="H6442" s="2" t="s">
        <v>21</v>
      </c>
      <c r="I6442" s="2" t="s">
        <v>12843</v>
      </c>
      <c r="J6442" s="3" t="str">
        <f>HYPERLINK("https://www.boe.es/gazeta/dias/1823/03/20/pdfs/GMD-1823-83.pdf#page=2","Abrir facsímil")</f>
        <v>Abrir facsímil</v>
      </c>
      <c r="K6442" s="3" t="s">
        <v>23</v>
      </c>
    </row>
    <row r="6443" spans="1:11" ht="42" customHeight="1">
      <c r="A6443" s="2" t="s">
        <v>12844</v>
      </c>
      <c r="B6443" s="2" t="s">
        <v>12844</v>
      </c>
      <c r="C6443" s="2" t="s">
        <v>84</v>
      </c>
      <c r="D6443" s="2" t="s">
        <v>74</v>
      </c>
      <c r="E6443" s="5">
        <v>-27874</v>
      </c>
      <c r="F6443" s="3" t="s">
        <v>1410</v>
      </c>
      <c r="G6443" s="3" t="s">
        <v>39</v>
      </c>
      <c r="H6443" s="2" t="s">
        <v>21</v>
      </c>
      <c r="I6443" s="2" t="s">
        <v>12845</v>
      </c>
      <c r="J6443" s="3" t="str">
        <f>HYPERLINK("https://www.boe.es/gazeta/dias/1823/09/06/pdfs/GES-1823-150.pdf#page=1","Abrir facsímil")</f>
        <v>Abrir facsímil</v>
      </c>
      <c r="K6443" s="3" t="s">
        <v>23</v>
      </c>
    </row>
    <row r="6444" spans="1:11" ht="42" customHeight="1">
      <c r="A6444" s="2" t="s">
        <v>12846</v>
      </c>
      <c r="B6444" s="2" t="s">
        <v>12847</v>
      </c>
      <c r="C6444" s="2" t="s">
        <v>325</v>
      </c>
      <c r="D6444" s="2" t="s">
        <v>74</v>
      </c>
      <c r="E6444" s="5">
        <v>-27867</v>
      </c>
      <c r="F6444" s="3" t="s">
        <v>1585</v>
      </c>
      <c r="G6444" s="3" t="s">
        <v>20</v>
      </c>
      <c r="H6444" s="2" t="s">
        <v>21</v>
      </c>
      <c r="I6444" s="2" t="s">
        <v>12848</v>
      </c>
      <c r="J6444" s="3" t="str">
        <f>HYPERLINK("https://www.boe.es/gazeta/dias/1823/09/13/pdfs/GMD-1823-773.pdf#page=4","Abrir facsímil")</f>
        <v>Abrir facsímil</v>
      </c>
      <c r="K6444" s="3" t="s">
        <v>23</v>
      </c>
    </row>
    <row r="6445" spans="1:11" ht="42" customHeight="1">
      <c r="A6445" s="2" t="s">
        <v>12849</v>
      </c>
      <c r="B6445" s="2" t="s">
        <v>12850</v>
      </c>
      <c r="C6445" s="2" t="s">
        <v>56</v>
      </c>
      <c r="D6445" s="2" t="s">
        <v>57</v>
      </c>
      <c r="E6445" s="5">
        <v>-28042</v>
      </c>
      <c r="F6445" s="3" t="s">
        <v>1218</v>
      </c>
      <c r="G6445" s="3" t="s">
        <v>20</v>
      </c>
      <c r="H6445" s="2" t="s">
        <v>21</v>
      </c>
      <c r="I6445" s="2" t="s">
        <v>12851</v>
      </c>
      <c r="J6445" s="3" t="str">
        <f>HYPERLINK("https://www.boe.es/gazeta/dias/1823/03/22/pdfs/GMD-1823-85.pdf#page=4","Abrir facsímil")</f>
        <v>Abrir facsímil</v>
      </c>
      <c r="K6445" s="3" t="s">
        <v>23</v>
      </c>
    </row>
    <row r="6446" spans="1:11" ht="42" customHeight="1">
      <c r="A6446" s="2" t="s">
        <v>12852</v>
      </c>
      <c r="B6446" s="2" t="s">
        <v>12852</v>
      </c>
      <c r="C6446" s="2" t="s">
        <v>325</v>
      </c>
      <c r="D6446" s="2" t="s">
        <v>74</v>
      </c>
      <c r="E6446" s="5">
        <v>-28082</v>
      </c>
      <c r="F6446" s="3" t="s">
        <v>468</v>
      </c>
      <c r="G6446" s="3" t="s">
        <v>59</v>
      </c>
      <c r="H6446" s="2" t="s">
        <v>21</v>
      </c>
      <c r="I6446" s="2" t="s">
        <v>12853</v>
      </c>
      <c r="J6446" s="3" t="str">
        <f>HYPERLINK("https://www.boe.es/gazeta/dias/1823/02/10/pdfs/GMD-1823-44.pdf#page=6","Abrir facsímil")</f>
        <v>Abrir facsímil</v>
      </c>
      <c r="K6446" s="3" t="s">
        <v>23</v>
      </c>
    </row>
    <row r="6447" spans="1:11" ht="42" customHeight="1">
      <c r="A6447" s="2" t="s">
        <v>12852</v>
      </c>
      <c r="B6447" s="2" t="s">
        <v>12852</v>
      </c>
      <c r="C6447" s="2" t="s">
        <v>17</v>
      </c>
      <c r="D6447" s="2" t="s">
        <v>18</v>
      </c>
      <c r="E6447" s="5">
        <v>-28068</v>
      </c>
      <c r="F6447" s="3" t="s">
        <v>1325</v>
      </c>
      <c r="G6447" s="3" t="s">
        <v>20</v>
      </c>
      <c r="H6447" s="2" t="s">
        <v>21</v>
      </c>
      <c r="I6447" s="2" t="s">
        <v>12854</v>
      </c>
      <c r="J6447" s="3" t="str">
        <f>HYPERLINK("https://www.boe.es/gazeta/dias/1823/02/24/pdfs/GMD-1823-58.pdf#page=4","Abrir facsímil")</f>
        <v>Abrir facsímil</v>
      </c>
      <c r="K6447" s="3" t="s">
        <v>23</v>
      </c>
    </row>
    <row r="6448" spans="1:11" ht="42" customHeight="1">
      <c r="A6448" s="2" t="s">
        <v>12852</v>
      </c>
      <c r="B6448" s="2" t="s">
        <v>12852</v>
      </c>
      <c r="C6448" s="2" t="s">
        <v>17</v>
      </c>
      <c r="D6448" s="2" t="s">
        <v>18</v>
      </c>
      <c r="E6448" s="5">
        <v>-28066</v>
      </c>
      <c r="F6448" s="3" t="s">
        <v>19</v>
      </c>
      <c r="G6448" s="3" t="s">
        <v>20</v>
      </c>
      <c r="H6448" s="2" t="s">
        <v>21</v>
      </c>
      <c r="I6448" s="2" t="s">
        <v>12855</v>
      </c>
      <c r="J6448" s="3" t="str">
        <f>HYPERLINK("https://www.boe.es/gazeta/dias/1823/02/26/pdfs/GMD-1823-60.pdf#page=4","Abrir facsímil")</f>
        <v>Abrir facsímil</v>
      </c>
      <c r="K6448" s="3" t="s">
        <v>23</v>
      </c>
    </row>
    <row r="6449" spans="1:11" ht="42" customHeight="1">
      <c r="A6449" s="2" t="s">
        <v>12852</v>
      </c>
      <c r="B6449" s="2" t="s">
        <v>12852</v>
      </c>
      <c r="C6449" s="2" t="s">
        <v>17</v>
      </c>
      <c r="D6449" s="2" t="s">
        <v>18</v>
      </c>
      <c r="E6449" s="5">
        <v>-28024</v>
      </c>
      <c r="F6449" s="3" t="s">
        <v>1659</v>
      </c>
      <c r="G6449" s="3" t="s">
        <v>27</v>
      </c>
      <c r="H6449" s="2" t="s">
        <v>21</v>
      </c>
      <c r="I6449" s="2" t="s">
        <v>12856</v>
      </c>
      <c r="J6449" s="3" t="str">
        <f>HYPERLINK("https://www.boe.es/gazeta/dias/1823/04/09/pdfs/GMD-1823-104.pdf#page=2","Abrir facsímil")</f>
        <v>Abrir facsímil</v>
      </c>
      <c r="K6449" s="3" t="s">
        <v>23</v>
      </c>
    </row>
    <row r="6450" spans="1:11" ht="42" customHeight="1">
      <c r="A6450" s="2" t="s">
        <v>12852</v>
      </c>
      <c r="B6450" s="2" t="s">
        <v>12852</v>
      </c>
      <c r="C6450" s="2" t="s">
        <v>17</v>
      </c>
      <c r="D6450" s="2" t="s">
        <v>18</v>
      </c>
      <c r="E6450" s="5">
        <v>-27991</v>
      </c>
      <c r="F6450" s="3" t="s">
        <v>328</v>
      </c>
      <c r="G6450" s="3" t="s">
        <v>27</v>
      </c>
      <c r="H6450" s="2" t="s">
        <v>21</v>
      </c>
      <c r="I6450" s="2" t="s">
        <v>12857</v>
      </c>
      <c r="J6450" s="3" t="str">
        <f>HYPERLINK("https://www.boe.es/gazeta/dias/1823/05/12/pdfs/GES-1823-32.pdf#page=2","Abrir facsímil")</f>
        <v>Abrir facsímil</v>
      </c>
      <c r="K6450" s="3" t="s">
        <v>23</v>
      </c>
    </row>
    <row r="6451" spans="1:11" ht="42" customHeight="1">
      <c r="A6451" s="2" t="s">
        <v>12852</v>
      </c>
      <c r="B6451" s="2" t="s">
        <v>12852</v>
      </c>
      <c r="C6451" s="2" t="s">
        <v>17</v>
      </c>
      <c r="D6451" s="2" t="s">
        <v>18</v>
      </c>
      <c r="E6451" s="5">
        <v>-27989</v>
      </c>
      <c r="F6451" s="3" t="s">
        <v>1134</v>
      </c>
      <c r="G6451" s="3" t="s">
        <v>39</v>
      </c>
      <c r="H6451" s="2" t="s">
        <v>21</v>
      </c>
      <c r="I6451" s="2" t="s">
        <v>12858</v>
      </c>
      <c r="J6451" s="3" t="str">
        <f>HYPERLINK("https://www.boe.es/gazeta/dias/1823/05/14/pdfs/GES-1823-34.pdf#page=1","Abrir facsímil")</f>
        <v>Abrir facsímil</v>
      </c>
      <c r="K6451" s="3" t="s">
        <v>23</v>
      </c>
    </row>
    <row r="6452" spans="1:11" ht="42" customHeight="1">
      <c r="A6452" s="2" t="s">
        <v>12852</v>
      </c>
      <c r="B6452" s="2" t="s">
        <v>12852</v>
      </c>
      <c r="C6452" s="2" t="s">
        <v>56</v>
      </c>
      <c r="D6452" s="2" t="s">
        <v>57</v>
      </c>
      <c r="E6452" s="5">
        <v>-27987</v>
      </c>
      <c r="F6452" s="3" t="s">
        <v>332</v>
      </c>
      <c r="G6452" s="3" t="s">
        <v>39</v>
      </c>
      <c r="H6452" s="2" t="s">
        <v>21</v>
      </c>
      <c r="I6452" s="2" t="s">
        <v>12859</v>
      </c>
      <c r="J6452" s="3" t="str">
        <f>HYPERLINK("https://www.boe.es/gazeta/dias/1823/05/16/pdfs/GES-1823-36.pdf#page=1","Abrir facsímil")</f>
        <v>Abrir facsímil</v>
      </c>
      <c r="K6452" s="3" t="s">
        <v>23</v>
      </c>
    </row>
    <row r="6453" spans="1:11" ht="42" customHeight="1">
      <c r="A6453" s="2" t="s">
        <v>12852</v>
      </c>
      <c r="B6453" s="2" t="s">
        <v>12852</v>
      </c>
      <c r="C6453" s="2" t="s">
        <v>17</v>
      </c>
      <c r="D6453" s="2" t="s">
        <v>18</v>
      </c>
      <c r="E6453" s="5">
        <v>-27981</v>
      </c>
      <c r="F6453" s="3" t="s">
        <v>1521</v>
      </c>
      <c r="G6453" s="3" t="s">
        <v>20</v>
      </c>
      <c r="H6453" s="2" t="s">
        <v>21</v>
      </c>
      <c r="I6453" s="2" t="s">
        <v>12860</v>
      </c>
      <c r="J6453" s="3" t="str">
        <f>HYPERLINK("https://www.boe.es/gazeta/dias/1823/05/22/pdfs/GES-1823-43.pdf#page=4","Abrir facsímil")</f>
        <v>Abrir facsímil</v>
      </c>
      <c r="K6453" s="3" t="s">
        <v>23</v>
      </c>
    </row>
    <row r="6454" spans="1:11" ht="42" customHeight="1">
      <c r="A6454" s="2" t="s">
        <v>12852</v>
      </c>
      <c r="B6454" s="2" t="s">
        <v>12852</v>
      </c>
      <c r="C6454" s="2" t="s">
        <v>17</v>
      </c>
      <c r="D6454" s="2" t="s">
        <v>18</v>
      </c>
      <c r="E6454" s="5">
        <v>-27979</v>
      </c>
      <c r="F6454" s="3" t="s">
        <v>1071</v>
      </c>
      <c r="G6454" s="3" t="s">
        <v>34</v>
      </c>
      <c r="H6454" s="2" t="s">
        <v>21</v>
      </c>
      <c r="I6454" s="2" t="s">
        <v>12861</v>
      </c>
      <c r="J6454" s="3" t="str">
        <f>HYPERLINK("https://www.boe.es/gazeta/dias/1823/05/24/pdfs/GES-1823-45.pdf#page=5","Abrir facsímil")</f>
        <v>Abrir facsímil</v>
      </c>
      <c r="K6454" s="3" t="s">
        <v>23</v>
      </c>
    </row>
    <row r="6455" spans="1:11" ht="42" customHeight="1">
      <c r="A6455" s="2" t="s">
        <v>12852</v>
      </c>
      <c r="B6455" s="2" t="s">
        <v>12852</v>
      </c>
      <c r="C6455" s="2" t="s">
        <v>17</v>
      </c>
      <c r="D6455" s="2" t="s">
        <v>18</v>
      </c>
      <c r="E6455" s="5">
        <v>-27972</v>
      </c>
      <c r="F6455" s="3" t="s">
        <v>429</v>
      </c>
      <c r="G6455" s="3" t="s">
        <v>39</v>
      </c>
      <c r="H6455" s="2" t="s">
        <v>21</v>
      </c>
      <c r="I6455" s="2" t="s">
        <v>12862</v>
      </c>
      <c r="J6455" s="3" t="str">
        <f>HYPERLINK("https://www.boe.es/gazeta/dias/1823/05/31/pdfs/GES-1823-54.pdf#page=1","Abrir facsímil")</f>
        <v>Abrir facsímil</v>
      </c>
      <c r="K6455" s="3" t="s">
        <v>23</v>
      </c>
    </row>
    <row r="6456" spans="1:11" ht="42" customHeight="1">
      <c r="A6456" s="2" t="s">
        <v>12852</v>
      </c>
      <c r="B6456" s="2" t="s">
        <v>12852</v>
      </c>
      <c r="C6456" s="2" t="s">
        <v>17</v>
      </c>
      <c r="D6456" s="2" t="s">
        <v>18</v>
      </c>
      <c r="E6456" s="5">
        <v>-27955</v>
      </c>
      <c r="F6456" s="3" t="s">
        <v>3015</v>
      </c>
      <c r="G6456" s="3" t="s">
        <v>48</v>
      </c>
      <c r="H6456" s="2" t="s">
        <v>21</v>
      </c>
      <c r="I6456" s="2" t="s">
        <v>12863</v>
      </c>
      <c r="J6456" s="3" t="str">
        <f>HYPERLINK("https://www.boe.es/gazeta/dias/1823/06/17/pdfs/GMD-1823-183.pdf#page=3","Abrir facsímil")</f>
        <v>Abrir facsímil</v>
      </c>
      <c r="K6456" s="3" t="s">
        <v>23</v>
      </c>
    </row>
    <row r="6457" spans="1:11" ht="42" customHeight="1">
      <c r="A6457" s="2" t="s">
        <v>12852</v>
      </c>
      <c r="B6457" s="2" t="s">
        <v>12852</v>
      </c>
      <c r="C6457" s="2" t="s">
        <v>79</v>
      </c>
      <c r="D6457" s="2" t="s">
        <v>74</v>
      </c>
      <c r="E6457" s="5">
        <v>-27943</v>
      </c>
      <c r="F6457" s="3" t="s">
        <v>346</v>
      </c>
      <c r="G6457" s="3" t="s">
        <v>20</v>
      </c>
      <c r="H6457" s="2" t="s">
        <v>21</v>
      </c>
      <c r="I6457" s="2" t="s">
        <v>12864</v>
      </c>
      <c r="J6457" s="3" t="str">
        <f>HYPERLINK("https://www.boe.es/gazeta/dias/1823/06/29/pdfs/GES-1823-79.pdf#page=4","Abrir facsímil")</f>
        <v>Abrir facsímil</v>
      </c>
      <c r="K6457" s="3" t="s">
        <v>23</v>
      </c>
    </row>
    <row r="6458" spans="1:11" ht="42" customHeight="1">
      <c r="A6458" s="2" t="s">
        <v>12852</v>
      </c>
      <c r="B6458" s="2" t="s">
        <v>12852</v>
      </c>
      <c r="C6458" s="2" t="s">
        <v>17</v>
      </c>
      <c r="D6458" s="2" t="s">
        <v>18</v>
      </c>
      <c r="E6458" s="5">
        <v>-27939</v>
      </c>
      <c r="F6458" s="3" t="s">
        <v>1403</v>
      </c>
      <c r="G6458" s="3" t="s">
        <v>1553</v>
      </c>
      <c r="H6458" s="2" t="s">
        <v>21</v>
      </c>
      <c r="I6458" s="2" t="s">
        <v>12865</v>
      </c>
      <c r="J6458" s="3" t="str">
        <f>HYPERLINK("https://www.boe.es/gazeta/dias/1823/07/03/pdfs/GMD-1823-333.pdf#page=7","Abrir facsímil")</f>
        <v>Abrir facsímil</v>
      </c>
      <c r="K6458" s="3" t="s">
        <v>23</v>
      </c>
    </row>
    <row r="6459" spans="1:11" ht="42" customHeight="1">
      <c r="A6459" s="2" t="s">
        <v>12852</v>
      </c>
      <c r="B6459" s="2" t="s">
        <v>12852</v>
      </c>
      <c r="C6459" s="2" t="s">
        <v>17</v>
      </c>
      <c r="D6459" s="2" t="s">
        <v>18</v>
      </c>
      <c r="E6459" s="5">
        <v>-27925</v>
      </c>
      <c r="F6459" s="3" t="s">
        <v>1744</v>
      </c>
      <c r="G6459" s="3" t="s">
        <v>20</v>
      </c>
      <c r="H6459" s="2" t="s">
        <v>21</v>
      </c>
      <c r="I6459" s="2" t="s">
        <v>12866</v>
      </c>
      <c r="J6459" s="3" t="str">
        <f>HYPERLINK("https://www.boe.es/gazeta/dias/1823/07/17/pdfs/GMD-1823-413.pdf#page=4","Abrir facsímil")</f>
        <v>Abrir facsímil</v>
      </c>
      <c r="K6459" s="3" t="s">
        <v>23</v>
      </c>
    </row>
    <row r="6460" spans="1:11" ht="42" customHeight="1">
      <c r="A6460" s="2" t="s">
        <v>12852</v>
      </c>
      <c r="B6460" s="2" t="s">
        <v>12852</v>
      </c>
      <c r="C6460" s="2" t="s">
        <v>79</v>
      </c>
      <c r="D6460" s="2" t="s">
        <v>74</v>
      </c>
      <c r="E6460" s="5">
        <v>-27899</v>
      </c>
      <c r="F6460" s="3" t="s">
        <v>2172</v>
      </c>
      <c r="G6460" s="3" t="s">
        <v>20</v>
      </c>
      <c r="H6460" s="2" t="s">
        <v>21</v>
      </c>
      <c r="I6460" s="2" t="s">
        <v>12867</v>
      </c>
      <c r="J6460" s="3" t="str">
        <f>HYPERLINK("https://www.boe.es/gazeta/dias/1823/08/12/pdfs/GES-1823-125.pdf#page=4","Abrir facsímil")</f>
        <v>Abrir facsímil</v>
      </c>
      <c r="K6460" s="3" t="s">
        <v>23</v>
      </c>
    </row>
    <row r="6461" spans="1:11" ht="42" customHeight="1">
      <c r="A6461" s="2" t="s">
        <v>12852</v>
      </c>
      <c r="B6461" s="2" t="s">
        <v>12852</v>
      </c>
      <c r="C6461" s="2" t="s">
        <v>56</v>
      </c>
      <c r="D6461" s="2" t="s">
        <v>57</v>
      </c>
      <c r="E6461" s="5">
        <v>-27888</v>
      </c>
      <c r="F6461" s="3" t="s">
        <v>232</v>
      </c>
      <c r="G6461" s="3" t="s">
        <v>27</v>
      </c>
      <c r="H6461" s="2" t="s">
        <v>21</v>
      </c>
      <c r="I6461" s="2" t="s">
        <v>12868</v>
      </c>
      <c r="J6461" s="3" t="str">
        <f>HYPERLINK("https://www.boe.es/gazeta/dias/1823/08/23/pdfs/GMD-1823-633.pdf#page=2","Abrir facsímil")</f>
        <v>Abrir facsímil</v>
      </c>
      <c r="K6461" s="3" t="s">
        <v>23</v>
      </c>
    </row>
    <row r="6462" spans="1:11" ht="42" customHeight="1">
      <c r="A6462" s="2" t="s">
        <v>12852</v>
      </c>
      <c r="B6462" s="2" t="s">
        <v>12852</v>
      </c>
      <c r="C6462" s="2" t="s">
        <v>73</v>
      </c>
      <c r="D6462" s="2" t="s">
        <v>74</v>
      </c>
      <c r="E6462" s="5">
        <v>-27887</v>
      </c>
      <c r="F6462" s="3" t="s">
        <v>1196</v>
      </c>
      <c r="G6462" s="3" t="s">
        <v>48</v>
      </c>
      <c r="H6462" s="2" t="s">
        <v>21</v>
      </c>
      <c r="I6462" s="2" t="s">
        <v>12869</v>
      </c>
      <c r="J6462" s="3" t="str">
        <f>HYPERLINK("https://www.boe.es/gazeta/dias/1823/08/24/pdfs/GES-1823-137.pdf#page=3","Abrir facsímil")</f>
        <v>Abrir facsímil</v>
      </c>
      <c r="K6462" s="3" t="s">
        <v>23</v>
      </c>
    </row>
    <row r="6463" spans="1:11" ht="42" customHeight="1">
      <c r="A6463" s="2" t="s">
        <v>12852</v>
      </c>
      <c r="B6463" s="2" t="s">
        <v>12852</v>
      </c>
      <c r="C6463" s="2" t="s">
        <v>109</v>
      </c>
      <c r="D6463" s="2" t="s">
        <v>74</v>
      </c>
      <c r="E6463" s="5">
        <v>-27881</v>
      </c>
      <c r="F6463" s="3" t="s">
        <v>485</v>
      </c>
      <c r="G6463" s="3" t="s">
        <v>20</v>
      </c>
      <c r="H6463" s="2" t="s">
        <v>21</v>
      </c>
      <c r="I6463" s="2" t="s">
        <v>12870</v>
      </c>
      <c r="J6463" s="3" t="str">
        <f>HYPERLINK("https://www.boe.es/gazeta/dias/1823/08/30/pdfs/GES-1823-143.pdf#page=4","Abrir facsímil")</f>
        <v>Abrir facsímil</v>
      </c>
      <c r="K6463" s="3" t="s">
        <v>23</v>
      </c>
    </row>
    <row r="6464" spans="1:11" ht="42" customHeight="1">
      <c r="A6464" s="2" t="s">
        <v>12852</v>
      </c>
      <c r="B6464" s="2" t="s">
        <v>12852</v>
      </c>
      <c r="C6464" s="2" t="s">
        <v>17</v>
      </c>
      <c r="D6464" s="2" t="s">
        <v>18</v>
      </c>
      <c r="E6464" s="5">
        <v>-27861</v>
      </c>
      <c r="F6464" s="3" t="s">
        <v>425</v>
      </c>
      <c r="G6464" s="3" t="s">
        <v>39</v>
      </c>
      <c r="H6464" s="2" t="s">
        <v>21</v>
      </c>
      <c r="I6464" s="2" t="s">
        <v>12871</v>
      </c>
      <c r="J6464" s="3" t="str">
        <f>HYPERLINK("https://www.boe.es/gazeta/dias/1823/09/19/pdfs/GES-1823-163.pdf#page=1","Abrir facsímil")</f>
        <v>Abrir facsímil</v>
      </c>
      <c r="K6464" s="3" t="s">
        <v>23</v>
      </c>
    </row>
    <row r="6465" spans="1:11" ht="42" customHeight="1">
      <c r="A6465" s="2" t="s">
        <v>12852</v>
      </c>
      <c r="B6465" s="2" t="s">
        <v>12852</v>
      </c>
      <c r="C6465" s="2" t="s">
        <v>17</v>
      </c>
      <c r="D6465" s="2" t="s">
        <v>18</v>
      </c>
      <c r="E6465" s="5">
        <v>-27804</v>
      </c>
      <c r="F6465" s="3" t="s">
        <v>836</v>
      </c>
      <c r="G6465" s="3" t="s">
        <v>39</v>
      </c>
      <c r="H6465" s="2" t="s">
        <v>21</v>
      </c>
      <c r="I6465" s="2" t="s">
        <v>12872</v>
      </c>
      <c r="J6465" s="3" t="str">
        <f>HYPERLINK("https://www.boe.es/gazeta/dias/1823/11/15/pdfs/GMD-1823-1123.pdf#page=1","Abrir facsímil")</f>
        <v>Abrir facsímil</v>
      </c>
      <c r="K6465" s="3" t="s">
        <v>23</v>
      </c>
    </row>
    <row r="6466" spans="1:11" ht="42" customHeight="1">
      <c r="A6466" s="2" t="s">
        <v>12852</v>
      </c>
      <c r="B6466" s="2" t="s">
        <v>12852</v>
      </c>
      <c r="C6466" s="2" t="s">
        <v>293</v>
      </c>
      <c r="D6466" s="2" t="s">
        <v>74</v>
      </c>
      <c r="E6466" s="5">
        <v>-27787</v>
      </c>
      <c r="F6466" s="3" t="s">
        <v>865</v>
      </c>
      <c r="G6466" s="3" t="s">
        <v>39</v>
      </c>
      <c r="H6466" s="2" t="s">
        <v>21</v>
      </c>
      <c r="I6466" s="2" t="s">
        <v>12873</v>
      </c>
      <c r="J6466" s="3" t="str">
        <f>HYPERLINK("https://www.boe.es/gazeta/dias/1823/12/02/pdfs/GMD-1823-1193.pdf#page=1","Abrir facsímil")</f>
        <v>Abrir facsímil</v>
      </c>
      <c r="K6466" s="3" t="s">
        <v>23</v>
      </c>
    </row>
    <row r="6467" spans="1:11" ht="42" customHeight="1">
      <c r="A6467" s="2" t="s">
        <v>12874</v>
      </c>
      <c r="B6467" s="2" t="s">
        <v>12875</v>
      </c>
      <c r="C6467" s="2" t="s">
        <v>56</v>
      </c>
      <c r="D6467" s="2" t="s">
        <v>57</v>
      </c>
      <c r="E6467" s="5">
        <v>-27976</v>
      </c>
      <c r="F6467" s="3" t="s">
        <v>1156</v>
      </c>
      <c r="G6467" s="3" t="s">
        <v>39</v>
      </c>
      <c r="H6467" s="2" t="s">
        <v>21</v>
      </c>
      <c r="I6467" s="2" t="s">
        <v>12876</v>
      </c>
      <c r="J6467" s="3" t="str">
        <f>HYPERLINK("https://www.boe.es/gazeta/dias/1823/05/27/pdfs/GES-1823-49.pdf#page=1","Abrir facsímil")</f>
        <v>Abrir facsímil</v>
      </c>
      <c r="K6467" s="3" t="s">
        <v>23</v>
      </c>
    </row>
    <row r="6468" spans="1:11" ht="42" customHeight="1">
      <c r="A6468" s="2" t="s">
        <v>12877</v>
      </c>
      <c r="B6468" s="2" t="s">
        <v>12877</v>
      </c>
      <c r="C6468" s="2" t="s">
        <v>56</v>
      </c>
      <c r="D6468" s="2" t="s">
        <v>57</v>
      </c>
      <c r="E6468" s="5">
        <v>-27966</v>
      </c>
      <c r="F6468" s="3" t="s">
        <v>675</v>
      </c>
      <c r="G6468" s="3" t="s">
        <v>48</v>
      </c>
      <c r="H6468" s="2" t="s">
        <v>21</v>
      </c>
      <c r="I6468" s="2" t="s">
        <v>12878</v>
      </c>
      <c r="J6468" s="3" t="str">
        <f>HYPERLINK("https://www.boe.es/gazeta/dias/1823/06/06/pdfs/GES-1823-60.pdf#page=3","Abrir facsímil")</f>
        <v>Abrir facsímil</v>
      </c>
      <c r="K6468" s="3" t="s">
        <v>23</v>
      </c>
    </row>
    <row r="6469" spans="1:11" ht="42" customHeight="1">
      <c r="A6469" s="2" t="s">
        <v>12879</v>
      </c>
      <c r="B6469" s="2" t="s">
        <v>12880</v>
      </c>
      <c r="C6469" s="2" t="s">
        <v>293</v>
      </c>
      <c r="D6469" s="2" t="s">
        <v>74</v>
      </c>
      <c r="E6469" s="5">
        <v>-27787</v>
      </c>
      <c r="F6469" s="3" t="s">
        <v>865</v>
      </c>
      <c r="G6469" s="3" t="s">
        <v>39</v>
      </c>
      <c r="H6469" s="2" t="s">
        <v>21</v>
      </c>
      <c r="I6469" s="2" t="s">
        <v>12881</v>
      </c>
      <c r="J6469" s="3" t="str">
        <f>HYPERLINK("https://www.boe.es/gazeta/dias/1823/12/02/pdfs/GMD-1823-1193.pdf#page=1","Abrir facsímil")</f>
        <v>Abrir facsímil</v>
      </c>
      <c r="K6469" s="3" t="s">
        <v>23</v>
      </c>
    </row>
    <row r="6470" spans="1:11" ht="42" customHeight="1">
      <c r="A6470" s="2" t="s">
        <v>12882</v>
      </c>
      <c r="B6470" s="2" t="s">
        <v>12883</v>
      </c>
      <c r="C6470" s="2" t="s">
        <v>17</v>
      </c>
      <c r="D6470" s="2" t="s">
        <v>18</v>
      </c>
      <c r="E6470" s="5">
        <v>-27911</v>
      </c>
      <c r="F6470" s="3" t="s">
        <v>368</v>
      </c>
      <c r="G6470" s="3" t="s">
        <v>39</v>
      </c>
      <c r="H6470" s="2" t="s">
        <v>21</v>
      </c>
      <c r="I6470" s="2" t="s">
        <v>12884</v>
      </c>
      <c r="J6470" s="3" t="str">
        <f>HYPERLINK("https://www.boe.es/gazeta/dias/1823/07/31/pdfs/GES-1823-112.pdf#page=1","Abrir facsímil")</f>
        <v>Abrir facsímil</v>
      </c>
      <c r="K6470" s="3" t="s">
        <v>23</v>
      </c>
    </row>
    <row r="6471" spans="1:11" ht="42" customHeight="1">
      <c r="A6471" s="2" t="s">
        <v>12885</v>
      </c>
      <c r="B6471" s="2" t="s">
        <v>12886</v>
      </c>
      <c r="C6471" s="2" t="s">
        <v>17</v>
      </c>
      <c r="D6471" s="2" t="s">
        <v>18</v>
      </c>
      <c r="E6471" s="5">
        <v>-28115</v>
      </c>
      <c r="F6471" s="3" t="s">
        <v>579</v>
      </c>
      <c r="G6471" s="3" t="s">
        <v>1458</v>
      </c>
      <c r="H6471" s="2" t="s">
        <v>21</v>
      </c>
      <c r="I6471" s="2" t="s">
        <v>12887</v>
      </c>
      <c r="J6471" s="3" t="str">
        <f>HYPERLINK("https://www.boe.es/gazeta/dias/1823/01/08/pdfs/GMD-1823-8.pdf#page=4","Abrir facsímil")</f>
        <v>Abrir facsímil</v>
      </c>
      <c r="K6471" s="3" t="s">
        <v>23</v>
      </c>
    </row>
    <row r="6472" spans="1:11" ht="42" customHeight="1">
      <c r="A6472" s="2" t="s">
        <v>12885</v>
      </c>
      <c r="B6472" s="2" t="s">
        <v>12886</v>
      </c>
      <c r="C6472" s="2" t="s">
        <v>109</v>
      </c>
      <c r="D6472" s="2" t="s">
        <v>74</v>
      </c>
      <c r="E6472" s="5">
        <v>-28037</v>
      </c>
      <c r="F6472" s="3" t="s">
        <v>192</v>
      </c>
      <c r="G6472" s="3" t="s">
        <v>48</v>
      </c>
      <c r="H6472" s="2" t="s">
        <v>21</v>
      </c>
      <c r="I6472" s="2" t="s">
        <v>12888</v>
      </c>
      <c r="J6472" s="3" t="str">
        <f>HYPERLINK("https://www.boe.es/gazeta/dias/1823/03/27/pdfs/GMD-1823-90.pdf#page=3","Abrir facsímil")</f>
        <v>Abrir facsímil</v>
      </c>
      <c r="K6472" s="3" t="s">
        <v>23</v>
      </c>
    </row>
    <row r="6473" spans="1:11" ht="42" customHeight="1">
      <c r="A6473" s="2" t="s">
        <v>12885</v>
      </c>
      <c r="B6473" s="2" t="s">
        <v>12886</v>
      </c>
      <c r="C6473" s="2" t="s">
        <v>17</v>
      </c>
      <c r="D6473" s="2" t="s">
        <v>18</v>
      </c>
      <c r="E6473" s="5">
        <v>-28021</v>
      </c>
      <c r="F6473" s="3" t="s">
        <v>1054</v>
      </c>
      <c r="G6473" s="3" t="s">
        <v>1055</v>
      </c>
      <c r="H6473" s="2" t="s">
        <v>21</v>
      </c>
      <c r="I6473" s="2" t="s">
        <v>12889</v>
      </c>
      <c r="J6473" s="3" t="str">
        <f>HYPERLINK("https://www.boe.es/gazeta/dias/1823/04/12/pdfs/GMD-1823-107.pdf#page=4","Abrir facsímil")</f>
        <v>Abrir facsímil</v>
      </c>
      <c r="K6473" s="3" t="s">
        <v>23</v>
      </c>
    </row>
    <row r="6474" spans="1:11" ht="42" customHeight="1">
      <c r="A6474" s="2" t="s">
        <v>12885</v>
      </c>
      <c r="B6474" s="2" t="s">
        <v>12886</v>
      </c>
      <c r="C6474" s="2" t="s">
        <v>17</v>
      </c>
      <c r="D6474" s="2" t="s">
        <v>18</v>
      </c>
      <c r="E6474" s="5">
        <v>-27946</v>
      </c>
      <c r="F6474" s="3" t="s">
        <v>2146</v>
      </c>
      <c r="G6474" s="3" t="s">
        <v>27</v>
      </c>
      <c r="H6474" s="2" t="s">
        <v>21</v>
      </c>
      <c r="I6474" s="2" t="s">
        <v>12890</v>
      </c>
      <c r="J6474" s="3" t="str">
        <f>HYPERLINK("https://www.boe.es/gazeta/dias/1823/06/26/pdfs/GES-1823-76.pdf#page=2","Abrir facsímil")</f>
        <v>Abrir facsímil</v>
      </c>
      <c r="K6474" s="3" t="s">
        <v>23</v>
      </c>
    </row>
    <row r="6475" spans="1:11" ht="42" customHeight="1">
      <c r="A6475" s="2" t="s">
        <v>12885</v>
      </c>
      <c r="B6475" s="2" t="s">
        <v>12886</v>
      </c>
      <c r="C6475" s="2" t="s">
        <v>56</v>
      </c>
      <c r="D6475" s="2" t="s">
        <v>57</v>
      </c>
      <c r="E6475" s="5">
        <v>-27942</v>
      </c>
      <c r="F6475" s="3" t="s">
        <v>596</v>
      </c>
      <c r="G6475" s="3" t="s">
        <v>27</v>
      </c>
      <c r="H6475" s="2" t="s">
        <v>21</v>
      </c>
      <c r="I6475" s="2" t="s">
        <v>12891</v>
      </c>
      <c r="J6475" s="3" t="str">
        <f>HYPERLINK("https://www.boe.es/gazeta/dias/1823/06/30/pdfs/GES-1823-80.pdf#page=2","Abrir facsímil")</f>
        <v>Abrir facsímil</v>
      </c>
      <c r="K6475" s="3" t="s">
        <v>23</v>
      </c>
    </row>
    <row r="6476" spans="1:11" ht="42" customHeight="1">
      <c r="A6476" s="2" t="s">
        <v>12892</v>
      </c>
      <c r="B6476" s="2" t="s">
        <v>12892</v>
      </c>
      <c r="C6476" s="2" t="s">
        <v>17</v>
      </c>
      <c r="D6476" s="2" t="s">
        <v>18</v>
      </c>
      <c r="E6476" s="5">
        <v>-28029</v>
      </c>
      <c r="F6476" s="3" t="s">
        <v>141</v>
      </c>
      <c r="G6476" s="3" t="s">
        <v>27</v>
      </c>
      <c r="H6476" s="2" t="s">
        <v>21</v>
      </c>
      <c r="I6476" s="2" t="s">
        <v>12893</v>
      </c>
      <c r="J6476" s="3" t="str">
        <f>HYPERLINK("https://www.boe.es/gazeta/dias/1823/04/04/pdfs/GMD-1823-98.pdf#page=2","Abrir facsímil")</f>
        <v>Abrir facsímil</v>
      </c>
      <c r="K6476" s="3" t="s">
        <v>23</v>
      </c>
    </row>
    <row r="6477" spans="1:11" ht="42" customHeight="1">
      <c r="A6477" s="2" t="s">
        <v>12894</v>
      </c>
      <c r="B6477" s="2" t="s">
        <v>12895</v>
      </c>
      <c r="C6477" s="2" t="s">
        <v>17</v>
      </c>
      <c r="D6477" s="2" t="s">
        <v>18</v>
      </c>
      <c r="E6477" s="5">
        <v>-27889</v>
      </c>
      <c r="F6477" s="3" t="s">
        <v>1306</v>
      </c>
      <c r="G6477" s="3" t="s">
        <v>20</v>
      </c>
      <c r="H6477" s="2" t="s">
        <v>21</v>
      </c>
      <c r="I6477" s="2" t="s">
        <v>12896</v>
      </c>
      <c r="J6477" s="3" t="str">
        <f>HYPERLINK("https://www.boe.es/gazeta/dias/1823/08/22/pdfs/GES-1823-135.pdf#page=4","Abrir facsímil")</f>
        <v>Abrir facsímil</v>
      </c>
      <c r="K6477" s="3" t="s">
        <v>23</v>
      </c>
    </row>
    <row r="6478" spans="1:11" ht="42" customHeight="1">
      <c r="A6478" s="2" t="s">
        <v>12897</v>
      </c>
      <c r="B6478" s="2" t="s">
        <v>12898</v>
      </c>
      <c r="C6478" s="2" t="s">
        <v>84</v>
      </c>
      <c r="D6478" s="2" t="s">
        <v>74</v>
      </c>
      <c r="E6478" s="5">
        <v>-27960</v>
      </c>
      <c r="F6478" s="3" t="s">
        <v>741</v>
      </c>
      <c r="G6478" s="3" t="s">
        <v>39</v>
      </c>
      <c r="H6478" s="2" t="s">
        <v>21</v>
      </c>
      <c r="I6478" s="2" t="s">
        <v>12899</v>
      </c>
      <c r="J6478" s="3" t="str">
        <f>HYPERLINK("https://www.boe.es/gazeta/dias/1823/06/12/pdfs/GES-1823-66.pdf#page=1","Abrir facsímil")</f>
        <v>Abrir facsímil</v>
      </c>
      <c r="K6478" s="3" t="s">
        <v>23</v>
      </c>
    </row>
    <row r="6479" spans="1:11" ht="42" customHeight="1">
      <c r="A6479" s="2" t="s">
        <v>12900</v>
      </c>
      <c r="B6479" s="2" t="s">
        <v>12901</v>
      </c>
      <c r="C6479" s="2" t="s">
        <v>79</v>
      </c>
      <c r="D6479" s="2" t="s">
        <v>74</v>
      </c>
      <c r="E6479" s="5">
        <v>-28030</v>
      </c>
      <c r="F6479" s="3" t="s">
        <v>145</v>
      </c>
      <c r="G6479" s="3" t="s">
        <v>39</v>
      </c>
      <c r="H6479" s="2" t="s">
        <v>21</v>
      </c>
      <c r="I6479" s="2" t="s">
        <v>12902</v>
      </c>
      <c r="J6479" s="3" t="str">
        <f>HYPERLINK("https://www.boe.es/gazeta/dias/1823/04/03/pdfs/GMD-1823-97.pdf#page=1","Abrir facsímil")</f>
        <v>Abrir facsímil</v>
      </c>
      <c r="K6479" s="3" t="s">
        <v>23</v>
      </c>
    </row>
    <row r="6480" spans="1:11" ht="42" customHeight="1">
      <c r="A6480" s="2" t="s">
        <v>12903</v>
      </c>
      <c r="B6480" s="2" t="s">
        <v>12903</v>
      </c>
      <c r="C6480" s="2" t="s">
        <v>79</v>
      </c>
      <c r="D6480" s="2" t="s">
        <v>74</v>
      </c>
      <c r="E6480" s="5">
        <v>-28096</v>
      </c>
      <c r="F6480" s="3" t="s">
        <v>534</v>
      </c>
      <c r="G6480" s="3" t="s">
        <v>39</v>
      </c>
      <c r="H6480" s="2" t="s">
        <v>21</v>
      </c>
      <c r="I6480" s="2" t="s">
        <v>12904</v>
      </c>
      <c r="J6480" s="3" t="str">
        <f>HYPERLINK("https://www.boe.es/gazeta/dias/1823/01/27/pdfs/GMD-1823-28.pdf#page=1","Abrir facsímil")</f>
        <v>Abrir facsímil</v>
      </c>
      <c r="K6480" s="3" t="s">
        <v>23</v>
      </c>
    </row>
    <row r="6481" spans="1:11" ht="42" customHeight="1">
      <c r="A6481" s="2" t="s">
        <v>12905</v>
      </c>
      <c r="B6481" s="2" t="s">
        <v>12906</v>
      </c>
      <c r="C6481" s="2" t="s">
        <v>79</v>
      </c>
      <c r="D6481" s="2" t="s">
        <v>74</v>
      </c>
      <c r="E6481" s="5">
        <v>-28061</v>
      </c>
      <c r="F6481" s="3" t="s">
        <v>704</v>
      </c>
      <c r="G6481" s="3" t="s">
        <v>59</v>
      </c>
      <c r="H6481" s="2" t="s">
        <v>21</v>
      </c>
      <c r="I6481" s="2" t="s">
        <v>12907</v>
      </c>
      <c r="J6481" s="3" t="str">
        <f>HYPERLINK("https://www.boe.es/gazeta/dias/1823/03/03/pdfs/GMD-1823-66.pdf#page=6","Abrir facsímil")</f>
        <v>Abrir facsímil</v>
      </c>
      <c r="K6481" s="3" t="s">
        <v>23</v>
      </c>
    </row>
    <row r="6482" spans="1:11" ht="42" customHeight="1">
      <c r="A6482" s="2" t="s">
        <v>12908</v>
      </c>
      <c r="B6482" s="2" t="s">
        <v>12909</v>
      </c>
      <c r="C6482" s="2" t="s">
        <v>17</v>
      </c>
      <c r="D6482" s="2" t="s">
        <v>117</v>
      </c>
      <c r="E6482" s="5">
        <v>-27869</v>
      </c>
      <c r="F6482" s="3" t="s">
        <v>2363</v>
      </c>
      <c r="G6482" s="3" t="s">
        <v>39</v>
      </c>
      <c r="H6482" s="2" t="s">
        <v>21</v>
      </c>
      <c r="I6482" s="2" t="s">
        <v>12910</v>
      </c>
      <c r="J6482" s="3" t="str">
        <f>HYPERLINK("https://www.boe.es/gazeta/dias/1823/09/11/pdfs/GMD-1823-763E.pdf#page=1","Abrir facsímil")</f>
        <v>Abrir facsímil</v>
      </c>
      <c r="K6482" s="3" t="s">
        <v>23</v>
      </c>
    </row>
    <row r="6483" spans="1:11" ht="42" customHeight="1">
      <c r="A6483" s="2" t="s">
        <v>12911</v>
      </c>
      <c r="B6483" s="2" t="s">
        <v>12912</v>
      </c>
      <c r="C6483" s="2" t="s">
        <v>17</v>
      </c>
      <c r="D6483" s="2" t="s">
        <v>18</v>
      </c>
      <c r="E6483" s="5">
        <v>-28097</v>
      </c>
      <c r="F6483" s="3" t="s">
        <v>1368</v>
      </c>
      <c r="G6483" s="3" t="s">
        <v>20</v>
      </c>
      <c r="H6483" s="2" t="s">
        <v>21</v>
      </c>
      <c r="I6483" s="2" t="s">
        <v>12913</v>
      </c>
      <c r="J6483" s="3" t="str">
        <f>HYPERLINK("https://www.boe.es/gazeta/dias/1823/01/26/pdfs/GMD-1823-27.pdf#page=4","Abrir facsímil")</f>
        <v>Abrir facsímil</v>
      </c>
      <c r="K6483" s="3" t="s">
        <v>23</v>
      </c>
    </row>
    <row r="6484" spans="1:11" ht="42" customHeight="1">
      <c r="A6484" s="2" t="s">
        <v>12914</v>
      </c>
      <c r="B6484" s="2" t="s">
        <v>12915</v>
      </c>
      <c r="C6484" s="2" t="s">
        <v>73</v>
      </c>
      <c r="D6484" s="2" t="s">
        <v>74</v>
      </c>
      <c r="E6484" s="5">
        <v>-28106</v>
      </c>
      <c r="F6484" s="3" t="s">
        <v>280</v>
      </c>
      <c r="G6484" s="3" t="s">
        <v>20</v>
      </c>
      <c r="H6484" s="2" t="s">
        <v>21</v>
      </c>
      <c r="I6484" s="2" t="s">
        <v>12916</v>
      </c>
      <c r="J6484" s="3" t="str">
        <f>HYPERLINK("https://www.boe.es/gazeta/dias/1823/01/17/pdfs/GMD-1823-17.pdf#page=4","Abrir facsímil")</f>
        <v>Abrir facsímil</v>
      </c>
      <c r="K6484" s="3" t="s">
        <v>23</v>
      </c>
    </row>
    <row r="6485" spans="1:11" ht="42" customHeight="1">
      <c r="A6485" s="2" t="s">
        <v>12917</v>
      </c>
      <c r="B6485" s="2" t="s">
        <v>12918</v>
      </c>
      <c r="C6485" s="2" t="s">
        <v>109</v>
      </c>
      <c r="D6485" s="2" t="s">
        <v>74</v>
      </c>
      <c r="E6485" s="5">
        <v>-28043</v>
      </c>
      <c r="F6485" s="3" t="s">
        <v>69</v>
      </c>
      <c r="G6485" s="3" t="s">
        <v>59</v>
      </c>
      <c r="H6485" s="2" t="s">
        <v>21</v>
      </c>
      <c r="I6485" s="2" t="s">
        <v>12919</v>
      </c>
      <c r="J6485" s="3" t="str">
        <f>HYPERLINK("https://www.boe.es/gazeta/dias/1823/03/21/pdfs/GMD-1823-84.pdf#page=6","Abrir facsímil")</f>
        <v>Abrir facsímil</v>
      </c>
      <c r="K6485" s="3" t="s">
        <v>23</v>
      </c>
    </row>
    <row r="6486" spans="1:11" ht="42" customHeight="1">
      <c r="A6486" s="2" t="s">
        <v>12917</v>
      </c>
      <c r="B6486" s="2" t="s">
        <v>12918</v>
      </c>
      <c r="C6486" s="2" t="s">
        <v>325</v>
      </c>
      <c r="D6486" s="2" t="s">
        <v>74</v>
      </c>
      <c r="E6486" s="5">
        <v>-28013</v>
      </c>
      <c r="F6486" s="3" t="s">
        <v>105</v>
      </c>
      <c r="G6486" s="3" t="s">
        <v>20</v>
      </c>
      <c r="H6486" s="2" t="s">
        <v>21</v>
      </c>
      <c r="I6486" s="2" t="s">
        <v>12920</v>
      </c>
      <c r="J6486" s="3" t="str">
        <f>HYPERLINK("https://www.boe.es/gazeta/dias/1823/04/20/pdfs/GMD-1823-32.pdf#page=4","Abrir facsímil")</f>
        <v>Abrir facsímil</v>
      </c>
      <c r="K6486" s="3" t="s">
        <v>23</v>
      </c>
    </row>
    <row r="6487" spans="1:11" ht="42" customHeight="1">
      <c r="A6487" s="2" t="s">
        <v>12917</v>
      </c>
      <c r="B6487" s="2" t="s">
        <v>12918</v>
      </c>
      <c r="C6487" s="2" t="s">
        <v>73</v>
      </c>
      <c r="D6487" s="2" t="s">
        <v>74</v>
      </c>
      <c r="E6487" s="5">
        <v>-28011</v>
      </c>
      <c r="F6487" s="3" t="s">
        <v>2416</v>
      </c>
      <c r="G6487" s="3" t="s">
        <v>1966</v>
      </c>
      <c r="H6487" s="2" t="s">
        <v>21</v>
      </c>
      <c r="I6487" s="2" t="s">
        <v>12921</v>
      </c>
      <c r="J6487" s="3" t="str">
        <f>HYPERLINK("https://www.boe.es/gazeta/dias/1823/04/22/pdfs/GMD-1823-42.pdf#page=4","Abrir facsímil")</f>
        <v>Abrir facsímil</v>
      </c>
      <c r="K6487" s="3" t="s">
        <v>23</v>
      </c>
    </row>
    <row r="6488" spans="1:11" ht="42" customHeight="1">
      <c r="A6488" s="2" t="s">
        <v>12922</v>
      </c>
      <c r="B6488" s="2" t="s">
        <v>12923</v>
      </c>
      <c r="C6488" s="2" t="s">
        <v>73</v>
      </c>
      <c r="D6488" s="2" t="s">
        <v>74</v>
      </c>
      <c r="E6488" s="5">
        <v>-28069</v>
      </c>
      <c r="F6488" s="3" t="s">
        <v>2006</v>
      </c>
      <c r="G6488" s="3" t="s">
        <v>20</v>
      </c>
      <c r="H6488" s="2" t="s">
        <v>21</v>
      </c>
      <c r="I6488" s="2" t="s">
        <v>12924</v>
      </c>
      <c r="J6488" s="3" t="str">
        <f>HYPERLINK("https://www.boe.es/gazeta/dias/1823/02/23/pdfs/GMD-1823-57.pdf#page=4","Abrir facsímil")</f>
        <v>Abrir facsímil</v>
      </c>
      <c r="K6488" s="3" t="s">
        <v>23</v>
      </c>
    </row>
    <row r="6489" spans="1:11" ht="42" customHeight="1">
      <c r="A6489" s="2" t="s">
        <v>12925</v>
      </c>
      <c r="B6489" s="2" t="s">
        <v>12926</v>
      </c>
      <c r="C6489" s="2" t="s">
        <v>79</v>
      </c>
      <c r="D6489" s="2" t="s">
        <v>74</v>
      </c>
      <c r="E6489" s="5">
        <v>-28061</v>
      </c>
      <c r="F6489" s="3" t="s">
        <v>704</v>
      </c>
      <c r="G6489" s="3" t="s">
        <v>59</v>
      </c>
      <c r="H6489" s="2" t="s">
        <v>21</v>
      </c>
      <c r="I6489" s="2" t="s">
        <v>12927</v>
      </c>
      <c r="J6489" s="3" t="str">
        <f>HYPERLINK("https://www.boe.es/gazeta/dias/1823/03/03/pdfs/GMD-1823-66.pdf#page=6","Abrir facsímil")</f>
        <v>Abrir facsímil</v>
      </c>
      <c r="K6489" s="3" t="s">
        <v>23</v>
      </c>
    </row>
    <row r="6490" spans="1:11" ht="42" customHeight="1">
      <c r="A6490" s="2" t="s">
        <v>12928</v>
      </c>
      <c r="B6490" s="2" t="s">
        <v>12929</v>
      </c>
      <c r="C6490" s="2" t="s">
        <v>79</v>
      </c>
      <c r="D6490" s="2" t="s">
        <v>74</v>
      </c>
      <c r="E6490" s="5">
        <v>-28106</v>
      </c>
      <c r="F6490" s="3" t="s">
        <v>280</v>
      </c>
      <c r="G6490" s="3" t="s">
        <v>20</v>
      </c>
      <c r="H6490" s="2" t="s">
        <v>21</v>
      </c>
      <c r="I6490" s="2" t="s">
        <v>12930</v>
      </c>
      <c r="J6490" s="3" t="str">
        <f>HYPERLINK("https://www.boe.es/gazeta/dias/1823/01/17/pdfs/GMD-1823-17.pdf#page=4","Abrir facsímil")</f>
        <v>Abrir facsímil</v>
      </c>
      <c r="K6490" s="3" t="s">
        <v>23</v>
      </c>
    </row>
    <row r="6491" spans="1:11" ht="42" customHeight="1">
      <c r="A6491" s="2" t="s">
        <v>12931</v>
      </c>
      <c r="B6491" s="2" t="s">
        <v>12932</v>
      </c>
      <c r="C6491" s="2" t="s">
        <v>79</v>
      </c>
      <c r="D6491" s="2" t="s">
        <v>74</v>
      </c>
      <c r="E6491" s="5">
        <v>-28078</v>
      </c>
      <c r="F6491" s="3" t="s">
        <v>508</v>
      </c>
      <c r="G6491" s="3" t="s">
        <v>59</v>
      </c>
      <c r="H6491" s="2" t="s">
        <v>21</v>
      </c>
      <c r="I6491" s="2" t="s">
        <v>12933</v>
      </c>
      <c r="J6491" s="3" t="str">
        <f>HYPERLINK("https://www.boe.es/gazeta/dias/1823/02/14/pdfs/GMD-1823-48.pdf#page=6","Abrir facsímil")</f>
        <v>Abrir facsímil</v>
      </c>
      <c r="K6491" s="3" t="s">
        <v>23</v>
      </c>
    </row>
    <row r="6492" spans="1:11" ht="42" customHeight="1">
      <c r="A6492" s="2" t="s">
        <v>12934</v>
      </c>
      <c r="B6492" s="2" t="s">
        <v>12935</v>
      </c>
      <c r="C6492" s="2" t="s">
        <v>17</v>
      </c>
      <c r="D6492" s="2" t="s">
        <v>18</v>
      </c>
      <c r="E6492" s="5">
        <v>-28111</v>
      </c>
      <c r="F6492" s="3" t="s">
        <v>275</v>
      </c>
      <c r="G6492" s="3" t="s">
        <v>27</v>
      </c>
      <c r="H6492" s="2" t="s">
        <v>21</v>
      </c>
      <c r="I6492" s="2" t="s">
        <v>12936</v>
      </c>
      <c r="J6492" s="3" t="str">
        <f>HYPERLINK("https://www.boe.es/gazeta/dias/1823/01/12/pdfs/GMD-1823-12.pdf#page=2","Abrir facsímil")</f>
        <v>Abrir facsímil</v>
      </c>
      <c r="K6492" s="3" t="s">
        <v>23</v>
      </c>
    </row>
    <row r="6493" spans="1:11" ht="42" customHeight="1">
      <c r="A6493" s="2" t="s">
        <v>12937</v>
      </c>
      <c r="B6493" s="2" t="s">
        <v>12938</v>
      </c>
      <c r="C6493" s="2" t="s">
        <v>17</v>
      </c>
      <c r="D6493" s="2" t="s">
        <v>18</v>
      </c>
      <c r="E6493" s="5">
        <v>-27885</v>
      </c>
      <c r="F6493" s="3" t="s">
        <v>65</v>
      </c>
      <c r="G6493" s="3" t="s">
        <v>48</v>
      </c>
      <c r="H6493" s="2" t="s">
        <v>21</v>
      </c>
      <c r="I6493" s="2" t="s">
        <v>12939</v>
      </c>
      <c r="J6493" s="3" t="str">
        <f>HYPERLINK("https://www.boe.es/gazeta/dias/1823/08/26/pdfs/GMD-1823-653.pdf#page=3","Abrir facsímil")</f>
        <v>Abrir facsímil</v>
      </c>
      <c r="K6493" s="3" t="s">
        <v>23</v>
      </c>
    </row>
    <row r="6494" spans="1:11" ht="42" customHeight="1">
      <c r="A6494" s="2" t="s">
        <v>12940</v>
      </c>
      <c r="B6494" s="2" t="s">
        <v>12941</v>
      </c>
      <c r="C6494" s="2" t="s">
        <v>56</v>
      </c>
      <c r="D6494" s="2" t="s">
        <v>57</v>
      </c>
      <c r="E6494" s="5">
        <v>-28078</v>
      </c>
      <c r="F6494" s="3" t="s">
        <v>508</v>
      </c>
      <c r="G6494" s="3" t="s">
        <v>59</v>
      </c>
      <c r="H6494" s="2" t="s">
        <v>21</v>
      </c>
      <c r="I6494" s="2" t="s">
        <v>12942</v>
      </c>
      <c r="J6494" s="3" t="str">
        <f>HYPERLINK("https://www.boe.es/gazeta/dias/1823/02/14/pdfs/GMD-1823-48.pdf#page=6","Abrir facsímil")</f>
        <v>Abrir facsímil</v>
      </c>
      <c r="K6494" s="3" t="s">
        <v>23</v>
      </c>
    </row>
    <row r="6495" spans="1:11" ht="42" customHeight="1">
      <c r="A6495" s="2" t="s">
        <v>12943</v>
      </c>
      <c r="B6495" s="2" t="s">
        <v>12943</v>
      </c>
      <c r="C6495" s="2" t="s">
        <v>79</v>
      </c>
      <c r="D6495" s="2" t="s">
        <v>74</v>
      </c>
      <c r="E6495" s="5">
        <v>-27759</v>
      </c>
      <c r="F6495" s="3" t="s">
        <v>415</v>
      </c>
      <c r="G6495" s="3" t="s">
        <v>48</v>
      </c>
      <c r="H6495" s="2" t="s">
        <v>21</v>
      </c>
      <c r="I6495" s="2" t="s">
        <v>12944</v>
      </c>
      <c r="J6495" s="3" t="str">
        <f>HYPERLINK("https://www.boe.es/gazeta/dias/1823/12/30/pdfs/GMD-1823-1313.pdf#page=3","Abrir facsímil")</f>
        <v>Abrir facsímil</v>
      </c>
      <c r="K6495" s="3" t="s">
        <v>23</v>
      </c>
    </row>
    <row r="6496" spans="1:11" ht="42" customHeight="1">
      <c r="A6496" s="2" t="s">
        <v>12945</v>
      </c>
      <c r="B6496" s="2" t="s">
        <v>12945</v>
      </c>
      <c r="C6496" s="2" t="s">
        <v>17</v>
      </c>
      <c r="D6496" s="2" t="s">
        <v>18</v>
      </c>
      <c r="E6496" s="5">
        <v>-27931</v>
      </c>
      <c r="F6496" s="3" t="s">
        <v>1833</v>
      </c>
      <c r="G6496" s="3" t="s">
        <v>48</v>
      </c>
      <c r="H6496" s="2" t="s">
        <v>21</v>
      </c>
      <c r="I6496" s="2" t="s">
        <v>12946</v>
      </c>
      <c r="J6496" s="3" t="str">
        <f>HYPERLINK("https://www.boe.es/gazeta/dias/1823/07/11/pdfs/GES-1823-91.pdf#page=3","Abrir facsímil")</f>
        <v>Abrir facsímil</v>
      </c>
      <c r="K6496" s="3" t="s">
        <v>23</v>
      </c>
    </row>
    <row r="6497" spans="1:11" ht="42" customHeight="1">
      <c r="A6497" s="2" t="s">
        <v>12945</v>
      </c>
      <c r="B6497" s="2" t="s">
        <v>12945</v>
      </c>
      <c r="C6497" s="2" t="s">
        <v>17</v>
      </c>
      <c r="D6497" s="2" t="s">
        <v>18</v>
      </c>
      <c r="E6497" s="5">
        <v>-27930</v>
      </c>
      <c r="F6497" s="3" t="s">
        <v>2334</v>
      </c>
      <c r="G6497" s="3" t="s">
        <v>48</v>
      </c>
      <c r="H6497" s="2" t="s">
        <v>21</v>
      </c>
      <c r="I6497" s="2" t="s">
        <v>12947</v>
      </c>
      <c r="J6497" s="3" t="str">
        <f>HYPERLINK("https://www.boe.es/gazeta/dias/1823/07/12/pdfs/GES-1823-92.pdf#page=3","Abrir facsímil")</f>
        <v>Abrir facsímil</v>
      </c>
      <c r="K6497" s="3" t="s">
        <v>23</v>
      </c>
    </row>
    <row r="6498" spans="1:11" ht="42" customHeight="1">
      <c r="A6498" s="2" t="s">
        <v>12948</v>
      </c>
      <c r="B6498" s="2" t="s">
        <v>12948</v>
      </c>
      <c r="C6498" s="2" t="s">
        <v>109</v>
      </c>
      <c r="D6498" s="2" t="s">
        <v>74</v>
      </c>
      <c r="E6498" s="5">
        <v>-28090</v>
      </c>
      <c r="F6498" s="3" t="s">
        <v>174</v>
      </c>
      <c r="G6498" s="3" t="s">
        <v>39</v>
      </c>
      <c r="H6498" s="2" t="s">
        <v>21</v>
      </c>
      <c r="I6498" s="2" t="s">
        <v>12949</v>
      </c>
      <c r="J6498" s="3" t="str">
        <f>HYPERLINK("https://www.boe.es/gazeta/dias/1823/02/02/pdfs/GMD-1823-35.pdf#page=1","Abrir facsímil")</f>
        <v>Abrir facsímil</v>
      </c>
      <c r="K6498" s="3" t="s">
        <v>23</v>
      </c>
    </row>
    <row r="6499" spans="1:11" ht="42" customHeight="1">
      <c r="A6499" s="2" t="s">
        <v>12950</v>
      </c>
      <c r="B6499" s="2" t="s">
        <v>12951</v>
      </c>
      <c r="C6499" s="2" t="s">
        <v>17</v>
      </c>
      <c r="D6499" s="2" t="s">
        <v>18</v>
      </c>
      <c r="E6499" s="5">
        <v>-27965</v>
      </c>
      <c r="F6499" s="3" t="s">
        <v>208</v>
      </c>
      <c r="G6499" s="3" t="s">
        <v>39</v>
      </c>
      <c r="H6499" s="2" t="s">
        <v>28</v>
      </c>
      <c r="I6499" s="2" t="s">
        <v>12952</v>
      </c>
      <c r="J6499" s="3" t="str">
        <f>HYPERLINK("https://www.boe.es/gazeta/dias/1823/06/07/pdfs/GES-1823-61.pdf#page=1","Abrir facsímil")</f>
        <v>Abrir facsímil</v>
      </c>
      <c r="K6499" s="3" t="s">
        <v>30</v>
      </c>
    </row>
    <row r="6500" spans="1:11" ht="42" customHeight="1">
      <c r="A6500" s="2" t="s">
        <v>12953</v>
      </c>
      <c r="B6500" s="2" t="s">
        <v>12954</v>
      </c>
      <c r="C6500" s="2" t="s">
        <v>17</v>
      </c>
      <c r="D6500" s="2" t="s">
        <v>18</v>
      </c>
      <c r="E6500" s="5">
        <v>-28058</v>
      </c>
      <c r="F6500" s="3" t="s">
        <v>1282</v>
      </c>
      <c r="G6500" s="3" t="s">
        <v>20</v>
      </c>
      <c r="H6500" s="2" t="s">
        <v>28</v>
      </c>
      <c r="I6500" s="2" t="s">
        <v>12955</v>
      </c>
      <c r="J6500" s="3" t="str">
        <f>HYPERLINK("https://www.boe.es/gazeta/dias/1823/03/06/pdfs/GMD-1823-69.pdf#page=4","Abrir facsímil")</f>
        <v>Abrir facsímil</v>
      </c>
      <c r="K6500" s="3" t="s">
        <v>30</v>
      </c>
    </row>
    <row r="6501" spans="1:11" ht="42" customHeight="1">
      <c r="A6501" s="2" t="s">
        <v>12956</v>
      </c>
      <c r="B6501" s="2" t="s">
        <v>12957</v>
      </c>
      <c r="C6501" s="2" t="s">
        <v>17</v>
      </c>
      <c r="D6501" s="2" t="s">
        <v>18</v>
      </c>
      <c r="E6501" s="5">
        <v>-28003</v>
      </c>
      <c r="F6501" s="3" t="s">
        <v>26</v>
      </c>
      <c r="G6501" s="3" t="s">
        <v>1114</v>
      </c>
      <c r="H6501" s="2" t="s">
        <v>28</v>
      </c>
      <c r="I6501" s="2" t="s">
        <v>12958</v>
      </c>
      <c r="J6501" s="3" t="str">
        <f>HYPERLINK("https://www.boe.es/gazeta/dias/1823/04/30/pdfs/GES-1823-20.pdf#page=6","Abrir facsímil")</f>
        <v>Abrir facsímil</v>
      </c>
      <c r="K6501" s="3" t="s">
        <v>30</v>
      </c>
    </row>
    <row r="6502" spans="1:11" ht="42" customHeight="1">
      <c r="A6502" s="2" t="s">
        <v>12959</v>
      </c>
      <c r="B6502" s="2" t="s">
        <v>12960</v>
      </c>
      <c r="C6502" s="2" t="s">
        <v>56</v>
      </c>
      <c r="D6502" s="2" t="s">
        <v>57</v>
      </c>
      <c r="E6502" s="5">
        <v>-28084</v>
      </c>
      <c r="F6502" s="3" t="s">
        <v>1049</v>
      </c>
      <c r="G6502" s="3" t="s">
        <v>20</v>
      </c>
      <c r="H6502" s="2" t="s">
        <v>28</v>
      </c>
      <c r="I6502" s="2" t="s">
        <v>12961</v>
      </c>
      <c r="J6502" s="3" t="str">
        <f>HYPERLINK("https://www.boe.es/gazeta/dias/1823/02/08/pdfs/GMD-1823-41.pdf#page=4","Abrir facsímil")</f>
        <v>Abrir facsímil</v>
      </c>
      <c r="K6502" s="3" t="s">
        <v>30</v>
      </c>
    </row>
    <row r="6503" spans="1:11" ht="42" customHeight="1">
      <c r="A6503" s="2" t="s">
        <v>12962</v>
      </c>
      <c r="B6503" s="2" t="s">
        <v>12963</v>
      </c>
      <c r="C6503" s="2" t="s">
        <v>79</v>
      </c>
      <c r="D6503" s="2" t="s">
        <v>74</v>
      </c>
      <c r="E6503" s="5">
        <v>-28030</v>
      </c>
      <c r="F6503" s="3" t="s">
        <v>145</v>
      </c>
      <c r="G6503" s="3" t="s">
        <v>39</v>
      </c>
      <c r="H6503" s="2" t="s">
        <v>28</v>
      </c>
      <c r="I6503" s="2" t="s">
        <v>12964</v>
      </c>
      <c r="J6503" s="3" t="str">
        <f>HYPERLINK("https://www.boe.es/gazeta/dias/1823/04/03/pdfs/GMD-1823-97.pdf#page=1","Abrir facsímil")</f>
        <v>Abrir facsímil</v>
      </c>
      <c r="K6503" s="3" t="s">
        <v>30</v>
      </c>
    </row>
    <row r="6504" spans="1:11" ht="42" customHeight="1">
      <c r="A6504" s="2" t="s">
        <v>12965</v>
      </c>
      <c r="B6504" s="2" t="s">
        <v>12966</v>
      </c>
      <c r="C6504" s="2" t="s">
        <v>17</v>
      </c>
      <c r="D6504" s="2" t="s">
        <v>18</v>
      </c>
      <c r="E6504" s="5">
        <v>-27902</v>
      </c>
      <c r="F6504" s="3" t="s">
        <v>259</v>
      </c>
      <c r="G6504" s="3" t="s">
        <v>48</v>
      </c>
      <c r="H6504" s="2" t="s">
        <v>28</v>
      </c>
      <c r="I6504" s="2" t="s">
        <v>12967</v>
      </c>
      <c r="J6504" s="3" t="str">
        <f>HYPERLINK("https://www.boe.es/gazeta/dias/1823/08/09/pdfs/GMD-1823-563.pdf#page=3","Abrir facsímil")</f>
        <v>Abrir facsímil</v>
      </c>
      <c r="K6504" s="3" t="s">
        <v>30</v>
      </c>
    </row>
    <row r="6505" spans="1:11" ht="42" customHeight="1">
      <c r="A6505" s="2" t="s">
        <v>12968</v>
      </c>
      <c r="B6505" s="2" t="s">
        <v>12969</v>
      </c>
      <c r="C6505" s="2" t="s">
        <v>17</v>
      </c>
      <c r="D6505" s="2" t="s">
        <v>18</v>
      </c>
      <c r="E6505" s="5">
        <v>-27892</v>
      </c>
      <c r="F6505" s="3" t="s">
        <v>1229</v>
      </c>
      <c r="G6505" s="3" t="s">
        <v>20</v>
      </c>
      <c r="H6505" s="2" t="s">
        <v>28</v>
      </c>
      <c r="I6505" s="2" t="s">
        <v>12970</v>
      </c>
      <c r="J6505" s="3" t="str">
        <f>HYPERLINK("https://www.boe.es/gazeta/dias/1823/08/19/pdfs/GES-1823-132.pdf#page=4","Abrir facsímil")</f>
        <v>Abrir facsímil</v>
      </c>
      <c r="K6505" s="3" t="s">
        <v>30</v>
      </c>
    </row>
    <row r="6506" spans="1:11" ht="42" customHeight="1">
      <c r="A6506" s="2" t="s">
        <v>12971</v>
      </c>
      <c r="B6506" s="2" t="s">
        <v>12972</v>
      </c>
      <c r="C6506" s="2" t="s">
        <v>79</v>
      </c>
      <c r="D6506" s="2" t="s">
        <v>74</v>
      </c>
      <c r="E6506" s="5">
        <v>-28037</v>
      </c>
      <c r="F6506" s="3" t="s">
        <v>192</v>
      </c>
      <c r="G6506" s="3" t="s">
        <v>48</v>
      </c>
      <c r="H6506" s="2" t="s">
        <v>28</v>
      </c>
      <c r="I6506" s="2" t="s">
        <v>12973</v>
      </c>
      <c r="J6506" s="3" t="str">
        <f>HYPERLINK("https://www.boe.es/gazeta/dias/1823/03/27/pdfs/GMD-1823-90.pdf#page=3","Abrir facsímil")</f>
        <v>Abrir facsímil</v>
      </c>
      <c r="K6506" s="3" t="s">
        <v>30</v>
      </c>
    </row>
    <row r="6507" spans="1:11" ht="42" customHeight="1">
      <c r="A6507" s="2" t="s">
        <v>12971</v>
      </c>
      <c r="B6507" s="2" t="s">
        <v>12972</v>
      </c>
      <c r="C6507" s="2" t="s">
        <v>109</v>
      </c>
      <c r="D6507" s="2" t="s">
        <v>74</v>
      </c>
      <c r="E6507" s="5">
        <v>-27917</v>
      </c>
      <c r="F6507" s="3" t="s">
        <v>363</v>
      </c>
      <c r="G6507" s="3" t="s">
        <v>39</v>
      </c>
      <c r="H6507" s="2" t="s">
        <v>28</v>
      </c>
      <c r="I6507" s="2" t="s">
        <v>12974</v>
      </c>
      <c r="J6507" s="3" t="str">
        <f>HYPERLINK("https://www.boe.es/gazeta/dias/1823/07/25/pdfs/GES-1823-106.pdf#page=1","Abrir facsímil")</f>
        <v>Abrir facsímil</v>
      </c>
      <c r="K6507" s="3" t="s">
        <v>30</v>
      </c>
    </row>
    <row r="6508" spans="1:11" ht="42" customHeight="1">
      <c r="A6508" s="2" t="s">
        <v>12975</v>
      </c>
      <c r="B6508" s="2" t="s">
        <v>12976</v>
      </c>
      <c r="C6508" s="2" t="s">
        <v>17</v>
      </c>
      <c r="D6508" s="2" t="s">
        <v>18</v>
      </c>
      <c r="E6508" s="5">
        <v>-27905</v>
      </c>
      <c r="F6508" s="3" t="s">
        <v>236</v>
      </c>
      <c r="G6508" s="3" t="s">
        <v>48</v>
      </c>
      <c r="H6508" s="2" t="s">
        <v>28</v>
      </c>
      <c r="I6508" s="2" t="s">
        <v>12977</v>
      </c>
      <c r="J6508" s="3" t="str">
        <f>HYPERLINK("https://www.boe.es/gazeta/dias/1823/08/06/pdfs/GES-1823-119.pdf#page=3","Abrir facsímil")</f>
        <v>Abrir facsímil</v>
      </c>
      <c r="K6508" s="3" t="s">
        <v>30</v>
      </c>
    </row>
    <row r="6509" spans="1:11" ht="42" customHeight="1">
      <c r="A6509" s="2" t="s">
        <v>12978</v>
      </c>
      <c r="B6509" s="2" t="s">
        <v>12979</v>
      </c>
      <c r="C6509" s="2" t="s">
        <v>56</v>
      </c>
      <c r="D6509" s="2" t="s">
        <v>57</v>
      </c>
      <c r="E6509" s="5">
        <v>-28122</v>
      </c>
      <c r="F6509" s="3" t="s">
        <v>269</v>
      </c>
      <c r="G6509" s="3" t="s">
        <v>20</v>
      </c>
      <c r="H6509" s="2" t="s">
        <v>28</v>
      </c>
      <c r="I6509" s="2" t="s">
        <v>12980</v>
      </c>
      <c r="J6509" s="3" t="str">
        <f>HYPERLINK("https://www.boe.es/gazeta/dias/1823/01/01/pdfs/GMD-1823-1.pdf#page=4","Abrir facsímil")</f>
        <v>Abrir facsímil</v>
      </c>
      <c r="K6509" s="3" t="s">
        <v>30</v>
      </c>
    </row>
    <row r="6510" spans="1:11" ht="42" customHeight="1">
      <c r="A6510" s="2" t="s">
        <v>12981</v>
      </c>
      <c r="B6510" s="2" t="s">
        <v>12982</v>
      </c>
      <c r="C6510" s="2" t="s">
        <v>56</v>
      </c>
      <c r="D6510" s="2" t="s">
        <v>57</v>
      </c>
      <c r="E6510" s="5">
        <v>-27943</v>
      </c>
      <c r="F6510" s="3" t="s">
        <v>346</v>
      </c>
      <c r="G6510" s="3" t="s">
        <v>48</v>
      </c>
      <c r="H6510" s="2" t="s">
        <v>28</v>
      </c>
      <c r="I6510" s="2" t="s">
        <v>12983</v>
      </c>
      <c r="J6510" s="3" t="str">
        <f>HYPERLINK("https://www.boe.es/gazeta/dias/1823/06/29/pdfs/GES-1823-79.pdf#page=3","Abrir facsímil")</f>
        <v>Abrir facsímil</v>
      </c>
      <c r="K6510" s="3" t="s">
        <v>30</v>
      </c>
    </row>
    <row r="6511" spans="1:11" ht="42" customHeight="1">
      <c r="A6511" s="2" t="s">
        <v>12984</v>
      </c>
      <c r="B6511" s="2" t="s">
        <v>12984</v>
      </c>
      <c r="C6511" s="2" t="s">
        <v>109</v>
      </c>
      <c r="D6511" s="2" t="s">
        <v>74</v>
      </c>
      <c r="E6511" s="5">
        <v>-28082</v>
      </c>
      <c r="F6511" s="3" t="s">
        <v>468</v>
      </c>
      <c r="G6511" s="3" t="s">
        <v>48</v>
      </c>
      <c r="H6511" s="2" t="s">
        <v>21</v>
      </c>
      <c r="I6511" s="2" t="s">
        <v>12985</v>
      </c>
      <c r="J6511" s="3" t="str">
        <f>HYPERLINK("https://www.boe.es/gazeta/dias/1823/02/10/pdfs/GMD-1823-44.pdf#page=3","Abrir facsímil")</f>
        <v>Abrir facsímil</v>
      </c>
      <c r="K6511" s="3" t="s">
        <v>23</v>
      </c>
    </row>
    <row r="6512" spans="1:11" ht="42" customHeight="1">
      <c r="A6512" s="2" t="s">
        <v>12986</v>
      </c>
      <c r="B6512" s="2" t="s">
        <v>12987</v>
      </c>
      <c r="C6512" s="2" t="s">
        <v>73</v>
      </c>
      <c r="D6512" s="2" t="s">
        <v>74</v>
      </c>
      <c r="E6512" s="5">
        <v>-28081</v>
      </c>
      <c r="F6512" s="3" t="s">
        <v>170</v>
      </c>
      <c r="G6512" s="3" t="s">
        <v>20</v>
      </c>
      <c r="H6512" s="2" t="s">
        <v>21</v>
      </c>
      <c r="I6512" s="2" t="s">
        <v>12988</v>
      </c>
      <c r="J6512" s="3" t="str">
        <f>HYPERLINK("https://www.boe.es/gazeta/dias/1823/02/11/pdfs/GMD-1823-45.pdf#page=4","Abrir facsímil")</f>
        <v>Abrir facsímil</v>
      </c>
      <c r="K6512" s="3" t="s">
        <v>23</v>
      </c>
    </row>
    <row r="6513" spans="1:11" ht="42" customHeight="1">
      <c r="A6513" s="2" t="s">
        <v>12989</v>
      </c>
      <c r="B6513" s="2" t="s">
        <v>12989</v>
      </c>
      <c r="C6513" s="2" t="s">
        <v>109</v>
      </c>
      <c r="D6513" s="2" t="s">
        <v>74</v>
      </c>
      <c r="E6513" s="5">
        <v>-28114</v>
      </c>
      <c r="F6513" s="3" t="s">
        <v>153</v>
      </c>
      <c r="G6513" s="3" t="s">
        <v>27</v>
      </c>
      <c r="H6513" s="2" t="s">
        <v>21</v>
      </c>
      <c r="I6513" s="2" t="s">
        <v>12990</v>
      </c>
      <c r="J6513" s="3" t="str">
        <f>HYPERLINK("https://www.boe.es/gazeta/dias/1823/01/09/pdfs/GMD-1823-9.pdf#page=2","Abrir facsímil")</f>
        <v>Abrir facsímil</v>
      </c>
      <c r="K6513" s="3" t="s">
        <v>23</v>
      </c>
    </row>
    <row r="6514" spans="1:11" ht="42" customHeight="1">
      <c r="A6514" s="2" t="s">
        <v>12989</v>
      </c>
      <c r="B6514" s="2" t="s">
        <v>12989</v>
      </c>
      <c r="C6514" s="2" t="s">
        <v>109</v>
      </c>
      <c r="D6514" s="2" t="s">
        <v>74</v>
      </c>
      <c r="E6514" s="5">
        <v>-28114</v>
      </c>
      <c r="F6514" s="3" t="s">
        <v>153</v>
      </c>
      <c r="G6514" s="3" t="s">
        <v>59</v>
      </c>
      <c r="H6514" s="2" t="s">
        <v>21</v>
      </c>
      <c r="I6514" s="2" t="s">
        <v>12991</v>
      </c>
      <c r="J6514" s="3" t="str">
        <f>HYPERLINK("https://www.boe.es/gazeta/dias/1823/01/09/pdfs/GMD-1823-9.pdf#page=6","Abrir facsímil")</f>
        <v>Abrir facsímil</v>
      </c>
      <c r="K6514" s="3" t="s">
        <v>23</v>
      </c>
    </row>
    <row r="6515" spans="1:11" ht="42" customHeight="1">
      <c r="A6515" s="2" t="s">
        <v>12989</v>
      </c>
      <c r="B6515" s="2" t="s">
        <v>12989</v>
      </c>
      <c r="C6515" s="2" t="s">
        <v>17</v>
      </c>
      <c r="D6515" s="2" t="s">
        <v>18</v>
      </c>
      <c r="E6515" s="5">
        <v>-28111</v>
      </c>
      <c r="F6515" s="3" t="s">
        <v>275</v>
      </c>
      <c r="G6515" s="3" t="s">
        <v>276</v>
      </c>
      <c r="H6515" s="2" t="s">
        <v>21</v>
      </c>
      <c r="I6515" s="2" t="s">
        <v>12992</v>
      </c>
      <c r="J6515" s="3" t="str">
        <f>HYPERLINK("https://www.boe.es/gazeta/dias/1823/01/12/pdfs/GMD-1823-12.pdf#page=7","Abrir facsímil")</f>
        <v>Abrir facsímil</v>
      </c>
      <c r="K6515" s="3" t="s">
        <v>23</v>
      </c>
    </row>
    <row r="6516" spans="1:11" ht="42" customHeight="1">
      <c r="A6516" s="2" t="s">
        <v>12989</v>
      </c>
      <c r="B6516" s="2" t="s">
        <v>12989</v>
      </c>
      <c r="C6516" s="2" t="s">
        <v>73</v>
      </c>
      <c r="D6516" s="2" t="s">
        <v>74</v>
      </c>
      <c r="E6516" s="5">
        <v>-28104</v>
      </c>
      <c r="F6516" s="3" t="s">
        <v>114</v>
      </c>
      <c r="G6516" s="3" t="s">
        <v>34</v>
      </c>
      <c r="H6516" s="2" t="s">
        <v>21</v>
      </c>
      <c r="I6516" s="2" t="s">
        <v>12993</v>
      </c>
      <c r="J6516" s="3" t="str">
        <f>HYPERLINK("https://www.boe.es/gazeta/dias/1823/01/19/pdfs/GMD-1823-19.pdf#page=5","Abrir facsímil")</f>
        <v>Abrir facsímil</v>
      </c>
      <c r="K6516" s="3" t="s">
        <v>23</v>
      </c>
    </row>
    <row r="6517" spans="1:11" ht="42" customHeight="1">
      <c r="A6517" s="2" t="s">
        <v>12989</v>
      </c>
      <c r="B6517" s="2" t="s">
        <v>12989</v>
      </c>
      <c r="C6517" s="2" t="s">
        <v>17</v>
      </c>
      <c r="D6517" s="2" t="s">
        <v>18</v>
      </c>
      <c r="E6517" s="5">
        <v>-28101</v>
      </c>
      <c r="F6517" s="3" t="s">
        <v>1041</v>
      </c>
      <c r="G6517" s="3" t="s">
        <v>20</v>
      </c>
      <c r="H6517" s="2" t="s">
        <v>21</v>
      </c>
      <c r="I6517" s="2" t="s">
        <v>12994</v>
      </c>
      <c r="J6517" s="3" t="str">
        <f>HYPERLINK("https://www.boe.es/gazeta/dias/1823/01/22/pdfs/GMD-1823-23.pdf#page=4","Abrir facsímil")</f>
        <v>Abrir facsímil</v>
      </c>
      <c r="K6517" s="3" t="s">
        <v>23</v>
      </c>
    </row>
    <row r="6518" spans="1:11" ht="42" customHeight="1">
      <c r="A6518" s="2" t="s">
        <v>12989</v>
      </c>
      <c r="B6518" s="2" t="s">
        <v>12989</v>
      </c>
      <c r="C6518" s="2" t="s">
        <v>17</v>
      </c>
      <c r="D6518" s="2" t="s">
        <v>18</v>
      </c>
      <c r="E6518" s="5">
        <v>-28086</v>
      </c>
      <c r="F6518" s="3" t="s">
        <v>289</v>
      </c>
      <c r="G6518" s="3" t="s">
        <v>20</v>
      </c>
      <c r="H6518" s="2" t="s">
        <v>21</v>
      </c>
      <c r="I6518" s="2" t="s">
        <v>12995</v>
      </c>
      <c r="J6518" s="3" t="str">
        <f>HYPERLINK("https://www.boe.es/gazeta/dias/1823/02/06/pdfs/GMD-1823-39.pdf#page=4","Abrir facsímil")</f>
        <v>Abrir facsímil</v>
      </c>
      <c r="K6518" s="3" t="s">
        <v>23</v>
      </c>
    </row>
    <row r="6519" spans="1:11" ht="42" customHeight="1">
      <c r="A6519" s="2" t="s">
        <v>12989</v>
      </c>
      <c r="B6519" s="2" t="s">
        <v>12989</v>
      </c>
      <c r="C6519" s="2" t="s">
        <v>17</v>
      </c>
      <c r="D6519" s="2" t="s">
        <v>18</v>
      </c>
      <c r="E6519" s="5">
        <v>-28073</v>
      </c>
      <c r="F6519" s="3" t="s">
        <v>204</v>
      </c>
      <c r="G6519" s="3" t="s">
        <v>27</v>
      </c>
      <c r="H6519" s="2" t="s">
        <v>21</v>
      </c>
      <c r="I6519" s="2" t="s">
        <v>12996</v>
      </c>
      <c r="J6519" s="3" t="str">
        <f>HYPERLINK("https://www.boe.es/gazeta/dias/1823/02/19/pdfs/GMD-1823-53.pdf#page=2","Abrir facsímil")</f>
        <v>Abrir facsímil</v>
      </c>
      <c r="K6519" s="3" t="s">
        <v>23</v>
      </c>
    </row>
    <row r="6520" spans="1:11" ht="42" customHeight="1">
      <c r="A6520" s="2" t="s">
        <v>12989</v>
      </c>
      <c r="B6520" s="2" t="s">
        <v>12989</v>
      </c>
      <c r="C6520" s="2" t="s">
        <v>17</v>
      </c>
      <c r="D6520" s="2" t="s">
        <v>18</v>
      </c>
      <c r="E6520" s="5">
        <v>-28065</v>
      </c>
      <c r="F6520" s="3" t="s">
        <v>686</v>
      </c>
      <c r="G6520" s="3" t="s">
        <v>48</v>
      </c>
      <c r="H6520" s="2" t="s">
        <v>21</v>
      </c>
      <c r="I6520" s="2" t="s">
        <v>12997</v>
      </c>
      <c r="J6520" s="3" t="str">
        <f>HYPERLINK("https://www.boe.es/gazeta/dias/1823/02/27/pdfs/GMD-1823-61.pdf#page=3","Abrir facsímil")</f>
        <v>Abrir facsímil</v>
      </c>
      <c r="K6520" s="3" t="s">
        <v>23</v>
      </c>
    </row>
    <row r="6521" spans="1:11" ht="42" customHeight="1">
      <c r="A6521" s="2" t="s">
        <v>12989</v>
      </c>
      <c r="B6521" s="2" t="s">
        <v>12989</v>
      </c>
      <c r="C6521" s="2" t="s">
        <v>79</v>
      </c>
      <c r="D6521" s="2" t="s">
        <v>74</v>
      </c>
      <c r="E6521" s="5">
        <v>-28050</v>
      </c>
      <c r="F6521" s="3" t="s">
        <v>473</v>
      </c>
      <c r="G6521" s="3" t="s">
        <v>20</v>
      </c>
      <c r="H6521" s="2" t="s">
        <v>21</v>
      </c>
      <c r="I6521" s="2" t="s">
        <v>12998</v>
      </c>
      <c r="J6521" s="3" t="str">
        <f>HYPERLINK("https://www.boe.es/gazeta/dias/1823/03/14/pdfs/GMD-1823-77.pdf#page=4","Abrir facsímil")</f>
        <v>Abrir facsímil</v>
      </c>
      <c r="K6521" s="3" t="s">
        <v>23</v>
      </c>
    </row>
    <row r="6522" spans="1:11" ht="42" customHeight="1">
      <c r="A6522" s="2" t="s">
        <v>12989</v>
      </c>
      <c r="B6522" s="2" t="s">
        <v>12989</v>
      </c>
      <c r="C6522" s="2" t="s">
        <v>84</v>
      </c>
      <c r="D6522" s="2" t="s">
        <v>74</v>
      </c>
      <c r="E6522" s="5">
        <v>-28040</v>
      </c>
      <c r="F6522" s="3" t="s">
        <v>2971</v>
      </c>
      <c r="G6522" s="3" t="s">
        <v>20</v>
      </c>
      <c r="H6522" s="2" t="s">
        <v>21</v>
      </c>
      <c r="I6522" s="2" t="s">
        <v>12999</v>
      </c>
      <c r="J6522" s="3" t="str">
        <f>HYPERLINK("https://www.boe.es/gazeta/dias/1823/03/24/pdfs/GMD-1823-87.pdf#page=4","Abrir facsímil")</f>
        <v>Abrir facsímil</v>
      </c>
      <c r="K6522" s="3" t="s">
        <v>23</v>
      </c>
    </row>
    <row r="6523" spans="1:11" ht="42" customHeight="1">
      <c r="A6523" s="2" t="s">
        <v>12989</v>
      </c>
      <c r="B6523" s="2" t="s">
        <v>12989</v>
      </c>
      <c r="C6523" s="2" t="s">
        <v>17</v>
      </c>
      <c r="D6523" s="2" t="s">
        <v>18</v>
      </c>
      <c r="E6523" s="5">
        <v>-28011</v>
      </c>
      <c r="F6523" s="3" t="s">
        <v>3326</v>
      </c>
      <c r="G6523" s="3" t="s">
        <v>20</v>
      </c>
      <c r="H6523" s="2" t="s">
        <v>21</v>
      </c>
      <c r="I6523" s="2" t="s">
        <v>13000</v>
      </c>
      <c r="J6523" s="3" t="str">
        <f>HYPERLINK("https://www.boe.es/gazeta/dias/1823/04/22/pdfs/GES-1823-12.pdf#page=4","Abrir facsímil")</f>
        <v>Abrir facsímil</v>
      </c>
      <c r="K6523" s="3" t="s">
        <v>23</v>
      </c>
    </row>
    <row r="6524" spans="1:11" ht="42" customHeight="1">
      <c r="A6524" s="2" t="s">
        <v>12989</v>
      </c>
      <c r="B6524" s="2" t="s">
        <v>12989</v>
      </c>
      <c r="C6524" s="2" t="s">
        <v>17</v>
      </c>
      <c r="D6524" s="2" t="s">
        <v>18</v>
      </c>
      <c r="E6524" s="5">
        <v>-27984</v>
      </c>
      <c r="F6524" s="3" t="s">
        <v>335</v>
      </c>
      <c r="G6524" s="3" t="s">
        <v>27</v>
      </c>
      <c r="H6524" s="2" t="s">
        <v>21</v>
      </c>
      <c r="I6524" s="2" t="s">
        <v>13001</v>
      </c>
      <c r="J6524" s="3" t="str">
        <f>HYPERLINK("https://www.boe.es/gazeta/dias/1823/05/19/pdfs/GES-1823-39.pdf#page=2","Abrir facsímil")</f>
        <v>Abrir facsímil</v>
      </c>
      <c r="K6524" s="3" t="s">
        <v>23</v>
      </c>
    </row>
    <row r="6525" spans="1:11" ht="42" customHeight="1">
      <c r="A6525" s="2" t="s">
        <v>12989</v>
      </c>
      <c r="B6525" s="2" t="s">
        <v>12989</v>
      </c>
      <c r="C6525" s="2" t="s">
        <v>17</v>
      </c>
      <c r="D6525" s="2" t="s">
        <v>18</v>
      </c>
      <c r="E6525" s="5">
        <v>-27932</v>
      </c>
      <c r="F6525" s="3" t="s">
        <v>786</v>
      </c>
      <c r="G6525" s="3" t="s">
        <v>715</v>
      </c>
      <c r="H6525" s="2" t="s">
        <v>21</v>
      </c>
      <c r="I6525" s="2" t="s">
        <v>13002</v>
      </c>
      <c r="J6525" s="3" t="str">
        <f>HYPERLINK("https://www.boe.es/gazeta/dias/1823/07/10/pdfs/GMD-1823-363.pdf#page=8","Abrir facsímil")</f>
        <v>Abrir facsímil</v>
      </c>
      <c r="K6525" s="3" t="s">
        <v>23</v>
      </c>
    </row>
    <row r="6526" spans="1:11" ht="42" customHeight="1">
      <c r="A6526" s="2" t="s">
        <v>12989</v>
      </c>
      <c r="B6526" s="2" t="s">
        <v>12989</v>
      </c>
      <c r="C6526" s="2" t="s">
        <v>17</v>
      </c>
      <c r="D6526" s="2" t="s">
        <v>18</v>
      </c>
      <c r="E6526" s="5">
        <v>-27915</v>
      </c>
      <c r="F6526" s="3" t="s">
        <v>524</v>
      </c>
      <c r="G6526" s="3" t="s">
        <v>20</v>
      </c>
      <c r="H6526" s="2" t="s">
        <v>21</v>
      </c>
      <c r="I6526" s="2" t="s">
        <v>13003</v>
      </c>
      <c r="J6526" s="3" t="str">
        <f>HYPERLINK("https://www.boe.es/gazeta/dias/1823/07/27/pdfs/GES-1823-108.pdf#page=4","Abrir facsímil")</f>
        <v>Abrir facsímil</v>
      </c>
      <c r="K6526" s="3" t="s">
        <v>23</v>
      </c>
    </row>
    <row r="6527" spans="1:11" ht="42" customHeight="1">
      <c r="A6527" s="2" t="s">
        <v>12989</v>
      </c>
      <c r="B6527" s="2" t="s">
        <v>12989</v>
      </c>
      <c r="C6527" s="2" t="s">
        <v>17</v>
      </c>
      <c r="D6527" s="2" t="s">
        <v>18</v>
      </c>
      <c r="E6527" s="5">
        <v>-27909</v>
      </c>
      <c r="F6527" s="3" t="s">
        <v>948</v>
      </c>
      <c r="G6527" s="3" t="s">
        <v>20</v>
      </c>
      <c r="H6527" s="2" t="s">
        <v>21</v>
      </c>
      <c r="I6527" s="2" t="s">
        <v>13004</v>
      </c>
      <c r="J6527" s="3" t="str">
        <f>HYPERLINK("https://www.boe.es/gazeta/dias/1823/08/02/pdfs/GES-1823-114.pdf#page=4","Abrir facsímil")</f>
        <v>Abrir facsímil</v>
      </c>
      <c r="K6527" s="3" t="s">
        <v>23</v>
      </c>
    </row>
    <row r="6528" spans="1:11" ht="42" customHeight="1">
      <c r="A6528" s="2" t="s">
        <v>12989</v>
      </c>
      <c r="B6528" s="2" t="s">
        <v>12989</v>
      </c>
      <c r="C6528" s="2" t="s">
        <v>109</v>
      </c>
      <c r="D6528" s="2" t="s">
        <v>74</v>
      </c>
      <c r="E6528" s="5">
        <v>-27898</v>
      </c>
      <c r="F6528" s="3" t="s">
        <v>5169</v>
      </c>
      <c r="G6528" s="3" t="s">
        <v>20</v>
      </c>
      <c r="H6528" s="2" t="s">
        <v>21</v>
      </c>
      <c r="I6528" s="2" t="s">
        <v>13005</v>
      </c>
      <c r="J6528" s="3" t="str">
        <f>HYPERLINK("https://www.boe.es/gazeta/dias/1823/08/13/pdfs/GES-1823-126.pdf#page=4","Abrir facsímil")</f>
        <v>Abrir facsímil</v>
      </c>
      <c r="K6528" s="3" t="s">
        <v>23</v>
      </c>
    </row>
    <row r="6529" spans="1:11" ht="42" customHeight="1">
      <c r="A6529" s="2" t="s">
        <v>12989</v>
      </c>
      <c r="B6529" s="2" t="s">
        <v>12989</v>
      </c>
      <c r="C6529" s="2" t="s">
        <v>17</v>
      </c>
      <c r="D6529" s="2" t="s">
        <v>18</v>
      </c>
      <c r="E6529" s="5">
        <v>-27892</v>
      </c>
      <c r="F6529" s="3" t="s">
        <v>1571</v>
      </c>
      <c r="G6529" s="3" t="s">
        <v>27</v>
      </c>
      <c r="H6529" s="2" t="s">
        <v>21</v>
      </c>
      <c r="I6529" s="2" t="s">
        <v>13006</v>
      </c>
      <c r="J6529" s="3" t="str">
        <f>HYPERLINK("https://www.boe.es/gazeta/dias/1823/08/19/pdfs/GMD-1823-613.pdf#page=2","Abrir facsímil")</f>
        <v>Abrir facsímil</v>
      </c>
      <c r="K6529" s="3" t="s">
        <v>23</v>
      </c>
    </row>
    <row r="6530" spans="1:11" ht="42" customHeight="1">
      <c r="A6530" s="2" t="s">
        <v>12989</v>
      </c>
      <c r="B6530" s="2" t="s">
        <v>12989</v>
      </c>
      <c r="C6530" s="2" t="s">
        <v>17</v>
      </c>
      <c r="D6530" s="2" t="s">
        <v>18</v>
      </c>
      <c r="E6530" s="5">
        <v>-27876</v>
      </c>
      <c r="F6530" s="3" t="s">
        <v>4848</v>
      </c>
      <c r="G6530" s="3" t="s">
        <v>20</v>
      </c>
      <c r="H6530" s="2" t="s">
        <v>21</v>
      </c>
      <c r="I6530" s="2" t="s">
        <v>13007</v>
      </c>
      <c r="J6530" s="3" t="str">
        <f>HYPERLINK("https://www.boe.es/gazeta/dias/1823/09/04/pdfs/GES-1823-148.pdf#page=4","Abrir facsímil")</f>
        <v>Abrir facsímil</v>
      </c>
      <c r="K6530" s="3" t="s">
        <v>23</v>
      </c>
    </row>
    <row r="6531" spans="1:11" ht="42" customHeight="1">
      <c r="A6531" s="2" t="s">
        <v>12989</v>
      </c>
      <c r="B6531" s="2" t="s">
        <v>12989</v>
      </c>
      <c r="C6531" s="2" t="s">
        <v>56</v>
      </c>
      <c r="D6531" s="2" t="s">
        <v>57</v>
      </c>
      <c r="E6531" s="5">
        <v>-27865</v>
      </c>
      <c r="F6531" s="3" t="s">
        <v>9815</v>
      </c>
      <c r="G6531" s="3" t="s">
        <v>20</v>
      </c>
      <c r="H6531" s="2" t="s">
        <v>21</v>
      </c>
      <c r="I6531" s="2" t="s">
        <v>13008</v>
      </c>
      <c r="J6531" s="3" t="str">
        <f>HYPERLINK("https://www.boe.es/gazeta/dias/1823/09/15/pdfs/GES-1823-159.pdf#page=4","Abrir facsímil")</f>
        <v>Abrir facsímil</v>
      </c>
      <c r="K6531" s="3" t="s">
        <v>23</v>
      </c>
    </row>
    <row r="6532" spans="1:11" ht="42" customHeight="1">
      <c r="A6532" s="2" t="s">
        <v>12989</v>
      </c>
      <c r="B6532" s="2" t="s">
        <v>12989</v>
      </c>
      <c r="C6532" s="2" t="s">
        <v>17</v>
      </c>
      <c r="D6532" s="2" t="s">
        <v>18</v>
      </c>
      <c r="E6532" s="5">
        <v>-27864</v>
      </c>
      <c r="F6532" s="3" t="s">
        <v>1301</v>
      </c>
      <c r="G6532" s="3" t="s">
        <v>27</v>
      </c>
      <c r="H6532" s="2" t="s">
        <v>21</v>
      </c>
      <c r="I6532" s="2" t="s">
        <v>13009</v>
      </c>
      <c r="J6532" s="3" t="str">
        <f>HYPERLINK("https://www.boe.es/gazeta/dias/1823/09/16/pdfs/GES-1823-160.pdf#page=2","Abrir facsímil")</f>
        <v>Abrir facsímil</v>
      </c>
      <c r="K6532" s="3" t="s">
        <v>23</v>
      </c>
    </row>
    <row r="6533" spans="1:11" ht="42" customHeight="1">
      <c r="A6533" s="2" t="s">
        <v>12989</v>
      </c>
      <c r="B6533" s="2" t="s">
        <v>12989</v>
      </c>
      <c r="C6533" s="2" t="s">
        <v>17</v>
      </c>
      <c r="D6533" s="2" t="s">
        <v>18</v>
      </c>
      <c r="E6533" s="5">
        <v>-27780</v>
      </c>
      <c r="F6533" s="3" t="s">
        <v>1609</v>
      </c>
      <c r="G6533" s="3" t="s">
        <v>20</v>
      </c>
      <c r="H6533" s="2" t="s">
        <v>21</v>
      </c>
      <c r="I6533" s="2" t="s">
        <v>13010</v>
      </c>
      <c r="J6533" s="3" t="str">
        <f>HYPERLINK("https://www.boe.es/gazeta/dias/1823/12/09/pdfs/GMD-1823-1223.pdf#page=4","Abrir facsímil")</f>
        <v>Abrir facsímil</v>
      </c>
      <c r="K6533" s="3" t="s">
        <v>23</v>
      </c>
    </row>
    <row r="6534" spans="1:11" ht="42" customHeight="1">
      <c r="A6534" s="2" t="s">
        <v>13011</v>
      </c>
      <c r="B6534" s="2" t="s">
        <v>13012</v>
      </c>
      <c r="C6534" s="2" t="s">
        <v>79</v>
      </c>
      <c r="D6534" s="2" t="s">
        <v>74</v>
      </c>
      <c r="E6534" s="5">
        <v>-27869</v>
      </c>
      <c r="F6534" s="3" t="s">
        <v>1886</v>
      </c>
      <c r="G6534" s="3" t="s">
        <v>39</v>
      </c>
      <c r="H6534" s="2" t="s">
        <v>28</v>
      </c>
      <c r="I6534" s="2" t="s">
        <v>13013</v>
      </c>
      <c r="J6534" s="3" t="str">
        <f>HYPERLINK("https://www.boe.es/gazeta/dias/1823/09/11/pdfs/GES-1823-155.pdf#page=1","Abrir facsímil")</f>
        <v>Abrir facsímil</v>
      </c>
      <c r="K6534" s="3" t="s">
        <v>30</v>
      </c>
    </row>
    <row r="6535" spans="1:11" ht="42" customHeight="1">
      <c r="A6535" s="2" t="s">
        <v>13014</v>
      </c>
      <c r="B6535" s="2" t="s">
        <v>13015</v>
      </c>
      <c r="C6535" s="2" t="s">
        <v>79</v>
      </c>
      <c r="D6535" s="2" t="s">
        <v>74</v>
      </c>
      <c r="E6535" s="5">
        <v>-27891</v>
      </c>
      <c r="F6535" s="3" t="s">
        <v>825</v>
      </c>
      <c r="G6535" s="3" t="s">
        <v>20</v>
      </c>
      <c r="H6535" s="2" t="s">
        <v>21</v>
      </c>
      <c r="I6535" s="2" t="s">
        <v>13016</v>
      </c>
      <c r="J6535" s="3" t="str">
        <f>HYPERLINK("https://www.boe.es/gazeta/dias/1823/08/20/pdfs/GES-1823-133.pdf#page=4","Abrir facsímil")</f>
        <v>Abrir facsímil</v>
      </c>
      <c r="K6535" s="3" t="s">
        <v>23</v>
      </c>
    </row>
    <row r="6536" spans="1:11" ht="42" customHeight="1">
      <c r="A6536" s="2" t="s">
        <v>13017</v>
      </c>
      <c r="B6536" s="2" t="s">
        <v>13018</v>
      </c>
      <c r="C6536" s="2" t="s">
        <v>56</v>
      </c>
      <c r="D6536" s="2" t="s">
        <v>57</v>
      </c>
      <c r="E6536" s="5">
        <v>-27989</v>
      </c>
      <c r="F6536" s="3" t="s">
        <v>1134</v>
      </c>
      <c r="G6536" s="3" t="s">
        <v>59</v>
      </c>
      <c r="H6536" s="2" t="s">
        <v>21</v>
      </c>
      <c r="I6536" s="2" t="s">
        <v>13019</v>
      </c>
      <c r="J6536" s="3" t="str">
        <f>HYPERLINK("https://www.boe.es/gazeta/dias/1823/05/14/pdfs/GES-1823-34.pdf#page=6","Abrir facsímil")</f>
        <v>Abrir facsímil</v>
      </c>
      <c r="K6536" s="3" t="s">
        <v>23</v>
      </c>
    </row>
    <row r="6537" spans="1:11" ht="42" customHeight="1">
      <c r="A6537" s="2" t="s">
        <v>13017</v>
      </c>
      <c r="B6537" s="2" t="s">
        <v>13018</v>
      </c>
      <c r="C6537" s="2" t="s">
        <v>17</v>
      </c>
      <c r="D6537" s="2" t="s">
        <v>117</v>
      </c>
      <c r="E6537" s="5">
        <v>-27975</v>
      </c>
      <c r="F6537" s="3" t="s">
        <v>1922</v>
      </c>
      <c r="G6537" s="3" t="s">
        <v>39</v>
      </c>
      <c r="H6537" s="2" t="s">
        <v>21</v>
      </c>
      <c r="I6537" s="2" t="s">
        <v>13020</v>
      </c>
      <c r="J6537" s="3" t="str">
        <f>HYPERLINK("https://www.boe.es/gazeta/dias/1823/05/28/pdfs/GES-1823-51E.pdf#page=1","Abrir facsímil")</f>
        <v>Abrir facsímil</v>
      </c>
      <c r="K6537" s="3" t="s">
        <v>23</v>
      </c>
    </row>
    <row r="6538" spans="1:11" ht="42" customHeight="1">
      <c r="A6538" s="2" t="s">
        <v>13017</v>
      </c>
      <c r="B6538" s="2" t="s">
        <v>13018</v>
      </c>
      <c r="C6538" s="2" t="s">
        <v>84</v>
      </c>
      <c r="D6538" s="2" t="s">
        <v>74</v>
      </c>
      <c r="E6538" s="5">
        <v>-27804</v>
      </c>
      <c r="F6538" s="3" t="s">
        <v>836</v>
      </c>
      <c r="G6538" s="3" t="s">
        <v>20</v>
      </c>
      <c r="H6538" s="2" t="s">
        <v>21</v>
      </c>
      <c r="I6538" s="2" t="s">
        <v>13021</v>
      </c>
      <c r="J6538" s="3" t="str">
        <f>HYPERLINK("https://www.boe.es/gazeta/dias/1823/11/15/pdfs/GMD-1823-1123.pdf#page=4","Abrir facsímil")</f>
        <v>Abrir facsímil</v>
      </c>
      <c r="K6538" s="3" t="s">
        <v>23</v>
      </c>
    </row>
    <row r="6539" spans="1:11" ht="42" customHeight="1">
      <c r="A6539" s="2" t="s">
        <v>13022</v>
      </c>
      <c r="B6539" s="2" t="s">
        <v>13023</v>
      </c>
      <c r="C6539" s="2" t="s">
        <v>73</v>
      </c>
      <c r="D6539" s="2" t="s">
        <v>74</v>
      </c>
      <c r="E6539" s="5">
        <v>-28082</v>
      </c>
      <c r="F6539" s="3" t="s">
        <v>468</v>
      </c>
      <c r="G6539" s="3" t="s">
        <v>59</v>
      </c>
      <c r="H6539" s="2" t="s">
        <v>21</v>
      </c>
      <c r="I6539" s="2" t="s">
        <v>13024</v>
      </c>
      <c r="J6539" s="3" t="str">
        <f>HYPERLINK("https://www.boe.es/gazeta/dias/1823/02/10/pdfs/GMD-1823-44.pdf#page=6","Abrir facsímil")</f>
        <v>Abrir facsímil</v>
      </c>
      <c r="K6539" s="3" t="s">
        <v>23</v>
      </c>
    </row>
    <row r="6540" spans="1:11" ht="42" customHeight="1">
      <c r="A6540" s="2" t="s">
        <v>13022</v>
      </c>
      <c r="B6540" s="2" t="s">
        <v>13023</v>
      </c>
      <c r="C6540" s="2" t="s">
        <v>17</v>
      </c>
      <c r="D6540" s="2" t="s">
        <v>117</v>
      </c>
      <c r="E6540" s="5">
        <v>-27845</v>
      </c>
      <c r="F6540" s="3" t="s">
        <v>1590</v>
      </c>
      <c r="G6540" s="3" t="s">
        <v>39</v>
      </c>
      <c r="H6540" s="2" t="s">
        <v>21</v>
      </c>
      <c r="I6540" s="2" t="s">
        <v>13025</v>
      </c>
      <c r="J6540" s="3" t="str">
        <f>HYPERLINK("https://www.boe.es/gazeta/dias/1823/10/05/pdfs/GMD-1823-923E.pdf#page=1","Abrir facsímil")</f>
        <v>Abrir facsímil</v>
      </c>
      <c r="K6540" s="3" t="s">
        <v>23</v>
      </c>
    </row>
    <row r="6541" spans="1:11" ht="42" customHeight="1">
      <c r="A6541" s="2" t="s">
        <v>13026</v>
      </c>
      <c r="B6541" s="2" t="s">
        <v>13027</v>
      </c>
      <c r="C6541" s="2" t="s">
        <v>17</v>
      </c>
      <c r="D6541" s="2" t="s">
        <v>18</v>
      </c>
      <c r="E6541" s="5">
        <v>-28061</v>
      </c>
      <c r="F6541" s="3" t="s">
        <v>704</v>
      </c>
      <c r="G6541" s="3" t="s">
        <v>59</v>
      </c>
      <c r="H6541" s="2" t="s">
        <v>21</v>
      </c>
      <c r="I6541" s="2" t="s">
        <v>13028</v>
      </c>
      <c r="J6541" s="3" t="str">
        <f>HYPERLINK("https://www.boe.es/gazeta/dias/1823/03/03/pdfs/GMD-1823-66.pdf#page=6","Abrir facsímil")</f>
        <v>Abrir facsímil</v>
      </c>
      <c r="K6541" s="3" t="s">
        <v>23</v>
      </c>
    </row>
    <row r="6542" spans="1:11" ht="42" customHeight="1">
      <c r="A6542" s="2" t="s">
        <v>13029</v>
      </c>
      <c r="B6542" s="2" t="s">
        <v>13030</v>
      </c>
      <c r="C6542" s="2" t="s">
        <v>56</v>
      </c>
      <c r="D6542" s="2" t="s">
        <v>57</v>
      </c>
      <c r="E6542" s="5">
        <v>-28084</v>
      </c>
      <c r="F6542" s="3" t="s">
        <v>1049</v>
      </c>
      <c r="G6542" s="3" t="s">
        <v>20</v>
      </c>
      <c r="H6542" s="2" t="s">
        <v>21</v>
      </c>
      <c r="I6542" s="2" t="s">
        <v>13031</v>
      </c>
      <c r="J6542" s="3" t="str">
        <f>HYPERLINK("https://www.boe.es/gazeta/dias/1823/02/08/pdfs/GMD-1823-41.pdf#page=4","Abrir facsímil")</f>
        <v>Abrir facsímil</v>
      </c>
      <c r="K6542" s="3" t="s">
        <v>23</v>
      </c>
    </row>
    <row r="6543" spans="1:11" ht="42" customHeight="1">
      <c r="A6543" s="2" t="s">
        <v>13032</v>
      </c>
      <c r="B6543" s="2" t="s">
        <v>13033</v>
      </c>
      <c r="C6543" s="2" t="s">
        <v>17</v>
      </c>
      <c r="D6543" s="2" t="s">
        <v>18</v>
      </c>
      <c r="E6543" s="5">
        <v>-28016</v>
      </c>
      <c r="F6543" s="3" t="s">
        <v>287</v>
      </c>
      <c r="G6543" s="3" t="s">
        <v>48</v>
      </c>
      <c r="H6543" s="2" t="s">
        <v>21</v>
      </c>
      <c r="I6543" s="2" t="s">
        <v>13034</v>
      </c>
      <c r="J6543" s="3" t="str">
        <f>HYPERLINK("https://www.boe.es/gazeta/dias/1823/04/17/pdfs/GMD-1823-22.pdf#page=3","Abrir facsímil")</f>
        <v>Abrir facsímil</v>
      </c>
      <c r="K6543" s="3" t="s">
        <v>23</v>
      </c>
    </row>
    <row r="6544" spans="1:11" ht="42" customHeight="1">
      <c r="A6544" s="2" t="s">
        <v>13035</v>
      </c>
      <c r="B6544" s="2" t="s">
        <v>13035</v>
      </c>
      <c r="C6544" s="2" t="s">
        <v>79</v>
      </c>
      <c r="D6544" s="2" t="s">
        <v>74</v>
      </c>
      <c r="E6544" s="5">
        <v>-27901</v>
      </c>
      <c r="F6544" s="3" t="s">
        <v>840</v>
      </c>
      <c r="G6544" s="3" t="s">
        <v>20</v>
      </c>
      <c r="H6544" s="2" t="s">
        <v>21</v>
      </c>
      <c r="I6544" s="2" t="s">
        <v>13036</v>
      </c>
      <c r="J6544" s="3" t="str">
        <f>HYPERLINK("https://www.boe.es/gazeta/dias/1823/08/10/pdfs/GES-1823-123.pdf#page=4","Abrir facsímil")</f>
        <v>Abrir facsímil</v>
      </c>
      <c r="K6544" s="3" t="s">
        <v>23</v>
      </c>
    </row>
    <row r="6545" spans="1:11" ht="42" customHeight="1">
      <c r="A6545" s="2" t="s">
        <v>13037</v>
      </c>
      <c r="B6545" s="2" t="s">
        <v>13037</v>
      </c>
      <c r="C6545" s="2" t="s">
        <v>17</v>
      </c>
      <c r="D6545" s="2" t="s">
        <v>18</v>
      </c>
      <c r="E6545" s="5">
        <v>-27931</v>
      </c>
      <c r="F6545" s="3" t="s">
        <v>1833</v>
      </c>
      <c r="G6545" s="3" t="s">
        <v>48</v>
      </c>
      <c r="H6545" s="2" t="s">
        <v>21</v>
      </c>
      <c r="I6545" s="2" t="s">
        <v>13038</v>
      </c>
      <c r="J6545" s="3" t="str">
        <f>HYPERLINK("https://www.boe.es/gazeta/dias/1823/07/11/pdfs/GES-1823-91.pdf#page=3","Abrir facsímil")</f>
        <v>Abrir facsímil</v>
      </c>
      <c r="K6545" s="3" t="s">
        <v>23</v>
      </c>
    </row>
    <row r="6546" spans="1:11" ht="42" customHeight="1">
      <c r="A6546" s="2" t="s">
        <v>13039</v>
      </c>
      <c r="B6546" s="2" t="s">
        <v>13040</v>
      </c>
      <c r="C6546" s="2" t="s">
        <v>17</v>
      </c>
      <c r="D6546" s="2" t="s">
        <v>18</v>
      </c>
      <c r="E6546" s="5">
        <v>-28070</v>
      </c>
      <c r="F6546" s="3" t="s">
        <v>972</v>
      </c>
      <c r="G6546" s="3" t="s">
        <v>48</v>
      </c>
      <c r="H6546" s="2" t="s">
        <v>21</v>
      </c>
      <c r="I6546" s="2" t="s">
        <v>13041</v>
      </c>
      <c r="J6546" s="3" t="str">
        <f>HYPERLINK("https://www.boe.es/gazeta/dias/1823/02/22/pdfs/GMD-1823-56.pdf#page=3","Abrir facsímil")</f>
        <v>Abrir facsímil</v>
      </c>
      <c r="K6546" s="3" t="s">
        <v>23</v>
      </c>
    </row>
    <row r="6547" spans="1:11" ht="42" customHeight="1">
      <c r="A6547" s="2" t="s">
        <v>13042</v>
      </c>
      <c r="B6547" s="2" t="s">
        <v>13043</v>
      </c>
      <c r="C6547" s="2" t="s">
        <v>79</v>
      </c>
      <c r="D6547" s="2" t="s">
        <v>74</v>
      </c>
      <c r="E6547" s="5">
        <v>-28070</v>
      </c>
      <c r="F6547" s="3" t="s">
        <v>972</v>
      </c>
      <c r="G6547" s="3" t="s">
        <v>48</v>
      </c>
      <c r="H6547" s="2" t="s">
        <v>21</v>
      </c>
      <c r="I6547" s="2" t="s">
        <v>13044</v>
      </c>
      <c r="J6547" s="3" t="str">
        <f>HYPERLINK("https://www.boe.es/gazeta/dias/1823/02/22/pdfs/GMD-1823-56.pdf#page=3","Abrir facsímil")</f>
        <v>Abrir facsímil</v>
      </c>
      <c r="K6547" s="3" t="s">
        <v>23</v>
      </c>
    </row>
    <row r="6548" spans="1:11" ht="42" customHeight="1">
      <c r="A6548" s="2" t="s">
        <v>13045</v>
      </c>
      <c r="B6548" s="2" t="s">
        <v>13046</v>
      </c>
      <c r="C6548" s="2" t="s">
        <v>17</v>
      </c>
      <c r="D6548" s="2" t="s">
        <v>18</v>
      </c>
      <c r="E6548" s="5">
        <v>-28057</v>
      </c>
      <c r="F6548" s="3" t="s">
        <v>301</v>
      </c>
      <c r="G6548" s="3" t="s">
        <v>27</v>
      </c>
      <c r="H6548" s="2" t="s">
        <v>21</v>
      </c>
      <c r="I6548" s="2" t="s">
        <v>13047</v>
      </c>
      <c r="J6548" s="3" t="str">
        <f>HYPERLINK("https://www.boe.es/gazeta/dias/1823/03/07/pdfs/GMD-1823-70.pdf#page=2","Abrir facsímil")</f>
        <v>Abrir facsímil</v>
      </c>
      <c r="K6548" s="3" t="s">
        <v>23</v>
      </c>
    </row>
    <row r="6549" spans="1:11" ht="42" customHeight="1">
      <c r="A6549" s="2" t="s">
        <v>13048</v>
      </c>
      <c r="B6549" s="2" t="s">
        <v>13049</v>
      </c>
      <c r="C6549" s="2" t="s">
        <v>17</v>
      </c>
      <c r="D6549" s="2" t="s">
        <v>18</v>
      </c>
      <c r="E6549" s="5">
        <v>-28013</v>
      </c>
      <c r="F6549" s="3" t="s">
        <v>2466</v>
      </c>
      <c r="G6549" s="3" t="s">
        <v>2467</v>
      </c>
      <c r="H6549" s="2" t="s">
        <v>21</v>
      </c>
      <c r="I6549" s="2" t="s">
        <v>13050</v>
      </c>
      <c r="J6549" s="3" t="str">
        <f>HYPERLINK("https://www.boe.es/gazeta/dias/1823/04/20/pdfs/GES-1823-10.pdf#page=3","Abrir facsímil")</f>
        <v>Abrir facsímil</v>
      </c>
      <c r="K6549" s="3" t="s">
        <v>23</v>
      </c>
    </row>
    <row r="6550" spans="1:11" ht="42" customHeight="1">
      <c r="A6550" s="2" t="s">
        <v>13051</v>
      </c>
      <c r="B6550" s="2" t="s">
        <v>13052</v>
      </c>
      <c r="C6550" s="2" t="s">
        <v>56</v>
      </c>
      <c r="D6550" s="2" t="s">
        <v>57</v>
      </c>
      <c r="E6550" s="5">
        <v>-28068</v>
      </c>
      <c r="F6550" s="3" t="s">
        <v>1325</v>
      </c>
      <c r="G6550" s="3" t="s">
        <v>39</v>
      </c>
      <c r="H6550" s="2" t="s">
        <v>21</v>
      </c>
      <c r="I6550" s="2" t="s">
        <v>13053</v>
      </c>
      <c r="J6550" s="3" t="str">
        <f>HYPERLINK("https://www.boe.es/gazeta/dias/1823/02/24/pdfs/GMD-1823-58.pdf#page=1","Abrir facsímil")</f>
        <v>Abrir facsímil</v>
      </c>
      <c r="K6550" s="3" t="s">
        <v>23</v>
      </c>
    </row>
    <row r="6551" spans="1:11" ht="42" customHeight="1">
      <c r="A6551" s="2" t="s">
        <v>13054</v>
      </c>
      <c r="B6551" s="2" t="s">
        <v>13054</v>
      </c>
      <c r="C6551" s="2" t="s">
        <v>17</v>
      </c>
      <c r="D6551" s="2" t="s">
        <v>18</v>
      </c>
      <c r="E6551" s="5">
        <v>-27932</v>
      </c>
      <c r="F6551" s="3" t="s">
        <v>786</v>
      </c>
      <c r="G6551" s="3" t="s">
        <v>34</v>
      </c>
      <c r="H6551" s="2" t="s">
        <v>21</v>
      </c>
      <c r="I6551" s="2" t="s">
        <v>13055</v>
      </c>
      <c r="J6551" s="3" t="str">
        <f>HYPERLINK("https://www.boe.es/gazeta/dias/1823/07/10/pdfs/GMD-1823-363.pdf#page=5","Abrir facsímil")</f>
        <v>Abrir facsímil</v>
      </c>
      <c r="K6551" s="3" t="s">
        <v>23</v>
      </c>
    </row>
    <row r="6552" spans="1:11" ht="42" customHeight="1">
      <c r="A6552" s="2" t="s">
        <v>13056</v>
      </c>
      <c r="B6552" s="2" t="s">
        <v>13057</v>
      </c>
      <c r="C6552" s="2" t="s">
        <v>17</v>
      </c>
      <c r="D6552" s="2" t="s">
        <v>18</v>
      </c>
      <c r="E6552" s="5">
        <v>-27930</v>
      </c>
      <c r="F6552" s="3" t="s">
        <v>2334</v>
      </c>
      <c r="G6552" s="3" t="s">
        <v>20</v>
      </c>
      <c r="H6552" s="2" t="s">
        <v>21</v>
      </c>
      <c r="I6552" s="2" t="s">
        <v>13058</v>
      </c>
      <c r="J6552" s="3" t="str">
        <f>HYPERLINK("https://www.boe.es/gazeta/dias/1823/07/12/pdfs/GES-1823-92.pdf#page=4","Abrir facsímil")</f>
        <v>Abrir facsímil</v>
      </c>
      <c r="K6552" s="3" t="s">
        <v>23</v>
      </c>
    </row>
    <row r="6553" spans="1:11" ht="42" customHeight="1">
      <c r="A6553" s="2" t="s">
        <v>13059</v>
      </c>
      <c r="B6553" s="2" t="s">
        <v>13060</v>
      </c>
      <c r="C6553" s="2" t="s">
        <v>73</v>
      </c>
      <c r="D6553" s="2" t="s">
        <v>74</v>
      </c>
      <c r="E6553" s="5">
        <v>-27964</v>
      </c>
      <c r="F6553" s="3" t="s">
        <v>58</v>
      </c>
      <c r="G6553" s="3" t="s">
        <v>20</v>
      </c>
      <c r="H6553" s="2" t="s">
        <v>21</v>
      </c>
      <c r="I6553" s="2" t="s">
        <v>13061</v>
      </c>
      <c r="J6553" s="3" t="str">
        <f>HYPERLINK("https://www.boe.es/gazeta/dias/1823/06/08/pdfs/GES-1823-62.pdf#page=4","Abrir facsímil")</f>
        <v>Abrir facsímil</v>
      </c>
      <c r="K6553" s="3" t="s">
        <v>23</v>
      </c>
    </row>
    <row r="6554" spans="1:11" ht="42" customHeight="1">
      <c r="A6554" s="2" t="s">
        <v>13059</v>
      </c>
      <c r="B6554" s="2" t="s">
        <v>13060</v>
      </c>
      <c r="C6554" s="2" t="s">
        <v>17</v>
      </c>
      <c r="D6554" s="2" t="s">
        <v>18</v>
      </c>
      <c r="E6554" s="5">
        <v>-27963</v>
      </c>
      <c r="F6554" s="3" t="s">
        <v>344</v>
      </c>
      <c r="G6554" s="3" t="s">
        <v>20</v>
      </c>
      <c r="H6554" s="2" t="s">
        <v>21</v>
      </c>
      <c r="I6554" s="2" t="s">
        <v>13062</v>
      </c>
      <c r="J6554" s="3" t="str">
        <f>HYPERLINK("https://www.boe.es/gazeta/dias/1823/06/09/pdfs/GES-1823-63.pdf#page=4","Abrir facsímil")</f>
        <v>Abrir facsímil</v>
      </c>
      <c r="K6554" s="3" t="s">
        <v>23</v>
      </c>
    </row>
    <row r="6555" spans="1:11" ht="42" customHeight="1">
      <c r="A6555" s="2" t="s">
        <v>13063</v>
      </c>
      <c r="B6555" s="2" t="s">
        <v>13064</v>
      </c>
      <c r="C6555" s="2" t="s">
        <v>79</v>
      </c>
      <c r="D6555" s="2" t="s">
        <v>74</v>
      </c>
      <c r="E6555" s="5">
        <v>-28014</v>
      </c>
      <c r="F6555" s="3" t="s">
        <v>2805</v>
      </c>
      <c r="G6555" s="3" t="s">
        <v>20</v>
      </c>
      <c r="H6555" s="2" t="s">
        <v>21</v>
      </c>
      <c r="I6555" s="2" t="s">
        <v>13065</v>
      </c>
      <c r="J6555" s="3" t="str">
        <f>HYPERLINK("https://www.boe.es/gazeta/dias/1823/04/19/pdfs/GES-1823-9.pdf#page=4","Abrir facsímil")</f>
        <v>Abrir facsímil</v>
      </c>
      <c r="K6555" s="3" t="s">
        <v>23</v>
      </c>
    </row>
    <row r="6556" spans="1:11" ht="42" customHeight="1">
      <c r="A6556" s="2" t="s">
        <v>13066</v>
      </c>
      <c r="B6556" s="2" t="s">
        <v>13067</v>
      </c>
      <c r="C6556" s="2" t="s">
        <v>17</v>
      </c>
      <c r="D6556" s="2" t="s">
        <v>18</v>
      </c>
      <c r="E6556" s="5">
        <v>-28027</v>
      </c>
      <c r="F6556" s="3" t="s">
        <v>4234</v>
      </c>
      <c r="G6556" s="3" t="s">
        <v>27</v>
      </c>
      <c r="H6556" s="2" t="s">
        <v>21</v>
      </c>
      <c r="I6556" s="2" t="s">
        <v>13068</v>
      </c>
      <c r="J6556" s="3" t="str">
        <f>HYPERLINK("https://www.boe.es/gazeta/dias/1823/04/06/pdfs/GMD-1823-101.pdf#page=2","Abrir facsímil")</f>
        <v>Abrir facsímil</v>
      </c>
      <c r="K6556" s="3" t="s">
        <v>23</v>
      </c>
    </row>
    <row r="6557" spans="1:11" ht="42" customHeight="1">
      <c r="A6557" s="2" t="s">
        <v>13069</v>
      </c>
      <c r="B6557" s="2" t="s">
        <v>13069</v>
      </c>
      <c r="C6557" s="2" t="s">
        <v>79</v>
      </c>
      <c r="D6557" s="2" t="s">
        <v>74</v>
      </c>
      <c r="E6557" s="5">
        <v>-27885</v>
      </c>
      <c r="F6557" s="3" t="s">
        <v>65</v>
      </c>
      <c r="G6557" s="3" t="s">
        <v>48</v>
      </c>
      <c r="H6557" s="2" t="s">
        <v>21</v>
      </c>
      <c r="I6557" s="2" t="s">
        <v>13070</v>
      </c>
      <c r="J6557" s="3" t="str">
        <f>HYPERLINK("https://www.boe.es/gazeta/dias/1823/08/26/pdfs/GMD-1823-653.pdf#page=3","Abrir facsímil")</f>
        <v>Abrir facsímil</v>
      </c>
      <c r="K6557" s="3" t="s">
        <v>23</v>
      </c>
    </row>
    <row r="6558" spans="1:11" ht="42" customHeight="1">
      <c r="A6558" s="2" t="s">
        <v>13071</v>
      </c>
      <c r="B6558" s="2" t="s">
        <v>13071</v>
      </c>
      <c r="C6558" s="2" t="s">
        <v>17</v>
      </c>
      <c r="D6558" s="2" t="s">
        <v>18</v>
      </c>
      <c r="E6558" s="5">
        <v>-27960</v>
      </c>
      <c r="F6558" s="3" t="s">
        <v>682</v>
      </c>
      <c r="G6558" s="3" t="s">
        <v>48</v>
      </c>
      <c r="H6558" s="2" t="s">
        <v>21</v>
      </c>
      <c r="I6558" s="2" t="s">
        <v>13072</v>
      </c>
      <c r="J6558" s="3" t="str">
        <f>HYPERLINK("https://www.boe.es/gazeta/dias/1823/06/12/pdfs/GMD-1823-123.pdf#page=3","Abrir facsímil")</f>
        <v>Abrir facsímil</v>
      </c>
      <c r="K6558" s="3" t="s">
        <v>23</v>
      </c>
    </row>
    <row r="6559" spans="1:11" ht="42" customHeight="1">
      <c r="A6559" s="2" t="s">
        <v>13071</v>
      </c>
      <c r="B6559" s="2" t="s">
        <v>13071</v>
      </c>
      <c r="C6559" s="2" t="s">
        <v>17</v>
      </c>
      <c r="D6559" s="2" t="s">
        <v>18</v>
      </c>
      <c r="E6559" s="5">
        <v>-27951</v>
      </c>
      <c r="F6559" s="3" t="s">
        <v>4670</v>
      </c>
      <c r="G6559" s="3" t="s">
        <v>7417</v>
      </c>
      <c r="H6559" s="2" t="s">
        <v>21</v>
      </c>
      <c r="I6559" s="2" t="s">
        <v>13073</v>
      </c>
      <c r="J6559" s="3" t="str">
        <f>HYPERLINK("https://www.boe.es/gazeta/dias/1823/06/21/pdfs/GMD-1823-223.pdf#page=2","Abrir facsímil")</f>
        <v>Abrir facsímil</v>
      </c>
      <c r="K6559" s="3" t="s">
        <v>23</v>
      </c>
    </row>
    <row r="6560" spans="1:11" ht="42" customHeight="1">
      <c r="A6560" s="2" t="s">
        <v>13071</v>
      </c>
      <c r="B6560" s="2" t="s">
        <v>13071</v>
      </c>
      <c r="C6560" s="2" t="s">
        <v>17</v>
      </c>
      <c r="D6560" s="2" t="s">
        <v>18</v>
      </c>
      <c r="E6560" s="5">
        <v>-27909</v>
      </c>
      <c r="F6560" s="3" t="s">
        <v>1525</v>
      </c>
      <c r="G6560" s="3" t="s">
        <v>48</v>
      </c>
      <c r="H6560" s="2" t="s">
        <v>21</v>
      </c>
      <c r="I6560" s="2" t="s">
        <v>13074</v>
      </c>
      <c r="J6560" s="3" t="str">
        <f>HYPERLINK("https://www.boe.es/gazeta/dias/1823/08/02/pdfs/GMD-1823-513.pdf#page=3","Abrir facsímil")</f>
        <v>Abrir facsímil</v>
      </c>
      <c r="K6560" s="3" t="s">
        <v>23</v>
      </c>
    </row>
    <row r="6561" spans="1:11" ht="42" customHeight="1">
      <c r="A6561" s="2" t="s">
        <v>13071</v>
      </c>
      <c r="B6561" s="2" t="s">
        <v>13071</v>
      </c>
      <c r="C6561" s="2" t="s">
        <v>17</v>
      </c>
      <c r="D6561" s="2" t="s">
        <v>18</v>
      </c>
      <c r="E6561" s="5">
        <v>-27862</v>
      </c>
      <c r="F6561" s="3" t="s">
        <v>1530</v>
      </c>
      <c r="G6561" s="3" t="s">
        <v>27</v>
      </c>
      <c r="H6561" s="2" t="s">
        <v>21</v>
      </c>
      <c r="I6561" s="2" t="s">
        <v>13075</v>
      </c>
      <c r="J6561" s="3" t="str">
        <f>HYPERLINK("https://www.boe.es/gazeta/dias/1823/09/18/pdfs/GMD-1823-803.pdf#page=2","Abrir facsímil")</f>
        <v>Abrir facsímil</v>
      </c>
      <c r="K6561" s="3" t="s">
        <v>23</v>
      </c>
    </row>
    <row r="6562" spans="1:11" ht="42" customHeight="1">
      <c r="A6562" s="2" t="s">
        <v>13071</v>
      </c>
      <c r="B6562" s="2" t="s">
        <v>13071</v>
      </c>
      <c r="C6562" s="2" t="s">
        <v>17</v>
      </c>
      <c r="D6562" s="2" t="s">
        <v>18</v>
      </c>
      <c r="E6562" s="5">
        <v>-27848</v>
      </c>
      <c r="F6562" s="3" t="s">
        <v>1083</v>
      </c>
      <c r="G6562" s="3" t="s">
        <v>39</v>
      </c>
      <c r="H6562" s="2" t="s">
        <v>21</v>
      </c>
      <c r="I6562" s="2" t="s">
        <v>13076</v>
      </c>
      <c r="J6562" s="3" t="str">
        <f>HYPERLINK("https://www.boe.es/gazeta/dias/1823/10/02/pdfs/GES-1823-176.pdf#page=1","Abrir facsímil")</f>
        <v>Abrir facsímil</v>
      </c>
      <c r="K6562" s="3" t="s">
        <v>23</v>
      </c>
    </row>
    <row r="6563" spans="1:11" ht="42" customHeight="1">
      <c r="A6563" s="2" t="s">
        <v>13077</v>
      </c>
      <c r="B6563" s="2" t="s">
        <v>13077</v>
      </c>
      <c r="C6563" s="2" t="s">
        <v>17</v>
      </c>
      <c r="D6563" s="2" t="s">
        <v>18</v>
      </c>
      <c r="E6563" s="5">
        <v>-27848</v>
      </c>
      <c r="F6563" s="3" t="s">
        <v>1083</v>
      </c>
      <c r="G6563" s="3" t="s">
        <v>39</v>
      </c>
      <c r="H6563" s="2" t="s">
        <v>21</v>
      </c>
      <c r="I6563" s="2" t="s">
        <v>13078</v>
      </c>
      <c r="J6563" s="3" t="str">
        <f>HYPERLINK("https://www.boe.es/gazeta/dias/1823/10/02/pdfs/GES-1823-176.pdf#page=1","Abrir facsímil")</f>
        <v>Abrir facsímil</v>
      </c>
      <c r="K6563" s="3" t="s">
        <v>23</v>
      </c>
    </row>
    <row r="6564" spans="1:11" ht="42" customHeight="1">
      <c r="A6564" s="2" t="s">
        <v>13079</v>
      </c>
      <c r="B6564" s="2" t="s">
        <v>13080</v>
      </c>
      <c r="C6564" s="2" t="s">
        <v>17</v>
      </c>
      <c r="D6564" s="2" t="s">
        <v>18</v>
      </c>
      <c r="E6564" s="5">
        <v>-27827</v>
      </c>
      <c r="F6564" s="3" t="s">
        <v>531</v>
      </c>
      <c r="G6564" s="3" t="s">
        <v>48</v>
      </c>
      <c r="H6564" s="2" t="s">
        <v>21</v>
      </c>
      <c r="I6564" s="2" t="s">
        <v>13081</v>
      </c>
      <c r="J6564" s="3" t="str">
        <f>HYPERLINK("https://www.boe.es/gazeta/dias/1823/10/23/pdfs/GMD-1823-1013.pdf#page=3","Abrir facsímil")</f>
        <v>Abrir facsímil</v>
      </c>
      <c r="K6564" s="3" t="s">
        <v>23</v>
      </c>
    </row>
    <row r="6565" spans="1:11" ht="42" customHeight="1">
      <c r="A6565" s="2" t="s">
        <v>13082</v>
      </c>
      <c r="B6565" s="2" t="s">
        <v>13082</v>
      </c>
      <c r="C6565" s="2" t="s">
        <v>17</v>
      </c>
      <c r="D6565" s="2" t="s">
        <v>18</v>
      </c>
      <c r="E6565" s="5">
        <v>-28071</v>
      </c>
      <c r="F6565" s="3" t="s">
        <v>587</v>
      </c>
      <c r="G6565" s="3" t="s">
        <v>48</v>
      </c>
      <c r="H6565" s="2" t="s">
        <v>21</v>
      </c>
      <c r="I6565" s="2" t="s">
        <v>13083</v>
      </c>
      <c r="J6565" s="3" t="str">
        <f>HYPERLINK("https://www.boe.es/gazeta/dias/1823/02/21/pdfs/GMD-1823-55.pdf#page=3","Abrir facsímil")</f>
        <v>Abrir facsímil</v>
      </c>
      <c r="K6565" s="3" t="s">
        <v>23</v>
      </c>
    </row>
    <row r="6566" spans="1:11" ht="42" customHeight="1">
      <c r="A6566" s="2" t="s">
        <v>13084</v>
      </c>
      <c r="B6566" s="2" t="s">
        <v>13085</v>
      </c>
      <c r="C6566" s="2" t="s">
        <v>17</v>
      </c>
      <c r="D6566" s="2" t="s">
        <v>18</v>
      </c>
      <c r="E6566" s="5">
        <v>-28100</v>
      </c>
      <c r="F6566" s="3" t="s">
        <v>737</v>
      </c>
      <c r="G6566" s="3" t="s">
        <v>48</v>
      </c>
      <c r="H6566" s="2" t="s">
        <v>21</v>
      </c>
      <c r="I6566" s="2" t="s">
        <v>13086</v>
      </c>
      <c r="J6566" s="3" t="str">
        <f>HYPERLINK("https://www.boe.es/gazeta/dias/1823/01/23/pdfs/GMD-1823-24.pdf#page=3","Abrir facsímil")</f>
        <v>Abrir facsímil</v>
      </c>
      <c r="K6566" s="3" t="s">
        <v>23</v>
      </c>
    </row>
    <row r="6567" spans="1:11" ht="42" customHeight="1">
      <c r="A6567" s="2" t="s">
        <v>13087</v>
      </c>
      <c r="B6567" s="2" t="s">
        <v>13088</v>
      </c>
      <c r="C6567" s="2" t="s">
        <v>17</v>
      </c>
      <c r="D6567" s="2" t="s">
        <v>18</v>
      </c>
      <c r="E6567" s="5">
        <v>-27892</v>
      </c>
      <c r="F6567" s="3" t="s">
        <v>1571</v>
      </c>
      <c r="G6567" s="3" t="s">
        <v>39</v>
      </c>
      <c r="H6567" s="2" t="s">
        <v>21</v>
      </c>
      <c r="I6567" s="2" t="s">
        <v>13089</v>
      </c>
      <c r="J6567" s="3" t="str">
        <f>HYPERLINK("https://www.boe.es/gazeta/dias/1823/08/19/pdfs/GMD-1823-613.pdf#page=1","Abrir facsímil")</f>
        <v>Abrir facsímil</v>
      </c>
      <c r="K6567" s="3" t="s">
        <v>23</v>
      </c>
    </row>
    <row r="6568" spans="1:11" ht="42" customHeight="1">
      <c r="A6568" s="2" t="s">
        <v>13090</v>
      </c>
      <c r="B6568" s="2" t="s">
        <v>13091</v>
      </c>
      <c r="C6568" s="2" t="s">
        <v>109</v>
      </c>
      <c r="D6568" s="2" t="s">
        <v>74</v>
      </c>
      <c r="E6568" s="5">
        <v>-27797</v>
      </c>
      <c r="F6568" s="3" t="s">
        <v>3409</v>
      </c>
      <c r="G6568" s="3" t="s">
        <v>7570</v>
      </c>
      <c r="H6568" s="2" t="s">
        <v>21</v>
      </c>
      <c r="I6568" s="2" t="s">
        <v>13092</v>
      </c>
      <c r="J6568" s="3" t="str">
        <f>HYPERLINK("https://www.boe.es/gazeta/dias/1823/11/22/pdfs/GMD-1823-1153.pdf#page=2","Abrir facsímil")</f>
        <v>Abrir facsímil</v>
      </c>
      <c r="K6568" s="3" t="s">
        <v>23</v>
      </c>
    </row>
    <row r="6569" spans="1:11" ht="42" customHeight="1">
      <c r="A6569" s="2" t="s">
        <v>13093</v>
      </c>
      <c r="B6569" s="2" t="s">
        <v>13094</v>
      </c>
      <c r="C6569" s="2" t="s">
        <v>56</v>
      </c>
      <c r="D6569" s="2" t="s">
        <v>57</v>
      </c>
      <c r="E6569" s="5">
        <v>-27965</v>
      </c>
      <c r="F6569" s="3" t="s">
        <v>208</v>
      </c>
      <c r="G6569" s="3" t="s">
        <v>48</v>
      </c>
      <c r="H6569" s="2" t="s">
        <v>21</v>
      </c>
      <c r="I6569" s="2" t="s">
        <v>13095</v>
      </c>
      <c r="J6569" s="3" t="str">
        <f>HYPERLINK("https://www.boe.es/gazeta/dias/1823/06/07/pdfs/GES-1823-61.pdf#page=3","Abrir facsímil")</f>
        <v>Abrir facsímil</v>
      </c>
      <c r="K6569" s="3" t="s">
        <v>23</v>
      </c>
    </row>
    <row r="6570" spans="1:11" ht="42" customHeight="1">
      <c r="A6570" s="2" t="s">
        <v>13096</v>
      </c>
      <c r="B6570" s="2" t="s">
        <v>13097</v>
      </c>
      <c r="C6570" s="2" t="s">
        <v>56</v>
      </c>
      <c r="D6570" s="2" t="s">
        <v>57</v>
      </c>
      <c r="E6570" s="5">
        <v>-27991</v>
      </c>
      <c r="F6570" s="3" t="s">
        <v>328</v>
      </c>
      <c r="G6570" s="3" t="s">
        <v>48</v>
      </c>
      <c r="H6570" s="2" t="s">
        <v>21</v>
      </c>
      <c r="I6570" s="2" t="s">
        <v>13098</v>
      </c>
      <c r="J6570" s="3" t="str">
        <f>HYPERLINK("https://www.boe.es/gazeta/dias/1823/05/12/pdfs/GES-1823-32.pdf#page=3","Abrir facsímil")</f>
        <v>Abrir facsímil</v>
      </c>
      <c r="K6570" s="3" t="s">
        <v>23</v>
      </c>
    </row>
    <row r="6571" spans="1:11" ht="42" customHeight="1">
      <c r="A6571" s="2" t="s">
        <v>13099</v>
      </c>
      <c r="B6571" s="2" t="s">
        <v>13100</v>
      </c>
      <c r="C6571" s="2" t="s">
        <v>17</v>
      </c>
      <c r="D6571" s="2" t="s">
        <v>18</v>
      </c>
      <c r="E6571" s="5">
        <v>-28037</v>
      </c>
      <c r="F6571" s="3" t="s">
        <v>192</v>
      </c>
      <c r="G6571" s="3" t="s">
        <v>20</v>
      </c>
      <c r="H6571" s="2" t="s">
        <v>21</v>
      </c>
      <c r="I6571" s="2" t="s">
        <v>13101</v>
      </c>
      <c r="J6571" s="3" t="str">
        <f>HYPERLINK("https://www.boe.es/gazeta/dias/1823/03/27/pdfs/GMD-1823-90.pdf#page=4","Abrir facsímil")</f>
        <v>Abrir facsímil</v>
      </c>
      <c r="K6571" s="3" t="s">
        <v>23</v>
      </c>
    </row>
    <row r="6572" spans="1:11" ht="42" customHeight="1">
      <c r="A6572" s="2" t="s">
        <v>13102</v>
      </c>
      <c r="B6572" s="2" t="s">
        <v>13103</v>
      </c>
      <c r="C6572" s="2" t="s">
        <v>73</v>
      </c>
      <c r="D6572" s="2" t="s">
        <v>74</v>
      </c>
      <c r="E6572" s="5">
        <v>-28082</v>
      </c>
      <c r="F6572" s="3" t="s">
        <v>468</v>
      </c>
      <c r="G6572" s="3" t="s">
        <v>59</v>
      </c>
      <c r="H6572" s="2" t="s">
        <v>21</v>
      </c>
      <c r="I6572" s="2" t="s">
        <v>13104</v>
      </c>
      <c r="J6572" s="3" t="str">
        <f>HYPERLINK("https://www.boe.es/gazeta/dias/1823/02/10/pdfs/GMD-1823-44.pdf#page=6","Abrir facsímil")</f>
        <v>Abrir facsímil</v>
      </c>
      <c r="K6572" s="3" t="s">
        <v>23</v>
      </c>
    </row>
    <row r="6573" spans="1:11" ht="42" customHeight="1">
      <c r="A6573" s="2" t="s">
        <v>13105</v>
      </c>
      <c r="B6573" s="2" t="s">
        <v>13106</v>
      </c>
      <c r="C6573" s="2" t="s">
        <v>56</v>
      </c>
      <c r="D6573" s="2" t="s">
        <v>57</v>
      </c>
      <c r="E6573" s="5">
        <v>-27764</v>
      </c>
      <c r="F6573" s="3" t="s">
        <v>3370</v>
      </c>
      <c r="G6573" s="3" t="s">
        <v>39</v>
      </c>
      <c r="H6573" s="2" t="s">
        <v>21</v>
      </c>
      <c r="I6573" s="2" t="s">
        <v>13107</v>
      </c>
      <c r="J6573" s="3" t="str">
        <f>HYPERLINK("https://www.boe.es/gazeta/dias/1823/12/25/pdfs/GMD-1823-1293.pdf#page=1","Abrir facsímil")</f>
        <v>Abrir facsímil</v>
      </c>
      <c r="K6573" s="3" t="s">
        <v>23</v>
      </c>
    </row>
    <row r="6574" spans="1:11" ht="42" customHeight="1">
      <c r="A6574" s="2" t="s">
        <v>13108</v>
      </c>
      <c r="B6574" s="2" t="s">
        <v>13109</v>
      </c>
      <c r="C6574" s="2" t="s">
        <v>56</v>
      </c>
      <c r="D6574" s="2" t="s">
        <v>57</v>
      </c>
      <c r="E6574" s="5">
        <v>-27964</v>
      </c>
      <c r="F6574" s="3" t="s">
        <v>58</v>
      </c>
      <c r="G6574" s="3" t="s">
        <v>48</v>
      </c>
      <c r="H6574" s="2" t="s">
        <v>21</v>
      </c>
      <c r="I6574" s="2" t="s">
        <v>13110</v>
      </c>
      <c r="J6574" s="3" t="str">
        <f>HYPERLINK("https://www.boe.es/gazeta/dias/1823/06/08/pdfs/GES-1823-62.pdf#page=3","Abrir facsímil")</f>
        <v>Abrir facsímil</v>
      </c>
      <c r="K6574" s="3" t="s">
        <v>23</v>
      </c>
    </row>
    <row r="6575" spans="1:11" ht="42" customHeight="1">
      <c r="A6575" s="2" t="s">
        <v>13111</v>
      </c>
      <c r="B6575" s="2" t="s">
        <v>13112</v>
      </c>
      <c r="C6575" s="2" t="s">
        <v>56</v>
      </c>
      <c r="D6575" s="2" t="s">
        <v>57</v>
      </c>
      <c r="E6575" s="5">
        <v>-27963</v>
      </c>
      <c r="F6575" s="3" t="s">
        <v>344</v>
      </c>
      <c r="G6575" s="3" t="s">
        <v>48</v>
      </c>
      <c r="H6575" s="2" t="s">
        <v>21</v>
      </c>
      <c r="I6575" s="2" t="s">
        <v>13113</v>
      </c>
      <c r="J6575" s="3" t="str">
        <f>HYPERLINK("https://www.boe.es/gazeta/dias/1823/06/09/pdfs/GES-1823-63.pdf#page=3","Abrir facsímil")</f>
        <v>Abrir facsímil</v>
      </c>
      <c r="K6575" s="3" t="s">
        <v>23</v>
      </c>
    </row>
    <row r="6576" spans="1:11" ht="42" customHeight="1">
      <c r="A6576" s="2" t="s">
        <v>13114</v>
      </c>
      <c r="B6576" s="2" t="s">
        <v>13115</v>
      </c>
      <c r="C6576" s="2" t="s">
        <v>17</v>
      </c>
      <c r="D6576" s="2" t="s">
        <v>18</v>
      </c>
      <c r="E6576" s="5">
        <v>-27905</v>
      </c>
      <c r="F6576" s="3" t="s">
        <v>236</v>
      </c>
      <c r="G6576" s="3" t="s">
        <v>237</v>
      </c>
      <c r="H6576" s="2" t="s">
        <v>21</v>
      </c>
      <c r="I6576" s="2" t="s">
        <v>13116</v>
      </c>
      <c r="J6576" s="3" t="str">
        <f>HYPERLINK("https://www.boe.es/gazeta/dias/1823/08/06/pdfs/GES-1823-119.pdf#page=4","Abrir facsímil")</f>
        <v>Abrir facsímil</v>
      </c>
      <c r="K6576" s="3" t="s">
        <v>23</v>
      </c>
    </row>
    <row r="6577" spans="1:11" ht="42" customHeight="1">
      <c r="A6577" s="2" t="s">
        <v>13117</v>
      </c>
      <c r="B6577" s="2" t="s">
        <v>13118</v>
      </c>
      <c r="C6577" s="2" t="s">
        <v>109</v>
      </c>
      <c r="D6577" s="2" t="s">
        <v>74</v>
      </c>
      <c r="E6577" s="5">
        <v>-28004</v>
      </c>
      <c r="F6577" s="3" t="s">
        <v>313</v>
      </c>
      <c r="G6577" s="3" t="s">
        <v>39</v>
      </c>
      <c r="H6577" s="2" t="s">
        <v>21</v>
      </c>
      <c r="I6577" s="2" t="s">
        <v>13119</v>
      </c>
      <c r="J6577" s="3" t="str">
        <f>HYPERLINK("https://www.boe.es/gazeta/dias/1823/04/29/pdfs/GMD-1823-72.pdf#page=1","Abrir facsímil")</f>
        <v>Abrir facsímil</v>
      </c>
      <c r="K6577" s="3" t="s">
        <v>23</v>
      </c>
    </row>
    <row r="6578" spans="1:11" ht="42" customHeight="1">
      <c r="A6578" s="2" t="s">
        <v>13120</v>
      </c>
      <c r="B6578" s="2" t="s">
        <v>13120</v>
      </c>
      <c r="C6578" s="2" t="s">
        <v>17</v>
      </c>
      <c r="D6578" s="2" t="s">
        <v>18</v>
      </c>
      <c r="E6578" s="5">
        <v>-27878</v>
      </c>
      <c r="F6578" s="3" t="s">
        <v>1581</v>
      </c>
      <c r="G6578" s="3" t="s">
        <v>48</v>
      </c>
      <c r="H6578" s="2" t="s">
        <v>21</v>
      </c>
      <c r="I6578" s="2" t="s">
        <v>13121</v>
      </c>
      <c r="J6578" s="3" t="str">
        <f>HYPERLINK("https://www.boe.es/gazeta/dias/1823/09/02/pdfs/GMD-1823-683.pdf#page=3","Abrir facsímil")</f>
        <v>Abrir facsímil</v>
      </c>
      <c r="K6578" s="3" t="s">
        <v>23</v>
      </c>
    </row>
    <row r="6579" spans="1:11" ht="42" customHeight="1">
      <c r="A6579" s="2" t="s">
        <v>13122</v>
      </c>
      <c r="B6579" s="2" t="s">
        <v>13123</v>
      </c>
      <c r="C6579" s="2" t="s">
        <v>56</v>
      </c>
      <c r="D6579" s="2" t="s">
        <v>57</v>
      </c>
      <c r="E6579" s="5">
        <v>-27988</v>
      </c>
      <c r="F6579" s="3" t="s">
        <v>692</v>
      </c>
      <c r="G6579" s="3" t="s">
        <v>48</v>
      </c>
      <c r="H6579" s="2" t="s">
        <v>21</v>
      </c>
      <c r="I6579" s="2" t="s">
        <v>13124</v>
      </c>
      <c r="J6579" s="3" t="str">
        <f>HYPERLINK("https://www.boe.es/gazeta/dias/1823/05/15/pdfs/GES-1823-35.pdf#page=3","Abrir facsímil")</f>
        <v>Abrir facsímil</v>
      </c>
      <c r="K6579" s="3" t="s">
        <v>23</v>
      </c>
    </row>
    <row r="6580" spans="1:11" ht="42" customHeight="1">
      <c r="A6580" s="2" t="s">
        <v>13125</v>
      </c>
      <c r="B6580" s="2" t="s">
        <v>13126</v>
      </c>
      <c r="C6580" s="2" t="s">
        <v>17</v>
      </c>
      <c r="D6580" s="2" t="s">
        <v>18</v>
      </c>
      <c r="E6580" s="5">
        <v>-27813</v>
      </c>
      <c r="F6580" s="3" t="s">
        <v>1600</v>
      </c>
      <c r="G6580" s="3" t="s">
        <v>48</v>
      </c>
      <c r="H6580" s="2" t="s">
        <v>21</v>
      </c>
      <c r="I6580" s="2" t="s">
        <v>13127</v>
      </c>
      <c r="J6580" s="3" t="str">
        <f>HYPERLINK("https://www.boe.es/gazeta/dias/1823/11/06/pdfs/GMD-1823-1073.pdf#page=3","Abrir facsímil")</f>
        <v>Abrir facsímil</v>
      </c>
      <c r="K6580" s="3" t="s">
        <v>23</v>
      </c>
    </row>
    <row r="6581" spans="1:11" ht="42" customHeight="1">
      <c r="A6581" s="2" t="s">
        <v>13128</v>
      </c>
      <c r="B6581" s="2" t="s">
        <v>13128</v>
      </c>
      <c r="C6581" s="2" t="s">
        <v>17</v>
      </c>
      <c r="D6581" s="2" t="s">
        <v>18</v>
      </c>
      <c r="E6581" s="5">
        <v>-28026</v>
      </c>
      <c r="F6581" s="3" t="s">
        <v>937</v>
      </c>
      <c r="G6581" s="3" t="s">
        <v>5928</v>
      </c>
      <c r="H6581" s="2" t="s">
        <v>21</v>
      </c>
      <c r="I6581" s="2" t="s">
        <v>13129</v>
      </c>
      <c r="J6581" s="3" t="str">
        <f>HYPERLINK("https://www.boe.es/gazeta/dias/1823/04/07/pdfs/GMD-1823-102.pdf#page=2","Abrir facsímil")</f>
        <v>Abrir facsímil</v>
      </c>
      <c r="K6581" s="3" t="s">
        <v>23</v>
      </c>
    </row>
    <row r="6582" spans="1:11" ht="42" customHeight="1">
      <c r="A6582" s="2" t="s">
        <v>13130</v>
      </c>
      <c r="B6582" s="2" t="s">
        <v>13130</v>
      </c>
      <c r="C6582" s="2" t="s">
        <v>17</v>
      </c>
      <c r="D6582" s="2" t="s">
        <v>18</v>
      </c>
      <c r="E6582" s="5">
        <v>-28107</v>
      </c>
      <c r="F6582" s="3" t="s">
        <v>278</v>
      </c>
      <c r="G6582" s="3" t="s">
        <v>39</v>
      </c>
      <c r="H6582" s="2" t="s">
        <v>21</v>
      </c>
      <c r="I6582" s="2" t="s">
        <v>13131</v>
      </c>
      <c r="J6582" s="3" t="str">
        <f>HYPERLINK("https://www.boe.es/gazeta/dias/1823/01/16/pdfs/GMD-1823-16.pdf#page=1","Abrir facsímil")</f>
        <v>Abrir facsímil</v>
      </c>
      <c r="K6582" s="3" t="s">
        <v>23</v>
      </c>
    </row>
    <row r="6583" spans="1:11" ht="42" customHeight="1">
      <c r="A6583" s="2" t="s">
        <v>13132</v>
      </c>
      <c r="B6583" s="2" t="s">
        <v>13133</v>
      </c>
      <c r="C6583" s="2" t="s">
        <v>79</v>
      </c>
      <c r="D6583" s="2" t="s">
        <v>74</v>
      </c>
      <c r="E6583" s="5">
        <v>-27923</v>
      </c>
      <c r="F6583" s="3" t="s">
        <v>1225</v>
      </c>
      <c r="G6583" s="3" t="s">
        <v>27</v>
      </c>
      <c r="H6583" s="2" t="s">
        <v>21</v>
      </c>
      <c r="I6583" s="2" t="s">
        <v>13134</v>
      </c>
      <c r="J6583" s="3" t="str">
        <f>HYPERLINK("https://www.boe.es/gazeta/dias/1823/07/19/pdfs/GMD-1823-433.pdf#page=2","Abrir facsímil")</f>
        <v>Abrir facsímil</v>
      </c>
      <c r="K6583" s="3" t="s">
        <v>23</v>
      </c>
    </row>
    <row r="6584" spans="1:11" ht="42" customHeight="1">
      <c r="A6584" s="2" t="s">
        <v>13135</v>
      </c>
      <c r="B6584" s="2" t="s">
        <v>13136</v>
      </c>
      <c r="C6584" s="2" t="s">
        <v>17</v>
      </c>
      <c r="D6584" s="2" t="s">
        <v>18</v>
      </c>
      <c r="E6584" s="5">
        <v>-28104</v>
      </c>
      <c r="F6584" s="3" t="s">
        <v>114</v>
      </c>
      <c r="G6584" s="3" t="s">
        <v>59</v>
      </c>
      <c r="H6584" s="2" t="s">
        <v>21</v>
      </c>
      <c r="I6584" s="2" t="s">
        <v>13137</v>
      </c>
      <c r="J6584" s="3" t="str">
        <f>HYPERLINK("https://www.boe.es/gazeta/dias/1823/01/19/pdfs/GMD-1823-19.pdf#page=6","Abrir facsímil")</f>
        <v>Abrir facsímil</v>
      </c>
      <c r="K6584" s="3" t="s">
        <v>23</v>
      </c>
    </row>
    <row r="6585" spans="1:11" ht="42" customHeight="1">
      <c r="A6585" s="2" t="s">
        <v>13138</v>
      </c>
      <c r="B6585" s="2" t="s">
        <v>13139</v>
      </c>
      <c r="C6585" s="2" t="s">
        <v>56</v>
      </c>
      <c r="D6585" s="2" t="s">
        <v>57</v>
      </c>
      <c r="E6585" s="5">
        <v>-28076</v>
      </c>
      <c r="F6585" s="3" t="s">
        <v>1638</v>
      </c>
      <c r="G6585" s="3" t="s">
        <v>34</v>
      </c>
      <c r="H6585" s="2" t="s">
        <v>21</v>
      </c>
      <c r="I6585" s="2" t="s">
        <v>13140</v>
      </c>
      <c r="J6585" s="3" t="str">
        <f>HYPERLINK("https://www.boe.es/gazeta/dias/1823/02/16/pdfs/GMD-1823-50.pdf#page=5","Abrir facsímil")</f>
        <v>Abrir facsímil</v>
      </c>
      <c r="K6585" s="3" t="s">
        <v>23</v>
      </c>
    </row>
    <row r="6586" spans="1:11" ht="42" customHeight="1">
      <c r="A6586" s="2" t="s">
        <v>13141</v>
      </c>
      <c r="B6586" s="2" t="s">
        <v>13142</v>
      </c>
      <c r="C6586" s="2" t="s">
        <v>17</v>
      </c>
      <c r="D6586" s="2" t="s">
        <v>18</v>
      </c>
      <c r="E6586" s="5">
        <v>-27820</v>
      </c>
      <c r="F6586" s="3" t="s">
        <v>6283</v>
      </c>
      <c r="G6586" s="3" t="s">
        <v>39</v>
      </c>
      <c r="H6586" s="2" t="s">
        <v>21</v>
      </c>
      <c r="I6586" s="2" t="s">
        <v>13143</v>
      </c>
      <c r="J6586" s="3" t="str">
        <f>HYPERLINK("https://www.boe.es/gazeta/dias/1823/10/30/pdfs/GMD-1823-1043.pdf#page=1","Abrir facsímil")</f>
        <v>Abrir facsímil</v>
      </c>
      <c r="K6586" s="3" t="s">
        <v>23</v>
      </c>
    </row>
    <row r="6587" spans="1:11" ht="42" customHeight="1">
      <c r="A6587" s="2" t="s">
        <v>13144</v>
      </c>
      <c r="B6587" s="2" t="s">
        <v>13144</v>
      </c>
      <c r="C6587" s="2" t="s">
        <v>17</v>
      </c>
      <c r="D6587" s="2" t="s">
        <v>18</v>
      </c>
      <c r="E6587" s="5">
        <v>-27871</v>
      </c>
      <c r="F6587" s="3" t="s">
        <v>1330</v>
      </c>
      <c r="G6587" s="3" t="s">
        <v>20</v>
      </c>
      <c r="H6587" s="2" t="s">
        <v>21</v>
      </c>
      <c r="I6587" s="2" t="s">
        <v>13145</v>
      </c>
      <c r="J6587" s="3" t="str">
        <f>HYPERLINK("https://www.boe.es/gazeta/dias/1823/09/09/pdfs/GMD-1823-733.pdf#page=4","Abrir facsímil")</f>
        <v>Abrir facsímil</v>
      </c>
      <c r="K6587" s="3" t="s">
        <v>23</v>
      </c>
    </row>
    <row r="6588" spans="1:11" ht="42" customHeight="1">
      <c r="A6588" s="2" t="s">
        <v>13146</v>
      </c>
      <c r="B6588" s="2" t="s">
        <v>13147</v>
      </c>
      <c r="C6588" s="2" t="s">
        <v>17</v>
      </c>
      <c r="D6588" s="2" t="s">
        <v>18</v>
      </c>
      <c r="E6588" s="5">
        <v>-27906</v>
      </c>
      <c r="F6588" s="3" t="s">
        <v>241</v>
      </c>
      <c r="G6588" s="3" t="s">
        <v>59</v>
      </c>
      <c r="H6588" s="2" t="s">
        <v>21</v>
      </c>
      <c r="I6588" s="2" t="s">
        <v>13148</v>
      </c>
      <c r="J6588" s="3" t="str">
        <f>HYPERLINK("https://www.boe.es/gazeta/dias/1823/08/05/pdfs/GES-1823-117.pdf#page=6","Abrir facsímil")</f>
        <v>Abrir facsímil</v>
      </c>
      <c r="K6588" s="3" t="s">
        <v>23</v>
      </c>
    </row>
    <row r="6589" spans="1:11" ht="42" customHeight="1">
      <c r="A6589" s="2" t="s">
        <v>13149</v>
      </c>
      <c r="B6589" s="2" t="s">
        <v>13149</v>
      </c>
      <c r="C6589" s="2" t="s">
        <v>17</v>
      </c>
      <c r="D6589" s="2" t="s">
        <v>18</v>
      </c>
      <c r="E6589" s="5">
        <v>-27944</v>
      </c>
      <c r="F6589" s="3" t="s">
        <v>658</v>
      </c>
      <c r="G6589" s="3" t="s">
        <v>39</v>
      </c>
      <c r="H6589" s="2" t="s">
        <v>21</v>
      </c>
      <c r="I6589" s="2" t="s">
        <v>13150</v>
      </c>
      <c r="J6589" s="3" t="str">
        <f>HYPERLINK("https://www.boe.es/gazeta/dias/1823/06/28/pdfs/GMD-1823-303.pdf#page=1","Abrir facsímil")</f>
        <v>Abrir facsímil</v>
      </c>
      <c r="K6589" s="3" t="s">
        <v>23</v>
      </c>
    </row>
    <row r="6590" spans="1:11" ht="42" customHeight="1">
      <c r="A6590" s="2" t="s">
        <v>13151</v>
      </c>
      <c r="B6590" s="2" t="s">
        <v>13152</v>
      </c>
      <c r="C6590" s="2" t="s">
        <v>17</v>
      </c>
      <c r="D6590" s="2" t="s">
        <v>18</v>
      </c>
      <c r="E6590" s="5">
        <v>-28004</v>
      </c>
      <c r="F6590" s="3" t="s">
        <v>33</v>
      </c>
      <c r="G6590" s="3" t="s">
        <v>34</v>
      </c>
      <c r="H6590" s="2" t="s">
        <v>21</v>
      </c>
      <c r="I6590" s="2" t="s">
        <v>13153</v>
      </c>
      <c r="J6590" s="3" t="str">
        <f>HYPERLINK("https://www.boe.es/gazeta/dias/1823/04/29/pdfs/GES-1823-19.pdf#page=5","Abrir facsímil")</f>
        <v>Abrir facsímil</v>
      </c>
      <c r="K6590" s="3" t="s">
        <v>23</v>
      </c>
    </row>
    <row r="6591" spans="1:11" ht="42" customHeight="1">
      <c r="A6591" s="2" t="s">
        <v>13154</v>
      </c>
      <c r="B6591" s="2" t="s">
        <v>13154</v>
      </c>
      <c r="C6591" s="2" t="s">
        <v>79</v>
      </c>
      <c r="D6591" s="2" t="s">
        <v>74</v>
      </c>
      <c r="E6591" s="5">
        <v>-28088</v>
      </c>
      <c r="F6591" s="3" t="s">
        <v>542</v>
      </c>
      <c r="G6591" s="3" t="s">
        <v>20</v>
      </c>
      <c r="H6591" s="2" t="s">
        <v>21</v>
      </c>
      <c r="I6591" s="2" t="s">
        <v>13155</v>
      </c>
      <c r="J6591" s="3" t="str">
        <f>HYPERLINK("https://www.boe.es/gazeta/dias/1823/02/04/pdfs/GMD-1823-37.pdf#page=4","Abrir facsímil")</f>
        <v>Abrir facsímil</v>
      </c>
      <c r="K6591" s="3" t="s">
        <v>23</v>
      </c>
    </row>
    <row r="6592" spans="1:11" ht="42" customHeight="1">
      <c r="A6592" s="2" t="s">
        <v>13154</v>
      </c>
      <c r="B6592" s="2" t="s">
        <v>13154</v>
      </c>
      <c r="C6592" s="2" t="s">
        <v>56</v>
      </c>
      <c r="D6592" s="2" t="s">
        <v>57</v>
      </c>
      <c r="E6592" s="5">
        <v>-27952</v>
      </c>
      <c r="F6592" s="3" t="s">
        <v>929</v>
      </c>
      <c r="G6592" s="3" t="s">
        <v>39</v>
      </c>
      <c r="H6592" s="2" t="s">
        <v>21</v>
      </c>
      <c r="I6592" s="2" t="s">
        <v>13156</v>
      </c>
      <c r="J6592" s="3" t="str">
        <f>HYPERLINK("https://www.boe.es/gazeta/dias/1823/06/20/pdfs/GES-1823-68.pdf#page=1","Abrir facsímil")</f>
        <v>Abrir facsímil</v>
      </c>
      <c r="K6592" s="3" t="s">
        <v>23</v>
      </c>
    </row>
    <row r="6593" spans="1:11" ht="42" customHeight="1">
      <c r="A6593" s="2" t="s">
        <v>13157</v>
      </c>
      <c r="B6593" s="2" t="s">
        <v>13158</v>
      </c>
      <c r="C6593" s="2" t="s">
        <v>79</v>
      </c>
      <c r="D6593" s="2" t="s">
        <v>74</v>
      </c>
      <c r="E6593" s="5">
        <v>-28106</v>
      </c>
      <c r="F6593" s="3" t="s">
        <v>280</v>
      </c>
      <c r="G6593" s="3" t="s">
        <v>20</v>
      </c>
      <c r="H6593" s="2" t="s">
        <v>28</v>
      </c>
      <c r="I6593" s="2" t="s">
        <v>13159</v>
      </c>
      <c r="J6593" s="3" t="str">
        <f>HYPERLINK("https://www.boe.es/gazeta/dias/1823/01/17/pdfs/GMD-1823-17.pdf#page=4","Abrir facsímil")</f>
        <v>Abrir facsímil</v>
      </c>
      <c r="K6593" s="3" t="s">
        <v>30</v>
      </c>
    </row>
    <row r="6594" spans="1:11" ht="42" customHeight="1">
      <c r="A6594" s="2" t="s">
        <v>13160</v>
      </c>
      <c r="B6594" s="2" t="s">
        <v>13161</v>
      </c>
      <c r="C6594" s="2" t="s">
        <v>17</v>
      </c>
      <c r="D6594" s="2" t="s">
        <v>18</v>
      </c>
      <c r="E6594" s="5">
        <v>-27993</v>
      </c>
      <c r="F6594" s="3" t="s">
        <v>977</v>
      </c>
      <c r="G6594" s="3" t="s">
        <v>978</v>
      </c>
      <c r="H6594" s="2" t="s">
        <v>21</v>
      </c>
      <c r="I6594" s="2" t="s">
        <v>13162</v>
      </c>
      <c r="J6594" s="3" t="str">
        <f>HYPERLINK("https://www.boe.es/gazeta/dias/1823/05/10/pdfs/GES-1823-30.pdf#page=4","Abrir facsímil")</f>
        <v>Abrir facsímil</v>
      </c>
      <c r="K6594" s="3" t="s">
        <v>23</v>
      </c>
    </row>
    <row r="6595" spans="1:11" ht="42" customHeight="1">
      <c r="A6595" s="2" t="s">
        <v>13163</v>
      </c>
      <c r="B6595" s="2" t="s">
        <v>13164</v>
      </c>
      <c r="C6595" s="2" t="s">
        <v>79</v>
      </c>
      <c r="D6595" s="2" t="s">
        <v>74</v>
      </c>
      <c r="E6595" s="5">
        <v>-27878</v>
      </c>
      <c r="F6595" s="3" t="s">
        <v>130</v>
      </c>
      <c r="G6595" s="3" t="s">
        <v>27</v>
      </c>
      <c r="H6595" s="2" t="s">
        <v>21</v>
      </c>
      <c r="I6595" s="2" t="s">
        <v>13165</v>
      </c>
      <c r="J6595" s="3" t="str">
        <f>HYPERLINK("https://www.boe.es/gazeta/dias/1823/09/02/pdfs/GES-1823-146.pdf#page=2","Abrir facsímil")</f>
        <v>Abrir facsímil</v>
      </c>
      <c r="K6595" s="3" t="s">
        <v>23</v>
      </c>
    </row>
    <row r="6596" spans="1:11" ht="42" customHeight="1">
      <c r="A6596" s="2" t="s">
        <v>13166</v>
      </c>
      <c r="B6596" s="2" t="s">
        <v>13167</v>
      </c>
      <c r="C6596" s="2" t="s">
        <v>17</v>
      </c>
      <c r="D6596" s="2" t="s">
        <v>18</v>
      </c>
      <c r="E6596" s="5">
        <v>-28087</v>
      </c>
      <c r="F6596" s="3" t="s">
        <v>3125</v>
      </c>
      <c r="G6596" s="3" t="s">
        <v>27</v>
      </c>
      <c r="H6596" s="2" t="s">
        <v>21</v>
      </c>
      <c r="I6596" s="2" t="s">
        <v>13168</v>
      </c>
      <c r="J6596" s="3" t="str">
        <f>HYPERLINK("https://www.boe.es/gazeta/dias/1823/02/05/pdfs/GMD-1823-38.pdf#page=2","Abrir facsímil")</f>
        <v>Abrir facsímil</v>
      </c>
      <c r="K6596" s="3" t="s">
        <v>23</v>
      </c>
    </row>
    <row r="6597" spans="1:11" ht="42" customHeight="1">
      <c r="A6597" s="2" t="s">
        <v>13169</v>
      </c>
      <c r="B6597" s="2" t="s">
        <v>13170</v>
      </c>
      <c r="C6597" s="2" t="s">
        <v>17</v>
      </c>
      <c r="D6597" s="2" t="s">
        <v>18</v>
      </c>
      <c r="E6597" s="5">
        <v>-27919</v>
      </c>
      <c r="F6597" s="3" t="s">
        <v>361</v>
      </c>
      <c r="G6597" s="3" t="s">
        <v>48</v>
      </c>
      <c r="H6597" s="2" t="s">
        <v>21</v>
      </c>
      <c r="I6597" s="2" t="s">
        <v>13171</v>
      </c>
      <c r="J6597" s="3" t="str">
        <f>HYPERLINK("https://www.boe.es/gazeta/dias/1823/07/23/pdfs/GES-1823-104.pdf#page=3","Abrir facsímil")</f>
        <v>Abrir facsímil</v>
      </c>
      <c r="K6597" s="3" t="s">
        <v>23</v>
      </c>
    </row>
    <row r="6598" spans="1:11" ht="42" customHeight="1">
      <c r="A6598" s="2" t="s">
        <v>13172</v>
      </c>
      <c r="B6598" s="2" t="s">
        <v>13172</v>
      </c>
      <c r="C6598" s="2" t="s">
        <v>17</v>
      </c>
      <c r="D6598" s="2" t="s">
        <v>18</v>
      </c>
      <c r="E6598" s="5">
        <v>-28116</v>
      </c>
      <c r="F6598" s="3" t="s">
        <v>134</v>
      </c>
      <c r="G6598" s="3" t="s">
        <v>59</v>
      </c>
      <c r="H6598" s="2" t="s">
        <v>21</v>
      </c>
      <c r="I6598" s="2" t="s">
        <v>13173</v>
      </c>
      <c r="J6598" s="3" t="str">
        <f>HYPERLINK("https://www.boe.es/gazeta/dias/1823/01/07/pdfs/GMD-1823-7.pdf#page=6","Abrir facsímil")</f>
        <v>Abrir facsímil</v>
      </c>
      <c r="K6598" s="3" t="s">
        <v>23</v>
      </c>
    </row>
    <row r="6599" spans="1:11" ht="42" customHeight="1">
      <c r="A6599" s="2" t="s">
        <v>13174</v>
      </c>
      <c r="B6599" s="2" t="s">
        <v>13174</v>
      </c>
      <c r="C6599" s="2" t="s">
        <v>17</v>
      </c>
      <c r="D6599" s="2" t="s">
        <v>18</v>
      </c>
      <c r="E6599" s="5">
        <v>-28119</v>
      </c>
      <c r="F6599" s="3" t="s">
        <v>545</v>
      </c>
      <c r="G6599" s="3" t="s">
        <v>59</v>
      </c>
      <c r="H6599" s="2" t="s">
        <v>21</v>
      </c>
      <c r="I6599" s="2" t="s">
        <v>13175</v>
      </c>
      <c r="J6599" s="3" t="str">
        <f>HYPERLINK("https://www.boe.es/gazeta/dias/1823/01/04/pdfs/GMD-1823-4.pdf#page=6","Abrir facsímil")</f>
        <v>Abrir facsímil</v>
      </c>
      <c r="K6599" s="3" t="s">
        <v>23</v>
      </c>
    </row>
    <row r="6600" spans="1:11" ht="42" customHeight="1">
      <c r="A6600" s="2" t="s">
        <v>13176</v>
      </c>
      <c r="B6600" s="2" t="s">
        <v>13177</v>
      </c>
      <c r="C6600" s="2" t="s">
        <v>56</v>
      </c>
      <c r="D6600" s="2" t="s">
        <v>57</v>
      </c>
      <c r="E6600" s="5">
        <v>-27841</v>
      </c>
      <c r="F6600" s="3" t="s">
        <v>721</v>
      </c>
      <c r="G6600" s="3" t="s">
        <v>48</v>
      </c>
      <c r="H6600" s="2" t="s">
        <v>21</v>
      </c>
      <c r="I6600" s="2" t="s">
        <v>13178</v>
      </c>
      <c r="J6600" s="3" t="str">
        <f>HYPERLINK("https://www.boe.es/gazeta/dias/1823/10/09/pdfs/GMD-1823-953.pdf#page=3","Abrir facsímil")</f>
        <v>Abrir facsímil</v>
      </c>
      <c r="K6600" s="3" t="s">
        <v>23</v>
      </c>
    </row>
    <row r="6601" spans="1:11" ht="42" customHeight="1">
      <c r="A6601" s="2" t="s">
        <v>13179</v>
      </c>
      <c r="B6601" s="2" t="s">
        <v>13180</v>
      </c>
      <c r="C6601" s="2" t="s">
        <v>17</v>
      </c>
      <c r="D6601" s="2" t="s">
        <v>18</v>
      </c>
      <c r="E6601" s="5">
        <v>-28056</v>
      </c>
      <c r="F6601" s="3" t="s">
        <v>572</v>
      </c>
      <c r="G6601" s="3" t="s">
        <v>59</v>
      </c>
      <c r="H6601" s="2" t="s">
        <v>21</v>
      </c>
      <c r="I6601" s="2" t="s">
        <v>13181</v>
      </c>
      <c r="J6601" s="3" t="str">
        <f>HYPERLINK("https://www.boe.es/gazeta/dias/1823/03/08/pdfs/GMD-1823-71.pdf#page=6","Abrir facsímil")</f>
        <v>Abrir facsímil</v>
      </c>
      <c r="K6601" s="3" t="s">
        <v>23</v>
      </c>
    </row>
    <row r="6602" spans="1:11" ht="42" customHeight="1">
      <c r="A6602" s="2" t="s">
        <v>13182</v>
      </c>
      <c r="B6602" s="2" t="s">
        <v>13183</v>
      </c>
      <c r="C6602" s="2" t="s">
        <v>79</v>
      </c>
      <c r="D6602" s="2" t="s">
        <v>74</v>
      </c>
      <c r="E6602" s="5">
        <v>-28061</v>
      </c>
      <c r="F6602" s="3" t="s">
        <v>704</v>
      </c>
      <c r="G6602" s="3" t="s">
        <v>59</v>
      </c>
      <c r="H6602" s="2" t="s">
        <v>21</v>
      </c>
      <c r="I6602" s="2" t="s">
        <v>13184</v>
      </c>
      <c r="J6602" s="3" t="str">
        <f>HYPERLINK("https://www.boe.es/gazeta/dias/1823/03/03/pdfs/GMD-1823-66.pdf#page=6","Abrir facsímil")</f>
        <v>Abrir facsímil</v>
      </c>
      <c r="K6602" s="3" t="s">
        <v>23</v>
      </c>
    </row>
    <row r="6603" spans="1:11" ht="42" customHeight="1">
      <c r="A6603" s="2" t="s">
        <v>13185</v>
      </c>
      <c r="B6603" s="2" t="s">
        <v>13186</v>
      </c>
      <c r="C6603" s="2" t="s">
        <v>17</v>
      </c>
      <c r="D6603" s="2" t="s">
        <v>18</v>
      </c>
      <c r="E6603" s="5">
        <v>-28078</v>
      </c>
      <c r="F6603" s="3" t="s">
        <v>508</v>
      </c>
      <c r="G6603" s="3" t="s">
        <v>59</v>
      </c>
      <c r="H6603" s="2" t="s">
        <v>28</v>
      </c>
      <c r="I6603" s="2" t="s">
        <v>13187</v>
      </c>
      <c r="J6603" s="3" t="str">
        <f>HYPERLINK("https://www.boe.es/gazeta/dias/1823/02/14/pdfs/GMD-1823-48.pdf#page=6","Abrir facsímil")</f>
        <v>Abrir facsímil</v>
      </c>
      <c r="K6603" s="3" t="s">
        <v>30</v>
      </c>
    </row>
    <row r="6604" spans="1:11" ht="42" customHeight="1">
      <c r="A6604" s="2" t="s">
        <v>13185</v>
      </c>
      <c r="B6604" s="2" t="s">
        <v>13186</v>
      </c>
      <c r="C6604" s="2" t="s">
        <v>79</v>
      </c>
      <c r="D6604" s="2" t="s">
        <v>74</v>
      </c>
      <c r="E6604" s="5">
        <v>-28065</v>
      </c>
      <c r="F6604" s="3" t="s">
        <v>686</v>
      </c>
      <c r="G6604" s="3" t="s">
        <v>20</v>
      </c>
      <c r="H6604" s="2" t="s">
        <v>28</v>
      </c>
      <c r="I6604" s="2" t="s">
        <v>13188</v>
      </c>
      <c r="J6604" s="3" t="str">
        <f>HYPERLINK("https://www.boe.es/gazeta/dias/1823/02/27/pdfs/GMD-1823-61.pdf#page=4","Abrir facsímil")</f>
        <v>Abrir facsímil</v>
      </c>
      <c r="K6604" s="3" t="s">
        <v>30</v>
      </c>
    </row>
    <row r="6605" spans="1:11" ht="42" customHeight="1">
      <c r="A6605" s="2" t="s">
        <v>13185</v>
      </c>
      <c r="B6605" s="2" t="s">
        <v>13186</v>
      </c>
      <c r="C6605" s="2" t="s">
        <v>84</v>
      </c>
      <c r="D6605" s="2" t="s">
        <v>74</v>
      </c>
      <c r="E6605" s="5">
        <v>-28037</v>
      </c>
      <c r="F6605" s="3" t="s">
        <v>192</v>
      </c>
      <c r="G6605" s="3" t="s">
        <v>20</v>
      </c>
      <c r="H6605" s="2" t="s">
        <v>28</v>
      </c>
      <c r="I6605" s="2" t="s">
        <v>13189</v>
      </c>
      <c r="J6605" s="3" t="str">
        <f>HYPERLINK("https://www.boe.es/gazeta/dias/1823/03/27/pdfs/GMD-1823-90.pdf#page=4","Abrir facsímil")</f>
        <v>Abrir facsímil</v>
      </c>
      <c r="K6605" s="3" t="s">
        <v>30</v>
      </c>
    </row>
    <row r="6606" spans="1:11" ht="42" customHeight="1">
      <c r="A6606" s="2" t="s">
        <v>13190</v>
      </c>
      <c r="B6606" s="2" t="s">
        <v>13191</v>
      </c>
      <c r="C6606" s="2" t="s">
        <v>56</v>
      </c>
      <c r="D6606" s="2" t="s">
        <v>57</v>
      </c>
      <c r="E6606" s="5">
        <v>-27811</v>
      </c>
      <c r="F6606" s="3" t="s">
        <v>834</v>
      </c>
      <c r="G6606" s="3" t="s">
        <v>48</v>
      </c>
      <c r="H6606" s="2" t="s">
        <v>21</v>
      </c>
      <c r="I6606" s="2" t="s">
        <v>13192</v>
      </c>
      <c r="J6606" s="3" t="str">
        <f>HYPERLINK("https://www.boe.es/gazeta/dias/1823/11/08/pdfs/GMD-1823-1083.pdf#page=3","Abrir facsímil")</f>
        <v>Abrir facsímil</v>
      </c>
      <c r="K6606" s="3" t="s">
        <v>23</v>
      </c>
    </row>
    <row r="6607" spans="1:11" ht="42" customHeight="1">
      <c r="A6607" s="2" t="s">
        <v>13193</v>
      </c>
      <c r="B6607" s="2" t="s">
        <v>13193</v>
      </c>
      <c r="C6607" s="2" t="s">
        <v>79</v>
      </c>
      <c r="D6607" s="2" t="s">
        <v>74</v>
      </c>
      <c r="E6607" s="5">
        <v>-28122</v>
      </c>
      <c r="F6607" s="3" t="s">
        <v>269</v>
      </c>
      <c r="G6607" s="3" t="s">
        <v>39</v>
      </c>
      <c r="H6607" s="2" t="s">
        <v>21</v>
      </c>
      <c r="I6607" s="2" t="s">
        <v>13194</v>
      </c>
      <c r="J6607" s="3" t="str">
        <f>HYPERLINK("https://www.boe.es/gazeta/dias/1823/01/01/pdfs/GMD-1823-1.pdf#page=1","Abrir facsímil")</f>
        <v>Abrir facsímil</v>
      </c>
      <c r="K6607" s="3" t="s">
        <v>23</v>
      </c>
    </row>
    <row r="6608" spans="1:11" ht="42" customHeight="1">
      <c r="A6608" s="2" t="s">
        <v>13193</v>
      </c>
      <c r="B6608" s="2" t="s">
        <v>13193</v>
      </c>
      <c r="C6608" s="2" t="s">
        <v>17</v>
      </c>
      <c r="D6608" s="2" t="s">
        <v>18</v>
      </c>
      <c r="E6608" s="5">
        <v>-28122</v>
      </c>
      <c r="F6608" s="3" t="s">
        <v>269</v>
      </c>
      <c r="G6608" s="3" t="s">
        <v>20</v>
      </c>
      <c r="H6608" s="2" t="s">
        <v>21</v>
      </c>
      <c r="I6608" s="2" t="s">
        <v>13195</v>
      </c>
      <c r="J6608" s="3" t="str">
        <f>HYPERLINK("https://www.boe.es/gazeta/dias/1823/01/01/pdfs/GMD-1823-1.pdf#page=4","Abrir facsímil")</f>
        <v>Abrir facsímil</v>
      </c>
      <c r="K6608" s="3" t="s">
        <v>23</v>
      </c>
    </row>
    <row r="6609" spans="1:11" ht="42" customHeight="1">
      <c r="A6609" s="2" t="s">
        <v>13193</v>
      </c>
      <c r="B6609" s="2" t="s">
        <v>13193</v>
      </c>
      <c r="C6609" s="2" t="s">
        <v>17</v>
      </c>
      <c r="D6609" s="2" t="s">
        <v>18</v>
      </c>
      <c r="E6609" s="5">
        <v>-28118</v>
      </c>
      <c r="F6609" s="3" t="s">
        <v>252</v>
      </c>
      <c r="G6609" s="3" t="s">
        <v>59</v>
      </c>
      <c r="H6609" s="2" t="s">
        <v>21</v>
      </c>
      <c r="I6609" s="2" t="s">
        <v>13196</v>
      </c>
      <c r="J6609" s="3" t="str">
        <f>HYPERLINK("https://www.boe.es/gazeta/dias/1823/01/05/pdfs/GMD-1823-5.pdf#page=6","Abrir facsímil")</f>
        <v>Abrir facsímil</v>
      </c>
      <c r="K6609" s="3" t="s">
        <v>23</v>
      </c>
    </row>
    <row r="6610" spans="1:11" ht="42" customHeight="1">
      <c r="A6610" s="2" t="s">
        <v>13193</v>
      </c>
      <c r="B6610" s="2" t="s">
        <v>13193</v>
      </c>
      <c r="C6610" s="2" t="s">
        <v>109</v>
      </c>
      <c r="D6610" s="2" t="s">
        <v>74</v>
      </c>
      <c r="E6610" s="5">
        <v>-28085</v>
      </c>
      <c r="F6610" s="3" t="s">
        <v>458</v>
      </c>
      <c r="G6610" s="3" t="s">
        <v>27</v>
      </c>
      <c r="H6610" s="2" t="s">
        <v>21</v>
      </c>
      <c r="I6610" s="2" t="s">
        <v>13197</v>
      </c>
      <c r="J6610" s="3" t="str">
        <f>HYPERLINK("https://www.boe.es/gazeta/dias/1823/02/07/pdfs/GMD-1823-40.pdf#page=2","Abrir facsímil")</f>
        <v>Abrir facsímil</v>
      </c>
      <c r="K6610" s="3" t="s">
        <v>23</v>
      </c>
    </row>
    <row r="6611" spans="1:11" ht="42" customHeight="1">
      <c r="A6611" s="2" t="s">
        <v>13193</v>
      </c>
      <c r="B6611" s="2" t="s">
        <v>13193</v>
      </c>
      <c r="C6611" s="2" t="s">
        <v>56</v>
      </c>
      <c r="D6611" s="2" t="s">
        <v>57</v>
      </c>
      <c r="E6611" s="5">
        <v>-28077</v>
      </c>
      <c r="F6611" s="3" t="s">
        <v>536</v>
      </c>
      <c r="G6611" s="3" t="s">
        <v>39</v>
      </c>
      <c r="H6611" s="2" t="s">
        <v>21</v>
      </c>
      <c r="I6611" s="2" t="s">
        <v>13198</v>
      </c>
      <c r="J6611" s="3" t="str">
        <f>HYPERLINK("https://www.boe.es/gazeta/dias/1823/02/15/pdfs/GMD-1823-49.pdf#page=1","Abrir facsímil")</f>
        <v>Abrir facsímil</v>
      </c>
      <c r="K6611" s="3" t="s">
        <v>23</v>
      </c>
    </row>
    <row r="6612" spans="1:11" ht="42" customHeight="1">
      <c r="A6612" s="2" t="s">
        <v>13193</v>
      </c>
      <c r="B6612" s="2" t="s">
        <v>13193</v>
      </c>
      <c r="C6612" s="2" t="s">
        <v>79</v>
      </c>
      <c r="D6612" s="2" t="s">
        <v>74</v>
      </c>
      <c r="E6612" s="5">
        <v>-28074</v>
      </c>
      <c r="F6612" s="3" t="s">
        <v>212</v>
      </c>
      <c r="G6612" s="3" t="s">
        <v>39</v>
      </c>
      <c r="H6612" s="2" t="s">
        <v>21</v>
      </c>
      <c r="I6612" s="2" t="s">
        <v>13199</v>
      </c>
      <c r="J6612" s="3" t="str">
        <f>HYPERLINK("https://www.boe.es/gazeta/dias/1823/02/18/pdfs/GMD-1823-52.pdf#page=1","Abrir facsímil")</f>
        <v>Abrir facsímil</v>
      </c>
      <c r="K6612" s="3" t="s">
        <v>23</v>
      </c>
    </row>
    <row r="6613" spans="1:11" ht="42" customHeight="1">
      <c r="A6613" s="2" t="s">
        <v>13193</v>
      </c>
      <c r="B6613" s="2" t="s">
        <v>13193</v>
      </c>
      <c r="C6613" s="2" t="s">
        <v>17</v>
      </c>
      <c r="D6613" s="2" t="s">
        <v>18</v>
      </c>
      <c r="E6613" s="5">
        <v>-28061</v>
      </c>
      <c r="F6613" s="3" t="s">
        <v>704</v>
      </c>
      <c r="G6613" s="3" t="s">
        <v>20</v>
      </c>
      <c r="H6613" s="2" t="s">
        <v>21</v>
      </c>
      <c r="I6613" s="2" t="s">
        <v>13200</v>
      </c>
      <c r="J6613" s="3" t="str">
        <f>HYPERLINK("https://www.boe.es/gazeta/dias/1823/03/03/pdfs/GMD-1823-66.pdf#page=4","Abrir facsímil")</f>
        <v>Abrir facsímil</v>
      </c>
      <c r="K6613" s="3" t="s">
        <v>23</v>
      </c>
    </row>
    <row r="6614" spans="1:11" ht="42" customHeight="1">
      <c r="A6614" s="2" t="s">
        <v>13193</v>
      </c>
      <c r="B6614" s="2" t="s">
        <v>13193</v>
      </c>
      <c r="C6614" s="2" t="s">
        <v>17</v>
      </c>
      <c r="D6614" s="2" t="s">
        <v>18</v>
      </c>
      <c r="E6614" s="5">
        <v>-28060</v>
      </c>
      <c r="F6614" s="3" t="s">
        <v>180</v>
      </c>
      <c r="G6614" s="3" t="s">
        <v>181</v>
      </c>
      <c r="H6614" s="2" t="s">
        <v>21</v>
      </c>
      <c r="I6614" s="2" t="s">
        <v>13201</v>
      </c>
      <c r="J6614" s="3" t="str">
        <f>HYPERLINK("https://www.boe.es/gazeta/dias/1823/03/04/pdfs/GMD-1823-67.pdf#page=6","Abrir facsímil")</f>
        <v>Abrir facsímil</v>
      </c>
      <c r="K6614" s="3" t="s">
        <v>23</v>
      </c>
    </row>
    <row r="6615" spans="1:11" ht="42" customHeight="1">
      <c r="A6615" s="2" t="s">
        <v>13193</v>
      </c>
      <c r="B6615" s="2" t="s">
        <v>13193</v>
      </c>
      <c r="C6615" s="2" t="s">
        <v>56</v>
      </c>
      <c r="D6615" s="2" t="s">
        <v>57</v>
      </c>
      <c r="E6615" s="5">
        <v>-28048</v>
      </c>
      <c r="F6615" s="3" t="s">
        <v>399</v>
      </c>
      <c r="G6615" s="3" t="s">
        <v>27</v>
      </c>
      <c r="H6615" s="2" t="s">
        <v>21</v>
      </c>
      <c r="I6615" s="2" t="s">
        <v>13202</v>
      </c>
      <c r="J6615" s="3" t="str">
        <f>HYPERLINK("https://www.boe.es/gazeta/dias/1823/03/16/pdfs/GMD-1823-79.pdf#page=2","Abrir facsímil")</f>
        <v>Abrir facsímil</v>
      </c>
      <c r="K6615" s="3" t="s">
        <v>23</v>
      </c>
    </row>
    <row r="6616" spans="1:11" ht="42" customHeight="1">
      <c r="A6616" s="2" t="s">
        <v>13193</v>
      </c>
      <c r="B6616" s="2" t="s">
        <v>13193</v>
      </c>
      <c r="C6616" s="2" t="s">
        <v>17</v>
      </c>
      <c r="D6616" s="2" t="s">
        <v>18</v>
      </c>
      <c r="E6616" s="5">
        <v>-28030</v>
      </c>
      <c r="F6616" s="3" t="s">
        <v>145</v>
      </c>
      <c r="G6616" s="3" t="s">
        <v>48</v>
      </c>
      <c r="H6616" s="2" t="s">
        <v>21</v>
      </c>
      <c r="I6616" s="2" t="s">
        <v>13203</v>
      </c>
      <c r="J6616" s="3" t="str">
        <f>HYPERLINK("https://www.boe.es/gazeta/dias/1823/04/03/pdfs/GMD-1823-97.pdf#page=3","Abrir facsímil")</f>
        <v>Abrir facsímil</v>
      </c>
      <c r="K6616" s="3" t="s">
        <v>23</v>
      </c>
    </row>
    <row r="6617" spans="1:11" ht="42" customHeight="1">
      <c r="A6617" s="2" t="s">
        <v>13193</v>
      </c>
      <c r="B6617" s="2" t="s">
        <v>13193</v>
      </c>
      <c r="C6617" s="2" t="s">
        <v>17</v>
      </c>
      <c r="D6617" s="2" t="s">
        <v>18</v>
      </c>
      <c r="E6617" s="5">
        <v>-27968</v>
      </c>
      <c r="F6617" s="3" t="s">
        <v>1160</v>
      </c>
      <c r="G6617" s="3" t="s">
        <v>34</v>
      </c>
      <c r="H6617" s="2" t="s">
        <v>21</v>
      </c>
      <c r="I6617" s="2" t="s">
        <v>13204</v>
      </c>
      <c r="J6617" s="3" t="str">
        <f>HYPERLINK("https://www.boe.es/gazeta/dias/1823/06/04/pdfs/GES-1823-58.pdf#page=5","Abrir facsímil")</f>
        <v>Abrir facsímil</v>
      </c>
      <c r="K6617" s="3" t="s">
        <v>23</v>
      </c>
    </row>
    <row r="6618" spans="1:11" ht="42" customHeight="1">
      <c r="A6618" s="2" t="s">
        <v>13193</v>
      </c>
      <c r="B6618" s="2" t="s">
        <v>13193</v>
      </c>
      <c r="C6618" s="2" t="s">
        <v>17</v>
      </c>
      <c r="D6618" s="2" t="s">
        <v>18</v>
      </c>
      <c r="E6618" s="5">
        <v>-27946</v>
      </c>
      <c r="F6618" s="3" t="s">
        <v>2146</v>
      </c>
      <c r="G6618" s="3" t="s">
        <v>20</v>
      </c>
      <c r="H6618" s="2" t="s">
        <v>21</v>
      </c>
      <c r="I6618" s="2" t="s">
        <v>13205</v>
      </c>
      <c r="J6618" s="3" t="str">
        <f>HYPERLINK("https://www.boe.es/gazeta/dias/1823/06/26/pdfs/GES-1823-76.pdf#page=4","Abrir facsímil")</f>
        <v>Abrir facsímil</v>
      </c>
      <c r="K6618" s="3" t="s">
        <v>23</v>
      </c>
    </row>
    <row r="6619" spans="1:11" ht="42" customHeight="1">
      <c r="A6619" s="2" t="s">
        <v>13193</v>
      </c>
      <c r="B6619" s="2" t="s">
        <v>13193</v>
      </c>
      <c r="C6619" s="2" t="s">
        <v>17</v>
      </c>
      <c r="D6619" s="2" t="s">
        <v>18</v>
      </c>
      <c r="E6619" s="5">
        <v>-27895</v>
      </c>
      <c r="F6619" s="3" t="s">
        <v>734</v>
      </c>
      <c r="G6619" s="3" t="s">
        <v>39</v>
      </c>
      <c r="H6619" s="2" t="s">
        <v>21</v>
      </c>
      <c r="I6619" s="2" t="s">
        <v>13206</v>
      </c>
      <c r="J6619" s="3" t="str">
        <f>HYPERLINK("https://www.boe.es/gazeta/dias/1823/08/16/pdfs/GES-1823-129.pdf#page=1","Abrir facsímil")</f>
        <v>Abrir facsímil</v>
      </c>
      <c r="K6619" s="3" t="s">
        <v>23</v>
      </c>
    </row>
    <row r="6620" spans="1:11" ht="42" customHeight="1">
      <c r="A6620" s="2" t="s">
        <v>13193</v>
      </c>
      <c r="B6620" s="2" t="s">
        <v>13193</v>
      </c>
      <c r="C6620" s="2" t="s">
        <v>17</v>
      </c>
      <c r="D6620" s="2" t="s">
        <v>18</v>
      </c>
      <c r="E6620" s="5">
        <v>-27878</v>
      </c>
      <c r="F6620" s="3" t="s">
        <v>1581</v>
      </c>
      <c r="G6620" s="3" t="s">
        <v>20</v>
      </c>
      <c r="H6620" s="2" t="s">
        <v>21</v>
      </c>
      <c r="I6620" s="2" t="s">
        <v>13207</v>
      </c>
      <c r="J6620" s="3" t="str">
        <f>HYPERLINK("https://www.boe.es/gazeta/dias/1823/09/02/pdfs/GMD-1823-683.pdf#page=4","Abrir facsímil")</f>
        <v>Abrir facsímil</v>
      </c>
      <c r="K6620" s="3" t="s">
        <v>23</v>
      </c>
    </row>
    <row r="6621" spans="1:11" ht="42" customHeight="1">
      <c r="A6621" s="2" t="s">
        <v>13208</v>
      </c>
      <c r="B6621" s="2" t="s">
        <v>13209</v>
      </c>
      <c r="C6621" s="2" t="s">
        <v>17</v>
      </c>
      <c r="D6621" s="2" t="s">
        <v>18</v>
      </c>
      <c r="E6621" s="5">
        <v>-28063</v>
      </c>
      <c r="F6621" s="3" t="s">
        <v>2493</v>
      </c>
      <c r="G6621" s="3" t="s">
        <v>20</v>
      </c>
      <c r="H6621" s="2" t="s">
        <v>21</v>
      </c>
      <c r="I6621" s="2" t="s">
        <v>13210</v>
      </c>
      <c r="J6621" s="3" t="str">
        <f>HYPERLINK("https://www.boe.es/gazeta/dias/1823/03/01/pdfs/GMD-1823-63.pdf#page=4","Abrir facsímil")</f>
        <v>Abrir facsímil</v>
      </c>
      <c r="K6621" s="3" t="s">
        <v>23</v>
      </c>
    </row>
    <row r="6622" spans="1:11" ht="42" customHeight="1">
      <c r="A6622" s="2" t="s">
        <v>13211</v>
      </c>
      <c r="B6622" s="2" t="s">
        <v>13212</v>
      </c>
      <c r="C6622" s="2" t="s">
        <v>17</v>
      </c>
      <c r="D6622" s="2" t="s">
        <v>18</v>
      </c>
      <c r="E6622" s="5">
        <v>-28105</v>
      </c>
      <c r="F6622" s="3" t="s">
        <v>502</v>
      </c>
      <c r="G6622" s="3" t="s">
        <v>27</v>
      </c>
      <c r="H6622" s="2" t="s">
        <v>21</v>
      </c>
      <c r="I6622" s="2" t="s">
        <v>13213</v>
      </c>
      <c r="J6622" s="3" t="str">
        <f>HYPERLINK("https://www.boe.es/gazeta/dias/1823/01/18/pdfs/GMD-1823-18.pdf#page=2","Abrir facsímil")</f>
        <v>Abrir facsímil</v>
      </c>
      <c r="K6622" s="3" t="s">
        <v>23</v>
      </c>
    </row>
    <row r="6623" spans="1:11" ht="42" customHeight="1">
      <c r="A6623" s="2" t="s">
        <v>13211</v>
      </c>
      <c r="B6623" s="2" t="s">
        <v>13212</v>
      </c>
      <c r="C6623" s="2" t="s">
        <v>17</v>
      </c>
      <c r="D6623" s="2" t="s">
        <v>18</v>
      </c>
      <c r="E6623" s="5">
        <v>-28027</v>
      </c>
      <c r="F6623" s="3" t="s">
        <v>4234</v>
      </c>
      <c r="G6623" s="3" t="s">
        <v>27</v>
      </c>
      <c r="H6623" s="2" t="s">
        <v>21</v>
      </c>
      <c r="I6623" s="2" t="s">
        <v>13214</v>
      </c>
      <c r="J6623" s="3" t="str">
        <f>HYPERLINK("https://www.boe.es/gazeta/dias/1823/04/06/pdfs/GMD-1823-101.pdf#page=2","Abrir facsímil")</f>
        <v>Abrir facsímil</v>
      </c>
      <c r="K6623" s="3" t="s">
        <v>23</v>
      </c>
    </row>
    <row r="6624" spans="1:11" ht="42" customHeight="1">
      <c r="A6624" s="2" t="s">
        <v>13215</v>
      </c>
      <c r="B6624" s="2" t="s">
        <v>13216</v>
      </c>
      <c r="C6624" s="2" t="s">
        <v>17</v>
      </c>
      <c r="D6624" s="2" t="s">
        <v>18</v>
      </c>
      <c r="E6624" s="5">
        <v>-28116</v>
      </c>
      <c r="F6624" s="3" t="s">
        <v>134</v>
      </c>
      <c r="G6624" s="3" t="s">
        <v>59</v>
      </c>
      <c r="H6624" s="2" t="s">
        <v>21</v>
      </c>
      <c r="I6624" s="2" t="s">
        <v>13217</v>
      </c>
      <c r="J6624" s="3" t="str">
        <f>HYPERLINK("https://www.boe.es/gazeta/dias/1823/01/07/pdfs/GMD-1823-7.pdf#page=6","Abrir facsímil")</f>
        <v>Abrir facsímil</v>
      </c>
      <c r="K6624" s="3" t="s">
        <v>23</v>
      </c>
    </row>
    <row r="6625" spans="1:11" ht="42" customHeight="1">
      <c r="A6625" s="2" t="s">
        <v>13218</v>
      </c>
      <c r="B6625" s="2" t="s">
        <v>13219</v>
      </c>
      <c r="C6625" s="2" t="s">
        <v>17</v>
      </c>
      <c r="D6625" s="2" t="s">
        <v>18</v>
      </c>
      <c r="E6625" s="5">
        <v>-28005</v>
      </c>
      <c r="F6625" s="3" t="s">
        <v>1648</v>
      </c>
      <c r="G6625" s="3" t="s">
        <v>20</v>
      </c>
      <c r="H6625" s="2" t="s">
        <v>21</v>
      </c>
      <c r="I6625" s="2" t="s">
        <v>13220</v>
      </c>
      <c r="J6625" s="3" t="str">
        <f>HYPERLINK("https://www.boe.es/gazeta/dias/1823/04/28/pdfs/GES-1823-18.pdf#page=4","Abrir facsímil")</f>
        <v>Abrir facsímil</v>
      </c>
      <c r="K6625" s="3" t="s">
        <v>23</v>
      </c>
    </row>
    <row r="6626" spans="1:11" ht="42" customHeight="1">
      <c r="A6626" s="2" t="s">
        <v>13218</v>
      </c>
      <c r="B6626" s="2" t="s">
        <v>13219</v>
      </c>
      <c r="C6626" s="2" t="s">
        <v>17</v>
      </c>
      <c r="D6626" s="2" t="s">
        <v>18</v>
      </c>
      <c r="E6626" s="5">
        <v>-27993</v>
      </c>
      <c r="F6626" s="3" t="s">
        <v>1062</v>
      </c>
      <c r="G6626" s="3" t="s">
        <v>59</v>
      </c>
      <c r="H6626" s="2" t="s">
        <v>21</v>
      </c>
      <c r="I6626" s="2" t="s">
        <v>13221</v>
      </c>
      <c r="J6626" s="3" t="str">
        <f>HYPERLINK("https://www.boe.es/gazeta/dias/1823/05/10/pdfs/GMD-1823-122.pdf#page=6","Abrir facsímil")</f>
        <v>Abrir facsímil</v>
      </c>
      <c r="K6626" s="3" t="s">
        <v>23</v>
      </c>
    </row>
    <row r="6627" spans="1:11" ht="42" customHeight="1">
      <c r="A6627" s="2" t="s">
        <v>13222</v>
      </c>
      <c r="B6627" s="2" t="s">
        <v>13222</v>
      </c>
      <c r="C6627" s="2" t="s">
        <v>109</v>
      </c>
      <c r="D6627" s="2" t="s">
        <v>74</v>
      </c>
      <c r="E6627" s="5">
        <v>-27975</v>
      </c>
      <c r="F6627" s="3" t="s">
        <v>47</v>
      </c>
      <c r="G6627" s="3" t="s">
        <v>27</v>
      </c>
      <c r="H6627" s="2" t="s">
        <v>21</v>
      </c>
      <c r="I6627" s="2" t="s">
        <v>13223</v>
      </c>
      <c r="J6627" s="3" t="str">
        <f>HYPERLINK("https://www.boe.es/gazeta/dias/1823/05/28/pdfs/GES-1823-50.pdf#page=2","Abrir facsímil")</f>
        <v>Abrir facsímil</v>
      </c>
      <c r="K6627" s="3" t="s">
        <v>23</v>
      </c>
    </row>
    <row r="6628" spans="1:11" ht="42" customHeight="1">
      <c r="A6628" s="2" t="s">
        <v>13224</v>
      </c>
      <c r="B6628" s="2" t="s">
        <v>13224</v>
      </c>
      <c r="C6628" s="2" t="s">
        <v>17</v>
      </c>
      <c r="D6628" s="2" t="s">
        <v>18</v>
      </c>
      <c r="E6628" s="5">
        <v>-28058</v>
      </c>
      <c r="F6628" s="3" t="s">
        <v>1282</v>
      </c>
      <c r="G6628" s="3" t="s">
        <v>59</v>
      </c>
      <c r="H6628" s="2" t="s">
        <v>21</v>
      </c>
      <c r="I6628" s="2" t="s">
        <v>13225</v>
      </c>
      <c r="J6628" s="3" t="str">
        <f>HYPERLINK("https://www.boe.es/gazeta/dias/1823/03/06/pdfs/GMD-1823-69.pdf#page=6","Abrir facsímil")</f>
        <v>Abrir facsímil</v>
      </c>
      <c r="K6628" s="3" t="s">
        <v>23</v>
      </c>
    </row>
    <row r="6629" spans="1:11" ht="42" customHeight="1">
      <c r="A6629" s="2" t="s">
        <v>13226</v>
      </c>
      <c r="B6629" s="2" t="s">
        <v>13226</v>
      </c>
      <c r="C6629" s="2" t="s">
        <v>84</v>
      </c>
      <c r="D6629" s="2" t="s">
        <v>74</v>
      </c>
      <c r="E6629" s="5">
        <v>-28120</v>
      </c>
      <c r="F6629" s="3" t="s">
        <v>2772</v>
      </c>
      <c r="G6629" s="3" t="s">
        <v>20</v>
      </c>
      <c r="H6629" s="2" t="s">
        <v>21</v>
      </c>
      <c r="I6629" s="2" t="s">
        <v>13227</v>
      </c>
      <c r="J6629" s="3" t="str">
        <f>HYPERLINK("https://www.boe.es/gazeta/dias/1823/01/03/pdfs/GMD-1823-3.pdf#page=4","Abrir facsímil")</f>
        <v>Abrir facsímil</v>
      </c>
      <c r="K6629" s="3" t="s">
        <v>23</v>
      </c>
    </row>
    <row r="6630" spans="1:11" ht="42" customHeight="1">
      <c r="A6630" s="2" t="s">
        <v>13226</v>
      </c>
      <c r="B6630" s="2" t="s">
        <v>13226</v>
      </c>
      <c r="C6630" s="2" t="s">
        <v>79</v>
      </c>
      <c r="D6630" s="2" t="s">
        <v>74</v>
      </c>
      <c r="E6630" s="5">
        <v>-28119</v>
      </c>
      <c r="F6630" s="3" t="s">
        <v>545</v>
      </c>
      <c r="G6630" s="3" t="s">
        <v>48</v>
      </c>
      <c r="H6630" s="2" t="s">
        <v>21</v>
      </c>
      <c r="I6630" s="2" t="s">
        <v>13228</v>
      </c>
      <c r="J6630" s="3" t="str">
        <f>HYPERLINK("https://www.boe.es/gazeta/dias/1823/01/04/pdfs/GMD-1823-4.pdf#page=3","Abrir facsímil")</f>
        <v>Abrir facsímil</v>
      </c>
      <c r="K6630" s="3" t="s">
        <v>23</v>
      </c>
    </row>
    <row r="6631" spans="1:11" ht="42" customHeight="1">
      <c r="A6631" s="2" t="s">
        <v>13226</v>
      </c>
      <c r="B6631" s="2" t="s">
        <v>13226</v>
      </c>
      <c r="C6631" s="2" t="s">
        <v>79</v>
      </c>
      <c r="D6631" s="2" t="s">
        <v>74</v>
      </c>
      <c r="E6631" s="5">
        <v>-28117</v>
      </c>
      <c r="F6631" s="3" t="s">
        <v>271</v>
      </c>
      <c r="G6631" s="3" t="s">
        <v>48</v>
      </c>
      <c r="H6631" s="2" t="s">
        <v>21</v>
      </c>
      <c r="I6631" s="2" t="s">
        <v>13229</v>
      </c>
      <c r="J6631" s="3" t="str">
        <f>HYPERLINK("https://www.boe.es/gazeta/dias/1823/01/06/pdfs/GMD-1823-6.pdf#page=3","Abrir facsímil")</f>
        <v>Abrir facsímil</v>
      </c>
      <c r="K6631" s="3" t="s">
        <v>23</v>
      </c>
    </row>
    <row r="6632" spans="1:11" ht="42" customHeight="1">
      <c r="A6632" s="2" t="s">
        <v>13226</v>
      </c>
      <c r="B6632" s="2" t="s">
        <v>13226</v>
      </c>
      <c r="C6632" s="2" t="s">
        <v>109</v>
      </c>
      <c r="D6632" s="2" t="s">
        <v>74</v>
      </c>
      <c r="E6632" s="5">
        <v>-28117</v>
      </c>
      <c r="F6632" s="3" t="s">
        <v>271</v>
      </c>
      <c r="G6632" s="3" t="s">
        <v>20</v>
      </c>
      <c r="H6632" s="2" t="s">
        <v>21</v>
      </c>
      <c r="I6632" s="2" t="s">
        <v>13230</v>
      </c>
      <c r="J6632" s="3" t="str">
        <f>HYPERLINK("https://www.boe.es/gazeta/dias/1823/01/06/pdfs/GMD-1823-6.pdf#page=4","Abrir facsímil")</f>
        <v>Abrir facsímil</v>
      </c>
      <c r="K6632" s="3" t="s">
        <v>23</v>
      </c>
    </row>
    <row r="6633" spans="1:11" ht="42" customHeight="1">
      <c r="A6633" s="2" t="s">
        <v>13226</v>
      </c>
      <c r="B6633" s="2" t="s">
        <v>13226</v>
      </c>
      <c r="C6633" s="2" t="s">
        <v>293</v>
      </c>
      <c r="D6633" s="2" t="s">
        <v>74</v>
      </c>
      <c r="E6633" s="5">
        <v>-28116</v>
      </c>
      <c r="F6633" s="3" t="s">
        <v>134</v>
      </c>
      <c r="G6633" s="3" t="s">
        <v>20</v>
      </c>
      <c r="H6633" s="2" t="s">
        <v>21</v>
      </c>
      <c r="I6633" s="2" t="s">
        <v>13231</v>
      </c>
      <c r="J6633" s="3" t="str">
        <f>HYPERLINK("https://www.boe.es/gazeta/dias/1823/01/07/pdfs/GMD-1823-7.pdf#page=4","Abrir facsímil")</f>
        <v>Abrir facsímil</v>
      </c>
      <c r="K6633" s="3" t="s">
        <v>23</v>
      </c>
    </row>
    <row r="6634" spans="1:11" ht="42" customHeight="1">
      <c r="A6634" s="2" t="s">
        <v>13226</v>
      </c>
      <c r="B6634" s="2" t="s">
        <v>13226</v>
      </c>
      <c r="C6634" s="2" t="s">
        <v>56</v>
      </c>
      <c r="D6634" s="2" t="s">
        <v>57</v>
      </c>
      <c r="E6634" s="5">
        <v>-28115</v>
      </c>
      <c r="F6634" s="3" t="s">
        <v>579</v>
      </c>
      <c r="G6634" s="3" t="s">
        <v>27</v>
      </c>
      <c r="H6634" s="2" t="s">
        <v>21</v>
      </c>
      <c r="I6634" s="2" t="s">
        <v>13232</v>
      </c>
      <c r="J6634" s="3" t="str">
        <f>HYPERLINK("https://www.boe.es/gazeta/dias/1823/01/08/pdfs/GMD-1823-8.pdf#page=2","Abrir facsímil")</f>
        <v>Abrir facsímil</v>
      </c>
      <c r="K6634" s="3" t="s">
        <v>23</v>
      </c>
    </row>
    <row r="6635" spans="1:11" ht="42" customHeight="1">
      <c r="A6635" s="2" t="s">
        <v>13226</v>
      </c>
      <c r="B6635" s="2" t="s">
        <v>13226</v>
      </c>
      <c r="C6635" s="2" t="s">
        <v>79</v>
      </c>
      <c r="D6635" s="2" t="s">
        <v>74</v>
      </c>
      <c r="E6635" s="5">
        <v>-28109</v>
      </c>
      <c r="F6635" s="3" t="s">
        <v>889</v>
      </c>
      <c r="G6635" s="3" t="s">
        <v>27</v>
      </c>
      <c r="H6635" s="2" t="s">
        <v>21</v>
      </c>
      <c r="I6635" s="2" t="s">
        <v>13233</v>
      </c>
      <c r="J6635" s="3" t="str">
        <f>HYPERLINK("https://www.boe.es/gazeta/dias/1823/01/14/pdfs/GMD-1823-14.pdf#page=2","Abrir facsímil")</f>
        <v>Abrir facsímil</v>
      </c>
      <c r="K6635" s="3" t="s">
        <v>23</v>
      </c>
    </row>
    <row r="6636" spans="1:11" ht="42" customHeight="1">
      <c r="A6636" s="2" t="s">
        <v>13226</v>
      </c>
      <c r="B6636" s="2" t="s">
        <v>13226</v>
      </c>
      <c r="C6636" s="2" t="s">
        <v>109</v>
      </c>
      <c r="D6636" s="2" t="s">
        <v>74</v>
      </c>
      <c r="E6636" s="5">
        <v>-28095</v>
      </c>
      <c r="F6636" s="3" t="s">
        <v>1770</v>
      </c>
      <c r="G6636" s="3" t="s">
        <v>20</v>
      </c>
      <c r="H6636" s="2" t="s">
        <v>21</v>
      </c>
      <c r="I6636" s="2" t="s">
        <v>13234</v>
      </c>
      <c r="J6636" s="3" t="str">
        <f>HYPERLINK("https://www.boe.es/gazeta/dias/1823/01/28/pdfs/GMD-1823-29.pdf#page=4","Abrir facsímil")</f>
        <v>Abrir facsímil</v>
      </c>
      <c r="K6636" s="3" t="s">
        <v>23</v>
      </c>
    </row>
    <row r="6637" spans="1:11" ht="42" customHeight="1">
      <c r="A6637" s="2" t="s">
        <v>13226</v>
      </c>
      <c r="B6637" s="2" t="s">
        <v>13226</v>
      </c>
      <c r="C6637" s="2" t="s">
        <v>79</v>
      </c>
      <c r="D6637" s="2" t="s">
        <v>74</v>
      </c>
      <c r="E6637" s="5">
        <v>-28092</v>
      </c>
      <c r="F6637" s="3" t="s">
        <v>105</v>
      </c>
      <c r="G6637" s="3" t="s">
        <v>27</v>
      </c>
      <c r="H6637" s="2" t="s">
        <v>21</v>
      </c>
      <c r="I6637" s="2" t="s">
        <v>13235</v>
      </c>
      <c r="J6637" s="3" t="str">
        <f>HYPERLINK("https://www.boe.es/gazeta/dias/1823/01/31/pdfs/GMD-1823-32.pdf#page=2","Abrir facsímil")</f>
        <v>Abrir facsímil</v>
      </c>
      <c r="K6637" s="3" t="s">
        <v>23</v>
      </c>
    </row>
    <row r="6638" spans="1:11" ht="42" customHeight="1">
      <c r="A6638" s="2" t="s">
        <v>13226</v>
      </c>
      <c r="B6638" s="2" t="s">
        <v>13226</v>
      </c>
      <c r="C6638" s="2" t="s">
        <v>79</v>
      </c>
      <c r="D6638" s="2" t="s">
        <v>74</v>
      </c>
      <c r="E6638" s="5">
        <v>-28092</v>
      </c>
      <c r="F6638" s="3" t="s">
        <v>105</v>
      </c>
      <c r="G6638" s="3" t="s">
        <v>48</v>
      </c>
      <c r="H6638" s="2" t="s">
        <v>21</v>
      </c>
      <c r="I6638" s="2" t="s">
        <v>13236</v>
      </c>
      <c r="J6638" s="3" t="str">
        <f>HYPERLINK("https://www.boe.es/gazeta/dias/1823/01/31/pdfs/GMD-1823-32.pdf#page=3","Abrir facsímil")</f>
        <v>Abrir facsímil</v>
      </c>
      <c r="K6638" s="3" t="s">
        <v>23</v>
      </c>
    </row>
    <row r="6639" spans="1:11" ht="42" customHeight="1">
      <c r="A6639" s="2" t="s">
        <v>13226</v>
      </c>
      <c r="B6639" s="2" t="s">
        <v>13226</v>
      </c>
      <c r="C6639" s="2" t="s">
        <v>109</v>
      </c>
      <c r="D6639" s="2" t="s">
        <v>74</v>
      </c>
      <c r="E6639" s="5">
        <v>-28091</v>
      </c>
      <c r="F6639" s="3" t="s">
        <v>1047</v>
      </c>
      <c r="G6639" s="3" t="s">
        <v>27</v>
      </c>
      <c r="H6639" s="2" t="s">
        <v>21</v>
      </c>
      <c r="I6639" s="2" t="s">
        <v>13237</v>
      </c>
      <c r="J6639" s="3" t="str">
        <f>HYPERLINK("https://www.boe.es/gazeta/dias/1823/02/01/pdfs/GMD-1823-34.pdf#page=2","Abrir facsímil")</f>
        <v>Abrir facsímil</v>
      </c>
      <c r="K6639" s="3" t="s">
        <v>23</v>
      </c>
    </row>
    <row r="6640" spans="1:11" ht="42" customHeight="1">
      <c r="A6640" s="2" t="s">
        <v>13226</v>
      </c>
      <c r="B6640" s="2" t="s">
        <v>13226</v>
      </c>
      <c r="C6640" s="2" t="s">
        <v>17</v>
      </c>
      <c r="D6640" s="2" t="s">
        <v>18</v>
      </c>
      <c r="E6640" s="5">
        <v>-28091</v>
      </c>
      <c r="F6640" s="3" t="s">
        <v>1047</v>
      </c>
      <c r="G6640" s="3" t="s">
        <v>34</v>
      </c>
      <c r="H6640" s="2" t="s">
        <v>21</v>
      </c>
      <c r="I6640" s="2" t="s">
        <v>13238</v>
      </c>
      <c r="J6640" s="3" t="str">
        <f>HYPERLINK("https://www.boe.es/gazeta/dias/1823/02/01/pdfs/GMD-1823-34.pdf#page=5","Abrir facsímil")</f>
        <v>Abrir facsímil</v>
      </c>
      <c r="K6640" s="3" t="s">
        <v>23</v>
      </c>
    </row>
    <row r="6641" spans="1:11" ht="42" customHeight="1">
      <c r="A6641" s="2" t="s">
        <v>13226</v>
      </c>
      <c r="B6641" s="2" t="s">
        <v>13226</v>
      </c>
      <c r="C6641" s="2" t="s">
        <v>56</v>
      </c>
      <c r="D6641" s="2" t="s">
        <v>57</v>
      </c>
      <c r="E6641" s="5">
        <v>-28088</v>
      </c>
      <c r="F6641" s="3" t="s">
        <v>542</v>
      </c>
      <c r="G6641" s="3" t="s">
        <v>20</v>
      </c>
      <c r="H6641" s="2" t="s">
        <v>21</v>
      </c>
      <c r="I6641" s="2" t="s">
        <v>13239</v>
      </c>
      <c r="J6641" s="3" t="str">
        <f>HYPERLINK("https://www.boe.es/gazeta/dias/1823/02/04/pdfs/GMD-1823-37.pdf#page=4","Abrir facsímil")</f>
        <v>Abrir facsímil</v>
      </c>
      <c r="K6641" s="3" t="s">
        <v>23</v>
      </c>
    </row>
    <row r="6642" spans="1:11" ht="42" customHeight="1">
      <c r="A6642" s="2" t="s">
        <v>13226</v>
      </c>
      <c r="B6642" s="2" t="s">
        <v>13226</v>
      </c>
      <c r="C6642" s="2" t="s">
        <v>79</v>
      </c>
      <c r="D6642" s="2" t="s">
        <v>74</v>
      </c>
      <c r="E6642" s="5">
        <v>-28087</v>
      </c>
      <c r="F6642" s="3" t="s">
        <v>3125</v>
      </c>
      <c r="G6642" s="3" t="s">
        <v>20</v>
      </c>
      <c r="H6642" s="2" t="s">
        <v>21</v>
      </c>
      <c r="I6642" s="2" t="s">
        <v>13240</v>
      </c>
      <c r="J6642" s="3" t="str">
        <f>HYPERLINK("https://www.boe.es/gazeta/dias/1823/02/05/pdfs/GMD-1823-38.pdf#page=4","Abrir facsímil")</f>
        <v>Abrir facsímil</v>
      </c>
      <c r="K6642" s="3" t="s">
        <v>23</v>
      </c>
    </row>
    <row r="6643" spans="1:11" ht="42" customHeight="1">
      <c r="A6643" s="2" t="s">
        <v>13226</v>
      </c>
      <c r="B6643" s="2" t="s">
        <v>13226</v>
      </c>
      <c r="C6643" s="2" t="s">
        <v>17</v>
      </c>
      <c r="D6643" s="2" t="s">
        <v>18</v>
      </c>
      <c r="E6643" s="5">
        <v>-28086</v>
      </c>
      <c r="F6643" s="3" t="s">
        <v>289</v>
      </c>
      <c r="G6643" s="3" t="s">
        <v>39</v>
      </c>
      <c r="H6643" s="2" t="s">
        <v>21</v>
      </c>
      <c r="I6643" s="2" t="s">
        <v>13241</v>
      </c>
      <c r="J6643" s="3" t="str">
        <f>HYPERLINK("https://www.boe.es/gazeta/dias/1823/02/06/pdfs/GMD-1823-39.pdf#page=1","Abrir facsímil")</f>
        <v>Abrir facsímil</v>
      </c>
      <c r="K6643" s="3" t="s">
        <v>23</v>
      </c>
    </row>
    <row r="6644" spans="1:11" ht="42" customHeight="1">
      <c r="A6644" s="2" t="s">
        <v>13226</v>
      </c>
      <c r="B6644" s="2" t="s">
        <v>13226</v>
      </c>
      <c r="C6644" s="2" t="s">
        <v>17</v>
      </c>
      <c r="D6644" s="2" t="s">
        <v>18</v>
      </c>
      <c r="E6644" s="5">
        <v>-28080</v>
      </c>
      <c r="F6644" s="3" t="s">
        <v>1010</v>
      </c>
      <c r="G6644" s="3" t="s">
        <v>27</v>
      </c>
      <c r="H6644" s="2" t="s">
        <v>21</v>
      </c>
      <c r="I6644" s="2" t="s">
        <v>13242</v>
      </c>
      <c r="J6644" s="3" t="str">
        <f>HYPERLINK("https://www.boe.es/gazeta/dias/1823/02/12/pdfs/GMD-1823-46.pdf#page=2","Abrir facsímil")</f>
        <v>Abrir facsímil</v>
      </c>
      <c r="K6644" s="3" t="s">
        <v>23</v>
      </c>
    </row>
    <row r="6645" spans="1:11" ht="42" customHeight="1">
      <c r="A6645" s="2" t="s">
        <v>13226</v>
      </c>
      <c r="B6645" s="2" t="s">
        <v>13226</v>
      </c>
      <c r="C6645" s="2" t="s">
        <v>79</v>
      </c>
      <c r="D6645" s="2" t="s">
        <v>74</v>
      </c>
      <c r="E6645" s="5">
        <v>-28078</v>
      </c>
      <c r="F6645" s="3" t="s">
        <v>508</v>
      </c>
      <c r="G6645" s="3" t="s">
        <v>27</v>
      </c>
      <c r="H6645" s="2" t="s">
        <v>21</v>
      </c>
      <c r="I6645" s="2" t="s">
        <v>13243</v>
      </c>
      <c r="J6645" s="3" t="str">
        <f>HYPERLINK("https://www.boe.es/gazeta/dias/1823/02/14/pdfs/GMD-1823-48.pdf#page=2","Abrir facsímil")</f>
        <v>Abrir facsímil</v>
      </c>
      <c r="K6645" s="3" t="s">
        <v>23</v>
      </c>
    </row>
    <row r="6646" spans="1:11" ht="42" customHeight="1">
      <c r="A6646" s="2" t="s">
        <v>13226</v>
      </c>
      <c r="B6646" s="2" t="s">
        <v>13226</v>
      </c>
      <c r="C6646" s="2" t="s">
        <v>17</v>
      </c>
      <c r="D6646" s="2" t="s">
        <v>18</v>
      </c>
      <c r="E6646" s="5">
        <v>-28078</v>
      </c>
      <c r="F6646" s="3" t="s">
        <v>508</v>
      </c>
      <c r="G6646" s="3" t="s">
        <v>59</v>
      </c>
      <c r="H6646" s="2" t="s">
        <v>21</v>
      </c>
      <c r="I6646" s="2" t="s">
        <v>13244</v>
      </c>
      <c r="J6646" s="3" t="str">
        <f>HYPERLINK("https://www.boe.es/gazeta/dias/1823/02/14/pdfs/GMD-1823-48.pdf#page=6","Abrir facsímil")</f>
        <v>Abrir facsímil</v>
      </c>
      <c r="K6646" s="3" t="s">
        <v>23</v>
      </c>
    </row>
    <row r="6647" spans="1:11" ht="42" customHeight="1">
      <c r="A6647" s="2" t="s">
        <v>13226</v>
      </c>
      <c r="B6647" s="2" t="s">
        <v>13226</v>
      </c>
      <c r="C6647" s="2" t="s">
        <v>79</v>
      </c>
      <c r="D6647" s="2" t="s">
        <v>74</v>
      </c>
      <c r="E6647" s="5">
        <v>-28076</v>
      </c>
      <c r="F6647" s="3" t="s">
        <v>1638</v>
      </c>
      <c r="G6647" s="3" t="s">
        <v>20</v>
      </c>
      <c r="H6647" s="2" t="s">
        <v>21</v>
      </c>
      <c r="I6647" s="2" t="s">
        <v>13245</v>
      </c>
      <c r="J6647" s="3" t="str">
        <f>HYPERLINK("https://www.boe.es/gazeta/dias/1823/02/16/pdfs/GMD-1823-50.pdf#page=4","Abrir facsímil")</f>
        <v>Abrir facsímil</v>
      </c>
      <c r="K6647" s="3" t="s">
        <v>23</v>
      </c>
    </row>
    <row r="6648" spans="1:11" ht="42" customHeight="1">
      <c r="A6648" s="2" t="s">
        <v>13226</v>
      </c>
      <c r="B6648" s="2" t="s">
        <v>13226</v>
      </c>
      <c r="C6648" s="2" t="s">
        <v>84</v>
      </c>
      <c r="D6648" s="2" t="s">
        <v>74</v>
      </c>
      <c r="E6648" s="5">
        <v>-28074</v>
      </c>
      <c r="F6648" s="3" t="s">
        <v>212</v>
      </c>
      <c r="G6648" s="3" t="s">
        <v>34</v>
      </c>
      <c r="H6648" s="2" t="s">
        <v>21</v>
      </c>
      <c r="I6648" s="2" t="s">
        <v>13246</v>
      </c>
      <c r="J6648" s="3" t="str">
        <f>HYPERLINK("https://www.boe.es/gazeta/dias/1823/02/18/pdfs/GMD-1823-52.pdf#page=5","Abrir facsímil")</f>
        <v>Abrir facsímil</v>
      </c>
      <c r="K6648" s="3" t="s">
        <v>23</v>
      </c>
    </row>
    <row r="6649" spans="1:11" ht="42" customHeight="1">
      <c r="A6649" s="2" t="s">
        <v>13226</v>
      </c>
      <c r="B6649" s="2" t="s">
        <v>13226</v>
      </c>
      <c r="C6649" s="2" t="s">
        <v>17</v>
      </c>
      <c r="D6649" s="2" t="s">
        <v>18</v>
      </c>
      <c r="E6649" s="5">
        <v>-28062</v>
      </c>
      <c r="F6649" s="3" t="s">
        <v>1357</v>
      </c>
      <c r="G6649" s="3" t="s">
        <v>27</v>
      </c>
      <c r="H6649" s="2" t="s">
        <v>21</v>
      </c>
      <c r="I6649" s="2" t="s">
        <v>13247</v>
      </c>
      <c r="J6649" s="3" t="str">
        <f>HYPERLINK("https://www.boe.es/gazeta/dias/1823/03/02/pdfs/GMD-1823-65.pdf#page=2","Abrir facsímil")</f>
        <v>Abrir facsímil</v>
      </c>
      <c r="K6649" s="3" t="s">
        <v>23</v>
      </c>
    </row>
    <row r="6650" spans="1:11" ht="42" customHeight="1">
      <c r="A6650" s="2" t="s">
        <v>13226</v>
      </c>
      <c r="B6650" s="2" t="s">
        <v>13226</v>
      </c>
      <c r="C6650" s="2" t="s">
        <v>56</v>
      </c>
      <c r="D6650" s="2" t="s">
        <v>57</v>
      </c>
      <c r="E6650" s="5">
        <v>-28061</v>
      </c>
      <c r="F6650" s="3" t="s">
        <v>704</v>
      </c>
      <c r="G6650" s="3" t="s">
        <v>39</v>
      </c>
      <c r="H6650" s="2" t="s">
        <v>21</v>
      </c>
      <c r="I6650" s="2" t="s">
        <v>13248</v>
      </c>
      <c r="J6650" s="3" t="str">
        <f>HYPERLINK("https://www.boe.es/gazeta/dias/1823/03/03/pdfs/GMD-1823-66.pdf#page=1","Abrir facsímil")</f>
        <v>Abrir facsímil</v>
      </c>
      <c r="K6650" s="3" t="s">
        <v>23</v>
      </c>
    </row>
    <row r="6651" spans="1:11" ht="42" customHeight="1">
      <c r="A6651" s="2" t="s">
        <v>13226</v>
      </c>
      <c r="B6651" s="2" t="s">
        <v>13226</v>
      </c>
      <c r="C6651" s="2" t="s">
        <v>17</v>
      </c>
      <c r="D6651" s="2" t="s">
        <v>18</v>
      </c>
      <c r="E6651" s="5">
        <v>-28060</v>
      </c>
      <c r="F6651" s="3" t="s">
        <v>180</v>
      </c>
      <c r="G6651" s="3" t="s">
        <v>181</v>
      </c>
      <c r="H6651" s="2" t="s">
        <v>21</v>
      </c>
      <c r="I6651" s="2" t="s">
        <v>13249</v>
      </c>
      <c r="J6651" s="3" t="str">
        <f>HYPERLINK("https://www.boe.es/gazeta/dias/1823/03/04/pdfs/GMD-1823-67.pdf#page=6","Abrir facsímil")</f>
        <v>Abrir facsímil</v>
      </c>
      <c r="K6651" s="3" t="s">
        <v>23</v>
      </c>
    </row>
    <row r="6652" spans="1:11" ht="42" customHeight="1">
      <c r="A6652" s="2" t="s">
        <v>13226</v>
      </c>
      <c r="B6652" s="2" t="s">
        <v>13226</v>
      </c>
      <c r="C6652" s="2" t="s">
        <v>17</v>
      </c>
      <c r="D6652" s="2" t="s">
        <v>18</v>
      </c>
      <c r="E6652" s="5">
        <v>-28058</v>
      </c>
      <c r="F6652" s="3" t="s">
        <v>1282</v>
      </c>
      <c r="G6652" s="3" t="s">
        <v>34</v>
      </c>
      <c r="H6652" s="2" t="s">
        <v>21</v>
      </c>
      <c r="I6652" s="2" t="s">
        <v>13250</v>
      </c>
      <c r="J6652" s="3" t="str">
        <f>HYPERLINK("https://www.boe.es/gazeta/dias/1823/03/06/pdfs/GMD-1823-69.pdf#page=5","Abrir facsímil")</f>
        <v>Abrir facsímil</v>
      </c>
      <c r="K6652" s="3" t="s">
        <v>23</v>
      </c>
    </row>
    <row r="6653" spans="1:11" ht="42" customHeight="1">
      <c r="A6653" s="2" t="s">
        <v>13226</v>
      </c>
      <c r="B6653" s="2" t="s">
        <v>13226</v>
      </c>
      <c r="C6653" s="2" t="s">
        <v>56</v>
      </c>
      <c r="D6653" s="2" t="s">
        <v>57</v>
      </c>
      <c r="E6653" s="5">
        <v>-28054</v>
      </c>
      <c r="F6653" s="3" t="s">
        <v>1292</v>
      </c>
      <c r="G6653" s="3" t="s">
        <v>48</v>
      </c>
      <c r="H6653" s="2" t="s">
        <v>21</v>
      </c>
      <c r="I6653" s="2" t="s">
        <v>13251</v>
      </c>
      <c r="J6653" s="3" t="str">
        <f>HYPERLINK("https://www.boe.es/gazeta/dias/1823/03/10/pdfs/GMD-1823-73.pdf#page=3","Abrir facsímil")</f>
        <v>Abrir facsímil</v>
      </c>
      <c r="K6653" s="3" t="s">
        <v>23</v>
      </c>
    </row>
    <row r="6654" spans="1:11" ht="42" customHeight="1">
      <c r="A6654" s="2" t="s">
        <v>13226</v>
      </c>
      <c r="B6654" s="2" t="s">
        <v>13226</v>
      </c>
      <c r="C6654" s="2" t="s">
        <v>17</v>
      </c>
      <c r="D6654" s="2" t="s">
        <v>18</v>
      </c>
      <c r="E6654" s="5">
        <v>-28053</v>
      </c>
      <c r="F6654" s="3" t="s">
        <v>303</v>
      </c>
      <c r="G6654" s="3" t="s">
        <v>48</v>
      </c>
      <c r="H6654" s="2" t="s">
        <v>21</v>
      </c>
      <c r="I6654" s="2" t="s">
        <v>13252</v>
      </c>
      <c r="J6654" s="3" t="str">
        <f>HYPERLINK("https://www.boe.es/gazeta/dias/1823/03/11/pdfs/GMD-1823-74.pdf#page=3","Abrir facsímil")</f>
        <v>Abrir facsímil</v>
      </c>
      <c r="K6654" s="3" t="s">
        <v>23</v>
      </c>
    </row>
    <row r="6655" spans="1:11" ht="42" customHeight="1">
      <c r="A6655" s="2" t="s">
        <v>13226</v>
      </c>
      <c r="B6655" s="2" t="s">
        <v>13226</v>
      </c>
      <c r="C6655" s="2" t="s">
        <v>79</v>
      </c>
      <c r="D6655" s="2" t="s">
        <v>74</v>
      </c>
      <c r="E6655" s="5">
        <v>-28049</v>
      </c>
      <c r="F6655" s="3" t="s">
        <v>198</v>
      </c>
      <c r="G6655" s="3" t="s">
        <v>48</v>
      </c>
      <c r="H6655" s="2" t="s">
        <v>21</v>
      </c>
      <c r="I6655" s="2" t="s">
        <v>13253</v>
      </c>
      <c r="J6655" s="3" t="str">
        <f>HYPERLINK("https://www.boe.es/gazeta/dias/1823/03/15/pdfs/GMD-1823-78.pdf#page=3","Abrir facsímil")</f>
        <v>Abrir facsímil</v>
      </c>
      <c r="K6655" s="3" t="s">
        <v>23</v>
      </c>
    </row>
    <row r="6656" spans="1:11" ht="42" customHeight="1">
      <c r="A6656" s="2" t="s">
        <v>13226</v>
      </c>
      <c r="B6656" s="2" t="s">
        <v>13226</v>
      </c>
      <c r="C6656" s="2" t="s">
        <v>56</v>
      </c>
      <c r="D6656" s="2" t="s">
        <v>57</v>
      </c>
      <c r="E6656" s="5">
        <v>-28049</v>
      </c>
      <c r="F6656" s="3" t="s">
        <v>198</v>
      </c>
      <c r="G6656" s="3" t="s">
        <v>20</v>
      </c>
      <c r="H6656" s="2" t="s">
        <v>21</v>
      </c>
      <c r="I6656" s="2" t="s">
        <v>13254</v>
      </c>
      <c r="J6656" s="3" t="str">
        <f>HYPERLINK("https://www.boe.es/gazeta/dias/1823/03/15/pdfs/GMD-1823-78.pdf#page=4","Abrir facsímil")</f>
        <v>Abrir facsímil</v>
      </c>
      <c r="K6656" s="3" t="s">
        <v>23</v>
      </c>
    </row>
    <row r="6657" spans="1:11" ht="42" customHeight="1">
      <c r="A6657" s="2" t="s">
        <v>13226</v>
      </c>
      <c r="B6657" s="2" t="s">
        <v>13226</v>
      </c>
      <c r="C6657" s="2" t="s">
        <v>17</v>
      </c>
      <c r="D6657" s="2" t="s">
        <v>18</v>
      </c>
      <c r="E6657" s="5">
        <v>-28042</v>
      </c>
      <c r="F6657" s="3" t="s">
        <v>1218</v>
      </c>
      <c r="G6657" s="3" t="s">
        <v>48</v>
      </c>
      <c r="H6657" s="2" t="s">
        <v>21</v>
      </c>
      <c r="I6657" s="2" t="s">
        <v>13255</v>
      </c>
      <c r="J6657" s="3" t="str">
        <f>HYPERLINK("https://www.boe.es/gazeta/dias/1823/03/22/pdfs/GMD-1823-85.pdf#page=3","Abrir facsímil")</f>
        <v>Abrir facsímil</v>
      </c>
      <c r="K6657" s="3" t="s">
        <v>23</v>
      </c>
    </row>
    <row r="6658" spans="1:11" ht="42" customHeight="1">
      <c r="A6658" s="2" t="s">
        <v>13226</v>
      </c>
      <c r="B6658" s="2" t="s">
        <v>13226</v>
      </c>
      <c r="C6658" s="2" t="s">
        <v>79</v>
      </c>
      <c r="D6658" s="2" t="s">
        <v>74</v>
      </c>
      <c r="E6658" s="5">
        <v>-28037</v>
      </c>
      <c r="F6658" s="3" t="s">
        <v>192</v>
      </c>
      <c r="G6658" s="3" t="s">
        <v>48</v>
      </c>
      <c r="H6658" s="2" t="s">
        <v>21</v>
      </c>
      <c r="I6658" s="2" t="s">
        <v>13256</v>
      </c>
      <c r="J6658" s="3" t="str">
        <f>HYPERLINK("https://www.boe.es/gazeta/dias/1823/03/27/pdfs/GMD-1823-90.pdf#page=3","Abrir facsímil")</f>
        <v>Abrir facsímil</v>
      </c>
      <c r="K6658" s="3" t="s">
        <v>23</v>
      </c>
    </row>
    <row r="6659" spans="1:11" ht="42" customHeight="1">
      <c r="A6659" s="2" t="s">
        <v>13226</v>
      </c>
      <c r="B6659" s="2" t="s">
        <v>13226</v>
      </c>
      <c r="C6659" s="2" t="s">
        <v>17</v>
      </c>
      <c r="D6659" s="2" t="s">
        <v>18</v>
      </c>
      <c r="E6659" s="5">
        <v>-28025</v>
      </c>
      <c r="F6659" s="3" t="s">
        <v>477</v>
      </c>
      <c r="G6659" s="3" t="s">
        <v>20</v>
      </c>
      <c r="H6659" s="2" t="s">
        <v>21</v>
      </c>
      <c r="I6659" s="2" t="s">
        <v>13257</v>
      </c>
      <c r="J6659" s="3" t="str">
        <f>HYPERLINK("https://www.boe.es/gazeta/dias/1823/04/08/pdfs/GMD-1823-103.pdf#page=4","Abrir facsímil")</f>
        <v>Abrir facsímil</v>
      </c>
      <c r="K6659" s="3" t="s">
        <v>23</v>
      </c>
    </row>
    <row r="6660" spans="1:11" ht="42" customHeight="1">
      <c r="A6660" s="2" t="s">
        <v>13226</v>
      </c>
      <c r="B6660" s="2" t="s">
        <v>13226</v>
      </c>
      <c r="C6660" s="2" t="s">
        <v>17</v>
      </c>
      <c r="D6660" s="2" t="s">
        <v>18</v>
      </c>
      <c r="E6660" s="5">
        <v>-28022</v>
      </c>
      <c r="F6660" s="3" t="s">
        <v>439</v>
      </c>
      <c r="G6660" s="3" t="s">
        <v>39</v>
      </c>
      <c r="H6660" s="2" t="s">
        <v>21</v>
      </c>
      <c r="I6660" s="2" t="s">
        <v>13258</v>
      </c>
      <c r="J6660" s="3" t="str">
        <f>HYPERLINK("https://www.boe.es/gazeta/dias/1823/04/11/pdfs/GMD-1823-106.pdf#page=1","Abrir facsímil")</f>
        <v>Abrir facsímil</v>
      </c>
      <c r="K6660" s="3" t="s">
        <v>23</v>
      </c>
    </row>
    <row r="6661" spans="1:11" ht="42" customHeight="1">
      <c r="A6661" s="2" t="s">
        <v>13226</v>
      </c>
      <c r="B6661" s="2" t="s">
        <v>13226</v>
      </c>
      <c r="C6661" s="2" t="s">
        <v>56</v>
      </c>
      <c r="D6661" s="2" t="s">
        <v>57</v>
      </c>
      <c r="E6661" s="5">
        <v>-28019</v>
      </c>
      <c r="F6661" s="3" t="s">
        <v>1663</v>
      </c>
      <c r="G6661" s="3" t="s">
        <v>27</v>
      </c>
      <c r="H6661" s="2" t="s">
        <v>21</v>
      </c>
      <c r="I6661" s="2" t="s">
        <v>13259</v>
      </c>
      <c r="J6661" s="3" t="str">
        <f>HYPERLINK("https://www.boe.es/gazeta/dias/1823/04/14/pdfs/GES-1823-4.pdf#page=2","Abrir facsímil")</f>
        <v>Abrir facsímil</v>
      </c>
      <c r="K6661" s="3" t="s">
        <v>23</v>
      </c>
    </row>
    <row r="6662" spans="1:11" ht="42" customHeight="1">
      <c r="A6662" s="2" t="s">
        <v>13226</v>
      </c>
      <c r="B6662" s="2" t="s">
        <v>13226</v>
      </c>
      <c r="C6662" s="2" t="s">
        <v>17</v>
      </c>
      <c r="D6662" s="2" t="s">
        <v>18</v>
      </c>
      <c r="E6662" s="5">
        <v>-28017</v>
      </c>
      <c r="F6662" s="3" t="s">
        <v>2912</v>
      </c>
      <c r="G6662" s="3" t="s">
        <v>48</v>
      </c>
      <c r="H6662" s="2" t="s">
        <v>21</v>
      </c>
      <c r="I6662" s="2" t="s">
        <v>13260</v>
      </c>
      <c r="J6662" s="3" t="str">
        <f>HYPERLINK("https://www.boe.es/gazeta/dias/1823/04/16/pdfs/GES-1823-6.pdf#page=3","Abrir facsímil")</f>
        <v>Abrir facsímil</v>
      </c>
      <c r="K6662" s="3" t="s">
        <v>23</v>
      </c>
    </row>
    <row r="6663" spans="1:11" ht="42" customHeight="1">
      <c r="A6663" s="2" t="s">
        <v>13226</v>
      </c>
      <c r="B6663" s="2" t="s">
        <v>13226</v>
      </c>
      <c r="C6663" s="2" t="s">
        <v>17</v>
      </c>
      <c r="D6663" s="2" t="s">
        <v>18</v>
      </c>
      <c r="E6663" s="5">
        <v>-28016</v>
      </c>
      <c r="F6663" s="3" t="s">
        <v>287</v>
      </c>
      <c r="G6663" s="3" t="s">
        <v>27</v>
      </c>
      <c r="H6663" s="2" t="s">
        <v>21</v>
      </c>
      <c r="I6663" s="2" t="s">
        <v>13261</v>
      </c>
      <c r="J6663" s="3" t="str">
        <f>HYPERLINK("https://www.boe.es/gazeta/dias/1823/04/17/pdfs/GMD-1823-22.pdf#page=2","Abrir facsímil")</f>
        <v>Abrir facsímil</v>
      </c>
      <c r="K6663" s="3" t="s">
        <v>23</v>
      </c>
    </row>
    <row r="6664" spans="1:11" ht="42" customHeight="1">
      <c r="A6664" s="2" t="s">
        <v>13226</v>
      </c>
      <c r="B6664" s="2" t="s">
        <v>13226</v>
      </c>
      <c r="C6664" s="2" t="s">
        <v>79</v>
      </c>
      <c r="D6664" s="2" t="s">
        <v>74</v>
      </c>
      <c r="E6664" s="5">
        <v>-28006</v>
      </c>
      <c r="F6664" s="3" t="s">
        <v>183</v>
      </c>
      <c r="G6664" s="3" t="s">
        <v>34</v>
      </c>
      <c r="H6664" s="2" t="s">
        <v>21</v>
      </c>
      <c r="I6664" s="2" t="s">
        <v>13262</v>
      </c>
      <c r="J6664" s="3" t="str">
        <f>HYPERLINK("https://www.boe.es/gazeta/dias/1823/04/27/pdfs/GES-1823-17.pdf#page=5","Abrir facsímil")</f>
        <v>Abrir facsímil</v>
      </c>
      <c r="K6664" s="3" t="s">
        <v>23</v>
      </c>
    </row>
    <row r="6665" spans="1:11" ht="42" customHeight="1">
      <c r="A6665" s="2" t="s">
        <v>13226</v>
      </c>
      <c r="B6665" s="2" t="s">
        <v>13226</v>
      </c>
      <c r="C6665" s="2" t="s">
        <v>79</v>
      </c>
      <c r="D6665" s="2" t="s">
        <v>74</v>
      </c>
      <c r="E6665" s="5">
        <v>-28002</v>
      </c>
      <c r="F6665" s="3" t="s">
        <v>315</v>
      </c>
      <c r="G6665" s="3" t="s">
        <v>3998</v>
      </c>
      <c r="H6665" s="2" t="s">
        <v>21</v>
      </c>
      <c r="I6665" s="2" t="s">
        <v>13263</v>
      </c>
      <c r="J6665" s="3" t="str">
        <f>HYPERLINK("https://www.boe.es/gazeta/dias/1823/05/01/pdfs/GES-1823-21.pdf#page=6","Abrir facsímil")</f>
        <v>Abrir facsímil</v>
      </c>
      <c r="K6665" s="3" t="s">
        <v>23</v>
      </c>
    </row>
    <row r="6666" spans="1:11" ht="42" customHeight="1">
      <c r="A6666" s="2" t="s">
        <v>13226</v>
      </c>
      <c r="B6666" s="2" t="s">
        <v>13226</v>
      </c>
      <c r="C6666" s="2" t="s">
        <v>79</v>
      </c>
      <c r="D6666" s="2" t="s">
        <v>74</v>
      </c>
      <c r="E6666" s="5">
        <v>-28002</v>
      </c>
      <c r="F6666" s="3" t="s">
        <v>245</v>
      </c>
      <c r="G6666" s="3" t="s">
        <v>39</v>
      </c>
      <c r="H6666" s="2" t="s">
        <v>21</v>
      </c>
      <c r="I6666" s="2" t="s">
        <v>13264</v>
      </c>
      <c r="J6666" s="3" t="str">
        <f>HYPERLINK("https://www.boe.es/gazeta/dias/1823/05/01/pdfs/GMD-1823-82.pdf#page=1","Abrir facsímil")</f>
        <v>Abrir facsímil</v>
      </c>
      <c r="K6666" s="3" t="s">
        <v>23</v>
      </c>
    </row>
    <row r="6667" spans="1:11" ht="42" customHeight="1">
      <c r="A6667" s="2" t="s">
        <v>13226</v>
      </c>
      <c r="B6667" s="2" t="s">
        <v>13226</v>
      </c>
      <c r="C6667" s="2" t="s">
        <v>17</v>
      </c>
      <c r="D6667" s="2" t="s">
        <v>18</v>
      </c>
      <c r="E6667" s="5">
        <v>-28000</v>
      </c>
      <c r="F6667" s="3" t="s">
        <v>1118</v>
      </c>
      <c r="G6667" s="3" t="s">
        <v>34</v>
      </c>
      <c r="H6667" s="2" t="s">
        <v>21</v>
      </c>
      <c r="I6667" s="2" t="s">
        <v>13265</v>
      </c>
      <c r="J6667" s="3" t="str">
        <f>HYPERLINK("https://www.boe.es/gazeta/dias/1823/05/03/pdfs/GES-1823-23.pdf#page=5","Abrir facsímil")</f>
        <v>Abrir facsímil</v>
      </c>
      <c r="K6667" s="3" t="s">
        <v>23</v>
      </c>
    </row>
    <row r="6668" spans="1:11" ht="42" customHeight="1">
      <c r="A6668" s="2" t="s">
        <v>13226</v>
      </c>
      <c r="B6668" s="2" t="s">
        <v>13226</v>
      </c>
      <c r="C6668" s="2" t="s">
        <v>17</v>
      </c>
      <c r="D6668" s="2" t="s">
        <v>18</v>
      </c>
      <c r="E6668" s="5">
        <v>-28000</v>
      </c>
      <c r="F6668" s="3" t="s">
        <v>138</v>
      </c>
      <c r="G6668" s="3" t="s">
        <v>27</v>
      </c>
      <c r="H6668" s="2" t="s">
        <v>21</v>
      </c>
      <c r="I6668" s="2" t="s">
        <v>13266</v>
      </c>
      <c r="J6668" s="3" t="str">
        <f>HYPERLINK("https://www.boe.es/gazeta/dias/1823/05/03/pdfs/GMD-1823-92.pdf#page=2","Abrir facsímil")</f>
        <v>Abrir facsímil</v>
      </c>
      <c r="K6668" s="3" t="s">
        <v>23</v>
      </c>
    </row>
    <row r="6669" spans="1:11" ht="42" customHeight="1">
      <c r="A6669" s="2" t="s">
        <v>13226</v>
      </c>
      <c r="B6669" s="2" t="s">
        <v>13226</v>
      </c>
      <c r="C6669" s="2" t="s">
        <v>17</v>
      </c>
      <c r="D6669" s="2" t="s">
        <v>18</v>
      </c>
      <c r="E6669" s="5">
        <v>-27999</v>
      </c>
      <c r="F6669" s="3" t="s">
        <v>97</v>
      </c>
      <c r="G6669" s="3" t="s">
        <v>1257</v>
      </c>
      <c r="H6669" s="2" t="s">
        <v>21</v>
      </c>
      <c r="I6669" s="2" t="s">
        <v>13267</v>
      </c>
      <c r="J6669" s="3" t="str">
        <f>HYPERLINK("https://www.boe.es/gazeta/dias/1823/05/04/pdfs/GES-1823-24.pdf#page=2","Abrir facsímil")</f>
        <v>Abrir facsímil</v>
      </c>
      <c r="K6669" s="3" t="s">
        <v>23</v>
      </c>
    </row>
    <row r="6670" spans="1:11" ht="42" customHeight="1">
      <c r="A6670" s="2" t="s">
        <v>13226</v>
      </c>
      <c r="B6670" s="2" t="s">
        <v>13226</v>
      </c>
      <c r="C6670" s="2" t="s">
        <v>56</v>
      </c>
      <c r="D6670" s="2" t="s">
        <v>57</v>
      </c>
      <c r="E6670" s="5">
        <v>-27994</v>
      </c>
      <c r="F6670" s="3" t="s">
        <v>714</v>
      </c>
      <c r="G6670" s="3" t="s">
        <v>20</v>
      </c>
      <c r="H6670" s="2" t="s">
        <v>21</v>
      </c>
      <c r="I6670" s="2" t="s">
        <v>13268</v>
      </c>
      <c r="J6670" s="3" t="str">
        <f>HYPERLINK("https://www.boe.es/gazeta/dias/1823/05/09/pdfs/GES-1823-29.pdf#page=4","Abrir facsímil")</f>
        <v>Abrir facsímil</v>
      </c>
      <c r="K6670" s="3" t="s">
        <v>23</v>
      </c>
    </row>
    <row r="6671" spans="1:11" ht="42" customHeight="1">
      <c r="A6671" s="2" t="s">
        <v>13226</v>
      </c>
      <c r="B6671" s="2" t="s">
        <v>13226</v>
      </c>
      <c r="C6671" s="2" t="s">
        <v>109</v>
      </c>
      <c r="D6671" s="2" t="s">
        <v>74</v>
      </c>
      <c r="E6671" s="5">
        <v>-27992</v>
      </c>
      <c r="F6671" s="3" t="s">
        <v>565</v>
      </c>
      <c r="G6671" s="3" t="s">
        <v>1279</v>
      </c>
      <c r="H6671" s="2" t="s">
        <v>21</v>
      </c>
      <c r="I6671" s="2" t="s">
        <v>13269</v>
      </c>
      <c r="J6671" s="3" t="str">
        <f>HYPERLINK("https://www.boe.es/gazeta/dias/1823/05/11/pdfs/GES-1823-31.pdf#page=2","Abrir facsímil")</f>
        <v>Abrir facsímil</v>
      </c>
      <c r="K6671" s="3" t="s">
        <v>23</v>
      </c>
    </row>
    <row r="6672" spans="1:11" ht="42" customHeight="1">
      <c r="A6672" s="2" t="s">
        <v>13226</v>
      </c>
      <c r="B6672" s="2" t="s">
        <v>13226</v>
      </c>
      <c r="C6672" s="2" t="s">
        <v>109</v>
      </c>
      <c r="D6672" s="2" t="s">
        <v>74</v>
      </c>
      <c r="E6672" s="5">
        <v>-27991</v>
      </c>
      <c r="F6672" s="3" t="s">
        <v>328</v>
      </c>
      <c r="G6672" s="3" t="s">
        <v>27</v>
      </c>
      <c r="H6672" s="2" t="s">
        <v>21</v>
      </c>
      <c r="I6672" s="2" t="s">
        <v>13270</v>
      </c>
      <c r="J6672" s="3" t="str">
        <f>HYPERLINK("https://www.boe.es/gazeta/dias/1823/05/12/pdfs/GES-1823-32.pdf#page=2","Abrir facsímil")</f>
        <v>Abrir facsímil</v>
      </c>
      <c r="K6672" s="3" t="s">
        <v>23</v>
      </c>
    </row>
    <row r="6673" spans="1:11" ht="42" customHeight="1">
      <c r="A6673" s="2" t="s">
        <v>13226</v>
      </c>
      <c r="B6673" s="2" t="s">
        <v>13226</v>
      </c>
      <c r="C6673" s="2" t="s">
        <v>109</v>
      </c>
      <c r="D6673" s="2" t="s">
        <v>74</v>
      </c>
      <c r="E6673" s="5">
        <v>-27991</v>
      </c>
      <c r="F6673" s="3" t="s">
        <v>328</v>
      </c>
      <c r="G6673" s="3" t="s">
        <v>48</v>
      </c>
      <c r="H6673" s="2" t="s">
        <v>21</v>
      </c>
      <c r="I6673" s="2" t="s">
        <v>13271</v>
      </c>
      <c r="J6673" s="3" t="str">
        <f>HYPERLINK("https://www.boe.es/gazeta/dias/1823/05/12/pdfs/GES-1823-32.pdf#page=3","Abrir facsímil")</f>
        <v>Abrir facsímil</v>
      </c>
      <c r="K6673" s="3" t="s">
        <v>23</v>
      </c>
    </row>
    <row r="6674" spans="1:11" ht="42" customHeight="1">
      <c r="A6674" s="2" t="s">
        <v>13226</v>
      </c>
      <c r="B6674" s="2" t="s">
        <v>13226</v>
      </c>
      <c r="C6674" s="2" t="s">
        <v>17</v>
      </c>
      <c r="D6674" s="2" t="s">
        <v>18</v>
      </c>
      <c r="E6674" s="5">
        <v>-27991</v>
      </c>
      <c r="F6674" s="3" t="s">
        <v>328</v>
      </c>
      <c r="G6674" s="3" t="s">
        <v>34</v>
      </c>
      <c r="H6674" s="2" t="s">
        <v>21</v>
      </c>
      <c r="I6674" s="2" t="s">
        <v>13272</v>
      </c>
      <c r="J6674" s="3" t="str">
        <f>HYPERLINK("https://www.boe.es/gazeta/dias/1823/05/12/pdfs/GES-1823-32.pdf#page=5","Abrir facsímil")</f>
        <v>Abrir facsímil</v>
      </c>
      <c r="K6674" s="3" t="s">
        <v>23</v>
      </c>
    </row>
    <row r="6675" spans="1:11" ht="42" customHeight="1">
      <c r="A6675" s="2" t="s">
        <v>13226</v>
      </c>
      <c r="B6675" s="2" t="s">
        <v>13226</v>
      </c>
      <c r="C6675" s="2" t="s">
        <v>17</v>
      </c>
      <c r="D6675" s="2" t="s">
        <v>18</v>
      </c>
      <c r="E6675" s="5">
        <v>-27990</v>
      </c>
      <c r="F6675" s="3" t="s">
        <v>1132</v>
      </c>
      <c r="G6675" s="3" t="s">
        <v>20</v>
      </c>
      <c r="H6675" s="2" t="s">
        <v>21</v>
      </c>
      <c r="I6675" s="2" t="s">
        <v>13273</v>
      </c>
      <c r="J6675" s="3" t="str">
        <f>HYPERLINK("https://www.boe.es/gazeta/dias/1823/05/13/pdfs/GES-1823-33.pdf#page=4","Abrir facsímil")</f>
        <v>Abrir facsímil</v>
      </c>
      <c r="K6675" s="3" t="s">
        <v>23</v>
      </c>
    </row>
    <row r="6676" spans="1:11" ht="42" customHeight="1">
      <c r="A6676" s="2" t="s">
        <v>13226</v>
      </c>
      <c r="B6676" s="2" t="s">
        <v>13226</v>
      </c>
      <c r="C6676" s="2" t="s">
        <v>17</v>
      </c>
      <c r="D6676" s="2" t="s">
        <v>18</v>
      </c>
      <c r="E6676" s="5">
        <v>-27986</v>
      </c>
      <c r="F6676" s="3" t="s">
        <v>75</v>
      </c>
      <c r="G6676" s="3" t="s">
        <v>34</v>
      </c>
      <c r="H6676" s="2" t="s">
        <v>21</v>
      </c>
      <c r="I6676" s="2" t="s">
        <v>13274</v>
      </c>
      <c r="J6676" s="3" t="str">
        <f>HYPERLINK("https://www.boe.es/gazeta/dias/1823/05/17/pdfs/GES-1823-37.pdf#page=5","Abrir facsímil")</f>
        <v>Abrir facsímil</v>
      </c>
      <c r="K6676" s="3" t="s">
        <v>23</v>
      </c>
    </row>
    <row r="6677" spans="1:11" ht="42" customHeight="1">
      <c r="A6677" s="2" t="s">
        <v>13226</v>
      </c>
      <c r="B6677" s="2" t="s">
        <v>13226</v>
      </c>
      <c r="C6677" s="2" t="s">
        <v>56</v>
      </c>
      <c r="D6677" s="2" t="s">
        <v>57</v>
      </c>
      <c r="E6677" s="5">
        <v>-27984</v>
      </c>
      <c r="F6677" s="3" t="s">
        <v>335</v>
      </c>
      <c r="G6677" s="3" t="s">
        <v>27</v>
      </c>
      <c r="H6677" s="2" t="s">
        <v>21</v>
      </c>
      <c r="I6677" s="2" t="s">
        <v>13275</v>
      </c>
      <c r="J6677" s="3" t="str">
        <f>HYPERLINK("https://www.boe.es/gazeta/dias/1823/05/19/pdfs/GES-1823-39.pdf#page=2","Abrir facsímil")</f>
        <v>Abrir facsímil</v>
      </c>
      <c r="K6677" s="3" t="s">
        <v>23</v>
      </c>
    </row>
    <row r="6678" spans="1:11" ht="42" customHeight="1">
      <c r="A6678" s="2" t="s">
        <v>13226</v>
      </c>
      <c r="B6678" s="2" t="s">
        <v>13226</v>
      </c>
      <c r="C6678" s="2" t="s">
        <v>17</v>
      </c>
      <c r="D6678" s="2" t="s">
        <v>18</v>
      </c>
      <c r="E6678" s="5">
        <v>-27983</v>
      </c>
      <c r="F6678" s="3" t="s">
        <v>337</v>
      </c>
      <c r="G6678" s="3" t="s">
        <v>20</v>
      </c>
      <c r="H6678" s="2" t="s">
        <v>21</v>
      </c>
      <c r="I6678" s="2" t="s">
        <v>13276</v>
      </c>
      <c r="J6678" s="3" t="str">
        <f>HYPERLINK("https://www.boe.es/gazeta/dias/1823/05/20/pdfs/GES-1823-40.pdf#page=4","Abrir facsímil")</f>
        <v>Abrir facsímil</v>
      </c>
      <c r="K6678" s="3" t="s">
        <v>23</v>
      </c>
    </row>
    <row r="6679" spans="1:11" ht="42" customHeight="1">
      <c r="A6679" s="2" t="s">
        <v>13226</v>
      </c>
      <c r="B6679" s="2" t="s">
        <v>13226</v>
      </c>
      <c r="C6679" s="2" t="s">
        <v>56</v>
      </c>
      <c r="D6679" s="2" t="s">
        <v>57</v>
      </c>
      <c r="E6679" s="5">
        <v>-27982</v>
      </c>
      <c r="F6679" s="3" t="s">
        <v>340</v>
      </c>
      <c r="G6679" s="3" t="s">
        <v>27</v>
      </c>
      <c r="H6679" s="2" t="s">
        <v>21</v>
      </c>
      <c r="I6679" s="2" t="s">
        <v>13277</v>
      </c>
      <c r="J6679" s="3" t="str">
        <f>HYPERLINK("https://www.boe.es/gazeta/dias/1823/05/21/pdfs/GES-1823-42.pdf#page=2","Abrir facsímil")</f>
        <v>Abrir facsímil</v>
      </c>
      <c r="K6679" s="3" t="s">
        <v>23</v>
      </c>
    </row>
    <row r="6680" spans="1:11" ht="42" customHeight="1">
      <c r="A6680" s="2" t="s">
        <v>13226</v>
      </c>
      <c r="B6680" s="2" t="s">
        <v>13226</v>
      </c>
      <c r="C6680" s="2" t="s">
        <v>79</v>
      </c>
      <c r="D6680" s="2" t="s">
        <v>74</v>
      </c>
      <c r="E6680" s="5">
        <v>-27980</v>
      </c>
      <c r="F6680" s="3" t="s">
        <v>1068</v>
      </c>
      <c r="G6680" s="3" t="s">
        <v>39</v>
      </c>
      <c r="H6680" s="2" t="s">
        <v>21</v>
      </c>
      <c r="I6680" s="2" t="s">
        <v>13278</v>
      </c>
      <c r="J6680" s="3" t="str">
        <f>HYPERLINK("https://www.boe.es/gazeta/dias/1823/05/23/pdfs/GES-1823-44.pdf#page=1","Abrir facsímil")</f>
        <v>Abrir facsímil</v>
      </c>
      <c r="K6680" s="3" t="s">
        <v>23</v>
      </c>
    </row>
    <row r="6681" spans="1:11" ht="42" customHeight="1">
      <c r="A6681" s="2" t="s">
        <v>13226</v>
      </c>
      <c r="B6681" s="2" t="s">
        <v>13226</v>
      </c>
      <c r="C6681" s="2" t="s">
        <v>79</v>
      </c>
      <c r="D6681" s="2" t="s">
        <v>74</v>
      </c>
      <c r="E6681" s="5">
        <v>-27980</v>
      </c>
      <c r="F6681" s="3" t="s">
        <v>1068</v>
      </c>
      <c r="G6681" s="3" t="s">
        <v>20</v>
      </c>
      <c r="H6681" s="2" t="s">
        <v>21</v>
      </c>
      <c r="I6681" s="2" t="s">
        <v>13279</v>
      </c>
      <c r="J6681" s="3" t="str">
        <f>HYPERLINK("https://www.boe.es/gazeta/dias/1823/05/23/pdfs/GES-1823-44.pdf#page=4","Abrir facsímil")</f>
        <v>Abrir facsímil</v>
      </c>
      <c r="K6681" s="3" t="s">
        <v>23</v>
      </c>
    </row>
    <row r="6682" spans="1:11" ht="42" customHeight="1">
      <c r="A6682" s="2" t="s">
        <v>13226</v>
      </c>
      <c r="B6682" s="2" t="s">
        <v>13226</v>
      </c>
      <c r="C6682" s="2" t="s">
        <v>17</v>
      </c>
      <c r="D6682" s="2" t="s">
        <v>18</v>
      </c>
      <c r="E6682" s="5">
        <v>-27980</v>
      </c>
      <c r="F6682" s="3" t="s">
        <v>1068</v>
      </c>
      <c r="G6682" s="3" t="s">
        <v>34</v>
      </c>
      <c r="H6682" s="2" t="s">
        <v>21</v>
      </c>
      <c r="I6682" s="2" t="s">
        <v>13280</v>
      </c>
      <c r="J6682" s="3" t="str">
        <f>HYPERLINK("https://www.boe.es/gazeta/dias/1823/05/23/pdfs/GES-1823-44.pdf#page=5","Abrir facsímil")</f>
        <v>Abrir facsímil</v>
      </c>
      <c r="K6682" s="3" t="s">
        <v>23</v>
      </c>
    </row>
    <row r="6683" spans="1:11" ht="42" customHeight="1">
      <c r="A6683" s="2" t="s">
        <v>13226</v>
      </c>
      <c r="B6683" s="2" t="s">
        <v>13226</v>
      </c>
      <c r="C6683" s="2" t="s">
        <v>73</v>
      </c>
      <c r="D6683" s="2" t="s">
        <v>74</v>
      </c>
      <c r="E6683" s="5">
        <v>-27976</v>
      </c>
      <c r="F6683" s="3" t="s">
        <v>1156</v>
      </c>
      <c r="G6683" s="3" t="s">
        <v>39</v>
      </c>
      <c r="H6683" s="2" t="s">
        <v>21</v>
      </c>
      <c r="I6683" s="2" t="s">
        <v>13281</v>
      </c>
      <c r="J6683" s="3" t="str">
        <f>HYPERLINK("https://www.boe.es/gazeta/dias/1823/05/27/pdfs/GES-1823-49.pdf#page=1","Abrir facsímil")</f>
        <v>Abrir facsímil</v>
      </c>
      <c r="K6683" s="3" t="s">
        <v>23</v>
      </c>
    </row>
    <row r="6684" spans="1:11" ht="42" customHeight="1">
      <c r="A6684" s="2" t="s">
        <v>13226</v>
      </c>
      <c r="B6684" s="2" t="s">
        <v>13226</v>
      </c>
      <c r="C6684" s="2" t="s">
        <v>17</v>
      </c>
      <c r="D6684" s="2" t="s">
        <v>18</v>
      </c>
      <c r="E6684" s="5">
        <v>-27975</v>
      </c>
      <c r="F6684" s="3" t="s">
        <v>47</v>
      </c>
      <c r="G6684" s="3" t="s">
        <v>27</v>
      </c>
      <c r="H6684" s="2" t="s">
        <v>21</v>
      </c>
      <c r="I6684" s="2" t="s">
        <v>13282</v>
      </c>
      <c r="J6684" s="3" t="str">
        <f>HYPERLINK("https://www.boe.es/gazeta/dias/1823/05/28/pdfs/GES-1823-50.pdf#page=2","Abrir facsímil")</f>
        <v>Abrir facsímil</v>
      </c>
      <c r="K6684" s="3" t="s">
        <v>23</v>
      </c>
    </row>
    <row r="6685" spans="1:11" ht="42" customHeight="1">
      <c r="A6685" s="2" t="s">
        <v>13226</v>
      </c>
      <c r="B6685" s="2" t="s">
        <v>13226</v>
      </c>
      <c r="C6685" s="2" t="s">
        <v>109</v>
      </c>
      <c r="D6685" s="2" t="s">
        <v>74</v>
      </c>
      <c r="E6685" s="5">
        <v>-27966</v>
      </c>
      <c r="F6685" s="3" t="s">
        <v>675</v>
      </c>
      <c r="G6685" s="3" t="s">
        <v>48</v>
      </c>
      <c r="H6685" s="2" t="s">
        <v>21</v>
      </c>
      <c r="I6685" s="2" t="s">
        <v>13283</v>
      </c>
      <c r="J6685" s="3" t="str">
        <f>HYPERLINK("https://www.boe.es/gazeta/dias/1823/06/06/pdfs/GES-1823-60.pdf#page=3","Abrir facsímil")</f>
        <v>Abrir facsímil</v>
      </c>
      <c r="K6685" s="3" t="s">
        <v>23</v>
      </c>
    </row>
    <row r="6686" spans="1:11" ht="42" customHeight="1">
      <c r="A6686" s="2" t="s">
        <v>13226</v>
      </c>
      <c r="B6686" s="2" t="s">
        <v>13226</v>
      </c>
      <c r="C6686" s="2" t="s">
        <v>79</v>
      </c>
      <c r="D6686" s="2" t="s">
        <v>74</v>
      </c>
      <c r="E6686" s="5">
        <v>-27965</v>
      </c>
      <c r="F6686" s="3" t="s">
        <v>208</v>
      </c>
      <c r="G6686" s="3" t="s">
        <v>20</v>
      </c>
      <c r="H6686" s="2" t="s">
        <v>21</v>
      </c>
      <c r="I6686" s="2" t="s">
        <v>13284</v>
      </c>
      <c r="J6686" s="3" t="str">
        <f>HYPERLINK("https://www.boe.es/gazeta/dias/1823/06/07/pdfs/GES-1823-61.pdf#page=4","Abrir facsímil")</f>
        <v>Abrir facsímil</v>
      </c>
      <c r="K6686" s="3" t="s">
        <v>23</v>
      </c>
    </row>
    <row r="6687" spans="1:11" ht="42" customHeight="1">
      <c r="A6687" s="2" t="s">
        <v>13226</v>
      </c>
      <c r="B6687" s="2" t="s">
        <v>13226</v>
      </c>
      <c r="C6687" s="2" t="s">
        <v>293</v>
      </c>
      <c r="D6687" s="2" t="s">
        <v>74</v>
      </c>
      <c r="E6687" s="5">
        <v>-27964</v>
      </c>
      <c r="F6687" s="3" t="s">
        <v>58</v>
      </c>
      <c r="G6687" s="3" t="s">
        <v>27</v>
      </c>
      <c r="H6687" s="2" t="s">
        <v>21</v>
      </c>
      <c r="I6687" s="2" t="s">
        <v>13285</v>
      </c>
      <c r="J6687" s="3" t="str">
        <f>HYPERLINK("https://www.boe.es/gazeta/dias/1823/06/08/pdfs/GES-1823-62.pdf#page=2","Abrir facsímil")</f>
        <v>Abrir facsímil</v>
      </c>
      <c r="K6687" s="3" t="s">
        <v>23</v>
      </c>
    </row>
    <row r="6688" spans="1:11" ht="42" customHeight="1">
      <c r="A6688" s="2" t="s">
        <v>13226</v>
      </c>
      <c r="B6688" s="2" t="s">
        <v>13226</v>
      </c>
      <c r="C6688" s="2" t="s">
        <v>17</v>
      </c>
      <c r="D6688" s="2" t="s">
        <v>18</v>
      </c>
      <c r="E6688" s="5">
        <v>-27964</v>
      </c>
      <c r="F6688" s="3" t="s">
        <v>58</v>
      </c>
      <c r="G6688" s="3" t="s">
        <v>34</v>
      </c>
      <c r="H6688" s="2" t="s">
        <v>21</v>
      </c>
      <c r="I6688" s="2" t="s">
        <v>13286</v>
      </c>
      <c r="J6688" s="3" t="str">
        <f>HYPERLINK("https://www.boe.es/gazeta/dias/1823/06/08/pdfs/GES-1823-62.pdf#page=5","Abrir facsímil")</f>
        <v>Abrir facsímil</v>
      </c>
      <c r="K6688" s="3" t="s">
        <v>23</v>
      </c>
    </row>
    <row r="6689" spans="1:11" ht="42" customHeight="1">
      <c r="A6689" s="2" t="s">
        <v>13226</v>
      </c>
      <c r="B6689" s="2" t="s">
        <v>13226</v>
      </c>
      <c r="C6689" s="2" t="s">
        <v>56</v>
      </c>
      <c r="D6689" s="2" t="s">
        <v>57</v>
      </c>
      <c r="E6689" s="5">
        <v>-27963</v>
      </c>
      <c r="F6689" s="3" t="s">
        <v>344</v>
      </c>
      <c r="G6689" s="3" t="s">
        <v>39</v>
      </c>
      <c r="H6689" s="2" t="s">
        <v>21</v>
      </c>
      <c r="I6689" s="2" t="s">
        <v>13287</v>
      </c>
      <c r="J6689" s="3" t="str">
        <f>HYPERLINK("https://www.boe.es/gazeta/dias/1823/06/09/pdfs/GES-1823-63.pdf#page=1","Abrir facsímil")</f>
        <v>Abrir facsímil</v>
      </c>
      <c r="K6689" s="3" t="s">
        <v>23</v>
      </c>
    </row>
    <row r="6690" spans="1:11" ht="42" customHeight="1">
      <c r="A6690" s="2" t="s">
        <v>13226</v>
      </c>
      <c r="B6690" s="2" t="s">
        <v>13226</v>
      </c>
      <c r="C6690" s="2" t="s">
        <v>56</v>
      </c>
      <c r="D6690" s="2" t="s">
        <v>57</v>
      </c>
      <c r="E6690" s="5">
        <v>-27962</v>
      </c>
      <c r="F6690" s="3" t="s">
        <v>594</v>
      </c>
      <c r="G6690" s="3" t="s">
        <v>39</v>
      </c>
      <c r="H6690" s="2" t="s">
        <v>21</v>
      </c>
      <c r="I6690" s="2" t="s">
        <v>13288</v>
      </c>
      <c r="J6690" s="3" t="str">
        <f>HYPERLINK("https://www.boe.es/gazeta/dias/1823/06/10/pdfs/GES-1823-64.pdf#page=1","Abrir facsímil")</f>
        <v>Abrir facsímil</v>
      </c>
      <c r="K6690" s="3" t="s">
        <v>23</v>
      </c>
    </row>
    <row r="6691" spans="1:11" ht="42" customHeight="1">
      <c r="A6691" s="2" t="s">
        <v>13226</v>
      </c>
      <c r="B6691" s="2" t="s">
        <v>13226</v>
      </c>
      <c r="C6691" s="2" t="s">
        <v>17</v>
      </c>
      <c r="D6691" s="2" t="s">
        <v>117</v>
      </c>
      <c r="E6691" s="5">
        <v>-27953</v>
      </c>
      <c r="F6691" s="3" t="s">
        <v>2684</v>
      </c>
      <c r="G6691" s="3" t="s">
        <v>39</v>
      </c>
      <c r="H6691" s="2" t="s">
        <v>21</v>
      </c>
      <c r="I6691" s="2" t="s">
        <v>13289</v>
      </c>
      <c r="J6691" s="3" t="str">
        <f>HYPERLINK("https://www.boe.es/gazeta/dias/1823/06/19/pdfs/GMD-1823-203E.pdf#page=1","Abrir facsímil")</f>
        <v>Abrir facsímil</v>
      </c>
      <c r="K6691" s="3" t="s">
        <v>23</v>
      </c>
    </row>
    <row r="6692" spans="1:11" ht="42" customHeight="1">
      <c r="A6692" s="2" t="s">
        <v>13226</v>
      </c>
      <c r="B6692" s="2" t="s">
        <v>13226</v>
      </c>
      <c r="C6692" s="2" t="s">
        <v>73</v>
      </c>
      <c r="D6692" s="2" t="s">
        <v>74</v>
      </c>
      <c r="E6692" s="5">
        <v>-27952</v>
      </c>
      <c r="F6692" s="3" t="s">
        <v>929</v>
      </c>
      <c r="G6692" s="3" t="s">
        <v>39</v>
      </c>
      <c r="H6692" s="2" t="s">
        <v>21</v>
      </c>
      <c r="I6692" s="2" t="s">
        <v>13290</v>
      </c>
      <c r="J6692" s="3" t="str">
        <f>HYPERLINK("https://www.boe.es/gazeta/dias/1823/06/20/pdfs/GES-1823-68.pdf#page=1","Abrir facsímil")</f>
        <v>Abrir facsímil</v>
      </c>
      <c r="K6692" s="3" t="s">
        <v>23</v>
      </c>
    </row>
    <row r="6693" spans="1:11" ht="42" customHeight="1">
      <c r="A6693" s="2" t="s">
        <v>13226</v>
      </c>
      <c r="B6693" s="2" t="s">
        <v>13226</v>
      </c>
      <c r="C6693" s="2" t="s">
        <v>84</v>
      </c>
      <c r="D6693" s="2" t="s">
        <v>74</v>
      </c>
      <c r="E6693" s="5">
        <v>-27947</v>
      </c>
      <c r="F6693" s="3" t="s">
        <v>2144</v>
      </c>
      <c r="G6693" s="3" t="s">
        <v>27</v>
      </c>
      <c r="H6693" s="2" t="s">
        <v>21</v>
      </c>
      <c r="I6693" s="2" t="s">
        <v>13291</v>
      </c>
      <c r="J6693" s="3" t="str">
        <f>HYPERLINK("https://www.boe.es/gazeta/dias/1823/06/25/pdfs/GES-1823-75.pdf#page=2","Abrir facsímil")</f>
        <v>Abrir facsímil</v>
      </c>
      <c r="K6693" s="3" t="s">
        <v>23</v>
      </c>
    </row>
    <row r="6694" spans="1:11" ht="42" customHeight="1">
      <c r="A6694" s="2" t="s">
        <v>13226</v>
      </c>
      <c r="B6694" s="2" t="s">
        <v>13226</v>
      </c>
      <c r="C6694" s="2" t="s">
        <v>79</v>
      </c>
      <c r="D6694" s="2" t="s">
        <v>74</v>
      </c>
      <c r="E6694" s="5">
        <v>-27947</v>
      </c>
      <c r="F6694" s="3" t="s">
        <v>2144</v>
      </c>
      <c r="G6694" s="3" t="s">
        <v>20</v>
      </c>
      <c r="H6694" s="2" t="s">
        <v>21</v>
      </c>
      <c r="I6694" s="2" t="s">
        <v>13292</v>
      </c>
      <c r="J6694" s="3" t="str">
        <f>HYPERLINK("https://www.boe.es/gazeta/dias/1823/06/25/pdfs/GES-1823-75.pdf#page=4","Abrir facsímil")</f>
        <v>Abrir facsímil</v>
      </c>
      <c r="K6694" s="3" t="s">
        <v>23</v>
      </c>
    </row>
    <row r="6695" spans="1:11" ht="42" customHeight="1">
      <c r="A6695" s="2" t="s">
        <v>13226</v>
      </c>
      <c r="B6695" s="2" t="s">
        <v>13226</v>
      </c>
      <c r="C6695" s="2" t="s">
        <v>56</v>
      </c>
      <c r="D6695" s="2" t="s">
        <v>57</v>
      </c>
      <c r="E6695" s="5">
        <v>-27944</v>
      </c>
      <c r="F6695" s="3" t="s">
        <v>2823</v>
      </c>
      <c r="G6695" s="3" t="s">
        <v>27</v>
      </c>
      <c r="H6695" s="2" t="s">
        <v>21</v>
      </c>
      <c r="I6695" s="2" t="s">
        <v>13293</v>
      </c>
      <c r="J6695" s="3" t="str">
        <f>HYPERLINK("https://www.boe.es/gazeta/dias/1823/06/28/pdfs/GES-1823-78.pdf#page=2","Abrir facsímil")</f>
        <v>Abrir facsímil</v>
      </c>
      <c r="K6695" s="3" t="s">
        <v>23</v>
      </c>
    </row>
    <row r="6696" spans="1:11" ht="42" customHeight="1">
      <c r="A6696" s="2" t="s">
        <v>13226</v>
      </c>
      <c r="B6696" s="2" t="s">
        <v>13226</v>
      </c>
      <c r="C6696" s="2" t="s">
        <v>84</v>
      </c>
      <c r="D6696" s="2" t="s">
        <v>74</v>
      </c>
      <c r="E6696" s="5">
        <v>-27943</v>
      </c>
      <c r="F6696" s="3" t="s">
        <v>346</v>
      </c>
      <c r="G6696" s="3" t="s">
        <v>39</v>
      </c>
      <c r="H6696" s="2" t="s">
        <v>21</v>
      </c>
      <c r="I6696" s="2" t="s">
        <v>13294</v>
      </c>
      <c r="J6696" s="3" t="str">
        <f>HYPERLINK("https://www.boe.es/gazeta/dias/1823/06/29/pdfs/GES-1823-79.pdf#page=1","Abrir facsímil")</f>
        <v>Abrir facsímil</v>
      </c>
      <c r="K6696" s="3" t="s">
        <v>23</v>
      </c>
    </row>
    <row r="6697" spans="1:11" ht="42" customHeight="1">
      <c r="A6697" s="2" t="s">
        <v>13226</v>
      </c>
      <c r="B6697" s="2" t="s">
        <v>13226</v>
      </c>
      <c r="C6697" s="2" t="s">
        <v>73</v>
      </c>
      <c r="D6697" s="2" t="s">
        <v>74</v>
      </c>
      <c r="E6697" s="5">
        <v>-27942</v>
      </c>
      <c r="F6697" s="3" t="s">
        <v>596</v>
      </c>
      <c r="G6697" s="3" t="s">
        <v>27</v>
      </c>
      <c r="H6697" s="2" t="s">
        <v>21</v>
      </c>
      <c r="I6697" s="2" t="s">
        <v>13295</v>
      </c>
      <c r="J6697" s="3" t="str">
        <f>HYPERLINK("https://www.boe.es/gazeta/dias/1823/06/30/pdfs/GES-1823-80.pdf#page=2","Abrir facsímil")</f>
        <v>Abrir facsímil</v>
      </c>
      <c r="K6697" s="3" t="s">
        <v>23</v>
      </c>
    </row>
    <row r="6698" spans="1:11" ht="42" customHeight="1">
      <c r="A6698" s="2" t="s">
        <v>13226</v>
      </c>
      <c r="B6698" s="2" t="s">
        <v>13226</v>
      </c>
      <c r="C6698" s="2" t="s">
        <v>56</v>
      </c>
      <c r="D6698" s="2" t="s">
        <v>57</v>
      </c>
      <c r="E6698" s="5">
        <v>-27920</v>
      </c>
      <c r="F6698" s="3" t="s">
        <v>358</v>
      </c>
      <c r="G6698" s="3" t="s">
        <v>27</v>
      </c>
      <c r="H6698" s="2" t="s">
        <v>21</v>
      </c>
      <c r="I6698" s="2" t="s">
        <v>13296</v>
      </c>
      <c r="J6698" s="3" t="str">
        <f>HYPERLINK("https://www.boe.es/gazeta/dias/1823/07/22/pdfs/GES-1823-103.pdf#page=2","Abrir facsímil")</f>
        <v>Abrir facsímil</v>
      </c>
      <c r="K6698" s="3" t="s">
        <v>23</v>
      </c>
    </row>
    <row r="6699" spans="1:11" ht="42" customHeight="1">
      <c r="A6699" s="2" t="s">
        <v>13226</v>
      </c>
      <c r="B6699" s="2" t="s">
        <v>13226</v>
      </c>
      <c r="C6699" s="2" t="s">
        <v>79</v>
      </c>
      <c r="D6699" s="2" t="s">
        <v>74</v>
      </c>
      <c r="E6699" s="5">
        <v>-27920</v>
      </c>
      <c r="F6699" s="3" t="s">
        <v>1334</v>
      </c>
      <c r="G6699" s="3" t="s">
        <v>715</v>
      </c>
      <c r="H6699" s="2" t="s">
        <v>21</v>
      </c>
      <c r="I6699" s="2" t="s">
        <v>13297</v>
      </c>
      <c r="J6699" s="3" t="str">
        <f>HYPERLINK("https://www.boe.es/gazeta/dias/1823/07/22/pdfs/GMD-1823-443.pdf#page=8","Abrir facsímil")</f>
        <v>Abrir facsímil</v>
      </c>
      <c r="K6699" s="3" t="s">
        <v>23</v>
      </c>
    </row>
    <row r="6700" spans="1:11" ht="42" customHeight="1">
      <c r="A6700" s="2" t="s">
        <v>13226</v>
      </c>
      <c r="B6700" s="2" t="s">
        <v>13226</v>
      </c>
      <c r="C6700" s="2" t="s">
        <v>109</v>
      </c>
      <c r="D6700" s="2" t="s">
        <v>74</v>
      </c>
      <c r="E6700" s="5">
        <v>-27918</v>
      </c>
      <c r="F6700" s="3" t="s">
        <v>3181</v>
      </c>
      <c r="G6700" s="3" t="s">
        <v>20</v>
      </c>
      <c r="H6700" s="2" t="s">
        <v>21</v>
      </c>
      <c r="I6700" s="2" t="s">
        <v>13298</v>
      </c>
      <c r="J6700" s="3" t="str">
        <f>HYPERLINK("https://www.boe.es/gazeta/dias/1823/07/24/pdfs/GES-1823-105.pdf#page=4","Abrir facsímil")</f>
        <v>Abrir facsímil</v>
      </c>
      <c r="K6700" s="3" t="s">
        <v>23</v>
      </c>
    </row>
    <row r="6701" spans="1:11" ht="42" customHeight="1">
      <c r="A6701" s="2" t="s">
        <v>13226</v>
      </c>
      <c r="B6701" s="2" t="s">
        <v>13226</v>
      </c>
      <c r="C6701" s="2" t="s">
        <v>17</v>
      </c>
      <c r="D6701" s="2" t="s">
        <v>18</v>
      </c>
      <c r="E6701" s="5">
        <v>-27908</v>
      </c>
      <c r="F6701" s="3" t="s">
        <v>80</v>
      </c>
      <c r="G6701" s="3" t="s">
        <v>27</v>
      </c>
      <c r="H6701" s="2" t="s">
        <v>21</v>
      </c>
      <c r="I6701" s="2" t="s">
        <v>13299</v>
      </c>
      <c r="J6701" s="3" t="str">
        <f>HYPERLINK("https://www.boe.es/gazeta/dias/1823/08/03/pdfs/GES-1823-115.pdf#page=2","Abrir facsímil")</f>
        <v>Abrir facsímil</v>
      </c>
      <c r="K6701" s="3" t="s">
        <v>23</v>
      </c>
    </row>
    <row r="6702" spans="1:11" ht="42" customHeight="1">
      <c r="A6702" s="2" t="s">
        <v>13226</v>
      </c>
      <c r="B6702" s="2" t="s">
        <v>13226</v>
      </c>
      <c r="C6702" s="2" t="s">
        <v>17</v>
      </c>
      <c r="D6702" s="2" t="s">
        <v>18</v>
      </c>
      <c r="E6702" s="5">
        <v>-27908</v>
      </c>
      <c r="F6702" s="3" t="s">
        <v>80</v>
      </c>
      <c r="G6702" s="3" t="s">
        <v>20</v>
      </c>
      <c r="H6702" s="2" t="s">
        <v>21</v>
      </c>
      <c r="I6702" s="2" t="s">
        <v>13300</v>
      </c>
      <c r="J6702" s="3" t="str">
        <f>HYPERLINK("https://www.boe.es/gazeta/dias/1823/08/03/pdfs/GES-1823-115.pdf#page=4","Abrir facsímil")</f>
        <v>Abrir facsímil</v>
      </c>
      <c r="K6702" s="3" t="s">
        <v>23</v>
      </c>
    </row>
    <row r="6703" spans="1:11" ht="42" customHeight="1">
      <c r="A6703" s="2" t="s">
        <v>13226</v>
      </c>
      <c r="B6703" s="2" t="s">
        <v>13226</v>
      </c>
      <c r="C6703" s="2" t="s">
        <v>17</v>
      </c>
      <c r="D6703" s="2" t="s">
        <v>18</v>
      </c>
      <c r="E6703" s="5">
        <v>-27906</v>
      </c>
      <c r="F6703" s="3" t="s">
        <v>241</v>
      </c>
      <c r="G6703" s="3" t="s">
        <v>48</v>
      </c>
      <c r="H6703" s="2" t="s">
        <v>21</v>
      </c>
      <c r="I6703" s="2" t="s">
        <v>13301</v>
      </c>
      <c r="J6703" s="3" t="str">
        <f>HYPERLINK("https://www.boe.es/gazeta/dias/1823/08/05/pdfs/GES-1823-117.pdf#page=3","Abrir facsímil")</f>
        <v>Abrir facsímil</v>
      </c>
      <c r="K6703" s="3" t="s">
        <v>23</v>
      </c>
    </row>
    <row r="6704" spans="1:11" ht="42" customHeight="1">
      <c r="A6704" s="2" t="s">
        <v>13226</v>
      </c>
      <c r="B6704" s="2" t="s">
        <v>13226</v>
      </c>
      <c r="C6704" s="2" t="s">
        <v>17</v>
      </c>
      <c r="D6704" s="2" t="s">
        <v>18</v>
      </c>
      <c r="E6704" s="5">
        <v>-27902</v>
      </c>
      <c r="F6704" s="3" t="s">
        <v>259</v>
      </c>
      <c r="G6704" s="3" t="s">
        <v>39</v>
      </c>
      <c r="H6704" s="2" t="s">
        <v>21</v>
      </c>
      <c r="I6704" s="2" t="s">
        <v>13302</v>
      </c>
      <c r="J6704" s="3" t="str">
        <f>HYPERLINK("https://www.boe.es/gazeta/dias/1823/08/09/pdfs/GMD-1823-563.pdf#page=1","Abrir facsímil")</f>
        <v>Abrir facsímil</v>
      </c>
      <c r="K6704" s="3" t="s">
        <v>23</v>
      </c>
    </row>
    <row r="6705" spans="1:11" ht="42" customHeight="1">
      <c r="A6705" s="2" t="s">
        <v>13226</v>
      </c>
      <c r="B6705" s="2" t="s">
        <v>13226</v>
      </c>
      <c r="C6705" s="2" t="s">
        <v>17</v>
      </c>
      <c r="D6705" s="2" t="s">
        <v>18</v>
      </c>
      <c r="E6705" s="5">
        <v>-27900</v>
      </c>
      <c r="F6705" s="3" t="s">
        <v>2714</v>
      </c>
      <c r="G6705" s="3" t="s">
        <v>20</v>
      </c>
      <c r="H6705" s="2" t="s">
        <v>21</v>
      </c>
      <c r="I6705" s="2" t="s">
        <v>13303</v>
      </c>
      <c r="J6705" s="3" t="str">
        <f>HYPERLINK("https://www.boe.es/gazeta/dias/1823/08/11/pdfs/GES-1823-124.pdf#page=4","Abrir facsímil")</f>
        <v>Abrir facsímil</v>
      </c>
      <c r="K6705" s="3" t="s">
        <v>23</v>
      </c>
    </row>
    <row r="6706" spans="1:11" ht="42" customHeight="1">
      <c r="A6706" s="2" t="s">
        <v>13226</v>
      </c>
      <c r="B6706" s="2" t="s">
        <v>13226</v>
      </c>
      <c r="C6706" s="2" t="s">
        <v>109</v>
      </c>
      <c r="D6706" s="2" t="s">
        <v>74</v>
      </c>
      <c r="E6706" s="5">
        <v>-27895</v>
      </c>
      <c r="F6706" s="3" t="s">
        <v>734</v>
      </c>
      <c r="G6706" s="3" t="s">
        <v>20</v>
      </c>
      <c r="H6706" s="2" t="s">
        <v>21</v>
      </c>
      <c r="I6706" s="2" t="s">
        <v>13304</v>
      </c>
      <c r="J6706" s="3" t="str">
        <f>HYPERLINK("https://www.boe.es/gazeta/dias/1823/08/16/pdfs/GES-1823-129.pdf#page=4","Abrir facsímil")</f>
        <v>Abrir facsímil</v>
      </c>
      <c r="K6706" s="3" t="s">
        <v>23</v>
      </c>
    </row>
    <row r="6707" spans="1:11" ht="42" customHeight="1">
      <c r="A6707" s="2" t="s">
        <v>13226</v>
      </c>
      <c r="B6707" s="2" t="s">
        <v>13226</v>
      </c>
      <c r="C6707" s="2" t="s">
        <v>109</v>
      </c>
      <c r="D6707" s="2" t="s">
        <v>74</v>
      </c>
      <c r="E6707" s="5">
        <v>-27893</v>
      </c>
      <c r="F6707" s="3" t="s">
        <v>1893</v>
      </c>
      <c r="G6707" s="3" t="s">
        <v>1894</v>
      </c>
      <c r="H6707" s="2" t="s">
        <v>21</v>
      </c>
      <c r="I6707" s="2" t="s">
        <v>13305</v>
      </c>
      <c r="J6707" s="3" t="str">
        <f>HYPERLINK("https://www.boe.es/gazeta/dias/1823/08/18/pdfs/GES-1823-131.pdf#page=4","Abrir facsímil")</f>
        <v>Abrir facsímil</v>
      </c>
      <c r="K6707" s="3" t="s">
        <v>23</v>
      </c>
    </row>
    <row r="6708" spans="1:11" ht="42" customHeight="1">
      <c r="A6708" s="2" t="s">
        <v>13226</v>
      </c>
      <c r="B6708" s="2" t="s">
        <v>13226</v>
      </c>
      <c r="C6708" s="2" t="s">
        <v>109</v>
      </c>
      <c r="D6708" s="2" t="s">
        <v>74</v>
      </c>
      <c r="E6708" s="5">
        <v>-27890</v>
      </c>
      <c r="F6708" s="3" t="s">
        <v>8359</v>
      </c>
      <c r="G6708" s="3" t="s">
        <v>20</v>
      </c>
      <c r="H6708" s="2" t="s">
        <v>21</v>
      </c>
      <c r="I6708" s="2" t="s">
        <v>13306</v>
      </c>
      <c r="J6708" s="3" t="str">
        <f>HYPERLINK("https://www.boe.es/gazeta/dias/1823/08/21/pdfs/GES-1823-134.pdf#page=4","Abrir facsímil")</f>
        <v>Abrir facsímil</v>
      </c>
      <c r="K6708" s="3" t="s">
        <v>23</v>
      </c>
    </row>
    <row r="6709" spans="1:11" ht="42" customHeight="1">
      <c r="A6709" s="2" t="s">
        <v>13226</v>
      </c>
      <c r="B6709" s="2" t="s">
        <v>13226</v>
      </c>
      <c r="C6709" s="2" t="s">
        <v>79</v>
      </c>
      <c r="D6709" s="2" t="s">
        <v>74</v>
      </c>
      <c r="E6709" s="5">
        <v>-27887</v>
      </c>
      <c r="F6709" s="3" t="s">
        <v>1196</v>
      </c>
      <c r="G6709" s="3" t="s">
        <v>20</v>
      </c>
      <c r="H6709" s="2" t="s">
        <v>21</v>
      </c>
      <c r="I6709" s="2" t="s">
        <v>13307</v>
      </c>
      <c r="J6709" s="3" t="str">
        <f>HYPERLINK("https://www.boe.es/gazeta/dias/1823/08/24/pdfs/GES-1823-137.pdf#page=4","Abrir facsímil")</f>
        <v>Abrir facsímil</v>
      </c>
      <c r="K6709" s="3" t="s">
        <v>23</v>
      </c>
    </row>
    <row r="6710" spans="1:11" ht="42" customHeight="1">
      <c r="A6710" s="2" t="s">
        <v>13226</v>
      </c>
      <c r="B6710" s="2" t="s">
        <v>13226</v>
      </c>
      <c r="C6710" s="2" t="s">
        <v>79</v>
      </c>
      <c r="D6710" s="2" t="s">
        <v>74</v>
      </c>
      <c r="E6710" s="5">
        <v>-27884</v>
      </c>
      <c r="F6710" s="3" t="s">
        <v>61</v>
      </c>
      <c r="G6710" s="3" t="s">
        <v>20</v>
      </c>
      <c r="H6710" s="2" t="s">
        <v>21</v>
      </c>
      <c r="I6710" s="2" t="s">
        <v>13308</v>
      </c>
      <c r="J6710" s="3" t="str">
        <f>HYPERLINK("https://www.boe.es/gazeta/dias/1823/08/27/pdfs/GES-1823-140.pdf#page=4","Abrir facsímil")</f>
        <v>Abrir facsímil</v>
      </c>
      <c r="K6710" s="3" t="s">
        <v>23</v>
      </c>
    </row>
    <row r="6711" spans="1:11" ht="42" customHeight="1">
      <c r="A6711" s="2" t="s">
        <v>13226</v>
      </c>
      <c r="B6711" s="2" t="s">
        <v>13226</v>
      </c>
      <c r="C6711" s="2" t="s">
        <v>17</v>
      </c>
      <c r="D6711" s="2" t="s">
        <v>18</v>
      </c>
      <c r="E6711" s="5">
        <v>-27881</v>
      </c>
      <c r="F6711" s="3" t="s">
        <v>725</v>
      </c>
      <c r="G6711" s="3" t="s">
        <v>39</v>
      </c>
      <c r="H6711" s="2" t="s">
        <v>21</v>
      </c>
      <c r="I6711" s="2" t="s">
        <v>13309</v>
      </c>
      <c r="J6711" s="3" t="str">
        <f>HYPERLINK("https://www.boe.es/gazeta/dias/1823/08/30/pdfs/GMD-1823-673.pdf#page=1","Abrir facsímil")</f>
        <v>Abrir facsímil</v>
      </c>
      <c r="K6711" s="3" t="s">
        <v>23</v>
      </c>
    </row>
    <row r="6712" spans="1:11" ht="42" customHeight="1">
      <c r="A6712" s="2" t="s">
        <v>13226</v>
      </c>
      <c r="B6712" s="2" t="s">
        <v>13226</v>
      </c>
      <c r="C6712" s="2" t="s">
        <v>79</v>
      </c>
      <c r="D6712" s="2" t="s">
        <v>74</v>
      </c>
      <c r="E6712" s="5">
        <v>-27873</v>
      </c>
      <c r="F6712" s="3" t="s">
        <v>160</v>
      </c>
      <c r="G6712" s="3" t="s">
        <v>27</v>
      </c>
      <c r="H6712" s="2" t="s">
        <v>21</v>
      </c>
      <c r="I6712" s="2" t="s">
        <v>13310</v>
      </c>
      <c r="J6712" s="3" t="str">
        <f>HYPERLINK("https://www.boe.es/gazeta/dias/1823/09/07/pdfs/GES-1823-151.pdf#page=2","Abrir facsímil")</f>
        <v>Abrir facsímil</v>
      </c>
      <c r="K6712" s="3" t="s">
        <v>23</v>
      </c>
    </row>
    <row r="6713" spans="1:11" ht="42" customHeight="1">
      <c r="A6713" s="2" t="s">
        <v>13226</v>
      </c>
      <c r="B6713" s="2" t="s">
        <v>13226</v>
      </c>
      <c r="C6713" s="2" t="s">
        <v>17</v>
      </c>
      <c r="D6713" s="2" t="s">
        <v>18</v>
      </c>
      <c r="E6713" s="5">
        <v>-27869</v>
      </c>
      <c r="F6713" s="3" t="s">
        <v>1886</v>
      </c>
      <c r="G6713" s="3" t="s">
        <v>20</v>
      </c>
      <c r="H6713" s="2" t="s">
        <v>21</v>
      </c>
      <c r="I6713" s="2" t="s">
        <v>13311</v>
      </c>
      <c r="J6713" s="3" t="str">
        <f>HYPERLINK("https://www.boe.es/gazeta/dias/1823/09/11/pdfs/GES-1823-155.pdf#page=4","Abrir facsímil")</f>
        <v>Abrir facsímil</v>
      </c>
      <c r="K6713" s="3" t="s">
        <v>23</v>
      </c>
    </row>
    <row r="6714" spans="1:11" ht="42" customHeight="1">
      <c r="A6714" s="2" t="s">
        <v>13226</v>
      </c>
      <c r="B6714" s="2" t="s">
        <v>13226</v>
      </c>
      <c r="C6714" s="2" t="s">
        <v>79</v>
      </c>
      <c r="D6714" s="2" t="s">
        <v>74</v>
      </c>
      <c r="E6714" s="5">
        <v>-27857</v>
      </c>
      <c r="F6714" s="3" t="s">
        <v>378</v>
      </c>
      <c r="G6714" s="3" t="s">
        <v>34</v>
      </c>
      <c r="H6714" s="2" t="s">
        <v>21</v>
      </c>
      <c r="I6714" s="2" t="s">
        <v>13312</v>
      </c>
      <c r="J6714" s="3" t="str">
        <f>HYPERLINK("https://www.boe.es/gazeta/dias/1823/09/23/pdfs/GMD-1823-833.pdf#page=5","Abrir facsímil")</f>
        <v>Abrir facsímil</v>
      </c>
      <c r="K6714" s="3" t="s">
        <v>23</v>
      </c>
    </row>
    <row r="6715" spans="1:11" ht="42" customHeight="1">
      <c r="A6715" s="2" t="s">
        <v>13226</v>
      </c>
      <c r="B6715" s="2" t="s">
        <v>13226</v>
      </c>
      <c r="C6715" s="2" t="s">
        <v>17</v>
      </c>
      <c r="D6715" s="2" t="s">
        <v>18</v>
      </c>
      <c r="E6715" s="5">
        <v>-27815</v>
      </c>
      <c r="F6715" s="3" t="s">
        <v>1266</v>
      </c>
      <c r="G6715" s="3" t="s">
        <v>48</v>
      </c>
      <c r="H6715" s="2" t="s">
        <v>21</v>
      </c>
      <c r="I6715" s="2" t="s">
        <v>13313</v>
      </c>
      <c r="J6715" s="3" t="str">
        <f>HYPERLINK("https://www.boe.es/gazeta/dias/1823/11/04/pdfs/GMD-1823-1063.pdf#page=3","Abrir facsímil")</f>
        <v>Abrir facsímil</v>
      </c>
      <c r="K6715" s="3" t="s">
        <v>23</v>
      </c>
    </row>
    <row r="6716" spans="1:11" ht="42" customHeight="1">
      <c r="A6716" s="2" t="s">
        <v>13226</v>
      </c>
      <c r="B6716" s="2" t="s">
        <v>13226</v>
      </c>
      <c r="C6716" s="2" t="s">
        <v>79</v>
      </c>
      <c r="D6716" s="2" t="s">
        <v>74</v>
      </c>
      <c r="E6716" s="5">
        <v>-27797</v>
      </c>
      <c r="F6716" s="3" t="s">
        <v>3409</v>
      </c>
      <c r="G6716" s="3" t="s">
        <v>20</v>
      </c>
      <c r="H6716" s="2" t="s">
        <v>21</v>
      </c>
      <c r="I6716" s="2" t="s">
        <v>13314</v>
      </c>
      <c r="J6716" s="3" t="str">
        <f>HYPERLINK("https://www.boe.es/gazeta/dias/1823/11/22/pdfs/GMD-1823-1153.pdf#page=4","Abrir facsímil")</f>
        <v>Abrir facsímil</v>
      </c>
      <c r="K6716" s="3" t="s">
        <v>23</v>
      </c>
    </row>
    <row r="6717" spans="1:11" ht="42" customHeight="1">
      <c r="A6717" s="2" t="s">
        <v>13226</v>
      </c>
      <c r="B6717" s="2" t="s">
        <v>13226</v>
      </c>
      <c r="C6717" s="2" t="s">
        <v>17</v>
      </c>
      <c r="D6717" s="2" t="s">
        <v>18</v>
      </c>
      <c r="E6717" s="5">
        <v>-27787</v>
      </c>
      <c r="F6717" s="3" t="s">
        <v>865</v>
      </c>
      <c r="G6717" s="3" t="s">
        <v>20</v>
      </c>
      <c r="H6717" s="2" t="s">
        <v>21</v>
      </c>
      <c r="I6717" s="2" t="s">
        <v>13315</v>
      </c>
      <c r="J6717" s="3" t="str">
        <f>HYPERLINK("https://www.boe.es/gazeta/dias/1823/12/02/pdfs/GMD-1823-1193.pdf#page=4","Abrir facsímil")</f>
        <v>Abrir facsímil</v>
      </c>
      <c r="K6717" s="3" t="s">
        <v>23</v>
      </c>
    </row>
    <row r="6718" spans="1:11" ht="42" customHeight="1">
      <c r="A6718" s="2" t="s">
        <v>13226</v>
      </c>
      <c r="B6718" s="2" t="s">
        <v>13226</v>
      </c>
      <c r="C6718" s="2" t="s">
        <v>17</v>
      </c>
      <c r="D6718" s="2" t="s">
        <v>18</v>
      </c>
      <c r="E6718" s="5">
        <v>-27771</v>
      </c>
      <c r="F6718" s="3" t="s">
        <v>1611</v>
      </c>
      <c r="G6718" s="3" t="s">
        <v>20</v>
      </c>
      <c r="H6718" s="2" t="s">
        <v>21</v>
      </c>
      <c r="I6718" s="2" t="s">
        <v>13316</v>
      </c>
      <c r="J6718" s="3" t="str">
        <f>HYPERLINK("https://www.boe.es/gazeta/dias/1823/12/18/pdfs/GMD-1823-1263.pdf#page=4","Abrir facsímil")</f>
        <v>Abrir facsímil</v>
      </c>
      <c r="K6718" s="3" t="s">
        <v>23</v>
      </c>
    </row>
    <row r="6719" spans="1:11" ht="42" customHeight="1">
      <c r="A6719" s="2" t="s">
        <v>13317</v>
      </c>
      <c r="B6719" s="2" t="s">
        <v>13317</v>
      </c>
      <c r="C6719" s="2" t="s">
        <v>17</v>
      </c>
      <c r="D6719" s="2" t="s">
        <v>18</v>
      </c>
      <c r="E6719" s="5">
        <v>-28073</v>
      </c>
      <c r="F6719" s="3" t="s">
        <v>204</v>
      </c>
      <c r="G6719" s="3" t="s">
        <v>27</v>
      </c>
      <c r="H6719" s="2" t="s">
        <v>21</v>
      </c>
      <c r="I6719" s="2" t="s">
        <v>13318</v>
      </c>
      <c r="J6719" s="3" t="str">
        <f>HYPERLINK("https://www.boe.es/gazeta/dias/1823/02/19/pdfs/GMD-1823-53.pdf#page=2","Abrir facsímil")</f>
        <v>Abrir facsímil</v>
      </c>
      <c r="K6719" s="3" t="s">
        <v>23</v>
      </c>
    </row>
    <row r="6720" spans="1:11" ht="42" customHeight="1">
      <c r="A6720" s="2" t="s">
        <v>13319</v>
      </c>
      <c r="B6720" s="2" t="s">
        <v>13320</v>
      </c>
      <c r="C6720" s="2" t="s">
        <v>17</v>
      </c>
      <c r="D6720" s="2" t="s">
        <v>18</v>
      </c>
      <c r="E6720" s="5">
        <v>-27968</v>
      </c>
      <c r="F6720" s="3" t="s">
        <v>1160</v>
      </c>
      <c r="G6720" s="3" t="s">
        <v>39</v>
      </c>
      <c r="H6720" s="2" t="s">
        <v>21</v>
      </c>
      <c r="I6720" s="2" t="s">
        <v>13321</v>
      </c>
      <c r="J6720" s="3" t="str">
        <f>HYPERLINK("https://www.boe.es/gazeta/dias/1823/06/04/pdfs/GES-1823-58.pdf#page=1","Abrir facsímil")</f>
        <v>Abrir facsímil</v>
      </c>
      <c r="K6720" s="3" t="s">
        <v>23</v>
      </c>
    </row>
    <row r="6721" spans="1:11" ht="42" customHeight="1">
      <c r="A6721" s="2" t="s">
        <v>13322</v>
      </c>
      <c r="B6721" s="2" t="s">
        <v>13323</v>
      </c>
      <c r="C6721" s="2" t="s">
        <v>17</v>
      </c>
      <c r="D6721" s="2" t="s">
        <v>18</v>
      </c>
      <c r="E6721" s="5">
        <v>-28064</v>
      </c>
      <c r="F6721" s="3" t="s">
        <v>1190</v>
      </c>
      <c r="G6721" s="3" t="s">
        <v>20</v>
      </c>
      <c r="H6721" s="2" t="s">
        <v>28</v>
      </c>
      <c r="I6721" s="2" t="s">
        <v>13324</v>
      </c>
      <c r="J6721" s="3" t="str">
        <f>HYPERLINK("https://www.boe.es/gazeta/dias/1823/02/28/pdfs/GMD-1823-62.pdf#page=4","Abrir facsímil")</f>
        <v>Abrir facsímil</v>
      </c>
      <c r="K6721" s="3" t="s">
        <v>30</v>
      </c>
    </row>
    <row r="6722" spans="1:11" ht="42" customHeight="1">
      <c r="A6722" s="2" t="s">
        <v>13325</v>
      </c>
      <c r="B6722" s="2" t="s">
        <v>13326</v>
      </c>
      <c r="C6722" s="2" t="s">
        <v>79</v>
      </c>
      <c r="D6722" s="2" t="s">
        <v>74</v>
      </c>
      <c r="E6722" s="5">
        <v>-27920</v>
      </c>
      <c r="F6722" s="3" t="s">
        <v>1334</v>
      </c>
      <c r="G6722" s="3" t="s">
        <v>20</v>
      </c>
      <c r="H6722" s="2" t="s">
        <v>21</v>
      </c>
      <c r="I6722" s="2" t="s">
        <v>13327</v>
      </c>
      <c r="J6722" s="3" t="str">
        <f>HYPERLINK("https://www.boe.es/gazeta/dias/1823/07/22/pdfs/GMD-1823-443.pdf#page=4","Abrir facsímil")</f>
        <v>Abrir facsímil</v>
      </c>
      <c r="K6722" s="3" t="s">
        <v>23</v>
      </c>
    </row>
    <row r="6723" spans="1:11" ht="42" customHeight="1">
      <c r="A6723" s="2" t="s">
        <v>13325</v>
      </c>
      <c r="B6723" s="2" t="s">
        <v>13326</v>
      </c>
      <c r="C6723" s="2" t="s">
        <v>17</v>
      </c>
      <c r="D6723" s="2" t="s">
        <v>18</v>
      </c>
      <c r="E6723" s="5">
        <v>-27910</v>
      </c>
      <c r="F6723" s="3" t="s">
        <v>38</v>
      </c>
      <c r="G6723" s="3" t="s">
        <v>20</v>
      </c>
      <c r="H6723" s="2" t="s">
        <v>21</v>
      </c>
      <c r="I6723" s="2" t="s">
        <v>13328</v>
      </c>
      <c r="J6723" s="3" t="str">
        <f>HYPERLINK("https://www.boe.es/gazeta/dias/1823/08/01/pdfs/GES-1823-113.pdf#page=4","Abrir facsímil")</f>
        <v>Abrir facsímil</v>
      </c>
      <c r="K6723" s="3" t="s">
        <v>23</v>
      </c>
    </row>
    <row r="6724" spans="1:11" ht="42" customHeight="1">
      <c r="A6724" s="2" t="s">
        <v>13329</v>
      </c>
      <c r="B6724" s="2" t="s">
        <v>13330</v>
      </c>
      <c r="C6724" s="2" t="s">
        <v>17</v>
      </c>
      <c r="D6724" s="2" t="s">
        <v>18</v>
      </c>
      <c r="E6724" s="5">
        <v>-27890</v>
      </c>
      <c r="F6724" s="3" t="s">
        <v>1573</v>
      </c>
      <c r="G6724" s="3" t="s">
        <v>20</v>
      </c>
      <c r="H6724" s="2" t="s">
        <v>21</v>
      </c>
      <c r="I6724" s="2" t="s">
        <v>13331</v>
      </c>
      <c r="J6724" s="3" t="str">
        <f>HYPERLINK("https://www.boe.es/gazeta/dias/1823/08/21/pdfs/GMD-1823-623.pdf#page=4","Abrir facsímil")</f>
        <v>Abrir facsímil</v>
      </c>
      <c r="K6724" s="3" t="s">
        <v>23</v>
      </c>
    </row>
    <row r="6725" spans="1:11" ht="42" customHeight="1">
      <c r="A6725" s="2" t="s">
        <v>13332</v>
      </c>
      <c r="B6725" s="2" t="s">
        <v>13332</v>
      </c>
      <c r="C6725" s="2" t="s">
        <v>109</v>
      </c>
      <c r="D6725" s="2" t="s">
        <v>74</v>
      </c>
      <c r="E6725" s="5">
        <v>-27944</v>
      </c>
      <c r="F6725" s="3" t="s">
        <v>658</v>
      </c>
      <c r="G6725" s="3" t="s">
        <v>34</v>
      </c>
      <c r="H6725" s="2" t="s">
        <v>21</v>
      </c>
      <c r="I6725" s="2" t="s">
        <v>13333</v>
      </c>
      <c r="J6725" s="3" t="str">
        <f>HYPERLINK("https://www.boe.es/gazeta/dias/1823/06/28/pdfs/GMD-1823-303.pdf#page=5","Abrir facsímil")</f>
        <v>Abrir facsímil</v>
      </c>
      <c r="K6725" s="3" t="s">
        <v>23</v>
      </c>
    </row>
    <row r="6726" spans="1:11" ht="42" customHeight="1">
      <c r="A6726" s="2" t="s">
        <v>13332</v>
      </c>
      <c r="B6726" s="2" t="s">
        <v>13332</v>
      </c>
      <c r="C6726" s="2" t="s">
        <v>109</v>
      </c>
      <c r="D6726" s="2" t="s">
        <v>74</v>
      </c>
      <c r="E6726" s="5">
        <v>-27832</v>
      </c>
      <c r="F6726" s="3" t="s">
        <v>1815</v>
      </c>
      <c r="G6726" s="3" t="s">
        <v>27</v>
      </c>
      <c r="H6726" s="2" t="s">
        <v>21</v>
      </c>
      <c r="I6726" s="2" t="s">
        <v>13334</v>
      </c>
      <c r="J6726" s="3" t="str">
        <f>HYPERLINK("https://www.boe.es/gazeta/dias/1823/10/18/pdfs/GMD-1823-993.pdf#page=2","Abrir facsímil")</f>
        <v>Abrir facsímil</v>
      </c>
      <c r="K6726" s="3" t="s">
        <v>23</v>
      </c>
    </row>
    <row r="6727" spans="1:11" ht="42" customHeight="1">
      <c r="A6727" s="2" t="s">
        <v>13332</v>
      </c>
      <c r="B6727" s="2" t="s">
        <v>13332</v>
      </c>
      <c r="C6727" s="2" t="s">
        <v>56</v>
      </c>
      <c r="D6727" s="2" t="s">
        <v>57</v>
      </c>
      <c r="E6727" s="5">
        <v>-27829</v>
      </c>
      <c r="F6727" s="3" t="s">
        <v>228</v>
      </c>
      <c r="G6727" s="3" t="s">
        <v>20</v>
      </c>
      <c r="H6727" s="2" t="s">
        <v>21</v>
      </c>
      <c r="I6727" s="2" t="s">
        <v>13335</v>
      </c>
      <c r="J6727" s="3" t="str">
        <f>HYPERLINK("https://www.boe.es/gazeta/dias/1823/10/21/pdfs/GMD-1823-1003.pdf#page=4","Abrir facsímil")</f>
        <v>Abrir facsímil</v>
      </c>
      <c r="K6727" s="3" t="s">
        <v>23</v>
      </c>
    </row>
    <row r="6728" spans="1:11" ht="42" customHeight="1">
      <c r="A6728" s="2" t="s">
        <v>13332</v>
      </c>
      <c r="B6728" s="2" t="s">
        <v>13332</v>
      </c>
      <c r="C6728" s="2" t="s">
        <v>325</v>
      </c>
      <c r="D6728" s="2" t="s">
        <v>74</v>
      </c>
      <c r="E6728" s="5">
        <v>-27804</v>
      </c>
      <c r="F6728" s="3" t="s">
        <v>836</v>
      </c>
      <c r="G6728" s="3" t="s">
        <v>20</v>
      </c>
      <c r="H6728" s="2" t="s">
        <v>21</v>
      </c>
      <c r="I6728" s="2" t="s">
        <v>13336</v>
      </c>
      <c r="J6728" s="3" t="str">
        <f>HYPERLINK("https://www.boe.es/gazeta/dias/1823/11/15/pdfs/GMD-1823-1123.pdf#page=4","Abrir facsímil")</f>
        <v>Abrir facsímil</v>
      </c>
      <c r="K6728" s="3" t="s">
        <v>23</v>
      </c>
    </row>
    <row r="6729" spans="1:11" ht="42" customHeight="1">
      <c r="A6729" s="2" t="s">
        <v>13337</v>
      </c>
      <c r="B6729" s="2" t="s">
        <v>13338</v>
      </c>
      <c r="C6729" s="2" t="s">
        <v>17</v>
      </c>
      <c r="D6729" s="2" t="s">
        <v>18</v>
      </c>
      <c r="E6729" s="5">
        <v>-27829</v>
      </c>
      <c r="F6729" s="3" t="s">
        <v>228</v>
      </c>
      <c r="G6729" s="3" t="s">
        <v>39</v>
      </c>
      <c r="H6729" s="2" t="s">
        <v>21</v>
      </c>
      <c r="I6729" s="2" t="s">
        <v>13339</v>
      </c>
      <c r="J6729" s="3" t="str">
        <f>HYPERLINK("https://www.boe.es/gazeta/dias/1823/10/21/pdfs/GMD-1823-1003.pdf#page=1","Abrir facsímil")</f>
        <v>Abrir facsímil</v>
      </c>
      <c r="K6729" s="3" t="s">
        <v>23</v>
      </c>
    </row>
    <row r="6730" spans="1:11" ht="42" customHeight="1">
      <c r="A6730" s="2" t="s">
        <v>13340</v>
      </c>
      <c r="B6730" s="2" t="s">
        <v>13341</v>
      </c>
      <c r="C6730" s="2" t="s">
        <v>73</v>
      </c>
      <c r="D6730" s="2" t="s">
        <v>74</v>
      </c>
      <c r="E6730" s="5">
        <v>-27901</v>
      </c>
      <c r="F6730" s="3" t="s">
        <v>840</v>
      </c>
      <c r="G6730" s="3" t="s">
        <v>20</v>
      </c>
      <c r="H6730" s="2" t="s">
        <v>21</v>
      </c>
      <c r="I6730" s="2" t="s">
        <v>13342</v>
      </c>
      <c r="J6730" s="3" t="str">
        <f>HYPERLINK("https://www.boe.es/gazeta/dias/1823/08/10/pdfs/GES-1823-123.pdf#page=4","Abrir facsímil")</f>
        <v>Abrir facsímil</v>
      </c>
      <c r="K6730" s="3" t="s">
        <v>23</v>
      </c>
    </row>
    <row r="6731" spans="1:11" ht="42" customHeight="1">
      <c r="A6731" s="2" t="s">
        <v>13343</v>
      </c>
      <c r="B6731" s="2" t="s">
        <v>13344</v>
      </c>
      <c r="C6731" s="2" t="s">
        <v>17</v>
      </c>
      <c r="D6731" s="2" t="s">
        <v>18</v>
      </c>
      <c r="E6731" s="5">
        <v>-27996</v>
      </c>
      <c r="F6731" s="3" t="s">
        <v>695</v>
      </c>
      <c r="G6731" s="3" t="s">
        <v>39</v>
      </c>
      <c r="H6731" s="2" t="s">
        <v>21</v>
      </c>
      <c r="I6731" s="2" t="s">
        <v>13345</v>
      </c>
      <c r="J6731" s="3" t="str">
        <f>HYPERLINK("https://www.boe.es/gazeta/dias/1823/05/07/pdfs/GES-1823-27.pdf#page=1","Abrir facsímil")</f>
        <v>Abrir facsímil</v>
      </c>
      <c r="K6731" s="3" t="s">
        <v>23</v>
      </c>
    </row>
    <row r="6732" spans="1:11" ht="42" customHeight="1">
      <c r="A6732" s="2" t="s">
        <v>13346</v>
      </c>
      <c r="B6732" s="2" t="s">
        <v>13347</v>
      </c>
      <c r="C6732" s="2" t="s">
        <v>17</v>
      </c>
      <c r="D6732" s="2" t="s">
        <v>18</v>
      </c>
      <c r="E6732" s="5">
        <v>-27818</v>
      </c>
      <c r="F6732" s="3" t="s">
        <v>1597</v>
      </c>
      <c r="G6732" s="3" t="s">
        <v>20</v>
      </c>
      <c r="H6732" s="2" t="s">
        <v>21</v>
      </c>
      <c r="I6732" s="2" t="s">
        <v>13348</v>
      </c>
      <c r="J6732" s="3" t="str">
        <f>HYPERLINK("https://www.boe.es/gazeta/dias/1823/11/01/pdfs/GMD-1823-1053.pdf#page=4","Abrir facsímil")</f>
        <v>Abrir facsímil</v>
      </c>
      <c r="K6732" s="3" t="s">
        <v>23</v>
      </c>
    </row>
    <row r="6733" spans="1:11" ht="42" customHeight="1">
      <c r="A6733" s="2" t="s">
        <v>13349</v>
      </c>
      <c r="B6733" s="2" t="s">
        <v>13350</v>
      </c>
      <c r="C6733" s="2" t="s">
        <v>17</v>
      </c>
      <c r="D6733" s="2" t="s">
        <v>18</v>
      </c>
      <c r="E6733" s="5">
        <v>-27766</v>
      </c>
      <c r="F6733" s="3" t="s">
        <v>3450</v>
      </c>
      <c r="G6733" s="3" t="s">
        <v>39</v>
      </c>
      <c r="H6733" s="2" t="s">
        <v>21</v>
      </c>
      <c r="I6733" s="2" t="s">
        <v>13351</v>
      </c>
      <c r="J6733" s="3" t="str">
        <f>HYPERLINK("https://www.boe.es/gazeta/dias/1823/12/23/pdfs/GMD-1823-1283.pdf#page=1","Abrir facsímil")</f>
        <v>Abrir facsímil</v>
      </c>
      <c r="K6733" s="3" t="s">
        <v>23</v>
      </c>
    </row>
    <row r="6734" spans="1:11" ht="42" customHeight="1">
      <c r="A6734" s="2" t="s">
        <v>13352</v>
      </c>
      <c r="B6734" s="2" t="s">
        <v>13352</v>
      </c>
      <c r="C6734" s="2" t="s">
        <v>73</v>
      </c>
      <c r="D6734" s="2" t="s">
        <v>74</v>
      </c>
      <c r="E6734" s="5">
        <v>-27912</v>
      </c>
      <c r="F6734" s="3" t="s">
        <v>365</v>
      </c>
      <c r="G6734" s="3" t="s">
        <v>366</v>
      </c>
      <c r="H6734" s="2" t="s">
        <v>21</v>
      </c>
      <c r="I6734" s="2" t="s">
        <v>13353</v>
      </c>
      <c r="J6734" s="3" t="str">
        <f>HYPERLINK("https://www.boe.es/gazeta/dias/1823/07/30/pdfs/GES-1823-111.pdf#page=4","Abrir facsímil")</f>
        <v>Abrir facsímil</v>
      </c>
      <c r="K6734" s="3" t="s">
        <v>23</v>
      </c>
    </row>
    <row r="6735" spans="1:11" ht="42" customHeight="1">
      <c r="A6735" s="2" t="s">
        <v>13354</v>
      </c>
      <c r="B6735" s="2" t="s">
        <v>13354</v>
      </c>
      <c r="C6735" s="2" t="s">
        <v>17</v>
      </c>
      <c r="D6735" s="2" t="s">
        <v>18</v>
      </c>
      <c r="E6735" s="5">
        <v>-27946</v>
      </c>
      <c r="F6735" s="3" t="s">
        <v>2146</v>
      </c>
      <c r="G6735" s="3" t="s">
        <v>27</v>
      </c>
      <c r="H6735" s="2" t="s">
        <v>21</v>
      </c>
      <c r="I6735" s="2" t="s">
        <v>13355</v>
      </c>
      <c r="J6735" s="3" t="str">
        <f>HYPERLINK("https://www.boe.es/gazeta/dias/1823/06/26/pdfs/GES-1823-76.pdf#page=2","Abrir facsímil")</f>
        <v>Abrir facsímil</v>
      </c>
      <c r="K6735" s="3" t="s">
        <v>23</v>
      </c>
    </row>
    <row r="6736" spans="1:11" ht="42" customHeight="1">
      <c r="A6736" s="2" t="s">
        <v>13356</v>
      </c>
      <c r="B6736" s="2" t="s">
        <v>13356</v>
      </c>
      <c r="C6736" s="2" t="s">
        <v>109</v>
      </c>
      <c r="D6736" s="2" t="s">
        <v>74</v>
      </c>
      <c r="E6736" s="5">
        <v>-28107</v>
      </c>
      <c r="F6736" s="3" t="s">
        <v>278</v>
      </c>
      <c r="G6736" s="3" t="s">
        <v>48</v>
      </c>
      <c r="H6736" s="2" t="s">
        <v>21</v>
      </c>
      <c r="I6736" s="2" t="s">
        <v>13357</v>
      </c>
      <c r="J6736" s="3" t="str">
        <f>HYPERLINK("https://www.boe.es/gazeta/dias/1823/01/16/pdfs/GMD-1823-16.pdf#page=3","Abrir facsímil")</f>
        <v>Abrir facsímil</v>
      </c>
      <c r="K6736" s="3" t="s">
        <v>23</v>
      </c>
    </row>
    <row r="6737" spans="1:11" ht="42" customHeight="1">
      <c r="A6737" s="2" t="s">
        <v>13356</v>
      </c>
      <c r="B6737" s="2" t="s">
        <v>13356</v>
      </c>
      <c r="C6737" s="2" t="s">
        <v>17</v>
      </c>
      <c r="D6737" s="2" t="s">
        <v>18</v>
      </c>
      <c r="E6737" s="5">
        <v>-28093</v>
      </c>
      <c r="F6737" s="3" t="s">
        <v>1044</v>
      </c>
      <c r="G6737" s="3" t="s">
        <v>27</v>
      </c>
      <c r="H6737" s="2" t="s">
        <v>21</v>
      </c>
      <c r="I6737" s="2" t="s">
        <v>13358</v>
      </c>
      <c r="J6737" s="3" t="str">
        <f>HYPERLINK("https://www.boe.es/gazeta/dias/1823/01/30/pdfs/GMD-1823-31.pdf#page=2","Abrir facsímil")</f>
        <v>Abrir facsímil</v>
      </c>
      <c r="K6737" s="3" t="s">
        <v>23</v>
      </c>
    </row>
    <row r="6738" spans="1:11" ht="42" customHeight="1">
      <c r="A6738" s="2" t="s">
        <v>13356</v>
      </c>
      <c r="B6738" s="2" t="s">
        <v>13356</v>
      </c>
      <c r="C6738" s="2" t="s">
        <v>79</v>
      </c>
      <c r="D6738" s="2" t="s">
        <v>74</v>
      </c>
      <c r="E6738" s="5">
        <v>-28084</v>
      </c>
      <c r="F6738" s="3" t="s">
        <v>1049</v>
      </c>
      <c r="G6738" s="3" t="s">
        <v>3129</v>
      </c>
      <c r="H6738" s="2" t="s">
        <v>21</v>
      </c>
      <c r="I6738" s="2" t="s">
        <v>13359</v>
      </c>
      <c r="J6738" s="3" t="str">
        <f>HYPERLINK("https://www.boe.es/gazeta/dias/1823/02/08/pdfs/GMD-1823-41.pdf#page=2","Abrir facsímil")</f>
        <v>Abrir facsímil</v>
      </c>
      <c r="K6738" s="3" t="s">
        <v>23</v>
      </c>
    </row>
    <row r="6739" spans="1:11" ht="42" customHeight="1">
      <c r="A6739" s="2" t="s">
        <v>13356</v>
      </c>
      <c r="B6739" s="2" t="s">
        <v>13356</v>
      </c>
      <c r="C6739" s="2" t="s">
        <v>109</v>
      </c>
      <c r="D6739" s="2" t="s">
        <v>74</v>
      </c>
      <c r="E6739" s="5">
        <v>-28077</v>
      </c>
      <c r="F6739" s="3" t="s">
        <v>536</v>
      </c>
      <c r="G6739" s="3" t="s">
        <v>20</v>
      </c>
      <c r="H6739" s="2" t="s">
        <v>21</v>
      </c>
      <c r="I6739" s="2" t="s">
        <v>13360</v>
      </c>
      <c r="J6739" s="3" t="str">
        <f>HYPERLINK("https://www.boe.es/gazeta/dias/1823/02/15/pdfs/GMD-1823-49.pdf#page=4","Abrir facsímil")</f>
        <v>Abrir facsímil</v>
      </c>
      <c r="K6739" s="3" t="s">
        <v>23</v>
      </c>
    </row>
    <row r="6740" spans="1:11" ht="42" customHeight="1">
      <c r="A6740" s="2" t="s">
        <v>13356</v>
      </c>
      <c r="B6740" s="2" t="s">
        <v>13356</v>
      </c>
      <c r="C6740" s="2" t="s">
        <v>17</v>
      </c>
      <c r="D6740" s="2" t="s">
        <v>18</v>
      </c>
      <c r="E6740" s="5">
        <v>-28076</v>
      </c>
      <c r="F6740" s="3" t="s">
        <v>1638</v>
      </c>
      <c r="G6740" s="3" t="s">
        <v>20</v>
      </c>
      <c r="H6740" s="2" t="s">
        <v>21</v>
      </c>
      <c r="I6740" s="2" t="s">
        <v>13361</v>
      </c>
      <c r="J6740" s="3" t="str">
        <f>HYPERLINK("https://www.boe.es/gazeta/dias/1823/02/16/pdfs/GMD-1823-50.pdf#page=4","Abrir facsímil")</f>
        <v>Abrir facsímil</v>
      </c>
      <c r="K6740" s="3" t="s">
        <v>23</v>
      </c>
    </row>
    <row r="6741" spans="1:11" ht="42" customHeight="1">
      <c r="A6741" s="2" t="s">
        <v>13356</v>
      </c>
      <c r="B6741" s="2" t="s">
        <v>13356</v>
      </c>
      <c r="C6741" s="2" t="s">
        <v>109</v>
      </c>
      <c r="D6741" s="2" t="s">
        <v>74</v>
      </c>
      <c r="E6741" s="5">
        <v>-28057</v>
      </c>
      <c r="F6741" s="3" t="s">
        <v>301</v>
      </c>
      <c r="G6741" s="3" t="s">
        <v>48</v>
      </c>
      <c r="H6741" s="2" t="s">
        <v>21</v>
      </c>
      <c r="I6741" s="2" t="s">
        <v>13362</v>
      </c>
      <c r="J6741" s="3" t="str">
        <f>HYPERLINK("https://www.boe.es/gazeta/dias/1823/03/07/pdfs/GMD-1823-70.pdf#page=3","Abrir facsímil")</f>
        <v>Abrir facsímil</v>
      </c>
      <c r="K6741" s="3" t="s">
        <v>23</v>
      </c>
    </row>
    <row r="6742" spans="1:11" ht="42" customHeight="1">
      <c r="A6742" s="2" t="s">
        <v>13356</v>
      </c>
      <c r="B6742" s="2" t="s">
        <v>13356</v>
      </c>
      <c r="C6742" s="2" t="s">
        <v>79</v>
      </c>
      <c r="D6742" s="2" t="s">
        <v>74</v>
      </c>
      <c r="E6742" s="5">
        <v>-28056</v>
      </c>
      <c r="F6742" s="3" t="s">
        <v>572</v>
      </c>
      <c r="G6742" s="3" t="s">
        <v>20</v>
      </c>
      <c r="H6742" s="2" t="s">
        <v>21</v>
      </c>
      <c r="I6742" s="2" t="s">
        <v>13363</v>
      </c>
      <c r="J6742" s="3" t="str">
        <f>HYPERLINK("https://www.boe.es/gazeta/dias/1823/03/08/pdfs/GMD-1823-71.pdf#page=4","Abrir facsímil")</f>
        <v>Abrir facsímil</v>
      </c>
      <c r="K6742" s="3" t="s">
        <v>23</v>
      </c>
    </row>
    <row r="6743" spans="1:11" ht="42" customHeight="1">
      <c r="A6743" s="2" t="s">
        <v>13356</v>
      </c>
      <c r="B6743" s="2" t="s">
        <v>13356</v>
      </c>
      <c r="C6743" s="2" t="s">
        <v>73</v>
      </c>
      <c r="D6743" s="2" t="s">
        <v>74</v>
      </c>
      <c r="E6743" s="5">
        <v>-28054</v>
      </c>
      <c r="F6743" s="3" t="s">
        <v>1292</v>
      </c>
      <c r="G6743" s="3" t="s">
        <v>27</v>
      </c>
      <c r="H6743" s="2" t="s">
        <v>21</v>
      </c>
      <c r="I6743" s="2" t="s">
        <v>13364</v>
      </c>
      <c r="J6743" s="3" t="str">
        <f>HYPERLINK("https://www.boe.es/gazeta/dias/1823/03/10/pdfs/GMD-1823-73.pdf#page=2","Abrir facsímil")</f>
        <v>Abrir facsímil</v>
      </c>
      <c r="K6743" s="3" t="s">
        <v>23</v>
      </c>
    </row>
    <row r="6744" spans="1:11" ht="42" customHeight="1">
      <c r="A6744" s="2" t="s">
        <v>13356</v>
      </c>
      <c r="B6744" s="2" t="s">
        <v>13356</v>
      </c>
      <c r="C6744" s="2" t="s">
        <v>56</v>
      </c>
      <c r="D6744" s="2" t="s">
        <v>57</v>
      </c>
      <c r="E6744" s="5">
        <v>-28009</v>
      </c>
      <c r="F6744" s="3" t="s">
        <v>307</v>
      </c>
      <c r="G6744" s="3" t="s">
        <v>2107</v>
      </c>
      <c r="H6744" s="2" t="s">
        <v>21</v>
      </c>
      <c r="I6744" s="2" t="s">
        <v>13365</v>
      </c>
      <c r="J6744" s="3" t="str">
        <f>HYPERLINK("https://www.boe.es/gazeta/dias/1823/04/24/pdfs/GES-1823-14.pdf#page=4","Abrir facsímil")</f>
        <v>Abrir facsímil</v>
      </c>
      <c r="K6744" s="3" t="s">
        <v>23</v>
      </c>
    </row>
    <row r="6745" spans="1:11" ht="42" customHeight="1">
      <c r="A6745" s="2" t="s">
        <v>13356</v>
      </c>
      <c r="B6745" s="2" t="s">
        <v>13356</v>
      </c>
      <c r="C6745" s="2" t="s">
        <v>17</v>
      </c>
      <c r="D6745" s="2" t="s">
        <v>18</v>
      </c>
      <c r="E6745" s="5">
        <v>-28001</v>
      </c>
      <c r="F6745" s="3" t="s">
        <v>768</v>
      </c>
      <c r="G6745" s="3" t="s">
        <v>4465</v>
      </c>
      <c r="H6745" s="2" t="s">
        <v>21</v>
      </c>
      <c r="I6745" s="2" t="s">
        <v>13366</v>
      </c>
      <c r="J6745" s="3" t="str">
        <f>HYPERLINK("https://www.boe.es/gazeta/dias/1823/05/02/pdfs/GES-1823-22.pdf#page=4","Abrir facsímil")</f>
        <v>Abrir facsímil</v>
      </c>
      <c r="K6745" s="3" t="s">
        <v>23</v>
      </c>
    </row>
    <row r="6746" spans="1:11" ht="42" customHeight="1">
      <c r="A6746" s="2" t="s">
        <v>13356</v>
      </c>
      <c r="B6746" s="2" t="s">
        <v>13356</v>
      </c>
      <c r="C6746" s="2" t="s">
        <v>79</v>
      </c>
      <c r="D6746" s="2" t="s">
        <v>74</v>
      </c>
      <c r="E6746" s="5">
        <v>-28001</v>
      </c>
      <c r="F6746" s="3" t="s">
        <v>768</v>
      </c>
      <c r="G6746" s="3" t="s">
        <v>48</v>
      </c>
      <c r="H6746" s="2" t="s">
        <v>21</v>
      </c>
      <c r="I6746" s="2" t="s">
        <v>13367</v>
      </c>
      <c r="J6746" s="3" t="str">
        <f>HYPERLINK("https://www.boe.es/gazeta/dias/1823/05/02/pdfs/GES-1823-22.pdf#page=3","Abrir facsímil")</f>
        <v>Abrir facsímil</v>
      </c>
      <c r="K6746" s="3" t="s">
        <v>23</v>
      </c>
    </row>
    <row r="6747" spans="1:11" ht="42" customHeight="1">
      <c r="A6747" s="2" t="s">
        <v>13356</v>
      </c>
      <c r="B6747" s="2" t="s">
        <v>13356</v>
      </c>
      <c r="C6747" s="2" t="s">
        <v>79</v>
      </c>
      <c r="D6747" s="2" t="s">
        <v>74</v>
      </c>
      <c r="E6747" s="5">
        <v>-28001</v>
      </c>
      <c r="F6747" s="3" t="s">
        <v>768</v>
      </c>
      <c r="G6747" s="3" t="s">
        <v>34</v>
      </c>
      <c r="H6747" s="2" t="s">
        <v>21</v>
      </c>
      <c r="I6747" s="2" t="s">
        <v>13368</v>
      </c>
      <c r="J6747" s="3" t="str">
        <f>HYPERLINK("https://www.boe.es/gazeta/dias/1823/05/02/pdfs/GES-1823-22.pdf#page=5","Abrir facsímil")</f>
        <v>Abrir facsímil</v>
      </c>
      <c r="K6747" s="3" t="s">
        <v>23</v>
      </c>
    </row>
    <row r="6748" spans="1:11" ht="42" customHeight="1">
      <c r="A6748" s="2" t="s">
        <v>13356</v>
      </c>
      <c r="B6748" s="2" t="s">
        <v>13356</v>
      </c>
      <c r="C6748" s="2" t="s">
        <v>109</v>
      </c>
      <c r="D6748" s="2" t="s">
        <v>74</v>
      </c>
      <c r="E6748" s="5">
        <v>-28000</v>
      </c>
      <c r="F6748" s="3" t="s">
        <v>1118</v>
      </c>
      <c r="G6748" s="3" t="s">
        <v>48</v>
      </c>
      <c r="H6748" s="2" t="s">
        <v>21</v>
      </c>
      <c r="I6748" s="2" t="s">
        <v>13369</v>
      </c>
      <c r="J6748" s="3" t="str">
        <f>HYPERLINK("https://www.boe.es/gazeta/dias/1823/05/03/pdfs/GES-1823-23.pdf#page=3","Abrir facsímil")</f>
        <v>Abrir facsímil</v>
      </c>
      <c r="K6748" s="3" t="s">
        <v>23</v>
      </c>
    </row>
    <row r="6749" spans="1:11" ht="42" customHeight="1">
      <c r="A6749" s="2" t="s">
        <v>13356</v>
      </c>
      <c r="B6749" s="2" t="s">
        <v>13356</v>
      </c>
      <c r="C6749" s="2" t="s">
        <v>56</v>
      </c>
      <c r="D6749" s="2" t="s">
        <v>57</v>
      </c>
      <c r="E6749" s="5">
        <v>-28000</v>
      </c>
      <c r="F6749" s="3" t="s">
        <v>1118</v>
      </c>
      <c r="G6749" s="3" t="s">
        <v>20</v>
      </c>
      <c r="H6749" s="2" t="s">
        <v>21</v>
      </c>
      <c r="I6749" s="2" t="s">
        <v>13370</v>
      </c>
      <c r="J6749" s="3" t="str">
        <f>HYPERLINK("https://www.boe.es/gazeta/dias/1823/05/03/pdfs/GES-1823-23.pdf#page=4","Abrir facsímil")</f>
        <v>Abrir facsímil</v>
      </c>
      <c r="K6749" s="3" t="s">
        <v>23</v>
      </c>
    </row>
    <row r="6750" spans="1:11" ht="42" customHeight="1">
      <c r="A6750" s="2" t="s">
        <v>13356</v>
      </c>
      <c r="B6750" s="2" t="s">
        <v>13356</v>
      </c>
      <c r="C6750" s="2" t="s">
        <v>73</v>
      </c>
      <c r="D6750" s="2" t="s">
        <v>74</v>
      </c>
      <c r="E6750" s="5">
        <v>-27995</v>
      </c>
      <c r="F6750" s="3" t="s">
        <v>320</v>
      </c>
      <c r="G6750" s="3" t="s">
        <v>59</v>
      </c>
      <c r="H6750" s="2" t="s">
        <v>21</v>
      </c>
      <c r="I6750" s="2" t="s">
        <v>13371</v>
      </c>
      <c r="J6750" s="3" t="str">
        <f>HYPERLINK("https://www.boe.es/gazeta/dias/1823/05/08/pdfs/GES-1823-28.pdf#page=6","Abrir facsímil")</f>
        <v>Abrir facsímil</v>
      </c>
      <c r="K6750" s="3" t="s">
        <v>23</v>
      </c>
    </row>
    <row r="6751" spans="1:11" ht="42" customHeight="1">
      <c r="A6751" s="2" t="s">
        <v>13356</v>
      </c>
      <c r="B6751" s="2" t="s">
        <v>13356</v>
      </c>
      <c r="C6751" s="2" t="s">
        <v>109</v>
      </c>
      <c r="D6751" s="2" t="s">
        <v>74</v>
      </c>
      <c r="E6751" s="5">
        <v>-27995</v>
      </c>
      <c r="F6751" s="3" t="s">
        <v>326</v>
      </c>
      <c r="G6751" s="3" t="s">
        <v>48</v>
      </c>
      <c r="H6751" s="2" t="s">
        <v>21</v>
      </c>
      <c r="I6751" s="2" t="s">
        <v>13372</v>
      </c>
      <c r="J6751" s="3" t="str">
        <f>HYPERLINK("https://www.boe.es/gazeta/dias/1823/05/08/pdfs/GMD-1823-112.pdf#page=3","Abrir facsímil")</f>
        <v>Abrir facsímil</v>
      </c>
      <c r="K6751" s="3" t="s">
        <v>23</v>
      </c>
    </row>
    <row r="6752" spans="1:11" ht="42" customHeight="1">
      <c r="A6752" s="2" t="s">
        <v>13356</v>
      </c>
      <c r="B6752" s="2" t="s">
        <v>13356</v>
      </c>
      <c r="C6752" s="2" t="s">
        <v>84</v>
      </c>
      <c r="D6752" s="2" t="s">
        <v>74</v>
      </c>
      <c r="E6752" s="5">
        <v>-27994</v>
      </c>
      <c r="F6752" s="3" t="s">
        <v>714</v>
      </c>
      <c r="G6752" s="3" t="s">
        <v>20</v>
      </c>
      <c r="H6752" s="2" t="s">
        <v>21</v>
      </c>
      <c r="I6752" s="2" t="s">
        <v>13373</v>
      </c>
      <c r="J6752" s="3" t="str">
        <f>HYPERLINK("https://www.boe.es/gazeta/dias/1823/05/09/pdfs/GES-1823-29.pdf#page=4","Abrir facsímil")</f>
        <v>Abrir facsímil</v>
      </c>
      <c r="K6752" s="3" t="s">
        <v>23</v>
      </c>
    </row>
    <row r="6753" spans="1:11" ht="42" customHeight="1">
      <c r="A6753" s="2" t="s">
        <v>13356</v>
      </c>
      <c r="B6753" s="2" t="s">
        <v>13356</v>
      </c>
      <c r="C6753" s="2" t="s">
        <v>79</v>
      </c>
      <c r="D6753" s="2" t="s">
        <v>74</v>
      </c>
      <c r="E6753" s="5">
        <v>-27994</v>
      </c>
      <c r="F6753" s="3" t="s">
        <v>714</v>
      </c>
      <c r="G6753" s="3" t="s">
        <v>34</v>
      </c>
      <c r="H6753" s="2" t="s">
        <v>21</v>
      </c>
      <c r="I6753" s="2" t="s">
        <v>13374</v>
      </c>
      <c r="J6753" s="3" t="str">
        <f>HYPERLINK("https://www.boe.es/gazeta/dias/1823/05/09/pdfs/GES-1823-29.pdf#page=5","Abrir facsímil")</f>
        <v>Abrir facsímil</v>
      </c>
      <c r="K6753" s="3" t="s">
        <v>23</v>
      </c>
    </row>
    <row r="6754" spans="1:11" ht="42" customHeight="1">
      <c r="A6754" s="2" t="s">
        <v>13356</v>
      </c>
      <c r="B6754" s="2" t="s">
        <v>13356</v>
      </c>
      <c r="C6754" s="2" t="s">
        <v>17</v>
      </c>
      <c r="D6754" s="2" t="s">
        <v>18</v>
      </c>
      <c r="E6754" s="5">
        <v>-27993</v>
      </c>
      <c r="F6754" s="3" t="s">
        <v>1062</v>
      </c>
      <c r="G6754" s="3" t="s">
        <v>48</v>
      </c>
      <c r="H6754" s="2" t="s">
        <v>21</v>
      </c>
      <c r="I6754" s="2" t="s">
        <v>13375</v>
      </c>
      <c r="J6754" s="3" t="str">
        <f>HYPERLINK("https://www.boe.es/gazeta/dias/1823/05/10/pdfs/GMD-1823-122.pdf#page=3","Abrir facsímil")</f>
        <v>Abrir facsímil</v>
      </c>
      <c r="K6754" s="3" t="s">
        <v>23</v>
      </c>
    </row>
    <row r="6755" spans="1:11" ht="42" customHeight="1">
      <c r="A6755" s="2" t="s">
        <v>13356</v>
      </c>
      <c r="B6755" s="2" t="s">
        <v>13356</v>
      </c>
      <c r="C6755" s="2" t="s">
        <v>79</v>
      </c>
      <c r="D6755" s="2" t="s">
        <v>74</v>
      </c>
      <c r="E6755" s="5">
        <v>-27990</v>
      </c>
      <c r="F6755" s="3" t="s">
        <v>1132</v>
      </c>
      <c r="G6755" s="3" t="s">
        <v>48</v>
      </c>
      <c r="H6755" s="2" t="s">
        <v>21</v>
      </c>
      <c r="I6755" s="2" t="s">
        <v>13376</v>
      </c>
      <c r="J6755" s="3" t="str">
        <f>HYPERLINK("https://www.boe.es/gazeta/dias/1823/05/13/pdfs/GES-1823-33.pdf#page=3","Abrir facsímil")</f>
        <v>Abrir facsímil</v>
      </c>
      <c r="K6755" s="3" t="s">
        <v>23</v>
      </c>
    </row>
    <row r="6756" spans="1:11" ht="42" customHeight="1">
      <c r="A6756" s="2" t="s">
        <v>13356</v>
      </c>
      <c r="B6756" s="2" t="s">
        <v>13356</v>
      </c>
      <c r="C6756" s="2" t="s">
        <v>79</v>
      </c>
      <c r="D6756" s="2" t="s">
        <v>74</v>
      </c>
      <c r="E6756" s="5">
        <v>-27974</v>
      </c>
      <c r="F6756" s="3" t="s">
        <v>618</v>
      </c>
      <c r="G6756" s="3" t="s">
        <v>27</v>
      </c>
      <c r="H6756" s="2" t="s">
        <v>21</v>
      </c>
      <c r="I6756" s="2" t="s">
        <v>13377</v>
      </c>
      <c r="J6756" s="3" t="str">
        <f>HYPERLINK("https://www.boe.es/gazeta/dias/1823/05/29/pdfs/GES-1823-52.pdf#page=2","Abrir facsímil")</f>
        <v>Abrir facsímil</v>
      </c>
      <c r="K6756" s="3" t="s">
        <v>23</v>
      </c>
    </row>
    <row r="6757" spans="1:11" ht="42" customHeight="1">
      <c r="A6757" s="2" t="s">
        <v>13356</v>
      </c>
      <c r="B6757" s="2" t="s">
        <v>13356</v>
      </c>
      <c r="C6757" s="2" t="s">
        <v>109</v>
      </c>
      <c r="D6757" s="2" t="s">
        <v>74</v>
      </c>
      <c r="E6757" s="5">
        <v>-27966</v>
      </c>
      <c r="F6757" s="3" t="s">
        <v>675</v>
      </c>
      <c r="G6757" s="3" t="s">
        <v>48</v>
      </c>
      <c r="H6757" s="2" t="s">
        <v>21</v>
      </c>
      <c r="I6757" s="2" t="s">
        <v>13378</v>
      </c>
      <c r="J6757" s="3" t="str">
        <f>HYPERLINK("https://www.boe.es/gazeta/dias/1823/06/06/pdfs/GES-1823-60.pdf#page=3","Abrir facsímil")</f>
        <v>Abrir facsímil</v>
      </c>
      <c r="K6757" s="3" t="s">
        <v>23</v>
      </c>
    </row>
    <row r="6758" spans="1:11" ht="42" customHeight="1">
      <c r="A6758" s="2" t="s">
        <v>13356</v>
      </c>
      <c r="B6758" s="2" t="s">
        <v>13356</v>
      </c>
      <c r="C6758" s="2" t="s">
        <v>17</v>
      </c>
      <c r="D6758" s="2" t="s">
        <v>18</v>
      </c>
      <c r="E6758" s="5">
        <v>-27963</v>
      </c>
      <c r="F6758" s="3" t="s">
        <v>344</v>
      </c>
      <c r="G6758" s="3" t="s">
        <v>27</v>
      </c>
      <c r="H6758" s="2" t="s">
        <v>21</v>
      </c>
      <c r="I6758" s="2" t="s">
        <v>13379</v>
      </c>
      <c r="J6758" s="3" t="str">
        <f>HYPERLINK("https://www.boe.es/gazeta/dias/1823/06/09/pdfs/GES-1823-63.pdf#page=2","Abrir facsímil")</f>
        <v>Abrir facsímil</v>
      </c>
      <c r="K6758" s="3" t="s">
        <v>23</v>
      </c>
    </row>
    <row r="6759" spans="1:11" ht="42" customHeight="1">
      <c r="A6759" s="2" t="s">
        <v>13356</v>
      </c>
      <c r="B6759" s="2" t="s">
        <v>13356</v>
      </c>
      <c r="C6759" s="2" t="s">
        <v>56</v>
      </c>
      <c r="D6759" s="2" t="s">
        <v>57</v>
      </c>
      <c r="E6759" s="5">
        <v>-27942</v>
      </c>
      <c r="F6759" s="3" t="s">
        <v>596</v>
      </c>
      <c r="G6759" s="3" t="s">
        <v>27</v>
      </c>
      <c r="H6759" s="2" t="s">
        <v>21</v>
      </c>
      <c r="I6759" s="2" t="s">
        <v>13380</v>
      </c>
      <c r="J6759" s="3" t="str">
        <f>HYPERLINK("https://www.boe.es/gazeta/dias/1823/06/30/pdfs/GES-1823-80.pdf#page=2","Abrir facsímil")</f>
        <v>Abrir facsímil</v>
      </c>
      <c r="K6759" s="3" t="s">
        <v>23</v>
      </c>
    </row>
    <row r="6760" spans="1:11" ht="42" customHeight="1">
      <c r="A6760" s="2" t="s">
        <v>13356</v>
      </c>
      <c r="B6760" s="2" t="s">
        <v>13356</v>
      </c>
      <c r="C6760" s="2" t="s">
        <v>56</v>
      </c>
      <c r="D6760" s="2" t="s">
        <v>57</v>
      </c>
      <c r="E6760" s="5">
        <v>-27933</v>
      </c>
      <c r="F6760" s="3" t="s">
        <v>1079</v>
      </c>
      <c r="G6760" s="3" t="s">
        <v>48</v>
      </c>
      <c r="H6760" s="2" t="s">
        <v>21</v>
      </c>
      <c r="I6760" s="2" t="s">
        <v>13381</v>
      </c>
      <c r="J6760" s="3" t="str">
        <f>HYPERLINK("https://www.boe.es/gazeta/dias/1823/07/09/pdfs/GES-1823-89.pdf#page=3","Abrir facsímil")</f>
        <v>Abrir facsímil</v>
      </c>
      <c r="K6760" s="3" t="s">
        <v>23</v>
      </c>
    </row>
    <row r="6761" spans="1:11" ht="42" customHeight="1">
      <c r="A6761" s="2" t="s">
        <v>13356</v>
      </c>
      <c r="B6761" s="2" t="s">
        <v>13356</v>
      </c>
      <c r="C6761" s="2" t="s">
        <v>17</v>
      </c>
      <c r="D6761" s="2" t="s">
        <v>18</v>
      </c>
      <c r="E6761" s="5">
        <v>-27932</v>
      </c>
      <c r="F6761" s="3" t="s">
        <v>707</v>
      </c>
      <c r="G6761" s="3" t="s">
        <v>27</v>
      </c>
      <c r="H6761" s="2" t="s">
        <v>21</v>
      </c>
      <c r="I6761" s="2" t="s">
        <v>13382</v>
      </c>
      <c r="J6761" s="3" t="str">
        <f>HYPERLINK("https://www.boe.es/gazeta/dias/1823/07/10/pdfs/GES-1823-90.pdf#page=2","Abrir facsímil")</f>
        <v>Abrir facsímil</v>
      </c>
      <c r="K6761" s="3" t="s">
        <v>23</v>
      </c>
    </row>
    <row r="6762" spans="1:11" ht="42" customHeight="1">
      <c r="A6762" s="2" t="s">
        <v>13356</v>
      </c>
      <c r="B6762" s="2" t="s">
        <v>13356</v>
      </c>
      <c r="C6762" s="2" t="s">
        <v>17</v>
      </c>
      <c r="D6762" s="2" t="s">
        <v>18</v>
      </c>
      <c r="E6762" s="5">
        <v>-27926</v>
      </c>
      <c r="F6762" s="3" t="s">
        <v>2158</v>
      </c>
      <c r="G6762" s="3" t="s">
        <v>39</v>
      </c>
      <c r="H6762" s="2" t="s">
        <v>21</v>
      </c>
      <c r="I6762" s="2" t="s">
        <v>13383</v>
      </c>
      <c r="J6762" s="3" t="str">
        <f>HYPERLINK("https://www.boe.es/gazeta/dias/1823/07/16/pdfs/GES-1823-96.pdf#page=1","Abrir facsímil")</f>
        <v>Abrir facsímil</v>
      </c>
      <c r="K6762" s="3" t="s">
        <v>23</v>
      </c>
    </row>
    <row r="6763" spans="1:11" ht="42" customHeight="1">
      <c r="A6763" s="2" t="s">
        <v>13356</v>
      </c>
      <c r="B6763" s="2" t="s">
        <v>13356</v>
      </c>
      <c r="C6763" s="2" t="s">
        <v>84</v>
      </c>
      <c r="D6763" s="2" t="s">
        <v>74</v>
      </c>
      <c r="E6763" s="5">
        <v>-27921</v>
      </c>
      <c r="F6763" s="3" t="s">
        <v>356</v>
      </c>
      <c r="G6763" s="3" t="s">
        <v>39</v>
      </c>
      <c r="H6763" s="2" t="s">
        <v>21</v>
      </c>
      <c r="I6763" s="2" t="s">
        <v>13384</v>
      </c>
      <c r="J6763" s="3" t="str">
        <f>HYPERLINK("https://www.boe.es/gazeta/dias/1823/07/21/pdfs/GES-1823-102.pdf#page=1","Abrir facsímil")</f>
        <v>Abrir facsímil</v>
      </c>
      <c r="K6763" s="3" t="s">
        <v>23</v>
      </c>
    </row>
    <row r="6764" spans="1:11" ht="42" customHeight="1">
      <c r="A6764" s="2" t="s">
        <v>13356</v>
      </c>
      <c r="B6764" s="2" t="s">
        <v>13356</v>
      </c>
      <c r="C6764" s="2" t="s">
        <v>17</v>
      </c>
      <c r="D6764" s="2" t="s">
        <v>18</v>
      </c>
      <c r="E6764" s="5">
        <v>-27917</v>
      </c>
      <c r="F6764" s="3" t="s">
        <v>363</v>
      </c>
      <c r="G6764" s="3" t="s">
        <v>27</v>
      </c>
      <c r="H6764" s="2" t="s">
        <v>21</v>
      </c>
      <c r="I6764" s="2" t="s">
        <v>13385</v>
      </c>
      <c r="J6764" s="3" t="str">
        <f>HYPERLINK("https://www.boe.es/gazeta/dias/1823/07/25/pdfs/GES-1823-106.pdf#page=2","Abrir facsímil")</f>
        <v>Abrir facsímil</v>
      </c>
      <c r="K6764" s="3" t="s">
        <v>23</v>
      </c>
    </row>
    <row r="6765" spans="1:11" ht="42" customHeight="1">
      <c r="A6765" s="2" t="s">
        <v>13356</v>
      </c>
      <c r="B6765" s="2" t="s">
        <v>13356</v>
      </c>
      <c r="C6765" s="2" t="s">
        <v>56</v>
      </c>
      <c r="D6765" s="2" t="s">
        <v>57</v>
      </c>
      <c r="E6765" s="5">
        <v>-27912</v>
      </c>
      <c r="F6765" s="3" t="s">
        <v>365</v>
      </c>
      <c r="G6765" s="3" t="s">
        <v>366</v>
      </c>
      <c r="H6765" s="2" t="s">
        <v>21</v>
      </c>
      <c r="I6765" s="2" t="s">
        <v>13386</v>
      </c>
      <c r="J6765" s="3" t="str">
        <f>HYPERLINK("https://www.boe.es/gazeta/dias/1823/07/30/pdfs/GES-1823-111.pdf#page=4","Abrir facsímil")</f>
        <v>Abrir facsímil</v>
      </c>
      <c r="K6765" s="3" t="s">
        <v>23</v>
      </c>
    </row>
    <row r="6766" spans="1:11" ht="42" customHeight="1">
      <c r="A6766" s="2" t="s">
        <v>13356</v>
      </c>
      <c r="B6766" s="2" t="s">
        <v>13356</v>
      </c>
      <c r="C6766" s="2" t="s">
        <v>56</v>
      </c>
      <c r="D6766" s="2" t="s">
        <v>57</v>
      </c>
      <c r="E6766" s="5">
        <v>-27911</v>
      </c>
      <c r="F6766" s="3" t="s">
        <v>368</v>
      </c>
      <c r="G6766" s="3" t="s">
        <v>27</v>
      </c>
      <c r="H6766" s="2" t="s">
        <v>21</v>
      </c>
      <c r="I6766" s="2" t="s">
        <v>13387</v>
      </c>
      <c r="J6766" s="3" t="str">
        <f>HYPERLINK("https://www.boe.es/gazeta/dias/1823/07/31/pdfs/GES-1823-112.pdf#page=2","Abrir facsímil")</f>
        <v>Abrir facsímil</v>
      </c>
      <c r="K6766" s="3" t="s">
        <v>23</v>
      </c>
    </row>
    <row r="6767" spans="1:11" ht="42" customHeight="1">
      <c r="A6767" s="2" t="s">
        <v>13356</v>
      </c>
      <c r="B6767" s="2" t="s">
        <v>13356</v>
      </c>
      <c r="C6767" s="2" t="s">
        <v>109</v>
      </c>
      <c r="D6767" s="2" t="s">
        <v>74</v>
      </c>
      <c r="E6767" s="5">
        <v>-27911</v>
      </c>
      <c r="F6767" s="3" t="s">
        <v>368</v>
      </c>
      <c r="G6767" s="3" t="s">
        <v>48</v>
      </c>
      <c r="H6767" s="2" t="s">
        <v>21</v>
      </c>
      <c r="I6767" s="2" t="s">
        <v>13388</v>
      </c>
      <c r="J6767" s="3" t="str">
        <f>HYPERLINK("https://www.boe.es/gazeta/dias/1823/07/31/pdfs/GES-1823-112.pdf#page=3","Abrir facsímil")</f>
        <v>Abrir facsímil</v>
      </c>
      <c r="K6767" s="3" t="s">
        <v>23</v>
      </c>
    </row>
    <row r="6768" spans="1:11" ht="42" customHeight="1">
      <c r="A6768" s="2" t="s">
        <v>13356</v>
      </c>
      <c r="B6768" s="2" t="s">
        <v>13356</v>
      </c>
      <c r="C6768" s="2" t="s">
        <v>109</v>
      </c>
      <c r="D6768" s="2" t="s">
        <v>74</v>
      </c>
      <c r="E6768" s="5">
        <v>-27911</v>
      </c>
      <c r="F6768" s="3" t="s">
        <v>368</v>
      </c>
      <c r="G6768" s="3" t="s">
        <v>20</v>
      </c>
      <c r="H6768" s="2" t="s">
        <v>21</v>
      </c>
      <c r="I6768" s="2" t="s">
        <v>13389</v>
      </c>
      <c r="J6768" s="3" t="str">
        <f>HYPERLINK("https://www.boe.es/gazeta/dias/1823/07/31/pdfs/GES-1823-112.pdf#page=4","Abrir facsímil")</f>
        <v>Abrir facsímil</v>
      </c>
      <c r="K6768" s="3" t="s">
        <v>23</v>
      </c>
    </row>
    <row r="6769" spans="1:11" ht="42" customHeight="1">
      <c r="A6769" s="2" t="s">
        <v>13356</v>
      </c>
      <c r="B6769" s="2" t="s">
        <v>13356</v>
      </c>
      <c r="C6769" s="2" t="s">
        <v>56</v>
      </c>
      <c r="D6769" s="2" t="s">
        <v>57</v>
      </c>
      <c r="E6769" s="5">
        <v>-27910</v>
      </c>
      <c r="F6769" s="3" t="s">
        <v>38</v>
      </c>
      <c r="G6769" s="3" t="s">
        <v>27</v>
      </c>
      <c r="H6769" s="2" t="s">
        <v>21</v>
      </c>
      <c r="I6769" s="2" t="s">
        <v>13390</v>
      </c>
      <c r="J6769" s="3" t="str">
        <f>HYPERLINK("https://www.boe.es/gazeta/dias/1823/08/01/pdfs/GES-1823-113.pdf#page=2","Abrir facsímil")</f>
        <v>Abrir facsímil</v>
      </c>
      <c r="K6769" s="3" t="s">
        <v>23</v>
      </c>
    </row>
    <row r="6770" spans="1:11" ht="42" customHeight="1">
      <c r="A6770" s="2" t="s">
        <v>13356</v>
      </c>
      <c r="B6770" s="2" t="s">
        <v>13356</v>
      </c>
      <c r="C6770" s="2" t="s">
        <v>73</v>
      </c>
      <c r="D6770" s="2" t="s">
        <v>74</v>
      </c>
      <c r="E6770" s="5">
        <v>-27910</v>
      </c>
      <c r="F6770" s="3" t="s">
        <v>38</v>
      </c>
      <c r="G6770" s="3" t="s">
        <v>48</v>
      </c>
      <c r="H6770" s="2" t="s">
        <v>21</v>
      </c>
      <c r="I6770" s="2" t="s">
        <v>13391</v>
      </c>
      <c r="J6770" s="3" t="str">
        <f>HYPERLINK("https://www.boe.es/gazeta/dias/1823/08/01/pdfs/GES-1823-113.pdf#page=3","Abrir facsímil")</f>
        <v>Abrir facsímil</v>
      </c>
      <c r="K6770" s="3" t="s">
        <v>23</v>
      </c>
    </row>
    <row r="6771" spans="1:11" ht="42" customHeight="1">
      <c r="A6771" s="2" t="s">
        <v>13356</v>
      </c>
      <c r="B6771" s="2" t="s">
        <v>13356</v>
      </c>
      <c r="C6771" s="2" t="s">
        <v>109</v>
      </c>
      <c r="D6771" s="2" t="s">
        <v>74</v>
      </c>
      <c r="E6771" s="5">
        <v>-27909</v>
      </c>
      <c r="F6771" s="3" t="s">
        <v>948</v>
      </c>
      <c r="G6771" s="3" t="s">
        <v>39</v>
      </c>
      <c r="H6771" s="2" t="s">
        <v>21</v>
      </c>
      <c r="I6771" s="2" t="s">
        <v>13392</v>
      </c>
      <c r="J6771" s="3" t="str">
        <f>HYPERLINK("https://www.boe.es/gazeta/dias/1823/08/02/pdfs/GES-1823-114.pdf#page=1","Abrir facsímil")</f>
        <v>Abrir facsímil</v>
      </c>
      <c r="K6771" s="3" t="s">
        <v>23</v>
      </c>
    </row>
    <row r="6772" spans="1:11" ht="42" customHeight="1">
      <c r="A6772" s="2" t="s">
        <v>13356</v>
      </c>
      <c r="B6772" s="2" t="s">
        <v>13356</v>
      </c>
      <c r="C6772" s="2" t="s">
        <v>109</v>
      </c>
      <c r="D6772" s="2" t="s">
        <v>74</v>
      </c>
      <c r="E6772" s="5">
        <v>-27909</v>
      </c>
      <c r="F6772" s="3" t="s">
        <v>948</v>
      </c>
      <c r="G6772" s="3" t="s">
        <v>27</v>
      </c>
      <c r="H6772" s="2" t="s">
        <v>21</v>
      </c>
      <c r="I6772" s="2" t="s">
        <v>13393</v>
      </c>
      <c r="J6772" s="3" t="str">
        <f>HYPERLINK("https://www.boe.es/gazeta/dias/1823/08/02/pdfs/GES-1823-114.pdf#page=2","Abrir facsímil")</f>
        <v>Abrir facsímil</v>
      </c>
      <c r="K6772" s="3" t="s">
        <v>23</v>
      </c>
    </row>
    <row r="6773" spans="1:11" ht="42" customHeight="1">
      <c r="A6773" s="2" t="s">
        <v>13356</v>
      </c>
      <c r="B6773" s="2" t="s">
        <v>13356</v>
      </c>
      <c r="C6773" s="2" t="s">
        <v>79</v>
      </c>
      <c r="D6773" s="2" t="s">
        <v>74</v>
      </c>
      <c r="E6773" s="5">
        <v>-27909</v>
      </c>
      <c r="F6773" s="3" t="s">
        <v>948</v>
      </c>
      <c r="G6773" s="3" t="s">
        <v>20</v>
      </c>
      <c r="H6773" s="2" t="s">
        <v>21</v>
      </c>
      <c r="I6773" s="2" t="s">
        <v>13394</v>
      </c>
      <c r="J6773" s="3" t="str">
        <f>HYPERLINK("https://www.boe.es/gazeta/dias/1823/08/02/pdfs/GES-1823-114.pdf#page=4","Abrir facsímil")</f>
        <v>Abrir facsímil</v>
      </c>
      <c r="K6773" s="3" t="s">
        <v>23</v>
      </c>
    </row>
    <row r="6774" spans="1:11" ht="42" customHeight="1">
      <c r="A6774" s="2" t="s">
        <v>13356</v>
      </c>
      <c r="B6774" s="2" t="s">
        <v>13356</v>
      </c>
      <c r="C6774" s="2" t="s">
        <v>56</v>
      </c>
      <c r="D6774" s="2" t="s">
        <v>57</v>
      </c>
      <c r="E6774" s="5">
        <v>-27907</v>
      </c>
      <c r="F6774" s="3" t="s">
        <v>370</v>
      </c>
      <c r="G6774" s="3" t="s">
        <v>27</v>
      </c>
      <c r="H6774" s="2" t="s">
        <v>21</v>
      </c>
      <c r="I6774" s="2" t="s">
        <v>13395</v>
      </c>
      <c r="J6774" s="3" t="str">
        <f>HYPERLINK("https://www.boe.es/gazeta/dias/1823/08/04/pdfs/GES-1823-116.pdf#page=2","Abrir facsímil")</f>
        <v>Abrir facsímil</v>
      </c>
      <c r="K6774" s="3" t="s">
        <v>23</v>
      </c>
    </row>
    <row r="6775" spans="1:11" ht="42" customHeight="1">
      <c r="A6775" s="2" t="s">
        <v>13356</v>
      </c>
      <c r="B6775" s="2" t="s">
        <v>13356</v>
      </c>
      <c r="C6775" s="2" t="s">
        <v>109</v>
      </c>
      <c r="D6775" s="2" t="s">
        <v>74</v>
      </c>
      <c r="E6775" s="5">
        <v>-27905</v>
      </c>
      <c r="F6775" s="3" t="s">
        <v>236</v>
      </c>
      <c r="G6775" s="3" t="s">
        <v>27</v>
      </c>
      <c r="H6775" s="2" t="s">
        <v>21</v>
      </c>
      <c r="I6775" s="2" t="s">
        <v>13396</v>
      </c>
      <c r="J6775" s="3" t="str">
        <f>HYPERLINK("https://www.boe.es/gazeta/dias/1823/08/06/pdfs/GES-1823-119.pdf#page=2","Abrir facsímil")</f>
        <v>Abrir facsímil</v>
      </c>
      <c r="K6775" s="3" t="s">
        <v>23</v>
      </c>
    </row>
    <row r="6776" spans="1:11" ht="42" customHeight="1">
      <c r="A6776" s="2" t="s">
        <v>13356</v>
      </c>
      <c r="B6776" s="2" t="s">
        <v>13356</v>
      </c>
      <c r="C6776" s="2" t="s">
        <v>17</v>
      </c>
      <c r="D6776" s="2" t="s">
        <v>18</v>
      </c>
      <c r="E6776" s="5">
        <v>-27867</v>
      </c>
      <c r="F6776" s="3" t="s">
        <v>569</v>
      </c>
      <c r="G6776" s="3" t="s">
        <v>27</v>
      </c>
      <c r="H6776" s="2" t="s">
        <v>21</v>
      </c>
      <c r="I6776" s="2" t="s">
        <v>13397</v>
      </c>
      <c r="J6776" s="3" t="str">
        <f>HYPERLINK("https://www.boe.es/gazeta/dias/1823/09/13/pdfs/GES-1823-157.pdf#page=2","Abrir facsímil")</f>
        <v>Abrir facsímil</v>
      </c>
      <c r="K6776" s="3" t="s">
        <v>23</v>
      </c>
    </row>
    <row r="6777" spans="1:11" ht="42" customHeight="1">
      <c r="A6777" s="2" t="s">
        <v>13398</v>
      </c>
      <c r="B6777" s="2" t="s">
        <v>13399</v>
      </c>
      <c r="C6777" s="2" t="s">
        <v>17</v>
      </c>
      <c r="D6777" s="2" t="s">
        <v>18</v>
      </c>
      <c r="E6777" s="5">
        <v>-27941</v>
      </c>
      <c r="F6777" s="3" t="s">
        <v>1551</v>
      </c>
      <c r="G6777" s="3" t="s">
        <v>20</v>
      </c>
      <c r="H6777" s="2" t="s">
        <v>28</v>
      </c>
      <c r="I6777" s="2" t="s">
        <v>13400</v>
      </c>
      <c r="J6777" s="3" t="str">
        <f>HYPERLINK("https://www.boe.es/gazeta/dias/1823/07/01/pdfs/GMD-1823-323.pdf#page=4","Abrir facsímil")</f>
        <v>Abrir facsímil</v>
      </c>
      <c r="K6777" s="3" t="s">
        <v>30</v>
      </c>
    </row>
    <row r="6778" spans="1:11" ht="42" customHeight="1">
      <c r="A6778" s="2" t="s">
        <v>13401</v>
      </c>
      <c r="B6778" s="2" t="s">
        <v>13401</v>
      </c>
      <c r="C6778" s="2" t="s">
        <v>109</v>
      </c>
      <c r="D6778" s="2" t="s">
        <v>74</v>
      </c>
      <c r="E6778" s="5">
        <v>-27985</v>
      </c>
      <c r="F6778" s="3" t="s">
        <v>951</v>
      </c>
      <c r="G6778" s="3" t="s">
        <v>59</v>
      </c>
      <c r="H6778" s="2" t="s">
        <v>21</v>
      </c>
      <c r="I6778" s="2" t="s">
        <v>13402</v>
      </c>
      <c r="J6778" s="3" t="str">
        <f>HYPERLINK("https://www.boe.es/gazeta/dias/1823/05/18/pdfs/GES-1823-38.pdf#page=6","Abrir facsímil")</f>
        <v>Abrir facsímil</v>
      </c>
      <c r="K6778" s="3" t="s">
        <v>23</v>
      </c>
    </row>
    <row r="6779" spans="1:11" ht="42" customHeight="1">
      <c r="A6779" s="2" t="s">
        <v>13403</v>
      </c>
      <c r="B6779" s="2" t="s">
        <v>13404</v>
      </c>
      <c r="C6779" s="2" t="s">
        <v>17</v>
      </c>
      <c r="D6779" s="2" t="s">
        <v>18</v>
      </c>
      <c r="E6779" s="5">
        <v>-27996</v>
      </c>
      <c r="F6779" s="3" t="s">
        <v>695</v>
      </c>
      <c r="G6779" s="3" t="s">
        <v>20</v>
      </c>
      <c r="H6779" s="2" t="s">
        <v>21</v>
      </c>
      <c r="I6779" s="2" t="s">
        <v>13405</v>
      </c>
      <c r="J6779" s="3" t="str">
        <f>HYPERLINK("https://www.boe.es/gazeta/dias/1823/05/07/pdfs/GES-1823-27.pdf#page=4","Abrir facsímil")</f>
        <v>Abrir facsímil</v>
      </c>
      <c r="K6779" s="3" t="s">
        <v>23</v>
      </c>
    </row>
    <row r="6780" spans="1:11" ht="42" customHeight="1">
      <c r="A6780" s="2" t="s">
        <v>13406</v>
      </c>
      <c r="B6780" s="2" t="s">
        <v>13407</v>
      </c>
      <c r="C6780" s="2" t="s">
        <v>109</v>
      </c>
      <c r="D6780" s="2" t="s">
        <v>74</v>
      </c>
      <c r="E6780" s="5">
        <v>-27984</v>
      </c>
      <c r="F6780" s="3" t="s">
        <v>335</v>
      </c>
      <c r="G6780" s="3" t="s">
        <v>27</v>
      </c>
      <c r="H6780" s="2" t="s">
        <v>21</v>
      </c>
      <c r="I6780" s="2" t="s">
        <v>13408</v>
      </c>
      <c r="J6780" s="3" t="str">
        <f>HYPERLINK("https://www.boe.es/gazeta/dias/1823/05/19/pdfs/GES-1823-39.pdf#page=2","Abrir facsímil")</f>
        <v>Abrir facsímil</v>
      </c>
      <c r="K6780" s="3" t="s">
        <v>23</v>
      </c>
    </row>
    <row r="6781" spans="1:11" ht="42" customHeight="1">
      <c r="A6781" s="2" t="s">
        <v>13409</v>
      </c>
      <c r="B6781" s="2" t="s">
        <v>13409</v>
      </c>
      <c r="C6781" s="2" t="s">
        <v>79</v>
      </c>
      <c r="D6781" s="2" t="s">
        <v>74</v>
      </c>
      <c r="E6781" s="5">
        <v>-28071</v>
      </c>
      <c r="F6781" s="3" t="s">
        <v>587</v>
      </c>
      <c r="G6781" s="3" t="s">
        <v>27</v>
      </c>
      <c r="H6781" s="2" t="s">
        <v>21</v>
      </c>
      <c r="I6781" s="2" t="s">
        <v>13410</v>
      </c>
      <c r="J6781" s="3" t="str">
        <f>HYPERLINK("https://www.boe.es/gazeta/dias/1823/02/21/pdfs/GMD-1823-55.pdf#page=2","Abrir facsímil")</f>
        <v>Abrir facsímil</v>
      </c>
      <c r="K6781" s="3" t="s">
        <v>23</v>
      </c>
    </row>
    <row r="6782" spans="1:11" ht="42" customHeight="1">
      <c r="A6782" s="2" t="s">
        <v>13409</v>
      </c>
      <c r="B6782" s="2" t="s">
        <v>13409</v>
      </c>
      <c r="C6782" s="2" t="s">
        <v>79</v>
      </c>
      <c r="D6782" s="2" t="s">
        <v>74</v>
      </c>
      <c r="E6782" s="5">
        <v>-28059</v>
      </c>
      <c r="F6782" s="3" t="s">
        <v>149</v>
      </c>
      <c r="G6782" s="3" t="s">
        <v>20</v>
      </c>
      <c r="H6782" s="2" t="s">
        <v>21</v>
      </c>
      <c r="I6782" s="2" t="s">
        <v>13411</v>
      </c>
      <c r="J6782" s="3" t="str">
        <f>HYPERLINK("https://www.boe.es/gazeta/dias/1823/03/05/pdfs/GMD-1823-68.pdf#page=4","Abrir facsímil")</f>
        <v>Abrir facsímil</v>
      </c>
      <c r="K6782" s="3" t="s">
        <v>23</v>
      </c>
    </row>
    <row r="6783" spans="1:11" ht="42" customHeight="1">
      <c r="A6783" s="2" t="s">
        <v>13409</v>
      </c>
      <c r="B6783" s="2" t="s">
        <v>13409</v>
      </c>
      <c r="C6783" s="2" t="s">
        <v>79</v>
      </c>
      <c r="D6783" s="2" t="s">
        <v>74</v>
      </c>
      <c r="E6783" s="5">
        <v>-28057</v>
      </c>
      <c r="F6783" s="3" t="s">
        <v>301</v>
      </c>
      <c r="G6783" s="3" t="s">
        <v>20</v>
      </c>
      <c r="H6783" s="2" t="s">
        <v>21</v>
      </c>
      <c r="I6783" s="2" t="s">
        <v>13412</v>
      </c>
      <c r="J6783" s="3" t="str">
        <f>HYPERLINK("https://www.boe.es/gazeta/dias/1823/03/07/pdfs/GMD-1823-70.pdf#page=4","Abrir facsímil")</f>
        <v>Abrir facsímil</v>
      </c>
      <c r="K6783" s="3" t="s">
        <v>23</v>
      </c>
    </row>
    <row r="6784" spans="1:11" ht="42" customHeight="1">
      <c r="A6784" s="2" t="s">
        <v>13409</v>
      </c>
      <c r="B6784" s="2" t="s">
        <v>13409</v>
      </c>
      <c r="C6784" s="2" t="s">
        <v>17</v>
      </c>
      <c r="D6784" s="2" t="s">
        <v>18</v>
      </c>
      <c r="E6784" s="5">
        <v>-28056</v>
      </c>
      <c r="F6784" s="3" t="s">
        <v>572</v>
      </c>
      <c r="G6784" s="3" t="s">
        <v>34</v>
      </c>
      <c r="H6784" s="2" t="s">
        <v>21</v>
      </c>
      <c r="I6784" s="2" t="s">
        <v>13413</v>
      </c>
      <c r="J6784" s="3" t="str">
        <f>HYPERLINK("https://www.boe.es/gazeta/dias/1823/03/08/pdfs/GMD-1823-71.pdf#page=5","Abrir facsímil")</f>
        <v>Abrir facsímil</v>
      </c>
      <c r="K6784" s="3" t="s">
        <v>23</v>
      </c>
    </row>
    <row r="6785" spans="1:11" ht="42" customHeight="1">
      <c r="A6785" s="2" t="s">
        <v>13414</v>
      </c>
      <c r="B6785" s="2" t="s">
        <v>13415</v>
      </c>
      <c r="C6785" s="2" t="s">
        <v>17</v>
      </c>
      <c r="D6785" s="2" t="s">
        <v>18</v>
      </c>
      <c r="E6785" s="5">
        <v>-27983</v>
      </c>
      <c r="F6785" s="3" t="s">
        <v>337</v>
      </c>
      <c r="G6785" s="3" t="s">
        <v>27</v>
      </c>
      <c r="H6785" s="2" t="s">
        <v>21</v>
      </c>
      <c r="I6785" s="2" t="s">
        <v>13416</v>
      </c>
      <c r="J6785" s="3" t="str">
        <f>HYPERLINK("https://www.boe.es/gazeta/dias/1823/05/20/pdfs/GES-1823-40.pdf#page=2","Abrir facsímil")</f>
        <v>Abrir facsímil</v>
      </c>
      <c r="K6785" s="3" t="s">
        <v>23</v>
      </c>
    </row>
    <row r="6786" spans="1:11" ht="42" customHeight="1">
      <c r="A6786" s="2" t="s">
        <v>13417</v>
      </c>
      <c r="B6786" s="2" t="s">
        <v>13418</v>
      </c>
      <c r="C6786" s="2" t="s">
        <v>17</v>
      </c>
      <c r="D6786" s="2" t="s">
        <v>18</v>
      </c>
      <c r="E6786" s="5">
        <v>-28080</v>
      </c>
      <c r="F6786" s="3" t="s">
        <v>1010</v>
      </c>
      <c r="G6786" s="3" t="s">
        <v>1382</v>
      </c>
      <c r="H6786" s="2" t="s">
        <v>21</v>
      </c>
      <c r="I6786" s="2" t="s">
        <v>13419</v>
      </c>
      <c r="J6786" s="3" t="str">
        <f>HYPERLINK("https://www.boe.es/gazeta/dias/1823/02/12/pdfs/GMD-1823-46.pdf#page=4","Abrir facsímil")</f>
        <v>Abrir facsímil</v>
      </c>
      <c r="K6786" s="3" t="s">
        <v>23</v>
      </c>
    </row>
    <row r="6787" spans="1:11" ht="42" customHeight="1">
      <c r="A6787" s="2" t="s">
        <v>13420</v>
      </c>
      <c r="B6787" s="2" t="s">
        <v>13421</v>
      </c>
      <c r="C6787" s="2" t="s">
        <v>79</v>
      </c>
      <c r="D6787" s="2" t="s">
        <v>74</v>
      </c>
      <c r="E6787" s="5">
        <v>-28064</v>
      </c>
      <c r="F6787" s="3" t="s">
        <v>1190</v>
      </c>
      <c r="G6787" s="3" t="s">
        <v>20</v>
      </c>
      <c r="H6787" s="2" t="s">
        <v>21</v>
      </c>
      <c r="I6787" s="2" t="s">
        <v>13422</v>
      </c>
      <c r="J6787" s="3" t="str">
        <f>HYPERLINK("https://www.boe.es/gazeta/dias/1823/02/28/pdfs/GMD-1823-62.pdf#page=4","Abrir facsímil")</f>
        <v>Abrir facsímil</v>
      </c>
      <c r="K6787" s="3" t="s">
        <v>23</v>
      </c>
    </row>
    <row r="6788" spans="1:11" ht="42" customHeight="1">
      <c r="A6788" s="2" t="s">
        <v>13420</v>
      </c>
      <c r="B6788" s="2" t="s">
        <v>13421</v>
      </c>
      <c r="C6788" s="2" t="s">
        <v>17</v>
      </c>
      <c r="D6788" s="2" t="s">
        <v>18</v>
      </c>
      <c r="E6788" s="5">
        <v>-28037</v>
      </c>
      <c r="F6788" s="3" t="s">
        <v>192</v>
      </c>
      <c r="G6788" s="3" t="s">
        <v>48</v>
      </c>
      <c r="H6788" s="2" t="s">
        <v>21</v>
      </c>
      <c r="I6788" s="2" t="s">
        <v>13423</v>
      </c>
      <c r="J6788" s="3" t="str">
        <f>HYPERLINK("https://www.boe.es/gazeta/dias/1823/03/27/pdfs/GMD-1823-90.pdf#page=3","Abrir facsímil")</f>
        <v>Abrir facsímil</v>
      </c>
      <c r="K6788" s="3" t="s">
        <v>23</v>
      </c>
    </row>
    <row r="6789" spans="1:11" ht="42" customHeight="1">
      <c r="A6789" s="2" t="s">
        <v>13424</v>
      </c>
      <c r="B6789" s="2" t="s">
        <v>13424</v>
      </c>
      <c r="C6789" s="2" t="s">
        <v>79</v>
      </c>
      <c r="D6789" s="2" t="s">
        <v>74</v>
      </c>
      <c r="E6789" s="5">
        <v>-27973</v>
      </c>
      <c r="F6789" s="3" t="s">
        <v>758</v>
      </c>
      <c r="G6789" s="3" t="s">
        <v>20</v>
      </c>
      <c r="H6789" s="2" t="s">
        <v>21</v>
      </c>
      <c r="I6789" s="2" t="s">
        <v>13425</v>
      </c>
      <c r="J6789" s="3" t="str">
        <f>HYPERLINK("https://www.boe.es/gazeta/dias/1823/05/30/pdfs/GES-1823-53.pdf#page=4","Abrir facsímil")</f>
        <v>Abrir facsímil</v>
      </c>
      <c r="K6789" s="3" t="s">
        <v>23</v>
      </c>
    </row>
    <row r="6790" spans="1:11" ht="42" customHeight="1">
      <c r="A6790" s="2" t="s">
        <v>13426</v>
      </c>
      <c r="B6790" s="2" t="s">
        <v>13427</v>
      </c>
      <c r="C6790" s="2" t="s">
        <v>109</v>
      </c>
      <c r="D6790" s="2" t="s">
        <v>74</v>
      </c>
      <c r="E6790" s="5">
        <v>-28060</v>
      </c>
      <c r="F6790" s="3" t="s">
        <v>180</v>
      </c>
      <c r="G6790" s="3" t="s">
        <v>181</v>
      </c>
      <c r="H6790" s="2" t="s">
        <v>21</v>
      </c>
      <c r="I6790" s="2" t="s">
        <v>13428</v>
      </c>
      <c r="J6790" s="3" t="str">
        <f>HYPERLINK("https://www.boe.es/gazeta/dias/1823/03/04/pdfs/GMD-1823-67.pdf#page=6","Abrir facsímil")</f>
        <v>Abrir facsímil</v>
      </c>
      <c r="K6790" s="3" t="s">
        <v>23</v>
      </c>
    </row>
    <row r="6791" spans="1:11" ht="42" customHeight="1">
      <c r="A6791" s="2" t="s">
        <v>13429</v>
      </c>
      <c r="B6791" s="2" t="s">
        <v>13430</v>
      </c>
      <c r="C6791" s="2" t="s">
        <v>17</v>
      </c>
      <c r="D6791" s="2" t="s">
        <v>18</v>
      </c>
      <c r="E6791" s="5">
        <v>-27864</v>
      </c>
      <c r="F6791" s="3" t="s">
        <v>395</v>
      </c>
      <c r="G6791" s="3" t="s">
        <v>20</v>
      </c>
      <c r="H6791" s="2" t="s">
        <v>21</v>
      </c>
      <c r="I6791" s="2" t="s">
        <v>13431</v>
      </c>
      <c r="J6791" s="3" t="str">
        <f>HYPERLINK("https://www.boe.es/gazeta/dias/1823/09/16/pdfs/GMD-1823-783.pdf#page=4","Abrir facsímil")</f>
        <v>Abrir facsímil</v>
      </c>
      <c r="K6791" s="3" t="s">
        <v>23</v>
      </c>
    </row>
    <row r="6792" spans="1:11" ht="42" customHeight="1">
      <c r="A6792" s="2" t="s">
        <v>13432</v>
      </c>
      <c r="B6792" s="2" t="s">
        <v>13433</v>
      </c>
      <c r="C6792" s="2" t="s">
        <v>17</v>
      </c>
      <c r="D6792" s="2" t="s">
        <v>18</v>
      </c>
      <c r="E6792" s="5">
        <v>-28063</v>
      </c>
      <c r="F6792" s="3" t="s">
        <v>2493</v>
      </c>
      <c r="G6792" s="3" t="s">
        <v>20</v>
      </c>
      <c r="H6792" s="2" t="s">
        <v>21</v>
      </c>
      <c r="I6792" s="2" t="s">
        <v>13434</v>
      </c>
      <c r="J6792" s="3" t="str">
        <f>HYPERLINK("https://www.boe.es/gazeta/dias/1823/03/01/pdfs/GMD-1823-63.pdf#page=4","Abrir facsímil")</f>
        <v>Abrir facsímil</v>
      </c>
      <c r="K6792" s="3" t="s">
        <v>23</v>
      </c>
    </row>
    <row r="6793" spans="1:11" ht="42" customHeight="1">
      <c r="A6793" s="2" t="s">
        <v>13435</v>
      </c>
      <c r="B6793" s="2" t="s">
        <v>13435</v>
      </c>
      <c r="C6793" s="2" t="s">
        <v>109</v>
      </c>
      <c r="D6793" s="2" t="s">
        <v>74</v>
      </c>
      <c r="E6793" s="5">
        <v>-27964</v>
      </c>
      <c r="F6793" s="3" t="s">
        <v>58</v>
      </c>
      <c r="G6793" s="3" t="s">
        <v>48</v>
      </c>
      <c r="H6793" s="2" t="s">
        <v>21</v>
      </c>
      <c r="I6793" s="2" t="s">
        <v>13436</v>
      </c>
      <c r="J6793" s="3" t="str">
        <f>HYPERLINK("https://www.boe.es/gazeta/dias/1823/06/08/pdfs/GES-1823-62.pdf#page=3","Abrir facsímil")</f>
        <v>Abrir facsímil</v>
      </c>
      <c r="K6793" s="3" t="s">
        <v>23</v>
      </c>
    </row>
    <row r="6794" spans="1:11" ht="42" customHeight="1">
      <c r="A6794" s="2" t="s">
        <v>13437</v>
      </c>
      <c r="B6794" s="2" t="s">
        <v>13438</v>
      </c>
      <c r="C6794" s="2" t="s">
        <v>17</v>
      </c>
      <c r="D6794" s="2" t="s">
        <v>18</v>
      </c>
      <c r="E6794" s="5">
        <v>-28097</v>
      </c>
      <c r="F6794" s="3" t="s">
        <v>1368</v>
      </c>
      <c r="G6794" s="3" t="s">
        <v>20</v>
      </c>
      <c r="H6794" s="2" t="s">
        <v>21</v>
      </c>
      <c r="I6794" s="2" t="s">
        <v>13439</v>
      </c>
      <c r="J6794" s="3" t="str">
        <f>HYPERLINK("https://www.boe.es/gazeta/dias/1823/01/26/pdfs/GMD-1823-27.pdf#page=4","Abrir facsímil")</f>
        <v>Abrir facsímil</v>
      </c>
      <c r="K6794" s="3" t="s">
        <v>23</v>
      </c>
    </row>
    <row r="6795" spans="1:11" ht="42" customHeight="1">
      <c r="A6795" s="2" t="s">
        <v>13440</v>
      </c>
      <c r="B6795" s="2" t="s">
        <v>13441</v>
      </c>
      <c r="C6795" s="2" t="s">
        <v>17</v>
      </c>
      <c r="D6795" s="2" t="s">
        <v>18</v>
      </c>
      <c r="E6795" s="5">
        <v>-27785</v>
      </c>
      <c r="F6795" s="3" t="s">
        <v>1397</v>
      </c>
      <c r="G6795" s="3" t="s">
        <v>48</v>
      </c>
      <c r="H6795" s="2" t="s">
        <v>21</v>
      </c>
      <c r="I6795" s="2" t="s">
        <v>13442</v>
      </c>
      <c r="J6795" s="3" t="str">
        <f>HYPERLINK("https://www.boe.es/gazeta/dias/1823/12/04/pdfs/GMD-1823-1203.pdf#page=3","Abrir facsímil")</f>
        <v>Abrir facsímil</v>
      </c>
      <c r="K6795" s="3" t="s">
        <v>23</v>
      </c>
    </row>
    <row r="6796" spans="1:11" ht="42" customHeight="1">
      <c r="A6796" s="2" t="s">
        <v>13443</v>
      </c>
      <c r="B6796" s="2" t="s">
        <v>13443</v>
      </c>
      <c r="C6796" s="2" t="s">
        <v>73</v>
      </c>
      <c r="D6796" s="2" t="s">
        <v>74</v>
      </c>
      <c r="E6796" s="5">
        <v>-28120</v>
      </c>
      <c r="F6796" s="3" t="s">
        <v>2772</v>
      </c>
      <c r="G6796" s="3" t="s">
        <v>20</v>
      </c>
      <c r="H6796" s="2" t="s">
        <v>21</v>
      </c>
      <c r="I6796" s="2" t="s">
        <v>13444</v>
      </c>
      <c r="J6796" s="3" t="str">
        <f>HYPERLINK("https://www.boe.es/gazeta/dias/1823/01/03/pdfs/GMD-1823-3.pdf#page=4","Abrir facsímil")</f>
        <v>Abrir facsímil</v>
      </c>
      <c r="K6796" s="3" t="s">
        <v>23</v>
      </c>
    </row>
    <row r="6797" spans="1:11" ht="42" customHeight="1">
      <c r="A6797" s="2" t="s">
        <v>13443</v>
      </c>
      <c r="B6797" s="2" t="s">
        <v>13443</v>
      </c>
      <c r="C6797" s="2" t="s">
        <v>325</v>
      </c>
      <c r="D6797" s="2" t="s">
        <v>74</v>
      </c>
      <c r="E6797" s="5">
        <v>-28068</v>
      </c>
      <c r="F6797" s="3" t="s">
        <v>1325</v>
      </c>
      <c r="G6797" s="3" t="s">
        <v>20</v>
      </c>
      <c r="H6797" s="2" t="s">
        <v>21</v>
      </c>
      <c r="I6797" s="2" t="s">
        <v>13445</v>
      </c>
      <c r="J6797" s="3" t="str">
        <f>HYPERLINK("https://www.boe.es/gazeta/dias/1823/02/24/pdfs/GMD-1823-58.pdf#page=4","Abrir facsímil")</f>
        <v>Abrir facsímil</v>
      </c>
      <c r="K6797" s="3" t="s">
        <v>23</v>
      </c>
    </row>
    <row r="6798" spans="1:11" ht="42" customHeight="1">
      <c r="A6798" s="2" t="s">
        <v>13443</v>
      </c>
      <c r="B6798" s="2" t="s">
        <v>13443</v>
      </c>
      <c r="C6798" s="2" t="s">
        <v>17</v>
      </c>
      <c r="D6798" s="2" t="s">
        <v>18</v>
      </c>
      <c r="E6798" s="5">
        <v>-28049</v>
      </c>
      <c r="F6798" s="3" t="s">
        <v>198</v>
      </c>
      <c r="G6798" s="3" t="s">
        <v>48</v>
      </c>
      <c r="H6798" s="2" t="s">
        <v>21</v>
      </c>
      <c r="I6798" s="2" t="s">
        <v>13446</v>
      </c>
      <c r="J6798" s="3" t="str">
        <f>HYPERLINK("https://www.boe.es/gazeta/dias/1823/03/15/pdfs/GMD-1823-78.pdf#page=3","Abrir facsímil")</f>
        <v>Abrir facsímil</v>
      </c>
      <c r="K6798" s="3" t="s">
        <v>23</v>
      </c>
    </row>
    <row r="6799" spans="1:11" ht="42" customHeight="1">
      <c r="A6799" s="2" t="s">
        <v>13443</v>
      </c>
      <c r="B6799" s="2" t="s">
        <v>13443</v>
      </c>
      <c r="C6799" s="2" t="s">
        <v>17</v>
      </c>
      <c r="D6799" s="2" t="s">
        <v>18</v>
      </c>
      <c r="E6799" s="5">
        <v>-28049</v>
      </c>
      <c r="F6799" s="3" t="s">
        <v>198</v>
      </c>
      <c r="G6799" s="3" t="s">
        <v>20</v>
      </c>
      <c r="H6799" s="2" t="s">
        <v>21</v>
      </c>
      <c r="I6799" s="2" t="s">
        <v>13447</v>
      </c>
      <c r="J6799" s="3" t="str">
        <f>HYPERLINK("https://www.boe.es/gazeta/dias/1823/03/15/pdfs/GMD-1823-78.pdf#page=4","Abrir facsímil")</f>
        <v>Abrir facsímil</v>
      </c>
      <c r="K6799" s="3" t="s">
        <v>23</v>
      </c>
    </row>
    <row r="6800" spans="1:11" ht="42" customHeight="1">
      <c r="A6800" s="2" t="s">
        <v>13443</v>
      </c>
      <c r="B6800" s="2" t="s">
        <v>13443</v>
      </c>
      <c r="C6800" s="2" t="s">
        <v>17</v>
      </c>
      <c r="D6800" s="2" t="s">
        <v>18</v>
      </c>
      <c r="E6800" s="5">
        <v>-27976</v>
      </c>
      <c r="F6800" s="3" t="s">
        <v>1156</v>
      </c>
      <c r="G6800" s="3" t="s">
        <v>7112</v>
      </c>
      <c r="H6800" s="2" t="s">
        <v>21</v>
      </c>
      <c r="I6800" s="2" t="s">
        <v>13448</v>
      </c>
      <c r="J6800" s="3" t="str">
        <f>HYPERLINK("https://www.boe.es/gazeta/dias/1823/05/27/pdfs/GES-1823-49.pdf#page=6","Abrir facsímil")</f>
        <v>Abrir facsímil</v>
      </c>
      <c r="K6800" s="3" t="s">
        <v>23</v>
      </c>
    </row>
    <row r="6801" spans="1:11" ht="42" customHeight="1">
      <c r="A6801" s="2" t="s">
        <v>13443</v>
      </c>
      <c r="B6801" s="2" t="s">
        <v>13443</v>
      </c>
      <c r="C6801" s="2" t="s">
        <v>84</v>
      </c>
      <c r="D6801" s="2" t="s">
        <v>74</v>
      </c>
      <c r="E6801" s="5">
        <v>-27965</v>
      </c>
      <c r="F6801" s="3" t="s">
        <v>208</v>
      </c>
      <c r="G6801" s="3" t="s">
        <v>59</v>
      </c>
      <c r="H6801" s="2" t="s">
        <v>21</v>
      </c>
      <c r="I6801" s="2" t="s">
        <v>13449</v>
      </c>
      <c r="J6801" s="3" t="str">
        <f>HYPERLINK("https://www.boe.es/gazeta/dias/1823/06/07/pdfs/GES-1823-61.pdf#page=6","Abrir facsímil")</f>
        <v>Abrir facsímil</v>
      </c>
      <c r="K6801" s="3" t="s">
        <v>23</v>
      </c>
    </row>
    <row r="6802" spans="1:11" ht="42" customHeight="1">
      <c r="A6802" s="2" t="s">
        <v>13450</v>
      </c>
      <c r="B6802" s="2" t="s">
        <v>13450</v>
      </c>
      <c r="C6802" s="2" t="s">
        <v>56</v>
      </c>
      <c r="D6802" s="2" t="s">
        <v>57</v>
      </c>
      <c r="E6802" s="5">
        <v>-27935</v>
      </c>
      <c r="F6802" s="3" t="s">
        <v>350</v>
      </c>
      <c r="G6802" s="3" t="s">
        <v>20</v>
      </c>
      <c r="H6802" s="2" t="s">
        <v>21</v>
      </c>
      <c r="I6802" s="2" t="s">
        <v>13451</v>
      </c>
      <c r="J6802" s="3" t="str">
        <f>HYPERLINK("https://www.boe.es/gazeta/dias/1823/07/07/pdfs/GES-1823-87.pdf#page=4","Abrir facsímil")</f>
        <v>Abrir facsímil</v>
      </c>
      <c r="K6802" s="3" t="s">
        <v>23</v>
      </c>
    </row>
    <row r="6803" spans="1:11" ht="42" customHeight="1">
      <c r="A6803" s="2" t="s">
        <v>13443</v>
      </c>
      <c r="B6803" s="2" t="s">
        <v>13443</v>
      </c>
      <c r="C6803" s="2" t="s">
        <v>17</v>
      </c>
      <c r="D6803" s="2" t="s">
        <v>18</v>
      </c>
      <c r="E6803" s="5">
        <v>-27787</v>
      </c>
      <c r="F6803" s="3" t="s">
        <v>865</v>
      </c>
      <c r="G6803" s="3" t="s">
        <v>39</v>
      </c>
      <c r="H6803" s="2" t="s">
        <v>21</v>
      </c>
      <c r="I6803" s="2" t="s">
        <v>13452</v>
      </c>
      <c r="J6803" s="3" t="str">
        <f>HYPERLINK("https://www.boe.es/gazeta/dias/1823/12/02/pdfs/GMD-1823-1193.pdf#page=1","Abrir facsímil")</f>
        <v>Abrir facsímil</v>
      </c>
      <c r="K6803" s="3" t="s">
        <v>23</v>
      </c>
    </row>
    <row r="6804" spans="1:11" ht="42" customHeight="1">
      <c r="A6804" s="2" t="s">
        <v>13453</v>
      </c>
      <c r="B6804" s="2" t="s">
        <v>13454</v>
      </c>
      <c r="C6804" s="2" t="s">
        <v>325</v>
      </c>
      <c r="D6804" s="2" t="s">
        <v>74</v>
      </c>
      <c r="E6804" s="5">
        <v>-28058</v>
      </c>
      <c r="F6804" s="3" t="s">
        <v>1282</v>
      </c>
      <c r="G6804" s="3" t="s">
        <v>59</v>
      </c>
      <c r="H6804" s="2" t="s">
        <v>21</v>
      </c>
      <c r="I6804" s="2" t="s">
        <v>13455</v>
      </c>
      <c r="J6804" s="3" t="str">
        <f>HYPERLINK("https://www.boe.es/gazeta/dias/1823/03/06/pdfs/GMD-1823-69.pdf#page=6","Abrir facsímil")</f>
        <v>Abrir facsímil</v>
      </c>
      <c r="K6804" s="3" t="s">
        <v>23</v>
      </c>
    </row>
    <row r="6805" spans="1:11" ht="42" customHeight="1">
      <c r="A6805" s="2" t="s">
        <v>13456</v>
      </c>
      <c r="B6805" s="2" t="s">
        <v>13457</v>
      </c>
      <c r="C6805" s="2" t="s">
        <v>79</v>
      </c>
      <c r="D6805" s="2" t="s">
        <v>74</v>
      </c>
      <c r="E6805" s="5">
        <v>-27841</v>
      </c>
      <c r="F6805" s="3" t="s">
        <v>721</v>
      </c>
      <c r="G6805" s="3" t="s">
        <v>20</v>
      </c>
      <c r="H6805" s="2" t="s">
        <v>21</v>
      </c>
      <c r="I6805" s="2" t="s">
        <v>13458</v>
      </c>
      <c r="J6805" s="3" t="str">
        <f>HYPERLINK("https://www.boe.es/gazeta/dias/1823/10/09/pdfs/GMD-1823-953.pdf#page=4","Abrir facsímil")</f>
        <v>Abrir facsímil</v>
      </c>
      <c r="K6805" s="3" t="s">
        <v>23</v>
      </c>
    </row>
    <row r="6806" spans="1:11" ht="42" customHeight="1">
      <c r="A6806" s="2" t="s">
        <v>13459</v>
      </c>
      <c r="B6806" s="2" t="s">
        <v>13460</v>
      </c>
      <c r="C6806" s="2" t="s">
        <v>56</v>
      </c>
      <c r="D6806" s="2" t="s">
        <v>57</v>
      </c>
      <c r="E6806" s="5">
        <v>-27922</v>
      </c>
      <c r="F6806" s="3" t="s">
        <v>1959</v>
      </c>
      <c r="G6806" s="3" t="s">
        <v>20</v>
      </c>
      <c r="H6806" s="2" t="s">
        <v>21</v>
      </c>
      <c r="I6806" s="2" t="s">
        <v>13461</v>
      </c>
      <c r="J6806" s="3" t="str">
        <f>HYPERLINK("https://www.boe.es/gazeta/dias/1823/07/20/pdfs/GES-1823-101.pdf#page=4","Abrir facsímil")</f>
        <v>Abrir facsímil</v>
      </c>
      <c r="K6806" s="3" t="s">
        <v>23</v>
      </c>
    </row>
    <row r="6807" spans="1:11" ht="42" customHeight="1">
      <c r="A6807" s="2" t="s">
        <v>13462</v>
      </c>
      <c r="B6807" s="2" t="s">
        <v>13463</v>
      </c>
      <c r="C6807" s="2" t="s">
        <v>17</v>
      </c>
      <c r="D6807" s="2" t="s">
        <v>18</v>
      </c>
      <c r="E6807" s="5">
        <v>-27972</v>
      </c>
      <c r="F6807" s="3" t="s">
        <v>1515</v>
      </c>
      <c r="G6807" s="3" t="s">
        <v>27</v>
      </c>
      <c r="H6807" s="2" t="s">
        <v>21</v>
      </c>
      <c r="I6807" s="2" t="s">
        <v>13464</v>
      </c>
      <c r="J6807" s="3" t="str">
        <f>HYPERLINK("https://www.boe.es/gazeta/dias/1823/05/31/pdfs/GMD-1823-33.pdf#page=2","Abrir facsímil")</f>
        <v>Abrir facsímil</v>
      </c>
      <c r="K6807" s="3" t="s">
        <v>23</v>
      </c>
    </row>
    <row r="6808" spans="1:11" ht="42" customHeight="1">
      <c r="A6808" s="2" t="s">
        <v>13465</v>
      </c>
      <c r="B6808" s="2" t="s">
        <v>13466</v>
      </c>
      <c r="C6808" s="2" t="s">
        <v>17</v>
      </c>
      <c r="D6808" s="2" t="s">
        <v>18</v>
      </c>
      <c r="E6808" s="5">
        <v>-27999</v>
      </c>
      <c r="F6808" s="3" t="s">
        <v>97</v>
      </c>
      <c r="G6808" s="3" t="s">
        <v>1257</v>
      </c>
      <c r="H6808" s="2" t="s">
        <v>21</v>
      </c>
      <c r="I6808" s="2" t="s">
        <v>13467</v>
      </c>
      <c r="J6808" s="3" t="str">
        <f>HYPERLINK("https://www.boe.es/gazeta/dias/1823/05/04/pdfs/GES-1823-24.pdf#page=2","Abrir facsímil")</f>
        <v>Abrir facsímil</v>
      </c>
      <c r="K6808" s="3" t="s">
        <v>23</v>
      </c>
    </row>
    <row r="6809" spans="1:11" ht="42" customHeight="1">
      <c r="A6809" s="2" t="s">
        <v>13468</v>
      </c>
      <c r="B6809" s="2" t="s">
        <v>13469</v>
      </c>
      <c r="C6809" s="2" t="s">
        <v>17</v>
      </c>
      <c r="D6809" s="2" t="s">
        <v>18</v>
      </c>
      <c r="E6809" s="5">
        <v>-28021</v>
      </c>
      <c r="F6809" s="3" t="s">
        <v>1054</v>
      </c>
      <c r="G6809" s="3" t="s">
        <v>48</v>
      </c>
      <c r="H6809" s="2" t="s">
        <v>21</v>
      </c>
      <c r="I6809" s="2" t="s">
        <v>13470</v>
      </c>
      <c r="J6809" s="3" t="str">
        <f>HYPERLINK("https://www.boe.es/gazeta/dias/1823/04/12/pdfs/GMD-1823-107.pdf#page=3","Abrir facsímil")</f>
        <v>Abrir facsímil</v>
      </c>
      <c r="K6809" s="3" t="s">
        <v>23</v>
      </c>
    </row>
    <row r="6810" spans="1:11" ht="42" customHeight="1">
      <c r="A6810" s="2" t="s">
        <v>13471</v>
      </c>
      <c r="B6810" s="2" t="s">
        <v>13472</v>
      </c>
      <c r="C6810" s="2" t="s">
        <v>73</v>
      </c>
      <c r="D6810" s="2" t="s">
        <v>74</v>
      </c>
      <c r="E6810" s="5">
        <v>-27988</v>
      </c>
      <c r="F6810" s="3" t="s">
        <v>692</v>
      </c>
      <c r="G6810" s="3" t="s">
        <v>27</v>
      </c>
      <c r="H6810" s="2" t="s">
        <v>21</v>
      </c>
      <c r="I6810" s="2" t="s">
        <v>13473</v>
      </c>
      <c r="J6810" s="3" t="str">
        <f>HYPERLINK("https://www.boe.es/gazeta/dias/1823/05/15/pdfs/GES-1823-35.pdf#page=2","Abrir facsímil")</f>
        <v>Abrir facsímil</v>
      </c>
      <c r="K6810" s="3" t="s">
        <v>23</v>
      </c>
    </row>
    <row r="6811" spans="1:11" ht="42" customHeight="1">
      <c r="A6811" s="2" t="s">
        <v>13474</v>
      </c>
      <c r="B6811" s="2" t="s">
        <v>13475</v>
      </c>
      <c r="C6811" s="2" t="s">
        <v>17</v>
      </c>
      <c r="D6811" s="2" t="s">
        <v>18</v>
      </c>
      <c r="E6811" s="5">
        <v>-28116</v>
      </c>
      <c r="F6811" s="3" t="s">
        <v>134</v>
      </c>
      <c r="G6811" s="3" t="s">
        <v>59</v>
      </c>
      <c r="H6811" s="2" t="s">
        <v>21</v>
      </c>
      <c r="I6811" s="2" t="s">
        <v>13476</v>
      </c>
      <c r="J6811" s="3" t="str">
        <f>HYPERLINK("https://www.boe.es/gazeta/dias/1823/01/07/pdfs/GMD-1823-7.pdf#page=6","Abrir facsímil")</f>
        <v>Abrir facsímil</v>
      </c>
      <c r="K6811" s="3" t="s">
        <v>23</v>
      </c>
    </row>
    <row r="6812" spans="1:11" ht="42" customHeight="1">
      <c r="A6812" s="2" t="s">
        <v>13474</v>
      </c>
      <c r="B6812" s="2" t="s">
        <v>13475</v>
      </c>
      <c r="C6812" s="2" t="s">
        <v>79</v>
      </c>
      <c r="D6812" s="2" t="s">
        <v>74</v>
      </c>
      <c r="E6812" s="5">
        <v>-28073</v>
      </c>
      <c r="F6812" s="3" t="s">
        <v>204</v>
      </c>
      <c r="G6812" s="3" t="s">
        <v>20</v>
      </c>
      <c r="H6812" s="2" t="s">
        <v>21</v>
      </c>
      <c r="I6812" s="2" t="s">
        <v>13477</v>
      </c>
      <c r="J6812" s="3" t="str">
        <f>HYPERLINK("https://www.boe.es/gazeta/dias/1823/02/19/pdfs/GMD-1823-53.pdf#page=4","Abrir facsímil")</f>
        <v>Abrir facsímil</v>
      </c>
      <c r="K6812" s="3" t="s">
        <v>23</v>
      </c>
    </row>
    <row r="6813" spans="1:11" ht="42" customHeight="1">
      <c r="A6813" s="2" t="s">
        <v>13474</v>
      </c>
      <c r="B6813" s="2" t="s">
        <v>13475</v>
      </c>
      <c r="C6813" s="2" t="s">
        <v>79</v>
      </c>
      <c r="D6813" s="2" t="s">
        <v>74</v>
      </c>
      <c r="E6813" s="5">
        <v>-28041</v>
      </c>
      <c r="F6813" s="3" t="s">
        <v>873</v>
      </c>
      <c r="G6813" s="3" t="s">
        <v>366</v>
      </c>
      <c r="H6813" s="2" t="s">
        <v>21</v>
      </c>
      <c r="I6813" s="2" t="s">
        <v>13478</v>
      </c>
      <c r="J6813" s="3" t="str">
        <f>HYPERLINK("https://www.boe.es/gazeta/dias/1823/03/23/pdfs/GMD-1823-86.pdf#page=4","Abrir facsímil")</f>
        <v>Abrir facsímil</v>
      </c>
      <c r="K6813" s="3" t="s">
        <v>23</v>
      </c>
    </row>
    <row r="6814" spans="1:11" ht="42" customHeight="1">
      <c r="A6814" s="2" t="s">
        <v>13474</v>
      </c>
      <c r="B6814" s="2" t="s">
        <v>13475</v>
      </c>
      <c r="C6814" s="2" t="s">
        <v>56</v>
      </c>
      <c r="D6814" s="2" t="s">
        <v>57</v>
      </c>
      <c r="E6814" s="5">
        <v>-27929</v>
      </c>
      <c r="F6814" s="3" t="s">
        <v>598</v>
      </c>
      <c r="G6814" s="3" t="s">
        <v>27</v>
      </c>
      <c r="H6814" s="2" t="s">
        <v>21</v>
      </c>
      <c r="I6814" s="2" t="s">
        <v>13479</v>
      </c>
      <c r="J6814" s="3" t="str">
        <f>HYPERLINK("https://www.boe.es/gazeta/dias/1823/07/13/pdfs/GES-1823-93.pdf#page=2","Abrir facsímil")</f>
        <v>Abrir facsímil</v>
      </c>
      <c r="K6814" s="3" t="s">
        <v>23</v>
      </c>
    </row>
    <row r="6815" spans="1:11" ht="42" customHeight="1">
      <c r="A6815" s="2" t="s">
        <v>13474</v>
      </c>
      <c r="B6815" s="2" t="s">
        <v>13475</v>
      </c>
      <c r="C6815" s="2" t="s">
        <v>56</v>
      </c>
      <c r="D6815" s="2" t="s">
        <v>57</v>
      </c>
      <c r="E6815" s="5">
        <v>-27923</v>
      </c>
      <c r="F6815" s="3" t="s">
        <v>354</v>
      </c>
      <c r="G6815" s="3" t="s">
        <v>39</v>
      </c>
      <c r="H6815" s="2" t="s">
        <v>21</v>
      </c>
      <c r="I6815" s="2" t="s">
        <v>13480</v>
      </c>
      <c r="J6815" s="3" t="str">
        <f>HYPERLINK("https://www.boe.es/gazeta/dias/1823/07/19/pdfs/GES-1823-100.pdf#page=1","Abrir facsímil")</f>
        <v>Abrir facsímil</v>
      </c>
      <c r="K6815" s="3" t="s">
        <v>23</v>
      </c>
    </row>
    <row r="6816" spans="1:11" ht="42" customHeight="1">
      <c r="A6816" s="2" t="s">
        <v>13481</v>
      </c>
      <c r="B6816" s="2" t="s">
        <v>13482</v>
      </c>
      <c r="C6816" s="2" t="s">
        <v>79</v>
      </c>
      <c r="D6816" s="2" t="s">
        <v>74</v>
      </c>
      <c r="E6816" s="5">
        <v>-28031</v>
      </c>
      <c r="F6816" s="3" t="s">
        <v>1211</v>
      </c>
      <c r="G6816" s="3" t="s">
        <v>20</v>
      </c>
      <c r="H6816" s="2" t="s">
        <v>21</v>
      </c>
      <c r="I6816" s="2" t="s">
        <v>13483</v>
      </c>
      <c r="J6816" s="3" t="str">
        <f>HYPERLINK("https://www.boe.es/gazeta/dias/1823/04/02/pdfs/GMD-1823-96.pdf#page=4","Abrir facsímil")</f>
        <v>Abrir facsímil</v>
      </c>
      <c r="K6816" s="3" t="s">
        <v>23</v>
      </c>
    </row>
    <row r="6817" spans="1:11" ht="42" customHeight="1">
      <c r="A6817" s="2" t="s">
        <v>13484</v>
      </c>
      <c r="B6817" s="2" t="s">
        <v>13485</v>
      </c>
      <c r="C6817" s="2" t="s">
        <v>17</v>
      </c>
      <c r="D6817" s="2" t="s">
        <v>18</v>
      </c>
      <c r="E6817" s="5">
        <v>-28081</v>
      </c>
      <c r="F6817" s="3" t="s">
        <v>170</v>
      </c>
      <c r="G6817" s="3" t="s">
        <v>20</v>
      </c>
      <c r="H6817" s="2" t="s">
        <v>21</v>
      </c>
      <c r="I6817" s="2" t="s">
        <v>13486</v>
      </c>
      <c r="J6817" s="3" t="str">
        <f>HYPERLINK("https://www.boe.es/gazeta/dias/1823/02/11/pdfs/GMD-1823-45.pdf#page=4","Abrir facsímil")</f>
        <v>Abrir facsímil</v>
      </c>
      <c r="K6817" s="3" t="s">
        <v>23</v>
      </c>
    </row>
    <row r="6818" spans="1:11" ht="42" customHeight="1">
      <c r="A6818" s="2" t="s">
        <v>13487</v>
      </c>
      <c r="B6818" s="2" t="s">
        <v>13488</v>
      </c>
      <c r="C6818" s="2" t="s">
        <v>79</v>
      </c>
      <c r="D6818" s="2" t="s">
        <v>74</v>
      </c>
      <c r="E6818" s="5">
        <v>-27864</v>
      </c>
      <c r="F6818" s="3" t="s">
        <v>395</v>
      </c>
      <c r="G6818" s="3" t="s">
        <v>20</v>
      </c>
      <c r="H6818" s="2" t="s">
        <v>21</v>
      </c>
      <c r="I6818" s="2" t="s">
        <v>13489</v>
      </c>
      <c r="J6818" s="3" t="str">
        <f>HYPERLINK("https://www.boe.es/gazeta/dias/1823/09/16/pdfs/GMD-1823-783.pdf#page=4","Abrir facsímil")</f>
        <v>Abrir facsímil</v>
      </c>
      <c r="K6818" s="3" t="s">
        <v>23</v>
      </c>
    </row>
    <row r="6819" spans="1:11" ht="42" customHeight="1">
      <c r="A6819" s="2" t="s">
        <v>13490</v>
      </c>
      <c r="B6819" s="2" t="s">
        <v>13491</v>
      </c>
      <c r="C6819" s="2" t="s">
        <v>325</v>
      </c>
      <c r="D6819" s="2" t="s">
        <v>74</v>
      </c>
      <c r="E6819" s="5">
        <v>-28099</v>
      </c>
      <c r="F6819" s="3" t="s">
        <v>1689</v>
      </c>
      <c r="G6819" s="3" t="s">
        <v>20</v>
      </c>
      <c r="H6819" s="2" t="s">
        <v>21</v>
      </c>
      <c r="I6819" s="2" t="s">
        <v>13492</v>
      </c>
      <c r="J6819" s="3" t="str">
        <f>HYPERLINK("https://www.boe.es/gazeta/dias/1823/01/24/pdfs/GMD-1823-25.pdf#page=4","Abrir facsímil")</f>
        <v>Abrir facsímil</v>
      </c>
      <c r="K6819" s="3" t="s">
        <v>23</v>
      </c>
    </row>
    <row r="6820" spans="1:11" ht="42" customHeight="1">
      <c r="A6820" s="2" t="s">
        <v>13493</v>
      </c>
      <c r="B6820" s="2" t="s">
        <v>13494</v>
      </c>
      <c r="C6820" s="2" t="s">
        <v>293</v>
      </c>
      <c r="D6820" s="2" t="s">
        <v>74</v>
      </c>
      <c r="E6820" s="5">
        <v>-28045</v>
      </c>
      <c r="F6820" s="3" t="s">
        <v>245</v>
      </c>
      <c r="G6820" s="3" t="s">
        <v>48</v>
      </c>
      <c r="H6820" s="2" t="s">
        <v>21</v>
      </c>
      <c r="I6820" s="2" t="s">
        <v>13495</v>
      </c>
      <c r="J6820" s="3" t="str">
        <f>HYPERLINK("https://www.boe.es/gazeta/dias/1823/03/19/pdfs/GMD-1823-82.pdf#page=3","Abrir facsímil")</f>
        <v>Abrir facsímil</v>
      </c>
      <c r="K6820" s="3" t="s">
        <v>23</v>
      </c>
    </row>
    <row r="6821" spans="1:11" ht="42" customHeight="1">
      <c r="A6821" s="2" t="s">
        <v>13493</v>
      </c>
      <c r="B6821" s="2" t="s">
        <v>13494</v>
      </c>
      <c r="C6821" s="2" t="s">
        <v>17</v>
      </c>
      <c r="D6821" s="2" t="s">
        <v>18</v>
      </c>
      <c r="E6821" s="5">
        <v>-27799</v>
      </c>
      <c r="F6821" s="3" t="s">
        <v>3388</v>
      </c>
      <c r="G6821" s="3" t="s">
        <v>39</v>
      </c>
      <c r="H6821" s="2" t="s">
        <v>21</v>
      </c>
      <c r="I6821" s="2" t="s">
        <v>13496</v>
      </c>
      <c r="J6821" s="3" t="str">
        <f>HYPERLINK("https://www.boe.es/gazeta/dias/1823/11/20/pdfs/GMD-1823-1143.pdf#page=1","Abrir facsímil")</f>
        <v>Abrir facsímil</v>
      </c>
      <c r="K6821" s="3" t="s">
        <v>23</v>
      </c>
    </row>
    <row r="6822" spans="1:11" ht="42" customHeight="1">
      <c r="A6822" s="2" t="s">
        <v>13497</v>
      </c>
      <c r="B6822" s="2" t="s">
        <v>13498</v>
      </c>
      <c r="C6822" s="2" t="s">
        <v>79</v>
      </c>
      <c r="D6822" s="2" t="s">
        <v>74</v>
      </c>
      <c r="E6822" s="5">
        <v>-27978</v>
      </c>
      <c r="F6822" s="3" t="s">
        <v>342</v>
      </c>
      <c r="G6822" s="3" t="s">
        <v>59</v>
      </c>
      <c r="H6822" s="2" t="s">
        <v>21</v>
      </c>
      <c r="I6822" s="2" t="s">
        <v>13499</v>
      </c>
      <c r="J6822" s="3" t="str">
        <f>HYPERLINK("https://www.boe.es/gazeta/dias/1823/05/25/pdfs/GES-1823-46.pdf#page=6","Abrir facsímil")</f>
        <v>Abrir facsímil</v>
      </c>
      <c r="K6822" s="3" t="s">
        <v>23</v>
      </c>
    </row>
    <row r="6823" spans="1:11" ht="42" customHeight="1">
      <c r="A6823" s="2" t="s">
        <v>13500</v>
      </c>
      <c r="B6823" s="2" t="s">
        <v>13501</v>
      </c>
      <c r="C6823" s="2" t="s">
        <v>17</v>
      </c>
      <c r="D6823" s="2" t="s">
        <v>18</v>
      </c>
      <c r="E6823" s="5">
        <v>-27871</v>
      </c>
      <c r="F6823" s="3" t="s">
        <v>782</v>
      </c>
      <c r="G6823" s="3" t="s">
        <v>48</v>
      </c>
      <c r="H6823" s="2" t="s">
        <v>21</v>
      </c>
      <c r="I6823" s="2" t="s">
        <v>13502</v>
      </c>
      <c r="J6823" s="3" t="str">
        <f>HYPERLINK("https://www.boe.es/gazeta/dias/1823/09/09/pdfs/GES-1823-153.pdf#page=3","Abrir facsímil")</f>
        <v>Abrir facsímil</v>
      </c>
      <c r="K6823" s="3" t="s">
        <v>23</v>
      </c>
    </row>
    <row r="6824" spans="1:11" ht="42" customHeight="1">
      <c r="A6824" s="2" t="s">
        <v>13503</v>
      </c>
      <c r="B6824" s="2" t="s">
        <v>13504</v>
      </c>
      <c r="C6824" s="2" t="s">
        <v>84</v>
      </c>
      <c r="D6824" s="2" t="s">
        <v>74</v>
      </c>
      <c r="E6824" s="5">
        <v>-28064</v>
      </c>
      <c r="F6824" s="3" t="s">
        <v>1190</v>
      </c>
      <c r="G6824" s="3" t="s">
        <v>20</v>
      </c>
      <c r="H6824" s="2" t="s">
        <v>21</v>
      </c>
      <c r="I6824" s="2" t="s">
        <v>13505</v>
      </c>
      <c r="J6824" s="3" t="str">
        <f>HYPERLINK("https://www.boe.es/gazeta/dias/1823/02/28/pdfs/GMD-1823-62.pdf#page=4","Abrir facsímil")</f>
        <v>Abrir facsímil</v>
      </c>
      <c r="K6824" s="3" t="s">
        <v>23</v>
      </c>
    </row>
    <row r="6825" spans="1:11" ht="42" customHeight="1">
      <c r="A6825" s="2" t="s">
        <v>13506</v>
      </c>
      <c r="B6825" s="2" t="s">
        <v>13507</v>
      </c>
      <c r="C6825" s="2" t="s">
        <v>17</v>
      </c>
      <c r="D6825" s="2" t="s">
        <v>18</v>
      </c>
      <c r="E6825" s="5">
        <v>-28114</v>
      </c>
      <c r="F6825" s="3" t="s">
        <v>153</v>
      </c>
      <c r="G6825" s="3" t="s">
        <v>39</v>
      </c>
      <c r="H6825" s="2" t="s">
        <v>21</v>
      </c>
      <c r="I6825" s="2" t="s">
        <v>13508</v>
      </c>
      <c r="J6825" s="3" t="str">
        <f>HYPERLINK("https://www.boe.es/gazeta/dias/1823/01/09/pdfs/GMD-1823-9.pdf#page=1","Abrir facsímil")</f>
        <v>Abrir facsímil</v>
      </c>
      <c r="K6825" s="3" t="s">
        <v>23</v>
      </c>
    </row>
    <row r="6826" spans="1:11" ht="42" customHeight="1">
      <c r="A6826" s="2" t="s">
        <v>13509</v>
      </c>
      <c r="B6826" s="2" t="s">
        <v>13509</v>
      </c>
      <c r="C6826" s="2" t="s">
        <v>293</v>
      </c>
      <c r="D6826" s="2" t="s">
        <v>74</v>
      </c>
      <c r="E6826" s="5">
        <v>-28104</v>
      </c>
      <c r="F6826" s="3" t="s">
        <v>114</v>
      </c>
      <c r="G6826" s="3" t="s">
        <v>59</v>
      </c>
      <c r="H6826" s="2" t="s">
        <v>21</v>
      </c>
      <c r="I6826" s="2" t="s">
        <v>13510</v>
      </c>
      <c r="J6826" s="3" t="str">
        <f>HYPERLINK("https://www.boe.es/gazeta/dias/1823/01/19/pdfs/GMD-1823-19.pdf#page=6","Abrir facsímil")</f>
        <v>Abrir facsímil</v>
      </c>
      <c r="K6826" s="3" t="s">
        <v>23</v>
      </c>
    </row>
    <row r="6827" spans="1:11" ht="42" customHeight="1">
      <c r="A6827" s="2" t="s">
        <v>13511</v>
      </c>
      <c r="B6827" s="2" t="s">
        <v>13511</v>
      </c>
      <c r="C6827" s="2" t="s">
        <v>17</v>
      </c>
      <c r="D6827" s="2" t="s">
        <v>18</v>
      </c>
      <c r="E6827" s="5">
        <v>-27970</v>
      </c>
      <c r="F6827" s="3" t="s">
        <v>1030</v>
      </c>
      <c r="G6827" s="3" t="s">
        <v>59</v>
      </c>
      <c r="H6827" s="2" t="s">
        <v>21</v>
      </c>
      <c r="I6827" s="2" t="s">
        <v>13512</v>
      </c>
      <c r="J6827" s="3" t="str">
        <f>HYPERLINK("https://www.boe.es/gazeta/dias/1823/06/02/pdfs/GES-1823-56.pdf#page=6","Abrir facsímil")</f>
        <v>Abrir facsímil</v>
      </c>
      <c r="K6827" s="3" t="s">
        <v>23</v>
      </c>
    </row>
    <row r="6828" spans="1:11" ht="42" customHeight="1">
      <c r="A6828" s="2" t="s">
        <v>13511</v>
      </c>
      <c r="B6828" s="2" t="s">
        <v>13511</v>
      </c>
      <c r="C6828" s="2" t="s">
        <v>79</v>
      </c>
      <c r="D6828" s="2" t="s">
        <v>74</v>
      </c>
      <c r="E6828" s="5">
        <v>-27961</v>
      </c>
      <c r="F6828" s="3" t="s">
        <v>52</v>
      </c>
      <c r="G6828" s="3" t="s">
        <v>39</v>
      </c>
      <c r="H6828" s="2" t="s">
        <v>21</v>
      </c>
      <c r="I6828" s="2" t="s">
        <v>13513</v>
      </c>
      <c r="J6828" s="3" t="str">
        <f>HYPERLINK("https://www.boe.es/gazeta/dias/1823/06/11/pdfs/GES-1823-65.pdf#page=1","Abrir facsímil")</f>
        <v>Abrir facsímil</v>
      </c>
      <c r="K6828" s="3" t="s">
        <v>23</v>
      </c>
    </row>
    <row r="6829" spans="1:11" ht="42" customHeight="1">
      <c r="A6829" s="2" t="s">
        <v>13511</v>
      </c>
      <c r="B6829" s="2" t="s">
        <v>13511</v>
      </c>
      <c r="C6829" s="2" t="s">
        <v>17</v>
      </c>
      <c r="D6829" s="2" t="s">
        <v>18</v>
      </c>
      <c r="E6829" s="5">
        <v>-27906</v>
      </c>
      <c r="F6829" s="3" t="s">
        <v>241</v>
      </c>
      <c r="G6829" s="3" t="s">
        <v>34</v>
      </c>
      <c r="H6829" s="2" t="s">
        <v>21</v>
      </c>
      <c r="I6829" s="2" t="s">
        <v>13514</v>
      </c>
      <c r="J6829" s="3" t="str">
        <f>HYPERLINK("https://www.boe.es/gazeta/dias/1823/08/05/pdfs/GES-1823-117.pdf#page=5","Abrir facsímil")</f>
        <v>Abrir facsímil</v>
      </c>
      <c r="K6829" s="3" t="s">
        <v>23</v>
      </c>
    </row>
    <row r="6830" spans="1:11" ht="42" customHeight="1">
      <c r="A6830" s="2" t="s">
        <v>13511</v>
      </c>
      <c r="B6830" s="2" t="s">
        <v>13511</v>
      </c>
      <c r="C6830" s="2" t="s">
        <v>17</v>
      </c>
      <c r="D6830" s="2" t="s">
        <v>18</v>
      </c>
      <c r="E6830" s="5">
        <v>-27871</v>
      </c>
      <c r="F6830" s="3" t="s">
        <v>1330</v>
      </c>
      <c r="G6830" s="3" t="s">
        <v>20</v>
      </c>
      <c r="H6830" s="2" t="s">
        <v>21</v>
      </c>
      <c r="I6830" s="2" t="s">
        <v>13515</v>
      </c>
      <c r="J6830" s="3" t="str">
        <f>HYPERLINK("https://www.boe.es/gazeta/dias/1823/09/09/pdfs/GMD-1823-733.pdf#page=4","Abrir facsímil")</f>
        <v>Abrir facsímil</v>
      </c>
      <c r="K6830" s="3" t="s">
        <v>23</v>
      </c>
    </row>
    <row r="6831" spans="1:11" ht="42" customHeight="1">
      <c r="A6831" s="2" t="s">
        <v>13516</v>
      </c>
      <c r="B6831" s="2" t="s">
        <v>13516</v>
      </c>
      <c r="C6831" s="2" t="s">
        <v>17</v>
      </c>
      <c r="D6831" s="2" t="s">
        <v>18</v>
      </c>
      <c r="E6831" s="5">
        <v>-28093</v>
      </c>
      <c r="F6831" s="3" t="s">
        <v>1044</v>
      </c>
      <c r="G6831" s="3" t="s">
        <v>59</v>
      </c>
      <c r="H6831" s="2" t="s">
        <v>21</v>
      </c>
      <c r="I6831" s="2" t="s">
        <v>13517</v>
      </c>
      <c r="J6831" s="3" t="str">
        <f>HYPERLINK("https://www.boe.es/gazeta/dias/1823/01/30/pdfs/GMD-1823-31.pdf#page=6","Abrir facsímil")</f>
        <v>Abrir facsímil</v>
      </c>
      <c r="K6831" s="3" t="s">
        <v>23</v>
      </c>
    </row>
    <row r="6832" spans="1:11" ht="42" customHeight="1">
      <c r="A6832" s="2" t="s">
        <v>13518</v>
      </c>
      <c r="B6832" s="2" t="s">
        <v>13519</v>
      </c>
      <c r="C6832" s="2" t="s">
        <v>56</v>
      </c>
      <c r="D6832" s="2" t="s">
        <v>57</v>
      </c>
      <c r="E6832" s="5">
        <v>-28009</v>
      </c>
      <c r="F6832" s="3" t="s">
        <v>307</v>
      </c>
      <c r="G6832" s="3" t="s">
        <v>27</v>
      </c>
      <c r="H6832" s="2" t="s">
        <v>28</v>
      </c>
      <c r="I6832" s="2" t="s">
        <v>13520</v>
      </c>
      <c r="J6832" s="3" t="str">
        <f>HYPERLINK("https://www.boe.es/gazeta/dias/1823/04/24/pdfs/GES-1823-14.pdf#page=2","Abrir facsímil")</f>
        <v>Abrir facsímil</v>
      </c>
      <c r="K6832" s="3" t="s">
        <v>30</v>
      </c>
    </row>
    <row r="6833" spans="1:11" ht="42" customHeight="1">
      <c r="A6833" s="2" t="s">
        <v>13521</v>
      </c>
      <c r="B6833" s="2" t="s">
        <v>13522</v>
      </c>
      <c r="C6833" s="2" t="s">
        <v>17</v>
      </c>
      <c r="D6833" s="2" t="s">
        <v>18</v>
      </c>
      <c r="E6833" s="5">
        <v>-27984</v>
      </c>
      <c r="F6833" s="3" t="s">
        <v>335</v>
      </c>
      <c r="G6833" s="3" t="s">
        <v>27</v>
      </c>
      <c r="H6833" s="2" t="s">
        <v>21</v>
      </c>
      <c r="I6833" s="2" t="s">
        <v>13523</v>
      </c>
      <c r="J6833" s="3" t="str">
        <f>HYPERLINK("https://www.boe.es/gazeta/dias/1823/05/19/pdfs/GES-1823-39.pdf#page=2","Abrir facsímil")</f>
        <v>Abrir facsímil</v>
      </c>
      <c r="K6833" s="3" t="s">
        <v>23</v>
      </c>
    </row>
    <row r="6834" spans="1:11" ht="42" customHeight="1">
      <c r="A6834" s="2" t="s">
        <v>13524</v>
      </c>
      <c r="B6834" s="2" t="s">
        <v>13525</v>
      </c>
      <c r="C6834" s="2" t="s">
        <v>17</v>
      </c>
      <c r="D6834" s="2" t="s">
        <v>18</v>
      </c>
      <c r="E6834" s="5">
        <v>-27864</v>
      </c>
      <c r="F6834" s="3" t="s">
        <v>395</v>
      </c>
      <c r="G6834" s="3" t="s">
        <v>39</v>
      </c>
      <c r="H6834" s="2" t="s">
        <v>21</v>
      </c>
      <c r="I6834" s="2" t="s">
        <v>13526</v>
      </c>
      <c r="J6834" s="3" t="str">
        <f>HYPERLINK("https://www.boe.es/gazeta/dias/1823/09/16/pdfs/GMD-1823-783.pdf#page=1","Abrir facsímil")</f>
        <v>Abrir facsímil</v>
      </c>
      <c r="K6834" s="3" t="s">
        <v>23</v>
      </c>
    </row>
    <row r="6835" spans="1:11" ht="42" customHeight="1">
      <c r="A6835" s="2" t="s">
        <v>13527</v>
      </c>
      <c r="B6835" s="2" t="s">
        <v>13528</v>
      </c>
      <c r="C6835" s="2" t="s">
        <v>17</v>
      </c>
      <c r="D6835" s="2" t="s">
        <v>18</v>
      </c>
      <c r="E6835" s="5">
        <v>-27993</v>
      </c>
      <c r="F6835" s="3" t="s">
        <v>977</v>
      </c>
      <c r="G6835" s="3" t="s">
        <v>978</v>
      </c>
      <c r="H6835" s="2" t="s">
        <v>21</v>
      </c>
      <c r="I6835" s="2" t="s">
        <v>13529</v>
      </c>
      <c r="J6835" s="3" t="str">
        <f>HYPERLINK("https://www.boe.es/gazeta/dias/1823/05/10/pdfs/GES-1823-30.pdf#page=4","Abrir facsímil")</f>
        <v>Abrir facsímil</v>
      </c>
      <c r="K6835" s="3" t="s">
        <v>23</v>
      </c>
    </row>
    <row r="6836" spans="1:11" ht="42" customHeight="1">
      <c r="A6836" s="2" t="s">
        <v>13530</v>
      </c>
      <c r="B6836" s="2" t="s">
        <v>13530</v>
      </c>
      <c r="C6836" s="2" t="s">
        <v>17</v>
      </c>
      <c r="D6836" s="2" t="s">
        <v>18</v>
      </c>
      <c r="E6836" s="5">
        <v>-27883</v>
      </c>
      <c r="F6836" s="3" t="s">
        <v>2318</v>
      </c>
      <c r="G6836" s="3" t="s">
        <v>48</v>
      </c>
      <c r="H6836" s="2" t="s">
        <v>21</v>
      </c>
      <c r="I6836" s="2" t="s">
        <v>13531</v>
      </c>
      <c r="J6836" s="3" t="str">
        <f>HYPERLINK("https://www.boe.es/gazeta/dias/1823/08/28/pdfs/GMD-1823-663.pdf#page=3","Abrir facsímil")</f>
        <v>Abrir facsímil</v>
      </c>
      <c r="K6836" s="3" t="s">
        <v>23</v>
      </c>
    </row>
    <row r="6837" spans="1:11" ht="42" customHeight="1">
      <c r="A6837" s="2" t="s">
        <v>13532</v>
      </c>
      <c r="B6837" s="2" t="s">
        <v>13533</v>
      </c>
      <c r="C6837" s="2" t="s">
        <v>73</v>
      </c>
      <c r="D6837" s="2" t="s">
        <v>74</v>
      </c>
      <c r="E6837" s="5">
        <v>-28044</v>
      </c>
      <c r="F6837" s="3" t="s">
        <v>1930</v>
      </c>
      <c r="G6837" s="3" t="s">
        <v>20</v>
      </c>
      <c r="H6837" s="2" t="s">
        <v>21</v>
      </c>
      <c r="I6837" s="2" t="s">
        <v>13534</v>
      </c>
      <c r="J6837" s="3" t="str">
        <f>HYPERLINK("https://www.boe.es/gazeta/dias/1823/03/20/pdfs/GMD-1823-83.pdf#page=4","Abrir facsímil")</f>
        <v>Abrir facsímil</v>
      </c>
      <c r="K6837" s="3" t="s">
        <v>23</v>
      </c>
    </row>
    <row r="6838" spans="1:11" ht="42" customHeight="1">
      <c r="A6838" s="2" t="s">
        <v>13535</v>
      </c>
      <c r="B6838" s="2" t="s">
        <v>13536</v>
      </c>
      <c r="C6838" s="2" t="s">
        <v>109</v>
      </c>
      <c r="D6838" s="2" t="s">
        <v>74</v>
      </c>
      <c r="E6838" s="5">
        <v>-28115</v>
      </c>
      <c r="F6838" s="3" t="s">
        <v>579</v>
      </c>
      <c r="G6838" s="3" t="s">
        <v>1458</v>
      </c>
      <c r="H6838" s="2" t="s">
        <v>21</v>
      </c>
      <c r="I6838" s="2" t="s">
        <v>13537</v>
      </c>
      <c r="J6838" s="3" t="str">
        <f>HYPERLINK("https://www.boe.es/gazeta/dias/1823/01/08/pdfs/GMD-1823-8.pdf#page=4","Abrir facsímil")</f>
        <v>Abrir facsímil</v>
      </c>
      <c r="K6838" s="3" t="s">
        <v>23</v>
      </c>
    </row>
    <row r="6839" spans="1:11" ht="42" customHeight="1">
      <c r="A6839" s="2" t="s">
        <v>13538</v>
      </c>
      <c r="B6839" s="2" t="s">
        <v>13539</v>
      </c>
      <c r="C6839" s="2" t="s">
        <v>17</v>
      </c>
      <c r="D6839" s="2" t="s">
        <v>18</v>
      </c>
      <c r="E6839" s="5">
        <v>-28004</v>
      </c>
      <c r="F6839" s="3" t="s">
        <v>313</v>
      </c>
      <c r="G6839" s="3" t="s">
        <v>48</v>
      </c>
      <c r="H6839" s="2" t="s">
        <v>21</v>
      </c>
      <c r="I6839" s="2" t="s">
        <v>13540</v>
      </c>
      <c r="J6839" s="3" t="str">
        <f>HYPERLINK("https://www.boe.es/gazeta/dias/1823/04/29/pdfs/GMD-1823-72.pdf#page=3","Abrir facsímil")</f>
        <v>Abrir facsímil</v>
      </c>
      <c r="K6839" s="3" t="s">
        <v>23</v>
      </c>
    </row>
    <row r="6840" spans="1:11" ht="42" customHeight="1">
      <c r="A6840" s="2" t="s">
        <v>13541</v>
      </c>
      <c r="B6840" s="2" t="s">
        <v>13542</v>
      </c>
      <c r="C6840" s="2" t="s">
        <v>17</v>
      </c>
      <c r="D6840" s="2" t="s">
        <v>18</v>
      </c>
      <c r="E6840" s="5">
        <v>-27797</v>
      </c>
      <c r="F6840" s="3" t="s">
        <v>3409</v>
      </c>
      <c r="G6840" s="3" t="s">
        <v>20</v>
      </c>
      <c r="H6840" s="2" t="s">
        <v>21</v>
      </c>
      <c r="I6840" s="2" t="s">
        <v>13543</v>
      </c>
      <c r="J6840" s="3" t="str">
        <f>HYPERLINK("https://www.boe.es/gazeta/dias/1823/11/22/pdfs/GMD-1823-1153.pdf#page=4","Abrir facsímil")</f>
        <v>Abrir facsímil</v>
      </c>
      <c r="K6840" s="3" t="s">
        <v>23</v>
      </c>
    </row>
    <row r="6841" spans="1:11" ht="42" customHeight="1">
      <c r="A6841" s="2" t="s">
        <v>13544</v>
      </c>
      <c r="B6841" s="2" t="s">
        <v>13544</v>
      </c>
      <c r="C6841" s="2" t="s">
        <v>17</v>
      </c>
      <c r="D6841" s="2" t="s">
        <v>18</v>
      </c>
      <c r="E6841" s="5">
        <v>-27888</v>
      </c>
      <c r="F6841" s="3" t="s">
        <v>232</v>
      </c>
      <c r="G6841" s="3" t="s">
        <v>1576</v>
      </c>
      <c r="H6841" s="2" t="s">
        <v>21</v>
      </c>
      <c r="I6841" s="2" t="s">
        <v>13545</v>
      </c>
      <c r="J6841" s="3" t="str">
        <f>HYPERLINK("https://www.boe.es/gazeta/dias/1823/08/23/pdfs/GMD-1823-633.pdf#page=4","Abrir facsímil")</f>
        <v>Abrir facsímil</v>
      </c>
      <c r="K6841" s="3" t="s">
        <v>23</v>
      </c>
    </row>
    <row r="6842" spans="1:11" ht="42" customHeight="1">
      <c r="A6842" s="2" t="s">
        <v>13546</v>
      </c>
      <c r="B6842" s="2" t="s">
        <v>13547</v>
      </c>
      <c r="C6842" s="2" t="s">
        <v>17</v>
      </c>
      <c r="D6842" s="2" t="s">
        <v>18</v>
      </c>
      <c r="E6842" s="5">
        <v>-28077</v>
      </c>
      <c r="F6842" s="3" t="s">
        <v>536</v>
      </c>
      <c r="G6842" s="3" t="s">
        <v>59</v>
      </c>
      <c r="H6842" s="2" t="s">
        <v>21</v>
      </c>
      <c r="I6842" s="2" t="s">
        <v>13548</v>
      </c>
      <c r="J6842" s="3" t="str">
        <f>HYPERLINK("https://www.boe.es/gazeta/dias/1823/02/15/pdfs/GMD-1823-49.pdf#page=6","Abrir facsímil")</f>
        <v>Abrir facsímil</v>
      </c>
      <c r="K6842" s="3" t="s">
        <v>23</v>
      </c>
    </row>
    <row r="6843" spans="1:11" ht="42" customHeight="1">
      <c r="A6843" s="2" t="s">
        <v>13549</v>
      </c>
      <c r="B6843" s="2" t="s">
        <v>13549</v>
      </c>
      <c r="C6843" s="2" t="s">
        <v>17</v>
      </c>
      <c r="D6843" s="2" t="s">
        <v>18</v>
      </c>
      <c r="E6843" s="5">
        <v>-27867</v>
      </c>
      <c r="F6843" s="3" t="s">
        <v>1585</v>
      </c>
      <c r="G6843" s="3" t="s">
        <v>48</v>
      </c>
      <c r="H6843" s="2" t="s">
        <v>21</v>
      </c>
      <c r="I6843" s="2" t="s">
        <v>13550</v>
      </c>
      <c r="J6843" s="3" t="str">
        <f>HYPERLINK("https://www.boe.es/gazeta/dias/1823/09/13/pdfs/GMD-1823-773.pdf#page=3","Abrir facsímil")</f>
        <v>Abrir facsímil</v>
      </c>
      <c r="K6843" s="3" t="s">
        <v>23</v>
      </c>
    </row>
    <row r="6844" spans="1:11" ht="42" customHeight="1">
      <c r="A6844" s="2" t="s">
        <v>13549</v>
      </c>
      <c r="B6844" s="2" t="s">
        <v>13549</v>
      </c>
      <c r="C6844" s="2" t="s">
        <v>17</v>
      </c>
      <c r="D6844" s="2" t="s">
        <v>18</v>
      </c>
      <c r="E6844" s="5">
        <v>-27841</v>
      </c>
      <c r="F6844" s="3" t="s">
        <v>721</v>
      </c>
      <c r="G6844" s="3" t="s">
        <v>39</v>
      </c>
      <c r="H6844" s="2" t="s">
        <v>21</v>
      </c>
      <c r="I6844" s="2" t="s">
        <v>13551</v>
      </c>
      <c r="J6844" s="3" t="str">
        <f>HYPERLINK("https://www.boe.es/gazeta/dias/1823/10/09/pdfs/GMD-1823-953.pdf#page=1","Abrir facsímil")</f>
        <v>Abrir facsímil</v>
      </c>
      <c r="K6844" s="3" t="s">
        <v>23</v>
      </c>
    </row>
    <row r="6845" spans="1:11" ht="42" customHeight="1">
      <c r="A6845" s="2" t="s">
        <v>13549</v>
      </c>
      <c r="B6845" s="2" t="s">
        <v>13549</v>
      </c>
      <c r="C6845" s="2" t="s">
        <v>17</v>
      </c>
      <c r="D6845" s="2" t="s">
        <v>18</v>
      </c>
      <c r="E6845" s="5">
        <v>-27815</v>
      </c>
      <c r="F6845" s="3" t="s">
        <v>1266</v>
      </c>
      <c r="G6845" s="3" t="s">
        <v>20</v>
      </c>
      <c r="H6845" s="2" t="s">
        <v>21</v>
      </c>
      <c r="I6845" s="2" t="s">
        <v>13552</v>
      </c>
      <c r="J6845" s="3" t="str">
        <f>HYPERLINK("https://www.boe.es/gazeta/dias/1823/11/04/pdfs/GMD-1823-1063.pdf#page=4","Abrir facsímil")</f>
        <v>Abrir facsímil</v>
      </c>
      <c r="K6845" s="3" t="s">
        <v>23</v>
      </c>
    </row>
    <row r="6846" spans="1:11" ht="42" customHeight="1">
      <c r="A6846" s="2" t="s">
        <v>13553</v>
      </c>
      <c r="B6846" s="2" t="s">
        <v>13553</v>
      </c>
      <c r="C6846" s="2" t="s">
        <v>17</v>
      </c>
      <c r="D6846" s="2" t="s">
        <v>18</v>
      </c>
      <c r="E6846" s="5">
        <v>-28004</v>
      </c>
      <c r="F6846" s="3" t="s">
        <v>313</v>
      </c>
      <c r="G6846" s="3" t="s">
        <v>48</v>
      </c>
      <c r="H6846" s="2" t="s">
        <v>21</v>
      </c>
      <c r="I6846" s="2" t="s">
        <v>13554</v>
      </c>
      <c r="J6846" s="3" t="str">
        <f>HYPERLINK("https://www.boe.es/gazeta/dias/1823/04/29/pdfs/GMD-1823-72.pdf#page=3","Abrir facsímil")</f>
        <v>Abrir facsímil</v>
      </c>
      <c r="K6846" s="3" t="s">
        <v>23</v>
      </c>
    </row>
    <row r="6847" spans="1:11" ht="42" customHeight="1">
      <c r="A6847" s="2" t="s">
        <v>13555</v>
      </c>
      <c r="B6847" s="2" t="s">
        <v>13556</v>
      </c>
      <c r="C6847" s="2" t="s">
        <v>17</v>
      </c>
      <c r="D6847" s="2" t="s">
        <v>18</v>
      </c>
      <c r="E6847" s="5">
        <v>-27906</v>
      </c>
      <c r="F6847" s="3" t="s">
        <v>241</v>
      </c>
      <c r="G6847" s="3" t="s">
        <v>20</v>
      </c>
      <c r="H6847" s="2" t="s">
        <v>21</v>
      </c>
      <c r="I6847" s="2" t="s">
        <v>13557</v>
      </c>
      <c r="J6847" s="3" t="str">
        <f>HYPERLINK("https://www.boe.es/gazeta/dias/1823/08/05/pdfs/GES-1823-117.pdf#page=4","Abrir facsímil")</f>
        <v>Abrir facsímil</v>
      </c>
      <c r="K6847" s="3" t="s">
        <v>23</v>
      </c>
    </row>
    <row r="6848" spans="1:11" ht="42" customHeight="1">
      <c r="A6848" s="2" t="s">
        <v>13558</v>
      </c>
      <c r="B6848" s="2" t="s">
        <v>13558</v>
      </c>
      <c r="C6848" s="2" t="s">
        <v>73</v>
      </c>
      <c r="D6848" s="2" t="s">
        <v>74</v>
      </c>
      <c r="E6848" s="5">
        <v>-27868</v>
      </c>
      <c r="F6848" s="3" t="s">
        <v>2166</v>
      </c>
      <c r="G6848" s="3" t="s">
        <v>27</v>
      </c>
      <c r="H6848" s="2" t="s">
        <v>21</v>
      </c>
      <c r="I6848" s="2" t="s">
        <v>13559</v>
      </c>
      <c r="J6848" s="3" t="str">
        <f>HYPERLINK("https://www.boe.es/gazeta/dias/1823/09/12/pdfs/GES-1823-156.pdf#page=2","Abrir facsímil")</f>
        <v>Abrir facsímil</v>
      </c>
      <c r="K6848" s="3" t="s">
        <v>23</v>
      </c>
    </row>
    <row r="6849" spans="1:11" ht="42" customHeight="1">
      <c r="A6849" s="2" t="s">
        <v>13560</v>
      </c>
      <c r="B6849" s="2" t="s">
        <v>13560</v>
      </c>
      <c r="C6849" s="2" t="s">
        <v>73</v>
      </c>
      <c r="D6849" s="2" t="s">
        <v>74</v>
      </c>
      <c r="E6849" s="5">
        <v>-27942</v>
      </c>
      <c r="F6849" s="3" t="s">
        <v>596</v>
      </c>
      <c r="G6849" s="3" t="s">
        <v>27</v>
      </c>
      <c r="H6849" s="2" t="s">
        <v>21</v>
      </c>
      <c r="I6849" s="2" t="s">
        <v>13561</v>
      </c>
      <c r="J6849" s="3" t="str">
        <f>HYPERLINK("https://www.boe.es/gazeta/dias/1823/06/30/pdfs/GES-1823-80.pdf#page=2","Abrir facsímil")</f>
        <v>Abrir facsímil</v>
      </c>
      <c r="K6849" s="3" t="s">
        <v>23</v>
      </c>
    </row>
    <row r="6850" spans="1:11" ht="42" customHeight="1">
      <c r="A6850" s="2" t="s">
        <v>13562</v>
      </c>
      <c r="B6850" s="2" t="s">
        <v>13563</v>
      </c>
      <c r="C6850" s="2" t="s">
        <v>109</v>
      </c>
      <c r="D6850" s="2" t="s">
        <v>74</v>
      </c>
      <c r="E6850" s="5">
        <v>-27986</v>
      </c>
      <c r="F6850" s="3" t="s">
        <v>75</v>
      </c>
      <c r="G6850" s="3" t="s">
        <v>59</v>
      </c>
      <c r="H6850" s="2" t="s">
        <v>21</v>
      </c>
      <c r="I6850" s="2" t="s">
        <v>13564</v>
      </c>
      <c r="J6850" s="3" t="str">
        <f>HYPERLINK("https://www.boe.es/gazeta/dias/1823/05/17/pdfs/GES-1823-37.pdf#page=6","Abrir facsímil")</f>
        <v>Abrir facsímil</v>
      </c>
      <c r="K6850" s="3" t="s">
        <v>23</v>
      </c>
    </row>
    <row r="6851" spans="1:11" ht="42" customHeight="1">
      <c r="A6851" s="2" t="s">
        <v>13565</v>
      </c>
      <c r="B6851" s="2" t="s">
        <v>13566</v>
      </c>
      <c r="C6851" s="2" t="s">
        <v>17</v>
      </c>
      <c r="D6851" s="2" t="s">
        <v>18</v>
      </c>
      <c r="E6851" s="5">
        <v>-27860</v>
      </c>
      <c r="F6851" s="3" t="s">
        <v>998</v>
      </c>
      <c r="G6851" s="3" t="s">
        <v>59</v>
      </c>
      <c r="H6851" s="2" t="s">
        <v>21</v>
      </c>
      <c r="I6851" s="2" t="s">
        <v>13567</v>
      </c>
      <c r="J6851" s="3" t="str">
        <f>HYPERLINK("https://www.boe.es/gazeta/dias/1823/09/20/pdfs/GMD-1823-813.pdf#page=6","Abrir facsímil")</f>
        <v>Abrir facsímil</v>
      </c>
      <c r="K6851" s="3" t="s">
        <v>23</v>
      </c>
    </row>
    <row r="6852" spans="1:11" ht="42" customHeight="1">
      <c r="A6852" s="2" t="s">
        <v>13568</v>
      </c>
      <c r="B6852" s="2" t="s">
        <v>13568</v>
      </c>
      <c r="C6852" s="2" t="s">
        <v>17</v>
      </c>
      <c r="D6852" s="2" t="s">
        <v>18</v>
      </c>
      <c r="E6852" s="5">
        <v>-27977</v>
      </c>
      <c r="F6852" s="3" t="s">
        <v>1489</v>
      </c>
      <c r="G6852" s="3" t="s">
        <v>1490</v>
      </c>
      <c r="H6852" s="2" t="s">
        <v>21</v>
      </c>
      <c r="I6852" s="2" t="s">
        <v>13569</v>
      </c>
      <c r="J6852" s="3" t="str">
        <f>HYPERLINK("https://www.boe.es/gazeta/dias/1823/05/26/pdfs/GES-1823-47.pdf#page=6","Abrir facsímil")</f>
        <v>Abrir facsímil</v>
      </c>
      <c r="K6852" s="3" t="s">
        <v>23</v>
      </c>
    </row>
    <row r="6853" spans="1:11" ht="42" customHeight="1">
      <c r="A6853" s="2" t="s">
        <v>13570</v>
      </c>
      <c r="B6853" s="2" t="s">
        <v>13570</v>
      </c>
      <c r="C6853" s="2" t="s">
        <v>17</v>
      </c>
      <c r="D6853" s="2" t="s">
        <v>18</v>
      </c>
      <c r="E6853" s="5">
        <v>-27832</v>
      </c>
      <c r="F6853" s="3" t="s">
        <v>1815</v>
      </c>
      <c r="G6853" s="3" t="s">
        <v>27</v>
      </c>
      <c r="H6853" s="2" t="s">
        <v>21</v>
      </c>
      <c r="I6853" s="2" t="s">
        <v>13571</v>
      </c>
      <c r="J6853" s="3" t="str">
        <f>HYPERLINK("https://www.boe.es/gazeta/dias/1823/10/18/pdfs/GMD-1823-993.pdf#page=2","Abrir facsímil")</f>
        <v>Abrir facsímil</v>
      </c>
      <c r="K6853" s="3" t="s">
        <v>23</v>
      </c>
    </row>
    <row r="6854" spans="1:11" ht="42" customHeight="1">
      <c r="A6854" s="2" t="s">
        <v>13570</v>
      </c>
      <c r="B6854" s="2" t="s">
        <v>13570</v>
      </c>
      <c r="C6854" s="2" t="s">
        <v>17</v>
      </c>
      <c r="D6854" s="2" t="s">
        <v>18</v>
      </c>
      <c r="E6854" s="5">
        <v>-27778</v>
      </c>
      <c r="F6854" s="3" t="s">
        <v>1343</v>
      </c>
      <c r="G6854" s="3" t="s">
        <v>27</v>
      </c>
      <c r="H6854" s="2" t="s">
        <v>21</v>
      </c>
      <c r="I6854" s="2" t="s">
        <v>13572</v>
      </c>
      <c r="J6854" s="3" t="str">
        <f>HYPERLINK("https://www.boe.es/gazeta/dias/1823/12/11/pdfs/GMD-1823-1233.pdf#page=2","Abrir facsímil")</f>
        <v>Abrir facsímil</v>
      </c>
      <c r="K6854" s="3" t="s">
        <v>23</v>
      </c>
    </row>
    <row r="6855" spans="1:11" ht="42" customHeight="1">
      <c r="A6855" s="2" t="s">
        <v>13573</v>
      </c>
      <c r="B6855" s="2" t="s">
        <v>13574</v>
      </c>
      <c r="C6855" s="2" t="s">
        <v>17</v>
      </c>
      <c r="D6855" s="2" t="s">
        <v>18</v>
      </c>
      <c r="E6855" s="5">
        <v>-27857</v>
      </c>
      <c r="F6855" s="3" t="s">
        <v>378</v>
      </c>
      <c r="G6855" s="3" t="s">
        <v>59</v>
      </c>
      <c r="H6855" s="2" t="s">
        <v>21</v>
      </c>
      <c r="I6855" s="2" t="s">
        <v>13575</v>
      </c>
      <c r="J6855" s="3" t="str">
        <f>HYPERLINK("https://www.boe.es/gazeta/dias/1823/09/23/pdfs/GMD-1823-833.pdf#page=6","Abrir facsímil")</f>
        <v>Abrir facsímil</v>
      </c>
      <c r="K6855" s="3" t="s">
        <v>23</v>
      </c>
    </row>
    <row r="6856" spans="1:11" ht="42" customHeight="1">
      <c r="A6856" s="2" t="s">
        <v>13576</v>
      </c>
      <c r="B6856" s="2" t="s">
        <v>13576</v>
      </c>
      <c r="C6856" s="2" t="s">
        <v>17</v>
      </c>
      <c r="D6856" s="2" t="s">
        <v>18</v>
      </c>
      <c r="E6856" s="5">
        <v>-28045</v>
      </c>
      <c r="F6856" s="3" t="s">
        <v>245</v>
      </c>
      <c r="G6856" s="3" t="s">
        <v>48</v>
      </c>
      <c r="H6856" s="2" t="s">
        <v>21</v>
      </c>
      <c r="I6856" s="2" t="s">
        <v>13577</v>
      </c>
      <c r="J6856" s="3" t="str">
        <f>HYPERLINK("https://www.boe.es/gazeta/dias/1823/03/19/pdfs/GMD-1823-82.pdf#page=3","Abrir facsímil")</f>
        <v>Abrir facsímil</v>
      </c>
      <c r="K6856" s="3" t="s">
        <v>23</v>
      </c>
    </row>
    <row r="6857" spans="1:11" ht="42" customHeight="1">
      <c r="A6857" s="2" t="s">
        <v>13578</v>
      </c>
      <c r="B6857" s="2" t="s">
        <v>13579</v>
      </c>
      <c r="C6857" s="2" t="s">
        <v>109</v>
      </c>
      <c r="D6857" s="2" t="s">
        <v>74</v>
      </c>
      <c r="E6857" s="5">
        <v>-28044</v>
      </c>
      <c r="F6857" s="3" t="s">
        <v>1930</v>
      </c>
      <c r="G6857" s="3" t="s">
        <v>27</v>
      </c>
      <c r="H6857" s="2" t="s">
        <v>21</v>
      </c>
      <c r="I6857" s="2" t="s">
        <v>13580</v>
      </c>
      <c r="J6857" s="3" t="str">
        <f>HYPERLINK("https://www.boe.es/gazeta/dias/1823/03/20/pdfs/GMD-1823-83.pdf#page=2","Abrir facsímil")</f>
        <v>Abrir facsímil</v>
      </c>
      <c r="K6857" s="3" t="s">
        <v>23</v>
      </c>
    </row>
    <row r="6858" spans="1:11" ht="42" customHeight="1">
      <c r="A6858" s="2" t="s">
        <v>13581</v>
      </c>
      <c r="B6858" s="2" t="s">
        <v>13582</v>
      </c>
      <c r="C6858" s="2" t="s">
        <v>17</v>
      </c>
      <c r="D6858" s="2" t="s">
        <v>18</v>
      </c>
      <c r="E6858" s="5">
        <v>-28017</v>
      </c>
      <c r="F6858" s="3" t="s">
        <v>2912</v>
      </c>
      <c r="G6858" s="3" t="s">
        <v>20</v>
      </c>
      <c r="H6858" s="2" t="s">
        <v>21</v>
      </c>
      <c r="I6858" s="2" t="s">
        <v>13583</v>
      </c>
      <c r="J6858" s="3" t="str">
        <f>HYPERLINK("https://www.boe.es/gazeta/dias/1823/04/16/pdfs/GES-1823-6.pdf#page=4","Abrir facsímil")</f>
        <v>Abrir facsímil</v>
      </c>
      <c r="K6858" s="3" t="s">
        <v>23</v>
      </c>
    </row>
    <row r="6859" spans="1:11" ht="42" customHeight="1">
      <c r="A6859" s="2" t="s">
        <v>13584</v>
      </c>
      <c r="B6859" s="2" t="s">
        <v>13585</v>
      </c>
      <c r="C6859" s="2" t="s">
        <v>17</v>
      </c>
      <c r="D6859" s="2" t="s">
        <v>18</v>
      </c>
      <c r="E6859" s="5">
        <v>-28015</v>
      </c>
      <c r="F6859" s="3" t="s">
        <v>985</v>
      </c>
      <c r="G6859" s="3" t="s">
        <v>20</v>
      </c>
      <c r="H6859" s="2" t="s">
        <v>21</v>
      </c>
      <c r="I6859" s="2" t="s">
        <v>13586</v>
      </c>
      <c r="J6859" s="3" t="str">
        <f>HYPERLINK("https://www.boe.es/gazeta/dias/1823/04/18/pdfs/GES-1823-8.pdf#page=4","Abrir facsímil")</f>
        <v>Abrir facsímil</v>
      </c>
      <c r="K6859" s="3" t="s">
        <v>23</v>
      </c>
    </row>
    <row r="6860" spans="1:11" ht="42" customHeight="1">
      <c r="A6860" s="2" t="s">
        <v>13587</v>
      </c>
      <c r="B6860" s="2" t="s">
        <v>13588</v>
      </c>
      <c r="C6860" s="2" t="s">
        <v>79</v>
      </c>
      <c r="D6860" s="2" t="s">
        <v>74</v>
      </c>
      <c r="E6860" s="5">
        <v>-27984</v>
      </c>
      <c r="F6860" s="3" t="s">
        <v>335</v>
      </c>
      <c r="G6860" s="3" t="s">
        <v>27</v>
      </c>
      <c r="H6860" s="2" t="s">
        <v>21</v>
      </c>
      <c r="I6860" s="2" t="s">
        <v>13589</v>
      </c>
      <c r="J6860" s="3" t="str">
        <f>HYPERLINK("https://www.boe.es/gazeta/dias/1823/05/19/pdfs/GES-1823-39.pdf#page=2","Abrir facsímil")</f>
        <v>Abrir facsímil</v>
      </c>
      <c r="K6860" s="3" t="s">
        <v>23</v>
      </c>
    </row>
    <row r="6861" spans="1:11" ht="42" customHeight="1">
      <c r="A6861" s="2" t="s">
        <v>13590</v>
      </c>
      <c r="B6861" s="2" t="s">
        <v>13590</v>
      </c>
      <c r="C6861" s="2" t="s">
        <v>17</v>
      </c>
      <c r="D6861" s="2" t="s">
        <v>18</v>
      </c>
      <c r="E6861" s="5">
        <v>-28049</v>
      </c>
      <c r="F6861" s="3" t="s">
        <v>198</v>
      </c>
      <c r="G6861" s="3" t="s">
        <v>20</v>
      </c>
      <c r="H6861" s="2" t="s">
        <v>21</v>
      </c>
      <c r="I6861" s="2" t="s">
        <v>13591</v>
      </c>
      <c r="J6861" s="3" t="str">
        <f>HYPERLINK("https://www.boe.es/gazeta/dias/1823/03/15/pdfs/GMD-1823-78.pdf#page=4","Abrir facsímil")</f>
        <v>Abrir facsímil</v>
      </c>
      <c r="K6861" s="3" t="s">
        <v>23</v>
      </c>
    </row>
    <row r="6862" spans="1:11" ht="42" customHeight="1">
      <c r="A6862" s="2" t="s">
        <v>13592</v>
      </c>
      <c r="B6862" s="2" t="s">
        <v>13592</v>
      </c>
      <c r="C6862" s="2" t="s">
        <v>79</v>
      </c>
      <c r="D6862" s="2" t="s">
        <v>74</v>
      </c>
      <c r="E6862" s="5">
        <v>-27960</v>
      </c>
      <c r="F6862" s="3" t="s">
        <v>682</v>
      </c>
      <c r="G6862" s="3" t="s">
        <v>48</v>
      </c>
      <c r="H6862" s="2" t="s">
        <v>21</v>
      </c>
      <c r="I6862" s="2" t="s">
        <v>13593</v>
      </c>
      <c r="J6862" s="3" t="str">
        <f>HYPERLINK("https://www.boe.es/gazeta/dias/1823/06/12/pdfs/GMD-1823-123.pdf#page=3","Abrir facsímil")</f>
        <v>Abrir facsímil</v>
      </c>
      <c r="K6862" s="3" t="s">
        <v>23</v>
      </c>
    </row>
    <row r="6863" spans="1:11" ht="42" customHeight="1">
      <c r="A6863" s="2" t="s">
        <v>13594</v>
      </c>
      <c r="B6863" s="2" t="s">
        <v>13594</v>
      </c>
      <c r="C6863" s="2" t="s">
        <v>325</v>
      </c>
      <c r="D6863" s="2" t="s">
        <v>74</v>
      </c>
      <c r="E6863" s="5">
        <v>-27797</v>
      </c>
      <c r="F6863" s="3" t="s">
        <v>3409</v>
      </c>
      <c r="G6863" s="3" t="s">
        <v>39</v>
      </c>
      <c r="H6863" s="2" t="s">
        <v>21</v>
      </c>
      <c r="I6863" s="2" t="s">
        <v>13595</v>
      </c>
      <c r="J6863" s="3" t="str">
        <f>HYPERLINK("https://www.boe.es/gazeta/dias/1823/11/22/pdfs/GMD-1823-1153.pdf#page=1","Abrir facsímil")</f>
        <v>Abrir facsímil</v>
      </c>
      <c r="K6863" s="3" t="s">
        <v>23</v>
      </c>
    </row>
    <row r="6864" spans="1:11" ht="42" customHeight="1">
      <c r="A6864" s="2" t="s">
        <v>13596</v>
      </c>
      <c r="B6864" s="2" t="s">
        <v>13597</v>
      </c>
      <c r="C6864" s="2" t="s">
        <v>79</v>
      </c>
      <c r="D6864" s="2" t="s">
        <v>74</v>
      </c>
      <c r="E6864" s="5">
        <v>-27762</v>
      </c>
      <c r="F6864" s="3" t="s">
        <v>1614</v>
      </c>
      <c r="G6864" s="3" t="s">
        <v>20</v>
      </c>
      <c r="H6864" s="2" t="s">
        <v>21</v>
      </c>
      <c r="I6864" s="2" t="s">
        <v>13598</v>
      </c>
      <c r="J6864" s="3" t="str">
        <f>HYPERLINK("https://www.boe.es/gazeta/dias/1823/12/27/pdfs/GMD-1823-1303.pdf#page=4","Abrir facsímil")</f>
        <v>Abrir facsímil</v>
      </c>
      <c r="K6864" s="3" t="s">
        <v>23</v>
      </c>
    </row>
    <row r="6865" spans="1:11" ht="42" customHeight="1">
      <c r="A6865" s="2" t="s">
        <v>13599</v>
      </c>
      <c r="B6865" s="2" t="s">
        <v>13599</v>
      </c>
      <c r="C6865" s="2" t="s">
        <v>79</v>
      </c>
      <c r="D6865" s="2" t="s">
        <v>74</v>
      </c>
      <c r="E6865" s="5">
        <v>-28095</v>
      </c>
      <c r="F6865" s="3" t="s">
        <v>1770</v>
      </c>
      <c r="G6865" s="3" t="s">
        <v>39</v>
      </c>
      <c r="H6865" s="2" t="s">
        <v>21</v>
      </c>
      <c r="I6865" s="2" t="s">
        <v>13600</v>
      </c>
      <c r="J6865" s="3" t="str">
        <f>HYPERLINK("https://www.boe.es/gazeta/dias/1823/01/28/pdfs/GMD-1823-29.pdf#page=1","Abrir facsímil")</f>
        <v>Abrir facsímil</v>
      </c>
      <c r="K6865" s="3" t="s">
        <v>23</v>
      </c>
    </row>
    <row r="6866" spans="1:11" ht="42" customHeight="1">
      <c r="A6866" s="2" t="s">
        <v>13599</v>
      </c>
      <c r="B6866" s="2" t="s">
        <v>13599</v>
      </c>
      <c r="C6866" s="2" t="s">
        <v>293</v>
      </c>
      <c r="D6866" s="2" t="s">
        <v>74</v>
      </c>
      <c r="E6866" s="5">
        <v>-28088</v>
      </c>
      <c r="F6866" s="3" t="s">
        <v>542</v>
      </c>
      <c r="G6866" s="3" t="s">
        <v>39</v>
      </c>
      <c r="H6866" s="2" t="s">
        <v>21</v>
      </c>
      <c r="I6866" s="2" t="s">
        <v>13601</v>
      </c>
      <c r="J6866" s="3" t="str">
        <f>HYPERLINK("https://www.boe.es/gazeta/dias/1823/02/04/pdfs/GMD-1823-37.pdf#page=1","Abrir facsímil")</f>
        <v>Abrir facsímil</v>
      </c>
      <c r="K6866" s="3" t="s">
        <v>23</v>
      </c>
    </row>
    <row r="6867" spans="1:11" ht="42" customHeight="1">
      <c r="A6867" s="2" t="s">
        <v>13599</v>
      </c>
      <c r="B6867" s="2" t="s">
        <v>13599</v>
      </c>
      <c r="C6867" s="2" t="s">
        <v>79</v>
      </c>
      <c r="D6867" s="2" t="s">
        <v>74</v>
      </c>
      <c r="E6867" s="5">
        <v>-28025</v>
      </c>
      <c r="F6867" s="3" t="s">
        <v>477</v>
      </c>
      <c r="G6867" s="3" t="s">
        <v>39</v>
      </c>
      <c r="H6867" s="2" t="s">
        <v>21</v>
      </c>
      <c r="I6867" s="2" t="s">
        <v>13602</v>
      </c>
      <c r="J6867" s="3" t="str">
        <f>HYPERLINK("https://www.boe.es/gazeta/dias/1823/04/08/pdfs/GMD-1823-103.pdf#page=1","Abrir facsímil")</f>
        <v>Abrir facsímil</v>
      </c>
      <c r="K6867" s="3" t="s">
        <v>23</v>
      </c>
    </row>
    <row r="6868" spans="1:11" ht="42" customHeight="1">
      <c r="A6868" s="2" t="s">
        <v>13603</v>
      </c>
      <c r="B6868" s="2" t="s">
        <v>13603</v>
      </c>
      <c r="C6868" s="2" t="s">
        <v>56</v>
      </c>
      <c r="D6868" s="2" t="s">
        <v>57</v>
      </c>
      <c r="E6868" s="5">
        <v>-28092</v>
      </c>
      <c r="F6868" s="3" t="s">
        <v>105</v>
      </c>
      <c r="G6868" s="3" t="s">
        <v>48</v>
      </c>
      <c r="H6868" s="2" t="s">
        <v>21</v>
      </c>
      <c r="I6868" s="2" t="s">
        <v>13604</v>
      </c>
      <c r="J6868" s="3" t="str">
        <f>HYPERLINK("https://www.boe.es/gazeta/dias/1823/01/31/pdfs/GMD-1823-32.pdf#page=3","Abrir facsímil")</f>
        <v>Abrir facsímil</v>
      </c>
      <c r="K6868" s="3" t="s">
        <v>23</v>
      </c>
    </row>
    <row r="6869" spans="1:11" ht="42" customHeight="1">
      <c r="A6869" s="2" t="s">
        <v>13605</v>
      </c>
      <c r="B6869" s="2" t="s">
        <v>13605</v>
      </c>
      <c r="C6869" s="2" t="s">
        <v>109</v>
      </c>
      <c r="D6869" s="2" t="s">
        <v>74</v>
      </c>
      <c r="E6869" s="5">
        <v>-28091</v>
      </c>
      <c r="F6869" s="3" t="s">
        <v>1047</v>
      </c>
      <c r="G6869" s="3" t="s">
        <v>48</v>
      </c>
      <c r="H6869" s="2" t="s">
        <v>21</v>
      </c>
      <c r="I6869" s="2" t="s">
        <v>13606</v>
      </c>
      <c r="J6869" s="3" t="str">
        <f>HYPERLINK("https://www.boe.es/gazeta/dias/1823/02/01/pdfs/GMD-1823-34.pdf#page=3","Abrir facsímil")</f>
        <v>Abrir facsímil</v>
      </c>
      <c r="K6869" s="3" t="s">
        <v>23</v>
      </c>
    </row>
    <row r="6870" spans="1:11" ht="42" customHeight="1">
      <c r="A6870" s="2" t="s">
        <v>13605</v>
      </c>
      <c r="B6870" s="2" t="s">
        <v>13605</v>
      </c>
      <c r="C6870" s="2" t="s">
        <v>56</v>
      </c>
      <c r="D6870" s="2" t="s">
        <v>57</v>
      </c>
      <c r="E6870" s="5">
        <v>-28090</v>
      </c>
      <c r="F6870" s="3" t="s">
        <v>174</v>
      </c>
      <c r="G6870" s="3" t="s">
        <v>1103</v>
      </c>
      <c r="H6870" s="2" t="s">
        <v>21</v>
      </c>
      <c r="I6870" s="2" t="s">
        <v>13607</v>
      </c>
      <c r="J6870" s="3" t="str">
        <f>HYPERLINK("https://www.boe.es/gazeta/dias/1823/02/02/pdfs/GMD-1823-35.pdf#page=2","Abrir facsímil")</f>
        <v>Abrir facsímil</v>
      </c>
      <c r="K6870" s="3" t="s">
        <v>23</v>
      </c>
    </row>
    <row r="6871" spans="1:11" ht="42" customHeight="1">
      <c r="A6871" s="2" t="s">
        <v>13605</v>
      </c>
      <c r="B6871" s="2" t="s">
        <v>13605</v>
      </c>
      <c r="C6871" s="2" t="s">
        <v>79</v>
      </c>
      <c r="D6871" s="2" t="s">
        <v>74</v>
      </c>
      <c r="E6871" s="5">
        <v>-28090</v>
      </c>
      <c r="F6871" s="3" t="s">
        <v>174</v>
      </c>
      <c r="G6871" s="3" t="s">
        <v>48</v>
      </c>
      <c r="H6871" s="2" t="s">
        <v>21</v>
      </c>
      <c r="I6871" s="2" t="s">
        <v>13608</v>
      </c>
      <c r="J6871" s="3" t="str">
        <f>HYPERLINK("https://www.boe.es/gazeta/dias/1823/02/02/pdfs/GMD-1823-35.pdf#page=3","Abrir facsímil")</f>
        <v>Abrir facsímil</v>
      </c>
      <c r="K6871" s="3" t="s">
        <v>23</v>
      </c>
    </row>
    <row r="6872" spans="1:11" ht="42" customHeight="1">
      <c r="A6872" s="2" t="s">
        <v>13603</v>
      </c>
      <c r="B6872" s="2" t="s">
        <v>13603</v>
      </c>
      <c r="C6872" s="2" t="s">
        <v>73</v>
      </c>
      <c r="D6872" s="2" t="s">
        <v>74</v>
      </c>
      <c r="E6872" s="5">
        <v>-28059</v>
      </c>
      <c r="F6872" s="3" t="s">
        <v>149</v>
      </c>
      <c r="G6872" s="3" t="s">
        <v>48</v>
      </c>
      <c r="H6872" s="2" t="s">
        <v>21</v>
      </c>
      <c r="I6872" s="2" t="s">
        <v>13609</v>
      </c>
      <c r="J6872" s="3" t="str">
        <f>HYPERLINK("https://www.boe.es/gazeta/dias/1823/03/05/pdfs/GMD-1823-68.pdf#page=3","Abrir facsímil")</f>
        <v>Abrir facsímil</v>
      </c>
      <c r="K6872" s="3" t="s">
        <v>23</v>
      </c>
    </row>
    <row r="6873" spans="1:11" ht="42" customHeight="1">
      <c r="A6873" s="2" t="s">
        <v>13605</v>
      </c>
      <c r="B6873" s="2" t="s">
        <v>13605</v>
      </c>
      <c r="C6873" s="2" t="s">
        <v>79</v>
      </c>
      <c r="D6873" s="2" t="s">
        <v>74</v>
      </c>
      <c r="E6873" s="5">
        <v>-27992</v>
      </c>
      <c r="F6873" s="3" t="s">
        <v>565</v>
      </c>
      <c r="G6873" s="3" t="s">
        <v>48</v>
      </c>
      <c r="H6873" s="2" t="s">
        <v>21</v>
      </c>
      <c r="I6873" s="2" t="s">
        <v>13610</v>
      </c>
      <c r="J6873" s="3" t="str">
        <f>HYPERLINK("https://www.boe.es/gazeta/dias/1823/05/11/pdfs/GES-1823-31.pdf#page=3","Abrir facsímil")</f>
        <v>Abrir facsímil</v>
      </c>
      <c r="K6873" s="3" t="s">
        <v>23</v>
      </c>
    </row>
    <row r="6874" spans="1:11" ht="42" customHeight="1">
      <c r="A6874" s="2" t="s">
        <v>13605</v>
      </c>
      <c r="B6874" s="2" t="s">
        <v>13605</v>
      </c>
      <c r="C6874" s="2" t="s">
        <v>79</v>
      </c>
      <c r="D6874" s="2" t="s">
        <v>74</v>
      </c>
      <c r="E6874" s="5">
        <v>-27986</v>
      </c>
      <c r="F6874" s="3" t="s">
        <v>607</v>
      </c>
      <c r="G6874" s="3" t="s">
        <v>48</v>
      </c>
      <c r="H6874" s="2" t="s">
        <v>21</v>
      </c>
      <c r="I6874" s="2" t="s">
        <v>13611</v>
      </c>
      <c r="J6874" s="3" t="str">
        <f>HYPERLINK("https://www.boe.es/gazeta/dias/1823/05/17/pdfs/GMD-1823-152.pdf#page=3","Abrir facsímil")</f>
        <v>Abrir facsímil</v>
      </c>
      <c r="K6874" s="3" t="s">
        <v>23</v>
      </c>
    </row>
    <row r="6875" spans="1:11" ht="42" customHeight="1">
      <c r="A6875" s="2" t="s">
        <v>13612</v>
      </c>
      <c r="B6875" s="2" t="s">
        <v>13613</v>
      </c>
      <c r="C6875" s="2" t="s">
        <v>17</v>
      </c>
      <c r="D6875" s="2" t="s">
        <v>18</v>
      </c>
      <c r="E6875" s="5">
        <v>-28024</v>
      </c>
      <c r="F6875" s="3" t="s">
        <v>1659</v>
      </c>
      <c r="G6875" s="3" t="s">
        <v>48</v>
      </c>
      <c r="H6875" s="2" t="s">
        <v>21</v>
      </c>
      <c r="I6875" s="2" t="s">
        <v>13614</v>
      </c>
      <c r="J6875" s="3" t="str">
        <f>HYPERLINK("https://www.boe.es/gazeta/dias/1823/04/09/pdfs/GMD-1823-104.pdf#page=3","Abrir facsímil")</f>
        <v>Abrir facsímil</v>
      </c>
      <c r="K6875" s="3" t="s">
        <v>23</v>
      </c>
    </row>
    <row r="6876" spans="1:11" ht="42" customHeight="1">
      <c r="A6876" s="2" t="s">
        <v>13612</v>
      </c>
      <c r="B6876" s="2" t="s">
        <v>13613</v>
      </c>
      <c r="C6876" s="2" t="s">
        <v>17</v>
      </c>
      <c r="D6876" s="2" t="s">
        <v>117</v>
      </c>
      <c r="E6876" s="5">
        <v>-27975</v>
      </c>
      <c r="F6876" s="3" t="s">
        <v>1922</v>
      </c>
      <c r="G6876" s="3" t="s">
        <v>39</v>
      </c>
      <c r="H6876" s="2" t="s">
        <v>21</v>
      </c>
      <c r="I6876" s="2" t="s">
        <v>13615</v>
      </c>
      <c r="J6876" s="3" t="str">
        <f>HYPERLINK("https://www.boe.es/gazeta/dias/1823/05/28/pdfs/GES-1823-51E.pdf#page=1","Abrir facsímil")</f>
        <v>Abrir facsímil</v>
      </c>
      <c r="K6876" s="3" t="s">
        <v>23</v>
      </c>
    </row>
    <row r="6877" spans="1:11" ht="42" customHeight="1">
      <c r="A6877" s="2" t="s">
        <v>13616</v>
      </c>
      <c r="B6877" s="2" t="s">
        <v>13617</v>
      </c>
      <c r="C6877" s="2" t="s">
        <v>17</v>
      </c>
      <c r="D6877" s="2" t="s">
        <v>18</v>
      </c>
      <c r="E6877" s="5">
        <v>-27981</v>
      </c>
      <c r="F6877" s="3" t="s">
        <v>1521</v>
      </c>
      <c r="G6877" s="3" t="s">
        <v>20</v>
      </c>
      <c r="H6877" s="2" t="s">
        <v>21</v>
      </c>
      <c r="I6877" s="2" t="s">
        <v>13618</v>
      </c>
      <c r="J6877" s="3" t="str">
        <f>HYPERLINK("https://www.boe.es/gazeta/dias/1823/05/22/pdfs/GES-1823-43.pdf#page=4","Abrir facsímil")</f>
        <v>Abrir facsímil</v>
      </c>
      <c r="K6877" s="3" t="s">
        <v>23</v>
      </c>
    </row>
    <row r="6878" spans="1:11" ht="42" customHeight="1">
      <c r="A6878" s="2" t="s">
        <v>13619</v>
      </c>
      <c r="B6878" s="2" t="s">
        <v>13620</v>
      </c>
      <c r="C6878" s="2" t="s">
        <v>17</v>
      </c>
      <c r="D6878" s="2" t="s">
        <v>18</v>
      </c>
      <c r="E6878" s="5">
        <v>-28113</v>
      </c>
      <c r="F6878" s="3" t="s">
        <v>2088</v>
      </c>
      <c r="G6878" s="3" t="s">
        <v>7708</v>
      </c>
      <c r="H6878" s="2" t="s">
        <v>21</v>
      </c>
      <c r="I6878" s="2" t="s">
        <v>13621</v>
      </c>
      <c r="J6878" s="3" t="str">
        <f>HYPERLINK("https://www.boe.es/gazeta/dias/1823/01/10/pdfs/GMD-1823-10.pdf#page=8","Abrir facsímil")</f>
        <v>Abrir facsímil</v>
      </c>
      <c r="K6878" s="3" t="s">
        <v>23</v>
      </c>
    </row>
    <row r="6879" spans="1:11" ht="42" customHeight="1">
      <c r="A6879" s="2" t="s">
        <v>13622</v>
      </c>
      <c r="B6879" s="2" t="s">
        <v>13623</v>
      </c>
      <c r="C6879" s="2" t="s">
        <v>17</v>
      </c>
      <c r="D6879" s="2" t="s">
        <v>18</v>
      </c>
      <c r="E6879" s="5">
        <v>-27869</v>
      </c>
      <c r="F6879" s="3" t="s">
        <v>520</v>
      </c>
      <c r="G6879" s="3" t="s">
        <v>20</v>
      </c>
      <c r="H6879" s="2" t="s">
        <v>21</v>
      </c>
      <c r="I6879" s="2" t="s">
        <v>13624</v>
      </c>
      <c r="J6879" s="3" t="str">
        <f>HYPERLINK("https://www.boe.es/gazeta/dias/1823/09/11/pdfs/GMD-1823-753.pdf#page=4","Abrir facsímil")</f>
        <v>Abrir facsímil</v>
      </c>
      <c r="K6879" s="3" t="s">
        <v>23</v>
      </c>
    </row>
    <row r="6880" spans="1:11" ht="42" customHeight="1">
      <c r="A6880" s="2" t="s">
        <v>13625</v>
      </c>
      <c r="B6880" s="2" t="s">
        <v>13626</v>
      </c>
      <c r="C6880" s="2" t="s">
        <v>293</v>
      </c>
      <c r="D6880" s="2" t="s">
        <v>74</v>
      </c>
      <c r="E6880" s="5">
        <v>-27827</v>
      </c>
      <c r="F6880" s="3" t="s">
        <v>531</v>
      </c>
      <c r="G6880" s="3" t="s">
        <v>27</v>
      </c>
      <c r="H6880" s="2" t="s">
        <v>21</v>
      </c>
      <c r="I6880" s="2" t="s">
        <v>13627</v>
      </c>
      <c r="J6880" s="3" t="str">
        <f>HYPERLINK("https://www.boe.es/gazeta/dias/1823/10/23/pdfs/GMD-1823-1013.pdf#page=2","Abrir facsímil")</f>
        <v>Abrir facsímil</v>
      </c>
      <c r="K6880" s="3" t="s">
        <v>23</v>
      </c>
    </row>
    <row r="6881" spans="1:11" ht="42" customHeight="1">
      <c r="A6881" s="2" t="s">
        <v>13628</v>
      </c>
      <c r="B6881" s="2" t="s">
        <v>13629</v>
      </c>
      <c r="C6881" s="2" t="s">
        <v>84</v>
      </c>
      <c r="D6881" s="2" t="s">
        <v>74</v>
      </c>
      <c r="E6881" s="5">
        <v>-28093</v>
      </c>
      <c r="F6881" s="3" t="s">
        <v>1044</v>
      </c>
      <c r="G6881" s="3" t="s">
        <v>39</v>
      </c>
      <c r="H6881" s="2" t="s">
        <v>21</v>
      </c>
      <c r="I6881" s="2" t="s">
        <v>13630</v>
      </c>
      <c r="J6881" s="3" t="str">
        <f>HYPERLINK("https://www.boe.es/gazeta/dias/1823/01/30/pdfs/GMD-1823-31.pdf#page=1","Abrir facsímil")</f>
        <v>Abrir facsímil</v>
      </c>
      <c r="K6881" s="3" t="s">
        <v>23</v>
      </c>
    </row>
    <row r="6882" spans="1:11" ht="42" customHeight="1">
      <c r="A6882" s="2" t="s">
        <v>13631</v>
      </c>
      <c r="B6882" s="2" t="s">
        <v>13631</v>
      </c>
      <c r="C6882" s="2" t="s">
        <v>17</v>
      </c>
      <c r="D6882" s="2" t="s">
        <v>18</v>
      </c>
      <c r="E6882" s="5">
        <v>-27981</v>
      </c>
      <c r="F6882" s="3" t="s">
        <v>1521</v>
      </c>
      <c r="G6882" s="3" t="s">
        <v>20</v>
      </c>
      <c r="H6882" s="2" t="s">
        <v>21</v>
      </c>
      <c r="I6882" s="2" t="s">
        <v>13632</v>
      </c>
      <c r="J6882" s="3" t="str">
        <f>HYPERLINK("https://www.boe.es/gazeta/dias/1823/05/22/pdfs/GES-1823-43.pdf#page=4","Abrir facsímil")</f>
        <v>Abrir facsímil</v>
      </c>
      <c r="K6882" s="3" t="s">
        <v>23</v>
      </c>
    </row>
    <row r="6883" spans="1:11" ht="42" customHeight="1">
      <c r="A6883" s="2" t="s">
        <v>13631</v>
      </c>
      <c r="B6883" s="2" t="s">
        <v>13631</v>
      </c>
      <c r="C6883" s="2" t="s">
        <v>79</v>
      </c>
      <c r="D6883" s="2" t="s">
        <v>74</v>
      </c>
      <c r="E6883" s="5">
        <v>-27881</v>
      </c>
      <c r="F6883" s="3" t="s">
        <v>485</v>
      </c>
      <c r="G6883" s="3" t="s">
        <v>4956</v>
      </c>
      <c r="H6883" s="2" t="s">
        <v>21</v>
      </c>
      <c r="I6883" s="2" t="s">
        <v>13633</v>
      </c>
      <c r="J6883" s="3" t="str">
        <f>HYPERLINK("https://www.boe.es/gazeta/dias/1823/08/30/pdfs/GES-1823-143.pdf#page=1","Abrir facsímil")</f>
        <v>Abrir facsímil</v>
      </c>
      <c r="K6883" s="3" t="s">
        <v>23</v>
      </c>
    </row>
    <row r="6884" spans="1:11" ht="42" customHeight="1">
      <c r="A6884" s="2" t="s">
        <v>13631</v>
      </c>
      <c r="B6884" s="2" t="s">
        <v>13631</v>
      </c>
      <c r="C6884" s="2" t="s">
        <v>84</v>
      </c>
      <c r="D6884" s="2" t="s">
        <v>74</v>
      </c>
      <c r="E6884" s="5">
        <v>-27764</v>
      </c>
      <c r="F6884" s="3" t="s">
        <v>3370</v>
      </c>
      <c r="G6884" s="3" t="s">
        <v>39</v>
      </c>
      <c r="H6884" s="2" t="s">
        <v>21</v>
      </c>
      <c r="I6884" s="2" t="s">
        <v>13634</v>
      </c>
      <c r="J6884" s="3" t="str">
        <f>HYPERLINK("https://www.boe.es/gazeta/dias/1823/12/25/pdfs/GMD-1823-1293.pdf#page=1","Abrir facsímil")</f>
        <v>Abrir facsímil</v>
      </c>
      <c r="K6884" s="3" t="s">
        <v>23</v>
      </c>
    </row>
    <row r="6885" spans="1:11" ht="42" customHeight="1">
      <c r="A6885" s="2" t="s">
        <v>13635</v>
      </c>
      <c r="B6885" s="2" t="s">
        <v>13636</v>
      </c>
      <c r="C6885" s="2" t="s">
        <v>17</v>
      </c>
      <c r="D6885" s="2" t="s">
        <v>18</v>
      </c>
      <c r="E6885" s="5">
        <v>-27892</v>
      </c>
      <c r="F6885" s="3" t="s">
        <v>1571</v>
      </c>
      <c r="G6885" s="3" t="s">
        <v>27</v>
      </c>
      <c r="H6885" s="2" t="s">
        <v>21</v>
      </c>
      <c r="I6885" s="2" t="s">
        <v>13637</v>
      </c>
      <c r="J6885" s="3" t="str">
        <f>HYPERLINK("https://www.boe.es/gazeta/dias/1823/08/19/pdfs/GMD-1823-613.pdf#page=2","Abrir facsímil")</f>
        <v>Abrir facsímil</v>
      </c>
      <c r="K6885" s="3" t="s">
        <v>23</v>
      </c>
    </row>
    <row r="6886" spans="1:11" ht="42" customHeight="1">
      <c r="A6886" s="2" t="s">
        <v>13638</v>
      </c>
      <c r="B6886" s="2" t="s">
        <v>13639</v>
      </c>
      <c r="C6886" s="2" t="s">
        <v>17</v>
      </c>
      <c r="D6886" s="2" t="s">
        <v>117</v>
      </c>
      <c r="E6886" s="5">
        <v>-28103</v>
      </c>
      <c r="F6886" s="3" t="s">
        <v>7403</v>
      </c>
      <c r="G6886" s="3" t="s">
        <v>39</v>
      </c>
      <c r="H6886" s="2" t="s">
        <v>21</v>
      </c>
      <c r="I6886" s="2" t="s">
        <v>13640</v>
      </c>
      <c r="J6886" s="3" t="str">
        <f>HYPERLINK("https://www.boe.es/gazeta/dias/1823/01/20/pdfs/GMD-1823-21E.pdf#page=1","Abrir facsímil")</f>
        <v>Abrir facsímil</v>
      </c>
      <c r="K6886" s="3" t="s">
        <v>23</v>
      </c>
    </row>
    <row r="6887" spans="1:11" ht="42" customHeight="1">
      <c r="A6887" s="2" t="s">
        <v>13641</v>
      </c>
      <c r="B6887" s="2" t="s">
        <v>13642</v>
      </c>
      <c r="C6887" s="2" t="s">
        <v>73</v>
      </c>
      <c r="D6887" s="2" t="s">
        <v>74</v>
      </c>
      <c r="E6887" s="5">
        <v>-27969</v>
      </c>
      <c r="F6887" s="3" t="s">
        <v>855</v>
      </c>
      <c r="G6887" s="3" t="s">
        <v>1158</v>
      </c>
      <c r="H6887" s="2" t="s">
        <v>21</v>
      </c>
      <c r="I6887" s="2" t="s">
        <v>13643</v>
      </c>
      <c r="J6887" s="3" t="str">
        <f>HYPERLINK("https://www.boe.es/gazeta/dias/1823/06/03/pdfs/GES-1823-57.pdf#page=2","Abrir facsímil")</f>
        <v>Abrir facsímil</v>
      </c>
      <c r="K6887" s="3" t="s">
        <v>23</v>
      </c>
    </row>
    <row r="6888" spans="1:11" ht="42" customHeight="1">
      <c r="A6888" s="2" t="s">
        <v>13644</v>
      </c>
      <c r="B6888" s="2" t="s">
        <v>13645</v>
      </c>
      <c r="C6888" s="2" t="s">
        <v>79</v>
      </c>
      <c r="D6888" s="2" t="s">
        <v>74</v>
      </c>
      <c r="E6888" s="5">
        <v>-27867</v>
      </c>
      <c r="F6888" s="3" t="s">
        <v>1585</v>
      </c>
      <c r="G6888" s="3" t="s">
        <v>48</v>
      </c>
      <c r="H6888" s="2" t="s">
        <v>21</v>
      </c>
      <c r="I6888" s="2" t="s">
        <v>13646</v>
      </c>
      <c r="J6888" s="3" t="str">
        <f>HYPERLINK("https://www.boe.es/gazeta/dias/1823/09/13/pdfs/GMD-1823-773.pdf#page=3","Abrir facsímil")</f>
        <v>Abrir facsímil</v>
      </c>
      <c r="K6888" s="3" t="s">
        <v>23</v>
      </c>
    </row>
    <row r="6889" spans="1:11" ht="42" customHeight="1">
      <c r="A6889" s="2" t="s">
        <v>13647</v>
      </c>
      <c r="B6889" s="2" t="s">
        <v>13648</v>
      </c>
      <c r="C6889" s="2" t="s">
        <v>109</v>
      </c>
      <c r="D6889" s="2" t="s">
        <v>74</v>
      </c>
      <c r="E6889" s="5">
        <v>-27914</v>
      </c>
      <c r="F6889" s="3" t="s">
        <v>776</v>
      </c>
      <c r="G6889" s="3" t="s">
        <v>39</v>
      </c>
      <c r="H6889" s="2" t="s">
        <v>21</v>
      </c>
      <c r="I6889" s="2" t="s">
        <v>13649</v>
      </c>
      <c r="J6889" s="3" t="str">
        <f>HYPERLINK("https://www.boe.es/gazeta/dias/1823/07/28/pdfs/GES-1823-109.pdf#page=1","Abrir facsímil")</f>
        <v>Abrir facsímil</v>
      </c>
      <c r="K6889" s="3" t="s">
        <v>23</v>
      </c>
    </row>
    <row r="6890" spans="1:11" ht="42" customHeight="1">
      <c r="A6890" s="2" t="s">
        <v>13650</v>
      </c>
      <c r="B6890" s="2" t="s">
        <v>13651</v>
      </c>
      <c r="C6890" s="2" t="s">
        <v>56</v>
      </c>
      <c r="D6890" s="2" t="s">
        <v>57</v>
      </c>
      <c r="E6890" s="5">
        <v>-28078</v>
      </c>
      <c r="F6890" s="3" t="s">
        <v>508</v>
      </c>
      <c r="G6890" s="3" t="s">
        <v>59</v>
      </c>
      <c r="H6890" s="2" t="s">
        <v>21</v>
      </c>
      <c r="I6890" s="2" t="s">
        <v>13652</v>
      </c>
      <c r="J6890" s="3" t="str">
        <f>HYPERLINK("https://www.boe.es/gazeta/dias/1823/02/14/pdfs/GMD-1823-48.pdf#page=6","Abrir facsímil")</f>
        <v>Abrir facsímil</v>
      </c>
      <c r="K6890" s="3" t="s">
        <v>23</v>
      </c>
    </row>
    <row r="6891" spans="1:11" ht="42" customHeight="1">
      <c r="A6891" s="2" t="s">
        <v>13650</v>
      </c>
      <c r="B6891" s="2" t="s">
        <v>13651</v>
      </c>
      <c r="C6891" s="2" t="s">
        <v>79</v>
      </c>
      <c r="D6891" s="2" t="s">
        <v>74</v>
      </c>
      <c r="E6891" s="5">
        <v>-28069</v>
      </c>
      <c r="F6891" s="3" t="s">
        <v>2006</v>
      </c>
      <c r="G6891" s="3" t="s">
        <v>20</v>
      </c>
      <c r="H6891" s="2" t="s">
        <v>21</v>
      </c>
      <c r="I6891" s="2" t="s">
        <v>13653</v>
      </c>
      <c r="J6891" s="3" t="str">
        <f>HYPERLINK("https://www.boe.es/gazeta/dias/1823/02/23/pdfs/GMD-1823-57.pdf#page=4","Abrir facsímil")</f>
        <v>Abrir facsímil</v>
      </c>
      <c r="K6891" s="3" t="s">
        <v>23</v>
      </c>
    </row>
    <row r="6892" spans="1:11" ht="42" customHeight="1">
      <c r="A6892" s="2" t="s">
        <v>13650</v>
      </c>
      <c r="B6892" s="2" t="s">
        <v>13651</v>
      </c>
      <c r="C6892" s="2" t="s">
        <v>79</v>
      </c>
      <c r="D6892" s="2" t="s">
        <v>74</v>
      </c>
      <c r="E6892" s="5">
        <v>-28057</v>
      </c>
      <c r="F6892" s="3" t="s">
        <v>301</v>
      </c>
      <c r="G6892" s="3" t="s">
        <v>20</v>
      </c>
      <c r="H6892" s="2" t="s">
        <v>21</v>
      </c>
      <c r="I6892" s="2" t="s">
        <v>13654</v>
      </c>
      <c r="J6892" s="3" t="str">
        <f>HYPERLINK("https://www.boe.es/gazeta/dias/1823/03/07/pdfs/GMD-1823-70.pdf#page=4","Abrir facsímil")</f>
        <v>Abrir facsímil</v>
      </c>
      <c r="K6892" s="3" t="s">
        <v>23</v>
      </c>
    </row>
    <row r="6893" spans="1:11" ht="42" customHeight="1">
      <c r="A6893" s="2" t="s">
        <v>13655</v>
      </c>
      <c r="B6893" s="2" t="s">
        <v>13656</v>
      </c>
      <c r="C6893" s="2" t="s">
        <v>79</v>
      </c>
      <c r="D6893" s="2" t="s">
        <v>74</v>
      </c>
      <c r="E6893" s="5">
        <v>-27878</v>
      </c>
      <c r="F6893" s="3" t="s">
        <v>1581</v>
      </c>
      <c r="G6893" s="3" t="s">
        <v>59</v>
      </c>
      <c r="H6893" s="2" t="s">
        <v>21</v>
      </c>
      <c r="I6893" s="2" t="s">
        <v>13657</v>
      </c>
      <c r="J6893" s="3" t="str">
        <f>HYPERLINK("https://www.boe.es/gazeta/dias/1823/09/02/pdfs/GMD-1823-683.pdf#page=6","Abrir facsímil")</f>
        <v>Abrir facsímil</v>
      </c>
      <c r="K6893" s="3" t="s">
        <v>23</v>
      </c>
    </row>
    <row r="6894" spans="1:11" ht="42" customHeight="1">
      <c r="A6894" s="2" t="s">
        <v>13658</v>
      </c>
      <c r="B6894" s="2" t="s">
        <v>13659</v>
      </c>
      <c r="C6894" s="2" t="s">
        <v>17</v>
      </c>
      <c r="D6894" s="2" t="s">
        <v>18</v>
      </c>
      <c r="E6894" s="5">
        <v>-27994</v>
      </c>
      <c r="F6894" s="3" t="s">
        <v>714</v>
      </c>
      <c r="G6894" s="3" t="s">
        <v>715</v>
      </c>
      <c r="H6894" s="2" t="s">
        <v>21</v>
      </c>
      <c r="I6894" s="2" t="s">
        <v>13660</v>
      </c>
      <c r="J6894" s="3" t="str">
        <f>HYPERLINK("https://www.boe.es/gazeta/dias/1823/05/09/pdfs/GES-1823-29.pdf#page=8","Abrir facsímil")</f>
        <v>Abrir facsímil</v>
      </c>
      <c r="K6894" s="3" t="s">
        <v>23</v>
      </c>
    </row>
    <row r="6895" spans="1:11" ht="42" customHeight="1">
      <c r="A6895" s="2" t="s">
        <v>13661</v>
      </c>
      <c r="B6895" s="2" t="s">
        <v>13662</v>
      </c>
      <c r="C6895" s="2" t="s">
        <v>17</v>
      </c>
      <c r="D6895" s="2" t="s">
        <v>18</v>
      </c>
      <c r="E6895" s="5">
        <v>-28076</v>
      </c>
      <c r="F6895" s="3" t="s">
        <v>1638</v>
      </c>
      <c r="G6895" s="3" t="s">
        <v>20</v>
      </c>
      <c r="H6895" s="2" t="s">
        <v>21</v>
      </c>
      <c r="I6895" s="2" t="s">
        <v>13663</v>
      </c>
      <c r="J6895" s="3" t="str">
        <f>HYPERLINK("https://www.boe.es/gazeta/dias/1823/02/16/pdfs/GMD-1823-50.pdf#page=4","Abrir facsímil")</f>
        <v>Abrir facsímil</v>
      </c>
      <c r="K6895" s="3" t="s">
        <v>23</v>
      </c>
    </row>
    <row r="6896" spans="1:11" ht="42" customHeight="1">
      <c r="A6896" s="2" t="s">
        <v>13661</v>
      </c>
      <c r="B6896" s="2" t="s">
        <v>13662</v>
      </c>
      <c r="C6896" s="2" t="s">
        <v>325</v>
      </c>
      <c r="D6896" s="2" t="s">
        <v>74</v>
      </c>
      <c r="E6896" s="5">
        <v>-27836</v>
      </c>
      <c r="F6896" s="3" t="s">
        <v>4069</v>
      </c>
      <c r="G6896" s="3" t="s">
        <v>20</v>
      </c>
      <c r="H6896" s="2" t="s">
        <v>21</v>
      </c>
      <c r="I6896" s="2" t="s">
        <v>13664</v>
      </c>
      <c r="J6896" s="3" t="str">
        <f>HYPERLINK("https://www.boe.es/gazeta/dias/1823/10/14/pdfs/GMD-1823-973.pdf#page=4","Abrir facsímil")</f>
        <v>Abrir facsímil</v>
      </c>
      <c r="K6896" s="3" t="s">
        <v>23</v>
      </c>
    </row>
    <row r="6897" spans="1:11" ht="42" customHeight="1">
      <c r="A6897" s="2" t="s">
        <v>13665</v>
      </c>
      <c r="B6897" s="2" t="s">
        <v>13666</v>
      </c>
      <c r="C6897" s="2" t="s">
        <v>56</v>
      </c>
      <c r="D6897" s="2" t="s">
        <v>57</v>
      </c>
      <c r="E6897" s="5">
        <v>-28047</v>
      </c>
      <c r="F6897" s="3" t="s">
        <v>2269</v>
      </c>
      <c r="G6897" s="3" t="s">
        <v>48</v>
      </c>
      <c r="H6897" s="2" t="s">
        <v>21</v>
      </c>
      <c r="I6897" s="2" t="s">
        <v>13667</v>
      </c>
      <c r="J6897" s="3" t="str">
        <f>HYPERLINK("https://www.boe.es/gazeta/dias/1823/03/17/pdfs/GMD-1823-80.pdf#page=3","Abrir facsímil")</f>
        <v>Abrir facsímil</v>
      </c>
      <c r="K6897" s="3" t="s">
        <v>23</v>
      </c>
    </row>
    <row r="6898" spans="1:11" ht="42" customHeight="1">
      <c r="A6898" s="2" t="s">
        <v>13668</v>
      </c>
      <c r="B6898" s="2" t="s">
        <v>13669</v>
      </c>
      <c r="C6898" s="2" t="s">
        <v>17</v>
      </c>
      <c r="D6898" s="2" t="s">
        <v>18</v>
      </c>
      <c r="E6898" s="5">
        <v>-28051</v>
      </c>
      <c r="F6898" s="3" t="s">
        <v>305</v>
      </c>
      <c r="G6898" s="3" t="s">
        <v>27</v>
      </c>
      <c r="H6898" s="2" t="s">
        <v>21</v>
      </c>
      <c r="I6898" s="2" t="s">
        <v>13670</v>
      </c>
      <c r="J6898" s="3" t="str">
        <f>HYPERLINK("https://www.boe.es/gazeta/dias/1823/03/13/pdfs/GMD-1823-76.pdf#page=2","Abrir facsímil")</f>
        <v>Abrir facsímil</v>
      </c>
      <c r="K6898" s="3" t="s">
        <v>23</v>
      </c>
    </row>
    <row r="6899" spans="1:11" ht="42" customHeight="1">
      <c r="A6899" s="2" t="s">
        <v>13671</v>
      </c>
      <c r="B6899" s="2" t="s">
        <v>13672</v>
      </c>
      <c r="C6899" s="2" t="s">
        <v>17</v>
      </c>
      <c r="D6899" s="2" t="s">
        <v>18</v>
      </c>
      <c r="E6899" s="5">
        <v>-27902</v>
      </c>
      <c r="F6899" s="3" t="s">
        <v>259</v>
      </c>
      <c r="G6899" s="3" t="s">
        <v>48</v>
      </c>
      <c r="H6899" s="2" t="s">
        <v>28</v>
      </c>
      <c r="I6899" s="2" t="s">
        <v>13673</v>
      </c>
      <c r="J6899" s="3" t="str">
        <f>HYPERLINK("https://www.boe.es/gazeta/dias/1823/08/09/pdfs/GMD-1823-563.pdf#page=3","Abrir facsímil")</f>
        <v>Abrir facsímil</v>
      </c>
      <c r="K6899" s="3" t="s">
        <v>30</v>
      </c>
    </row>
    <row r="6900" spans="1:11" ht="42" customHeight="1">
      <c r="A6900" s="2" t="s">
        <v>13674</v>
      </c>
      <c r="B6900" s="2" t="s">
        <v>13675</v>
      </c>
      <c r="C6900" s="2" t="s">
        <v>17</v>
      </c>
      <c r="D6900" s="2" t="s">
        <v>18</v>
      </c>
      <c r="E6900" s="5">
        <v>-27875</v>
      </c>
      <c r="F6900" s="3" t="s">
        <v>1858</v>
      </c>
      <c r="G6900" s="3" t="s">
        <v>39</v>
      </c>
      <c r="H6900" s="2" t="s">
        <v>28</v>
      </c>
      <c r="I6900" s="2" t="s">
        <v>13676</v>
      </c>
      <c r="J6900" s="3" t="str">
        <f>HYPERLINK("https://www.boe.es/gazeta/dias/1823/09/05/pdfs/GES-1823-149.pdf#page=1","Abrir facsímil")</f>
        <v>Abrir facsímil</v>
      </c>
      <c r="K6900" s="3" t="s">
        <v>30</v>
      </c>
    </row>
    <row r="6901" spans="1:11" ht="42" customHeight="1">
      <c r="A6901" s="2" t="s">
        <v>13677</v>
      </c>
      <c r="B6901" s="2" t="s">
        <v>13677</v>
      </c>
      <c r="C6901" s="2" t="s">
        <v>17</v>
      </c>
      <c r="D6901" s="2" t="s">
        <v>18</v>
      </c>
      <c r="E6901" s="5">
        <v>-28101</v>
      </c>
      <c r="F6901" s="3" t="s">
        <v>1041</v>
      </c>
      <c r="G6901" s="3" t="s">
        <v>39</v>
      </c>
      <c r="H6901" s="2" t="s">
        <v>21</v>
      </c>
      <c r="I6901" s="2" t="s">
        <v>13678</v>
      </c>
      <c r="J6901" s="3" t="str">
        <f>HYPERLINK("https://www.boe.es/gazeta/dias/1823/01/22/pdfs/GMD-1823-23.pdf#page=1","Abrir facsímil")</f>
        <v>Abrir facsímil</v>
      </c>
      <c r="K6901" s="3" t="s">
        <v>23</v>
      </c>
    </row>
    <row r="6902" spans="1:11" ht="42" customHeight="1">
      <c r="A6902" s="2" t="s">
        <v>13677</v>
      </c>
      <c r="B6902" s="2" t="s">
        <v>13677</v>
      </c>
      <c r="C6902" s="2" t="s">
        <v>293</v>
      </c>
      <c r="D6902" s="2" t="s">
        <v>74</v>
      </c>
      <c r="E6902" s="5">
        <v>-28020</v>
      </c>
      <c r="F6902" s="3" t="s">
        <v>448</v>
      </c>
      <c r="G6902" s="3" t="s">
        <v>39</v>
      </c>
      <c r="H6902" s="2" t="s">
        <v>21</v>
      </c>
      <c r="I6902" s="2" t="s">
        <v>13679</v>
      </c>
      <c r="J6902" s="3" t="str">
        <f>HYPERLINK("https://www.boe.es/gazeta/dias/1823/04/13/pdfs/GES-1823-3.pdf#page=1","Abrir facsímil")</f>
        <v>Abrir facsímil</v>
      </c>
      <c r="K6902" s="3" t="s">
        <v>23</v>
      </c>
    </row>
    <row r="6903" spans="1:11" ht="42" customHeight="1">
      <c r="A6903" s="2" t="s">
        <v>13680</v>
      </c>
      <c r="B6903" s="2" t="s">
        <v>13680</v>
      </c>
      <c r="C6903" s="2" t="s">
        <v>17</v>
      </c>
      <c r="D6903" s="2" t="s">
        <v>18</v>
      </c>
      <c r="E6903" s="5">
        <v>-27892</v>
      </c>
      <c r="F6903" s="3" t="s">
        <v>1229</v>
      </c>
      <c r="G6903" s="3" t="s">
        <v>39</v>
      </c>
      <c r="H6903" s="2" t="s">
        <v>21</v>
      </c>
      <c r="I6903" s="2" t="s">
        <v>13681</v>
      </c>
      <c r="J6903" s="3" t="str">
        <f>HYPERLINK("https://www.boe.es/gazeta/dias/1823/08/19/pdfs/GES-1823-132.pdf#page=1","Abrir facsímil")</f>
        <v>Abrir facsímil</v>
      </c>
      <c r="K6903" s="3" t="s">
        <v>23</v>
      </c>
    </row>
    <row r="6904" spans="1:11" ht="42" customHeight="1">
      <c r="A6904" s="2" t="s">
        <v>13682</v>
      </c>
      <c r="B6904" s="2" t="s">
        <v>13683</v>
      </c>
      <c r="C6904" s="2" t="s">
        <v>17</v>
      </c>
      <c r="D6904" s="2" t="s">
        <v>18</v>
      </c>
      <c r="E6904" s="5">
        <v>-27981</v>
      </c>
      <c r="F6904" s="3" t="s">
        <v>1521</v>
      </c>
      <c r="G6904" s="3" t="s">
        <v>20</v>
      </c>
      <c r="H6904" s="2" t="s">
        <v>21</v>
      </c>
      <c r="I6904" s="2" t="s">
        <v>13684</v>
      </c>
      <c r="J6904" s="3" t="str">
        <f>HYPERLINK("https://www.boe.es/gazeta/dias/1823/05/22/pdfs/GES-1823-43.pdf#page=4","Abrir facsímil")</f>
        <v>Abrir facsímil</v>
      </c>
      <c r="K6904" s="3" t="s">
        <v>23</v>
      </c>
    </row>
    <row r="6905" spans="1:11" ht="42" customHeight="1">
      <c r="A6905" s="2" t="s">
        <v>13685</v>
      </c>
      <c r="B6905" s="2" t="s">
        <v>13686</v>
      </c>
      <c r="C6905" s="2" t="s">
        <v>17</v>
      </c>
      <c r="D6905" s="2" t="s">
        <v>18</v>
      </c>
      <c r="E6905" s="5">
        <v>-28037</v>
      </c>
      <c r="F6905" s="3" t="s">
        <v>192</v>
      </c>
      <c r="G6905" s="3" t="s">
        <v>48</v>
      </c>
      <c r="H6905" s="2" t="s">
        <v>21</v>
      </c>
      <c r="I6905" s="2" t="s">
        <v>13687</v>
      </c>
      <c r="J6905" s="3" t="str">
        <f>HYPERLINK("https://www.boe.es/gazeta/dias/1823/03/27/pdfs/GMD-1823-90.pdf#page=3","Abrir facsímil")</f>
        <v>Abrir facsímil</v>
      </c>
      <c r="K6905" s="3" t="s">
        <v>23</v>
      </c>
    </row>
    <row r="6906" spans="1:11" ht="42" customHeight="1">
      <c r="A6906" s="2" t="s">
        <v>13688</v>
      </c>
      <c r="B6906" s="2" t="s">
        <v>13689</v>
      </c>
      <c r="C6906" s="2" t="s">
        <v>17</v>
      </c>
      <c r="D6906" s="2" t="s">
        <v>18</v>
      </c>
      <c r="E6906" s="5">
        <v>-27997</v>
      </c>
      <c r="F6906" s="3" t="s">
        <v>317</v>
      </c>
      <c r="G6906" s="3" t="s">
        <v>39</v>
      </c>
      <c r="H6906" s="2" t="s">
        <v>21</v>
      </c>
      <c r="I6906" s="2" t="s">
        <v>13690</v>
      </c>
      <c r="J6906" s="3" t="str">
        <f>HYPERLINK("https://www.boe.es/gazeta/dias/1823/05/06/pdfs/GES-1823-26.pdf#page=1","Abrir facsímil")</f>
        <v>Abrir facsímil</v>
      </c>
      <c r="K6906" s="3" t="s">
        <v>23</v>
      </c>
    </row>
    <row r="6907" spans="1:11" ht="42" customHeight="1">
      <c r="A6907" s="2" t="s">
        <v>13691</v>
      </c>
      <c r="B6907" s="2" t="s">
        <v>13692</v>
      </c>
      <c r="C6907" s="2" t="s">
        <v>17</v>
      </c>
      <c r="D6907" s="2" t="s">
        <v>18</v>
      </c>
      <c r="E6907" s="5">
        <v>-27993</v>
      </c>
      <c r="F6907" s="3" t="s">
        <v>977</v>
      </c>
      <c r="G6907" s="3" t="s">
        <v>978</v>
      </c>
      <c r="H6907" s="2" t="s">
        <v>21</v>
      </c>
      <c r="I6907" s="2" t="s">
        <v>13693</v>
      </c>
      <c r="J6907" s="3" t="str">
        <f>HYPERLINK("https://www.boe.es/gazeta/dias/1823/05/10/pdfs/GES-1823-30.pdf#page=4","Abrir facsímil")</f>
        <v>Abrir facsímil</v>
      </c>
      <c r="K6907" s="3" t="s">
        <v>23</v>
      </c>
    </row>
    <row r="6908" spans="1:11" ht="42" customHeight="1">
      <c r="A6908" s="2" t="s">
        <v>13694</v>
      </c>
      <c r="B6908" s="2" t="s">
        <v>13695</v>
      </c>
      <c r="C6908" s="2" t="s">
        <v>17</v>
      </c>
      <c r="D6908" s="2" t="s">
        <v>18</v>
      </c>
      <c r="E6908" s="5">
        <v>-27991</v>
      </c>
      <c r="F6908" s="3" t="s">
        <v>328</v>
      </c>
      <c r="G6908" s="3" t="s">
        <v>34</v>
      </c>
      <c r="H6908" s="2" t="s">
        <v>21</v>
      </c>
      <c r="I6908" s="2" t="s">
        <v>13696</v>
      </c>
      <c r="J6908" s="3" t="str">
        <f>HYPERLINK("https://www.boe.es/gazeta/dias/1823/05/12/pdfs/GES-1823-32.pdf#page=5","Abrir facsímil")</f>
        <v>Abrir facsímil</v>
      </c>
      <c r="K6908" s="3" t="s">
        <v>23</v>
      </c>
    </row>
    <row r="6909" spans="1:11" ht="42" customHeight="1">
      <c r="A6909" s="2" t="s">
        <v>13697</v>
      </c>
      <c r="B6909" s="2" t="s">
        <v>13698</v>
      </c>
      <c r="C6909" s="2" t="s">
        <v>17</v>
      </c>
      <c r="D6909" s="2" t="s">
        <v>18</v>
      </c>
      <c r="E6909" s="5">
        <v>-27889</v>
      </c>
      <c r="F6909" s="3" t="s">
        <v>1306</v>
      </c>
      <c r="G6909" s="3" t="s">
        <v>20</v>
      </c>
      <c r="H6909" s="2" t="s">
        <v>21</v>
      </c>
      <c r="I6909" s="2" t="s">
        <v>13699</v>
      </c>
      <c r="J6909" s="3" t="str">
        <f>HYPERLINK("https://www.boe.es/gazeta/dias/1823/08/22/pdfs/GES-1823-135.pdf#page=4","Abrir facsímil")</f>
        <v>Abrir facsímil</v>
      </c>
      <c r="K6909" s="3" t="s">
        <v>23</v>
      </c>
    </row>
    <row r="6910" spans="1:11" ht="42" customHeight="1">
      <c r="A6910" s="2" t="s">
        <v>13700</v>
      </c>
      <c r="B6910" s="2" t="s">
        <v>13701</v>
      </c>
      <c r="C6910" s="2" t="s">
        <v>17</v>
      </c>
      <c r="D6910" s="2" t="s">
        <v>18</v>
      </c>
      <c r="E6910" s="5">
        <v>-27771</v>
      </c>
      <c r="F6910" s="3" t="s">
        <v>1611</v>
      </c>
      <c r="G6910" s="3" t="s">
        <v>20</v>
      </c>
      <c r="H6910" s="2" t="s">
        <v>21</v>
      </c>
      <c r="I6910" s="2" t="s">
        <v>13702</v>
      </c>
      <c r="J6910" s="3" t="str">
        <f>HYPERLINK("https://www.boe.es/gazeta/dias/1823/12/18/pdfs/GMD-1823-1263.pdf#page=4","Abrir facsímil")</f>
        <v>Abrir facsímil</v>
      </c>
      <c r="K6910" s="3" t="s">
        <v>23</v>
      </c>
    </row>
    <row r="6911" spans="1:11" ht="42" customHeight="1">
      <c r="A6911" s="2" t="s">
        <v>13703</v>
      </c>
      <c r="B6911" s="2" t="s">
        <v>13704</v>
      </c>
      <c r="C6911" s="2" t="s">
        <v>56</v>
      </c>
      <c r="D6911" s="2" t="s">
        <v>57</v>
      </c>
      <c r="E6911" s="5">
        <v>-27962</v>
      </c>
      <c r="F6911" s="3" t="s">
        <v>594</v>
      </c>
      <c r="G6911" s="3" t="s">
        <v>39</v>
      </c>
      <c r="H6911" s="2" t="s">
        <v>21</v>
      </c>
      <c r="I6911" s="2" t="s">
        <v>13705</v>
      </c>
      <c r="J6911" s="3" t="str">
        <f>HYPERLINK("https://www.boe.es/gazeta/dias/1823/06/10/pdfs/GES-1823-64.pdf#page=1","Abrir facsímil")</f>
        <v>Abrir facsímil</v>
      </c>
      <c r="K6911" s="3" t="s">
        <v>23</v>
      </c>
    </row>
    <row r="6912" spans="1:11" ht="42" customHeight="1">
      <c r="A6912" s="2" t="s">
        <v>13706</v>
      </c>
      <c r="B6912" s="2" t="s">
        <v>13707</v>
      </c>
      <c r="C6912" s="2" t="s">
        <v>17</v>
      </c>
      <c r="D6912" s="2" t="s">
        <v>18</v>
      </c>
      <c r="E6912" s="5">
        <v>-27988</v>
      </c>
      <c r="F6912" s="3" t="s">
        <v>2022</v>
      </c>
      <c r="G6912" s="3" t="s">
        <v>20</v>
      </c>
      <c r="H6912" s="2" t="s">
        <v>21</v>
      </c>
      <c r="I6912" s="2" t="s">
        <v>13708</v>
      </c>
      <c r="J6912" s="3" t="str">
        <f>HYPERLINK("https://www.boe.es/gazeta/dias/1823/05/15/pdfs/GMD-1823-142.pdf#page=4","Abrir facsímil")</f>
        <v>Abrir facsímil</v>
      </c>
      <c r="K6912" s="3" t="s">
        <v>23</v>
      </c>
    </row>
    <row r="6913" spans="1:11" ht="42" customHeight="1">
      <c r="A6913" s="2" t="s">
        <v>13709</v>
      </c>
      <c r="B6913" s="2" t="s">
        <v>13710</v>
      </c>
      <c r="C6913" s="2" t="s">
        <v>79</v>
      </c>
      <c r="D6913" s="2" t="s">
        <v>74</v>
      </c>
      <c r="E6913" s="5">
        <v>-28049</v>
      </c>
      <c r="F6913" s="3" t="s">
        <v>198</v>
      </c>
      <c r="G6913" s="3" t="s">
        <v>27</v>
      </c>
      <c r="H6913" s="2" t="s">
        <v>21</v>
      </c>
      <c r="I6913" s="2" t="s">
        <v>13711</v>
      </c>
      <c r="J6913" s="3" t="str">
        <f>HYPERLINK("https://www.boe.es/gazeta/dias/1823/03/15/pdfs/GMD-1823-78.pdf#page=2","Abrir facsímil")</f>
        <v>Abrir facsímil</v>
      </c>
      <c r="K6913" s="3" t="s">
        <v>23</v>
      </c>
    </row>
    <row r="6914" spans="1:11" ht="42" customHeight="1">
      <c r="A6914" s="2" t="s">
        <v>13712</v>
      </c>
      <c r="B6914" s="2" t="s">
        <v>13713</v>
      </c>
      <c r="C6914" s="2" t="s">
        <v>79</v>
      </c>
      <c r="D6914" s="2" t="s">
        <v>74</v>
      </c>
      <c r="E6914" s="5">
        <v>-28002</v>
      </c>
      <c r="F6914" s="3" t="s">
        <v>245</v>
      </c>
      <c r="G6914" s="3" t="s">
        <v>39</v>
      </c>
      <c r="H6914" s="2" t="s">
        <v>21</v>
      </c>
      <c r="I6914" s="2" t="s">
        <v>13714</v>
      </c>
      <c r="J6914" s="3" t="str">
        <f>HYPERLINK("https://www.boe.es/gazeta/dias/1823/05/01/pdfs/GMD-1823-82.pdf#page=1","Abrir facsímil")</f>
        <v>Abrir facsímil</v>
      </c>
      <c r="K6914" s="3" t="s">
        <v>23</v>
      </c>
    </row>
    <row r="6915" spans="1:11" ht="42" customHeight="1">
      <c r="A6915" s="2" t="s">
        <v>13715</v>
      </c>
      <c r="B6915" s="2" t="s">
        <v>13716</v>
      </c>
      <c r="C6915" s="2" t="s">
        <v>17</v>
      </c>
      <c r="D6915" s="2" t="s">
        <v>18</v>
      </c>
      <c r="E6915" s="5">
        <v>-28013</v>
      </c>
      <c r="F6915" s="3" t="s">
        <v>2466</v>
      </c>
      <c r="G6915" s="3" t="s">
        <v>2467</v>
      </c>
      <c r="H6915" s="2" t="s">
        <v>21</v>
      </c>
      <c r="I6915" s="2" t="s">
        <v>13717</v>
      </c>
      <c r="J6915" s="3" t="str">
        <f>HYPERLINK("https://www.boe.es/gazeta/dias/1823/04/20/pdfs/GES-1823-10.pdf#page=3","Abrir facsímil")</f>
        <v>Abrir facsímil</v>
      </c>
      <c r="K6915" s="3" t="s">
        <v>23</v>
      </c>
    </row>
    <row r="6916" spans="1:11" ht="42" customHeight="1">
      <c r="A6916" s="2" t="s">
        <v>13718</v>
      </c>
      <c r="B6916" s="2" t="s">
        <v>13719</v>
      </c>
      <c r="C6916" s="2" t="s">
        <v>17</v>
      </c>
      <c r="D6916" s="2" t="s">
        <v>18</v>
      </c>
      <c r="E6916" s="5">
        <v>-27906</v>
      </c>
      <c r="F6916" s="3" t="s">
        <v>241</v>
      </c>
      <c r="G6916" s="3" t="s">
        <v>20</v>
      </c>
      <c r="H6916" s="2" t="s">
        <v>21</v>
      </c>
      <c r="I6916" s="2" t="s">
        <v>13720</v>
      </c>
      <c r="J6916" s="3" t="str">
        <f>HYPERLINK("https://www.boe.es/gazeta/dias/1823/08/05/pdfs/GES-1823-117.pdf#page=4","Abrir facsímil")</f>
        <v>Abrir facsímil</v>
      </c>
      <c r="K6916" s="3" t="s">
        <v>23</v>
      </c>
    </row>
    <row r="6917" spans="1:11" ht="42" customHeight="1">
      <c r="A6917" s="2" t="s">
        <v>13721</v>
      </c>
      <c r="B6917" s="2" t="s">
        <v>13722</v>
      </c>
      <c r="C6917" s="2" t="s">
        <v>17</v>
      </c>
      <c r="D6917" s="2" t="s">
        <v>18</v>
      </c>
      <c r="E6917" s="5">
        <v>-28087</v>
      </c>
      <c r="F6917" s="3" t="s">
        <v>3125</v>
      </c>
      <c r="G6917" s="3" t="s">
        <v>59</v>
      </c>
      <c r="H6917" s="2" t="s">
        <v>21</v>
      </c>
      <c r="I6917" s="2" t="s">
        <v>13723</v>
      </c>
      <c r="J6917" s="3" t="str">
        <f>HYPERLINK("https://www.boe.es/gazeta/dias/1823/02/05/pdfs/GMD-1823-38.pdf#page=6","Abrir facsímil")</f>
        <v>Abrir facsímil</v>
      </c>
      <c r="K6917" s="3" t="s">
        <v>23</v>
      </c>
    </row>
    <row r="6918" spans="1:11" ht="42" customHeight="1">
      <c r="A6918" s="2" t="s">
        <v>13724</v>
      </c>
      <c r="B6918" s="2" t="s">
        <v>13725</v>
      </c>
      <c r="C6918" s="2" t="s">
        <v>79</v>
      </c>
      <c r="D6918" s="2" t="s">
        <v>74</v>
      </c>
      <c r="E6918" s="5">
        <v>-27922</v>
      </c>
      <c r="F6918" s="3" t="s">
        <v>1959</v>
      </c>
      <c r="G6918" s="3" t="s">
        <v>27</v>
      </c>
      <c r="H6918" s="2" t="s">
        <v>21</v>
      </c>
      <c r="I6918" s="2" t="s">
        <v>13726</v>
      </c>
      <c r="J6918" s="3" t="str">
        <f>HYPERLINK("https://www.boe.es/gazeta/dias/1823/07/20/pdfs/GES-1823-101.pdf#page=2","Abrir facsímil")</f>
        <v>Abrir facsímil</v>
      </c>
      <c r="K6918" s="3" t="s">
        <v>23</v>
      </c>
    </row>
    <row r="6919" spans="1:11" ht="42" customHeight="1">
      <c r="A6919" s="2" t="s">
        <v>13727</v>
      </c>
      <c r="B6919" s="2" t="s">
        <v>13728</v>
      </c>
      <c r="C6919" s="2" t="s">
        <v>79</v>
      </c>
      <c r="D6919" s="2" t="s">
        <v>74</v>
      </c>
      <c r="E6919" s="5">
        <v>-28048</v>
      </c>
      <c r="F6919" s="3" t="s">
        <v>399</v>
      </c>
      <c r="G6919" s="3" t="s">
        <v>20</v>
      </c>
      <c r="H6919" s="2" t="s">
        <v>21</v>
      </c>
      <c r="I6919" s="2" t="s">
        <v>13729</v>
      </c>
      <c r="J6919" s="3" t="str">
        <f>HYPERLINK("https://www.boe.es/gazeta/dias/1823/03/16/pdfs/GMD-1823-79.pdf#page=4","Abrir facsímil")</f>
        <v>Abrir facsímil</v>
      </c>
      <c r="K6919" s="3" t="s">
        <v>23</v>
      </c>
    </row>
    <row r="6920" spans="1:11" ht="42" customHeight="1">
      <c r="A6920" s="2" t="s">
        <v>13730</v>
      </c>
      <c r="B6920" s="2" t="s">
        <v>13731</v>
      </c>
      <c r="C6920" s="2" t="s">
        <v>17</v>
      </c>
      <c r="D6920" s="2" t="s">
        <v>18</v>
      </c>
      <c r="E6920" s="5">
        <v>-27946</v>
      </c>
      <c r="F6920" s="3" t="s">
        <v>1547</v>
      </c>
      <c r="G6920" s="3" t="s">
        <v>39</v>
      </c>
      <c r="H6920" s="2" t="s">
        <v>21</v>
      </c>
      <c r="I6920" s="2" t="s">
        <v>13732</v>
      </c>
      <c r="J6920" s="3" t="str">
        <f>HYPERLINK("https://www.boe.es/gazeta/dias/1823/06/26/pdfs/GMD-1823-283.pdf#page=1","Abrir facsímil")</f>
        <v>Abrir facsímil</v>
      </c>
      <c r="K6920" s="3" t="s">
        <v>23</v>
      </c>
    </row>
    <row r="6921" spans="1:11" ht="42" customHeight="1">
      <c r="A6921" s="2" t="s">
        <v>13733</v>
      </c>
      <c r="B6921" s="2" t="s">
        <v>13734</v>
      </c>
      <c r="C6921" s="2" t="s">
        <v>73</v>
      </c>
      <c r="D6921" s="2" t="s">
        <v>74</v>
      </c>
      <c r="E6921" s="5">
        <v>-27808</v>
      </c>
      <c r="F6921" s="3" t="s">
        <v>1602</v>
      </c>
      <c r="G6921" s="3" t="s">
        <v>39</v>
      </c>
      <c r="H6921" s="2" t="s">
        <v>21</v>
      </c>
      <c r="I6921" s="2" t="s">
        <v>13735</v>
      </c>
      <c r="J6921" s="3" t="str">
        <f>HYPERLINK("https://www.boe.es/gazeta/dias/1823/11/11/pdfs/GMD-1823-1103.pdf#page=1","Abrir facsímil")</f>
        <v>Abrir facsímil</v>
      </c>
      <c r="K6921" s="3" t="s">
        <v>23</v>
      </c>
    </row>
    <row r="6922" spans="1:11" ht="42" customHeight="1">
      <c r="A6922" s="2" t="s">
        <v>13736</v>
      </c>
      <c r="B6922" s="2" t="s">
        <v>13736</v>
      </c>
      <c r="C6922" s="2" t="s">
        <v>109</v>
      </c>
      <c r="D6922" s="2" t="s">
        <v>74</v>
      </c>
      <c r="E6922" s="5">
        <v>-27913</v>
      </c>
      <c r="F6922" s="3" t="s">
        <v>829</v>
      </c>
      <c r="G6922" s="3" t="s">
        <v>715</v>
      </c>
      <c r="H6922" s="2" t="s">
        <v>21</v>
      </c>
      <c r="I6922" s="2" t="s">
        <v>13737</v>
      </c>
      <c r="J6922" s="3" t="str">
        <f>HYPERLINK("https://www.boe.es/gazeta/dias/1823/07/29/pdfs/GMD-1823-483.pdf#page=8","Abrir facsímil")</f>
        <v>Abrir facsímil</v>
      </c>
      <c r="K6922" s="3" t="s">
        <v>23</v>
      </c>
    </row>
    <row r="6923" spans="1:11" ht="42" customHeight="1">
      <c r="A6923" s="2" t="s">
        <v>13738</v>
      </c>
      <c r="B6923" s="2" t="s">
        <v>13739</v>
      </c>
      <c r="C6923" s="2" t="s">
        <v>73</v>
      </c>
      <c r="D6923" s="2" t="s">
        <v>74</v>
      </c>
      <c r="E6923" s="5">
        <v>-27913</v>
      </c>
      <c r="F6923" s="3" t="s">
        <v>829</v>
      </c>
      <c r="G6923" s="3" t="s">
        <v>715</v>
      </c>
      <c r="H6923" s="2" t="s">
        <v>21</v>
      </c>
      <c r="I6923" s="2" t="s">
        <v>13740</v>
      </c>
      <c r="J6923" s="3" t="str">
        <f>HYPERLINK("https://www.boe.es/gazeta/dias/1823/07/29/pdfs/GMD-1823-483.pdf#page=8","Abrir facsímil")</f>
        <v>Abrir facsímil</v>
      </c>
      <c r="K6923" s="3" t="s">
        <v>23</v>
      </c>
    </row>
    <row r="6924" spans="1:11" ht="42" customHeight="1">
      <c r="A6924" s="2" t="s">
        <v>13741</v>
      </c>
      <c r="B6924" s="2" t="s">
        <v>13742</v>
      </c>
      <c r="C6924" s="2" t="s">
        <v>17</v>
      </c>
      <c r="D6924" s="2" t="s">
        <v>18</v>
      </c>
      <c r="E6924" s="5">
        <v>-28094</v>
      </c>
      <c r="F6924" s="3" t="s">
        <v>93</v>
      </c>
      <c r="G6924" s="3" t="s">
        <v>20</v>
      </c>
      <c r="H6924" s="2" t="s">
        <v>21</v>
      </c>
      <c r="I6924" s="2" t="s">
        <v>13743</v>
      </c>
      <c r="J6924" s="3" t="str">
        <f>HYPERLINK("https://www.boe.es/gazeta/dias/1823/01/29/pdfs/GMD-1823-30.pdf#page=4","Abrir facsímil")</f>
        <v>Abrir facsímil</v>
      </c>
      <c r="K6924" s="3" t="s">
        <v>23</v>
      </c>
    </row>
    <row r="6925" spans="1:11" ht="42" customHeight="1">
      <c r="A6925" s="2" t="s">
        <v>13744</v>
      </c>
      <c r="B6925" s="2" t="s">
        <v>13744</v>
      </c>
      <c r="C6925" s="2" t="s">
        <v>56</v>
      </c>
      <c r="D6925" s="2" t="s">
        <v>57</v>
      </c>
      <c r="E6925" s="5">
        <v>-27994</v>
      </c>
      <c r="F6925" s="3" t="s">
        <v>714</v>
      </c>
      <c r="G6925" s="3" t="s">
        <v>276</v>
      </c>
      <c r="H6925" s="2" t="s">
        <v>21</v>
      </c>
      <c r="I6925" s="2" t="s">
        <v>13745</v>
      </c>
      <c r="J6925" s="3" t="str">
        <f>HYPERLINK("https://www.boe.es/gazeta/dias/1823/05/09/pdfs/GES-1823-29.pdf#page=7","Abrir facsímil")</f>
        <v>Abrir facsímil</v>
      </c>
      <c r="K6925" s="3" t="s">
        <v>23</v>
      </c>
    </row>
    <row r="6926" spans="1:11" ht="42" customHeight="1">
      <c r="A6926" s="2" t="s">
        <v>13746</v>
      </c>
      <c r="B6926" s="2" t="s">
        <v>13747</v>
      </c>
      <c r="C6926" s="2" t="s">
        <v>17</v>
      </c>
      <c r="D6926" s="2" t="s">
        <v>18</v>
      </c>
      <c r="E6926" s="5">
        <v>-28025</v>
      </c>
      <c r="F6926" s="3" t="s">
        <v>477</v>
      </c>
      <c r="G6926" s="3" t="s">
        <v>48</v>
      </c>
      <c r="H6926" s="2" t="s">
        <v>21</v>
      </c>
      <c r="I6926" s="2" t="s">
        <v>13748</v>
      </c>
      <c r="J6926" s="3" t="str">
        <f>HYPERLINK("https://www.boe.es/gazeta/dias/1823/04/08/pdfs/GMD-1823-103.pdf#page=3","Abrir facsímil")</f>
        <v>Abrir facsímil</v>
      </c>
      <c r="K6926" s="3" t="s">
        <v>23</v>
      </c>
    </row>
    <row r="6927" spans="1:11" ht="42" customHeight="1">
      <c r="A6927" s="2" t="s">
        <v>13749</v>
      </c>
      <c r="B6927" s="2" t="s">
        <v>13750</v>
      </c>
      <c r="C6927" s="2" t="s">
        <v>17</v>
      </c>
      <c r="D6927" s="2" t="s">
        <v>18</v>
      </c>
      <c r="E6927" s="5">
        <v>-28050</v>
      </c>
      <c r="F6927" s="3" t="s">
        <v>473</v>
      </c>
      <c r="G6927" s="3" t="s">
        <v>59</v>
      </c>
      <c r="H6927" s="2" t="s">
        <v>21</v>
      </c>
      <c r="I6927" s="2" t="s">
        <v>13751</v>
      </c>
      <c r="J6927" s="3" t="str">
        <f>HYPERLINK("https://www.boe.es/gazeta/dias/1823/03/14/pdfs/GMD-1823-77.pdf#page=6","Abrir facsímil")</f>
        <v>Abrir facsímil</v>
      </c>
      <c r="K6927" s="3" t="s">
        <v>23</v>
      </c>
    </row>
    <row r="6928" spans="1:11" ht="42" customHeight="1">
      <c r="A6928" s="2" t="s">
        <v>13752</v>
      </c>
      <c r="B6928" s="2" t="s">
        <v>13752</v>
      </c>
      <c r="C6928" s="2" t="s">
        <v>79</v>
      </c>
      <c r="D6928" s="2" t="s">
        <v>74</v>
      </c>
      <c r="E6928" s="5">
        <v>-28032</v>
      </c>
      <c r="F6928" s="3" t="s">
        <v>668</v>
      </c>
      <c r="G6928" s="3" t="s">
        <v>48</v>
      </c>
      <c r="H6928" s="2" t="s">
        <v>21</v>
      </c>
      <c r="I6928" s="2" t="s">
        <v>13753</v>
      </c>
      <c r="J6928" s="3" t="str">
        <f>HYPERLINK("https://www.boe.es/gazeta/dias/1823/04/01/pdfs/GMD-1823-95.pdf#page=3","Abrir facsímil")</f>
        <v>Abrir facsímil</v>
      </c>
      <c r="K6928" s="3" t="s">
        <v>23</v>
      </c>
    </row>
    <row r="6929" spans="1:11" ht="42" customHeight="1">
      <c r="A6929" s="2" t="s">
        <v>13754</v>
      </c>
      <c r="B6929" s="2" t="s">
        <v>13755</v>
      </c>
      <c r="C6929" s="2" t="s">
        <v>109</v>
      </c>
      <c r="D6929" s="2" t="s">
        <v>74</v>
      </c>
      <c r="E6929" s="5">
        <v>-27986</v>
      </c>
      <c r="F6929" s="3" t="s">
        <v>75</v>
      </c>
      <c r="G6929" s="3" t="s">
        <v>27</v>
      </c>
      <c r="H6929" s="2" t="s">
        <v>21</v>
      </c>
      <c r="I6929" s="2" t="s">
        <v>13756</v>
      </c>
      <c r="J6929" s="3" t="str">
        <f>HYPERLINK("https://www.boe.es/gazeta/dias/1823/05/17/pdfs/GES-1823-37.pdf#page=2","Abrir facsímil")</f>
        <v>Abrir facsímil</v>
      </c>
      <c r="K6929" s="3" t="s">
        <v>23</v>
      </c>
    </row>
    <row r="6930" spans="1:11" ht="42" customHeight="1">
      <c r="A6930" s="2" t="s">
        <v>13757</v>
      </c>
      <c r="B6930" s="2" t="s">
        <v>13758</v>
      </c>
      <c r="C6930" s="2" t="s">
        <v>109</v>
      </c>
      <c r="D6930" s="2" t="s">
        <v>74</v>
      </c>
      <c r="E6930" s="5">
        <v>-28001</v>
      </c>
      <c r="F6930" s="3" t="s">
        <v>768</v>
      </c>
      <c r="G6930" s="3" t="s">
        <v>34</v>
      </c>
      <c r="H6930" s="2" t="s">
        <v>21</v>
      </c>
      <c r="I6930" s="2" t="s">
        <v>13759</v>
      </c>
      <c r="J6930" s="3" t="str">
        <f>HYPERLINK("https://www.boe.es/gazeta/dias/1823/05/02/pdfs/GES-1823-22.pdf#page=5","Abrir facsímil")</f>
        <v>Abrir facsímil</v>
      </c>
      <c r="K6930" s="3" t="s">
        <v>23</v>
      </c>
    </row>
    <row r="6931" spans="1:11" ht="42" customHeight="1">
      <c r="A6931" s="2" t="s">
        <v>13760</v>
      </c>
      <c r="B6931" s="2" t="s">
        <v>13761</v>
      </c>
      <c r="C6931" s="2" t="s">
        <v>293</v>
      </c>
      <c r="D6931" s="2" t="s">
        <v>74</v>
      </c>
      <c r="E6931" s="5">
        <v>-28041</v>
      </c>
      <c r="F6931" s="3" t="s">
        <v>873</v>
      </c>
      <c r="G6931" s="3" t="s">
        <v>366</v>
      </c>
      <c r="H6931" s="2" t="s">
        <v>28</v>
      </c>
      <c r="I6931" s="2" t="s">
        <v>13762</v>
      </c>
      <c r="J6931" s="3" t="str">
        <f>HYPERLINK("https://www.boe.es/gazeta/dias/1823/03/23/pdfs/GMD-1823-86.pdf#page=4","Abrir facsímil")</f>
        <v>Abrir facsímil</v>
      </c>
      <c r="K6931" s="3" t="s">
        <v>30</v>
      </c>
    </row>
    <row r="6932" spans="1:11" ht="42" customHeight="1">
      <c r="A6932" s="2" t="s">
        <v>13763</v>
      </c>
      <c r="B6932" s="2" t="s">
        <v>13763</v>
      </c>
      <c r="C6932" s="2" t="s">
        <v>17</v>
      </c>
      <c r="D6932" s="2" t="s">
        <v>18</v>
      </c>
      <c r="E6932" s="5">
        <v>-28091</v>
      </c>
      <c r="F6932" s="3" t="s">
        <v>1047</v>
      </c>
      <c r="G6932" s="3" t="s">
        <v>27</v>
      </c>
      <c r="H6932" s="2" t="s">
        <v>21</v>
      </c>
      <c r="I6932" s="2" t="s">
        <v>13764</v>
      </c>
      <c r="J6932" s="3" t="str">
        <f>HYPERLINK("https://www.boe.es/gazeta/dias/1823/02/01/pdfs/GMD-1823-34.pdf#page=2","Abrir facsímil")</f>
        <v>Abrir facsímil</v>
      </c>
      <c r="K6932" s="3" t="s">
        <v>23</v>
      </c>
    </row>
    <row r="6933" spans="1:11" ht="42" customHeight="1">
      <c r="A6933" s="2" t="s">
        <v>13765</v>
      </c>
      <c r="B6933" s="2" t="s">
        <v>13766</v>
      </c>
      <c r="C6933" s="2" t="s">
        <v>17</v>
      </c>
      <c r="D6933" s="2" t="s">
        <v>18</v>
      </c>
      <c r="E6933" s="5">
        <v>-28007</v>
      </c>
      <c r="F6933" s="3" t="s">
        <v>1190</v>
      </c>
      <c r="G6933" s="3" t="s">
        <v>20</v>
      </c>
      <c r="H6933" s="2" t="s">
        <v>21</v>
      </c>
      <c r="I6933" s="2" t="s">
        <v>13767</v>
      </c>
      <c r="J6933" s="3" t="str">
        <f>HYPERLINK("https://www.boe.es/gazeta/dias/1823/04/26/pdfs/GMD-1823-62.pdf#page=4","Abrir facsímil")</f>
        <v>Abrir facsímil</v>
      </c>
      <c r="K6933" s="3" t="s">
        <v>23</v>
      </c>
    </row>
    <row r="6934" spans="1:11" ht="42" customHeight="1">
      <c r="A6934" s="2" t="s">
        <v>13765</v>
      </c>
      <c r="B6934" s="2" t="s">
        <v>13766</v>
      </c>
      <c r="C6934" s="2" t="s">
        <v>17</v>
      </c>
      <c r="D6934" s="2" t="s">
        <v>18</v>
      </c>
      <c r="E6934" s="5">
        <v>-28003</v>
      </c>
      <c r="F6934" s="3" t="s">
        <v>26</v>
      </c>
      <c r="G6934" s="3" t="s">
        <v>27</v>
      </c>
      <c r="H6934" s="2" t="s">
        <v>21</v>
      </c>
      <c r="I6934" s="2" t="s">
        <v>13768</v>
      </c>
      <c r="J6934" s="3" t="str">
        <f>HYPERLINK("https://www.boe.es/gazeta/dias/1823/04/30/pdfs/GES-1823-20.pdf#page=2","Abrir facsímil")</f>
        <v>Abrir facsímil</v>
      </c>
      <c r="K6934" s="3" t="s">
        <v>23</v>
      </c>
    </row>
    <row r="6935" spans="1:11" ht="42" customHeight="1">
      <c r="A6935" s="2" t="s">
        <v>13769</v>
      </c>
      <c r="B6935" s="2" t="s">
        <v>13769</v>
      </c>
      <c r="C6935" s="2" t="s">
        <v>293</v>
      </c>
      <c r="D6935" s="2" t="s">
        <v>74</v>
      </c>
      <c r="E6935" s="5">
        <v>-28013</v>
      </c>
      <c r="F6935" s="3" t="s">
        <v>105</v>
      </c>
      <c r="G6935" s="3" t="s">
        <v>20</v>
      </c>
      <c r="H6935" s="2" t="s">
        <v>21</v>
      </c>
      <c r="I6935" s="2" t="s">
        <v>13770</v>
      </c>
      <c r="J6935" s="3" t="str">
        <f>HYPERLINK("https://www.boe.es/gazeta/dias/1823/04/20/pdfs/GMD-1823-32.pdf#page=4","Abrir facsímil")</f>
        <v>Abrir facsímil</v>
      </c>
      <c r="K6935" s="3" t="s">
        <v>23</v>
      </c>
    </row>
    <row r="6936" spans="1:11" ht="42" customHeight="1">
      <c r="A6936" s="2" t="s">
        <v>13771</v>
      </c>
      <c r="B6936" s="2" t="s">
        <v>13772</v>
      </c>
      <c r="C6936" s="2" t="s">
        <v>79</v>
      </c>
      <c r="D6936" s="2" t="s">
        <v>74</v>
      </c>
      <c r="E6936" s="5">
        <v>-28065</v>
      </c>
      <c r="F6936" s="3" t="s">
        <v>686</v>
      </c>
      <c r="G6936" s="3" t="s">
        <v>20</v>
      </c>
      <c r="H6936" s="2" t="s">
        <v>21</v>
      </c>
      <c r="I6936" s="2" t="s">
        <v>13773</v>
      </c>
      <c r="J6936" s="3" t="str">
        <f>HYPERLINK("https://www.boe.es/gazeta/dias/1823/02/27/pdfs/GMD-1823-61.pdf#page=4","Abrir facsímil")</f>
        <v>Abrir facsímil</v>
      </c>
      <c r="K6936" s="3" t="s">
        <v>23</v>
      </c>
    </row>
    <row r="6937" spans="1:11" ht="42" customHeight="1">
      <c r="A6937" s="2" t="s">
        <v>13774</v>
      </c>
      <c r="B6937" s="2" t="s">
        <v>13775</v>
      </c>
      <c r="C6937" s="2" t="s">
        <v>17</v>
      </c>
      <c r="D6937" s="2" t="s">
        <v>18</v>
      </c>
      <c r="E6937" s="5">
        <v>-27906</v>
      </c>
      <c r="F6937" s="3" t="s">
        <v>241</v>
      </c>
      <c r="G6937" s="3" t="s">
        <v>59</v>
      </c>
      <c r="H6937" s="2" t="s">
        <v>21</v>
      </c>
      <c r="I6937" s="2" t="s">
        <v>13776</v>
      </c>
      <c r="J6937" s="3" t="str">
        <f>HYPERLINK("https://www.boe.es/gazeta/dias/1823/08/05/pdfs/GES-1823-117.pdf#page=6","Abrir facsímil")</f>
        <v>Abrir facsímil</v>
      </c>
      <c r="K6937" s="3" t="s">
        <v>23</v>
      </c>
    </row>
    <row r="6938" spans="1:11" ht="42" customHeight="1">
      <c r="A6938" s="2" t="s">
        <v>13777</v>
      </c>
      <c r="B6938" s="2" t="s">
        <v>13777</v>
      </c>
      <c r="C6938" s="2" t="s">
        <v>109</v>
      </c>
      <c r="D6938" s="2" t="s">
        <v>74</v>
      </c>
      <c r="E6938" s="5">
        <v>-28011</v>
      </c>
      <c r="F6938" s="3" t="s">
        <v>3326</v>
      </c>
      <c r="G6938" s="3" t="s">
        <v>20</v>
      </c>
      <c r="H6938" s="2" t="s">
        <v>21</v>
      </c>
      <c r="I6938" s="2" t="s">
        <v>13778</v>
      </c>
      <c r="J6938" s="3" t="str">
        <f>HYPERLINK("https://www.boe.es/gazeta/dias/1823/04/22/pdfs/GES-1823-12.pdf#page=4","Abrir facsímil")</f>
        <v>Abrir facsímil</v>
      </c>
      <c r="K6938" s="3" t="s">
        <v>23</v>
      </c>
    </row>
    <row r="6939" spans="1:11" ht="42" customHeight="1">
      <c r="A6939" s="2" t="s">
        <v>13779</v>
      </c>
      <c r="B6939" s="2" t="s">
        <v>13780</v>
      </c>
      <c r="C6939" s="2" t="s">
        <v>17</v>
      </c>
      <c r="D6939" s="2" t="s">
        <v>18</v>
      </c>
      <c r="E6939" s="5">
        <v>-28079</v>
      </c>
      <c r="F6939" s="3" t="s">
        <v>178</v>
      </c>
      <c r="G6939" s="3" t="s">
        <v>20</v>
      </c>
      <c r="H6939" s="2" t="s">
        <v>21</v>
      </c>
      <c r="I6939" s="2" t="s">
        <v>13781</v>
      </c>
      <c r="J6939" s="3" t="str">
        <f>HYPERLINK("https://www.boe.es/gazeta/dias/1823/02/13/pdfs/GMD-1823-47.pdf#page=4","Abrir facsímil")</f>
        <v>Abrir facsímil</v>
      </c>
      <c r="K6939" s="3" t="s">
        <v>23</v>
      </c>
    </row>
    <row r="6940" spans="1:11" ht="42" customHeight="1">
      <c r="A6940" s="2" t="s">
        <v>13782</v>
      </c>
      <c r="B6940" s="2" t="s">
        <v>13783</v>
      </c>
      <c r="C6940" s="2" t="s">
        <v>17</v>
      </c>
      <c r="D6940" s="2" t="s">
        <v>18</v>
      </c>
      <c r="E6940" s="5">
        <v>-27939</v>
      </c>
      <c r="F6940" s="3" t="s">
        <v>1403</v>
      </c>
      <c r="G6940" s="3" t="s">
        <v>715</v>
      </c>
      <c r="H6940" s="2" t="s">
        <v>21</v>
      </c>
      <c r="I6940" s="2" t="s">
        <v>13784</v>
      </c>
      <c r="J6940" s="3" t="str">
        <f>HYPERLINK("https://www.boe.es/gazeta/dias/1823/07/03/pdfs/GMD-1823-333.pdf#page=8","Abrir facsímil")</f>
        <v>Abrir facsímil</v>
      </c>
      <c r="K6940" s="3" t="s">
        <v>23</v>
      </c>
    </row>
    <row r="6941" spans="1:11" ht="42" customHeight="1">
      <c r="A6941" s="2" t="s">
        <v>13782</v>
      </c>
      <c r="B6941" s="2" t="s">
        <v>13783</v>
      </c>
      <c r="C6941" s="2" t="s">
        <v>17</v>
      </c>
      <c r="D6941" s="2" t="s">
        <v>18</v>
      </c>
      <c r="E6941" s="5">
        <v>-27927</v>
      </c>
      <c r="F6941" s="3" t="s">
        <v>2409</v>
      </c>
      <c r="G6941" s="3" t="s">
        <v>39</v>
      </c>
      <c r="H6941" s="2" t="s">
        <v>21</v>
      </c>
      <c r="I6941" s="2" t="s">
        <v>13785</v>
      </c>
      <c r="J6941" s="3" t="str">
        <f>HYPERLINK("https://www.boe.es/gazeta/dias/1823/07/15/pdfs/GMD-1823-403.pdf#page=1","Abrir facsímil")</f>
        <v>Abrir facsímil</v>
      </c>
      <c r="K6941" s="3" t="s">
        <v>23</v>
      </c>
    </row>
    <row r="6942" spans="1:11" ht="42" customHeight="1">
      <c r="A6942" s="2" t="s">
        <v>13786</v>
      </c>
      <c r="B6942" s="2" t="s">
        <v>13787</v>
      </c>
      <c r="C6942" s="2" t="s">
        <v>17</v>
      </c>
      <c r="D6942" s="2" t="s">
        <v>18</v>
      </c>
      <c r="E6942" s="5">
        <v>-28085</v>
      </c>
      <c r="F6942" s="3" t="s">
        <v>458</v>
      </c>
      <c r="G6942" s="3" t="s">
        <v>59</v>
      </c>
      <c r="H6942" s="2" t="s">
        <v>21</v>
      </c>
      <c r="I6942" s="2" t="s">
        <v>13788</v>
      </c>
      <c r="J6942" s="3" t="str">
        <f>HYPERLINK("https://www.boe.es/gazeta/dias/1823/02/07/pdfs/GMD-1823-40.pdf#page=6","Abrir facsímil")</f>
        <v>Abrir facsímil</v>
      </c>
      <c r="K6942" s="3" t="s">
        <v>23</v>
      </c>
    </row>
    <row r="6943" spans="1:11" ht="42" customHeight="1">
      <c r="A6943" s="2" t="s">
        <v>13789</v>
      </c>
      <c r="B6943" s="2" t="s">
        <v>13789</v>
      </c>
      <c r="C6943" s="2" t="s">
        <v>17</v>
      </c>
      <c r="D6943" s="2" t="s">
        <v>18</v>
      </c>
      <c r="E6943" s="5">
        <v>-28085</v>
      </c>
      <c r="F6943" s="3" t="s">
        <v>458</v>
      </c>
      <c r="G6943" s="3" t="s">
        <v>59</v>
      </c>
      <c r="H6943" s="2" t="s">
        <v>21</v>
      </c>
      <c r="I6943" s="2" t="s">
        <v>13790</v>
      </c>
      <c r="J6943" s="3" t="str">
        <f>HYPERLINK("https://www.boe.es/gazeta/dias/1823/02/07/pdfs/GMD-1823-40.pdf#page=6","Abrir facsímil")</f>
        <v>Abrir facsímil</v>
      </c>
      <c r="K6943" s="3" t="s">
        <v>23</v>
      </c>
    </row>
    <row r="6944" spans="1:11" ht="42" customHeight="1">
      <c r="A6944" s="2" t="s">
        <v>13789</v>
      </c>
      <c r="B6944" s="2" t="s">
        <v>13789</v>
      </c>
      <c r="C6944" s="2" t="s">
        <v>73</v>
      </c>
      <c r="D6944" s="2" t="s">
        <v>74</v>
      </c>
      <c r="E6944" s="5">
        <v>-28064</v>
      </c>
      <c r="F6944" s="3" t="s">
        <v>1190</v>
      </c>
      <c r="G6944" s="3" t="s">
        <v>20</v>
      </c>
      <c r="H6944" s="2" t="s">
        <v>21</v>
      </c>
      <c r="I6944" s="2" t="s">
        <v>13791</v>
      </c>
      <c r="J6944" s="3" t="str">
        <f>HYPERLINK("https://www.boe.es/gazeta/dias/1823/02/28/pdfs/GMD-1823-62.pdf#page=4","Abrir facsímil")</f>
        <v>Abrir facsímil</v>
      </c>
      <c r="K6944" s="3" t="s">
        <v>23</v>
      </c>
    </row>
    <row r="6945" spans="1:11" ht="42" customHeight="1">
      <c r="A6945" s="2" t="s">
        <v>13789</v>
      </c>
      <c r="B6945" s="2" t="s">
        <v>13789</v>
      </c>
      <c r="C6945" s="2" t="s">
        <v>79</v>
      </c>
      <c r="D6945" s="2" t="s">
        <v>74</v>
      </c>
      <c r="E6945" s="5">
        <v>-28004</v>
      </c>
      <c r="F6945" s="3" t="s">
        <v>313</v>
      </c>
      <c r="G6945" s="3" t="s">
        <v>20</v>
      </c>
      <c r="H6945" s="2" t="s">
        <v>21</v>
      </c>
      <c r="I6945" s="2" t="s">
        <v>13792</v>
      </c>
      <c r="J6945" s="3" t="str">
        <f>HYPERLINK("https://www.boe.es/gazeta/dias/1823/04/29/pdfs/GMD-1823-72.pdf#page=4","Abrir facsímil")</f>
        <v>Abrir facsímil</v>
      </c>
      <c r="K6945" s="3" t="s">
        <v>23</v>
      </c>
    </row>
    <row r="6946" spans="1:11" ht="42" customHeight="1">
      <c r="A6946" s="2" t="s">
        <v>13789</v>
      </c>
      <c r="B6946" s="2" t="s">
        <v>13789</v>
      </c>
      <c r="C6946" s="2" t="s">
        <v>79</v>
      </c>
      <c r="D6946" s="2" t="s">
        <v>117</v>
      </c>
      <c r="E6946" s="5">
        <v>-27958</v>
      </c>
      <c r="F6946" s="3" t="s">
        <v>163</v>
      </c>
      <c r="G6946" s="3" t="s">
        <v>27</v>
      </c>
      <c r="H6946" s="2" t="s">
        <v>21</v>
      </c>
      <c r="I6946" s="2" t="s">
        <v>13793</v>
      </c>
      <c r="J6946" s="3" t="str">
        <f>HYPERLINK("https://www.boe.es/gazeta/dias/1823/06/14/pdfs/GMD-1823-163E.pdf#page=2","Abrir facsímil")</f>
        <v>Abrir facsímil</v>
      </c>
      <c r="K6946" s="3" t="s">
        <v>23</v>
      </c>
    </row>
    <row r="6947" spans="1:11" ht="42" customHeight="1">
      <c r="A6947" s="2" t="s">
        <v>13789</v>
      </c>
      <c r="B6947" s="2" t="s">
        <v>13789</v>
      </c>
      <c r="C6947" s="2" t="s">
        <v>17</v>
      </c>
      <c r="D6947" s="2" t="s">
        <v>18</v>
      </c>
      <c r="E6947" s="5">
        <v>-27890</v>
      </c>
      <c r="F6947" s="3" t="s">
        <v>1573</v>
      </c>
      <c r="G6947" s="3" t="s">
        <v>39</v>
      </c>
      <c r="H6947" s="2" t="s">
        <v>21</v>
      </c>
      <c r="I6947" s="2" t="s">
        <v>13794</v>
      </c>
      <c r="J6947" s="3" t="str">
        <f>HYPERLINK("https://www.boe.es/gazeta/dias/1823/08/21/pdfs/GMD-1823-623.pdf#page=1","Abrir facsímil")</f>
        <v>Abrir facsímil</v>
      </c>
      <c r="K6947" s="3" t="s">
        <v>23</v>
      </c>
    </row>
    <row r="6948" spans="1:11" ht="42" customHeight="1">
      <c r="A6948" s="2" t="s">
        <v>13795</v>
      </c>
      <c r="B6948" s="2" t="s">
        <v>13796</v>
      </c>
      <c r="C6948" s="2" t="s">
        <v>84</v>
      </c>
      <c r="D6948" s="2" t="s">
        <v>74</v>
      </c>
      <c r="E6948" s="5">
        <v>-28038</v>
      </c>
      <c r="F6948" s="3" t="s">
        <v>2379</v>
      </c>
      <c r="G6948" s="3" t="s">
        <v>20</v>
      </c>
      <c r="H6948" s="2" t="s">
        <v>21</v>
      </c>
      <c r="I6948" s="2" t="s">
        <v>13797</v>
      </c>
      <c r="J6948" s="3" t="str">
        <f>HYPERLINK("https://www.boe.es/gazeta/dias/1823/03/26/pdfs/GMD-1823-89.pdf#page=4","Abrir facsímil")</f>
        <v>Abrir facsímil</v>
      </c>
      <c r="K6948" s="3" t="s">
        <v>23</v>
      </c>
    </row>
    <row r="6949" spans="1:11" ht="42" customHeight="1">
      <c r="A6949" s="2" t="s">
        <v>13798</v>
      </c>
      <c r="B6949" s="2" t="s">
        <v>13799</v>
      </c>
      <c r="C6949" s="2" t="s">
        <v>17</v>
      </c>
      <c r="D6949" s="2" t="s">
        <v>18</v>
      </c>
      <c r="E6949" s="5">
        <v>-27904</v>
      </c>
      <c r="F6949" s="3" t="s">
        <v>1227</v>
      </c>
      <c r="G6949" s="3" t="s">
        <v>59</v>
      </c>
      <c r="H6949" s="2" t="s">
        <v>21</v>
      </c>
      <c r="I6949" s="2" t="s">
        <v>13800</v>
      </c>
      <c r="J6949" s="3" t="str">
        <f>HYPERLINK("https://www.boe.es/gazeta/dias/1823/08/07/pdfs/GMD-1823-543.pdf#page=6","Abrir facsímil")</f>
        <v>Abrir facsímil</v>
      </c>
      <c r="K6949" s="3" t="s">
        <v>23</v>
      </c>
    </row>
    <row r="6950" spans="1:11" ht="42" customHeight="1">
      <c r="A6950" s="2" t="s">
        <v>13801</v>
      </c>
      <c r="B6950" s="2" t="s">
        <v>13802</v>
      </c>
      <c r="C6950" s="2" t="s">
        <v>17</v>
      </c>
      <c r="D6950" s="2" t="s">
        <v>18</v>
      </c>
      <c r="E6950" s="5">
        <v>-27906</v>
      </c>
      <c r="F6950" s="3" t="s">
        <v>241</v>
      </c>
      <c r="G6950" s="3" t="s">
        <v>34</v>
      </c>
      <c r="H6950" s="2" t="s">
        <v>21</v>
      </c>
      <c r="I6950" s="2" t="s">
        <v>13803</v>
      </c>
      <c r="J6950" s="3" t="str">
        <f>HYPERLINK("https://www.boe.es/gazeta/dias/1823/08/05/pdfs/GES-1823-117.pdf#page=5","Abrir facsímil")</f>
        <v>Abrir facsímil</v>
      </c>
      <c r="K6950" s="3" t="s">
        <v>23</v>
      </c>
    </row>
    <row r="6951" spans="1:11" ht="42" customHeight="1">
      <c r="A6951" s="2" t="s">
        <v>13804</v>
      </c>
      <c r="B6951" s="2" t="s">
        <v>13805</v>
      </c>
      <c r="C6951" s="2" t="s">
        <v>17</v>
      </c>
      <c r="D6951" s="2" t="s">
        <v>18</v>
      </c>
      <c r="E6951" s="5">
        <v>-28044</v>
      </c>
      <c r="F6951" s="3" t="s">
        <v>1930</v>
      </c>
      <c r="G6951" s="3" t="s">
        <v>20</v>
      </c>
      <c r="H6951" s="2" t="s">
        <v>21</v>
      </c>
      <c r="I6951" s="2" t="s">
        <v>13806</v>
      </c>
      <c r="J6951" s="3" t="str">
        <f>HYPERLINK("https://www.boe.es/gazeta/dias/1823/03/20/pdfs/GMD-1823-83.pdf#page=4","Abrir facsímil")</f>
        <v>Abrir facsímil</v>
      </c>
      <c r="K6951" s="3" t="s">
        <v>23</v>
      </c>
    </row>
    <row r="6952" spans="1:11" ht="42" customHeight="1">
      <c r="A6952" s="2" t="s">
        <v>13807</v>
      </c>
      <c r="B6952" s="2" t="s">
        <v>13807</v>
      </c>
      <c r="C6952" s="2" t="s">
        <v>79</v>
      </c>
      <c r="D6952" s="2" t="s">
        <v>74</v>
      </c>
      <c r="E6952" s="5">
        <v>-27885</v>
      </c>
      <c r="F6952" s="3" t="s">
        <v>65</v>
      </c>
      <c r="G6952" s="3" t="s">
        <v>48</v>
      </c>
      <c r="H6952" s="2" t="s">
        <v>21</v>
      </c>
      <c r="I6952" s="2" t="s">
        <v>13808</v>
      </c>
      <c r="J6952" s="3" t="str">
        <f>HYPERLINK("https://www.boe.es/gazeta/dias/1823/08/26/pdfs/GMD-1823-653.pdf#page=3","Abrir facsímil")</f>
        <v>Abrir facsímil</v>
      </c>
      <c r="K6952" s="3" t="s">
        <v>23</v>
      </c>
    </row>
    <row r="6953" spans="1:11" ht="42" customHeight="1">
      <c r="A6953" s="2" t="s">
        <v>13809</v>
      </c>
      <c r="B6953" s="2" t="s">
        <v>13810</v>
      </c>
      <c r="C6953" s="2" t="s">
        <v>17</v>
      </c>
      <c r="D6953" s="2" t="s">
        <v>18</v>
      </c>
      <c r="E6953" s="5">
        <v>-28055</v>
      </c>
      <c r="F6953" s="3" t="s">
        <v>313</v>
      </c>
      <c r="G6953" s="3" t="s">
        <v>20</v>
      </c>
      <c r="H6953" s="2" t="s">
        <v>21</v>
      </c>
      <c r="I6953" s="2" t="s">
        <v>13811</v>
      </c>
      <c r="J6953" s="3" t="str">
        <f>HYPERLINK("https://www.boe.es/gazeta/dias/1823/03/09/pdfs/GMD-1823-72.pdf#page=4","Abrir facsímil")</f>
        <v>Abrir facsímil</v>
      </c>
      <c r="K6953" s="3" t="s">
        <v>23</v>
      </c>
    </row>
    <row r="6954" spans="1:11" ht="42" customHeight="1">
      <c r="A6954" s="2" t="s">
        <v>13812</v>
      </c>
      <c r="B6954" s="2" t="s">
        <v>13813</v>
      </c>
      <c r="C6954" s="2" t="s">
        <v>17</v>
      </c>
      <c r="D6954" s="2" t="s">
        <v>18</v>
      </c>
      <c r="E6954" s="5">
        <v>-28059</v>
      </c>
      <c r="F6954" s="3" t="s">
        <v>149</v>
      </c>
      <c r="G6954" s="3" t="s">
        <v>48</v>
      </c>
      <c r="H6954" s="2" t="s">
        <v>28</v>
      </c>
      <c r="I6954" s="2" t="s">
        <v>13814</v>
      </c>
      <c r="J6954" s="3" t="str">
        <f>HYPERLINK("https://www.boe.es/gazeta/dias/1823/03/05/pdfs/GMD-1823-68.pdf#page=3","Abrir facsímil")</f>
        <v>Abrir facsímil</v>
      </c>
      <c r="K6954" s="3" t="s">
        <v>30</v>
      </c>
    </row>
    <row r="6955" spans="1:11" ht="42" customHeight="1">
      <c r="A6955" s="2" t="s">
        <v>13815</v>
      </c>
      <c r="B6955" s="2" t="s">
        <v>13815</v>
      </c>
      <c r="C6955" s="2" t="s">
        <v>17</v>
      </c>
      <c r="D6955" s="2" t="s">
        <v>18</v>
      </c>
      <c r="E6955" s="5">
        <v>-27918</v>
      </c>
      <c r="F6955" s="3" t="s">
        <v>218</v>
      </c>
      <c r="G6955" s="3" t="s">
        <v>48</v>
      </c>
      <c r="H6955" s="2" t="s">
        <v>21</v>
      </c>
      <c r="I6955" s="2" t="s">
        <v>13816</v>
      </c>
      <c r="J6955" s="3" t="str">
        <f>HYPERLINK("https://www.boe.es/gazeta/dias/1823/07/24/pdfs/GMD-1823-463.pdf#page=3","Abrir facsímil")</f>
        <v>Abrir facsímil</v>
      </c>
      <c r="K6955" s="3" t="s">
        <v>23</v>
      </c>
    </row>
    <row r="6956" spans="1:11" ht="42" customHeight="1">
      <c r="A6956" s="2" t="s">
        <v>13817</v>
      </c>
      <c r="B6956" s="2" t="s">
        <v>13818</v>
      </c>
      <c r="C6956" s="2" t="s">
        <v>56</v>
      </c>
      <c r="D6956" s="2" t="s">
        <v>57</v>
      </c>
      <c r="E6956" s="5">
        <v>-28011</v>
      </c>
      <c r="F6956" s="3" t="s">
        <v>3326</v>
      </c>
      <c r="G6956" s="3" t="s">
        <v>20</v>
      </c>
      <c r="H6956" s="2" t="s">
        <v>21</v>
      </c>
      <c r="I6956" s="2" t="s">
        <v>13819</v>
      </c>
      <c r="J6956" s="3" t="str">
        <f>HYPERLINK("https://www.boe.es/gazeta/dias/1823/04/22/pdfs/GES-1823-12.pdf#page=4","Abrir facsímil")</f>
        <v>Abrir facsímil</v>
      </c>
      <c r="K6956" s="3" t="s">
        <v>23</v>
      </c>
    </row>
    <row r="6957" spans="1:11" ht="42" customHeight="1">
      <c r="A6957" s="2" t="s">
        <v>13820</v>
      </c>
      <c r="B6957" s="2" t="s">
        <v>13820</v>
      </c>
      <c r="C6957" s="2" t="s">
        <v>79</v>
      </c>
      <c r="D6957" s="2" t="s">
        <v>74</v>
      </c>
      <c r="E6957" s="5">
        <v>-28042</v>
      </c>
      <c r="F6957" s="3" t="s">
        <v>1218</v>
      </c>
      <c r="G6957" s="3" t="s">
        <v>39</v>
      </c>
      <c r="H6957" s="2" t="s">
        <v>21</v>
      </c>
      <c r="I6957" s="2" t="s">
        <v>13821</v>
      </c>
      <c r="J6957" s="3" t="str">
        <f>HYPERLINK("https://www.boe.es/gazeta/dias/1823/03/22/pdfs/GMD-1823-85.pdf#page=1","Abrir facsímil")</f>
        <v>Abrir facsímil</v>
      </c>
      <c r="K6957" s="3" t="s">
        <v>23</v>
      </c>
    </row>
    <row r="6958" spans="1:11" ht="42" customHeight="1">
      <c r="A6958" s="2" t="s">
        <v>13822</v>
      </c>
      <c r="B6958" s="2" t="s">
        <v>13823</v>
      </c>
      <c r="C6958" s="2" t="s">
        <v>17</v>
      </c>
      <c r="D6958" s="2" t="s">
        <v>18</v>
      </c>
      <c r="E6958" s="5">
        <v>-27913</v>
      </c>
      <c r="F6958" s="3" t="s">
        <v>829</v>
      </c>
      <c r="G6958" s="3" t="s">
        <v>39</v>
      </c>
      <c r="H6958" s="2" t="s">
        <v>21</v>
      </c>
      <c r="I6958" s="2" t="s">
        <v>13824</v>
      </c>
      <c r="J6958" s="3" t="str">
        <f>HYPERLINK("https://www.boe.es/gazeta/dias/1823/07/29/pdfs/GMD-1823-483.pdf#page=1","Abrir facsímil")</f>
        <v>Abrir facsímil</v>
      </c>
      <c r="K6958" s="3" t="s">
        <v>23</v>
      </c>
    </row>
    <row r="6959" spans="1:11" ht="42" customHeight="1">
      <c r="A6959" s="2" t="s">
        <v>13825</v>
      </c>
      <c r="B6959" s="2" t="s">
        <v>13826</v>
      </c>
      <c r="C6959" s="2" t="s">
        <v>325</v>
      </c>
      <c r="D6959" s="2" t="s">
        <v>74</v>
      </c>
      <c r="E6959" s="5">
        <v>-28061</v>
      </c>
      <c r="F6959" s="3" t="s">
        <v>704</v>
      </c>
      <c r="G6959" s="3" t="s">
        <v>59</v>
      </c>
      <c r="H6959" s="2" t="s">
        <v>21</v>
      </c>
      <c r="I6959" s="2" t="s">
        <v>13827</v>
      </c>
      <c r="J6959" s="3" t="str">
        <f>HYPERLINK("https://www.boe.es/gazeta/dias/1823/03/03/pdfs/GMD-1823-66.pdf#page=6","Abrir facsímil")</f>
        <v>Abrir facsímil</v>
      </c>
      <c r="K6959" s="3" t="s">
        <v>23</v>
      </c>
    </row>
    <row r="6960" spans="1:11" ht="42" customHeight="1">
      <c r="A6960" s="2" t="s">
        <v>13828</v>
      </c>
      <c r="B6960" s="2" t="s">
        <v>13829</v>
      </c>
      <c r="C6960" s="2" t="s">
        <v>17</v>
      </c>
      <c r="D6960" s="2" t="s">
        <v>18</v>
      </c>
      <c r="E6960" s="5">
        <v>-27910</v>
      </c>
      <c r="F6960" s="3" t="s">
        <v>38</v>
      </c>
      <c r="G6960" s="3" t="s">
        <v>39</v>
      </c>
      <c r="H6960" s="2" t="s">
        <v>21</v>
      </c>
      <c r="I6960" s="2" t="s">
        <v>13830</v>
      </c>
      <c r="J6960" s="3" t="str">
        <f>HYPERLINK("https://www.boe.es/gazeta/dias/1823/08/01/pdfs/GES-1823-113.pdf#page=1","Abrir facsímil")</f>
        <v>Abrir facsímil</v>
      </c>
      <c r="K6960" s="3" t="s">
        <v>23</v>
      </c>
    </row>
    <row r="6961" spans="1:11" ht="42" customHeight="1">
      <c r="A6961" s="2" t="s">
        <v>13831</v>
      </c>
      <c r="B6961" s="2" t="s">
        <v>13832</v>
      </c>
      <c r="C6961" s="2" t="s">
        <v>56</v>
      </c>
      <c r="D6961" s="2" t="s">
        <v>57</v>
      </c>
      <c r="E6961" s="5">
        <v>-27937</v>
      </c>
      <c r="F6961" s="3" t="s">
        <v>897</v>
      </c>
      <c r="G6961" s="3" t="s">
        <v>20</v>
      </c>
      <c r="H6961" s="2" t="s">
        <v>21</v>
      </c>
      <c r="I6961" s="2" t="s">
        <v>13833</v>
      </c>
      <c r="J6961" s="3" t="str">
        <f>HYPERLINK("https://www.boe.es/gazeta/dias/1823/07/05/pdfs/GMD-1823-343.pdf#page=4","Abrir facsímil")</f>
        <v>Abrir facsímil</v>
      </c>
      <c r="K6961" s="3" t="s">
        <v>23</v>
      </c>
    </row>
    <row r="6962" spans="1:11" ht="42" customHeight="1">
      <c r="A6962" s="2" t="s">
        <v>13834</v>
      </c>
      <c r="B6962" s="2" t="s">
        <v>13834</v>
      </c>
      <c r="C6962" s="2" t="s">
        <v>109</v>
      </c>
      <c r="D6962" s="2" t="s">
        <v>74</v>
      </c>
      <c r="E6962" s="5">
        <v>-28082</v>
      </c>
      <c r="F6962" s="3" t="s">
        <v>468</v>
      </c>
      <c r="G6962" s="3" t="s">
        <v>39</v>
      </c>
      <c r="H6962" s="2" t="s">
        <v>21</v>
      </c>
      <c r="I6962" s="2" t="s">
        <v>13835</v>
      </c>
      <c r="J6962" s="3" t="str">
        <f>HYPERLINK("https://www.boe.es/gazeta/dias/1823/02/10/pdfs/GMD-1823-44.pdf#page=1","Abrir facsímil")</f>
        <v>Abrir facsímil</v>
      </c>
      <c r="K6962" s="3" t="s">
        <v>23</v>
      </c>
    </row>
    <row r="6963" spans="1:11" ht="42" customHeight="1">
      <c r="A6963" s="2" t="s">
        <v>13836</v>
      </c>
      <c r="B6963" s="2" t="s">
        <v>13837</v>
      </c>
      <c r="C6963" s="2" t="s">
        <v>56</v>
      </c>
      <c r="D6963" s="2" t="s">
        <v>57</v>
      </c>
      <c r="E6963" s="5">
        <v>-28047</v>
      </c>
      <c r="F6963" s="3" t="s">
        <v>2269</v>
      </c>
      <c r="G6963" s="3" t="s">
        <v>48</v>
      </c>
      <c r="H6963" s="2" t="s">
        <v>21</v>
      </c>
      <c r="I6963" s="2" t="s">
        <v>13838</v>
      </c>
      <c r="J6963" s="3" t="str">
        <f>HYPERLINK("https://www.boe.es/gazeta/dias/1823/03/17/pdfs/GMD-1823-80.pdf#page=3","Abrir facsímil")</f>
        <v>Abrir facsímil</v>
      </c>
      <c r="K6963" s="3" t="s">
        <v>23</v>
      </c>
    </row>
    <row r="6964" spans="1:11" ht="42" customHeight="1">
      <c r="A6964" s="2" t="s">
        <v>13839</v>
      </c>
      <c r="B6964" s="2" t="s">
        <v>13840</v>
      </c>
      <c r="C6964" s="2" t="s">
        <v>17</v>
      </c>
      <c r="D6964" s="2" t="s">
        <v>18</v>
      </c>
      <c r="E6964" s="5">
        <v>-28050</v>
      </c>
      <c r="F6964" s="3" t="s">
        <v>473</v>
      </c>
      <c r="G6964" s="3" t="s">
        <v>34</v>
      </c>
      <c r="H6964" s="2" t="s">
        <v>21</v>
      </c>
      <c r="I6964" s="2" t="s">
        <v>13841</v>
      </c>
      <c r="J6964" s="3" t="str">
        <f>HYPERLINK("https://www.boe.es/gazeta/dias/1823/03/14/pdfs/GMD-1823-77.pdf#page=5","Abrir facsímil")</f>
        <v>Abrir facsímil</v>
      </c>
      <c r="K6964" s="3" t="s">
        <v>23</v>
      </c>
    </row>
    <row r="6965" spans="1:11" ht="42" customHeight="1">
      <c r="A6965" s="2" t="s">
        <v>13842</v>
      </c>
      <c r="B6965" s="2" t="s">
        <v>13843</v>
      </c>
      <c r="C6965" s="2" t="s">
        <v>17</v>
      </c>
      <c r="D6965" s="2" t="s">
        <v>18</v>
      </c>
      <c r="E6965" s="5">
        <v>-27984</v>
      </c>
      <c r="F6965" s="3" t="s">
        <v>335</v>
      </c>
      <c r="G6965" s="3" t="s">
        <v>27</v>
      </c>
      <c r="H6965" s="2" t="s">
        <v>21</v>
      </c>
      <c r="I6965" s="2" t="s">
        <v>13844</v>
      </c>
      <c r="J6965" s="3" t="str">
        <f>HYPERLINK("https://www.boe.es/gazeta/dias/1823/05/19/pdfs/GES-1823-39.pdf#page=2","Abrir facsímil")</f>
        <v>Abrir facsímil</v>
      </c>
      <c r="K6965" s="3" t="s">
        <v>23</v>
      </c>
    </row>
    <row r="6966" spans="1:11" ht="42" customHeight="1">
      <c r="A6966" s="2" t="s">
        <v>13845</v>
      </c>
      <c r="B6966" s="2" t="s">
        <v>13846</v>
      </c>
      <c r="C6966" s="2" t="s">
        <v>293</v>
      </c>
      <c r="D6966" s="2" t="s">
        <v>74</v>
      </c>
      <c r="E6966" s="5">
        <v>-28037</v>
      </c>
      <c r="F6966" s="3" t="s">
        <v>192</v>
      </c>
      <c r="G6966" s="3" t="s">
        <v>39</v>
      </c>
      <c r="H6966" s="2" t="s">
        <v>21</v>
      </c>
      <c r="I6966" s="2" t="s">
        <v>13847</v>
      </c>
      <c r="J6966" s="3" t="str">
        <f>HYPERLINK("https://www.boe.es/gazeta/dias/1823/03/27/pdfs/GMD-1823-90.pdf#page=1","Abrir facsímil")</f>
        <v>Abrir facsímil</v>
      </c>
      <c r="K6966" s="3" t="s">
        <v>23</v>
      </c>
    </row>
    <row r="6967" spans="1:11" ht="42" customHeight="1">
      <c r="A6967" s="2" t="s">
        <v>13848</v>
      </c>
      <c r="B6967" s="2" t="s">
        <v>13848</v>
      </c>
      <c r="C6967" s="2" t="s">
        <v>109</v>
      </c>
      <c r="D6967" s="2" t="s">
        <v>74</v>
      </c>
      <c r="E6967" s="5">
        <v>-27984</v>
      </c>
      <c r="F6967" s="3" t="s">
        <v>335</v>
      </c>
      <c r="G6967" s="3" t="s">
        <v>34</v>
      </c>
      <c r="H6967" s="2" t="s">
        <v>21</v>
      </c>
      <c r="I6967" s="2" t="s">
        <v>13849</v>
      </c>
      <c r="J6967" s="3" t="str">
        <f>HYPERLINK("https://www.boe.es/gazeta/dias/1823/05/19/pdfs/GES-1823-39.pdf#page=5","Abrir facsímil")</f>
        <v>Abrir facsímil</v>
      </c>
      <c r="K6967" s="3" t="s">
        <v>23</v>
      </c>
    </row>
    <row r="6968" spans="1:11" ht="42" customHeight="1">
      <c r="A6968" s="2" t="s">
        <v>13850</v>
      </c>
      <c r="B6968" s="2" t="s">
        <v>13850</v>
      </c>
      <c r="C6968" s="2" t="s">
        <v>79</v>
      </c>
      <c r="D6968" s="2" t="s">
        <v>74</v>
      </c>
      <c r="E6968" s="5">
        <v>-27994</v>
      </c>
      <c r="F6968" s="3" t="s">
        <v>714</v>
      </c>
      <c r="G6968" s="3" t="s">
        <v>20</v>
      </c>
      <c r="H6968" s="2" t="s">
        <v>21</v>
      </c>
      <c r="I6968" s="2" t="s">
        <v>13851</v>
      </c>
      <c r="J6968" s="3" t="str">
        <f>HYPERLINK("https://www.boe.es/gazeta/dias/1823/05/09/pdfs/GES-1823-29.pdf#page=4","Abrir facsímil")</f>
        <v>Abrir facsímil</v>
      </c>
      <c r="K6968" s="3" t="s">
        <v>23</v>
      </c>
    </row>
    <row r="6969" spans="1:11" ht="42" customHeight="1">
      <c r="A6969" s="2" t="s">
        <v>13852</v>
      </c>
      <c r="B6969" s="2" t="s">
        <v>13853</v>
      </c>
      <c r="C6969" s="2" t="s">
        <v>79</v>
      </c>
      <c r="D6969" s="2" t="s">
        <v>74</v>
      </c>
      <c r="E6969" s="5">
        <v>-28061</v>
      </c>
      <c r="F6969" s="3" t="s">
        <v>704</v>
      </c>
      <c r="G6969" s="3" t="s">
        <v>59</v>
      </c>
      <c r="H6969" s="2" t="s">
        <v>21</v>
      </c>
      <c r="I6969" s="2" t="s">
        <v>13854</v>
      </c>
      <c r="J6969" s="3" t="str">
        <f>HYPERLINK("https://www.boe.es/gazeta/dias/1823/03/03/pdfs/GMD-1823-66.pdf#page=6","Abrir facsímil")</f>
        <v>Abrir facsímil</v>
      </c>
      <c r="K6969" s="3" t="s">
        <v>23</v>
      </c>
    </row>
    <row r="6970" spans="1:11" ht="42" customHeight="1">
      <c r="A6970" s="2" t="s">
        <v>13855</v>
      </c>
      <c r="B6970" s="2" t="s">
        <v>13855</v>
      </c>
      <c r="C6970" s="2" t="s">
        <v>84</v>
      </c>
      <c r="D6970" s="2" t="s">
        <v>74</v>
      </c>
      <c r="E6970" s="5">
        <v>-28016</v>
      </c>
      <c r="F6970" s="3" t="s">
        <v>2259</v>
      </c>
      <c r="G6970" s="3" t="s">
        <v>27</v>
      </c>
      <c r="H6970" s="2" t="s">
        <v>21</v>
      </c>
      <c r="I6970" s="2" t="s">
        <v>13856</v>
      </c>
      <c r="J6970" s="3" t="str">
        <f>HYPERLINK("https://www.boe.es/gazeta/dias/1823/04/17/pdfs/GES-1823-7.pdf#page=2","Abrir facsímil")</f>
        <v>Abrir facsímil</v>
      </c>
      <c r="K6970" s="3" t="s">
        <v>23</v>
      </c>
    </row>
    <row r="6971" spans="1:11" ht="42" customHeight="1">
      <c r="A6971" s="2" t="s">
        <v>13857</v>
      </c>
      <c r="B6971" s="2" t="s">
        <v>13858</v>
      </c>
      <c r="C6971" s="2" t="s">
        <v>17</v>
      </c>
      <c r="D6971" s="2" t="s">
        <v>18</v>
      </c>
      <c r="E6971" s="5">
        <v>-27776</v>
      </c>
      <c r="F6971" s="3" t="s">
        <v>1399</v>
      </c>
      <c r="G6971" s="3" t="s">
        <v>39</v>
      </c>
      <c r="H6971" s="2" t="s">
        <v>21</v>
      </c>
      <c r="I6971" s="2" t="s">
        <v>13859</v>
      </c>
      <c r="J6971" s="3" t="str">
        <f>HYPERLINK("https://www.boe.es/gazeta/dias/1823/12/13/pdfs/GMD-1823-1243.pdf#page=1","Abrir facsímil")</f>
        <v>Abrir facsímil</v>
      </c>
      <c r="K6971" s="3" t="s">
        <v>23</v>
      </c>
    </row>
    <row r="6972" spans="1:11" ht="42" customHeight="1">
      <c r="A6972" s="2" t="s">
        <v>13860</v>
      </c>
      <c r="B6972" s="2" t="s">
        <v>13861</v>
      </c>
      <c r="C6972" s="2" t="s">
        <v>17</v>
      </c>
      <c r="D6972" s="2" t="s">
        <v>18</v>
      </c>
      <c r="E6972" s="5">
        <v>-27910</v>
      </c>
      <c r="F6972" s="3" t="s">
        <v>38</v>
      </c>
      <c r="G6972" s="3" t="s">
        <v>39</v>
      </c>
      <c r="H6972" s="2" t="s">
        <v>21</v>
      </c>
      <c r="I6972" s="2" t="s">
        <v>13862</v>
      </c>
      <c r="J6972" s="3" t="str">
        <f>HYPERLINK("https://www.boe.es/gazeta/dias/1823/08/01/pdfs/GES-1823-113.pdf#page=1","Abrir facsímil")</f>
        <v>Abrir facsímil</v>
      </c>
      <c r="K6972" s="3" t="s">
        <v>23</v>
      </c>
    </row>
    <row r="6973" spans="1:11" ht="42" customHeight="1">
      <c r="A6973" s="2" t="s">
        <v>13863</v>
      </c>
      <c r="B6973" s="2" t="s">
        <v>13863</v>
      </c>
      <c r="C6973" s="2" t="s">
        <v>84</v>
      </c>
      <c r="D6973" s="2" t="s">
        <v>74</v>
      </c>
      <c r="E6973" s="5">
        <v>-28016</v>
      </c>
      <c r="F6973" s="3" t="s">
        <v>2259</v>
      </c>
      <c r="G6973" s="3" t="s">
        <v>48</v>
      </c>
      <c r="H6973" s="2" t="s">
        <v>21</v>
      </c>
      <c r="I6973" s="2" t="s">
        <v>13864</v>
      </c>
      <c r="J6973" s="3" t="str">
        <f>HYPERLINK("https://www.boe.es/gazeta/dias/1823/04/17/pdfs/GES-1823-7.pdf#page=3","Abrir facsímil")</f>
        <v>Abrir facsímil</v>
      </c>
      <c r="K6973" s="3" t="s">
        <v>23</v>
      </c>
    </row>
    <row r="6974" spans="1:11" ht="42" customHeight="1">
      <c r="A6974" s="2" t="s">
        <v>13865</v>
      </c>
      <c r="B6974" s="2" t="s">
        <v>13866</v>
      </c>
      <c r="C6974" s="2" t="s">
        <v>17</v>
      </c>
      <c r="D6974" s="2" t="s">
        <v>18</v>
      </c>
      <c r="E6974" s="5">
        <v>-27892</v>
      </c>
      <c r="F6974" s="3" t="s">
        <v>1571</v>
      </c>
      <c r="G6974" s="3" t="s">
        <v>48</v>
      </c>
      <c r="H6974" s="2" t="s">
        <v>21</v>
      </c>
      <c r="I6974" s="2" t="s">
        <v>13867</v>
      </c>
      <c r="J6974" s="3" t="str">
        <f>HYPERLINK("https://www.boe.es/gazeta/dias/1823/08/19/pdfs/GMD-1823-613.pdf#page=3","Abrir facsímil")</f>
        <v>Abrir facsímil</v>
      </c>
      <c r="K6974" s="3" t="s">
        <v>23</v>
      </c>
    </row>
    <row r="6975" spans="1:11" ht="42" customHeight="1">
      <c r="A6975" s="2" t="s">
        <v>13868</v>
      </c>
      <c r="B6975" s="2" t="s">
        <v>13869</v>
      </c>
      <c r="C6975" s="2" t="s">
        <v>17</v>
      </c>
      <c r="D6975" s="2" t="s">
        <v>18</v>
      </c>
      <c r="E6975" s="5">
        <v>-28061</v>
      </c>
      <c r="F6975" s="3" t="s">
        <v>704</v>
      </c>
      <c r="G6975" s="3" t="s">
        <v>59</v>
      </c>
      <c r="H6975" s="2" t="s">
        <v>21</v>
      </c>
      <c r="I6975" s="2" t="s">
        <v>13870</v>
      </c>
      <c r="J6975" s="3" t="str">
        <f>HYPERLINK("https://www.boe.es/gazeta/dias/1823/03/03/pdfs/GMD-1823-66.pdf#page=6","Abrir facsímil")</f>
        <v>Abrir facsímil</v>
      </c>
      <c r="K6975" s="3" t="s">
        <v>23</v>
      </c>
    </row>
    <row r="6976" spans="1:11" ht="42" customHeight="1">
      <c r="A6976" s="2" t="s">
        <v>13871</v>
      </c>
      <c r="B6976" s="2" t="s">
        <v>13872</v>
      </c>
      <c r="C6976" s="2" t="s">
        <v>17</v>
      </c>
      <c r="D6976" s="2" t="s">
        <v>18</v>
      </c>
      <c r="E6976" s="5">
        <v>-27970</v>
      </c>
      <c r="F6976" s="3" t="s">
        <v>1030</v>
      </c>
      <c r="G6976" s="3" t="s">
        <v>48</v>
      </c>
      <c r="H6976" s="2" t="s">
        <v>21</v>
      </c>
      <c r="I6976" s="2" t="s">
        <v>13873</v>
      </c>
      <c r="J6976" s="3" t="str">
        <f>HYPERLINK("https://www.boe.es/gazeta/dias/1823/06/02/pdfs/GES-1823-56.pdf#page=3","Abrir facsímil")</f>
        <v>Abrir facsímil</v>
      </c>
      <c r="K6976" s="3" t="s">
        <v>23</v>
      </c>
    </row>
    <row r="6977" spans="1:11" ht="42" customHeight="1">
      <c r="A6977" s="2" t="s">
        <v>13874</v>
      </c>
      <c r="B6977" s="2" t="s">
        <v>13874</v>
      </c>
      <c r="C6977" s="2" t="s">
        <v>79</v>
      </c>
      <c r="D6977" s="2" t="s">
        <v>74</v>
      </c>
      <c r="E6977" s="5">
        <v>-28122</v>
      </c>
      <c r="F6977" s="3" t="s">
        <v>269</v>
      </c>
      <c r="G6977" s="3" t="s">
        <v>39</v>
      </c>
      <c r="H6977" s="2" t="s">
        <v>21</v>
      </c>
      <c r="I6977" s="2" t="s">
        <v>13875</v>
      </c>
      <c r="J6977" s="3" t="str">
        <f>HYPERLINK("https://www.boe.es/gazeta/dias/1823/01/01/pdfs/GMD-1823-1.pdf#page=1","Abrir facsímil")</f>
        <v>Abrir facsímil</v>
      </c>
      <c r="K6977" s="3" t="s">
        <v>23</v>
      </c>
    </row>
    <row r="6978" spans="1:11" ht="42" customHeight="1">
      <c r="A6978" s="2" t="s">
        <v>13874</v>
      </c>
      <c r="B6978" s="2" t="s">
        <v>13874</v>
      </c>
      <c r="C6978" s="2" t="s">
        <v>79</v>
      </c>
      <c r="D6978" s="2" t="s">
        <v>74</v>
      </c>
      <c r="E6978" s="5">
        <v>-28122</v>
      </c>
      <c r="F6978" s="3" t="s">
        <v>269</v>
      </c>
      <c r="G6978" s="3" t="s">
        <v>27</v>
      </c>
      <c r="H6978" s="2" t="s">
        <v>21</v>
      </c>
      <c r="I6978" s="2" t="s">
        <v>13876</v>
      </c>
      <c r="J6978" s="3" t="str">
        <f>HYPERLINK("https://www.boe.es/gazeta/dias/1823/01/01/pdfs/GMD-1823-1.pdf#page=2","Abrir facsímil")</f>
        <v>Abrir facsímil</v>
      </c>
      <c r="K6978" s="3" t="s">
        <v>23</v>
      </c>
    </row>
    <row r="6979" spans="1:11" ht="42" customHeight="1">
      <c r="A6979" s="2" t="s">
        <v>13874</v>
      </c>
      <c r="B6979" s="2" t="s">
        <v>13874</v>
      </c>
      <c r="C6979" s="2" t="s">
        <v>293</v>
      </c>
      <c r="D6979" s="2" t="s">
        <v>74</v>
      </c>
      <c r="E6979" s="5">
        <v>-28114</v>
      </c>
      <c r="F6979" s="3" t="s">
        <v>153</v>
      </c>
      <c r="G6979" s="3" t="s">
        <v>48</v>
      </c>
      <c r="H6979" s="2" t="s">
        <v>21</v>
      </c>
      <c r="I6979" s="2" t="s">
        <v>13877</v>
      </c>
      <c r="J6979" s="3" t="str">
        <f>HYPERLINK("https://www.boe.es/gazeta/dias/1823/01/09/pdfs/GMD-1823-9.pdf#page=3","Abrir facsímil")</f>
        <v>Abrir facsímil</v>
      </c>
      <c r="K6979" s="3" t="s">
        <v>23</v>
      </c>
    </row>
    <row r="6980" spans="1:11" ht="42" customHeight="1">
      <c r="A6980" s="2" t="s">
        <v>13874</v>
      </c>
      <c r="B6980" s="2" t="s">
        <v>13874</v>
      </c>
      <c r="C6980" s="2" t="s">
        <v>109</v>
      </c>
      <c r="D6980" s="2" t="s">
        <v>74</v>
      </c>
      <c r="E6980" s="5">
        <v>-28002</v>
      </c>
      <c r="F6980" s="3" t="s">
        <v>315</v>
      </c>
      <c r="G6980" s="3" t="s">
        <v>27</v>
      </c>
      <c r="H6980" s="2" t="s">
        <v>21</v>
      </c>
      <c r="I6980" s="2" t="s">
        <v>13878</v>
      </c>
      <c r="J6980" s="3" t="str">
        <f>HYPERLINK("https://www.boe.es/gazeta/dias/1823/05/01/pdfs/GES-1823-21.pdf#page=2","Abrir facsímil")</f>
        <v>Abrir facsímil</v>
      </c>
      <c r="K6980" s="3" t="s">
        <v>23</v>
      </c>
    </row>
    <row r="6981" spans="1:11" ht="42" customHeight="1">
      <c r="A6981" s="2" t="s">
        <v>13874</v>
      </c>
      <c r="B6981" s="2" t="s">
        <v>13874</v>
      </c>
      <c r="C6981" s="2" t="s">
        <v>84</v>
      </c>
      <c r="D6981" s="2" t="s">
        <v>74</v>
      </c>
      <c r="E6981" s="5">
        <v>-27944</v>
      </c>
      <c r="F6981" s="3" t="s">
        <v>2823</v>
      </c>
      <c r="G6981" s="3" t="s">
        <v>27</v>
      </c>
      <c r="H6981" s="2" t="s">
        <v>21</v>
      </c>
      <c r="I6981" s="2" t="s">
        <v>13879</v>
      </c>
      <c r="J6981" s="3" t="str">
        <f>HYPERLINK("https://www.boe.es/gazeta/dias/1823/06/28/pdfs/GES-1823-78.pdf#page=2","Abrir facsímil")</f>
        <v>Abrir facsímil</v>
      </c>
      <c r="K6981" s="3" t="s">
        <v>23</v>
      </c>
    </row>
    <row r="6982" spans="1:11" ht="42" customHeight="1">
      <c r="A6982" s="2" t="s">
        <v>13874</v>
      </c>
      <c r="B6982" s="2" t="s">
        <v>13874</v>
      </c>
      <c r="C6982" s="2" t="s">
        <v>79</v>
      </c>
      <c r="D6982" s="2" t="s">
        <v>74</v>
      </c>
      <c r="E6982" s="5">
        <v>-27943</v>
      </c>
      <c r="F6982" s="3" t="s">
        <v>346</v>
      </c>
      <c r="G6982" s="3" t="s">
        <v>39</v>
      </c>
      <c r="H6982" s="2" t="s">
        <v>21</v>
      </c>
      <c r="I6982" s="2" t="s">
        <v>13880</v>
      </c>
      <c r="J6982" s="3" t="str">
        <f>HYPERLINK("https://www.boe.es/gazeta/dias/1823/06/29/pdfs/GES-1823-79.pdf#page=1","Abrir facsímil")</f>
        <v>Abrir facsímil</v>
      </c>
      <c r="K6982" s="3" t="s">
        <v>23</v>
      </c>
    </row>
    <row r="6983" spans="1:11" ht="42" customHeight="1">
      <c r="A6983" s="2" t="s">
        <v>13874</v>
      </c>
      <c r="B6983" s="2" t="s">
        <v>13874</v>
      </c>
      <c r="C6983" s="2" t="s">
        <v>56</v>
      </c>
      <c r="D6983" s="2" t="s">
        <v>57</v>
      </c>
      <c r="E6983" s="5">
        <v>-27913</v>
      </c>
      <c r="F6983" s="3" t="s">
        <v>821</v>
      </c>
      <c r="G6983" s="3" t="s">
        <v>1204</v>
      </c>
      <c r="H6983" s="2" t="s">
        <v>21</v>
      </c>
      <c r="I6983" s="2" t="s">
        <v>13881</v>
      </c>
      <c r="J6983" s="3" t="str">
        <f>HYPERLINK("https://www.boe.es/gazeta/dias/1823/07/29/pdfs/GES-1823-110.pdf#page=2","Abrir facsímil")</f>
        <v>Abrir facsímil</v>
      </c>
      <c r="K6983" s="3" t="s">
        <v>23</v>
      </c>
    </row>
    <row r="6984" spans="1:11" ht="42" customHeight="1">
      <c r="A6984" s="2" t="s">
        <v>13882</v>
      </c>
      <c r="B6984" s="2" t="s">
        <v>13883</v>
      </c>
      <c r="C6984" s="2" t="s">
        <v>17</v>
      </c>
      <c r="D6984" s="2" t="s">
        <v>18</v>
      </c>
      <c r="E6984" s="5">
        <v>-27986</v>
      </c>
      <c r="F6984" s="3" t="s">
        <v>75</v>
      </c>
      <c r="G6984" s="3" t="s">
        <v>27</v>
      </c>
      <c r="H6984" s="2" t="s">
        <v>21</v>
      </c>
      <c r="I6984" s="2" t="s">
        <v>13884</v>
      </c>
      <c r="J6984" s="3" t="str">
        <f>HYPERLINK("https://www.boe.es/gazeta/dias/1823/05/17/pdfs/GES-1823-37.pdf#page=2","Abrir facsímil")</f>
        <v>Abrir facsímil</v>
      </c>
      <c r="K6984" s="3" t="s">
        <v>23</v>
      </c>
    </row>
    <row r="6985" spans="1:11" ht="42" customHeight="1">
      <c r="A6985" s="2" t="s">
        <v>13885</v>
      </c>
      <c r="B6985" s="2" t="s">
        <v>13886</v>
      </c>
      <c r="C6985" s="2" t="s">
        <v>17</v>
      </c>
      <c r="D6985" s="2" t="s">
        <v>18</v>
      </c>
      <c r="E6985" s="5">
        <v>-27762</v>
      </c>
      <c r="F6985" s="3" t="s">
        <v>1614</v>
      </c>
      <c r="G6985" s="3" t="s">
        <v>27</v>
      </c>
      <c r="H6985" s="2" t="s">
        <v>21</v>
      </c>
      <c r="I6985" s="2" t="s">
        <v>13887</v>
      </c>
      <c r="J6985" s="3" t="str">
        <f>HYPERLINK("https://www.boe.es/gazeta/dias/1823/12/27/pdfs/GMD-1823-1303.pdf#page=2","Abrir facsímil")</f>
        <v>Abrir facsímil</v>
      </c>
      <c r="K6985" s="3" t="s">
        <v>23</v>
      </c>
    </row>
    <row r="6986" spans="1:11" ht="42" customHeight="1">
      <c r="A6986" s="2" t="s">
        <v>13888</v>
      </c>
      <c r="B6986" s="2" t="s">
        <v>13889</v>
      </c>
      <c r="C6986" s="2" t="s">
        <v>17</v>
      </c>
      <c r="D6986" s="2" t="s">
        <v>18</v>
      </c>
      <c r="E6986" s="5">
        <v>-27910</v>
      </c>
      <c r="F6986" s="3" t="s">
        <v>38</v>
      </c>
      <c r="G6986" s="3" t="s">
        <v>39</v>
      </c>
      <c r="H6986" s="2" t="s">
        <v>21</v>
      </c>
      <c r="I6986" s="2" t="s">
        <v>13890</v>
      </c>
      <c r="J6986" s="3" t="str">
        <f>HYPERLINK("https://www.boe.es/gazeta/dias/1823/08/01/pdfs/GES-1823-113.pdf#page=1","Abrir facsímil")</f>
        <v>Abrir facsímil</v>
      </c>
      <c r="K6986" s="3" t="s">
        <v>23</v>
      </c>
    </row>
    <row r="6987" spans="1:11" ht="42" customHeight="1">
      <c r="A6987" s="2" t="s">
        <v>13891</v>
      </c>
      <c r="B6987" s="2" t="s">
        <v>13892</v>
      </c>
      <c r="C6987" s="2" t="s">
        <v>73</v>
      </c>
      <c r="D6987" s="2" t="s">
        <v>74</v>
      </c>
      <c r="E6987" s="5">
        <v>-27759</v>
      </c>
      <c r="F6987" s="3" t="s">
        <v>415</v>
      </c>
      <c r="G6987" s="3" t="s">
        <v>48</v>
      </c>
      <c r="H6987" s="2" t="s">
        <v>21</v>
      </c>
      <c r="I6987" s="2" t="s">
        <v>13893</v>
      </c>
      <c r="J6987" s="3" t="str">
        <f>HYPERLINK("https://www.boe.es/gazeta/dias/1823/12/30/pdfs/GMD-1823-1313.pdf#page=3","Abrir facsímil")</f>
        <v>Abrir facsímil</v>
      </c>
      <c r="K6987" s="3" t="s">
        <v>23</v>
      </c>
    </row>
    <row r="6988" spans="1:11" ht="42" customHeight="1">
      <c r="A6988" s="2" t="s">
        <v>13894</v>
      </c>
      <c r="B6988" s="2" t="s">
        <v>13894</v>
      </c>
      <c r="C6988" s="2" t="s">
        <v>17</v>
      </c>
      <c r="D6988" s="2" t="s">
        <v>18</v>
      </c>
      <c r="E6988" s="5">
        <v>-27946</v>
      </c>
      <c r="F6988" s="3" t="s">
        <v>1547</v>
      </c>
      <c r="G6988" s="3" t="s">
        <v>27</v>
      </c>
      <c r="H6988" s="2" t="s">
        <v>21</v>
      </c>
      <c r="I6988" s="2" t="s">
        <v>13895</v>
      </c>
      <c r="J6988" s="3" t="str">
        <f>HYPERLINK("https://www.boe.es/gazeta/dias/1823/06/26/pdfs/GMD-1823-283.pdf#page=2","Abrir facsímil")</f>
        <v>Abrir facsímil</v>
      </c>
      <c r="K6988" s="3" t="s">
        <v>23</v>
      </c>
    </row>
    <row r="6989" spans="1:11" ht="42" customHeight="1">
      <c r="A6989" s="2" t="s">
        <v>13896</v>
      </c>
      <c r="B6989" s="2" t="s">
        <v>13897</v>
      </c>
      <c r="C6989" s="2" t="s">
        <v>79</v>
      </c>
      <c r="D6989" s="2" t="s">
        <v>74</v>
      </c>
      <c r="E6989" s="5">
        <v>-28037</v>
      </c>
      <c r="F6989" s="3" t="s">
        <v>192</v>
      </c>
      <c r="G6989" s="3" t="s">
        <v>48</v>
      </c>
      <c r="H6989" s="2" t="s">
        <v>21</v>
      </c>
      <c r="I6989" s="2" t="s">
        <v>13898</v>
      </c>
      <c r="J6989" s="3" t="str">
        <f>HYPERLINK("https://www.boe.es/gazeta/dias/1823/03/27/pdfs/GMD-1823-90.pdf#page=3","Abrir facsímil")</f>
        <v>Abrir facsímil</v>
      </c>
      <c r="K6989" s="3" t="s">
        <v>23</v>
      </c>
    </row>
    <row r="6990" spans="1:11" ht="42" customHeight="1">
      <c r="A6990" s="2" t="s">
        <v>13899</v>
      </c>
      <c r="B6990" s="2" t="s">
        <v>13900</v>
      </c>
      <c r="C6990" s="2" t="s">
        <v>56</v>
      </c>
      <c r="D6990" s="2" t="s">
        <v>57</v>
      </c>
      <c r="E6990" s="5">
        <v>-27785</v>
      </c>
      <c r="F6990" s="3" t="s">
        <v>1397</v>
      </c>
      <c r="G6990" s="3" t="s">
        <v>39</v>
      </c>
      <c r="H6990" s="2" t="s">
        <v>28</v>
      </c>
      <c r="I6990" s="2" t="s">
        <v>13901</v>
      </c>
      <c r="J6990" s="3" t="str">
        <f>HYPERLINK("https://www.boe.es/gazeta/dias/1823/12/04/pdfs/GMD-1823-1203.pdf#page=1","Abrir facsímil")</f>
        <v>Abrir facsímil</v>
      </c>
      <c r="K6990" s="3" t="s">
        <v>30</v>
      </c>
    </row>
    <row r="6991" spans="1:11" ht="42" customHeight="1">
      <c r="A6991" s="2" t="s">
        <v>13902</v>
      </c>
      <c r="B6991" s="2" t="s">
        <v>13902</v>
      </c>
      <c r="C6991" s="2" t="s">
        <v>17</v>
      </c>
      <c r="D6991" s="2" t="s">
        <v>18</v>
      </c>
      <c r="E6991" s="5">
        <v>-27965</v>
      </c>
      <c r="F6991" s="3" t="s">
        <v>208</v>
      </c>
      <c r="G6991" s="3" t="s">
        <v>39</v>
      </c>
      <c r="H6991" s="2" t="s">
        <v>21</v>
      </c>
      <c r="I6991" s="2" t="s">
        <v>13903</v>
      </c>
      <c r="J6991" s="3" t="str">
        <f>HYPERLINK("https://www.boe.es/gazeta/dias/1823/06/07/pdfs/GES-1823-61.pdf#page=1","Abrir facsímil")</f>
        <v>Abrir facsímil</v>
      </c>
      <c r="K6991" s="3" t="s">
        <v>23</v>
      </c>
    </row>
    <row r="6992" spans="1:11" ht="42" customHeight="1">
      <c r="A6992" s="2" t="s">
        <v>13904</v>
      </c>
      <c r="B6992" s="2" t="s">
        <v>13905</v>
      </c>
      <c r="C6992" s="2" t="s">
        <v>79</v>
      </c>
      <c r="D6992" s="2" t="s">
        <v>74</v>
      </c>
      <c r="E6992" s="5">
        <v>-27967</v>
      </c>
      <c r="F6992" s="3" t="s">
        <v>412</v>
      </c>
      <c r="G6992" s="3" t="s">
        <v>27</v>
      </c>
      <c r="H6992" s="2" t="s">
        <v>21</v>
      </c>
      <c r="I6992" s="2" t="s">
        <v>13906</v>
      </c>
      <c r="J6992" s="3" t="str">
        <f>HYPERLINK("https://www.boe.es/gazeta/dias/1823/06/05/pdfs/GES-1823-59.pdf#page=2","Abrir facsímil")</f>
        <v>Abrir facsímil</v>
      </c>
      <c r="K6992" s="3" t="s">
        <v>23</v>
      </c>
    </row>
    <row r="6993" spans="1:11" ht="42" customHeight="1">
      <c r="A6993" s="2" t="s">
        <v>13907</v>
      </c>
      <c r="B6993" s="2" t="s">
        <v>13908</v>
      </c>
      <c r="C6993" s="2" t="s">
        <v>17</v>
      </c>
      <c r="D6993" s="2" t="s">
        <v>18</v>
      </c>
      <c r="E6993" s="5">
        <v>-27965</v>
      </c>
      <c r="F6993" s="3" t="s">
        <v>208</v>
      </c>
      <c r="G6993" s="3" t="s">
        <v>39</v>
      </c>
      <c r="H6993" s="2" t="s">
        <v>21</v>
      </c>
      <c r="I6993" s="2" t="s">
        <v>13909</v>
      </c>
      <c r="J6993" s="3" t="str">
        <f>HYPERLINK("https://www.boe.es/gazeta/dias/1823/06/07/pdfs/GES-1823-61.pdf#page=1","Abrir facsímil")</f>
        <v>Abrir facsímil</v>
      </c>
      <c r="K6993" s="3" t="s">
        <v>23</v>
      </c>
    </row>
    <row r="6994" spans="1:11" ht="42" customHeight="1">
      <c r="A6994" s="2" t="s">
        <v>13910</v>
      </c>
      <c r="B6994" s="2" t="s">
        <v>13911</v>
      </c>
      <c r="C6994" s="2" t="s">
        <v>79</v>
      </c>
      <c r="D6994" s="2" t="s">
        <v>74</v>
      </c>
      <c r="E6994" s="5">
        <v>-28030</v>
      </c>
      <c r="F6994" s="3" t="s">
        <v>145</v>
      </c>
      <c r="G6994" s="3" t="s">
        <v>39</v>
      </c>
      <c r="H6994" s="2" t="s">
        <v>21</v>
      </c>
      <c r="I6994" s="2" t="s">
        <v>13912</v>
      </c>
      <c r="J6994" s="3" t="str">
        <f>HYPERLINK("https://www.boe.es/gazeta/dias/1823/04/03/pdfs/GMD-1823-97.pdf#page=1","Abrir facsímil")</f>
        <v>Abrir facsímil</v>
      </c>
      <c r="K6994" s="3" t="s">
        <v>23</v>
      </c>
    </row>
    <row r="6995" spans="1:11" ht="42" customHeight="1">
      <c r="A6995" s="2" t="s">
        <v>13913</v>
      </c>
      <c r="B6995" s="2" t="s">
        <v>13914</v>
      </c>
      <c r="C6995" s="2" t="s">
        <v>109</v>
      </c>
      <c r="D6995" s="2" t="s">
        <v>74</v>
      </c>
      <c r="E6995" s="5">
        <v>-27986</v>
      </c>
      <c r="F6995" s="3" t="s">
        <v>75</v>
      </c>
      <c r="G6995" s="3" t="s">
        <v>20</v>
      </c>
      <c r="H6995" s="2" t="s">
        <v>21</v>
      </c>
      <c r="I6995" s="2" t="s">
        <v>13915</v>
      </c>
      <c r="J6995" s="3" t="str">
        <f>HYPERLINK("https://www.boe.es/gazeta/dias/1823/05/17/pdfs/GES-1823-37.pdf#page=4","Abrir facsímil")</f>
        <v>Abrir facsímil</v>
      </c>
      <c r="K6995" s="3" t="s">
        <v>23</v>
      </c>
    </row>
    <row r="6996" spans="1:11" ht="42" customHeight="1">
      <c r="A6996" s="2" t="s">
        <v>13916</v>
      </c>
      <c r="B6996" s="2" t="s">
        <v>13917</v>
      </c>
      <c r="C6996" s="2" t="s">
        <v>325</v>
      </c>
      <c r="D6996" s="2" t="s">
        <v>74</v>
      </c>
      <c r="E6996" s="5">
        <v>-27804</v>
      </c>
      <c r="F6996" s="3" t="s">
        <v>836</v>
      </c>
      <c r="G6996" s="3" t="s">
        <v>20</v>
      </c>
      <c r="H6996" s="2" t="s">
        <v>21</v>
      </c>
      <c r="I6996" s="2" t="s">
        <v>13918</v>
      </c>
      <c r="J6996" s="3" t="str">
        <f>HYPERLINK("https://www.boe.es/gazeta/dias/1823/11/15/pdfs/GMD-1823-1123.pdf#page=4","Abrir facsímil")</f>
        <v>Abrir facsímil</v>
      </c>
      <c r="K6996" s="3" t="s">
        <v>23</v>
      </c>
    </row>
    <row r="6997" spans="1:11" ht="42" customHeight="1">
      <c r="A6997" s="2" t="s">
        <v>13919</v>
      </c>
      <c r="B6997" s="2" t="s">
        <v>13919</v>
      </c>
      <c r="C6997" s="2" t="s">
        <v>17</v>
      </c>
      <c r="D6997" s="2" t="s">
        <v>18</v>
      </c>
      <c r="E6997" s="5">
        <v>-28032</v>
      </c>
      <c r="F6997" s="3" t="s">
        <v>668</v>
      </c>
      <c r="G6997" s="3" t="s">
        <v>48</v>
      </c>
      <c r="H6997" s="2" t="s">
        <v>21</v>
      </c>
      <c r="I6997" s="2" t="s">
        <v>13920</v>
      </c>
      <c r="J6997" s="3" t="str">
        <f>HYPERLINK("https://www.boe.es/gazeta/dias/1823/04/01/pdfs/GMD-1823-95.pdf#page=3","Abrir facsímil")</f>
        <v>Abrir facsímil</v>
      </c>
      <c r="K6997" s="3" t="s">
        <v>23</v>
      </c>
    </row>
    <row r="6998" spans="1:11" ht="42" customHeight="1">
      <c r="A6998" s="2" t="s">
        <v>13921</v>
      </c>
      <c r="B6998" s="2" t="s">
        <v>13921</v>
      </c>
      <c r="C6998" s="2" t="s">
        <v>17</v>
      </c>
      <c r="D6998" s="2" t="s">
        <v>18</v>
      </c>
      <c r="E6998" s="5">
        <v>-27960</v>
      </c>
      <c r="F6998" s="3" t="s">
        <v>682</v>
      </c>
      <c r="G6998" s="3" t="s">
        <v>34</v>
      </c>
      <c r="H6998" s="2" t="s">
        <v>21</v>
      </c>
      <c r="I6998" s="2" t="s">
        <v>13922</v>
      </c>
      <c r="J6998" s="3" t="str">
        <f>HYPERLINK("https://www.boe.es/gazeta/dias/1823/06/12/pdfs/GMD-1823-123.pdf#page=5","Abrir facsímil")</f>
        <v>Abrir facsímil</v>
      </c>
      <c r="K6998" s="3" t="s">
        <v>23</v>
      </c>
    </row>
    <row r="6999" spans="1:11" ht="42" customHeight="1">
      <c r="A6999" s="2" t="s">
        <v>13923</v>
      </c>
      <c r="B6999" s="2" t="s">
        <v>13924</v>
      </c>
      <c r="C6999" s="2" t="s">
        <v>56</v>
      </c>
      <c r="D6999" s="2" t="s">
        <v>57</v>
      </c>
      <c r="E6999" s="5">
        <v>-28106</v>
      </c>
      <c r="F6999" s="3" t="s">
        <v>280</v>
      </c>
      <c r="G6999" s="3" t="s">
        <v>20</v>
      </c>
      <c r="H6999" s="2" t="s">
        <v>21</v>
      </c>
      <c r="I6999" s="2" t="s">
        <v>13925</v>
      </c>
      <c r="J6999" s="3" t="str">
        <f>HYPERLINK("https://www.boe.es/gazeta/dias/1823/01/17/pdfs/GMD-1823-17.pdf#page=4","Abrir facsímil")</f>
        <v>Abrir facsímil</v>
      </c>
      <c r="K6999" s="3" t="s">
        <v>23</v>
      </c>
    </row>
    <row r="7000" spans="1:11" ht="42" customHeight="1">
      <c r="A7000" s="2" t="s">
        <v>13923</v>
      </c>
      <c r="B7000" s="2" t="s">
        <v>13924</v>
      </c>
      <c r="C7000" s="2" t="s">
        <v>109</v>
      </c>
      <c r="D7000" s="2" t="s">
        <v>74</v>
      </c>
      <c r="E7000" s="5">
        <v>-27981</v>
      </c>
      <c r="F7000" s="3" t="s">
        <v>1521</v>
      </c>
      <c r="G7000" s="3" t="s">
        <v>2395</v>
      </c>
      <c r="H7000" s="2" t="s">
        <v>21</v>
      </c>
      <c r="I7000" s="2" t="s">
        <v>13926</v>
      </c>
      <c r="J7000" s="3" t="str">
        <f>HYPERLINK("https://www.boe.es/gazeta/dias/1823/05/22/pdfs/GES-1823-43.pdf#page=2","Abrir facsímil")</f>
        <v>Abrir facsímil</v>
      </c>
      <c r="K7000" s="3" t="s">
        <v>23</v>
      </c>
    </row>
    <row r="7001" spans="1:11" ht="42" customHeight="1">
      <c r="A7001" s="2" t="s">
        <v>13923</v>
      </c>
      <c r="B7001" s="2" t="s">
        <v>13924</v>
      </c>
      <c r="C7001" s="2" t="s">
        <v>84</v>
      </c>
      <c r="D7001" s="2" t="s">
        <v>74</v>
      </c>
      <c r="E7001" s="5">
        <v>-27970</v>
      </c>
      <c r="F7001" s="3" t="s">
        <v>1030</v>
      </c>
      <c r="G7001" s="3" t="s">
        <v>48</v>
      </c>
      <c r="H7001" s="2" t="s">
        <v>21</v>
      </c>
      <c r="I7001" s="2" t="s">
        <v>13927</v>
      </c>
      <c r="J7001" s="3" t="str">
        <f>HYPERLINK("https://www.boe.es/gazeta/dias/1823/06/02/pdfs/GES-1823-56.pdf#page=3","Abrir facsímil")</f>
        <v>Abrir facsímil</v>
      </c>
      <c r="K7001" s="3" t="s">
        <v>23</v>
      </c>
    </row>
    <row r="7002" spans="1:11" ht="42" customHeight="1">
      <c r="A7002" s="2" t="s">
        <v>13923</v>
      </c>
      <c r="B7002" s="2" t="s">
        <v>13924</v>
      </c>
      <c r="C7002" s="2" t="s">
        <v>109</v>
      </c>
      <c r="D7002" s="2" t="s">
        <v>74</v>
      </c>
      <c r="E7002" s="5">
        <v>-27906</v>
      </c>
      <c r="F7002" s="3" t="s">
        <v>241</v>
      </c>
      <c r="G7002" s="3" t="s">
        <v>2212</v>
      </c>
      <c r="H7002" s="2" t="s">
        <v>21</v>
      </c>
      <c r="I7002" s="2" t="s">
        <v>13928</v>
      </c>
      <c r="J7002" s="3" t="str">
        <f>HYPERLINK("https://www.boe.es/gazeta/dias/1823/08/05/pdfs/GES-1823-117.pdf#page=2","Abrir facsímil")</f>
        <v>Abrir facsímil</v>
      </c>
      <c r="K7002" s="3" t="s">
        <v>23</v>
      </c>
    </row>
    <row r="7003" spans="1:11" ht="42" customHeight="1">
      <c r="A7003" s="2" t="s">
        <v>13929</v>
      </c>
      <c r="B7003" s="2" t="s">
        <v>13930</v>
      </c>
      <c r="C7003" s="2" t="s">
        <v>79</v>
      </c>
      <c r="D7003" s="2" t="s">
        <v>74</v>
      </c>
      <c r="E7003" s="5">
        <v>-27881</v>
      </c>
      <c r="F7003" s="3" t="s">
        <v>725</v>
      </c>
      <c r="G7003" s="3" t="s">
        <v>20</v>
      </c>
      <c r="H7003" s="2" t="s">
        <v>21</v>
      </c>
      <c r="I7003" s="2" t="s">
        <v>13931</v>
      </c>
      <c r="J7003" s="3" t="str">
        <f>HYPERLINK("https://www.boe.es/gazeta/dias/1823/08/30/pdfs/GMD-1823-673.pdf#page=4","Abrir facsímil")</f>
        <v>Abrir facsímil</v>
      </c>
      <c r="K7003" s="3" t="s">
        <v>23</v>
      </c>
    </row>
    <row r="7004" spans="1:11" ht="42" customHeight="1">
      <c r="A7004" s="2" t="s">
        <v>13929</v>
      </c>
      <c r="B7004" s="2" t="s">
        <v>13930</v>
      </c>
      <c r="C7004" s="2" t="s">
        <v>17</v>
      </c>
      <c r="D7004" s="2" t="s">
        <v>18</v>
      </c>
      <c r="E7004" s="5">
        <v>-27818</v>
      </c>
      <c r="F7004" s="3" t="s">
        <v>1597</v>
      </c>
      <c r="G7004" s="3" t="s">
        <v>20</v>
      </c>
      <c r="H7004" s="2" t="s">
        <v>21</v>
      </c>
      <c r="I7004" s="2" t="s">
        <v>13932</v>
      </c>
      <c r="J7004" s="3" t="str">
        <f>HYPERLINK("https://www.boe.es/gazeta/dias/1823/11/01/pdfs/GMD-1823-1053.pdf#page=4","Abrir facsímil")</f>
        <v>Abrir facsímil</v>
      </c>
      <c r="K7004" s="3" t="s">
        <v>23</v>
      </c>
    </row>
    <row r="7005" spans="1:11" ht="42" customHeight="1">
      <c r="A7005" s="2" t="s">
        <v>13929</v>
      </c>
      <c r="B7005" s="2" t="s">
        <v>13930</v>
      </c>
      <c r="C7005" s="2" t="s">
        <v>56</v>
      </c>
      <c r="D7005" s="2" t="s">
        <v>57</v>
      </c>
      <c r="E7005" s="5">
        <v>-27776</v>
      </c>
      <c r="F7005" s="3" t="s">
        <v>1399</v>
      </c>
      <c r="G7005" s="3" t="s">
        <v>20</v>
      </c>
      <c r="H7005" s="2" t="s">
        <v>21</v>
      </c>
      <c r="I7005" s="2" t="s">
        <v>13933</v>
      </c>
      <c r="J7005" s="3" t="str">
        <f>HYPERLINK("https://www.boe.es/gazeta/dias/1823/12/13/pdfs/GMD-1823-1243.pdf#page=4","Abrir facsímil")</f>
        <v>Abrir facsímil</v>
      </c>
      <c r="K7005" s="3" t="s">
        <v>23</v>
      </c>
    </row>
    <row r="7006" spans="1:11" ht="42" customHeight="1">
      <c r="A7006" s="2" t="s">
        <v>13934</v>
      </c>
      <c r="B7006" s="2" t="s">
        <v>13935</v>
      </c>
      <c r="C7006" s="2" t="s">
        <v>109</v>
      </c>
      <c r="D7006" s="2" t="s">
        <v>74</v>
      </c>
      <c r="E7006" s="5">
        <v>-27982</v>
      </c>
      <c r="F7006" s="3" t="s">
        <v>340</v>
      </c>
      <c r="G7006" s="3" t="s">
        <v>27</v>
      </c>
      <c r="H7006" s="2" t="s">
        <v>21</v>
      </c>
      <c r="I7006" s="2" t="s">
        <v>13936</v>
      </c>
      <c r="J7006" s="3" t="str">
        <f>HYPERLINK("https://www.boe.es/gazeta/dias/1823/05/21/pdfs/GES-1823-42.pdf#page=2","Abrir facsímil")</f>
        <v>Abrir facsímil</v>
      </c>
      <c r="K7006" s="3" t="s">
        <v>23</v>
      </c>
    </row>
    <row r="7007" spans="1:11" ht="42" customHeight="1">
      <c r="A7007" s="2" t="s">
        <v>13937</v>
      </c>
      <c r="B7007" s="2" t="s">
        <v>13938</v>
      </c>
      <c r="C7007" s="2" t="s">
        <v>17</v>
      </c>
      <c r="D7007" s="2" t="s">
        <v>18</v>
      </c>
      <c r="E7007" s="5">
        <v>-28064</v>
      </c>
      <c r="F7007" s="3" t="s">
        <v>1190</v>
      </c>
      <c r="G7007" s="3" t="s">
        <v>20</v>
      </c>
      <c r="H7007" s="2" t="s">
        <v>21</v>
      </c>
      <c r="I7007" s="2" t="s">
        <v>13939</v>
      </c>
      <c r="J7007" s="3" t="str">
        <f>HYPERLINK("https://www.boe.es/gazeta/dias/1823/02/28/pdfs/GMD-1823-62.pdf#page=4","Abrir facsímil")</f>
        <v>Abrir facsímil</v>
      </c>
      <c r="K7007" s="3" t="s">
        <v>23</v>
      </c>
    </row>
    <row r="7008" spans="1:11" ht="42" customHeight="1">
      <c r="A7008" s="2" t="s">
        <v>13937</v>
      </c>
      <c r="B7008" s="2" t="s">
        <v>13938</v>
      </c>
      <c r="C7008" s="2" t="s">
        <v>84</v>
      </c>
      <c r="D7008" s="2" t="s">
        <v>74</v>
      </c>
      <c r="E7008" s="5">
        <v>-27984</v>
      </c>
      <c r="F7008" s="3" t="s">
        <v>335</v>
      </c>
      <c r="G7008" s="3" t="s">
        <v>59</v>
      </c>
      <c r="H7008" s="2" t="s">
        <v>21</v>
      </c>
      <c r="I7008" s="2" t="s">
        <v>13940</v>
      </c>
      <c r="J7008" s="3" t="str">
        <f>HYPERLINK("https://www.boe.es/gazeta/dias/1823/05/19/pdfs/GES-1823-39.pdf#page=6","Abrir facsímil")</f>
        <v>Abrir facsímil</v>
      </c>
      <c r="K7008" s="3" t="s">
        <v>23</v>
      </c>
    </row>
    <row r="7009" spans="1:11" ht="42" customHeight="1">
      <c r="A7009" s="2" t="s">
        <v>13941</v>
      </c>
      <c r="B7009" s="2" t="s">
        <v>13941</v>
      </c>
      <c r="C7009" s="2" t="s">
        <v>17</v>
      </c>
      <c r="D7009" s="2" t="s">
        <v>18</v>
      </c>
      <c r="E7009" s="5">
        <v>-28089</v>
      </c>
      <c r="F7009" s="3" t="s">
        <v>1979</v>
      </c>
      <c r="G7009" s="3" t="s">
        <v>59</v>
      </c>
      <c r="H7009" s="2" t="s">
        <v>21</v>
      </c>
      <c r="I7009" s="2" t="s">
        <v>13942</v>
      </c>
      <c r="J7009" s="3" t="str">
        <f>HYPERLINK("https://www.boe.es/gazeta/dias/1823/02/03/pdfs/GMD-1823-36.pdf#page=6","Abrir facsímil")</f>
        <v>Abrir facsímil</v>
      </c>
      <c r="K7009" s="3" t="s">
        <v>23</v>
      </c>
    </row>
    <row r="7010" spans="1:11" ht="42" customHeight="1">
      <c r="A7010" s="2" t="s">
        <v>13943</v>
      </c>
      <c r="B7010" s="2" t="s">
        <v>13944</v>
      </c>
      <c r="C7010" s="2" t="s">
        <v>79</v>
      </c>
      <c r="D7010" s="2" t="s">
        <v>74</v>
      </c>
      <c r="E7010" s="5">
        <v>-27982</v>
      </c>
      <c r="F7010" s="3" t="s">
        <v>340</v>
      </c>
      <c r="G7010" s="3" t="s">
        <v>27</v>
      </c>
      <c r="H7010" s="2" t="s">
        <v>21</v>
      </c>
      <c r="I7010" s="2" t="s">
        <v>13945</v>
      </c>
      <c r="J7010" s="3" t="str">
        <f>HYPERLINK("https://www.boe.es/gazeta/dias/1823/05/21/pdfs/GES-1823-42.pdf#page=2","Abrir facsímil")</f>
        <v>Abrir facsímil</v>
      </c>
      <c r="K7010" s="3" t="s">
        <v>23</v>
      </c>
    </row>
    <row r="7011" spans="1:11" ht="42" customHeight="1">
      <c r="A7011" s="2" t="s">
        <v>13946</v>
      </c>
      <c r="B7011" s="2" t="s">
        <v>13946</v>
      </c>
      <c r="C7011" s="2" t="s">
        <v>109</v>
      </c>
      <c r="D7011" s="2" t="s">
        <v>74</v>
      </c>
      <c r="E7011" s="5">
        <v>-27982</v>
      </c>
      <c r="F7011" s="3" t="s">
        <v>340</v>
      </c>
      <c r="G7011" s="3" t="s">
        <v>48</v>
      </c>
      <c r="H7011" s="2" t="s">
        <v>21</v>
      </c>
      <c r="I7011" s="2" t="s">
        <v>13947</v>
      </c>
      <c r="J7011" s="3" t="str">
        <f>HYPERLINK("https://www.boe.es/gazeta/dias/1823/05/21/pdfs/GES-1823-42.pdf#page=3","Abrir facsímil")</f>
        <v>Abrir facsímil</v>
      </c>
      <c r="K7011" s="3" t="s">
        <v>23</v>
      </c>
    </row>
    <row r="7012" spans="1:11" ht="42" customHeight="1">
      <c r="A7012" s="2" t="s">
        <v>13948</v>
      </c>
      <c r="B7012" s="2" t="s">
        <v>13948</v>
      </c>
      <c r="C7012" s="2" t="s">
        <v>79</v>
      </c>
      <c r="D7012" s="2" t="s">
        <v>74</v>
      </c>
      <c r="E7012" s="5">
        <v>-28106</v>
      </c>
      <c r="F7012" s="3" t="s">
        <v>280</v>
      </c>
      <c r="G7012" s="3" t="s">
        <v>48</v>
      </c>
      <c r="H7012" s="2" t="s">
        <v>21</v>
      </c>
      <c r="I7012" s="2" t="s">
        <v>13949</v>
      </c>
      <c r="J7012" s="3" t="str">
        <f>HYPERLINK("https://www.boe.es/gazeta/dias/1823/01/17/pdfs/GMD-1823-17.pdf#page=3","Abrir facsímil")</f>
        <v>Abrir facsímil</v>
      </c>
      <c r="K7012" s="3" t="s">
        <v>23</v>
      </c>
    </row>
    <row r="7013" spans="1:11" ht="42" customHeight="1">
      <c r="A7013" s="2" t="s">
        <v>13950</v>
      </c>
      <c r="B7013" s="2" t="s">
        <v>13951</v>
      </c>
      <c r="C7013" s="2" t="s">
        <v>79</v>
      </c>
      <c r="D7013" s="2" t="s">
        <v>74</v>
      </c>
      <c r="E7013" s="5">
        <v>-27961</v>
      </c>
      <c r="F7013" s="3" t="s">
        <v>52</v>
      </c>
      <c r="G7013" s="3" t="s">
        <v>39</v>
      </c>
      <c r="H7013" s="2" t="s">
        <v>21</v>
      </c>
      <c r="I7013" s="2" t="s">
        <v>13952</v>
      </c>
      <c r="J7013" s="3" t="str">
        <f>HYPERLINK("https://www.boe.es/gazeta/dias/1823/06/11/pdfs/GES-1823-65.pdf#page=1","Abrir facsímil")</f>
        <v>Abrir facsímil</v>
      </c>
      <c r="K7013" s="3" t="s">
        <v>23</v>
      </c>
    </row>
    <row r="7014" spans="1:11" ht="42" customHeight="1">
      <c r="A7014" s="2" t="s">
        <v>13953</v>
      </c>
      <c r="B7014" s="2" t="s">
        <v>13953</v>
      </c>
      <c r="C7014" s="2" t="s">
        <v>79</v>
      </c>
      <c r="D7014" s="2" t="s">
        <v>74</v>
      </c>
      <c r="E7014" s="5">
        <v>-28120</v>
      </c>
      <c r="F7014" s="3" t="s">
        <v>2772</v>
      </c>
      <c r="G7014" s="3" t="s">
        <v>20</v>
      </c>
      <c r="H7014" s="2" t="s">
        <v>21</v>
      </c>
      <c r="I7014" s="2" t="s">
        <v>13954</v>
      </c>
      <c r="J7014" s="3" t="str">
        <f>HYPERLINK("https://www.boe.es/gazeta/dias/1823/01/03/pdfs/GMD-1823-3.pdf#page=4","Abrir facsímil")</f>
        <v>Abrir facsímil</v>
      </c>
      <c r="K7014" s="3" t="s">
        <v>23</v>
      </c>
    </row>
    <row r="7015" spans="1:11" ht="42" customHeight="1">
      <c r="A7015" s="2" t="s">
        <v>13953</v>
      </c>
      <c r="B7015" s="2" t="s">
        <v>13953</v>
      </c>
      <c r="C7015" s="2" t="s">
        <v>17</v>
      </c>
      <c r="D7015" s="2" t="s">
        <v>18</v>
      </c>
      <c r="E7015" s="5">
        <v>-28115</v>
      </c>
      <c r="F7015" s="3" t="s">
        <v>579</v>
      </c>
      <c r="G7015" s="3" t="s">
        <v>27</v>
      </c>
      <c r="H7015" s="2" t="s">
        <v>21</v>
      </c>
      <c r="I7015" s="2" t="s">
        <v>13955</v>
      </c>
      <c r="J7015" s="3" t="str">
        <f>HYPERLINK("https://www.boe.es/gazeta/dias/1823/01/08/pdfs/GMD-1823-8.pdf#page=2","Abrir facsímil")</f>
        <v>Abrir facsímil</v>
      </c>
      <c r="K7015" s="3" t="s">
        <v>23</v>
      </c>
    </row>
    <row r="7016" spans="1:11" ht="42" customHeight="1">
      <c r="A7016" s="2" t="s">
        <v>13953</v>
      </c>
      <c r="B7016" s="2" t="s">
        <v>13953</v>
      </c>
      <c r="C7016" s="2" t="s">
        <v>56</v>
      </c>
      <c r="D7016" s="2" t="s">
        <v>57</v>
      </c>
      <c r="E7016" s="5">
        <v>-28107</v>
      </c>
      <c r="F7016" s="3" t="s">
        <v>278</v>
      </c>
      <c r="G7016" s="3" t="s">
        <v>20</v>
      </c>
      <c r="H7016" s="2" t="s">
        <v>21</v>
      </c>
      <c r="I7016" s="2" t="s">
        <v>13956</v>
      </c>
      <c r="J7016" s="3" t="str">
        <f>HYPERLINK("https://www.boe.es/gazeta/dias/1823/01/16/pdfs/GMD-1823-16.pdf#page=4","Abrir facsímil")</f>
        <v>Abrir facsímil</v>
      </c>
      <c r="K7016" s="3" t="s">
        <v>23</v>
      </c>
    </row>
    <row r="7017" spans="1:11" ht="42" customHeight="1">
      <c r="A7017" s="2" t="s">
        <v>13953</v>
      </c>
      <c r="B7017" s="2" t="s">
        <v>13953</v>
      </c>
      <c r="C7017" s="2" t="s">
        <v>73</v>
      </c>
      <c r="D7017" s="2" t="s">
        <v>74</v>
      </c>
      <c r="E7017" s="5">
        <v>-28102</v>
      </c>
      <c r="F7017" s="3" t="s">
        <v>287</v>
      </c>
      <c r="G7017" s="3" t="s">
        <v>48</v>
      </c>
      <c r="H7017" s="2" t="s">
        <v>21</v>
      </c>
      <c r="I7017" s="2" t="s">
        <v>13957</v>
      </c>
      <c r="J7017" s="3" t="str">
        <f>HYPERLINK("https://www.boe.es/gazeta/dias/1823/01/21/pdfs/GMD-1823-22.pdf#page=3","Abrir facsímil")</f>
        <v>Abrir facsímil</v>
      </c>
      <c r="K7017" s="3" t="s">
        <v>23</v>
      </c>
    </row>
    <row r="7018" spans="1:11" ht="42" customHeight="1">
      <c r="A7018" s="2" t="s">
        <v>13953</v>
      </c>
      <c r="B7018" s="2" t="s">
        <v>13953</v>
      </c>
      <c r="C7018" s="2" t="s">
        <v>109</v>
      </c>
      <c r="D7018" s="2" t="s">
        <v>74</v>
      </c>
      <c r="E7018" s="5">
        <v>-28096</v>
      </c>
      <c r="F7018" s="3" t="s">
        <v>534</v>
      </c>
      <c r="G7018" s="3" t="s">
        <v>27</v>
      </c>
      <c r="H7018" s="2" t="s">
        <v>21</v>
      </c>
      <c r="I7018" s="2" t="s">
        <v>13958</v>
      </c>
      <c r="J7018" s="3" t="str">
        <f>HYPERLINK("https://www.boe.es/gazeta/dias/1823/01/27/pdfs/GMD-1823-28.pdf#page=2","Abrir facsímil")</f>
        <v>Abrir facsímil</v>
      </c>
      <c r="K7018" s="3" t="s">
        <v>23</v>
      </c>
    </row>
    <row r="7019" spans="1:11" ht="42" customHeight="1">
      <c r="A7019" s="2" t="s">
        <v>13953</v>
      </c>
      <c r="B7019" s="2" t="s">
        <v>13953</v>
      </c>
      <c r="C7019" s="2" t="s">
        <v>109</v>
      </c>
      <c r="D7019" s="2" t="s">
        <v>74</v>
      </c>
      <c r="E7019" s="5">
        <v>-28085</v>
      </c>
      <c r="F7019" s="3" t="s">
        <v>458</v>
      </c>
      <c r="G7019" s="3" t="s">
        <v>27</v>
      </c>
      <c r="H7019" s="2" t="s">
        <v>21</v>
      </c>
      <c r="I7019" s="2" t="s">
        <v>13959</v>
      </c>
      <c r="J7019" s="3" t="str">
        <f>HYPERLINK("https://www.boe.es/gazeta/dias/1823/02/07/pdfs/GMD-1823-40.pdf#page=2","Abrir facsímil")</f>
        <v>Abrir facsímil</v>
      </c>
      <c r="K7019" s="3" t="s">
        <v>23</v>
      </c>
    </row>
    <row r="7020" spans="1:11" ht="42" customHeight="1">
      <c r="A7020" s="2" t="s">
        <v>13953</v>
      </c>
      <c r="B7020" s="2" t="s">
        <v>13953</v>
      </c>
      <c r="C7020" s="2" t="s">
        <v>17</v>
      </c>
      <c r="D7020" s="2" t="s">
        <v>18</v>
      </c>
      <c r="E7020" s="5">
        <v>-28085</v>
      </c>
      <c r="F7020" s="3" t="s">
        <v>458</v>
      </c>
      <c r="G7020" s="3" t="s">
        <v>34</v>
      </c>
      <c r="H7020" s="2" t="s">
        <v>21</v>
      </c>
      <c r="I7020" s="2" t="s">
        <v>13960</v>
      </c>
      <c r="J7020" s="3" t="str">
        <f>HYPERLINK("https://www.boe.es/gazeta/dias/1823/02/07/pdfs/GMD-1823-40.pdf#page=5","Abrir facsímil")</f>
        <v>Abrir facsímil</v>
      </c>
      <c r="K7020" s="3" t="s">
        <v>23</v>
      </c>
    </row>
    <row r="7021" spans="1:11" ht="42" customHeight="1">
      <c r="A7021" s="2" t="s">
        <v>13953</v>
      </c>
      <c r="B7021" s="2" t="s">
        <v>13953</v>
      </c>
      <c r="C7021" s="2" t="s">
        <v>109</v>
      </c>
      <c r="D7021" s="2" t="s">
        <v>74</v>
      </c>
      <c r="E7021" s="5">
        <v>-28082</v>
      </c>
      <c r="F7021" s="3" t="s">
        <v>468</v>
      </c>
      <c r="G7021" s="3" t="s">
        <v>27</v>
      </c>
      <c r="H7021" s="2" t="s">
        <v>21</v>
      </c>
      <c r="I7021" s="2" t="s">
        <v>13961</v>
      </c>
      <c r="J7021" s="3" t="str">
        <f>HYPERLINK("https://www.boe.es/gazeta/dias/1823/02/10/pdfs/GMD-1823-44.pdf#page=2","Abrir facsímil")</f>
        <v>Abrir facsímil</v>
      </c>
      <c r="K7021" s="3" t="s">
        <v>23</v>
      </c>
    </row>
    <row r="7022" spans="1:11" ht="42" customHeight="1">
      <c r="A7022" s="2" t="s">
        <v>13953</v>
      </c>
      <c r="B7022" s="2" t="s">
        <v>13953</v>
      </c>
      <c r="C7022" s="2" t="s">
        <v>56</v>
      </c>
      <c r="D7022" s="2" t="s">
        <v>57</v>
      </c>
      <c r="E7022" s="5">
        <v>-28082</v>
      </c>
      <c r="F7022" s="3" t="s">
        <v>468</v>
      </c>
      <c r="G7022" s="3" t="s">
        <v>20</v>
      </c>
      <c r="H7022" s="2" t="s">
        <v>21</v>
      </c>
      <c r="I7022" s="2" t="s">
        <v>13962</v>
      </c>
      <c r="J7022" s="3" t="str">
        <f>HYPERLINK("https://www.boe.es/gazeta/dias/1823/02/10/pdfs/GMD-1823-44.pdf#page=4","Abrir facsímil")</f>
        <v>Abrir facsímil</v>
      </c>
      <c r="K7022" s="3" t="s">
        <v>23</v>
      </c>
    </row>
    <row r="7023" spans="1:11" ht="42" customHeight="1">
      <c r="A7023" s="2" t="s">
        <v>13953</v>
      </c>
      <c r="B7023" s="2" t="s">
        <v>13953</v>
      </c>
      <c r="C7023" s="2" t="s">
        <v>84</v>
      </c>
      <c r="D7023" s="2" t="s">
        <v>74</v>
      </c>
      <c r="E7023" s="5">
        <v>-28081</v>
      </c>
      <c r="F7023" s="3" t="s">
        <v>170</v>
      </c>
      <c r="G7023" s="3" t="s">
        <v>48</v>
      </c>
      <c r="H7023" s="2" t="s">
        <v>21</v>
      </c>
      <c r="I7023" s="2" t="s">
        <v>13963</v>
      </c>
      <c r="J7023" s="3" t="str">
        <f>HYPERLINK("https://www.boe.es/gazeta/dias/1823/02/11/pdfs/GMD-1823-45.pdf#page=3","Abrir facsímil")</f>
        <v>Abrir facsímil</v>
      </c>
      <c r="K7023" s="3" t="s">
        <v>23</v>
      </c>
    </row>
    <row r="7024" spans="1:11" ht="42" customHeight="1">
      <c r="A7024" s="2" t="s">
        <v>13953</v>
      </c>
      <c r="B7024" s="2" t="s">
        <v>13953</v>
      </c>
      <c r="C7024" s="2" t="s">
        <v>17</v>
      </c>
      <c r="D7024" s="2" t="s">
        <v>18</v>
      </c>
      <c r="E7024" s="5">
        <v>-28075</v>
      </c>
      <c r="F7024" s="3" t="s">
        <v>2327</v>
      </c>
      <c r="G7024" s="3" t="s">
        <v>27</v>
      </c>
      <c r="H7024" s="2" t="s">
        <v>21</v>
      </c>
      <c r="I7024" s="2" t="s">
        <v>13964</v>
      </c>
      <c r="J7024" s="3" t="str">
        <f>HYPERLINK("https://www.boe.es/gazeta/dias/1823/02/17/pdfs/GMD-1823-51.pdf#page=2","Abrir facsímil")</f>
        <v>Abrir facsímil</v>
      </c>
      <c r="K7024" s="3" t="s">
        <v>23</v>
      </c>
    </row>
    <row r="7025" spans="1:11" ht="42" customHeight="1">
      <c r="A7025" s="2" t="s">
        <v>13953</v>
      </c>
      <c r="B7025" s="2" t="s">
        <v>13953</v>
      </c>
      <c r="C7025" s="2" t="s">
        <v>17</v>
      </c>
      <c r="D7025" s="2" t="s">
        <v>18</v>
      </c>
      <c r="E7025" s="5">
        <v>-28060</v>
      </c>
      <c r="F7025" s="3" t="s">
        <v>180</v>
      </c>
      <c r="G7025" s="3" t="s">
        <v>20</v>
      </c>
      <c r="H7025" s="2" t="s">
        <v>21</v>
      </c>
      <c r="I7025" s="2" t="s">
        <v>13965</v>
      </c>
      <c r="J7025" s="3" t="str">
        <f>HYPERLINK("https://www.boe.es/gazeta/dias/1823/03/04/pdfs/GMD-1823-67.pdf#page=4","Abrir facsímil")</f>
        <v>Abrir facsímil</v>
      </c>
      <c r="K7025" s="3" t="s">
        <v>23</v>
      </c>
    </row>
    <row r="7026" spans="1:11" ht="42" customHeight="1">
      <c r="A7026" s="2" t="s">
        <v>13953</v>
      </c>
      <c r="B7026" s="2" t="s">
        <v>13953</v>
      </c>
      <c r="C7026" s="2" t="s">
        <v>79</v>
      </c>
      <c r="D7026" s="2" t="s">
        <v>74</v>
      </c>
      <c r="E7026" s="5">
        <v>-28056</v>
      </c>
      <c r="F7026" s="3" t="s">
        <v>572</v>
      </c>
      <c r="G7026" s="3" t="s">
        <v>34</v>
      </c>
      <c r="H7026" s="2" t="s">
        <v>21</v>
      </c>
      <c r="I7026" s="2" t="s">
        <v>13966</v>
      </c>
      <c r="J7026" s="3" t="str">
        <f>HYPERLINK("https://www.boe.es/gazeta/dias/1823/03/08/pdfs/GMD-1823-71.pdf#page=5","Abrir facsímil")</f>
        <v>Abrir facsímil</v>
      </c>
      <c r="K7026" s="3" t="s">
        <v>23</v>
      </c>
    </row>
    <row r="7027" spans="1:11" ht="42" customHeight="1">
      <c r="A7027" s="2" t="s">
        <v>13953</v>
      </c>
      <c r="B7027" s="2" t="s">
        <v>13953</v>
      </c>
      <c r="C7027" s="2" t="s">
        <v>79</v>
      </c>
      <c r="D7027" s="2" t="s">
        <v>74</v>
      </c>
      <c r="E7027" s="5">
        <v>-27995</v>
      </c>
      <c r="F7027" s="3" t="s">
        <v>320</v>
      </c>
      <c r="G7027" s="3" t="s">
        <v>59</v>
      </c>
      <c r="H7027" s="2" t="s">
        <v>21</v>
      </c>
      <c r="I7027" s="2" t="s">
        <v>13967</v>
      </c>
      <c r="J7027" s="3" t="str">
        <f>HYPERLINK("https://www.boe.es/gazeta/dias/1823/05/08/pdfs/GES-1823-28.pdf#page=6","Abrir facsímil")</f>
        <v>Abrir facsímil</v>
      </c>
      <c r="K7027" s="3" t="s">
        <v>23</v>
      </c>
    </row>
    <row r="7028" spans="1:11" ht="42" customHeight="1">
      <c r="A7028" s="2" t="s">
        <v>13953</v>
      </c>
      <c r="B7028" s="2" t="s">
        <v>13953</v>
      </c>
      <c r="C7028" s="2" t="s">
        <v>109</v>
      </c>
      <c r="D7028" s="2" t="s">
        <v>74</v>
      </c>
      <c r="E7028" s="5">
        <v>-27985</v>
      </c>
      <c r="F7028" s="3" t="s">
        <v>951</v>
      </c>
      <c r="G7028" s="3" t="s">
        <v>48</v>
      </c>
      <c r="H7028" s="2" t="s">
        <v>21</v>
      </c>
      <c r="I7028" s="2" t="s">
        <v>13968</v>
      </c>
      <c r="J7028" s="3" t="str">
        <f>HYPERLINK("https://www.boe.es/gazeta/dias/1823/05/18/pdfs/GES-1823-38.pdf#page=3","Abrir facsímil")</f>
        <v>Abrir facsímil</v>
      </c>
      <c r="K7028" s="3" t="s">
        <v>23</v>
      </c>
    </row>
    <row r="7029" spans="1:11" ht="42" customHeight="1">
      <c r="A7029" s="2" t="s">
        <v>13953</v>
      </c>
      <c r="B7029" s="2" t="s">
        <v>13953</v>
      </c>
      <c r="C7029" s="2" t="s">
        <v>79</v>
      </c>
      <c r="D7029" s="2" t="s">
        <v>74</v>
      </c>
      <c r="E7029" s="5">
        <v>-27935</v>
      </c>
      <c r="F7029" s="3" t="s">
        <v>350</v>
      </c>
      <c r="G7029" s="3" t="s">
        <v>39</v>
      </c>
      <c r="H7029" s="2" t="s">
        <v>21</v>
      </c>
      <c r="I7029" s="2" t="s">
        <v>13969</v>
      </c>
      <c r="J7029" s="3" t="str">
        <f>HYPERLINK("https://www.boe.es/gazeta/dias/1823/07/07/pdfs/GES-1823-87.pdf#page=1","Abrir facsímil")</f>
        <v>Abrir facsímil</v>
      </c>
      <c r="K7029" s="3" t="s">
        <v>23</v>
      </c>
    </row>
    <row r="7030" spans="1:11" ht="42" customHeight="1">
      <c r="A7030" s="2" t="s">
        <v>13970</v>
      </c>
      <c r="B7030" s="2" t="s">
        <v>13971</v>
      </c>
      <c r="C7030" s="2" t="s">
        <v>79</v>
      </c>
      <c r="D7030" s="2" t="s">
        <v>74</v>
      </c>
      <c r="E7030" s="5">
        <v>-27776</v>
      </c>
      <c r="F7030" s="3" t="s">
        <v>1399</v>
      </c>
      <c r="G7030" s="3" t="s">
        <v>27</v>
      </c>
      <c r="H7030" s="2" t="s">
        <v>21</v>
      </c>
      <c r="I7030" s="2" t="s">
        <v>13972</v>
      </c>
      <c r="J7030" s="3" t="str">
        <f>HYPERLINK("https://www.boe.es/gazeta/dias/1823/12/13/pdfs/GMD-1823-1243.pdf#page=2","Abrir facsímil")</f>
        <v>Abrir facsímil</v>
      </c>
      <c r="K7030" s="3" t="s">
        <v>23</v>
      </c>
    </row>
    <row r="7031" spans="1:11" ht="42" customHeight="1">
      <c r="A7031" s="2" t="s">
        <v>13973</v>
      </c>
      <c r="B7031" s="2" t="s">
        <v>13974</v>
      </c>
      <c r="C7031" s="2" t="s">
        <v>79</v>
      </c>
      <c r="D7031" s="2" t="s">
        <v>74</v>
      </c>
      <c r="E7031" s="5">
        <v>-27961</v>
      </c>
      <c r="F7031" s="3" t="s">
        <v>52</v>
      </c>
      <c r="G7031" s="3" t="s">
        <v>39</v>
      </c>
      <c r="H7031" s="2" t="s">
        <v>21</v>
      </c>
      <c r="I7031" s="2" t="s">
        <v>13975</v>
      </c>
      <c r="J7031" s="3" t="str">
        <f>HYPERLINK("https://www.boe.es/gazeta/dias/1823/06/11/pdfs/GES-1823-65.pdf#page=1","Abrir facsímil")</f>
        <v>Abrir facsímil</v>
      </c>
      <c r="K7031" s="3" t="s">
        <v>23</v>
      </c>
    </row>
    <row r="7032" spans="1:11" ht="42" customHeight="1">
      <c r="A7032" s="2" t="s">
        <v>13976</v>
      </c>
      <c r="B7032" s="2" t="s">
        <v>13977</v>
      </c>
      <c r="C7032" s="2" t="s">
        <v>17</v>
      </c>
      <c r="D7032" s="2" t="s">
        <v>18</v>
      </c>
      <c r="E7032" s="5">
        <v>-27811</v>
      </c>
      <c r="F7032" s="3" t="s">
        <v>834</v>
      </c>
      <c r="G7032" s="3" t="s">
        <v>48</v>
      </c>
      <c r="H7032" s="2" t="s">
        <v>21</v>
      </c>
      <c r="I7032" s="2" t="s">
        <v>13978</v>
      </c>
      <c r="J7032" s="3" t="str">
        <f>HYPERLINK("https://www.boe.es/gazeta/dias/1823/11/08/pdfs/GMD-1823-1083.pdf#page=3","Abrir facsímil")</f>
        <v>Abrir facsímil</v>
      </c>
      <c r="K7032" s="3" t="s">
        <v>23</v>
      </c>
    </row>
    <row r="7033" spans="1:11" ht="42" customHeight="1">
      <c r="A7033" s="2" t="s">
        <v>13979</v>
      </c>
      <c r="B7033" s="2" t="s">
        <v>13979</v>
      </c>
      <c r="C7033" s="2" t="s">
        <v>17</v>
      </c>
      <c r="D7033" s="2" t="s">
        <v>18</v>
      </c>
      <c r="E7033" s="5">
        <v>-28102</v>
      </c>
      <c r="F7033" s="3" t="s">
        <v>287</v>
      </c>
      <c r="G7033" s="3" t="s">
        <v>27</v>
      </c>
      <c r="H7033" s="2" t="s">
        <v>21</v>
      </c>
      <c r="I7033" s="2" t="s">
        <v>13980</v>
      </c>
      <c r="J7033" s="3" t="str">
        <f>HYPERLINK("https://www.boe.es/gazeta/dias/1823/01/21/pdfs/GMD-1823-22.pdf#page=2","Abrir facsímil")</f>
        <v>Abrir facsímil</v>
      </c>
      <c r="K7033" s="3" t="s">
        <v>23</v>
      </c>
    </row>
    <row r="7034" spans="1:11" ht="42" customHeight="1">
      <c r="A7034" s="2" t="s">
        <v>13981</v>
      </c>
      <c r="B7034" s="2" t="s">
        <v>13982</v>
      </c>
      <c r="C7034" s="2" t="s">
        <v>84</v>
      </c>
      <c r="D7034" s="2" t="s">
        <v>74</v>
      </c>
      <c r="E7034" s="5">
        <v>-27867</v>
      </c>
      <c r="F7034" s="3" t="s">
        <v>1585</v>
      </c>
      <c r="G7034" s="3" t="s">
        <v>48</v>
      </c>
      <c r="H7034" s="2" t="s">
        <v>21</v>
      </c>
      <c r="I7034" s="2" t="s">
        <v>13983</v>
      </c>
      <c r="J7034" s="3" t="str">
        <f>HYPERLINK("https://www.boe.es/gazeta/dias/1823/09/13/pdfs/GMD-1823-773.pdf#page=3","Abrir facsímil")</f>
        <v>Abrir facsímil</v>
      </c>
      <c r="K7034" s="3" t="s">
        <v>23</v>
      </c>
    </row>
    <row r="7035" spans="1:11" ht="42" customHeight="1">
      <c r="A7035" s="2" t="s">
        <v>13984</v>
      </c>
      <c r="B7035" s="2" t="s">
        <v>13984</v>
      </c>
      <c r="C7035" s="2" t="s">
        <v>79</v>
      </c>
      <c r="D7035" s="2" t="s">
        <v>74</v>
      </c>
      <c r="E7035" s="5">
        <v>-28117</v>
      </c>
      <c r="F7035" s="3" t="s">
        <v>271</v>
      </c>
      <c r="G7035" s="3" t="s">
        <v>48</v>
      </c>
      <c r="H7035" s="2" t="s">
        <v>21</v>
      </c>
      <c r="I7035" s="2" t="s">
        <v>13985</v>
      </c>
      <c r="J7035" s="3" t="str">
        <f>HYPERLINK("https://www.boe.es/gazeta/dias/1823/01/06/pdfs/GMD-1823-6.pdf#page=3","Abrir facsímil")</f>
        <v>Abrir facsímil</v>
      </c>
      <c r="K7035" s="3" t="s">
        <v>23</v>
      </c>
    </row>
    <row r="7036" spans="1:11" ht="42" customHeight="1">
      <c r="A7036" s="2" t="s">
        <v>13984</v>
      </c>
      <c r="B7036" s="2" t="s">
        <v>13984</v>
      </c>
      <c r="C7036" s="2" t="s">
        <v>79</v>
      </c>
      <c r="D7036" s="2" t="s">
        <v>74</v>
      </c>
      <c r="E7036" s="5">
        <v>-28115</v>
      </c>
      <c r="F7036" s="3" t="s">
        <v>579</v>
      </c>
      <c r="G7036" s="3" t="s">
        <v>27</v>
      </c>
      <c r="H7036" s="2" t="s">
        <v>21</v>
      </c>
      <c r="I7036" s="2" t="s">
        <v>13986</v>
      </c>
      <c r="J7036" s="3" t="str">
        <f>HYPERLINK("https://www.boe.es/gazeta/dias/1823/01/08/pdfs/GMD-1823-8.pdf#page=2","Abrir facsímil")</f>
        <v>Abrir facsímil</v>
      </c>
      <c r="K7036" s="3" t="s">
        <v>23</v>
      </c>
    </row>
    <row r="7037" spans="1:11" ht="42" customHeight="1">
      <c r="A7037" s="2" t="s">
        <v>13984</v>
      </c>
      <c r="B7037" s="2" t="s">
        <v>13984</v>
      </c>
      <c r="C7037" s="2" t="s">
        <v>109</v>
      </c>
      <c r="D7037" s="2" t="s">
        <v>74</v>
      </c>
      <c r="E7037" s="5">
        <v>-28107</v>
      </c>
      <c r="F7037" s="3" t="s">
        <v>278</v>
      </c>
      <c r="G7037" s="3" t="s">
        <v>27</v>
      </c>
      <c r="H7037" s="2" t="s">
        <v>21</v>
      </c>
      <c r="I7037" s="2" t="s">
        <v>13987</v>
      </c>
      <c r="J7037" s="3" t="str">
        <f>HYPERLINK("https://www.boe.es/gazeta/dias/1823/01/16/pdfs/GMD-1823-16.pdf#page=2","Abrir facsímil")</f>
        <v>Abrir facsímil</v>
      </c>
      <c r="K7037" s="3" t="s">
        <v>23</v>
      </c>
    </row>
    <row r="7038" spans="1:11" ht="42" customHeight="1">
      <c r="A7038" s="2" t="s">
        <v>13984</v>
      </c>
      <c r="B7038" s="2" t="s">
        <v>13984</v>
      </c>
      <c r="C7038" s="2" t="s">
        <v>109</v>
      </c>
      <c r="D7038" s="2" t="s">
        <v>74</v>
      </c>
      <c r="E7038" s="5">
        <v>-28102</v>
      </c>
      <c r="F7038" s="3" t="s">
        <v>287</v>
      </c>
      <c r="G7038" s="3" t="s">
        <v>48</v>
      </c>
      <c r="H7038" s="2" t="s">
        <v>21</v>
      </c>
      <c r="I7038" s="2" t="s">
        <v>13988</v>
      </c>
      <c r="J7038" s="3" t="str">
        <f>HYPERLINK("https://www.boe.es/gazeta/dias/1823/01/21/pdfs/GMD-1823-22.pdf#page=3","Abrir facsímil")</f>
        <v>Abrir facsímil</v>
      </c>
      <c r="K7038" s="3" t="s">
        <v>23</v>
      </c>
    </row>
    <row r="7039" spans="1:11" ht="42" customHeight="1">
      <c r="A7039" s="2" t="s">
        <v>13984</v>
      </c>
      <c r="B7039" s="2" t="s">
        <v>13984</v>
      </c>
      <c r="C7039" s="2" t="s">
        <v>17</v>
      </c>
      <c r="D7039" s="2" t="s">
        <v>18</v>
      </c>
      <c r="E7039" s="5">
        <v>-28098</v>
      </c>
      <c r="F7039" s="3" t="s">
        <v>1101</v>
      </c>
      <c r="G7039" s="3" t="s">
        <v>27</v>
      </c>
      <c r="H7039" s="2" t="s">
        <v>21</v>
      </c>
      <c r="I7039" s="2" t="s">
        <v>13989</v>
      </c>
      <c r="J7039" s="3" t="str">
        <f>HYPERLINK("https://www.boe.es/gazeta/dias/1823/01/25/pdfs/GMD-1823-26.pdf#page=2","Abrir facsímil")</f>
        <v>Abrir facsímil</v>
      </c>
      <c r="K7039" s="3" t="s">
        <v>23</v>
      </c>
    </row>
    <row r="7040" spans="1:11" ht="42" customHeight="1">
      <c r="A7040" s="2" t="s">
        <v>13984</v>
      </c>
      <c r="B7040" s="2" t="s">
        <v>13984</v>
      </c>
      <c r="C7040" s="2" t="s">
        <v>109</v>
      </c>
      <c r="D7040" s="2" t="s">
        <v>74</v>
      </c>
      <c r="E7040" s="5">
        <v>-28088</v>
      </c>
      <c r="F7040" s="3" t="s">
        <v>542</v>
      </c>
      <c r="G7040" s="3" t="s">
        <v>27</v>
      </c>
      <c r="H7040" s="2" t="s">
        <v>21</v>
      </c>
      <c r="I7040" s="2" t="s">
        <v>13990</v>
      </c>
      <c r="J7040" s="3" t="str">
        <f>HYPERLINK("https://www.boe.es/gazeta/dias/1823/02/04/pdfs/GMD-1823-37.pdf#page=2","Abrir facsímil")</f>
        <v>Abrir facsímil</v>
      </c>
      <c r="K7040" s="3" t="s">
        <v>23</v>
      </c>
    </row>
    <row r="7041" spans="1:11" ht="42" customHeight="1">
      <c r="A7041" s="2" t="s">
        <v>13984</v>
      </c>
      <c r="B7041" s="2" t="s">
        <v>13984</v>
      </c>
      <c r="C7041" s="2" t="s">
        <v>109</v>
      </c>
      <c r="D7041" s="2" t="s">
        <v>74</v>
      </c>
      <c r="E7041" s="5">
        <v>-28076</v>
      </c>
      <c r="F7041" s="3" t="s">
        <v>1638</v>
      </c>
      <c r="G7041" s="3" t="s">
        <v>39</v>
      </c>
      <c r="H7041" s="2" t="s">
        <v>21</v>
      </c>
      <c r="I7041" s="2" t="s">
        <v>13991</v>
      </c>
      <c r="J7041" s="3" t="str">
        <f>HYPERLINK("https://www.boe.es/gazeta/dias/1823/02/16/pdfs/GMD-1823-50.pdf#page=1","Abrir facsímil")</f>
        <v>Abrir facsímil</v>
      </c>
      <c r="K7041" s="3" t="s">
        <v>23</v>
      </c>
    </row>
    <row r="7042" spans="1:11" ht="42" customHeight="1">
      <c r="A7042" s="2" t="s">
        <v>13984</v>
      </c>
      <c r="B7042" s="2" t="s">
        <v>13984</v>
      </c>
      <c r="C7042" s="2" t="s">
        <v>109</v>
      </c>
      <c r="D7042" s="2" t="s">
        <v>74</v>
      </c>
      <c r="E7042" s="5">
        <v>-28076</v>
      </c>
      <c r="F7042" s="3" t="s">
        <v>1638</v>
      </c>
      <c r="G7042" s="3" t="s">
        <v>27</v>
      </c>
      <c r="H7042" s="2" t="s">
        <v>21</v>
      </c>
      <c r="I7042" s="2" t="s">
        <v>13992</v>
      </c>
      <c r="J7042" s="3" t="str">
        <f>HYPERLINK("https://www.boe.es/gazeta/dias/1823/02/16/pdfs/GMD-1823-50.pdf#page=2","Abrir facsímil")</f>
        <v>Abrir facsímil</v>
      </c>
      <c r="K7042" s="3" t="s">
        <v>23</v>
      </c>
    </row>
    <row r="7043" spans="1:11" ht="42" customHeight="1">
      <c r="A7043" s="2" t="s">
        <v>13984</v>
      </c>
      <c r="B7043" s="2" t="s">
        <v>13984</v>
      </c>
      <c r="C7043" s="2" t="s">
        <v>17</v>
      </c>
      <c r="D7043" s="2" t="s">
        <v>18</v>
      </c>
      <c r="E7043" s="5">
        <v>-28058</v>
      </c>
      <c r="F7043" s="3" t="s">
        <v>1282</v>
      </c>
      <c r="G7043" s="3" t="s">
        <v>48</v>
      </c>
      <c r="H7043" s="2" t="s">
        <v>21</v>
      </c>
      <c r="I7043" s="2" t="s">
        <v>13993</v>
      </c>
      <c r="J7043" s="3" t="str">
        <f>HYPERLINK("https://www.boe.es/gazeta/dias/1823/03/06/pdfs/GMD-1823-69.pdf#page=3","Abrir facsímil")</f>
        <v>Abrir facsímil</v>
      </c>
      <c r="K7043" s="3" t="s">
        <v>23</v>
      </c>
    </row>
    <row r="7044" spans="1:11" ht="42" customHeight="1">
      <c r="A7044" s="2" t="s">
        <v>13984</v>
      </c>
      <c r="B7044" s="2" t="s">
        <v>13984</v>
      </c>
      <c r="C7044" s="2" t="s">
        <v>56</v>
      </c>
      <c r="D7044" s="2" t="s">
        <v>57</v>
      </c>
      <c r="E7044" s="5">
        <v>-27964</v>
      </c>
      <c r="F7044" s="3" t="s">
        <v>58</v>
      </c>
      <c r="G7044" s="3" t="s">
        <v>48</v>
      </c>
      <c r="H7044" s="2" t="s">
        <v>21</v>
      </c>
      <c r="I7044" s="2" t="s">
        <v>13994</v>
      </c>
      <c r="J7044" s="3" t="str">
        <f>HYPERLINK("https://www.boe.es/gazeta/dias/1823/06/08/pdfs/GES-1823-62.pdf#page=3","Abrir facsímil")</f>
        <v>Abrir facsímil</v>
      </c>
      <c r="K7044" s="3" t="s">
        <v>23</v>
      </c>
    </row>
    <row r="7045" spans="1:11" ht="42" customHeight="1">
      <c r="A7045" s="2" t="s">
        <v>13995</v>
      </c>
      <c r="B7045" s="2" t="s">
        <v>13996</v>
      </c>
      <c r="C7045" s="2" t="s">
        <v>17</v>
      </c>
      <c r="D7045" s="2" t="s">
        <v>18</v>
      </c>
      <c r="E7045" s="5">
        <v>-27997</v>
      </c>
      <c r="F7045" s="3" t="s">
        <v>317</v>
      </c>
      <c r="G7045" s="3" t="s">
        <v>1124</v>
      </c>
      <c r="H7045" s="2" t="s">
        <v>28</v>
      </c>
      <c r="I7045" s="2" t="s">
        <v>13997</v>
      </c>
      <c r="J7045" s="3" t="str">
        <f>HYPERLINK("https://www.boe.es/gazeta/dias/1823/05/06/pdfs/GES-1823-26.pdf#page=2","Abrir facsímil")</f>
        <v>Abrir facsímil</v>
      </c>
      <c r="K7045" s="3" t="s">
        <v>30</v>
      </c>
    </row>
    <row r="7046" spans="1:11" ht="42" customHeight="1">
      <c r="A7046" s="2" t="s">
        <v>13998</v>
      </c>
      <c r="B7046" s="2" t="s">
        <v>13999</v>
      </c>
      <c r="C7046" s="2" t="s">
        <v>17</v>
      </c>
      <c r="D7046" s="2" t="s">
        <v>18</v>
      </c>
      <c r="E7046" s="5">
        <v>-28002</v>
      </c>
      <c r="F7046" s="3" t="s">
        <v>315</v>
      </c>
      <c r="G7046" s="3" t="s">
        <v>39</v>
      </c>
      <c r="H7046" s="2" t="s">
        <v>21</v>
      </c>
      <c r="I7046" s="2" t="s">
        <v>14000</v>
      </c>
      <c r="J7046" s="3" t="str">
        <f>HYPERLINK("https://www.boe.es/gazeta/dias/1823/05/01/pdfs/GES-1823-21.pdf#page=1","Abrir facsímil")</f>
        <v>Abrir facsímil</v>
      </c>
      <c r="K7046" s="3" t="s">
        <v>23</v>
      </c>
    </row>
    <row r="7047" spans="1:11" ht="42" customHeight="1">
      <c r="A7047" s="2" t="s">
        <v>14001</v>
      </c>
      <c r="B7047" s="2" t="s">
        <v>14002</v>
      </c>
      <c r="C7047" s="2" t="s">
        <v>17</v>
      </c>
      <c r="D7047" s="2" t="s">
        <v>18</v>
      </c>
      <c r="E7047" s="5">
        <v>-28019</v>
      </c>
      <c r="F7047" s="3" t="s">
        <v>1663</v>
      </c>
      <c r="G7047" s="3" t="s">
        <v>48</v>
      </c>
      <c r="H7047" s="2" t="s">
        <v>21</v>
      </c>
      <c r="I7047" s="2" t="s">
        <v>14003</v>
      </c>
      <c r="J7047" s="3" t="str">
        <f>HYPERLINK("https://www.boe.es/gazeta/dias/1823/04/14/pdfs/GES-1823-4.pdf#page=3","Abrir facsímil")</f>
        <v>Abrir facsímil</v>
      </c>
      <c r="K7047" s="3" t="s">
        <v>23</v>
      </c>
    </row>
    <row r="7048" spans="1:11" ht="42" customHeight="1">
      <c r="A7048" s="2" t="s">
        <v>14001</v>
      </c>
      <c r="B7048" s="2" t="s">
        <v>14002</v>
      </c>
      <c r="C7048" s="2" t="s">
        <v>17</v>
      </c>
      <c r="D7048" s="2" t="s">
        <v>18</v>
      </c>
      <c r="E7048" s="5">
        <v>-28016</v>
      </c>
      <c r="F7048" s="3" t="s">
        <v>287</v>
      </c>
      <c r="G7048" s="3" t="s">
        <v>48</v>
      </c>
      <c r="H7048" s="2" t="s">
        <v>21</v>
      </c>
      <c r="I7048" s="2" t="s">
        <v>14004</v>
      </c>
      <c r="J7048" s="3" t="str">
        <f>HYPERLINK("https://www.boe.es/gazeta/dias/1823/04/17/pdfs/GMD-1823-22.pdf#page=3","Abrir facsímil")</f>
        <v>Abrir facsímil</v>
      </c>
      <c r="K7048" s="3" t="s">
        <v>23</v>
      </c>
    </row>
    <row r="7049" spans="1:11" ht="42" customHeight="1">
      <c r="A7049" s="2" t="s">
        <v>14005</v>
      </c>
      <c r="B7049" s="2" t="s">
        <v>14005</v>
      </c>
      <c r="C7049" s="2" t="s">
        <v>109</v>
      </c>
      <c r="D7049" s="2" t="s">
        <v>74</v>
      </c>
      <c r="E7049" s="5">
        <v>-27923</v>
      </c>
      <c r="F7049" s="3" t="s">
        <v>1225</v>
      </c>
      <c r="G7049" s="3" t="s">
        <v>39</v>
      </c>
      <c r="H7049" s="2" t="s">
        <v>21</v>
      </c>
      <c r="I7049" s="2" t="s">
        <v>14006</v>
      </c>
      <c r="J7049" s="3" t="str">
        <f>HYPERLINK("https://www.boe.es/gazeta/dias/1823/07/19/pdfs/GMD-1823-433.pdf#page=1","Abrir facsímil")</f>
        <v>Abrir facsímil</v>
      </c>
      <c r="K7049" s="3" t="s">
        <v>23</v>
      </c>
    </row>
    <row r="7050" spans="1:11" ht="42" customHeight="1">
      <c r="A7050" s="2" t="s">
        <v>14007</v>
      </c>
      <c r="B7050" s="2" t="s">
        <v>14008</v>
      </c>
      <c r="C7050" s="2" t="s">
        <v>17</v>
      </c>
      <c r="D7050" s="2" t="s">
        <v>18</v>
      </c>
      <c r="E7050" s="5">
        <v>-28090</v>
      </c>
      <c r="F7050" s="3" t="s">
        <v>174</v>
      </c>
      <c r="G7050" s="3" t="s">
        <v>20</v>
      </c>
      <c r="H7050" s="2" t="s">
        <v>21</v>
      </c>
      <c r="I7050" s="2" t="s">
        <v>14009</v>
      </c>
      <c r="J7050" s="3" t="str">
        <f>HYPERLINK("https://www.boe.es/gazeta/dias/1823/02/02/pdfs/GMD-1823-35.pdf#page=4","Abrir facsímil")</f>
        <v>Abrir facsímil</v>
      </c>
      <c r="K7050" s="3" t="s">
        <v>23</v>
      </c>
    </row>
    <row r="7051" spans="1:11" ht="42" customHeight="1">
      <c r="A7051" s="2" t="s">
        <v>14010</v>
      </c>
      <c r="B7051" s="2" t="s">
        <v>14011</v>
      </c>
      <c r="C7051" s="2" t="s">
        <v>79</v>
      </c>
      <c r="D7051" s="2" t="s">
        <v>74</v>
      </c>
      <c r="E7051" s="5">
        <v>-28058</v>
      </c>
      <c r="F7051" s="3" t="s">
        <v>1282</v>
      </c>
      <c r="G7051" s="3" t="s">
        <v>59</v>
      </c>
      <c r="H7051" s="2" t="s">
        <v>21</v>
      </c>
      <c r="I7051" s="2" t="s">
        <v>14012</v>
      </c>
      <c r="J7051" s="3" t="str">
        <f>HYPERLINK("https://www.boe.es/gazeta/dias/1823/03/06/pdfs/GMD-1823-69.pdf#page=6","Abrir facsímil")</f>
        <v>Abrir facsímil</v>
      </c>
      <c r="K7051" s="3" t="s">
        <v>23</v>
      </c>
    </row>
    <row r="7052" spans="1:11" ht="42" customHeight="1">
      <c r="A7052" s="2" t="s">
        <v>14010</v>
      </c>
      <c r="B7052" s="2" t="s">
        <v>14011</v>
      </c>
      <c r="C7052" s="2" t="s">
        <v>17</v>
      </c>
      <c r="D7052" s="2" t="s">
        <v>18</v>
      </c>
      <c r="E7052" s="5">
        <v>-28037</v>
      </c>
      <c r="F7052" s="3" t="s">
        <v>192</v>
      </c>
      <c r="G7052" s="3" t="s">
        <v>48</v>
      </c>
      <c r="H7052" s="2" t="s">
        <v>21</v>
      </c>
      <c r="I7052" s="2" t="s">
        <v>14013</v>
      </c>
      <c r="J7052" s="3" t="str">
        <f>HYPERLINK("https://www.boe.es/gazeta/dias/1823/03/27/pdfs/GMD-1823-90.pdf#page=3","Abrir facsímil")</f>
        <v>Abrir facsímil</v>
      </c>
      <c r="K7052" s="3" t="s">
        <v>23</v>
      </c>
    </row>
    <row r="7053" spans="1:11" ht="42" customHeight="1">
      <c r="A7053" s="2" t="s">
        <v>14014</v>
      </c>
      <c r="B7053" s="2" t="s">
        <v>14015</v>
      </c>
      <c r="C7053" s="2" t="s">
        <v>109</v>
      </c>
      <c r="D7053" s="2" t="s">
        <v>74</v>
      </c>
      <c r="E7053" s="5">
        <v>-28115</v>
      </c>
      <c r="F7053" s="3" t="s">
        <v>579</v>
      </c>
      <c r="G7053" s="3" t="s">
        <v>1458</v>
      </c>
      <c r="H7053" s="2" t="s">
        <v>21</v>
      </c>
      <c r="I7053" s="2" t="s">
        <v>14016</v>
      </c>
      <c r="J7053" s="3" t="str">
        <f>HYPERLINK("https://www.boe.es/gazeta/dias/1823/01/08/pdfs/GMD-1823-8.pdf#page=4","Abrir facsímil")</f>
        <v>Abrir facsímil</v>
      </c>
      <c r="K7053" s="3" t="s">
        <v>23</v>
      </c>
    </row>
    <row r="7054" spans="1:11" ht="42" customHeight="1">
      <c r="A7054" s="2" t="s">
        <v>14017</v>
      </c>
      <c r="B7054" s="2" t="s">
        <v>14018</v>
      </c>
      <c r="C7054" s="2" t="s">
        <v>17</v>
      </c>
      <c r="D7054" s="2" t="s">
        <v>18</v>
      </c>
      <c r="E7054" s="5">
        <v>-28078</v>
      </c>
      <c r="F7054" s="3" t="s">
        <v>508</v>
      </c>
      <c r="G7054" s="3" t="s">
        <v>59</v>
      </c>
      <c r="H7054" s="2" t="s">
        <v>21</v>
      </c>
      <c r="I7054" s="2" t="s">
        <v>14019</v>
      </c>
      <c r="J7054" s="3" t="str">
        <f>HYPERLINK("https://www.boe.es/gazeta/dias/1823/02/14/pdfs/GMD-1823-48.pdf#page=6","Abrir facsímil")</f>
        <v>Abrir facsímil</v>
      </c>
      <c r="K7054" s="3" t="s">
        <v>23</v>
      </c>
    </row>
    <row r="7055" spans="1:11" ht="42" customHeight="1">
      <c r="A7055" s="2" t="s">
        <v>14020</v>
      </c>
      <c r="B7055" s="2" t="s">
        <v>14021</v>
      </c>
      <c r="C7055" s="2" t="s">
        <v>56</v>
      </c>
      <c r="D7055" s="2" t="s">
        <v>57</v>
      </c>
      <c r="E7055" s="5">
        <v>-27987</v>
      </c>
      <c r="F7055" s="3" t="s">
        <v>332</v>
      </c>
      <c r="G7055" s="3" t="s">
        <v>59</v>
      </c>
      <c r="H7055" s="2" t="s">
        <v>21</v>
      </c>
      <c r="I7055" s="2" t="s">
        <v>14022</v>
      </c>
      <c r="J7055" s="3" t="str">
        <f>HYPERLINK("https://www.boe.es/gazeta/dias/1823/05/16/pdfs/GES-1823-36.pdf#page=6","Abrir facsímil")</f>
        <v>Abrir facsímil</v>
      </c>
      <c r="K7055" s="3" t="s">
        <v>23</v>
      </c>
    </row>
    <row r="7056" spans="1:11" ht="42" customHeight="1">
      <c r="A7056" s="2" t="s">
        <v>14023</v>
      </c>
      <c r="B7056" s="2" t="s">
        <v>14024</v>
      </c>
      <c r="C7056" s="2" t="s">
        <v>79</v>
      </c>
      <c r="D7056" s="2" t="s">
        <v>74</v>
      </c>
      <c r="E7056" s="5">
        <v>-28026</v>
      </c>
      <c r="F7056" s="3" t="s">
        <v>937</v>
      </c>
      <c r="G7056" s="3" t="s">
        <v>5269</v>
      </c>
      <c r="H7056" s="2" t="s">
        <v>21</v>
      </c>
      <c r="I7056" s="2" t="s">
        <v>14025</v>
      </c>
      <c r="J7056" s="3" t="str">
        <f>HYPERLINK("https://www.boe.es/gazeta/dias/1823/04/07/pdfs/GMD-1823-102.pdf#page=4","Abrir facsímil")</f>
        <v>Abrir facsímil</v>
      </c>
      <c r="K7056" s="3" t="s">
        <v>23</v>
      </c>
    </row>
    <row r="7057" spans="1:11" ht="42" customHeight="1">
      <c r="A7057" s="2" t="s">
        <v>14026</v>
      </c>
      <c r="B7057" s="2" t="s">
        <v>14027</v>
      </c>
      <c r="C7057" s="2" t="s">
        <v>17</v>
      </c>
      <c r="D7057" s="2" t="s">
        <v>18</v>
      </c>
      <c r="E7057" s="5">
        <v>-27848</v>
      </c>
      <c r="F7057" s="3" t="s">
        <v>2665</v>
      </c>
      <c r="G7057" s="3" t="s">
        <v>20</v>
      </c>
      <c r="H7057" s="2" t="s">
        <v>21</v>
      </c>
      <c r="I7057" s="2" t="s">
        <v>14028</v>
      </c>
      <c r="J7057" s="3" t="str">
        <f>HYPERLINK("https://www.boe.es/gazeta/dias/1823/10/02/pdfs/GMD-1823-893.pdf#page=4","Abrir facsímil")</f>
        <v>Abrir facsímil</v>
      </c>
      <c r="K7057" s="3" t="s">
        <v>23</v>
      </c>
    </row>
    <row r="7058" spans="1:11" ht="42" customHeight="1">
      <c r="A7058" s="2" t="s">
        <v>14029</v>
      </c>
      <c r="B7058" s="2" t="s">
        <v>14030</v>
      </c>
      <c r="C7058" s="2" t="s">
        <v>293</v>
      </c>
      <c r="D7058" s="2" t="s">
        <v>74</v>
      </c>
      <c r="E7058" s="5">
        <v>-28013</v>
      </c>
      <c r="F7058" s="3" t="s">
        <v>105</v>
      </c>
      <c r="G7058" s="3" t="s">
        <v>20</v>
      </c>
      <c r="H7058" s="2" t="s">
        <v>28</v>
      </c>
      <c r="I7058" s="2" t="s">
        <v>14031</v>
      </c>
      <c r="J7058" s="3" t="str">
        <f>HYPERLINK("https://www.boe.es/gazeta/dias/1823/04/20/pdfs/GMD-1823-32.pdf#page=4","Abrir facsímil")</f>
        <v>Abrir facsímil</v>
      </c>
      <c r="K7058" s="3" t="s">
        <v>30</v>
      </c>
    </row>
    <row r="7059" spans="1:11" ht="42" customHeight="1">
      <c r="A7059" s="2" t="s">
        <v>14032</v>
      </c>
      <c r="B7059" s="2" t="s">
        <v>14033</v>
      </c>
      <c r="C7059" s="2" t="s">
        <v>17</v>
      </c>
      <c r="D7059" s="2" t="s">
        <v>18</v>
      </c>
      <c r="E7059" s="5">
        <v>-27939</v>
      </c>
      <c r="F7059" s="3" t="s">
        <v>1076</v>
      </c>
      <c r="G7059" s="3" t="s">
        <v>39</v>
      </c>
      <c r="H7059" s="2" t="s">
        <v>21</v>
      </c>
      <c r="I7059" s="2" t="s">
        <v>14034</v>
      </c>
      <c r="J7059" s="3" t="str">
        <f>HYPERLINK("https://www.boe.es/gazeta/dias/1823/07/03/pdfs/GES-1823-83.pdf#page=1","Abrir facsímil")</f>
        <v>Abrir facsímil</v>
      </c>
      <c r="K7059" s="3" t="s">
        <v>23</v>
      </c>
    </row>
    <row r="7060" spans="1:11" ht="42" customHeight="1">
      <c r="A7060" s="2" t="s">
        <v>14035</v>
      </c>
      <c r="B7060" s="2" t="s">
        <v>14036</v>
      </c>
      <c r="C7060" s="2" t="s">
        <v>325</v>
      </c>
      <c r="D7060" s="2" t="s">
        <v>74</v>
      </c>
      <c r="E7060" s="5">
        <v>-28013</v>
      </c>
      <c r="F7060" s="3" t="s">
        <v>105</v>
      </c>
      <c r="G7060" s="3" t="s">
        <v>20</v>
      </c>
      <c r="H7060" s="2" t="s">
        <v>21</v>
      </c>
      <c r="I7060" s="2" t="s">
        <v>14037</v>
      </c>
      <c r="J7060" s="3" t="str">
        <f>HYPERLINK("https://www.boe.es/gazeta/dias/1823/04/20/pdfs/GMD-1823-32.pdf#page=4","Abrir facsímil")</f>
        <v>Abrir facsímil</v>
      </c>
      <c r="K7060" s="3" t="s">
        <v>23</v>
      </c>
    </row>
    <row r="7061" spans="1:11" ht="42" customHeight="1">
      <c r="A7061" s="2" t="s">
        <v>14038</v>
      </c>
      <c r="B7061" s="2" t="s">
        <v>14039</v>
      </c>
      <c r="C7061" s="2" t="s">
        <v>17</v>
      </c>
      <c r="D7061" s="2" t="s">
        <v>18</v>
      </c>
      <c r="E7061" s="5">
        <v>-28037</v>
      </c>
      <c r="F7061" s="3" t="s">
        <v>192</v>
      </c>
      <c r="G7061" s="3" t="s">
        <v>48</v>
      </c>
      <c r="H7061" s="2" t="s">
        <v>21</v>
      </c>
      <c r="I7061" s="2" t="s">
        <v>14040</v>
      </c>
      <c r="J7061" s="3" t="str">
        <f>HYPERLINK("https://www.boe.es/gazeta/dias/1823/03/27/pdfs/GMD-1823-90.pdf#page=3","Abrir facsímil")</f>
        <v>Abrir facsímil</v>
      </c>
      <c r="K7061" s="3" t="s">
        <v>23</v>
      </c>
    </row>
    <row r="7062" spans="1:11" ht="42" customHeight="1">
      <c r="A7062" s="2" t="s">
        <v>14038</v>
      </c>
      <c r="B7062" s="2" t="s">
        <v>14039</v>
      </c>
      <c r="C7062" s="2" t="s">
        <v>293</v>
      </c>
      <c r="D7062" s="2" t="s">
        <v>74</v>
      </c>
      <c r="E7062" s="5">
        <v>-28013</v>
      </c>
      <c r="F7062" s="3" t="s">
        <v>105</v>
      </c>
      <c r="G7062" s="3" t="s">
        <v>20</v>
      </c>
      <c r="H7062" s="2" t="s">
        <v>21</v>
      </c>
      <c r="I7062" s="2" t="s">
        <v>14041</v>
      </c>
      <c r="J7062" s="3" t="str">
        <f>HYPERLINK("https://www.boe.es/gazeta/dias/1823/04/20/pdfs/GMD-1823-32.pdf#page=4","Abrir facsímil")</f>
        <v>Abrir facsímil</v>
      </c>
      <c r="K7062" s="3" t="s">
        <v>23</v>
      </c>
    </row>
    <row r="7063" spans="1:11" ht="42" customHeight="1">
      <c r="A7063" s="2" t="s">
        <v>14038</v>
      </c>
      <c r="B7063" s="2" t="s">
        <v>14039</v>
      </c>
      <c r="C7063" s="2" t="s">
        <v>325</v>
      </c>
      <c r="D7063" s="2" t="s">
        <v>74</v>
      </c>
      <c r="E7063" s="5">
        <v>-28008</v>
      </c>
      <c r="F7063" s="3" t="s">
        <v>309</v>
      </c>
      <c r="G7063" s="3" t="s">
        <v>20</v>
      </c>
      <c r="H7063" s="2" t="s">
        <v>21</v>
      </c>
      <c r="I7063" s="2" t="s">
        <v>14042</v>
      </c>
      <c r="J7063" s="3" t="str">
        <f>HYPERLINK("https://www.boe.es/gazeta/dias/1823/04/25/pdfs/GES-1823-15.pdf#page=4","Abrir facsímil")</f>
        <v>Abrir facsímil</v>
      </c>
      <c r="K7063" s="3" t="s">
        <v>23</v>
      </c>
    </row>
    <row r="7064" spans="1:11" ht="42" customHeight="1">
      <c r="A7064" s="2" t="s">
        <v>14043</v>
      </c>
      <c r="B7064" s="2" t="s">
        <v>14044</v>
      </c>
      <c r="C7064" s="2" t="s">
        <v>293</v>
      </c>
      <c r="D7064" s="2" t="s">
        <v>74</v>
      </c>
      <c r="E7064" s="5">
        <v>-28013</v>
      </c>
      <c r="F7064" s="3" t="s">
        <v>105</v>
      </c>
      <c r="G7064" s="3" t="s">
        <v>20</v>
      </c>
      <c r="H7064" s="2" t="s">
        <v>21</v>
      </c>
      <c r="I7064" s="2" t="s">
        <v>14045</v>
      </c>
      <c r="J7064" s="3" t="str">
        <f>HYPERLINK("https://www.boe.es/gazeta/dias/1823/04/20/pdfs/GMD-1823-32.pdf#page=4","Abrir facsímil")</f>
        <v>Abrir facsímil</v>
      </c>
      <c r="K7064" s="3" t="s">
        <v>23</v>
      </c>
    </row>
    <row r="7065" spans="1:11" ht="42" customHeight="1">
      <c r="A7065" s="2" t="s">
        <v>14046</v>
      </c>
      <c r="B7065" s="2" t="s">
        <v>14047</v>
      </c>
      <c r="C7065" s="2" t="s">
        <v>17</v>
      </c>
      <c r="D7065" s="2" t="s">
        <v>18</v>
      </c>
      <c r="E7065" s="5">
        <v>-28064</v>
      </c>
      <c r="F7065" s="3" t="s">
        <v>1190</v>
      </c>
      <c r="G7065" s="3" t="s">
        <v>20</v>
      </c>
      <c r="H7065" s="2" t="s">
        <v>21</v>
      </c>
      <c r="I7065" s="2" t="s">
        <v>14048</v>
      </c>
      <c r="J7065" s="3" t="str">
        <f>HYPERLINK("https://www.boe.es/gazeta/dias/1823/02/28/pdfs/GMD-1823-62.pdf#page=4","Abrir facsímil")</f>
        <v>Abrir facsímil</v>
      </c>
      <c r="K7065" s="3" t="s">
        <v>23</v>
      </c>
    </row>
    <row r="7066" spans="1:11" ht="42" customHeight="1">
      <c r="A7066" s="2" t="s">
        <v>14049</v>
      </c>
      <c r="B7066" s="2" t="s">
        <v>14050</v>
      </c>
      <c r="C7066" s="2" t="s">
        <v>79</v>
      </c>
      <c r="D7066" s="2" t="s">
        <v>74</v>
      </c>
      <c r="E7066" s="5">
        <v>-28004</v>
      </c>
      <c r="F7066" s="3" t="s">
        <v>313</v>
      </c>
      <c r="G7066" s="3" t="s">
        <v>27</v>
      </c>
      <c r="H7066" s="2" t="s">
        <v>21</v>
      </c>
      <c r="I7066" s="2" t="s">
        <v>14051</v>
      </c>
      <c r="J7066" s="3" t="str">
        <f>HYPERLINK("https://www.boe.es/gazeta/dias/1823/04/29/pdfs/GMD-1823-72.pdf#page=2","Abrir facsímil")</f>
        <v>Abrir facsímil</v>
      </c>
      <c r="K7066" s="3" t="s">
        <v>23</v>
      </c>
    </row>
    <row r="7067" spans="1:11" ht="42" customHeight="1">
      <c r="A7067" s="2" t="s">
        <v>14052</v>
      </c>
      <c r="B7067" s="2" t="s">
        <v>14052</v>
      </c>
      <c r="C7067" s="2" t="s">
        <v>84</v>
      </c>
      <c r="D7067" s="2" t="s">
        <v>74</v>
      </c>
      <c r="E7067" s="5">
        <v>-28038</v>
      </c>
      <c r="F7067" s="3" t="s">
        <v>2379</v>
      </c>
      <c r="G7067" s="3" t="s">
        <v>48</v>
      </c>
      <c r="H7067" s="2" t="s">
        <v>21</v>
      </c>
      <c r="I7067" s="2" t="s">
        <v>14053</v>
      </c>
      <c r="J7067" s="3" t="str">
        <f>HYPERLINK("https://www.boe.es/gazeta/dias/1823/03/26/pdfs/GMD-1823-89.pdf#page=3","Abrir facsímil")</f>
        <v>Abrir facsímil</v>
      </c>
      <c r="K7067" s="3" t="s">
        <v>23</v>
      </c>
    </row>
    <row r="7068" spans="1:11" ht="42" customHeight="1">
      <c r="A7068" s="2" t="s">
        <v>14052</v>
      </c>
      <c r="B7068" s="2" t="s">
        <v>14052</v>
      </c>
      <c r="C7068" s="2" t="s">
        <v>17</v>
      </c>
      <c r="D7068" s="2" t="s">
        <v>18</v>
      </c>
      <c r="E7068" s="5">
        <v>-28016</v>
      </c>
      <c r="F7068" s="3" t="s">
        <v>2259</v>
      </c>
      <c r="G7068" s="3" t="s">
        <v>39</v>
      </c>
      <c r="H7068" s="2" t="s">
        <v>21</v>
      </c>
      <c r="I7068" s="2" t="s">
        <v>14054</v>
      </c>
      <c r="J7068" s="3" t="str">
        <f>HYPERLINK("https://www.boe.es/gazeta/dias/1823/04/17/pdfs/GES-1823-7.pdf#page=1","Abrir facsímil")</f>
        <v>Abrir facsímil</v>
      </c>
      <c r="K7068" s="3" t="s">
        <v>23</v>
      </c>
    </row>
    <row r="7069" spans="1:11" ht="42" customHeight="1">
      <c r="A7069" s="2" t="s">
        <v>14055</v>
      </c>
      <c r="B7069" s="2" t="s">
        <v>14055</v>
      </c>
      <c r="C7069" s="2" t="s">
        <v>17</v>
      </c>
      <c r="D7069" s="2" t="s">
        <v>18</v>
      </c>
      <c r="E7069" s="5">
        <v>-28021</v>
      </c>
      <c r="F7069" s="3" t="s">
        <v>2669</v>
      </c>
      <c r="G7069" s="3" t="s">
        <v>39</v>
      </c>
      <c r="H7069" s="2" t="s">
        <v>21</v>
      </c>
      <c r="I7069" s="2" t="s">
        <v>14056</v>
      </c>
      <c r="J7069" s="3" t="str">
        <f>HYPERLINK("https://www.boe.es/gazeta/dias/1823/04/12/pdfs/GES-1823-2.pdf#page=1","Abrir facsímil")</f>
        <v>Abrir facsímil</v>
      </c>
      <c r="K7069" s="3" t="s">
        <v>23</v>
      </c>
    </row>
    <row r="7070" spans="1:11" ht="42" customHeight="1">
      <c r="A7070" s="2" t="s">
        <v>14057</v>
      </c>
      <c r="B7070" s="2" t="s">
        <v>14058</v>
      </c>
      <c r="C7070" s="2" t="s">
        <v>109</v>
      </c>
      <c r="D7070" s="2" t="s">
        <v>74</v>
      </c>
      <c r="E7070" s="5">
        <v>-28001</v>
      </c>
      <c r="F7070" s="3" t="s">
        <v>768</v>
      </c>
      <c r="G7070" s="3" t="s">
        <v>34</v>
      </c>
      <c r="H7070" s="2" t="s">
        <v>21</v>
      </c>
      <c r="I7070" s="2" t="s">
        <v>14059</v>
      </c>
      <c r="J7070" s="3" t="str">
        <f>HYPERLINK("https://www.boe.es/gazeta/dias/1823/05/02/pdfs/GES-1823-22.pdf#page=5","Abrir facsímil")</f>
        <v>Abrir facsímil</v>
      </c>
      <c r="K7070" s="3" t="s">
        <v>23</v>
      </c>
    </row>
    <row r="7071" spans="1:11" ht="42" customHeight="1">
      <c r="A7071" s="2" t="s">
        <v>14060</v>
      </c>
      <c r="B7071" s="2" t="s">
        <v>14061</v>
      </c>
      <c r="C7071" s="2" t="s">
        <v>84</v>
      </c>
      <c r="D7071" s="2" t="s">
        <v>74</v>
      </c>
      <c r="E7071" s="5">
        <v>-28000</v>
      </c>
      <c r="F7071" s="3" t="s">
        <v>138</v>
      </c>
      <c r="G7071" s="3" t="s">
        <v>20</v>
      </c>
      <c r="H7071" s="2" t="s">
        <v>21</v>
      </c>
      <c r="I7071" s="2" t="s">
        <v>14062</v>
      </c>
      <c r="J7071" s="3" t="str">
        <f>HYPERLINK("https://www.boe.es/gazeta/dias/1823/05/03/pdfs/GMD-1823-92.pdf#page=4","Abrir facsímil")</f>
        <v>Abrir facsímil</v>
      </c>
      <c r="K7071" s="3" t="s">
        <v>23</v>
      </c>
    </row>
    <row r="7072" spans="1:11" ht="42" customHeight="1">
      <c r="A7072" s="2" t="s">
        <v>14063</v>
      </c>
      <c r="B7072" s="2" t="s">
        <v>14063</v>
      </c>
      <c r="C7072" s="2" t="s">
        <v>17</v>
      </c>
      <c r="D7072" s="2" t="s">
        <v>18</v>
      </c>
      <c r="E7072" s="5">
        <v>-28105</v>
      </c>
      <c r="F7072" s="3" t="s">
        <v>502</v>
      </c>
      <c r="G7072" s="3" t="s">
        <v>20</v>
      </c>
      <c r="H7072" s="2" t="s">
        <v>21</v>
      </c>
      <c r="I7072" s="2" t="s">
        <v>14064</v>
      </c>
      <c r="J7072" s="3" t="str">
        <f>HYPERLINK("https://www.boe.es/gazeta/dias/1823/01/18/pdfs/GMD-1823-18.pdf#page=4","Abrir facsímil")</f>
        <v>Abrir facsímil</v>
      </c>
      <c r="K7072" s="3" t="s">
        <v>23</v>
      </c>
    </row>
    <row r="7073" spans="1:11" ht="42" customHeight="1">
      <c r="A7073" s="2" t="s">
        <v>14063</v>
      </c>
      <c r="B7073" s="2" t="s">
        <v>14063</v>
      </c>
      <c r="C7073" s="2" t="s">
        <v>79</v>
      </c>
      <c r="D7073" s="2" t="s">
        <v>74</v>
      </c>
      <c r="E7073" s="5">
        <v>-28104</v>
      </c>
      <c r="F7073" s="3" t="s">
        <v>114</v>
      </c>
      <c r="G7073" s="3" t="s">
        <v>59</v>
      </c>
      <c r="H7073" s="2" t="s">
        <v>21</v>
      </c>
      <c r="I7073" s="2" t="s">
        <v>14065</v>
      </c>
      <c r="J7073" s="3" t="str">
        <f>HYPERLINK("https://www.boe.es/gazeta/dias/1823/01/19/pdfs/GMD-1823-19.pdf#page=6","Abrir facsímil")</f>
        <v>Abrir facsímil</v>
      </c>
      <c r="K7073" s="3" t="s">
        <v>23</v>
      </c>
    </row>
    <row r="7074" spans="1:11" ht="42" customHeight="1">
      <c r="A7074" s="2" t="s">
        <v>14063</v>
      </c>
      <c r="B7074" s="2" t="s">
        <v>14063</v>
      </c>
      <c r="C7074" s="2" t="s">
        <v>17</v>
      </c>
      <c r="D7074" s="2" t="s">
        <v>18</v>
      </c>
      <c r="E7074" s="5">
        <v>-28081</v>
      </c>
      <c r="F7074" s="3" t="s">
        <v>170</v>
      </c>
      <c r="G7074" s="3" t="s">
        <v>48</v>
      </c>
      <c r="H7074" s="2" t="s">
        <v>21</v>
      </c>
      <c r="I7074" s="2" t="s">
        <v>14066</v>
      </c>
      <c r="J7074" s="3" t="str">
        <f>HYPERLINK("https://www.boe.es/gazeta/dias/1823/02/11/pdfs/GMD-1823-45.pdf#page=3","Abrir facsímil")</f>
        <v>Abrir facsímil</v>
      </c>
      <c r="K7074" s="3" t="s">
        <v>23</v>
      </c>
    </row>
    <row r="7075" spans="1:11" ht="42" customHeight="1">
      <c r="A7075" s="2" t="s">
        <v>14063</v>
      </c>
      <c r="B7075" s="2" t="s">
        <v>14063</v>
      </c>
      <c r="C7075" s="2" t="s">
        <v>79</v>
      </c>
      <c r="D7075" s="2" t="s">
        <v>74</v>
      </c>
      <c r="E7075" s="5">
        <v>-28033</v>
      </c>
      <c r="F7075" s="3" t="s">
        <v>1372</v>
      </c>
      <c r="G7075" s="3" t="s">
        <v>20</v>
      </c>
      <c r="H7075" s="2" t="s">
        <v>21</v>
      </c>
      <c r="I7075" s="2" t="s">
        <v>14067</v>
      </c>
      <c r="J7075" s="3" t="str">
        <f>HYPERLINK("https://www.boe.es/gazeta/dias/1823/03/31/pdfs/GMD-1823-94.pdf#page=4","Abrir facsímil")</f>
        <v>Abrir facsímil</v>
      </c>
      <c r="K7075" s="3" t="s">
        <v>23</v>
      </c>
    </row>
    <row r="7076" spans="1:11" ht="42" customHeight="1">
      <c r="A7076" s="2" t="s">
        <v>14063</v>
      </c>
      <c r="B7076" s="2" t="s">
        <v>14063</v>
      </c>
      <c r="C7076" s="2" t="s">
        <v>293</v>
      </c>
      <c r="D7076" s="2" t="s">
        <v>74</v>
      </c>
      <c r="E7076" s="5">
        <v>-28027</v>
      </c>
      <c r="F7076" s="3" t="s">
        <v>4234</v>
      </c>
      <c r="G7076" s="3" t="s">
        <v>39</v>
      </c>
      <c r="H7076" s="2" t="s">
        <v>21</v>
      </c>
      <c r="I7076" s="2" t="s">
        <v>14068</v>
      </c>
      <c r="J7076" s="3" t="str">
        <f>HYPERLINK("https://www.boe.es/gazeta/dias/1823/04/06/pdfs/GMD-1823-101.pdf#page=1","Abrir facsímil")</f>
        <v>Abrir facsímil</v>
      </c>
      <c r="K7076" s="3" t="s">
        <v>23</v>
      </c>
    </row>
    <row r="7077" spans="1:11" ht="42" customHeight="1">
      <c r="A7077" s="2" t="s">
        <v>14063</v>
      </c>
      <c r="B7077" s="2" t="s">
        <v>14063</v>
      </c>
      <c r="C7077" s="2" t="s">
        <v>17</v>
      </c>
      <c r="D7077" s="2" t="s">
        <v>18</v>
      </c>
      <c r="E7077" s="5">
        <v>-28016</v>
      </c>
      <c r="F7077" s="3" t="s">
        <v>2259</v>
      </c>
      <c r="G7077" s="3" t="s">
        <v>20</v>
      </c>
      <c r="H7077" s="2" t="s">
        <v>21</v>
      </c>
      <c r="I7077" s="2" t="s">
        <v>14069</v>
      </c>
      <c r="J7077" s="3" t="str">
        <f>HYPERLINK("https://www.boe.es/gazeta/dias/1823/04/17/pdfs/GES-1823-7.pdf#page=4","Abrir facsímil")</f>
        <v>Abrir facsímil</v>
      </c>
      <c r="K7077" s="3" t="s">
        <v>23</v>
      </c>
    </row>
    <row r="7078" spans="1:11" ht="42" customHeight="1">
      <c r="A7078" s="2" t="s">
        <v>14063</v>
      </c>
      <c r="B7078" s="2" t="s">
        <v>14063</v>
      </c>
      <c r="C7078" s="2" t="s">
        <v>56</v>
      </c>
      <c r="D7078" s="2" t="s">
        <v>57</v>
      </c>
      <c r="E7078" s="5">
        <v>-28013</v>
      </c>
      <c r="F7078" s="3" t="s">
        <v>2466</v>
      </c>
      <c r="G7078" s="3" t="s">
        <v>4093</v>
      </c>
      <c r="H7078" s="2" t="s">
        <v>21</v>
      </c>
      <c r="I7078" s="2" t="s">
        <v>14070</v>
      </c>
      <c r="J7078" s="3" t="str">
        <f>HYPERLINK("https://www.boe.es/gazeta/dias/1823/04/20/pdfs/GES-1823-10.pdf#page=4","Abrir facsímil")</f>
        <v>Abrir facsímil</v>
      </c>
      <c r="K7078" s="3" t="s">
        <v>23</v>
      </c>
    </row>
    <row r="7079" spans="1:11" ht="42" customHeight="1">
      <c r="A7079" s="2" t="s">
        <v>14063</v>
      </c>
      <c r="B7079" s="2" t="s">
        <v>14063</v>
      </c>
      <c r="C7079" s="2" t="s">
        <v>17</v>
      </c>
      <c r="D7079" s="2" t="s">
        <v>18</v>
      </c>
      <c r="E7079" s="5">
        <v>-28004</v>
      </c>
      <c r="F7079" s="3" t="s">
        <v>33</v>
      </c>
      <c r="G7079" s="3" t="s">
        <v>2827</v>
      </c>
      <c r="H7079" s="2" t="s">
        <v>21</v>
      </c>
      <c r="I7079" s="2" t="s">
        <v>14071</v>
      </c>
      <c r="J7079" s="3" t="str">
        <f>HYPERLINK("https://www.boe.es/gazeta/dias/1823/04/29/pdfs/GES-1823-19.pdf#page=6","Abrir facsímil")</f>
        <v>Abrir facsímil</v>
      </c>
      <c r="K7079" s="3" t="s">
        <v>23</v>
      </c>
    </row>
    <row r="7080" spans="1:11" ht="42" customHeight="1">
      <c r="A7080" s="2" t="s">
        <v>14063</v>
      </c>
      <c r="B7080" s="2" t="s">
        <v>14063</v>
      </c>
      <c r="C7080" s="2" t="s">
        <v>84</v>
      </c>
      <c r="D7080" s="2" t="s">
        <v>74</v>
      </c>
      <c r="E7080" s="5">
        <v>-27995</v>
      </c>
      <c r="F7080" s="3" t="s">
        <v>320</v>
      </c>
      <c r="G7080" s="3" t="s">
        <v>39</v>
      </c>
      <c r="H7080" s="2" t="s">
        <v>21</v>
      </c>
      <c r="I7080" s="2" t="s">
        <v>14072</v>
      </c>
      <c r="J7080" s="3" t="str">
        <f>HYPERLINK("https://www.boe.es/gazeta/dias/1823/05/08/pdfs/GES-1823-28.pdf#page=1","Abrir facsímil")</f>
        <v>Abrir facsímil</v>
      </c>
      <c r="K7080" s="3" t="s">
        <v>23</v>
      </c>
    </row>
    <row r="7081" spans="1:11" ht="42" customHeight="1">
      <c r="A7081" s="2" t="s">
        <v>14063</v>
      </c>
      <c r="B7081" s="2" t="s">
        <v>14063</v>
      </c>
      <c r="C7081" s="2" t="s">
        <v>17</v>
      </c>
      <c r="D7081" s="2" t="s">
        <v>117</v>
      </c>
      <c r="E7081" s="5">
        <v>-27959</v>
      </c>
      <c r="F7081" s="3" t="s">
        <v>14073</v>
      </c>
      <c r="G7081" s="3" t="s">
        <v>39</v>
      </c>
      <c r="H7081" s="2" t="s">
        <v>21</v>
      </c>
      <c r="I7081" s="2" t="s">
        <v>14074</v>
      </c>
      <c r="J7081" s="3" t="str">
        <f>HYPERLINK("https://www.boe.es/gazeta/dias/1823/06/13/pdfs/GMD-1823-143E.pdf#page=1","Abrir facsímil")</f>
        <v>Abrir facsímil</v>
      </c>
      <c r="K7081" s="3" t="s">
        <v>23</v>
      </c>
    </row>
    <row r="7082" spans="1:11" ht="42" customHeight="1">
      <c r="A7082" s="2" t="s">
        <v>14063</v>
      </c>
      <c r="B7082" s="2" t="s">
        <v>14063</v>
      </c>
      <c r="C7082" s="2" t="s">
        <v>17</v>
      </c>
      <c r="D7082" s="2" t="s">
        <v>18</v>
      </c>
      <c r="E7082" s="5">
        <v>-27951</v>
      </c>
      <c r="F7082" s="3" t="s">
        <v>4670</v>
      </c>
      <c r="G7082" s="3" t="s">
        <v>20</v>
      </c>
      <c r="H7082" s="2" t="s">
        <v>21</v>
      </c>
      <c r="I7082" s="2" t="s">
        <v>14075</v>
      </c>
      <c r="J7082" s="3" t="str">
        <f>HYPERLINK("https://www.boe.es/gazeta/dias/1823/06/21/pdfs/GMD-1823-223.pdf#page=4","Abrir facsímil")</f>
        <v>Abrir facsímil</v>
      </c>
      <c r="K7082" s="3" t="s">
        <v>23</v>
      </c>
    </row>
    <row r="7083" spans="1:11" ht="42" customHeight="1">
      <c r="A7083" s="2" t="s">
        <v>14063</v>
      </c>
      <c r="B7083" s="2" t="s">
        <v>14063</v>
      </c>
      <c r="C7083" s="2" t="s">
        <v>109</v>
      </c>
      <c r="D7083" s="2" t="s">
        <v>74</v>
      </c>
      <c r="E7083" s="5">
        <v>-27887</v>
      </c>
      <c r="F7083" s="3" t="s">
        <v>1196</v>
      </c>
      <c r="G7083" s="3" t="s">
        <v>39</v>
      </c>
      <c r="H7083" s="2" t="s">
        <v>21</v>
      </c>
      <c r="I7083" s="2" t="s">
        <v>14076</v>
      </c>
      <c r="J7083" s="3" t="str">
        <f>HYPERLINK("https://www.boe.es/gazeta/dias/1823/08/24/pdfs/GES-1823-137.pdf#page=1","Abrir facsímil")</f>
        <v>Abrir facsímil</v>
      </c>
      <c r="K7083" s="3" t="s">
        <v>23</v>
      </c>
    </row>
    <row r="7084" spans="1:11" ht="42" customHeight="1">
      <c r="A7084" s="2" t="s">
        <v>14077</v>
      </c>
      <c r="B7084" s="2" t="s">
        <v>14078</v>
      </c>
      <c r="C7084" s="2" t="s">
        <v>17</v>
      </c>
      <c r="D7084" s="2" t="s">
        <v>117</v>
      </c>
      <c r="E7084" s="5">
        <v>-27959</v>
      </c>
      <c r="F7084" s="3" t="s">
        <v>14073</v>
      </c>
      <c r="G7084" s="3" t="s">
        <v>39</v>
      </c>
      <c r="H7084" s="2" t="s">
        <v>21</v>
      </c>
      <c r="I7084" s="2" t="s">
        <v>14079</v>
      </c>
      <c r="J7084" s="3" t="str">
        <f>HYPERLINK("https://www.boe.es/gazeta/dias/1823/06/13/pdfs/GMD-1823-143E.pdf#page=1","Abrir facsímil")</f>
        <v>Abrir facsímil</v>
      </c>
      <c r="K7084" s="3" t="s">
        <v>23</v>
      </c>
    </row>
    <row r="7085" spans="1:11" ht="42" customHeight="1">
      <c r="A7085" s="2" t="s">
        <v>14080</v>
      </c>
      <c r="B7085" s="2" t="s">
        <v>14081</v>
      </c>
      <c r="C7085" s="2" t="s">
        <v>73</v>
      </c>
      <c r="D7085" s="2" t="s">
        <v>74</v>
      </c>
      <c r="E7085" s="5">
        <v>-28115</v>
      </c>
      <c r="F7085" s="3" t="s">
        <v>579</v>
      </c>
      <c r="G7085" s="3" t="s">
        <v>1458</v>
      </c>
      <c r="H7085" s="2" t="s">
        <v>21</v>
      </c>
      <c r="I7085" s="2" t="s">
        <v>14082</v>
      </c>
      <c r="J7085" s="3" t="str">
        <f>HYPERLINK("https://www.boe.es/gazeta/dias/1823/01/08/pdfs/GMD-1823-8.pdf#page=4","Abrir facsímil")</f>
        <v>Abrir facsímil</v>
      </c>
      <c r="K7085" s="3" t="s">
        <v>23</v>
      </c>
    </row>
    <row r="7086" spans="1:11" ht="42" customHeight="1">
      <c r="A7086" s="2" t="s">
        <v>14083</v>
      </c>
      <c r="B7086" s="2" t="s">
        <v>14084</v>
      </c>
      <c r="C7086" s="2" t="s">
        <v>17</v>
      </c>
      <c r="D7086" s="2" t="s">
        <v>18</v>
      </c>
      <c r="E7086" s="5">
        <v>-27909</v>
      </c>
      <c r="F7086" s="3" t="s">
        <v>948</v>
      </c>
      <c r="G7086" s="3" t="s">
        <v>27</v>
      </c>
      <c r="H7086" s="2" t="s">
        <v>21</v>
      </c>
      <c r="I7086" s="2" t="s">
        <v>14085</v>
      </c>
      <c r="J7086" s="3" t="str">
        <f>HYPERLINK("https://www.boe.es/gazeta/dias/1823/08/02/pdfs/GES-1823-114.pdf#page=2","Abrir facsímil")</f>
        <v>Abrir facsímil</v>
      </c>
      <c r="K7086" s="3" t="s">
        <v>23</v>
      </c>
    </row>
    <row r="7087" spans="1:11" ht="42" customHeight="1">
      <c r="A7087" s="2" t="s">
        <v>14086</v>
      </c>
      <c r="B7087" s="2" t="s">
        <v>14087</v>
      </c>
      <c r="C7087" s="2" t="s">
        <v>17</v>
      </c>
      <c r="D7087" s="2" t="s">
        <v>18</v>
      </c>
      <c r="E7087" s="5">
        <v>-27988</v>
      </c>
      <c r="F7087" s="3" t="s">
        <v>2022</v>
      </c>
      <c r="G7087" s="3" t="s">
        <v>20</v>
      </c>
      <c r="H7087" s="2" t="s">
        <v>21</v>
      </c>
      <c r="I7087" s="2" t="s">
        <v>14088</v>
      </c>
      <c r="J7087" s="3" t="str">
        <f>HYPERLINK("https://www.boe.es/gazeta/dias/1823/05/15/pdfs/GMD-1823-142.pdf#page=4","Abrir facsímil")</f>
        <v>Abrir facsímil</v>
      </c>
      <c r="K7087" s="3" t="s">
        <v>23</v>
      </c>
    </row>
    <row r="7088" spans="1:11" ht="42" customHeight="1">
      <c r="A7088" s="2" t="s">
        <v>14089</v>
      </c>
      <c r="B7088" s="2" t="s">
        <v>14090</v>
      </c>
      <c r="C7088" s="2" t="s">
        <v>17</v>
      </c>
      <c r="D7088" s="2" t="s">
        <v>18</v>
      </c>
      <c r="E7088" s="5">
        <v>-27776</v>
      </c>
      <c r="F7088" s="3" t="s">
        <v>1399</v>
      </c>
      <c r="G7088" s="3" t="s">
        <v>20</v>
      </c>
      <c r="H7088" s="2" t="s">
        <v>21</v>
      </c>
      <c r="I7088" s="2" t="s">
        <v>14091</v>
      </c>
      <c r="J7088" s="3" t="str">
        <f>HYPERLINK("https://www.boe.es/gazeta/dias/1823/12/13/pdfs/GMD-1823-1243.pdf#page=4","Abrir facsímil")</f>
        <v>Abrir facsímil</v>
      </c>
      <c r="K7088" s="3" t="s">
        <v>23</v>
      </c>
    </row>
    <row r="7089" spans="1:11" ht="42" customHeight="1">
      <c r="A7089" s="2" t="s">
        <v>14092</v>
      </c>
      <c r="B7089" s="2" t="s">
        <v>14093</v>
      </c>
      <c r="C7089" s="2" t="s">
        <v>17</v>
      </c>
      <c r="D7089" s="2" t="s">
        <v>18</v>
      </c>
      <c r="E7089" s="5">
        <v>-28078</v>
      </c>
      <c r="F7089" s="3" t="s">
        <v>508</v>
      </c>
      <c r="G7089" s="3" t="s">
        <v>59</v>
      </c>
      <c r="H7089" s="2" t="s">
        <v>21</v>
      </c>
      <c r="I7089" s="2" t="s">
        <v>14094</v>
      </c>
      <c r="J7089" s="3" t="str">
        <f>HYPERLINK("https://www.boe.es/gazeta/dias/1823/02/14/pdfs/GMD-1823-48.pdf#page=6","Abrir facsímil")</f>
        <v>Abrir facsímil</v>
      </c>
      <c r="K7089" s="3" t="s">
        <v>23</v>
      </c>
    </row>
    <row r="7090" spans="1:11" ht="42" customHeight="1">
      <c r="A7090" s="2" t="s">
        <v>14092</v>
      </c>
      <c r="B7090" s="2" t="s">
        <v>14093</v>
      </c>
      <c r="C7090" s="2" t="s">
        <v>17</v>
      </c>
      <c r="D7090" s="2" t="s">
        <v>18</v>
      </c>
      <c r="E7090" s="5">
        <v>-28061</v>
      </c>
      <c r="F7090" s="3" t="s">
        <v>704</v>
      </c>
      <c r="G7090" s="3" t="s">
        <v>59</v>
      </c>
      <c r="H7090" s="2" t="s">
        <v>21</v>
      </c>
      <c r="I7090" s="2" t="s">
        <v>14095</v>
      </c>
      <c r="J7090" s="3" t="str">
        <f>HYPERLINK("https://www.boe.es/gazeta/dias/1823/03/03/pdfs/GMD-1823-66.pdf#page=6","Abrir facsímil")</f>
        <v>Abrir facsímil</v>
      </c>
      <c r="K7090" s="3" t="s">
        <v>23</v>
      </c>
    </row>
    <row r="7091" spans="1:11" ht="42" customHeight="1">
      <c r="A7091" s="2" t="s">
        <v>14092</v>
      </c>
      <c r="B7091" s="2" t="s">
        <v>14093</v>
      </c>
      <c r="C7091" s="2" t="s">
        <v>109</v>
      </c>
      <c r="D7091" s="2" t="s">
        <v>74</v>
      </c>
      <c r="E7091" s="5">
        <v>-28055</v>
      </c>
      <c r="F7091" s="3" t="s">
        <v>313</v>
      </c>
      <c r="G7091" s="3" t="s">
        <v>20</v>
      </c>
      <c r="H7091" s="2" t="s">
        <v>21</v>
      </c>
      <c r="I7091" s="2" t="s">
        <v>14096</v>
      </c>
      <c r="J7091" s="3" t="str">
        <f>HYPERLINK("https://www.boe.es/gazeta/dias/1823/03/09/pdfs/GMD-1823-72.pdf#page=4","Abrir facsímil")</f>
        <v>Abrir facsímil</v>
      </c>
      <c r="K7091" s="3" t="s">
        <v>23</v>
      </c>
    </row>
    <row r="7092" spans="1:11" ht="42" customHeight="1">
      <c r="A7092" s="2" t="s">
        <v>14097</v>
      </c>
      <c r="B7092" s="2" t="s">
        <v>14097</v>
      </c>
      <c r="C7092" s="2" t="s">
        <v>109</v>
      </c>
      <c r="D7092" s="2" t="s">
        <v>74</v>
      </c>
      <c r="E7092" s="5">
        <v>-28025</v>
      </c>
      <c r="F7092" s="3" t="s">
        <v>477</v>
      </c>
      <c r="G7092" s="3" t="s">
        <v>48</v>
      </c>
      <c r="H7092" s="2" t="s">
        <v>21</v>
      </c>
      <c r="I7092" s="2" t="s">
        <v>14098</v>
      </c>
      <c r="J7092" s="3" t="str">
        <f>HYPERLINK("https://www.boe.es/gazeta/dias/1823/04/08/pdfs/GMD-1823-103.pdf#page=3","Abrir facsímil")</f>
        <v>Abrir facsímil</v>
      </c>
      <c r="K7092" s="3" t="s">
        <v>23</v>
      </c>
    </row>
    <row r="7093" spans="1:11" ht="42" customHeight="1">
      <c r="A7093" s="2" t="s">
        <v>14099</v>
      </c>
      <c r="B7093" s="2" t="s">
        <v>14100</v>
      </c>
      <c r="C7093" s="2" t="s">
        <v>56</v>
      </c>
      <c r="D7093" s="2" t="s">
        <v>57</v>
      </c>
      <c r="E7093" s="5">
        <v>-27958</v>
      </c>
      <c r="F7093" s="3" t="s">
        <v>2203</v>
      </c>
      <c r="G7093" s="3" t="s">
        <v>27</v>
      </c>
      <c r="H7093" s="2" t="s">
        <v>21</v>
      </c>
      <c r="I7093" s="2" t="s">
        <v>14101</v>
      </c>
      <c r="J7093" s="3" t="str">
        <f>HYPERLINK("https://www.boe.es/gazeta/dias/1823/06/14/pdfs/GMD-1823-153.pdf#page=2","Abrir facsímil")</f>
        <v>Abrir facsímil</v>
      </c>
      <c r="K7093" s="3" t="s">
        <v>23</v>
      </c>
    </row>
    <row r="7094" spans="1:11" ht="42" customHeight="1">
      <c r="A7094" s="2" t="s">
        <v>14102</v>
      </c>
      <c r="B7094" s="2" t="s">
        <v>14103</v>
      </c>
      <c r="C7094" s="2" t="s">
        <v>109</v>
      </c>
      <c r="D7094" s="2" t="s">
        <v>74</v>
      </c>
      <c r="E7094" s="5">
        <v>-28001</v>
      </c>
      <c r="F7094" s="3" t="s">
        <v>768</v>
      </c>
      <c r="G7094" s="3" t="s">
        <v>34</v>
      </c>
      <c r="H7094" s="2" t="s">
        <v>21</v>
      </c>
      <c r="I7094" s="2" t="s">
        <v>14104</v>
      </c>
      <c r="J7094" s="3" t="str">
        <f>HYPERLINK("https://www.boe.es/gazeta/dias/1823/05/02/pdfs/GES-1823-22.pdf#page=5","Abrir facsímil")</f>
        <v>Abrir facsímil</v>
      </c>
      <c r="K7094" s="3" t="s">
        <v>23</v>
      </c>
    </row>
    <row r="7095" spans="1:11" ht="42" customHeight="1">
      <c r="A7095" s="2" t="s">
        <v>14105</v>
      </c>
      <c r="B7095" s="2" t="s">
        <v>14106</v>
      </c>
      <c r="C7095" s="2" t="s">
        <v>17</v>
      </c>
      <c r="D7095" s="2" t="s">
        <v>18</v>
      </c>
      <c r="E7095" s="5">
        <v>-27906</v>
      </c>
      <c r="F7095" s="3" t="s">
        <v>241</v>
      </c>
      <c r="G7095" s="3" t="s">
        <v>59</v>
      </c>
      <c r="H7095" s="2" t="s">
        <v>21</v>
      </c>
      <c r="I7095" s="2" t="s">
        <v>14107</v>
      </c>
      <c r="J7095" s="3" t="str">
        <f>HYPERLINK("https://www.boe.es/gazeta/dias/1823/08/05/pdfs/GES-1823-117.pdf#page=6","Abrir facsímil")</f>
        <v>Abrir facsímil</v>
      </c>
      <c r="K7095" s="3" t="s">
        <v>23</v>
      </c>
    </row>
    <row r="7096" spans="1:11" ht="42" customHeight="1">
      <c r="A7096" s="2" t="s">
        <v>14108</v>
      </c>
      <c r="B7096" s="2" t="s">
        <v>14109</v>
      </c>
      <c r="C7096" s="2" t="s">
        <v>73</v>
      </c>
      <c r="D7096" s="2" t="s">
        <v>74</v>
      </c>
      <c r="E7096" s="5">
        <v>-28078</v>
      </c>
      <c r="F7096" s="3" t="s">
        <v>508</v>
      </c>
      <c r="G7096" s="3" t="s">
        <v>59</v>
      </c>
      <c r="H7096" s="2" t="s">
        <v>21</v>
      </c>
      <c r="I7096" s="2" t="s">
        <v>14110</v>
      </c>
      <c r="J7096" s="3" t="str">
        <f>HYPERLINK("https://www.boe.es/gazeta/dias/1823/02/14/pdfs/GMD-1823-48.pdf#page=6","Abrir facsímil")</f>
        <v>Abrir facsímil</v>
      </c>
      <c r="K7096" s="3" t="s">
        <v>23</v>
      </c>
    </row>
    <row r="7097" spans="1:11" ht="42" customHeight="1">
      <c r="A7097" s="2" t="s">
        <v>14111</v>
      </c>
      <c r="B7097" s="2" t="s">
        <v>14112</v>
      </c>
      <c r="C7097" s="2" t="s">
        <v>56</v>
      </c>
      <c r="D7097" s="2" t="s">
        <v>57</v>
      </c>
      <c r="E7097" s="5">
        <v>-28078</v>
      </c>
      <c r="F7097" s="3" t="s">
        <v>508</v>
      </c>
      <c r="G7097" s="3" t="s">
        <v>59</v>
      </c>
      <c r="H7097" s="2" t="s">
        <v>21</v>
      </c>
      <c r="I7097" s="2" t="s">
        <v>14113</v>
      </c>
      <c r="J7097" s="3" t="str">
        <f>HYPERLINK("https://www.boe.es/gazeta/dias/1823/02/14/pdfs/GMD-1823-48.pdf#page=6","Abrir facsímil")</f>
        <v>Abrir facsímil</v>
      </c>
      <c r="K7097" s="3" t="s">
        <v>23</v>
      </c>
    </row>
    <row r="7098" spans="1:11" ht="42" customHeight="1">
      <c r="A7098" s="2" t="s">
        <v>14114</v>
      </c>
      <c r="B7098" s="2" t="s">
        <v>14114</v>
      </c>
      <c r="C7098" s="2" t="s">
        <v>17</v>
      </c>
      <c r="D7098" s="2" t="s">
        <v>18</v>
      </c>
      <c r="E7098" s="5">
        <v>-28075</v>
      </c>
      <c r="F7098" s="3" t="s">
        <v>2327</v>
      </c>
      <c r="G7098" s="3" t="s">
        <v>39</v>
      </c>
      <c r="H7098" s="2" t="s">
        <v>21</v>
      </c>
      <c r="I7098" s="2" t="s">
        <v>14115</v>
      </c>
      <c r="J7098" s="3" t="str">
        <f>HYPERLINK("https://www.boe.es/gazeta/dias/1823/02/17/pdfs/GMD-1823-51.pdf#page=1","Abrir facsímil")</f>
        <v>Abrir facsímil</v>
      </c>
      <c r="K7098" s="3" t="s">
        <v>23</v>
      </c>
    </row>
    <row r="7099" spans="1:11" ht="42" customHeight="1">
      <c r="A7099" s="2" t="s">
        <v>14116</v>
      </c>
      <c r="B7099" s="2" t="s">
        <v>14116</v>
      </c>
      <c r="C7099" s="2" t="s">
        <v>17</v>
      </c>
      <c r="D7099" s="2" t="s">
        <v>18</v>
      </c>
      <c r="E7099" s="5">
        <v>-28063</v>
      </c>
      <c r="F7099" s="3" t="s">
        <v>2493</v>
      </c>
      <c r="G7099" s="3" t="s">
        <v>39</v>
      </c>
      <c r="H7099" s="2" t="s">
        <v>21</v>
      </c>
      <c r="I7099" s="2" t="s">
        <v>14117</v>
      </c>
      <c r="J7099" s="3" t="str">
        <f>HYPERLINK("https://www.boe.es/gazeta/dias/1823/03/01/pdfs/GMD-1823-63.pdf#page=1","Abrir facsímil")</f>
        <v>Abrir facsímil</v>
      </c>
      <c r="K7099" s="3" t="s">
        <v>23</v>
      </c>
    </row>
    <row r="7100" spans="1:11" ht="42" customHeight="1">
      <c r="A7100" s="2" t="s">
        <v>14116</v>
      </c>
      <c r="B7100" s="2" t="s">
        <v>14116</v>
      </c>
      <c r="C7100" s="2" t="s">
        <v>17</v>
      </c>
      <c r="D7100" s="2" t="s">
        <v>18</v>
      </c>
      <c r="E7100" s="5">
        <v>-28020</v>
      </c>
      <c r="F7100" s="3" t="s">
        <v>448</v>
      </c>
      <c r="G7100" s="3" t="s">
        <v>48</v>
      </c>
      <c r="H7100" s="2" t="s">
        <v>21</v>
      </c>
      <c r="I7100" s="2" t="s">
        <v>14118</v>
      </c>
      <c r="J7100" s="3" t="str">
        <f>HYPERLINK("https://www.boe.es/gazeta/dias/1823/04/13/pdfs/GES-1823-3.pdf#page=3","Abrir facsímil")</f>
        <v>Abrir facsímil</v>
      </c>
      <c r="K7100" s="3" t="s">
        <v>23</v>
      </c>
    </row>
    <row r="7101" spans="1:11" ht="42" customHeight="1">
      <c r="A7101" s="2" t="s">
        <v>14119</v>
      </c>
      <c r="B7101" s="2" t="s">
        <v>14120</v>
      </c>
      <c r="C7101" s="2" t="s">
        <v>293</v>
      </c>
      <c r="D7101" s="2" t="s">
        <v>74</v>
      </c>
      <c r="E7101" s="5">
        <v>-27813</v>
      </c>
      <c r="F7101" s="3" t="s">
        <v>1600</v>
      </c>
      <c r="G7101" s="3" t="s">
        <v>27</v>
      </c>
      <c r="H7101" s="2" t="s">
        <v>21</v>
      </c>
      <c r="I7101" s="2" t="s">
        <v>14121</v>
      </c>
      <c r="J7101" s="3" t="str">
        <f>HYPERLINK("https://www.boe.es/gazeta/dias/1823/11/06/pdfs/GMD-1823-1073.pdf#page=2","Abrir facsímil")</f>
        <v>Abrir facsímil</v>
      </c>
      <c r="K7101" s="3" t="s">
        <v>23</v>
      </c>
    </row>
    <row r="7102" spans="1:11" ht="42" customHeight="1">
      <c r="A7102" s="2" t="s">
        <v>14122</v>
      </c>
      <c r="B7102" s="2" t="s">
        <v>14123</v>
      </c>
      <c r="C7102" s="2" t="s">
        <v>17</v>
      </c>
      <c r="D7102" s="2" t="s">
        <v>18</v>
      </c>
      <c r="E7102" s="5">
        <v>-27911</v>
      </c>
      <c r="F7102" s="3" t="s">
        <v>368</v>
      </c>
      <c r="G7102" s="3" t="s">
        <v>39</v>
      </c>
      <c r="H7102" s="2" t="s">
        <v>21</v>
      </c>
      <c r="I7102" s="2" t="s">
        <v>14124</v>
      </c>
      <c r="J7102" s="3" t="str">
        <f>HYPERLINK("https://www.boe.es/gazeta/dias/1823/07/31/pdfs/GES-1823-112.pdf#page=1","Abrir facsímil")</f>
        <v>Abrir facsímil</v>
      </c>
      <c r="K7102" s="3" t="s">
        <v>23</v>
      </c>
    </row>
    <row r="7103" spans="1:11" ht="42" customHeight="1">
      <c r="A7103" s="2" t="s">
        <v>14125</v>
      </c>
      <c r="B7103" s="2" t="s">
        <v>14125</v>
      </c>
      <c r="C7103" s="2" t="s">
        <v>79</v>
      </c>
      <c r="D7103" s="2" t="s">
        <v>74</v>
      </c>
      <c r="E7103" s="5">
        <v>-28048</v>
      </c>
      <c r="F7103" s="3" t="s">
        <v>399</v>
      </c>
      <c r="G7103" s="3" t="s">
        <v>20</v>
      </c>
      <c r="H7103" s="2" t="s">
        <v>21</v>
      </c>
      <c r="I7103" s="2" t="s">
        <v>14126</v>
      </c>
      <c r="J7103" s="3" t="str">
        <f>HYPERLINK("https://www.boe.es/gazeta/dias/1823/03/16/pdfs/GMD-1823-79.pdf#page=4","Abrir facsímil")</f>
        <v>Abrir facsímil</v>
      </c>
      <c r="K7103" s="3" t="s">
        <v>23</v>
      </c>
    </row>
    <row r="7104" spans="1:11" ht="42" customHeight="1">
      <c r="A7104" s="2" t="s">
        <v>14125</v>
      </c>
      <c r="B7104" s="2" t="s">
        <v>14125</v>
      </c>
      <c r="C7104" s="2" t="s">
        <v>73</v>
      </c>
      <c r="D7104" s="2" t="s">
        <v>74</v>
      </c>
      <c r="E7104" s="5">
        <v>-27967</v>
      </c>
      <c r="F7104" s="3" t="s">
        <v>412</v>
      </c>
      <c r="G7104" s="3" t="s">
        <v>592</v>
      </c>
      <c r="H7104" s="2" t="s">
        <v>21</v>
      </c>
      <c r="I7104" s="2" t="s">
        <v>14127</v>
      </c>
      <c r="J7104" s="3" t="str">
        <f>HYPERLINK("https://www.boe.es/gazeta/dias/1823/06/05/pdfs/GES-1823-59.pdf#page=3","Abrir facsímil")</f>
        <v>Abrir facsímil</v>
      </c>
      <c r="K7104" s="3" t="s">
        <v>23</v>
      </c>
    </row>
    <row r="7105" spans="1:11" ht="42" customHeight="1">
      <c r="A7105" s="2" t="s">
        <v>14128</v>
      </c>
      <c r="B7105" s="2" t="s">
        <v>14129</v>
      </c>
      <c r="C7105" s="2" t="s">
        <v>79</v>
      </c>
      <c r="D7105" s="2" t="s">
        <v>74</v>
      </c>
      <c r="E7105" s="5">
        <v>-28082</v>
      </c>
      <c r="F7105" s="3" t="s">
        <v>468</v>
      </c>
      <c r="G7105" s="3" t="s">
        <v>34</v>
      </c>
      <c r="H7105" s="2" t="s">
        <v>21</v>
      </c>
      <c r="I7105" s="2" t="s">
        <v>14130</v>
      </c>
      <c r="J7105" s="3" t="str">
        <f>HYPERLINK("https://www.boe.es/gazeta/dias/1823/02/10/pdfs/GMD-1823-44.pdf#page=5","Abrir facsímil")</f>
        <v>Abrir facsímil</v>
      </c>
      <c r="K7105" s="3" t="s">
        <v>23</v>
      </c>
    </row>
    <row r="7106" spans="1:11" ht="42" customHeight="1">
      <c r="A7106" s="2" t="s">
        <v>14131</v>
      </c>
      <c r="B7106" s="2" t="s">
        <v>14132</v>
      </c>
      <c r="C7106" s="2" t="s">
        <v>79</v>
      </c>
      <c r="D7106" s="2" t="s">
        <v>74</v>
      </c>
      <c r="E7106" s="5">
        <v>-28055</v>
      </c>
      <c r="F7106" s="3" t="s">
        <v>313</v>
      </c>
      <c r="G7106" s="3" t="s">
        <v>27</v>
      </c>
      <c r="H7106" s="2" t="s">
        <v>21</v>
      </c>
      <c r="I7106" s="2" t="s">
        <v>14133</v>
      </c>
      <c r="J7106" s="3" t="str">
        <f>HYPERLINK("https://www.boe.es/gazeta/dias/1823/03/09/pdfs/GMD-1823-72.pdf#page=2","Abrir facsímil")</f>
        <v>Abrir facsímil</v>
      </c>
      <c r="K7106" s="3" t="s">
        <v>23</v>
      </c>
    </row>
    <row r="7107" spans="1:11" ht="42" customHeight="1">
      <c r="A7107" s="2" t="s">
        <v>14134</v>
      </c>
      <c r="B7107" s="2" t="s">
        <v>14135</v>
      </c>
      <c r="C7107" s="2" t="s">
        <v>17</v>
      </c>
      <c r="D7107" s="2" t="s">
        <v>18</v>
      </c>
      <c r="E7107" s="5">
        <v>-28111</v>
      </c>
      <c r="F7107" s="3" t="s">
        <v>275</v>
      </c>
      <c r="G7107" s="3" t="s">
        <v>7417</v>
      </c>
      <c r="H7107" s="2" t="s">
        <v>21</v>
      </c>
      <c r="I7107" s="2" t="s">
        <v>14136</v>
      </c>
      <c r="J7107" s="3" t="str">
        <f>HYPERLINK("https://www.boe.es/gazeta/dias/1823/01/12/pdfs/GMD-1823-12.pdf#page=8","Abrir facsímil")</f>
        <v>Abrir facsímil</v>
      </c>
      <c r="K7107" s="3" t="s">
        <v>23</v>
      </c>
    </row>
    <row r="7108" spans="1:11" ht="42" customHeight="1">
      <c r="A7108" s="2" t="s">
        <v>14137</v>
      </c>
      <c r="B7108" s="2" t="s">
        <v>14137</v>
      </c>
      <c r="C7108" s="2" t="s">
        <v>17</v>
      </c>
      <c r="D7108" s="2" t="s">
        <v>18</v>
      </c>
      <c r="E7108" s="5">
        <v>-28074</v>
      </c>
      <c r="F7108" s="3" t="s">
        <v>212</v>
      </c>
      <c r="G7108" s="3" t="s">
        <v>20</v>
      </c>
      <c r="H7108" s="2" t="s">
        <v>21</v>
      </c>
      <c r="I7108" s="2" t="s">
        <v>14138</v>
      </c>
      <c r="J7108" s="3" t="str">
        <f>HYPERLINK("https://www.boe.es/gazeta/dias/1823/02/18/pdfs/GMD-1823-52.pdf#page=4","Abrir facsímil")</f>
        <v>Abrir facsímil</v>
      </c>
      <c r="K7108" s="3" t="s">
        <v>23</v>
      </c>
    </row>
    <row r="7109" spans="1:11" ht="42" customHeight="1">
      <c r="A7109" s="2" t="s">
        <v>14137</v>
      </c>
      <c r="B7109" s="2" t="s">
        <v>14137</v>
      </c>
      <c r="C7109" s="2" t="s">
        <v>17</v>
      </c>
      <c r="D7109" s="2" t="s">
        <v>18</v>
      </c>
      <c r="E7109" s="5">
        <v>-27918</v>
      </c>
      <c r="F7109" s="3" t="s">
        <v>218</v>
      </c>
      <c r="G7109" s="3" t="s">
        <v>34</v>
      </c>
      <c r="H7109" s="2" t="s">
        <v>21</v>
      </c>
      <c r="I7109" s="2" t="s">
        <v>14139</v>
      </c>
      <c r="J7109" s="3" t="str">
        <f>HYPERLINK("https://www.boe.es/gazeta/dias/1823/07/24/pdfs/GMD-1823-463.pdf#page=5","Abrir facsímil")</f>
        <v>Abrir facsímil</v>
      </c>
      <c r="K7109" s="3" t="s">
        <v>23</v>
      </c>
    </row>
    <row r="7110" spans="1:11" ht="42" customHeight="1">
      <c r="A7110" s="2" t="s">
        <v>14140</v>
      </c>
      <c r="B7110" s="2" t="s">
        <v>14140</v>
      </c>
      <c r="C7110" s="2" t="s">
        <v>79</v>
      </c>
      <c r="D7110" s="2" t="s">
        <v>74</v>
      </c>
      <c r="E7110" s="5">
        <v>-28117</v>
      </c>
      <c r="F7110" s="3" t="s">
        <v>271</v>
      </c>
      <c r="G7110" s="3" t="s">
        <v>20</v>
      </c>
      <c r="H7110" s="2" t="s">
        <v>21</v>
      </c>
      <c r="I7110" s="2" t="s">
        <v>14141</v>
      </c>
      <c r="J7110" s="3" t="str">
        <f>HYPERLINK("https://www.boe.es/gazeta/dias/1823/01/06/pdfs/GMD-1823-6.pdf#page=4","Abrir facsímil")</f>
        <v>Abrir facsímil</v>
      </c>
      <c r="K7110" s="3" t="s">
        <v>23</v>
      </c>
    </row>
    <row r="7111" spans="1:11" ht="42" customHeight="1">
      <c r="A7111" s="2" t="s">
        <v>14142</v>
      </c>
      <c r="B7111" s="2" t="s">
        <v>14142</v>
      </c>
      <c r="C7111" s="2" t="s">
        <v>17</v>
      </c>
      <c r="D7111" s="2" t="s">
        <v>18</v>
      </c>
      <c r="E7111" s="5">
        <v>-28078</v>
      </c>
      <c r="F7111" s="3" t="s">
        <v>508</v>
      </c>
      <c r="G7111" s="3" t="s">
        <v>59</v>
      </c>
      <c r="H7111" s="2" t="s">
        <v>21</v>
      </c>
      <c r="I7111" s="2" t="s">
        <v>14143</v>
      </c>
      <c r="J7111" s="3" t="str">
        <f>HYPERLINK("https://www.boe.es/gazeta/dias/1823/02/14/pdfs/GMD-1823-48.pdf#page=6","Abrir facsímil")</f>
        <v>Abrir facsímil</v>
      </c>
      <c r="K7111" s="3" t="s">
        <v>23</v>
      </c>
    </row>
    <row r="7112" spans="1:11" ht="42" customHeight="1">
      <c r="A7112" s="2" t="s">
        <v>14144</v>
      </c>
      <c r="B7112" s="2" t="s">
        <v>14145</v>
      </c>
      <c r="C7112" s="2" t="s">
        <v>17</v>
      </c>
      <c r="D7112" s="2" t="s">
        <v>18</v>
      </c>
      <c r="E7112" s="5">
        <v>-28066</v>
      </c>
      <c r="F7112" s="3" t="s">
        <v>19</v>
      </c>
      <c r="G7112" s="3" t="s">
        <v>20</v>
      </c>
      <c r="H7112" s="2" t="s">
        <v>21</v>
      </c>
      <c r="I7112" s="2" t="s">
        <v>14146</v>
      </c>
      <c r="J7112" s="3" t="str">
        <f>HYPERLINK("https://www.boe.es/gazeta/dias/1823/02/26/pdfs/GMD-1823-60.pdf#page=4","Abrir facsímil")</f>
        <v>Abrir facsímil</v>
      </c>
      <c r="K7112" s="3" t="s">
        <v>23</v>
      </c>
    </row>
    <row r="7113" spans="1:11" ht="42" customHeight="1">
      <c r="A7113" s="2" t="s">
        <v>14147</v>
      </c>
      <c r="B7113" s="2" t="s">
        <v>14148</v>
      </c>
      <c r="C7113" s="2" t="s">
        <v>56</v>
      </c>
      <c r="D7113" s="2" t="s">
        <v>57</v>
      </c>
      <c r="E7113" s="5">
        <v>-27964</v>
      </c>
      <c r="F7113" s="3" t="s">
        <v>58</v>
      </c>
      <c r="G7113" s="3" t="s">
        <v>59</v>
      </c>
      <c r="H7113" s="2" t="s">
        <v>21</v>
      </c>
      <c r="I7113" s="2" t="s">
        <v>14149</v>
      </c>
      <c r="J7113" s="3" t="str">
        <f>HYPERLINK("https://www.boe.es/gazeta/dias/1823/06/08/pdfs/GES-1823-62.pdf#page=6","Abrir facsímil")</f>
        <v>Abrir facsímil</v>
      </c>
      <c r="K7113" s="3" t="s">
        <v>23</v>
      </c>
    </row>
    <row r="7114" spans="1:11" ht="42" customHeight="1">
      <c r="A7114" s="2" t="s">
        <v>14150</v>
      </c>
      <c r="B7114" s="2" t="s">
        <v>14150</v>
      </c>
      <c r="C7114" s="2" t="s">
        <v>17</v>
      </c>
      <c r="D7114" s="2" t="s">
        <v>18</v>
      </c>
      <c r="E7114" s="5">
        <v>-27827</v>
      </c>
      <c r="F7114" s="3" t="s">
        <v>531</v>
      </c>
      <c r="G7114" s="3" t="s">
        <v>39</v>
      </c>
      <c r="H7114" s="2" t="s">
        <v>21</v>
      </c>
      <c r="I7114" s="2" t="s">
        <v>14151</v>
      </c>
      <c r="J7114" s="3" t="str">
        <f>HYPERLINK("https://www.boe.es/gazeta/dias/1823/10/23/pdfs/GMD-1823-1013.pdf#page=1","Abrir facsímil")</f>
        <v>Abrir facsímil</v>
      </c>
      <c r="K7114" s="3" t="s">
        <v>23</v>
      </c>
    </row>
    <row r="7115" spans="1:11" ht="42" customHeight="1">
      <c r="A7115" s="2" t="s">
        <v>14152</v>
      </c>
      <c r="B7115" s="2" t="s">
        <v>14153</v>
      </c>
      <c r="C7115" s="2" t="s">
        <v>17</v>
      </c>
      <c r="D7115" s="2" t="s">
        <v>117</v>
      </c>
      <c r="E7115" s="5">
        <v>-27873</v>
      </c>
      <c r="F7115" s="3" t="s">
        <v>1668</v>
      </c>
      <c r="G7115" s="3" t="s">
        <v>27</v>
      </c>
      <c r="H7115" s="2" t="s">
        <v>21</v>
      </c>
      <c r="I7115" s="2" t="s">
        <v>14154</v>
      </c>
      <c r="J7115" s="3" t="str">
        <f>HYPERLINK("https://www.boe.es/gazeta/dias/1823/09/07/pdfs/GMD-1823-72E.pdf#page=2","Abrir facsímil")</f>
        <v>Abrir facsímil</v>
      </c>
      <c r="K7115" s="3" t="s">
        <v>23</v>
      </c>
    </row>
    <row r="7116" spans="1:11" ht="42" customHeight="1">
      <c r="A7116" s="2" t="s">
        <v>14155</v>
      </c>
      <c r="B7116" s="2" t="s">
        <v>14156</v>
      </c>
      <c r="C7116" s="2" t="s">
        <v>17</v>
      </c>
      <c r="D7116" s="2" t="s">
        <v>18</v>
      </c>
      <c r="E7116" s="5">
        <v>-27850</v>
      </c>
      <c r="F7116" s="3" t="s">
        <v>910</v>
      </c>
      <c r="G7116" s="3" t="s">
        <v>48</v>
      </c>
      <c r="H7116" s="2" t="s">
        <v>21</v>
      </c>
      <c r="I7116" s="2" t="s">
        <v>14157</v>
      </c>
      <c r="J7116" s="3" t="str">
        <f>HYPERLINK("https://www.boe.es/gazeta/dias/1823/09/30/pdfs/GMD-1823-873.pdf#page=3","Abrir facsímil")</f>
        <v>Abrir facsímil</v>
      </c>
      <c r="K7116" s="3" t="s">
        <v>23</v>
      </c>
    </row>
    <row r="7117" spans="1:11" ht="42" customHeight="1">
      <c r="A7117" s="2" t="s">
        <v>14158</v>
      </c>
      <c r="B7117" s="2" t="s">
        <v>14159</v>
      </c>
      <c r="C7117" s="2" t="s">
        <v>17</v>
      </c>
      <c r="D7117" s="2" t="s">
        <v>18</v>
      </c>
      <c r="E7117" s="5">
        <v>-27971</v>
      </c>
      <c r="F7117" s="3" t="s">
        <v>4211</v>
      </c>
      <c r="G7117" s="3" t="s">
        <v>4358</v>
      </c>
      <c r="H7117" s="2" t="s">
        <v>21</v>
      </c>
      <c r="I7117" s="2" t="s">
        <v>14160</v>
      </c>
      <c r="J7117" s="3" t="str">
        <f>HYPERLINK("https://www.boe.es/gazeta/dias/1823/06/01/pdfs/GES-1823-55.pdf#page=6","Abrir facsímil")</f>
        <v>Abrir facsímil</v>
      </c>
      <c r="K7117" s="3" t="s">
        <v>23</v>
      </c>
    </row>
    <row r="7118" spans="1:11" ht="42" customHeight="1">
      <c r="A7118" s="2" t="s">
        <v>14161</v>
      </c>
      <c r="B7118" s="2" t="s">
        <v>14162</v>
      </c>
      <c r="C7118" s="2" t="s">
        <v>109</v>
      </c>
      <c r="D7118" s="2" t="s">
        <v>74</v>
      </c>
      <c r="E7118" s="5">
        <v>-28057</v>
      </c>
      <c r="F7118" s="3" t="s">
        <v>301</v>
      </c>
      <c r="G7118" s="3" t="s">
        <v>27</v>
      </c>
      <c r="H7118" s="2" t="s">
        <v>21</v>
      </c>
      <c r="I7118" s="2" t="s">
        <v>14163</v>
      </c>
      <c r="J7118" s="3" t="str">
        <f>HYPERLINK("https://www.boe.es/gazeta/dias/1823/03/07/pdfs/GMD-1823-70.pdf#page=2","Abrir facsímil")</f>
        <v>Abrir facsímil</v>
      </c>
      <c r="K7118" s="3" t="s">
        <v>23</v>
      </c>
    </row>
    <row r="7119" spans="1:11" ht="42" customHeight="1">
      <c r="A7119" s="2" t="s">
        <v>14164</v>
      </c>
      <c r="B7119" s="2" t="s">
        <v>14164</v>
      </c>
      <c r="C7119" s="2" t="s">
        <v>109</v>
      </c>
      <c r="D7119" s="2" t="s">
        <v>74</v>
      </c>
      <c r="E7119" s="5">
        <v>-28066</v>
      </c>
      <c r="F7119" s="3" t="s">
        <v>19</v>
      </c>
      <c r="G7119" s="3" t="s">
        <v>39</v>
      </c>
      <c r="H7119" s="2" t="s">
        <v>21</v>
      </c>
      <c r="I7119" s="2" t="s">
        <v>14165</v>
      </c>
      <c r="J7119" s="3" t="str">
        <f>HYPERLINK("https://www.boe.es/gazeta/dias/1823/02/26/pdfs/GMD-1823-60.pdf#page=1","Abrir facsímil")</f>
        <v>Abrir facsímil</v>
      </c>
      <c r="K7119" s="3" t="s">
        <v>23</v>
      </c>
    </row>
    <row r="7120" spans="1:11" ht="42" customHeight="1">
      <c r="A7120" s="2" t="s">
        <v>14166</v>
      </c>
      <c r="B7120" s="2" t="s">
        <v>14167</v>
      </c>
      <c r="C7120" s="2" t="s">
        <v>17</v>
      </c>
      <c r="D7120" s="2" t="s">
        <v>18</v>
      </c>
      <c r="E7120" s="5">
        <v>-28100</v>
      </c>
      <c r="F7120" s="3" t="s">
        <v>737</v>
      </c>
      <c r="G7120" s="3" t="s">
        <v>27</v>
      </c>
      <c r="H7120" s="2" t="s">
        <v>21</v>
      </c>
      <c r="I7120" s="2" t="s">
        <v>14168</v>
      </c>
      <c r="J7120" s="3" t="str">
        <f>HYPERLINK("https://www.boe.es/gazeta/dias/1823/01/23/pdfs/GMD-1823-24.pdf#page=2","Abrir facsímil")</f>
        <v>Abrir facsímil</v>
      </c>
      <c r="K7120" s="3" t="s">
        <v>23</v>
      </c>
    </row>
    <row r="7121" spans="1:11" ht="42" customHeight="1">
      <c r="A7121" s="2" t="s">
        <v>14169</v>
      </c>
      <c r="B7121" s="2" t="s">
        <v>14170</v>
      </c>
      <c r="C7121" s="2" t="s">
        <v>56</v>
      </c>
      <c r="D7121" s="2" t="s">
        <v>57</v>
      </c>
      <c r="E7121" s="5">
        <v>-27797</v>
      </c>
      <c r="F7121" s="3" t="s">
        <v>3409</v>
      </c>
      <c r="G7121" s="3" t="s">
        <v>20</v>
      </c>
      <c r="H7121" s="2" t="s">
        <v>21</v>
      </c>
      <c r="I7121" s="2" t="s">
        <v>14171</v>
      </c>
      <c r="J7121" s="3" t="str">
        <f>HYPERLINK("https://www.boe.es/gazeta/dias/1823/11/22/pdfs/GMD-1823-1153.pdf#page=4","Abrir facsímil")</f>
        <v>Abrir facsímil</v>
      </c>
      <c r="K7121" s="3" t="s">
        <v>23</v>
      </c>
    </row>
    <row r="7122" spans="1:11" ht="42" customHeight="1">
      <c r="A7122" s="2" t="s">
        <v>14172</v>
      </c>
      <c r="B7122" s="2" t="s">
        <v>14172</v>
      </c>
      <c r="C7122" s="2" t="s">
        <v>84</v>
      </c>
      <c r="D7122" s="2" t="s">
        <v>74</v>
      </c>
      <c r="E7122" s="5">
        <v>-27848</v>
      </c>
      <c r="F7122" s="3" t="s">
        <v>1083</v>
      </c>
      <c r="G7122" s="3" t="s">
        <v>27</v>
      </c>
      <c r="H7122" s="2" t="s">
        <v>21</v>
      </c>
      <c r="I7122" s="2" t="s">
        <v>14173</v>
      </c>
      <c r="J7122" s="3" t="str">
        <f>HYPERLINK("https://www.boe.es/gazeta/dias/1823/10/02/pdfs/GES-1823-176.pdf#page=2","Abrir facsímil")</f>
        <v>Abrir facsímil</v>
      </c>
      <c r="K7122" s="3" t="s">
        <v>23</v>
      </c>
    </row>
    <row r="7123" spans="1:11" ht="42" customHeight="1">
      <c r="A7123" s="2" t="s">
        <v>14174</v>
      </c>
      <c r="B7123" s="2" t="s">
        <v>14175</v>
      </c>
      <c r="C7123" s="2" t="s">
        <v>17</v>
      </c>
      <c r="D7123" s="2" t="s">
        <v>18</v>
      </c>
      <c r="E7123" s="5">
        <v>-28041</v>
      </c>
      <c r="F7123" s="3" t="s">
        <v>873</v>
      </c>
      <c r="G7123" s="3" t="s">
        <v>48</v>
      </c>
      <c r="H7123" s="2" t="s">
        <v>21</v>
      </c>
      <c r="I7123" s="2" t="s">
        <v>14176</v>
      </c>
      <c r="J7123" s="3" t="str">
        <f>HYPERLINK("https://www.boe.es/gazeta/dias/1823/03/23/pdfs/GMD-1823-86.pdf#page=3","Abrir facsímil")</f>
        <v>Abrir facsímil</v>
      </c>
      <c r="K7123" s="3" t="s">
        <v>23</v>
      </c>
    </row>
    <row r="7124" spans="1:11" ht="42" customHeight="1">
      <c r="A7124" s="2" t="s">
        <v>14177</v>
      </c>
      <c r="B7124" s="2" t="s">
        <v>14177</v>
      </c>
      <c r="C7124" s="2" t="s">
        <v>17</v>
      </c>
      <c r="D7124" s="2" t="s">
        <v>18</v>
      </c>
      <c r="E7124" s="5">
        <v>-28072</v>
      </c>
      <c r="F7124" s="3" t="s">
        <v>4439</v>
      </c>
      <c r="G7124" s="3" t="s">
        <v>20</v>
      </c>
      <c r="H7124" s="2" t="s">
        <v>21</v>
      </c>
      <c r="I7124" s="2" t="s">
        <v>14178</v>
      </c>
      <c r="J7124" s="3" t="str">
        <f>HYPERLINK("https://www.boe.es/gazeta/dias/1823/02/20/pdfs/GMD-1823-54.pdf#page=4","Abrir facsímil")</f>
        <v>Abrir facsímil</v>
      </c>
      <c r="K7124" s="3" t="s">
        <v>23</v>
      </c>
    </row>
    <row r="7125" spans="1:11" ht="42" customHeight="1">
      <c r="A7125" s="2" t="s">
        <v>14177</v>
      </c>
      <c r="B7125" s="2" t="s">
        <v>14177</v>
      </c>
      <c r="C7125" s="2" t="s">
        <v>56</v>
      </c>
      <c r="D7125" s="2" t="s">
        <v>57</v>
      </c>
      <c r="E7125" s="5">
        <v>-27925</v>
      </c>
      <c r="F7125" s="3" t="s">
        <v>1744</v>
      </c>
      <c r="G7125" s="3" t="s">
        <v>34</v>
      </c>
      <c r="H7125" s="2" t="s">
        <v>21</v>
      </c>
      <c r="I7125" s="2" t="s">
        <v>14179</v>
      </c>
      <c r="J7125" s="3" t="str">
        <f>HYPERLINK("https://www.boe.es/gazeta/dias/1823/07/17/pdfs/GMD-1823-413.pdf#page=5","Abrir facsímil")</f>
        <v>Abrir facsímil</v>
      </c>
      <c r="K7125" s="3" t="s">
        <v>23</v>
      </c>
    </row>
    <row r="7126" spans="1:11" ht="42" customHeight="1">
      <c r="A7126" s="2" t="s">
        <v>14180</v>
      </c>
      <c r="B7126" s="2" t="s">
        <v>14180</v>
      </c>
      <c r="C7126" s="2" t="s">
        <v>79</v>
      </c>
      <c r="D7126" s="2" t="s">
        <v>74</v>
      </c>
      <c r="E7126" s="5">
        <v>-28072</v>
      </c>
      <c r="F7126" s="3" t="s">
        <v>4439</v>
      </c>
      <c r="G7126" s="3" t="s">
        <v>20</v>
      </c>
      <c r="H7126" s="2" t="s">
        <v>21</v>
      </c>
      <c r="I7126" s="2" t="s">
        <v>14181</v>
      </c>
      <c r="J7126" s="3" t="str">
        <f>HYPERLINK("https://www.boe.es/gazeta/dias/1823/02/20/pdfs/GMD-1823-54.pdf#page=4","Abrir facsímil")</f>
        <v>Abrir facsímil</v>
      </c>
      <c r="K7126" s="3" t="s">
        <v>23</v>
      </c>
    </row>
    <row r="7127" spans="1:11" ht="42" customHeight="1">
      <c r="A7127" s="2" t="s">
        <v>14180</v>
      </c>
      <c r="B7127" s="2" t="s">
        <v>14180</v>
      </c>
      <c r="C7127" s="2" t="s">
        <v>17</v>
      </c>
      <c r="D7127" s="2" t="s">
        <v>18</v>
      </c>
      <c r="E7127" s="5">
        <v>-28071</v>
      </c>
      <c r="F7127" s="3" t="s">
        <v>587</v>
      </c>
      <c r="G7127" s="3" t="s">
        <v>27</v>
      </c>
      <c r="H7127" s="2" t="s">
        <v>21</v>
      </c>
      <c r="I7127" s="2" t="s">
        <v>14182</v>
      </c>
      <c r="J7127" s="3" t="str">
        <f>HYPERLINK("https://www.boe.es/gazeta/dias/1823/02/21/pdfs/GMD-1823-55.pdf#page=2","Abrir facsímil")</f>
        <v>Abrir facsímil</v>
      </c>
      <c r="K7127" s="3" t="s">
        <v>23</v>
      </c>
    </row>
    <row r="7128" spans="1:11" ht="42" customHeight="1">
      <c r="A7128" s="2" t="s">
        <v>14180</v>
      </c>
      <c r="B7128" s="2" t="s">
        <v>14180</v>
      </c>
      <c r="C7128" s="2" t="s">
        <v>56</v>
      </c>
      <c r="D7128" s="2" t="s">
        <v>57</v>
      </c>
      <c r="E7128" s="5">
        <v>-28069</v>
      </c>
      <c r="F7128" s="3" t="s">
        <v>2006</v>
      </c>
      <c r="G7128" s="3" t="s">
        <v>20</v>
      </c>
      <c r="H7128" s="2" t="s">
        <v>21</v>
      </c>
      <c r="I7128" s="2" t="s">
        <v>14183</v>
      </c>
      <c r="J7128" s="3" t="str">
        <f>HYPERLINK("https://www.boe.es/gazeta/dias/1823/02/23/pdfs/GMD-1823-57.pdf#page=4","Abrir facsímil")</f>
        <v>Abrir facsímil</v>
      </c>
      <c r="K7128" s="3" t="s">
        <v>23</v>
      </c>
    </row>
    <row r="7129" spans="1:11" ht="42" customHeight="1">
      <c r="A7129" s="2" t="s">
        <v>14180</v>
      </c>
      <c r="B7129" s="2" t="s">
        <v>14180</v>
      </c>
      <c r="C7129" s="2" t="s">
        <v>17</v>
      </c>
      <c r="D7129" s="2" t="s">
        <v>18</v>
      </c>
      <c r="E7129" s="5">
        <v>-28068</v>
      </c>
      <c r="F7129" s="3" t="s">
        <v>1325</v>
      </c>
      <c r="G7129" s="3" t="s">
        <v>20</v>
      </c>
      <c r="H7129" s="2" t="s">
        <v>21</v>
      </c>
      <c r="I7129" s="2" t="s">
        <v>14184</v>
      </c>
      <c r="J7129" s="3" t="str">
        <f>HYPERLINK("https://www.boe.es/gazeta/dias/1823/02/24/pdfs/GMD-1823-58.pdf#page=4","Abrir facsímil")</f>
        <v>Abrir facsímil</v>
      </c>
      <c r="K7129" s="3" t="s">
        <v>23</v>
      </c>
    </row>
    <row r="7130" spans="1:11" ht="42" customHeight="1">
      <c r="A7130" s="2" t="s">
        <v>14180</v>
      </c>
      <c r="B7130" s="2" t="s">
        <v>14180</v>
      </c>
      <c r="C7130" s="2" t="s">
        <v>17</v>
      </c>
      <c r="D7130" s="2" t="s">
        <v>18</v>
      </c>
      <c r="E7130" s="5">
        <v>-28058</v>
      </c>
      <c r="F7130" s="3" t="s">
        <v>1282</v>
      </c>
      <c r="G7130" s="3" t="s">
        <v>20</v>
      </c>
      <c r="H7130" s="2" t="s">
        <v>21</v>
      </c>
      <c r="I7130" s="2" t="s">
        <v>14185</v>
      </c>
      <c r="J7130" s="3" t="str">
        <f>HYPERLINK("https://www.boe.es/gazeta/dias/1823/03/06/pdfs/GMD-1823-69.pdf#page=4","Abrir facsímil")</f>
        <v>Abrir facsímil</v>
      </c>
      <c r="K7130" s="3" t="s">
        <v>23</v>
      </c>
    </row>
    <row r="7131" spans="1:11" ht="42" customHeight="1">
      <c r="A7131" s="2" t="s">
        <v>14180</v>
      </c>
      <c r="B7131" s="2" t="s">
        <v>14180</v>
      </c>
      <c r="C7131" s="2" t="s">
        <v>293</v>
      </c>
      <c r="D7131" s="2" t="s">
        <v>74</v>
      </c>
      <c r="E7131" s="5">
        <v>-28048</v>
      </c>
      <c r="F7131" s="3" t="s">
        <v>399</v>
      </c>
      <c r="G7131" s="3" t="s">
        <v>59</v>
      </c>
      <c r="H7131" s="2" t="s">
        <v>21</v>
      </c>
      <c r="I7131" s="2" t="s">
        <v>14186</v>
      </c>
      <c r="J7131" s="3" t="str">
        <f>HYPERLINK("https://www.boe.es/gazeta/dias/1823/03/16/pdfs/GMD-1823-79.pdf#page=6","Abrir facsímil")</f>
        <v>Abrir facsímil</v>
      </c>
      <c r="K7131" s="3" t="s">
        <v>23</v>
      </c>
    </row>
    <row r="7132" spans="1:11" ht="42" customHeight="1">
      <c r="A7132" s="2" t="s">
        <v>14180</v>
      </c>
      <c r="B7132" s="2" t="s">
        <v>14180</v>
      </c>
      <c r="C7132" s="2" t="s">
        <v>56</v>
      </c>
      <c r="D7132" s="2" t="s">
        <v>57</v>
      </c>
      <c r="E7132" s="5">
        <v>-27985</v>
      </c>
      <c r="F7132" s="3" t="s">
        <v>951</v>
      </c>
      <c r="G7132" s="3" t="s">
        <v>27</v>
      </c>
      <c r="H7132" s="2" t="s">
        <v>21</v>
      </c>
      <c r="I7132" s="2" t="s">
        <v>14187</v>
      </c>
      <c r="J7132" s="3" t="str">
        <f>HYPERLINK("https://www.boe.es/gazeta/dias/1823/05/18/pdfs/GES-1823-38.pdf#page=2","Abrir facsímil")</f>
        <v>Abrir facsímil</v>
      </c>
      <c r="K7132" s="3" t="s">
        <v>23</v>
      </c>
    </row>
    <row r="7133" spans="1:11" ht="42" customHeight="1">
      <c r="A7133" s="2" t="s">
        <v>14180</v>
      </c>
      <c r="B7133" s="2" t="s">
        <v>14180</v>
      </c>
      <c r="C7133" s="2" t="s">
        <v>79</v>
      </c>
      <c r="D7133" s="2" t="s">
        <v>74</v>
      </c>
      <c r="E7133" s="5">
        <v>-27969</v>
      </c>
      <c r="F7133" s="3" t="s">
        <v>855</v>
      </c>
      <c r="G7133" s="3" t="s">
        <v>39</v>
      </c>
      <c r="H7133" s="2" t="s">
        <v>21</v>
      </c>
      <c r="I7133" s="2" t="s">
        <v>14188</v>
      </c>
      <c r="J7133" s="3" t="str">
        <f>HYPERLINK("https://www.boe.es/gazeta/dias/1823/06/03/pdfs/GES-1823-57.pdf#page=1","Abrir facsímil")</f>
        <v>Abrir facsímil</v>
      </c>
      <c r="K7133" s="3" t="s">
        <v>23</v>
      </c>
    </row>
    <row r="7134" spans="1:11" ht="42" customHeight="1">
      <c r="A7134" s="2" t="s">
        <v>14180</v>
      </c>
      <c r="B7134" s="2" t="s">
        <v>14180</v>
      </c>
      <c r="C7134" s="2" t="s">
        <v>17</v>
      </c>
      <c r="D7134" s="2" t="s">
        <v>18</v>
      </c>
      <c r="E7134" s="5">
        <v>-27918</v>
      </c>
      <c r="F7134" s="3" t="s">
        <v>218</v>
      </c>
      <c r="G7134" s="3" t="s">
        <v>27</v>
      </c>
      <c r="H7134" s="2" t="s">
        <v>21</v>
      </c>
      <c r="I7134" s="2" t="s">
        <v>14189</v>
      </c>
      <c r="J7134" s="3" t="str">
        <f>HYPERLINK("https://www.boe.es/gazeta/dias/1823/07/24/pdfs/GMD-1823-463.pdf#page=2","Abrir facsímil")</f>
        <v>Abrir facsímil</v>
      </c>
      <c r="K7134" s="3" t="s">
        <v>23</v>
      </c>
    </row>
    <row r="7135" spans="1:11" ht="42" customHeight="1">
      <c r="A7135" s="2" t="s">
        <v>14180</v>
      </c>
      <c r="B7135" s="2" t="s">
        <v>14180</v>
      </c>
      <c r="C7135" s="2" t="s">
        <v>109</v>
      </c>
      <c r="D7135" s="2" t="s">
        <v>74</v>
      </c>
      <c r="E7135" s="5">
        <v>-27916</v>
      </c>
      <c r="F7135" s="3" t="s">
        <v>1558</v>
      </c>
      <c r="G7135" s="3" t="s">
        <v>20</v>
      </c>
      <c r="H7135" s="2" t="s">
        <v>21</v>
      </c>
      <c r="I7135" s="2" t="s">
        <v>14190</v>
      </c>
      <c r="J7135" s="3" t="str">
        <f>HYPERLINK("https://www.boe.es/gazeta/dias/1823/07/26/pdfs/GMD-1823-473.pdf#page=4","Abrir facsímil")</f>
        <v>Abrir facsímil</v>
      </c>
      <c r="K7135" s="3" t="s">
        <v>23</v>
      </c>
    </row>
    <row r="7136" spans="1:11" ht="42" customHeight="1">
      <c r="A7136" s="2" t="s">
        <v>14180</v>
      </c>
      <c r="B7136" s="2" t="s">
        <v>14180</v>
      </c>
      <c r="C7136" s="2" t="s">
        <v>17</v>
      </c>
      <c r="D7136" s="2" t="s">
        <v>18</v>
      </c>
      <c r="E7136" s="5">
        <v>-27911</v>
      </c>
      <c r="F7136" s="3" t="s">
        <v>1393</v>
      </c>
      <c r="G7136" s="3" t="s">
        <v>48</v>
      </c>
      <c r="H7136" s="2" t="s">
        <v>21</v>
      </c>
      <c r="I7136" s="2" t="s">
        <v>14191</v>
      </c>
      <c r="J7136" s="3" t="str">
        <f>HYPERLINK("https://www.boe.es/gazeta/dias/1823/07/31/pdfs/GMD-1823-503.pdf#page=3","Abrir facsímil")</f>
        <v>Abrir facsímil</v>
      </c>
      <c r="K7136" s="3" t="s">
        <v>23</v>
      </c>
    </row>
    <row r="7137" spans="1:11" ht="42" customHeight="1">
      <c r="A7137" s="2" t="s">
        <v>14180</v>
      </c>
      <c r="B7137" s="2" t="s">
        <v>14180</v>
      </c>
      <c r="C7137" s="2" t="s">
        <v>17</v>
      </c>
      <c r="D7137" s="2" t="s">
        <v>18</v>
      </c>
      <c r="E7137" s="5">
        <v>-27906</v>
      </c>
      <c r="F7137" s="3" t="s">
        <v>241</v>
      </c>
      <c r="G7137" s="3" t="s">
        <v>34</v>
      </c>
      <c r="H7137" s="2" t="s">
        <v>21</v>
      </c>
      <c r="I7137" s="2" t="s">
        <v>14192</v>
      </c>
      <c r="J7137" s="3" t="str">
        <f>HYPERLINK("https://www.boe.es/gazeta/dias/1823/08/05/pdfs/GES-1823-117.pdf#page=5","Abrir facsímil")</f>
        <v>Abrir facsímil</v>
      </c>
      <c r="K7137" s="3" t="s">
        <v>23</v>
      </c>
    </row>
    <row r="7138" spans="1:11" ht="42" customHeight="1">
      <c r="A7138" s="2" t="s">
        <v>14180</v>
      </c>
      <c r="B7138" s="2" t="s">
        <v>14180</v>
      </c>
      <c r="C7138" s="2" t="s">
        <v>109</v>
      </c>
      <c r="D7138" s="2" t="s">
        <v>74</v>
      </c>
      <c r="E7138" s="5">
        <v>-27904</v>
      </c>
      <c r="F7138" s="3" t="s">
        <v>1227</v>
      </c>
      <c r="G7138" s="3" t="s">
        <v>48</v>
      </c>
      <c r="H7138" s="2" t="s">
        <v>21</v>
      </c>
      <c r="I7138" s="2" t="s">
        <v>14193</v>
      </c>
      <c r="J7138" s="3" t="str">
        <f>HYPERLINK("https://www.boe.es/gazeta/dias/1823/08/07/pdfs/GMD-1823-543.pdf#page=3","Abrir facsímil")</f>
        <v>Abrir facsímil</v>
      </c>
      <c r="K7138" s="3" t="s">
        <v>23</v>
      </c>
    </row>
    <row r="7139" spans="1:11" ht="42" customHeight="1">
      <c r="A7139" s="2" t="s">
        <v>14180</v>
      </c>
      <c r="B7139" s="2" t="s">
        <v>14180</v>
      </c>
      <c r="C7139" s="2" t="s">
        <v>17</v>
      </c>
      <c r="D7139" s="2" t="s">
        <v>18</v>
      </c>
      <c r="E7139" s="5">
        <v>-27871</v>
      </c>
      <c r="F7139" s="3" t="s">
        <v>782</v>
      </c>
      <c r="G7139" s="3" t="s">
        <v>27</v>
      </c>
      <c r="H7139" s="2" t="s">
        <v>21</v>
      </c>
      <c r="I7139" s="2" t="s">
        <v>14194</v>
      </c>
      <c r="J7139" s="3" t="str">
        <f>HYPERLINK("https://www.boe.es/gazeta/dias/1823/09/09/pdfs/GES-1823-153.pdf#page=2","Abrir facsímil")</f>
        <v>Abrir facsímil</v>
      </c>
      <c r="K7139" s="3" t="s">
        <v>23</v>
      </c>
    </row>
    <row r="7140" spans="1:11" ht="42" customHeight="1">
      <c r="A7140" s="2" t="s">
        <v>14180</v>
      </c>
      <c r="B7140" s="2" t="s">
        <v>14180</v>
      </c>
      <c r="C7140" s="2" t="s">
        <v>79</v>
      </c>
      <c r="D7140" s="2" t="s">
        <v>74</v>
      </c>
      <c r="E7140" s="5">
        <v>-27867</v>
      </c>
      <c r="F7140" s="3" t="s">
        <v>1585</v>
      </c>
      <c r="G7140" s="3" t="s">
        <v>48</v>
      </c>
      <c r="H7140" s="2" t="s">
        <v>21</v>
      </c>
      <c r="I7140" s="2" t="s">
        <v>14195</v>
      </c>
      <c r="J7140" s="3" t="str">
        <f>HYPERLINK("https://www.boe.es/gazeta/dias/1823/09/13/pdfs/GMD-1823-773.pdf#page=3","Abrir facsímil")</f>
        <v>Abrir facsímil</v>
      </c>
      <c r="K7140" s="3" t="s">
        <v>23</v>
      </c>
    </row>
    <row r="7141" spans="1:11" ht="42" customHeight="1">
      <c r="A7141" s="2" t="s">
        <v>14180</v>
      </c>
      <c r="B7141" s="2" t="s">
        <v>14180</v>
      </c>
      <c r="C7141" s="2" t="s">
        <v>79</v>
      </c>
      <c r="D7141" s="2" t="s">
        <v>74</v>
      </c>
      <c r="E7141" s="5">
        <v>-27865</v>
      </c>
      <c r="F7141" s="3" t="s">
        <v>9815</v>
      </c>
      <c r="G7141" s="3" t="s">
        <v>39</v>
      </c>
      <c r="H7141" s="2" t="s">
        <v>21</v>
      </c>
      <c r="I7141" s="2" t="s">
        <v>14196</v>
      </c>
      <c r="J7141" s="3" t="str">
        <f>HYPERLINK("https://www.boe.es/gazeta/dias/1823/09/15/pdfs/GES-1823-159.pdf#page=1","Abrir facsímil")</f>
        <v>Abrir facsímil</v>
      </c>
      <c r="K7141" s="3" t="s">
        <v>23</v>
      </c>
    </row>
    <row r="7142" spans="1:11" ht="42" customHeight="1">
      <c r="A7142" s="2" t="s">
        <v>14180</v>
      </c>
      <c r="B7142" s="2" t="s">
        <v>14180</v>
      </c>
      <c r="C7142" s="2" t="s">
        <v>17</v>
      </c>
      <c r="D7142" s="2" t="s">
        <v>18</v>
      </c>
      <c r="E7142" s="5">
        <v>-27862</v>
      </c>
      <c r="F7142" s="3" t="s">
        <v>1530</v>
      </c>
      <c r="G7142" s="3" t="s">
        <v>39</v>
      </c>
      <c r="H7142" s="2" t="s">
        <v>21</v>
      </c>
      <c r="I7142" s="2" t="s">
        <v>14197</v>
      </c>
      <c r="J7142" s="3" t="str">
        <f>HYPERLINK("https://www.boe.es/gazeta/dias/1823/09/18/pdfs/GMD-1823-803.pdf#page=1","Abrir facsímil")</f>
        <v>Abrir facsímil</v>
      </c>
      <c r="K7142" s="3" t="s">
        <v>23</v>
      </c>
    </row>
    <row r="7143" spans="1:11" ht="42" customHeight="1">
      <c r="A7143" s="2" t="s">
        <v>14180</v>
      </c>
      <c r="B7143" s="2" t="s">
        <v>14180</v>
      </c>
      <c r="C7143" s="2" t="s">
        <v>17</v>
      </c>
      <c r="D7143" s="2" t="s">
        <v>18</v>
      </c>
      <c r="E7143" s="5">
        <v>-27861</v>
      </c>
      <c r="F7143" s="3" t="s">
        <v>425</v>
      </c>
      <c r="G7143" s="3" t="s">
        <v>39</v>
      </c>
      <c r="H7143" s="2" t="s">
        <v>21</v>
      </c>
      <c r="I7143" s="2" t="s">
        <v>14198</v>
      </c>
      <c r="J7143" s="3" t="str">
        <f>HYPERLINK("https://www.boe.es/gazeta/dias/1823/09/19/pdfs/GES-1823-163.pdf#page=1","Abrir facsímil")</f>
        <v>Abrir facsímil</v>
      </c>
      <c r="K7143" s="3" t="s">
        <v>23</v>
      </c>
    </row>
    <row r="7144" spans="1:11" ht="42" customHeight="1">
      <c r="A7144" s="2" t="s">
        <v>14180</v>
      </c>
      <c r="B7144" s="2" t="s">
        <v>14180</v>
      </c>
      <c r="C7144" s="2" t="s">
        <v>17</v>
      </c>
      <c r="D7144" s="2" t="s">
        <v>18</v>
      </c>
      <c r="E7144" s="5">
        <v>-27857</v>
      </c>
      <c r="F7144" s="3" t="s">
        <v>378</v>
      </c>
      <c r="G7144" s="3" t="s">
        <v>59</v>
      </c>
      <c r="H7144" s="2" t="s">
        <v>21</v>
      </c>
      <c r="I7144" s="2" t="s">
        <v>14199</v>
      </c>
      <c r="J7144" s="3" t="str">
        <f>HYPERLINK("https://www.boe.es/gazeta/dias/1823/09/23/pdfs/GMD-1823-833.pdf#page=6","Abrir facsímil")</f>
        <v>Abrir facsímil</v>
      </c>
      <c r="K7144" s="3" t="s">
        <v>23</v>
      </c>
    </row>
    <row r="7145" spans="1:11" ht="42" customHeight="1">
      <c r="A7145" s="2" t="s">
        <v>14180</v>
      </c>
      <c r="B7145" s="2" t="s">
        <v>14180</v>
      </c>
      <c r="C7145" s="2" t="s">
        <v>17</v>
      </c>
      <c r="D7145" s="2" t="s">
        <v>18</v>
      </c>
      <c r="E7145" s="5">
        <v>-27829</v>
      </c>
      <c r="F7145" s="3" t="s">
        <v>228</v>
      </c>
      <c r="G7145" s="3" t="s">
        <v>48</v>
      </c>
      <c r="H7145" s="2" t="s">
        <v>21</v>
      </c>
      <c r="I7145" s="2" t="s">
        <v>14200</v>
      </c>
      <c r="J7145" s="3" t="str">
        <f>HYPERLINK("https://www.boe.es/gazeta/dias/1823/10/21/pdfs/GMD-1823-1003.pdf#page=3","Abrir facsímil")</f>
        <v>Abrir facsímil</v>
      </c>
      <c r="K7145" s="3" t="s">
        <v>23</v>
      </c>
    </row>
    <row r="7146" spans="1:11" ht="42" customHeight="1">
      <c r="A7146" s="2" t="s">
        <v>14180</v>
      </c>
      <c r="B7146" s="2" t="s">
        <v>14180</v>
      </c>
      <c r="C7146" s="2" t="s">
        <v>17</v>
      </c>
      <c r="D7146" s="2" t="s">
        <v>18</v>
      </c>
      <c r="E7146" s="5">
        <v>-27808</v>
      </c>
      <c r="F7146" s="3" t="s">
        <v>1602</v>
      </c>
      <c r="G7146" s="3" t="s">
        <v>27</v>
      </c>
      <c r="H7146" s="2" t="s">
        <v>21</v>
      </c>
      <c r="I7146" s="2" t="s">
        <v>14201</v>
      </c>
      <c r="J7146" s="3" t="str">
        <f>HYPERLINK("https://www.boe.es/gazeta/dias/1823/11/11/pdfs/GMD-1823-1103.pdf#page=2","Abrir facsímil")</f>
        <v>Abrir facsímil</v>
      </c>
      <c r="K7146" s="3" t="s">
        <v>23</v>
      </c>
    </row>
    <row r="7147" spans="1:11" ht="42" customHeight="1">
      <c r="A7147" s="2" t="s">
        <v>14202</v>
      </c>
      <c r="B7147" s="2" t="s">
        <v>14202</v>
      </c>
      <c r="C7147" s="2" t="s">
        <v>17</v>
      </c>
      <c r="D7147" s="2" t="s">
        <v>18</v>
      </c>
      <c r="E7147" s="5">
        <v>-27841</v>
      </c>
      <c r="F7147" s="3" t="s">
        <v>721</v>
      </c>
      <c r="G7147" s="3" t="s">
        <v>27</v>
      </c>
      <c r="H7147" s="2" t="s">
        <v>21</v>
      </c>
      <c r="I7147" s="2" t="s">
        <v>14203</v>
      </c>
      <c r="J7147" s="3" t="str">
        <f>HYPERLINK("https://www.boe.es/gazeta/dias/1823/10/09/pdfs/GMD-1823-953.pdf#page=2","Abrir facsímil")</f>
        <v>Abrir facsímil</v>
      </c>
      <c r="K7147" s="3" t="s">
        <v>23</v>
      </c>
    </row>
    <row r="7148" spans="1:11" ht="42" customHeight="1">
      <c r="A7148" s="2" t="s">
        <v>14204</v>
      </c>
      <c r="B7148" s="2" t="s">
        <v>14205</v>
      </c>
      <c r="C7148" s="2" t="s">
        <v>73</v>
      </c>
      <c r="D7148" s="2" t="s">
        <v>74</v>
      </c>
      <c r="E7148" s="5">
        <v>-28054</v>
      </c>
      <c r="F7148" s="3" t="s">
        <v>1292</v>
      </c>
      <c r="G7148" s="3" t="s">
        <v>20</v>
      </c>
      <c r="H7148" s="2" t="s">
        <v>28</v>
      </c>
      <c r="I7148" s="2" t="s">
        <v>14206</v>
      </c>
      <c r="J7148" s="3" t="str">
        <f>HYPERLINK("https://www.boe.es/gazeta/dias/1823/03/10/pdfs/GMD-1823-73.pdf#page=4","Abrir facsímil")</f>
        <v>Abrir facsímil</v>
      </c>
      <c r="K7148" s="3" t="s">
        <v>30</v>
      </c>
    </row>
    <row r="7149" spans="1:11" ht="42" customHeight="1">
      <c r="A7149" s="2" t="s">
        <v>14204</v>
      </c>
      <c r="B7149" s="2" t="s">
        <v>14205</v>
      </c>
      <c r="C7149" s="2" t="s">
        <v>109</v>
      </c>
      <c r="D7149" s="2" t="s">
        <v>74</v>
      </c>
      <c r="E7149" s="5">
        <v>-27906</v>
      </c>
      <c r="F7149" s="3" t="s">
        <v>1527</v>
      </c>
      <c r="G7149" s="3" t="s">
        <v>20</v>
      </c>
      <c r="H7149" s="2" t="s">
        <v>28</v>
      </c>
      <c r="I7149" s="2" t="s">
        <v>14207</v>
      </c>
      <c r="J7149" s="3" t="str">
        <f>HYPERLINK("https://www.boe.es/gazeta/dias/1823/08/05/pdfs/GMD-1823-533.pdf#page=4","Abrir facsímil")</f>
        <v>Abrir facsímil</v>
      </c>
      <c r="K7149" s="3" t="s">
        <v>30</v>
      </c>
    </row>
    <row r="7150" spans="1:11" ht="42" customHeight="1">
      <c r="A7150" s="2" t="s">
        <v>14204</v>
      </c>
      <c r="B7150" s="2" t="s">
        <v>14205</v>
      </c>
      <c r="C7150" s="2" t="s">
        <v>56</v>
      </c>
      <c r="D7150" s="2" t="s">
        <v>57</v>
      </c>
      <c r="E7150" s="5">
        <v>-27834</v>
      </c>
      <c r="F7150" s="3" t="s">
        <v>188</v>
      </c>
      <c r="G7150" s="3" t="s">
        <v>48</v>
      </c>
      <c r="H7150" s="2" t="s">
        <v>28</v>
      </c>
      <c r="I7150" s="2" t="s">
        <v>14208</v>
      </c>
      <c r="J7150" s="3" t="str">
        <f>HYPERLINK("https://www.boe.es/gazeta/dias/1823/10/16/pdfs/GMD-1823-983.pdf#page=3","Abrir facsímil")</f>
        <v>Abrir facsímil</v>
      </c>
      <c r="K7150" s="3" t="s">
        <v>30</v>
      </c>
    </row>
    <row r="7151" spans="1:11" ht="42" customHeight="1">
      <c r="A7151" s="2" t="s">
        <v>14209</v>
      </c>
      <c r="B7151" s="2" t="s">
        <v>14210</v>
      </c>
      <c r="C7151" s="2" t="s">
        <v>109</v>
      </c>
      <c r="D7151" s="2" t="s">
        <v>74</v>
      </c>
      <c r="E7151" s="5">
        <v>-28114</v>
      </c>
      <c r="F7151" s="3" t="s">
        <v>153</v>
      </c>
      <c r="G7151" s="3" t="s">
        <v>59</v>
      </c>
      <c r="H7151" s="2" t="s">
        <v>21</v>
      </c>
      <c r="I7151" s="2" t="s">
        <v>14211</v>
      </c>
      <c r="J7151" s="3" t="str">
        <f>HYPERLINK("https://www.boe.es/gazeta/dias/1823/01/09/pdfs/GMD-1823-9.pdf#page=6","Abrir facsímil")</f>
        <v>Abrir facsímil</v>
      </c>
      <c r="K7151" s="3" t="s">
        <v>23</v>
      </c>
    </row>
    <row r="7152" spans="1:11" ht="42" customHeight="1">
      <c r="A7152" s="2" t="s">
        <v>14209</v>
      </c>
      <c r="B7152" s="2" t="s">
        <v>14210</v>
      </c>
      <c r="C7152" s="2" t="s">
        <v>109</v>
      </c>
      <c r="D7152" s="2" t="s">
        <v>74</v>
      </c>
      <c r="E7152" s="5">
        <v>-28007</v>
      </c>
      <c r="F7152" s="3" t="s">
        <v>311</v>
      </c>
      <c r="G7152" s="3" t="s">
        <v>1968</v>
      </c>
      <c r="H7152" s="2" t="s">
        <v>21</v>
      </c>
      <c r="I7152" s="2" t="s">
        <v>14212</v>
      </c>
      <c r="J7152" s="3" t="str">
        <f>HYPERLINK("https://www.boe.es/gazeta/dias/1823/04/26/pdfs/GES-1823-16.pdf#page=4","Abrir facsímil")</f>
        <v>Abrir facsímil</v>
      </c>
      <c r="K7152" s="3" t="s">
        <v>23</v>
      </c>
    </row>
    <row r="7153" spans="1:11" ht="42" customHeight="1">
      <c r="A7153" s="2" t="s">
        <v>14209</v>
      </c>
      <c r="B7153" s="2" t="s">
        <v>14210</v>
      </c>
      <c r="C7153" s="2" t="s">
        <v>17</v>
      </c>
      <c r="D7153" s="2" t="s">
        <v>18</v>
      </c>
      <c r="E7153" s="5">
        <v>-28002</v>
      </c>
      <c r="F7153" s="3" t="s">
        <v>315</v>
      </c>
      <c r="G7153" s="3" t="s">
        <v>27</v>
      </c>
      <c r="H7153" s="2" t="s">
        <v>21</v>
      </c>
      <c r="I7153" s="2" t="s">
        <v>14213</v>
      </c>
      <c r="J7153" s="3" t="str">
        <f>HYPERLINK("https://www.boe.es/gazeta/dias/1823/05/01/pdfs/GES-1823-21.pdf#page=2","Abrir facsímil")</f>
        <v>Abrir facsímil</v>
      </c>
      <c r="K7153" s="3" t="s">
        <v>23</v>
      </c>
    </row>
    <row r="7154" spans="1:11" ht="42" customHeight="1">
      <c r="A7154" s="2" t="s">
        <v>14209</v>
      </c>
      <c r="B7154" s="2" t="s">
        <v>14210</v>
      </c>
      <c r="C7154" s="2" t="s">
        <v>56</v>
      </c>
      <c r="D7154" s="2" t="s">
        <v>57</v>
      </c>
      <c r="E7154" s="5">
        <v>-27997</v>
      </c>
      <c r="F7154" s="3" t="s">
        <v>937</v>
      </c>
      <c r="G7154" s="3" t="s">
        <v>20</v>
      </c>
      <c r="H7154" s="2" t="s">
        <v>21</v>
      </c>
      <c r="I7154" s="2" t="s">
        <v>14214</v>
      </c>
      <c r="J7154" s="3" t="str">
        <f>HYPERLINK("https://www.boe.es/gazeta/dias/1823/05/06/pdfs/GMD-1823-102.pdf#page=4","Abrir facsímil")</f>
        <v>Abrir facsímil</v>
      </c>
      <c r="K7154" s="3" t="s">
        <v>23</v>
      </c>
    </row>
    <row r="7155" spans="1:11" ht="42" customHeight="1">
      <c r="A7155" s="2" t="s">
        <v>14209</v>
      </c>
      <c r="B7155" s="2" t="s">
        <v>14210</v>
      </c>
      <c r="C7155" s="2" t="s">
        <v>17</v>
      </c>
      <c r="D7155" s="2" t="s">
        <v>18</v>
      </c>
      <c r="E7155" s="5">
        <v>-27939</v>
      </c>
      <c r="F7155" s="3" t="s">
        <v>1403</v>
      </c>
      <c r="G7155" s="3" t="s">
        <v>2756</v>
      </c>
      <c r="H7155" s="2" t="s">
        <v>21</v>
      </c>
      <c r="I7155" s="2" t="s">
        <v>14215</v>
      </c>
      <c r="J7155" s="3" t="str">
        <f>HYPERLINK("https://www.boe.es/gazeta/dias/1823/07/03/pdfs/GMD-1823-333.pdf#page=6","Abrir facsímil")</f>
        <v>Abrir facsímil</v>
      </c>
      <c r="K7155" s="3" t="s">
        <v>23</v>
      </c>
    </row>
    <row r="7156" spans="1:11" ht="42" customHeight="1">
      <c r="A7156" s="2" t="s">
        <v>14216</v>
      </c>
      <c r="B7156" s="2" t="s">
        <v>14217</v>
      </c>
      <c r="C7156" s="2" t="s">
        <v>17</v>
      </c>
      <c r="D7156" s="2" t="s">
        <v>18</v>
      </c>
      <c r="E7156" s="5">
        <v>-27995</v>
      </c>
      <c r="F7156" s="3" t="s">
        <v>326</v>
      </c>
      <c r="G7156" s="3" t="s">
        <v>27</v>
      </c>
      <c r="H7156" s="2" t="s">
        <v>21</v>
      </c>
      <c r="I7156" s="2" t="s">
        <v>14218</v>
      </c>
      <c r="J7156" s="3" t="str">
        <f>HYPERLINK("https://www.boe.es/gazeta/dias/1823/05/08/pdfs/GMD-1823-112.pdf#page=2","Abrir facsímil")</f>
        <v>Abrir facsímil</v>
      </c>
      <c r="K7156" s="3" t="s">
        <v>23</v>
      </c>
    </row>
    <row r="7157" spans="1:11" ht="42" customHeight="1">
      <c r="A7157" s="2" t="s">
        <v>14219</v>
      </c>
      <c r="B7157" s="2" t="s">
        <v>14220</v>
      </c>
      <c r="C7157" s="2" t="s">
        <v>79</v>
      </c>
      <c r="D7157" s="2" t="s">
        <v>74</v>
      </c>
      <c r="E7157" s="5">
        <v>-28011</v>
      </c>
      <c r="F7157" s="3" t="s">
        <v>3326</v>
      </c>
      <c r="G7157" s="3" t="s">
        <v>20</v>
      </c>
      <c r="H7157" s="2" t="s">
        <v>21</v>
      </c>
      <c r="I7157" s="2" t="s">
        <v>14221</v>
      </c>
      <c r="J7157" s="3" t="str">
        <f>HYPERLINK("https://www.boe.es/gazeta/dias/1823/04/22/pdfs/GES-1823-12.pdf#page=4","Abrir facsímil")</f>
        <v>Abrir facsímil</v>
      </c>
      <c r="K7157" s="3" t="s">
        <v>23</v>
      </c>
    </row>
    <row r="7158" spans="1:11" ht="42" customHeight="1">
      <c r="A7158" s="2" t="s">
        <v>14222</v>
      </c>
      <c r="B7158" s="2" t="s">
        <v>14223</v>
      </c>
      <c r="C7158" s="2" t="s">
        <v>79</v>
      </c>
      <c r="D7158" s="2" t="s">
        <v>74</v>
      </c>
      <c r="E7158" s="5">
        <v>-28111</v>
      </c>
      <c r="F7158" s="3" t="s">
        <v>275</v>
      </c>
      <c r="G7158" s="3" t="s">
        <v>7417</v>
      </c>
      <c r="H7158" s="2" t="s">
        <v>21</v>
      </c>
      <c r="I7158" s="2" t="s">
        <v>14224</v>
      </c>
      <c r="J7158" s="3" t="str">
        <f>HYPERLINK("https://www.boe.es/gazeta/dias/1823/01/12/pdfs/GMD-1823-12.pdf#page=8","Abrir facsímil")</f>
        <v>Abrir facsímil</v>
      </c>
      <c r="K7158" s="3" t="s">
        <v>23</v>
      </c>
    </row>
    <row r="7159" spans="1:11" ht="42" customHeight="1">
      <c r="A7159" s="2" t="s">
        <v>14225</v>
      </c>
      <c r="B7159" s="2" t="s">
        <v>14226</v>
      </c>
      <c r="C7159" s="2" t="s">
        <v>17</v>
      </c>
      <c r="D7159" s="2" t="s">
        <v>18</v>
      </c>
      <c r="E7159" s="5">
        <v>-27853</v>
      </c>
      <c r="F7159" s="3" t="s">
        <v>539</v>
      </c>
      <c r="G7159" s="3" t="s">
        <v>27</v>
      </c>
      <c r="H7159" s="2" t="s">
        <v>21</v>
      </c>
      <c r="I7159" s="2" t="s">
        <v>14227</v>
      </c>
      <c r="J7159" s="3" t="str">
        <f>HYPERLINK("https://www.boe.es/gazeta/dias/1823/09/27/pdfs/GMD-1823-863.pdf#page=2","Abrir facsímil")</f>
        <v>Abrir facsímil</v>
      </c>
      <c r="K7159" s="3" t="s">
        <v>23</v>
      </c>
    </row>
    <row r="7160" spans="1:11" ht="42" customHeight="1">
      <c r="A7160" s="2" t="s">
        <v>14228</v>
      </c>
      <c r="B7160" s="2" t="s">
        <v>14229</v>
      </c>
      <c r="C7160" s="2" t="s">
        <v>56</v>
      </c>
      <c r="D7160" s="2" t="s">
        <v>57</v>
      </c>
      <c r="E7160" s="5">
        <v>-28111</v>
      </c>
      <c r="F7160" s="3" t="s">
        <v>275</v>
      </c>
      <c r="G7160" s="3" t="s">
        <v>276</v>
      </c>
      <c r="H7160" s="2" t="s">
        <v>28</v>
      </c>
      <c r="I7160" s="2" t="s">
        <v>14230</v>
      </c>
      <c r="J7160" s="3" t="str">
        <f>HYPERLINK("https://www.boe.es/gazeta/dias/1823/01/12/pdfs/GMD-1823-12.pdf#page=7","Abrir facsímil")</f>
        <v>Abrir facsímil</v>
      </c>
      <c r="K7160" s="3" t="s">
        <v>30</v>
      </c>
    </row>
    <row r="7161" spans="1:11" ht="42" customHeight="1">
      <c r="A7161" s="2" t="s">
        <v>14228</v>
      </c>
      <c r="B7161" s="2" t="s">
        <v>14229</v>
      </c>
      <c r="C7161" s="2" t="s">
        <v>79</v>
      </c>
      <c r="D7161" s="2" t="s">
        <v>74</v>
      </c>
      <c r="E7161" s="5">
        <v>-27834</v>
      </c>
      <c r="F7161" s="3" t="s">
        <v>188</v>
      </c>
      <c r="G7161" s="3" t="s">
        <v>27</v>
      </c>
      <c r="H7161" s="2" t="s">
        <v>28</v>
      </c>
      <c r="I7161" s="2" t="s">
        <v>14231</v>
      </c>
      <c r="J7161" s="3" t="str">
        <f>HYPERLINK("https://www.boe.es/gazeta/dias/1823/10/16/pdfs/GMD-1823-983.pdf#page=2","Abrir facsímil")</f>
        <v>Abrir facsímil</v>
      </c>
      <c r="K7161" s="3" t="s">
        <v>30</v>
      </c>
    </row>
    <row r="7162" spans="1:11" ht="42" customHeight="1">
      <c r="A7162" s="2" t="s">
        <v>14232</v>
      </c>
      <c r="B7162" s="2" t="s">
        <v>14233</v>
      </c>
      <c r="C7162" s="2" t="s">
        <v>79</v>
      </c>
      <c r="D7162" s="2" t="s">
        <v>74</v>
      </c>
      <c r="E7162" s="5">
        <v>-28111</v>
      </c>
      <c r="F7162" s="3" t="s">
        <v>275</v>
      </c>
      <c r="G7162" s="3" t="s">
        <v>7417</v>
      </c>
      <c r="H7162" s="2" t="s">
        <v>21</v>
      </c>
      <c r="I7162" s="2" t="s">
        <v>14234</v>
      </c>
      <c r="J7162" s="3" t="str">
        <f>HYPERLINK("https://www.boe.es/gazeta/dias/1823/01/12/pdfs/GMD-1823-12.pdf#page=8","Abrir facsímil")</f>
        <v>Abrir facsímil</v>
      </c>
      <c r="K7162" s="3" t="s">
        <v>23</v>
      </c>
    </row>
    <row r="7163" spans="1:11" ht="42" customHeight="1">
      <c r="A7163" s="2" t="s">
        <v>14232</v>
      </c>
      <c r="B7163" s="2" t="s">
        <v>14233</v>
      </c>
      <c r="C7163" s="2" t="s">
        <v>56</v>
      </c>
      <c r="D7163" s="2" t="s">
        <v>57</v>
      </c>
      <c r="E7163" s="5">
        <v>-28068</v>
      </c>
      <c r="F7163" s="3" t="s">
        <v>1325</v>
      </c>
      <c r="G7163" s="3" t="s">
        <v>39</v>
      </c>
      <c r="H7163" s="2" t="s">
        <v>21</v>
      </c>
      <c r="I7163" s="2" t="s">
        <v>14235</v>
      </c>
      <c r="J7163" s="3" t="str">
        <f>HYPERLINK("https://www.boe.es/gazeta/dias/1823/02/24/pdfs/GMD-1823-58.pdf#page=1","Abrir facsímil")</f>
        <v>Abrir facsímil</v>
      </c>
      <c r="K7163" s="3" t="s">
        <v>23</v>
      </c>
    </row>
    <row r="7164" spans="1:11" ht="42" customHeight="1">
      <c r="A7164" s="2" t="s">
        <v>14232</v>
      </c>
      <c r="B7164" s="2" t="s">
        <v>14233</v>
      </c>
      <c r="C7164" s="2" t="s">
        <v>17</v>
      </c>
      <c r="D7164" s="2" t="s">
        <v>18</v>
      </c>
      <c r="E7164" s="5">
        <v>-27997</v>
      </c>
      <c r="F7164" s="3" t="s">
        <v>937</v>
      </c>
      <c r="G7164" s="3" t="s">
        <v>20</v>
      </c>
      <c r="H7164" s="2" t="s">
        <v>21</v>
      </c>
      <c r="I7164" s="2" t="s">
        <v>14236</v>
      </c>
      <c r="J7164" s="3" t="str">
        <f>HYPERLINK("https://www.boe.es/gazeta/dias/1823/05/06/pdfs/GMD-1823-102.pdf#page=4","Abrir facsímil")</f>
        <v>Abrir facsímil</v>
      </c>
      <c r="K7164" s="3" t="s">
        <v>23</v>
      </c>
    </row>
    <row r="7165" spans="1:11" ht="42" customHeight="1">
      <c r="A7165" s="2" t="s">
        <v>14237</v>
      </c>
      <c r="B7165" s="2" t="s">
        <v>14238</v>
      </c>
      <c r="C7165" s="2" t="s">
        <v>17</v>
      </c>
      <c r="D7165" s="2" t="s">
        <v>18</v>
      </c>
      <c r="E7165" s="5">
        <v>-28040</v>
      </c>
      <c r="F7165" s="3" t="s">
        <v>2971</v>
      </c>
      <c r="G7165" s="3" t="s">
        <v>8045</v>
      </c>
      <c r="H7165" s="2" t="s">
        <v>21</v>
      </c>
      <c r="I7165" s="2" t="s">
        <v>14239</v>
      </c>
      <c r="J7165" s="3" t="str">
        <f>HYPERLINK("https://www.boe.es/gazeta/dias/1823/03/24/pdfs/GMD-1823-87.pdf#page=2","Abrir facsímil")</f>
        <v>Abrir facsímil</v>
      </c>
      <c r="K7165" s="3" t="s">
        <v>23</v>
      </c>
    </row>
    <row r="7166" spans="1:11" ht="42" customHeight="1">
      <c r="A7166" s="2" t="s">
        <v>14240</v>
      </c>
      <c r="B7166" s="2" t="s">
        <v>14241</v>
      </c>
      <c r="C7166" s="2" t="s">
        <v>17</v>
      </c>
      <c r="D7166" s="2" t="s">
        <v>18</v>
      </c>
      <c r="E7166" s="5">
        <v>-27985</v>
      </c>
      <c r="F7166" s="3" t="s">
        <v>951</v>
      </c>
      <c r="G7166" s="3" t="s">
        <v>59</v>
      </c>
      <c r="H7166" s="2" t="s">
        <v>28</v>
      </c>
      <c r="I7166" s="2" t="s">
        <v>14242</v>
      </c>
      <c r="J7166" s="3" t="str">
        <f>HYPERLINK("https://www.boe.es/gazeta/dias/1823/05/18/pdfs/GES-1823-38.pdf#page=6","Abrir facsímil")</f>
        <v>Abrir facsímil</v>
      </c>
      <c r="K7166" s="3" t="s">
        <v>30</v>
      </c>
    </row>
    <row r="7167" spans="1:11" ht="42" customHeight="1">
      <c r="A7167" s="2" t="s">
        <v>14243</v>
      </c>
      <c r="B7167" s="2" t="s">
        <v>14244</v>
      </c>
      <c r="C7167" s="2" t="s">
        <v>79</v>
      </c>
      <c r="D7167" s="2" t="s">
        <v>74</v>
      </c>
      <c r="E7167" s="5">
        <v>-28022</v>
      </c>
      <c r="F7167" s="3" t="s">
        <v>439</v>
      </c>
      <c r="G7167" s="3" t="s">
        <v>20</v>
      </c>
      <c r="H7167" s="2" t="s">
        <v>21</v>
      </c>
      <c r="I7167" s="2" t="s">
        <v>14245</v>
      </c>
      <c r="J7167" s="3" t="str">
        <f>HYPERLINK("https://www.boe.es/gazeta/dias/1823/04/11/pdfs/GMD-1823-106.pdf#page=4","Abrir facsímil")</f>
        <v>Abrir facsímil</v>
      </c>
      <c r="K7167" s="3" t="s">
        <v>23</v>
      </c>
    </row>
    <row r="7168" spans="1:11" ht="42" customHeight="1">
      <c r="A7168" s="2" t="s">
        <v>14246</v>
      </c>
      <c r="B7168" s="2" t="s">
        <v>14247</v>
      </c>
      <c r="C7168" s="2" t="s">
        <v>109</v>
      </c>
      <c r="D7168" s="2" t="s">
        <v>74</v>
      </c>
      <c r="E7168" s="5">
        <v>-28041</v>
      </c>
      <c r="F7168" s="3" t="s">
        <v>873</v>
      </c>
      <c r="G7168" s="3" t="s">
        <v>366</v>
      </c>
      <c r="H7168" s="2" t="s">
        <v>21</v>
      </c>
      <c r="I7168" s="2" t="s">
        <v>14248</v>
      </c>
      <c r="J7168" s="3" t="str">
        <f>HYPERLINK("https://www.boe.es/gazeta/dias/1823/03/23/pdfs/GMD-1823-86.pdf#page=4","Abrir facsímil")</f>
        <v>Abrir facsímil</v>
      </c>
      <c r="K7168" s="3" t="s">
        <v>23</v>
      </c>
    </row>
    <row r="7169" spans="1:11" ht="42" customHeight="1">
      <c r="A7169" s="2" t="s">
        <v>14249</v>
      </c>
      <c r="B7169" s="2" t="s">
        <v>14250</v>
      </c>
      <c r="C7169" s="2" t="s">
        <v>79</v>
      </c>
      <c r="D7169" s="2" t="s">
        <v>74</v>
      </c>
      <c r="E7169" s="5">
        <v>-28111</v>
      </c>
      <c r="F7169" s="3" t="s">
        <v>275</v>
      </c>
      <c r="G7169" s="3" t="s">
        <v>7417</v>
      </c>
      <c r="H7169" s="2" t="s">
        <v>21</v>
      </c>
      <c r="I7169" s="2" t="s">
        <v>14251</v>
      </c>
      <c r="J7169" s="3" t="str">
        <f>HYPERLINK("https://www.boe.es/gazeta/dias/1823/01/12/pdfs/GMD-1823-12.pdf#page=8","Abrir facsímil")</f>
        <v>Abrir facsímil</v>
      </c>
      <c r="K7169" s="3" t="s">
        <v>23</v>
      </c>
    </row>
    <row r="7170" spans="1:11" ht="42" customHeight="1">
      <c r="A7170" s="2" t="s">
        <v>14252</v>
      </c>
      <c r="B7170" s="2" t="s">
        <v>14252</v>
      </c>
      <c r="C7170" s="2" t="s">
        <v>17</v>
      </c>
      <c r="D7170" s="2" t="s">
        <v>18</v>
      </c>
      <c r="E7170" s="5">
        <v>-27980</v>
      </c>
      <c r="F7170" s="3" t="s">
        <v>1068</v>
      </c>
      <c r="G7170" s="3" t="s">
        <v>39</v>
      </c>
      <c r="H7170" s="2" t="s">
        <v>21</v>
      </c>
      <c r="I7170" s="2" t="s">
        <v>14253</v>
      </c>
      <c r="J7170" s="3" t="str">
        <f>HYPERLINK("https://www.boe.es/gazeta/dias/1823/05/23/pdfs/GES-1823-44.pdf#page=1","Abrir facsímil")</f>
        <v>Abrir facsímil</v>
      </c>
      <c r="K7170" s="3" t="s">
        <v>23</v>
      </c>
    </row>
    <row r="7171" spans="1:11" ht="42" customHeight="1">
      <c r="A7171" s="2" t="s">
        <v>14254</v>
      </c>
      <c r="B7171" s="2" t="s">
        <v>14254</v>
      </c>
      <c r="C7171" s="2" t="s">
        <v>17</v>
      </c>
      <c r="D7171" s="2" t="s">
        <v>18</v>
      </c>
      <c r="E7171" s="5">
        <v>-27890</v>
      </c>
      <c r="F7171" s="3" t="s">
        <v>1573</v>
      </c>
      <c r="G7171" s="3" t="s">
        <v>1574</v>
      </c>
      <c r="H7171" s="2" t="s">
        <v>21</v>
      </c>
      <c r="I7171" s="2" t="s">
        <v>14255</v>
      </c>
      <c r="J7171" s="3" t="str">
        <f>HYPERLINK("https://www.boe.es/gazeta/dias/1823/08/21/pdfs/GMD-1823-623.pdf#page=2","Abrir facsímil")</f>
        <v>Abrir facsímil</v>
      </c>
      <c r="K7171" s="3" t="s">
        <v>23</v>
      </c>
    </row>
    <row r="7172" spans="1:11" ht="42" customHeight="1">
      <c r="A7172" s="2" t="s">
        <v>14256</v>
      </c>
      <c r="B7172" s="2" t="s">
        <v>14256</v>
      </c>
      <c r="C7172" s="2" t="s">
        <v>17</v>
      </c>
      <c r="D7172" s="2" t="s">
        <v>18</v>
      </c>
      <c r="E7172" s="5">
        <v>-27948</v>
      </c>
      <c r="F7172" s="3" t="s">
        <v>959</v>
      </c>
      <c r="G7172" s="3" t="s">
        <v>48</v>
      </c>
      <c r="H7172" s="2" t="s">
        <v>21</v>
      </c>
      <c r="I7172" s="2" t="s">
        <v>14257</v>
      </c>
      <c r="J7172" s="3" t="str">
        <f>HYPERLINK("https://www.boe.es/gazeta/dias/1823/06/24/pdfs/GES-1823-72.pdf#page=3","Abrir facsímil")</f>
        <v>Abrir facsímil</v>
      </c>
      <c r="K7172" s="3" t="s">
        <v>23</v>
      </c>
    </row>
    <row r="7173" spans="1:11" ht="42" customHeight="1">
      <c r="A7173" s="2" t="s">
        <v>14258</v>
      </c>
      <c r="B7173" s="2" t="s">
        <v>14258</v>
      </c>
      <c r="C7173" s="2" t="s">
        <v>17</v>
      </c>
      <c r="D7173" s="2" t="s">
        <v>18</v>
      </c>
      <c r="E7173" s="5">
        <v>-28022</v>
      </c>
      <c r="F7173" s="3" t="s">
        <v>439</v>
      </c>
      <c r="G7173" s="3" t="s">
        <v>20</v>
      </c>
      <c r="H7173" s="2" t="s">
        <v>21</v>
      </c>
      <c r="I7173" s="2" t="s">
        <v>14259</v>
      </c>
      <c r="J7173" s="3" t="str">
        <f>HYPERLINK("https://www.boe.es/gazeta/dias/1823/04/11/pdfs/GMD-1823-106.pdf#page=4","Abrir facsímil")</f>
        <v>Abrir facsímil</v>
      </c>
      <c r="K7173" s="3" t="s">
        <v>23</v>
      </c>
    </row>
    <row r="7174" spans="1:11" ht="42" customHeight="1">
      <c r="A7174" s="2" t="s">
        <v>14260</v>
      </c>
      <c r="B7174" s="2" t="s">
        <v>14260</v>
      </c>
      <c r="C7174" s="2" t="s">
        <v>17</v>
      </c>
      <c r="D7174" s="2" t="s">
        <v>18</v>
      </c>
      <c r="E7174" s="5">
        <v>-28060</v>
      </c>
      <c r="F7174" s="3" t="s">
        <v>180</v>
      </c>
      <c r="G7174" s="3" t="s">
        <v>181</v>
      </c>
      <c r="H7174" s="2" t="s">
        <v>21</v>
      </c>
      <c r="I7174" s="2" t="s">
        <v>14261</v>
      </c>
      <c r="J7174" s="3" t="str">
        <f>HYPERLINK("https://www.boe.es/gazeta/dias/1823/03/04/pdfs/GMD-1823-67.pdf#page=6","Abrir facsímil")</f>
        <v>Abrir facsímil</v>
      </c>
      <c r="K7174" s="3" t="s">
        <v>23</v>
      </c>
    </row>
    <row r="7175" spans="1:11" ht="42" customHeight="1">
      <c r="A7175" s="2" t="s">
        <v>14262</v>
      </c>
      <c r="B7175" s="2" t="s">
        <v>14262</v>
      </c>
      <c r="C7175" s="2" t="s">
        <v>17</v>
      </c>
      <c r="D7175" s="2" t="s">
        <v>18</v>
      </c>
      <c r="E7175" s="5">
        <v>-28047</v>
      </c>
      <c r="F7175" s="3" t="s">
        <v>2269</v>
      </c>
      <c r="G7175" s="3" t="s">
        <v>27</v>
      </c>
      <c r="H7175" s="2" t="s">
        <v>21</v>
      </c>
      <c r="I7175" s="2" t="s">
        <v>14263</v>
      </c>
      <c r="J7175" s="3" t="str">
        <f>HYPERLINK("https://www.boe.es/gazeta/dias/1823/03/17/pdfs/GMD-1823-80.pdf#page=2","Abrir facsímil")</f>
        <v>Abrir facsímil</v>
      </c>
      <c r="K7175" s="3" t="s">
        <v>23</v>
      </c>
    </row>
    <row r="7176" spans="1:11" ht="42" customHeight="1">
      <c r="A7176" s="2" t="s">
        <v>14262</v>
      </c>
      <c r="B7176" s="2" t="s">
        <v>14262</v>
      </c>
      <c r="C7176" s="2" t="s">
        <v>17</v>
      </c>
      <c r="D7176" s="2" t="s">
        <v>18</v>
      </c>
      <c r="E7176" s="5">
        <v>-27982</v>
      </c>
      <c r="F7176" s="3" t="s">
        <v>340</v>
      </c>
      <c r="G7176" s="3" t="s">
        <v>59</v>
      </c>
      <c r="H7176" s="2" t="s">
        <v>21</v>
      </c>
      <c r="I7176" s="2" t="s">
        <v>14264</v>
      </c>
      <c r="J7176" s="3" t="str">
        <f>HYPERLINK("https://www.boe.es/gazeta/dias/1823/05/21/pdfs/GES-1823-42.pdf#page=6","Abrir facsímil")</f>
        <v>Abrir facsímil</v>
      </c>
      <c r="K7176" s="3" t="s">
        <v>23</v>
      </c>
    </row>
    <row r="7177" spans="1:11" ht="42" customHeight="1">
      <c r="A7177" s="2" t="s">
        <v>14262</v>
      </c>
      <c r="B7177" s="2" t="s">
        <v>14262</v>
      </c>
      <c r="C7177" s="2" t="s">
        <v>17</v>
      </c>
      <c r="D7177" s="2" t="s">
        <v>18</v>
      </c>
      <c r="E7177" s="5">
        <v>-27855</v>
      </c>
      <c r="F7177" s="3" t="s">
        <v>679</v>
      </c>
      <c r="G7177" s="3" t="s">
        <v>27</v>
      </c>
      <c r="H7177" s="2" t="s">
        <v>21</v>
      </c>
      <c r="I7177" s="2" t="s">
        <v>14265</v>
      </c>
      <c r="J7177" s="3" t="str">
        <f>HYPERLINK("https://www.boe.es/gazeta/dias/1823/09/25/pdfs/GES-1823-169.pdf#page=2","Abrir facsímil")</f>
        <v>Abrir facsímil</v>
      </c>
      <c r="K7177" s="3" t="s">
        <v>23</v>
      </c>
    </row>
    <row r="7178" spans="1:11" ht="42" customHeight="1">
      <c r="A7178" s="2" t="s">
        <v>14266</v>
      </c>
      <c r="B7178" s="2" t="s">
        <v>14267</v>
      </c>
      <c r="C7178" s="2" t="s">
        <v>17</v>
      </c>
      <c r="D7178" s="2" t="s">
        <v>18</v>
      </c>
      <c r="E7178" s="5">
        <v>-28082</v>
      </c>
      <c r="F7178" s="3" t="s">
        <v>468</v>
      </c>
      <c r="G7178" s="3" t="s">
        <v>34</v>
      </c>
      <c r="H7178" s="2" t="s">
        <v>21</v>
      </c>
      <c r="I7178" s="2" t="s">
        <v>14268</v>
      </c>
      <c r="J7178" s="3" t="str">
        <f>HYPERLINK("https://www.boe.es/gazeta/dias/1823/02/10/pdfs/GMD-1823-44.pdf#page=5","Abrir facsímil")</f>
        <v>Abrir facsímil</v>
      </c>
      <c r="K7178" s="3" t="s">
        <v>23</v>
      </c>
    </row>
    <row r="7179" spans="1:11" ht="42" customHeight="1">
      <c r="A7179" s="2" t="s">
        <v>14266</v>
      </c>
      <c r="B7179" s="2" t="s">
        <v>14267</v>
      </c>
      <c r="C7179" s="2" t="s">
        <v>17</v>
      </c>
      <c r="D7179" s="2" t="s">
        <v>18</v>
      </c>
      <c r="E7179" s="5">
        <v>-28068</v>
      </c>
      <c r="F7179" s="3" t="s">
        <v>1325</v>
      </c>
      <c r="G7179" s="3" t="s">
        <v>20</v>
      </c>
      <c r="H7179" s="2" t="s">
        <v>21</v>
      </c>
      <c r="I7179" s="2" t="s">
        <v>14269</v>
      </c>
      <c r="J7179" s="3" t="str">
        <f>HYPERLINK("https://www.boe.es/gazeta/dias/1823/02/24/pdfs/GMD-1823-58.pdf#page=4","Abrir facsímil")</f>
        <v>Abrir facsímil</v>
      </c>
      <c r="K7179" s="3" t="s">
        <v>23</v>
      </c>
    </row>
    <row r="7180" spans="1:11" ht="42" customHeight="1">
      <c r="A7180" s="2" t="s">
        <v>14266</v>
      </c>
      <c r="B7180" s="2" t="s">
        <v>14267</v>
      </c>
      <c r="C7180" s="2" t="s">
        <v>17</v>
      </c>
      <c r="D7180" s="2" t="s">
        <v>18</v>
      </c>
      <c r="E7180" s="5">
        <v>-28027</v>
      </c>
      <c r="F7180" s="3" t="s">
        <v>4234</v>
      </c>
      <c r="G7180" s="3" t="s">
        <v>27</v>
      </c>
      <c r="H7180" s="2" t="s">
        <v>21</v>
      </c>
      <c r="I7180" s="2" t="s">
        <v>14270</v>
      </c>
      <c r="J7180" s="3" t="str">
        <f>HYPERLINK("https://www.boe.es/gazeta/dias/1823/04/06/pdfs/GMD-1823-101.pdf#page=2","Abrir facsímil")</f>
        <v>Abrir facsímil</v>
      </c>
      <c r="K7180" s="3" t="s">
        <v>23</v>
      </c>
    </row>
    <row r="7181" spans="1:11" ht="42" customHeight="1">
      <c r="A7181" s="2" t="s">
        <v>14266</v>
      </c>
      <c r="B7181" s="2" t="s">
        <v>14267</v>
      </c>
      <c r="C7181" s="2" t="s">
        <v>17</v>
      </c>
      <c r="D7181" s="2" t="s">
        <v>18</v>
      </c>
      <c r="E7181" s="5">
        <v>-28009</v>
      </c>
      <c r="F7181" s="3" t="s">
        <v>307</v>
      </c>
      <c r="G7181" s="3" t="s">
        <v>59</v>
      </c>
      <c r="H7181" s="2" t="s">
        <v>21</v>
      </c>
      <c r="I7181" s="2" t="s">
        <v>14271</v>
      </c>
      <c r="J7181" s="3" t="str">
        <f>HYPERLINK("https://www.boe.es/gazeta/dias/1823/04/24/pdfs/GES-1823-14.pdf#page=6","Abrir facsímil")</f>
        <v>Abrir facsímil</v>
      </c>
      <c r="K7181" s="3" t="s">
        <v>23</v>
      </c>
    </row>
    <row r="7182" spans="1:11" ht="42" customHeight="1">
      <c r="A7182" s="2" t="s">
        <v>14266</v>
      </c>
      <c r="B7182" s="2" t="s">
        <v>14267</v>
      </c>
      <c r="C7182" s="2" t="s">
        <v>17</v>
      </c>
      <c r="D7182" s="2" t="s">
        <v>18</v>
      </c>
      <c r="E7182" s="5">
        <v>-28004</v>
      </c>
      <c r="F7182" s="3" t="s">
        <v>313</v>
      </c>
      <c r="G7182" s="3" t="s">
        <v>48</v>
      </c>
      <c r="H7182" s="2" t="s">
        <v>21</v>
      </c>
      <c r="I7182" s="2" t="s">
        <v>14272</v>
      </c>
      <c r="J7182" s="3" t="str">
        <f>HYPERLINK("https://www.boe.es/gazeta/dias/1823/04/29/pdfs/GMD-1823-72.pdf#page=3","Abrir facsímil")</f>
        <v>Abrir facsímil</v>
      </c>
      <c r="K7182" s="3" t="s">
        <v>23</v>
      </c>
    </row>
    <row r="7183" spans="1:11" ht="42" customHeight="1">
      <c r="A7183" s="2" t="s">
        <v>14273</v>
      </c>
      <c r="B7183" s="2" t="s">
        <v>14274</v>
      </c>
      <c r="C7183" s="2" t="s">
        <v>17</v>
      </c>
      <c r="D7183" s="2" t="s">
        <v>18</v>
      </c>
      <c r="E7183" s="5">
        <v>-28007</v>
      </c>
      <c r="F7183" s="3" t="s">
        <v>311</v>
      </c>
      <c r="G7183" s="3" t="s">
        <v>39</v>
      </c>
      <c r="H7183" s="2" t="s">
        <v>21</v>
      </c>
      <c r="I7183" s="2" t="s">
        <v>14275</v>
      </c>
      <c r="J7183" s="3" t="str">
        <f>HYPERLINK("https://www.boe.es/gazeta/dias/1823/04/26/pdfs/GES-1823-16.pdf#page=1","Abrir facsímil")</f>
        <v>Abrir facsímil</v>
      </c>
      <c r="K7183" s="3" t="s">
        <v>23</v>
      </c>
    </row>
    <row r="7184" spans="1:11" ht="42" customHeight="1">
      <c r="A7184" s="2" t="s">
        <v>14276</v>
      </c>
      <c r="B7184" s="2" t="s">
        <v>14276</v>
      </c>
      <c r="C7184" s="2" t="s">
        <v>17</v>
      </c>
      <c r="D7184" s="2" t="s">
        <v>18</v>
      </c>
      <c r="E7184" s="5">
        <v>-28040</v>
      </c>
      <c r="F7184" s="3" t="s">
        <v>2971</v>
      </c>
      <c r="G7184" s="3" t="s">
        <v>48</v>
      </c>
      <c r="H7184" s="2" t="s">
        <v>21</v>
      </c>
      <c r="I7184" s="2" t="s">
        <v>14277</v>
      </c>
      <c r="J7184" s="3" t="str">
        <f>HYPERLINK("https://www.boe.es/gazeta/dias/1823/03/24/pdfs/GMD-1823-87.pdf#page=3","Abrir facsímil")</f>
        <v>Abrir facsímil</v>
      </c>
      <c r="K7184" s="3" t="s">
        <v>23</v>
      </c>
    </row>
    <row r="7185" spans="1:11" ht="42" customHeight="1">
      <c r="A7185" s="2" t="s">
        <v>14278</v>
      </c>
      <c r="B7185" s="2" t="s">
        <v>14278</v>
      </c>
      <c r="C7185" s="2" t="s">
        <v>17</v>
      </c>
      <c r="D7185" s="2" t="s">
        <v>18</v>
      </c>
      <c r="E7185" s="5">
        <v>-27968</v>
      </c>
      <c r="F7185" s="3" t="s">
        <v>1160</v>
      </c>
      <c r="G7185" s="3" t="s">
        <v>34</v>
      </c>
      <c r="H7185" s="2" t="s">
        <v>21</v>
      </c>
      <c r="I7185" s="2" t="s">
        <v>14279</v>
      </c>
      <c r="J7185" s="3" t="str">
        <f>HYPERLINK("https://www.boe.es/gazeta/dias/1823/06/04/pdfs/GES-1823-58.pdf#page=5","Abrir facsímil")</f>
        <v>Abrir facsímil</v>
      </c>
      <c r="K7185" s="3" t="s">
        <v>23</v>
      </c>
    </row>
    <row r="7186" spans="1:11" ht="42" customHeight="1">
      <c r="A7186" s="2" t="s">
        <v>14280</v>
      </c>
      <c r="B7186" s="2" t="s">
        <v>14280</v>
      </c>
      <c r="C7186" s="2" t="s">
        <v>17</v>
      </c>
      <c r="D7186" s="2" t="s">
        <v>18</v>
      </c>
      <c r="E7186" s="5">
        <v>-27994</v>
      </c>
      <c r="F7186" s="3" t="s">
        <v>714</v>
      </c>
      <c r="G7186" s="3" t="s">
        <v>276</v>
      </c>
      <c r="H7186" s="2" t="s">
        <v>21</v>
      </c>
      <c r="I7186" s="2" t="s">
        <v>14281</v>
      </c>
      <c r="J7186" s="3" t="str">
        <f>HYPERLINK("https://www.boe.es/gazeta/dias/1823/05/09/pdfs/GES-1823-29.pdf#page=7","Abrir facsímil")</f>
        <v>Abrir facsímil</v>
      </c>
      <c r="K7186" s="3" t="s">
        <v>23</v>
      </c>
    </row>
    <row r="7187" spans="1:11" ht="42" customHeight="1">
      <c r="A7187" s="2" t="s">
        <v>14282</v>
      </c>
      <c r="B7187" s="2" t="s">
        <v>14282</v>
      </c>
      <c r="C7187" s="2" t="s">
        <v>73</v>
      </c>
      <c r="D7187" s="2" t="s">
        <v>74</v>
      </c>
      <c r="E7187" s="5">
        <v>-28032</v>
      </c>
      <c r="F7187" s="3" t="s">
        <v>668</v>
      </c>
      <c r="G7187" s="3" t="s">
        <v>48</v>
      </c>
      <c r="H7187" s="2" t="s">
        <v>21</v>
      </c>
      <c r="I7187" s="2" t="s">
        <v>14283</v>
      </c>
      <c r="J7187" s="3" t="str">
        <f>HYPERLINK("https://www.boe.es/gazeta/dias/1823/04/01/pdfs/GMD-1823-95.pdf#page=3","Abrir facsímil")</f>
        <v>Abrir facsímil</v>
      </c>
      <c r="K7187" s="3" t="s">
        <v>23</v>
      </c>
    </row>
    <row r="7188" spans="1:11" ht="42" customHeight="1">
      <c r="A7188" s="2" t="s">
        <v>14284</v>
      </c>
      <c r="B7188" s="2" t="s">
        <v>14284</v>
      </c>
      <c r="C7188" s="2" t="s">
        <v>17</v>
      </c>
      <c r="D7188" s="2" t="s">
        <v>18</v>
      </c>
      <c r="E7188" s="5">
        <v>-28068</v>
      </c>
      <c r="F7188" s="3" t="s">
        <v>1325</v>
      </c>
      <c r="G7188" s="3" t="s">
        <v>39</v>
      </c>
      <c r="H7188" s="2" t="s">
        <v>21</v>
      </c>
      <c r="I7188" s="2" t="s">
        <v>14285</v>
      </c>
      <c r="J7188" s="3" t="str">
        <f>HYPERLINK("https://www.boe.es/gazeta/dias/1823/02/24/pdfs/GMD-1823-58.pdf#page=1","Abrir facsímil")</f>
        <v>Abrir facsímil</v>
      </c>
      <c r="K7188" s="3" t="s">
        <v>23</v>
      </c>
    </row>
    <row r="7189" spans="1:11" ht="42" customHeight="1">
      <c r="A7189" s="2" t="s">
        <v>14286</v>
      </c>
      <c r="B7189" s="2" t="s">
        <v>14286</v>
      </c>
      <c r="C7189" s="2" t="s">
        <v>17</v>
      </c>
      <c r="D7189" s="2" t="s">
        <v>18</v>
      </c>
      <c r="E7189" s="5">
        <v>-28105</v>
      </c>
      <c r="F7189" s="3" t="s">
        <v>502</v>
      </c>
      <c r="G7189" s="3" t="s">
        <v>20</v>
      </c>
      <c r="H7189" s="2" t="s">
        <v>21</v>
      </c>
      <c r="I7189" s="2" t="s">
        <v>14287</v>
      </c>
      <c r="J7189" s="3" t="str">
        <f>HYPERLINK("https://www.boe.es/gazeta/dias/1823/01/18/pdfs/GMD-1823-18.pdf#page=4","Abrir facsímil")</f>
        <v>Abrir facsímil</v>
      </c>
      <c r="K7189" s="3" t="s">
        <v>23</v>
      </c>
    </row>
    <row r="7190" spans="1:11" ht="42" customHeight="1">
      <c r="A7190" s="2" t="s">
        <v>14286</v>
      </c>
      <c r="B7190" s="2" t="s">
        <v>14286</v>
      </c>
      <c r="C7190" s="2" t="s">
        <v>17</v>
      </c>
      <c r="D7190" s="2" t="s">
        <v>18</v>
      </c>
      <c r="E7190" s="5">
        <v>-28104</v>
      </c>
      <c r="F7190" s="3" t="s">
        <v>114</v>
      </c>
      <c r="G7190" s="3" t="s">
        <v>48</v>
      </c>
      <c r="H7190" s="2" t="s">
        <v>21</v>
      </c>
      <c r="I7190" s="2" t="s">
        <v>14288</v>
      </c>
      <c r="J7190" s="3" t="str">
        <f>HYPERLINK("https://www.boe.es/gazeta/dias/1823/01/19/pdfs/GMD-1823-19.pdf#page=3","Abrir facsímil")</f>
        <v>Abrir facsímil</v>
      </c>
      <c r="K7190" s="3" t="s">
        <v>23</v>
      </c>
    </row>
    <row r="7191" spans="1:11" ht="42" customHeight="1">
      <c r="A7191" s="2" t="s">
        <v>14286</v>
      </c>
      <c r="B7191" s="2" t="s">
        <v>14286</v>
      </c>
      <c r="C7191" s="2" t="s">
        <v>17</v>
      </c>
      <c r="D7191" s="2" t="s">
        <v>18</v>
      </c>
      <c r="E7191" s="5">
        <v>-28100</v>
      </c>
      <c r="F7191" s="3" t="s">
        <v>737</v>
      </c>
      <c r="G7191" s="3" t="s">
        <v>27</v>
      </c>
      <c r="H7191" s="2" t="s">
        <v>21</v>
      </c>
      <c r="I7191" s="2" t="s">
        <v>14289</v>
      </c>
      <c r="J7191" s="3" t="str">
        <f>HYPERLINK("https://www.boe.es/gazeta/dias/1823/01/23/pdfs/GMD-1823-24.pdf#page=2","Abrir facsímil")</f>
        <v>Abrir facsímil</v>
      </c>
      <c r="K7191" s="3" t="s">
        <v>23</v>
      </c>
    </row>
    <row r="7192" spans="1:11" ht="42" customHeight="1">
      <c r="A7192" s="2" t="s">
        <v>14290</v>
      </c>
      <c r="B7192" s="2" t="s">
        <v>14290</v>
      </c>
      <c r="C7192" s="2" t="s">
        <v>17</v>
      </c>
      <c r="D7192" s="2" t="s">
        <v>18</v>
      </c>
      <c r="E7192" s="5">
        <v>-28083</v>
      </c>
      <c r="F7192" s="3" t="s">
        <v>291</v>
      </c>
      <c r="G7192" s="3" t="s">
        <v>27</v>
      </c>
      <c r="H7192" s="2" t="s">
        <v>21</v>
      </c>
      <c r="I7192" s="2" t="s">
        <v>14291</v>
      </c>
      <c r="J7192" s="3" t="str">
        <f>HYPERLINK("https://www.boe.es/gazeta/dias/1823/02/09/pdfs/GMD-1823-43.pdf#page=2","Abrir facsímil")</f>
        <v>Abrir facsímil</v>
      </c>
      <c r="K7192" s="3" t="s">
        <v>23</v>
      </c>
    </row>
    <row r="7193" spans="1:11" ht="42" customHeight="1">
      <c r="A7193" s="2" t="s">
        <v>14286</v>
      </c>
      <c r="B7193" s="2" t="s">
        <v>14286</v>
      </c>
      <c r="C7193" s="2" t="s">
        <v>17</v>
      </c>
      <c r="D7193" s="2" t="s">
        <v>18</v>
      </c>
      <c r="E7193" s="5">
        <v>-28083</v>
      </c>
      <c r="F7193" s="3" t="s">
        <v>291</v>
      </c>
      <c r="G7193" s="3" t="s">
        <v>59</v>
      </c>
      <c r="H7193" s="2" t="s">
        <v>21</v>
      </c>
      <c r="I7193" s="2" t="s">
        <v>14292</v>
      </c>
      <c r="J7193" s="3" t="str">
        <f>HYPERLINK("https://www.boe.es/gazeta/dias/1823/02/09/pdfs/GMD-1823-43.pdf#page=6","Abrir facsímil")</f>
        <v>Abrir facsímil</v>
      </c>
      <c r="K7193" s="3" t="s">
        <v>23</v>
      </c>
    </row>
    <row r="7194" spans="1:11" ht="42" customHeight="1">
      <c r="A7194" s="2" t="s">
        <v>14286</v>
      </c>
      <c r="B7194" s="2" t="s">
        <v>14286</v>
      </c>
      <c r="C7194" s="2" t="s">
        <v>17</v>
      </c>
      <c r="D7194" s="2" t="s">
        <v>18</v>
      </c>
      <c r="E7194" s="5">
        <v>-28074</v>
      </c>
      <c r="F7194" s="3" t="s">
        <v>212</v>
      </c>
      <c r="G7194" s="3" t="s">
        <v>20</v>
      </c>
      <c r="H7194" s="2" t="s">
        <v>21</v>
      </c>
      <c r="I7194" s="2" t="s">
        <v>14293</v>
      </c>
      <c r="J7194" s="3" t="str">
        <f>HYPERLINK("https://www.boe.es/gazeta/dias/1823/02/18/pdfs/GMD-1823-52.pdf#page=4","Abrir facsímil")</f>
        <v>Abrir facsímil</v>
      </c>
      <c r="K7194" s="3" t="s">
        <v>23</v>
      </c>
    </row>
    <row r="7195" spans="1:11" ht="42" customHeight="1">
      <c r="A7195" s="2" t="s">
        <v>14286</v>
      </c>
      <c r="B7195" s="2" t="s">
        <v>14286</v>
      </c>
      <c r="C7195" s="2" t="s">
        <v>17</v>
      </c>
      <c r="D7195" s="2" t="s">
        <v>18</v>
      </c>
      <c r="E7195" s="5">
        <v>-28041</v>
      </c>
      <c r="F7195" s="3" t="s">
        <v>873</v>
      </c>
      <c r="G7195" s="3" t="s">
        <v>48</v>
      </c>
      <c r="H7195" s="2" t="s">
        <v>21</v>
      </c>
      <c r="I7195" s="2" t="s">
        <v>14294</v>
      </c>
      <c r="J7195" s="3" t="str">
        <f>HYPERLINK("https://www.boe.es/gazeta/dias/1823/03/23/pdfs/GMD-1823-86.pdf#page=3","Abrir facsímil")</f>
        <v>Abrir facsímil</v>
      </c>
      <c r="K7195" s="3" t="s">
        <v>23</v>
      </c>
    </row>
    <row r="7196" spans="1:11" ht="42" customHeight="1">
      <c r="A7196" s="2" t="s">
        <v>14286</v>
      </c>
      <c r="B7196" s="2" t="s">
        <v>14286</v>
      </c>
      <c r="C7196" s="2" t="s">
        <v>17</v>
      </c>
      <c r="D7196" s="2" t="s">
        <v>18</v>
      </c>
      <c r="E7196" s="5">
        <v>-28026</v>
      </c>
      <c r="F7196" s="3" t="s">
        <v>937</v>
      </c>
      <c r="G7196" s="3" t="s">
        <v>5928</v>
      </c>
      <c r="H7196" s="2" t="s">
        <v>21</v>
      </c>
      <c r="I7196" s="2" t="s">
        <v>14295</v>
      </c>
      <c r="J7196" s="3" t="str">
        <f>HYPERLINK("https://www.boe.es/gazeta/dias/1823/04/07/pdfs/GMD-1823-102.pdf#page=2","Abrir facsímil")</f>
        <v>Abrir facsímil</v>
      </c>
      <c r="K7196" s="3" t="s">
        <v>23</v>
      </c>
    </row>
    <row r="7197" spans="1:11" ht="42" customHeight="1">
      <c r="A7197" s="2" t="s">
        <v>14286</v>
      </c>
      <c r="B7197" s="2" t="s">
        <v>14286</v>
      </c>
      <c r="C7197" s="2" t="s">
        <v>17</v>
      </c>
      <c r="D7197" s="2" t="s">
        <v>18</v>
      </c>
      <c r="E7197" s="5">
        <v>-28022</v>
      </c>
      <c r="F7197" s="3" t="s">
        <v>439</v>
      </c>
      <c r="G7197" s="3" t="s">
        <v>20</v>
      </c>
      <c r="H7197" s="2" t="s">
        <v>21</v>
      </c>
      <c r="I7197" s="2" t="s">
        <v>14296</v>
      </c>
      <c r="J7197" s="3" t="str">
        <f>HYPERLINK("https://www.boe.es/gazeta/dias/1823/04/11/pdfs/GMD-1823-106.pdf#page=4","Abrir facsímil")</f>
        <v>Abrir facsímil</v>
      </c>
      <c r="K7197" s="3" t="s">
        <v>23</v>
      </c>
    </row>
    <row r="7198" spans="1:11" ht="42" customHeight="1">
      <c r="A7198" s="2" t="s">
        <v>14286</v>
      </c>
      <c r="B7198" s="2" t="s">
        <v>14286</v>
      </c>
      <c r="C7198" s="2" t="s">
        <v>17</v>
      </c>
      <c r="D7198" s="2" t="s">
        <v>18</v>
      </c>
      <c r="E7198" s="5">
        <v>-28008</v>
      </c>
      <c r="F7198" s="3" t="s">
        <v>309</v>
      </c>
      <c r="G7198" s="3" t="s">
        <v>20</v>
      </c>
      <c r="H7198" s="2" t="s">
        <v>21</v>
      </c>
      <c r="I7198" s="2" t="s">
        <v>14297</v>
      </c>
      <c r="J7198" s="3" t="str">
        <f>HYPERLINK("https://www.boe.es/gazeta/dias/1823/04/25/pdfs/GES-1823-15.pdf#page=4","Abrir facsímil")</f>
        <v>Abrir facsímil</v>
      </c>
      <c r="K7198" s="3" t="s">
        <v>23</v>
      </c>
    </row>
    <row r="7199" spans="1:11" ht="42" customHeight="1">
      <c r="A7199" s="2" t="s">
        <v>14286</v>
      </c>
      <c r="B7199" s="2" t="s">
        <v>14286</v>
      </c>
      <c r="C7199" s="2" t="s">
        <v>17</v>
      </c>
      <c r="D7199" s="2" t="s">
        <v>18</v>
      </c>
      <c r="E7199" s="5">
        <v>-28007</v>
      </c>
      <c r="F7199" s="3" t="s">
        <v>1190</v>
      </c>
      <c r="G7199" s="3" t="s">
        <v>20</v>
      </c>
      <c r="H7199" s="2" t="s">
        <v>21</v>
      </c>
      <c r="I7199" s="2" t="s">
        <v>14298</v>
      </c>
      <c r="J7199" s="3" t="str">
        <f>HYPERLINK("https://www.boe.es/gazeta/dias/1823/04/26/pdfs/GMD-1823-62.pdf#page=4","Abrir facsímil")</f>
        <v>Abrir facsímil</v>
      </c>
      <c r="K7199" s="3" t="s">
        <v>23</v>
      </c>
    </row>
    <row r="7200" spans="1:11" ht="42" customHeight="1">
      <c r="A7200" s="2" t="s">
        <v>14286</v>
      </c>
      <c r="B7200" s="2" t="s">
        <v>14286</v>
      </c>
      <c r="C7200" s="2" t="s">
        <v>17</v>
      </c>
      <c r="D7200" s="2" t="s">
        <v>18</v>
      </c>
      <c r="E7200" s="5">
        <v>-28006</v>
      </c>
      <c r="F7200" s="3" t="s">
        <v>183</v>
      </c>
      <c r="G7200" s="3" t="s">
        <v>27</v>
      </c>
      <c r="H7200" s="2" t="s">
        <v>21</v>
      </c>
      <c r="I7200" s="2" t="s">
        <v>14299</v>
      </c>
      <c r="J7200" s="3" t="str">
        <f>HYPERLINK("https://www.boe.es/gazeta/dias/1823/04/27/pdfs/GES-1823-17.pdf#page=2","Abrir facsímil")</f>
        <v>Abrir facsímil</v>
      </c>
      <c r="K7200" s="3" t="s">
        <v>23</v>
      </c>
    </row>
    <row r="7201" spans="1:11" ht="42" customHeight="1">
      <c r="A7201" s="2" t="s">
        <v>14286</v>
      </c>
      <c r="B7201" s="2" t="s">
        <v>14286</v>
      </c>
      <c r="C7201" s="2" t="s">
        <v>17</v>
      </c>
      <c r="D7201" s="2" t="s">
        <v>18</v>
      </c>
      <c r="E7201" s="5">
        <v>-28001</v>
      </c>
      <c r="F7201" s="3" t="s">
        <v>768</v>
      </c>
      <c r="G7201" s="3" t="s">
        <v>4465</v>
      </c>
      <c r="H7201" s="2" t="s">
        <v>21</v>
      </c>
      <c r="I7201" s="2" t="s">
        <v>14300</v>
      </c>
      <c r="J7201" s="3" t="str">
        <f>HYPERLINK("https://www.boe.es/gazeta/dias/1823/05/02/pdfs/GES-1823-22.pdf#page=4","Abrir facsímil")</f>
        <v>Abrir facsímil</v>
      </c>
      <c r="K7201" s="3" t="s">
        <v>23</v>
      </c>
    </row>
    <row r="7202" spans="1:11" ht="42" customHeight="1">
      <c r="A7202" s="2" t="s">
        <v>14286</v>
      </c>
      <c r="B7202" s="2" t="s">
        <v>14286</v>
      </c>
      <c r="C7202" s="2" t="s">
        <v>17</v>
      </c>
      <c r="D7202" s="2" t="s">
        <v>18</v>
      </c>
      <c r="E7202" s="5">
        <v>-28001</v>
      </c>
      <c r="F7202" s="3" t="s">
        <v>768</v>
      </c>
      <c r="G7202" s="3" t="s">
        <v>34</v>
      </c>
      <c r="H7202" s="2" t="s">
        <v>21</v>
      </c>
      <c r="I7202" s="2" t="s">
        <v>14301</v>
      </c>
      <c r="J7202" s="3" t="str">
        <f>HYPERLINK("https://www.boe.es/gazeta/dias/1823/05/02/pdfs/GES-1823-22.pdf#page=5","Abrir facsímil")</f>
        <v>Abrir facsímil</v>
      </c>
      <c r="K7202" s="3" t="s">
        <v>23</v>
      </c>
    </row>
    <row r="7203" spans="1:11" ht="42" customHeight="1">
      <c r="A7203" s="2" t="s">
        <v>14286</v>
      </c>
      <c r="B7203" s="2" t="s">
        <v>14286</v>
      </c>
      <c r="C7203" s="2" t="s">
        <v>17</v>
      </c>
      <c r="D7203" s="2" t="s">
        <v>18</v>
      </c>
      <c r="E7203" s="5">
        <v>-27989</v>
      </c>
      <c r="F7203" s="3" t="s">
        <v>1134</v>
      </c>
      <c r="G7203" s="3" t="s">
        <v>39</v>
      </c>
      <c r="H7203" s="2" t="s">
        <v>21</v>
      </c>
      <c r="I7203" s="2" t="s">
        <v>14302</v>
      </c>
      <c r="J7203" s="3" t="str">
        <f>HYPERLINK("https://www.boe.es/gazeta/dias/1823/05/14/pdfs/GES-1823-34.pdf#page=1","Abrir facsímil")</f>
        <v>Abrir facsímil</v>
      </c>
      <c r="K7203" s="3" t="s">
        <v>23</v>
      </c>
    </row>
    <row r="7204" spans="1:11" ht="42" customHeight="1">
      <c r="A7204" s="2" t="s">
        <v>14286</v>
      </c>
      <c r="B7204" s="2" t="s">
        <v>14286</v>
      </c>
      <c r="C7204" s="2" t="s">
        <v>17</v>
      </c>
      <c r="D7204" s="2" t="s">
        <v>18</v>
      </c>
      <c r="E7204" s="5">
        <v>-27985</v>
      </c>
      <c r="F7204" s="3" t="s">
        <v>951</v>
      </c>
      <c r="G7204" s="3" t="s">
        <v>59</v>
      </c>
      <c r="H7204" s="2" t="s">
        <v>21</v>
      </c>
      <c r="I7204" s="2" t="s">
        <v>14303</v>
      </c>
      <c r="J7204" s="3" t="str">
        <f>HYPERLINK("https://www.boe.es/gazeta/dias/1823/05/18/pdfs/GES-1823-38.pdf#page=6","Abrir facsímil")</f>
        <v>Abrir facsímil</v>
      </c>
      <c r="K7204" s="3" t="s">
        <v>23</v>
      </c>
    </row>
    <row r="7205" spans="1:11" ht="42" customHeight="1">
      <c r="A7205" s="2" t="s">
        <v>14286</v>
      </c>
      <c r="B7205" s="2" t="s">
        <v>14286</v>
      </c>
      <c r="C7205" s="2" t="s">
        <v>17</v>
      </c>
      <c r="D7205" s="2" t="s">
        <v>18</v>
      </c>
      <c r="E7205" s="5">
        <v>-27984</v>
      </c>
      <c r="F7205" s="3" t="s">
        <v>335</v>
      </c>
      <c r="G7205" s="3" t="s">
        <v>59</v>
      </c>
      <c r="H7205" s="2" t="s">
        <v>21</v>
      </c>
      <c r="I7205" s="2" t="s">
        <v>14304</v>
      </c>
      <c r="J7205" s="3" t="str">
        <f>HYPERLINK("https://www.boe.es/gazeta/dias/1823/05/19/pdfs/GES-1823-39.pdf#page=6","Abrir facsímil")</f>
        <v>Abrir facsímil</v>
      </c>
      <c r="K7205" s="3" t="s">
        <v>23</v>
      </c>
    </row>
    <row r="7206" spans="1:11" ht="42" customHeight="1">
      <c r="A7206" s="2" t="s">
        <v>14286</v>
      </c>
      <c r="B7206" s="2" t="s">
        <v>14286</v>
      </c>
      <c r="C7206" s="2" t="s">
        <v>17</v>
      </c>
      <c r="D7206" s="2" t="s">
        <v>18</v>
      </c>
      <c r="E7206" s="5">
        <v>-27967</v>
      </c>
      <c r="F7206" s="3" t="s">
        <v>2493</v>
      </c>
      <c r="G7206" s="3" t="s">
        <v>1966</v>
      </c>
      <c r="H7206" s="2" t="s">
        <v>21</v>
      </c>
      <c r="I7206" s="2" t="s">
        <v>14305</v>
      </c>
      <c r="J7206" s="3" t="str">
        <f>HYPERLINK("https://www.boe.es/gazeta/dias/1823/06/05/pdfs/GMD-1823-63.pdf#page=2","Abrir facsímil")</f>
        <v>Abrir facsímil</v>
      </c>
      <c r="K7206" s="3" t="s">
        <v>23</v>
      </c>
    </row>
    <row r="7207" spans="1:11" ht="42" customHeight="1">
      <c r="A7207" s="2" t="s">
        <v>14286</v>
      </c>
      <c r="B7207" s="2" t="s">
        <v>14286</v>
      </c>
      <c r="C7207" s="2" t="s">
        <v>17</v>
      </c>
      <c r="D7207" s="2" t="s">
        <v>18</v>
      </c>
      <c r="E7207" s="5">
        <v>-27949</v>
      </c>
      <c r="F7207" s="3" t="s">
        <v>1162</v>
      </c>
      <c r="G7207" s="3" t="s">
        <v>39</v>
      </c>
      <c r="H7207" s="2" t="s">
        <v>21</v>
      </c>
      <c r="I7207" s="2" t="s">
        <v>14306</v>
      </c>
      <c r="J7207" s="3" t="str">
        <f>HYPERLINK("https://www.boe.es/gazeta/dias/1823/06/23/pdfs/GES-1823-71.pdf#page=1","Abrir facsímil")</f>
        <v>Abrir facsímil</v>
      </c>
      <c r="K7207" s="3" t="s">
        <v>23</v>
      </c>
    </row>
    <row r="7208" spans="1:11" ht="42" customHeight="1">
      <c r="A7208" s="2" t="s">
        <v>14286</v>
      </c>
      <c r="B7208" s="2" t="s">
        <v>14286</v>
      </c>
      <c r="C7208" s="2" t="s">
        <v>17</v>
      </c>
      <c r="D7208" s="2" t="s">
        <v>18</v>
      </c>
      <c r="E7208" s="5">
        <v>-27946</v>
      </c>
      <c r="F7208" s="3" t="s">
        <v>2146</v>
      </c>
      <c r="G7208" s="3" t="s">
        <v>20</v>
      </c>
      <c r="H7208" s="2" t="s">
        <v>21</v>
      </c>
      <c r="I7208" s="2" t="s">
        <v>14307</v>
      </c>
      <c r="J7208" s="3" t="str">
        <f>HYPERLINK("https://www.boe.es/gazeta/dias/1823/06/26/pdfs/GES-1823-76.pdf#page=4","Abrir facsímil")</f>
        <v>Abrir facsímil</v>
      </c>
      <c r="K7208" s="3" t="s">
        <v>23</v>
      </c>
    </row>
    <row r="7209" spans="1:11" ht="42" customHeight="1">
      <c r="A7209" s="2" t="s">
        <v>14286</v>
      </c>
      <c r="B7209" s="2" t="s">
        <v>14286</v>
      </c>
      <c r="C7209" s="2" t="s">
        <v>17</v>
      </c>
      <c r="D7209" s="2" t="s">
        <v>18</v>
      </c>
      <c r="E7209" s="5">
        <v>-27923</v>
      </c>
      <c r="F7209" s="3" t="s">
        <v>1225</v>
      </c>
      <c r="G7209" s="3" t="s">
        <v>59</v>
      </c>
      <c r="H7209" s="2" t="s">
        <v>21</v>
      </c>
      <c r="I7209" s="2" t="s">
        <v>14308</v>
      </c>
      <c r="J7209" s="3" t="str">
        <f>HYPERLINK("https://www.boe.es/gazeta/dias/1823/07/19/pdfs/GMD-1823-433.pdf#page=6","Abrir facsímil")</f>
        <v>Abrir facsímil</v>
      </c>
      <c r="K7209" s="3" t="s">
        <v>23</v>
      </c>
    </row>
    <row r="7210" spans="1:11" ht="42" customHeight="1">
      <c r="A7210" s="2" t="s">
        <v>14286</v>
      </c>
      <c r="B7210" s="2" t="s">
        <v>14286</v>
      </c>
      <c r="C7210" s="2" t="s">
        <v>17</v>
      </c>
      <c r="D7210" s="2" t="s">
        <v>18</v>
      </c>
      <c r="E7210" s="5">
        <v>-27920</v>
      </c>
      <c r="F7210" s="3" t="s">
        <v>1334</v>
      </c>
      <c r="G7210" s="3" t="s">
        <v>48</v>
      </c>
      <c r="H7210" s="2" t="s">
        <v>21</v>
      </c>
      <c r="I7210" s="2" t="s">
        <v>14309</v>
      </c>
      <c r="J7210" s="3" t="str">
        <f>HYPERLINK("https://www.boe.es/gazeta/dias/1823/07/22/pdfs/GMD-1823-443.pdf#page=3","Abrir facsímil")</f>
        <v>Abrir facsímil</v>
      </c>
      <c r="K7210" s="3" t="s">
        <v>23</v>
      </c>
    </row>
    <row r="7211" spans="1:11" ht="42" customHeight="1">
      <c r="A7211" s="2" t="s">
        <v>14286</v>
      </c>
      <c r="B7211" s="2" t="s">
        <v>14286</v>
      </c>
      <c r="C7211" s="2" t="s">
        <v>17</v>
      </c>
      <c r="D7211" s="2" t="s">
        <v>18</v>
      </c>
      <c r="E7211" s="5">
        <v>-27912</v>
      </c>
      <c r="F7211" s="3" t="s">
        <v>365</v>
      </c>
      <c r="G7211" s="3" t="s">
        <v>39</v>
      </c>
      <c r="H7211" s="2" t="s">
        <v>21</v>
      </c>
      <c r="I7211" s="2" t="s">
        <v>14310</v>
      </c>
      <c r="J7211" s="3" t="str">
        <f>HYPERLINK("https://www.boe.es/gazeta/dias/1823/07/30/pdfs/GES-1823-111.pdf#page=1","Abrir facsímil")</f>
        <v>Abrir facsímil</v>
      </c>
      <c r="K7211" s="3" t="s">
        <v>23</v>
      </c>
    </row>
    <row r="7212" spans="1:11" ht="42" customHeight="1">
      <c r="A7212" s="2" t="s">
        <v>14286</v>
      </c>
      <c r="B7212" s="2" t="s">
        <v>14286</v>
      </c>
      <c r="C7212" s="2" t="s">
        <v>17</v>
      </c>
      <c r="D7212" s="2" t="s">
        <v>18</v>
      </c>
      <c r="E7212" s="5">
        <v>-27901</v>
      </c>
      <c r="F7212" s="3" t="s">
        <v>840</v>
      </c>
      <c r="G7212" s="3" t="s">
        <v>27</v>
      </c>
      <c r="H7212" s="2" t="s">
        <v>21</v>
      </c>
      <c r="I7212" s="2" t="s">
        <v>14311</v>
      </c>
      <c r="J7212" s="3" t="str">
        <f>HYPERLINK("https://www.boe.es/gazeta/dias/1823/08/10/pdfs/GES-1823-123.pdf#page=2","Abrir facsímil")</f>
        <v>Abrir facsímil</v>
      </c>
      <c r="K7212" s="3" t="s">
        <v>23</v>
      </c>
    </row>
    <row r="7213" spans="1:11" ht="42" customHeight="1">
      <c r="A7213" s="2" t="s">
        <v>14312</v>
      </c>
      <c r="B7213" s="2" t="s">
        <v>14313</v>
      </c>
      <c r="C7213" s="2" t="s">
        <v>17</v>
      </c>
      <c r="D7213" s="2" t="s">
        <v>18</v>
      </c>
      <c r="E7213" s="5">
        <v>-28100</v>
      </c>
      <c r="F7213" s="3" t="s">
        <v>737</v>
      </c>
      <c r="G7213" s="3" t="s">
        <v>27</v>
      </c>
      <c r="H7213" s="2" t="s">
        <v>28</v>
      </c>
      <c r="I7213" s="2" t="s">
        <v>14314</v>
      </c>
      <c r="J7213" s="3" t="str">
        <f>HYPERLINK("https://www.boe.es/gazeta/dias/1823/01/23/pdfs/GMD-1823-24.pdf#page=2","Abrir facsímil")</f>
        <v>Abrir facsímil</v>
      </c>
      <c r="K7213" s="3" t="s">
        <v>30</v>
      </c>
    </row>
    <row r="7214" spans="1:11" ht="42" customHeight="1">
      <c r="A7214" s="2" t="s">
        <v>14312</v>
      </c>
      <c r="B7214" s="2" t="s">
        <v>14313</v>
      </c>
      <c r="C7214" s="2" t="s">
        <v>17</v>
      </c>
      <c r="D7214" s="2" t="s">
        <v>18</v>
      </c>
      <c r="E7214" s="5">
        <v>-28086</v>
      </c>
      <c r="F7214" s="3" t="s">
        <v>289</v>
      </c>
      <c r="G7214" s="3" t="s">
        <v>20</v>
      </c>
      <c r="H7214" s="2" t="s">
        <v>28</v>
      </c>
      <c r="I7214" s="2" t="s">
        <v>14315</v>
      </c>
      <c r="J7214" s="3" t="str">
        <f>HYPERLINK("https://www.boe.es/gazeta/dias/1823/02/06/pdfs/GMD-1823-39.pdf#page=4","Abrir facsímil")</f>
        <v>Abrir facsímil</v>
      </c>
      <c r="K7214" s="3" t="s">
        <v>30</v>
      </c>
    </row>
    <row r="7215" spans="1:11" ht="42" customHeight="1">
      <c r="A7215" s="2" t="s">
        <v>14312</v>
      </c>
      <c r="B7215" s="2" t="s">
        <v>14313</v>
      </c>
      <c r="C7215" s="2" t="s">
        <v>17</v>
      </c>
      <c r="D7215" s="2" t="s">
        <v>18</v>
      </c>
      <c r="E7215" s="5">
        <v>-28072</v>
      </c>
      <c r="F7215" s="3" t="s">
        <v>4439</v>
      </c>
      <c r="G7215" s="3" t="s">
        <v>20</v>
      </c>
      <c r="H7215" s="2" t="s">
        <v>28</v>
      </c>
      <c r="I7215" s="2" t="s">
        <v>14316</v>
      </c>
      <c r="J7215" s="3" t="str">
        <f>HYPERLINK("https://www.boe.es/gazeta/dias/1823/02/20/pdfs/GMD-1823-54.pdf#page=4","Abrir facsímil")</f>
        <v>Abrir facsímil</v>
      </c>
      <c r="K7215" s="3" t="s">
        <v>30</v>
      </c>
    </row>
    <row r="7216" spans="1:11" ht="42" customHeight="1">
      <c r="A7216" s="2" t="s">
        <v>14312</v>
      </c>
      <c r="B7216" s="2" t="s">
        <v>14313</v>
      </c>
      <c r="C7216" s="2" t="s">
        <v>17</v>
      </c>
      <c r="D7216" s="2" t="s">
        <v>18</v>
      </c>
      <c r="E7216" s="5">
        <v>-28040</v>
      </c>
      <c r="F7216" s="3" t="s">
        <v>2971</v>
      </c>
      <c r="G7216" s="3" t="s">
        <v>8045</v>
      </c>
      <c r="H7216" s="2" t="s">
        <v>28</v>
      </c>
      <c r="I7216" s="2" t="s">
        <v>14317</v>
      </c>
      <c r="J7216" s="3" t="str">
        <f>HYPERLINK("https://www.boe.es/gazeta/dias/1823/03/24/pdfs/GMD-1823-87.pdf#page=2","Abrir facsímil")</f>
        <v>Abrir facsímil</v>
      </c>
      <c r="K7216" s="3" t="s">
        <v>30</v>
      </c>
    </row>
    <row r="7217" spans="1:11" ht="42" customHeight="1">
      <c r="A7217" s="2" t="s">
        <v>14312</v>
      </c>
      <c r="B7217" s="2" t="s">
        <v>14313</v>
      </c>
      <c r="C7217" s="2" t="s">
        <v>17</v>
      </c>
      <c r="D7217" s="2" t="s">
        <v>18</v>
      </c>
      <c r="E7217" s="5">
        <v>-27909</v>
      </c>
      <c r="F7217" s="3" t="s">
        <v>1525</v>
      </c>
      <c r="G7217" s="3" t="s">
        <v>20</v>
      </c>
      <c r="H7217" s="2" t="s">
        <v>28</v>
      </c>
      <c r="I7217" s="2" t="s">
        <v>14318</v>
      </c>
      <c r="J7217" s="3" t="str">
        <f>HYPERLINK("https://www.boe.es/gazeta/dias/1823/08/02/pdfs/GMD-1823-513.pdf#page=4","Abrir facsímil")</f>
        <v>Abrir facsímil</v>
      </c>
      <c r="K7217" s="3" t="s">
        <v>30</v>
      </c>
    </row>
    <row r="7218" spans="1:11" ht="42" customHeight="1">
      <c r="A7218" s="2" t="s">
        <v>14319</v>
      </c>
      <c r="B7218" s="2" t="s">
        <v>14320</v>
      </c>
      <c r="C7218" s="2" t="s">
        <v>17</v>
      </c>
      <c r="D7218" s="2" t="s">
        <v>18</v>
      </c>
      <c r="E7218" s="5">
        <v>-28048</v>
      </c>
      <c r="F7218" s="3" t="s">
        <v>399</v>
      </c>
      <c r="G7218" s="3" t="s">
        <v>48</v>
      </c>
      <c r="H7218" s="2" t="s">
        <v>21</v>
      </c>
      <c r="I7218" s="2" t="s">
        <v>14321</v>
      </c>
      <c r="J7218" s="3" t="str">
        <f>HYPERLINK("https://www.boe.es/gazeta/dias/1823/03/16/pdfs/GMD-1823-79.pdf#page=3","Abrir facsímil")</f>
        <v>Abrir facsímil</v>
      </c>
      <c r="K7218" s="3" t="s">
        <v>23</v>
      </c>
    </row>
    <row r="7219" spans="1:11" ht="42" customHeight="1">
      <c r="A7219" s="2" t="s">
        <v>14322</v>
      </c>
      <c r="B7219" s="2" t="s">
        <v>14323</v>
      </c>
      <c r="C7219" s="2" t="s">
        <v>17</v>
      </c>
      <c r="D7219" s="2" t="s">
        <v>18</v>
      </c>
      <c r="E7219" s="5">
        <v>-28000</v>
      </c>
      <c r="F7219" s="3" t="s">
        <v>1118</v>
      </c>
      <c r="G7219" s="3" t="s">
        <v>34</v>
      </c>
      <c r="H7219" s="2" t="s">
        <v>21</v>
      </c>
      <c r="I7219" s="2" t="s">
        <v>14324</v>
      </c>
      <c r="J7219" s="3" t="str">
        <f>HYPERLINK("https://www.boe.es/gazeta/dias/1823/05/03/pdfs/GES-1823-23.pdf#page=5","Abrir facsímil")</f>
        <v>Abrir facsímil</v>
      </c>
      <c r="K7219" s="3" t="s">
        <v>23</v>
      </c>
    </row>
    <row r="7220" spans="1:11" ht="42" customHeight="1">
      <c r="A7220" s="2" t="s">
        <v>14325</v>
      </c>
      <c r="B7220" s="2" t="s">
        <v>14326</v>
      </c>
      <c r="C7220" s="2" t="s">
        <v>17</v>
      </c>
      <c r="D7220" s="2" t="s">
        <v>18</v>
      </c>
      <c r="E7220" s="5">
        <v>-27996</v>
      </c>
      <c r="F7220" s="3" t="s">
        <v>695</v>
      </c>
      <c r="G7220" s="3" t="s">
        <v>20</v>
      </c>
      <c r="H7220" s="2" t="s">
        <v>21</v>
      </c>
      <c r="I7220" s="2" t="s">
        <v>14327</v>
      </c>
      <c r="J7220" s="3" t="str">
        <f>HYPERLINK("https://www.boe.es/gazeta/dias/1823/05/07/pdfs/GES-1823-27.pdf#page=4","Abrir facsímil")</f>
        <v>Abrir facsímil</v>
      </c>
      <c r="K7220" s="3" t="s">
        <v>23</v>
      </c>
    </row>
    <row r="7221" spans="1:11" ht="42" customHeight="1">
      <c r="A7221" s="2" t="s">
        <v>14328</v>
      </c>
      <c r="B7221" s="2" t="s">
        <v>14328</v>
      </c>
      <c r="C7221" s="2" t="s">
        <v>17</v>
      </c>
      <c r="D7221" s="2" t="s">
        <v>117</v>
      </c>
      <c r="E7221" s="5">
        <v>-27857</v>
      </c>
      <c r="F7221" s="3" t="s">
        <v>118</v>
      </c>
      <c r="G7221" s="3" t="s">
        <v>39</v>
      </c>
      <c r="H7221" s="2" t="s">
        <v>21</v>
      </c>
      <c r="I7221" s="2" t="s">
        <v>14329</v>
      </c>
      <c r="J7221" s="3" t="str">
        <f>HYPERLINK("https://www.boe.es/gazeta/dias/1823/09/23/pdfs/GMD-1823-843E.pdf#page=1","Abrir facsímil")</f>
        <v>Abrir facsímil</v>
      </c>
      <c r="K7221" s="3" t="s">
        <v>23</v>
      </c>
    </row>
    <row r="7222" spans="1:11" ht="42" customHeight="1">
      <c r="A7222" s="2" t="s">
        <v>14328</v>
      </c>
      <c r="B7222" s="2" t="s">
        <v>14328</v>
      </c>
      <c r="C7222" s="2" t="s">
        <v>17</v>
      </c>
      <c r="D7222" s="2" t="s">
        <v>18</v>
      </c>
      <c r="E7222" s="5">
        <v>-27846</v>
      </c>
      <c r="F7222" s="3" t="s">
        <v>2535</v>
      </c>
      <c r="G7222" s="3" t="s">
        <v>39</v>
      </c>
      <c r="H7222" s="2" t="s">
        <v>21</v>
      </c>
      <c r="I7222" s="2" t="s">
        <v>14330</v>
      </c>
      <c r="J7222" s="3" t="str">
        <f>HYPERLINK("https://www.boe.es/gazeta/dias/1823/10/04/pdfs/GMD-1823-913.pdf#page=1","Abrir facsímil")</f>
        <v>Abrir facsímil</v>
      </c>
      <c r="K7222" s="3" t="s">
        <v>23</v>
      </c>
    </row>
    <row r="7223" spans="1:11" ht="42" customHeight="1">
      <c r="A7223" s="2" t="s">
        <v>14331</v>
      </c>
      <c r="B7223" s="2" t="s">
        <v>14331</v>
      </c>
      <c r="C7223" s="2" t="s">
        <v>56</v>
      </c>
      <c r="D7223" s="2" t="s">
        <v>57</v>
      </c>
      <c r="E7223" s="5">
        <v>-28065</v>
      </c>
      <c r="F7223" s="3" t="s">
        <v>686</v>
      </c>
      <c r="G7223" s="3" t="s">
        <v>27</v>
      </c>
      <c r="H7223" s="2" t="s">
        <v>21</v>
      </c>
      <c r="I7223" s="2" t="s">
        <v>14332</v>
      </c>
      <c r="J7223" s="3" t="str">
        <f>HYPERLINK("https://www.boe.es/gazeta/dias/1823/02/27/pdfs/GMD-1823-61.pdf#page=2","Abrir facsímil")</f>
        <v>Abrir facsímil</v>
      </c>
      <c r="K7223" s="3" t="s">
        <v>23</v>
      </c>
    </row>
    <row r="7224" spans="1:11" ht="42" customHeight="1">
      <c r="A7224" s="2" t="s">
        <v>14333</v>
      </c>
      <c r="B7224" s="2" t="s">
        <v>14333</v>
      </c>
      <c r="C7224" s="2" t="s">
        <v>17</v>
      </c>
      <c r="D7224" s="2" t="s">
        <v>18</v>
      </c>
      <c r="E7224" s="5">
        <v>-28018</v>
      </c>
      <c r="F7224" s="3" t="s">
        <v>2613</v>
      </c>
      <c r="G7224" s="3" t="s">
        <v>39</v>
      </c>
      <c r="H7224" s="2" t="s">
        <v>21</v>
      </c>
      <c r="I7224" s="2" t="s">
        <v>14334</v>
      </c>
      <c r="J7224" s="3" t="str">
        <f>HYPERLINK("https://www.boe.es/gazeta/dias/1823/04/15/pdfs/GES-1823-5.pdf#page=1","Abrir facsímil")</f>
        <v>Abrir facsímil</v>
      </c>
      <c r="K7224" s="3" t="s">
        <v>23</v>
      </c>
    </row>
    <row r="7225" spans="1:11" ht="42" customHeight="1">
      <c r="A7225" s="2" t="s">
        <v>14335</v>
      </c>
      <c r="B7225" s="2" t="s">
        <v>14335</v>
      </c>
      <c r="C7225" s="2" t="s">
        <v>17</v>
      </c>
      <c r="D7225" s="2" t="s">
        <v>18</v>
      </c>
      <c r="E7225" s="5">
        <v>-28018</v>
      </c>
      <c r="F7225" s="3" t="s">
        <v>2613</v>
      </c>
      <c r="G7225" s="3" t="s">
        <v>39</v>
      </c>
      <c r="H7225" s="2" t="s">
        <v>21</v>
      </c>
      <c r="I7225" s="2" t="s">
        <v>14336</v>
      </c>
      <c r="J7225" s="3" t="str">
        <f>HYPERLINK("https://www.boe.es/gazeta/dias/1823/04/15/pdfs/GES-1823-5.pdf#page=1","Abrir facsímil")</f>
        <v>Abrir facsímil</v>
      </c>
      <c r="K7225" s="3" t="s">
        <v>23</v>
      </c>
    </row>
    <row r="7226" spans="1:11" ht="42" customHeight="1">
      <c r="A7226" s="2" t="s">
        <v>14337</v>
      </c>
      <c r="B7226" s="2" t="s">
        <v>14338</v>
      </c>
      <c r="C7226" s="2" t="s">
        <v>17</v>
      </c>
      <c r="D7226" s="2" t="s">
        <v>18</v>
      </c>
      <c r="E7226" s="5">
        <v>-27906</v>
      </c>
      <c r="F7226" s="3" t="s">
        <v>241</v>
      </c>
      <c r="G7226" s="3" t="s">
        <v>59</v>
      </c>
      <c r="H7226" s="2" t="s">
        <v>21</v>
      </c>
      <c r="I7226" s="2" t="s">
        <v>14339</v>
      </c>
      <c r="J7226" s="3" t="str">
        <f>HYPERLINK("https://www.boe.es/gazeta/dias/1823/08/05/pdfs/GES-1823-117.pdf#page=6","Abrir facsímil")</f>
        <v>Abrir facsímil</v>
      </c>
      <c r="K7226" s="3" t="s">
        <v>23</v>
      </c>
    </row>
    <row r="7227" spans="1:11" ht="42" customHeight="1">
      <c r="A7227" s="2" t="s">
        <v>14337</v>
      </c>
      <c r="B7227" s="2" t="s">
        <v>14338</v>
      </c>
      <c r="C7227" s="2" t="s">
        <v>109</v>
      </c>
      <c r="D7227" s="2" t="s">
        <v>74</v>
      </c>
      <c r="E7227" s="5">
        <v>-27887</v>
      </c>
      <c r="F7227" s="3" t="s">
        <v>1196</v>
      </c>
      <c r="G7227" s="3" t="s">
        <v>20</v>
      </c>
      <c r="H7227" s="2" t="s">
        <v>21</v>
      </c>
      <c r="I7227" s="2" t="s">
        <v>14340</v>
      </c>
      <c r="J7227" s="3" t="str">
        <f>HYPERLINK("https://www.boe.es/gazeta/dias/1823/08/24/pdfs/GES-1823-137.pdf#page=4","Abrir facsímil")</f>
        <v>Abrir facsímil</v>
      </c>
      <c r="K7227" s="3" t="s">
        <v>23</v>
      </c>
    </row>
    <row r="7228" spans="1:11" ht="42" customHeight="1">
      <c r="A7228" s="2" t="s">
        <v>14341</v>
      </c>
      <c r="B7228" s="2" t="s">
        <v>14342</v>
      </c>
      <c r="C7228" s="2" t="s">
        <v>17</v>
      </c>
      <c r="D7228" s="2" t="s">
        <v>18</v>
      </c>
      <c r="E7228" s="5">
        <v>-28056</v>
      </c>
      <c r="F7228" s="3" t="s">
        <v>572</v>
      </c>
      <c r="G7228" s="3" t="s">
        <v>48</v>
      </c>
      <c r="H7228" s="2" t="s">
        <v>21</v>
      </c>
      <c r="I7228" s="2" t="s">
        <v>14343</v>
      </c>
      <c r="J7228" s="3" t="str">
        <f>HYPERLINK("https://www.boe.es/gazeta/dias/1823/03/08/pdfs/GMD-1823-71.pdf#page=3","Abrir facsímil")</f>
        <v>Abrir facsímil</v>
      </c>
      <c r="K7228" s="3" t="s">
        <v>23</v>
      </c>
    </row>
    <row r="7229" spans="1:11" ht="42" customHeight="1">
      <c r="A7229" s="2" t="s">
        <v>14344</v>
      </c>
      <c r="B7229" s="2" t="s">
        <v>14345</v>
      </c>
      <c r="C7229" s="2" t="s">
        <v>17</v>
      </c>
      <c r="D7229" s="2" t="s">
        <v>18</v>
      </c>
      <c r="E7229" s="5">
        <v>-27993</v>
      </c>
      <c r="F7229" s="3" t="s">
        <v>977</v>
      </c>
      <c r="G7229" s="3" t="s">
        <v>978</v>
      </c>
      <c r="H7229" s="2" t="s">
        <v>21</v>
      </c>
      <c r="I7229" s="2" t="s">
        <v>14346</v>
      </c>
      <c r="J7229" s="3" t="str">
        <f>HYPERLINK("https://www.boe.es/gazeta/dias/1823/05/10/pdfs/GES-1823-30.pdf#page=4","Abrir facsímil")</f>
        <v>Abrir facsímil</v>
      </c>
      <c r="K7229" s="3" t="s">
        <v>23</v>
      </c>
    </row>
    <row r="7230" spans="1:11" ht="42" customHeight="1">
      <c r="A7230" s="2" t="s">
        <v>14347</v>
      </c>
      <c r="B7230" s="2" t="s">
        <v>14348</v>
      </c>
      <c r="C7230" s="2" t="s">
        <v>17</v>
      </c>
      <c r="D7230" s="2" t="s">
        <v>18</v>
      </c>
      <c r="E7230" s="5">
        <v>-27991</v>
      </c>
      <c r="F7230" s="3" t="s">
        <v>328</v>
      </c>
      <c r="G7230" s="3" t="s">
        <v>34</v>
      </c>
      <c r="H7230" s="2" t="s">
        <v>21</v>
      </c>
      <c r="I7230" s="2" t="s">
        <v>14349</v>
      </c>
      <c r="J7230" s="3" t="str">
        <f>HYPERLINK("https://www.boe.es/gazeta/dias/1823/05/12/pdfs/GES-1823-32.pdf#page=5","Abrir facsímil")</f>
        <v>Abrir facsímil</v>
      </c>
      <c r="K7230" s="3" t="s">
        <v>23</v>
      </c>
    </row>
    <row r="7231" spans="1:11" ht="42" customHeight="1">
      <c r="A7231" s="2" t="s">
        <v>14350</v>
      </c>
      <c r="B7231" s="2" t="s">
        <v>14350</v>
      </c>
      <c r="C7231" s="2" t="s">
        <v>17</v>
      </c>
      <c r="D7231" s="2" t="s">
        <v>18</v>
      </c>
      <c r="E7231" s="5">
        <v>-28002</v>
      </c>
      <c r="F7231" s="3" t="s">
        <v>245</v>
      </c>
      <c r="G7231" s="3" t="s">
        <v>27</v>
      </c>
      <c r="H7231" s="2" t="s">
        <v>21</v>
      </c>
      <c r="I7231" s="2" t="s">
        <v>14351</v>
      </c>
      <c r="J7231" s="3" t="str">
        <f>HYPERLINK("https://www.boe.es/gazeta/dias/1823/05/01/pdfs/GMD-1823-82.pdf#page=2","Abrir facsímil")</f>
        <v>Abrir facsímil</v>
      </c>
      <c r="K7231" s="3" t="s">
        <v>23</v>
      </c>
    </row>
    <row r="7232" spans="1:11" ht="42" customHeight="1">
      <c r="A7232" s="2" t="s">
        <v>14350</v>
      </c>
      <c r="B7232" s="2" t="s">
        <v>14350</v>
      </c>
      <c r="C7232" s="2" t="s">
        <v>17</v>
      </c>
      <c r="D7232" s="2" t="s">
        <v>18</v>
      </c>
      <c r="E7232" s="5">
        <v>-27999</v>
      </c>
      <c r="F7232" s="3" t="s">
        <v>97</v>
      </c>
      <c r="G7232" s="3" t="s">
        <v>39</v>
      </c>
      <c r="H7232" s="2" t="s">
        <v>21</v>
      </c>
      <c r="I7232" s="2" t="s">
        <v>14352</v>
      </c>
      <c r="J7232" s="3" t="str">
        <f>HYPERLINK("https://www.boe.es/gazeta/dias/1823/05/04/pdfs/GES-1823-24.pdf#page=1","Abrir facsímil")</f>
        <v>Abrir facsímil</v>
      </c>
      <c r="K7232" s="3" t="s">
        <v>23</v>
      </c>
    </row>
    <row r="7233" spans="1:11" ht="42" customHeight="1">
      <c r="A7233" s="2" t="s">
        <v>14350</v>
      </c>
      <c r="B7233" s="2" t="s">
        <v>14350</v>
      </c>
      <c r="C7233" s="2" t="s">
        <v>17</v>
      </c>
      <c r="D7233" s="2" t="s">
        <v>18</v>
      </c>
      <c r="E7233" s="5">
        <v>-27984</v>
      </c>
      <c r="F7233" s="3" t="s">
        <v>335</v>
      </c>
      <c r="G7233" s="3" t="s">
        <v>27</v>
      </c>
      <c r="H7233" s="2" t="s">
        <v>21</v>
      </c>
      <c r="I7233" s="2" t="s">
        <v>14353</v>
      </c>
      <c r="J7233" s="3" t="str">
        <f>HYPERLINK("https://www.boe.es/gazeta/dias/1823/05/19/pdfs/GES-1823-39.pdf#page=2","Abrir facsímil")</f>
        <v>Abrir facsímil</v>
      </c>
      <c r="K7233" s="3" t="s">
        <v>23</v>
      </c>
    </row>
    <row r="7234" spans="1:11" ht="42" customHeight="1">
      <c r="A7234" s="2" t="s">
        <v>14354</v>
      </c>
      <c r="B7234" s="2" t="s">
        <v>14355</v>
      </c>
      <c r="C7234" s="2" t="s">
        <v>17</v>
      </c>
      <c r="D7234" s="2" t="s">
        <v>18</v>
      </c>
      <c r="E7234" s="5">
        <v>-28089</v>
      </c>
      <c r="F7234" s="3" t="s">
        <v>1979</v>
      </c>
      <c r="G7234" s="3" t="s">
        <v>27</v>
      </c>
      <c r="H7234" s="2" t="s">
        <v>21</v>
      </c>
      <c r="I7234" s="2" t="s">
        <v>14356</v>
      </c>
      <c r="J7234" s="3" t="str">
        <f>HYPERLINK("https://www.boe.es/gazeta/dias/1823/02/03/pdfs/GMD-1823-36.pdf#page=2","Abrir facsímil")</f>
        <v>Abrir facsímil</v>
      </c>
      <c r="K7234" s="3" t="s">
        <v>23</v>
      </c>
    </row>
    <row r="7235" spans="1:11" ht="42" customHeight="1">
      <c r="A7235" s="2" t="s">
        <v>14357</v>
      </c>
      <c r="B7235" s="2" t="s">
        <v>14358</v>
      </c>
      <c r="C7235" s="2" t="s">
        <v>17</v>
      </c>
      <c r="D7235" s="2" t="s">
        <v>18</v>
      </c>
      <c r="E7235" s="5">
        <v>-28002</v>
      </c>
      <c r="F7235" s="3" t="s">
        <v>245</v>
      </c>
      <c r="G7235" s="3" t="s">
        <v>27</v>
      </c>
      <c r="H7235" s="2" t="s">
        <v>21</v>
      </c>
      <c r="I7235" s="2" t="s">
        <v>14359</v>
      </c>
      <c r="J7235" s="3" t="str">
        <f>HYPERLINK("https://www.boe.es/gazeta/dias/1823/05/01/pdfs/GMD-1823-82.pdf#page=2","Abrir facsímil")</f>
        <v>Abrir facsímil</v>
      </c>
      <c r="K7235" s="3" t="s">
        <v>23</v>
      </c>
    </row>
    <row r="7236" spans="1:11" ht="42" customHeight="1">
      <c r="A7236" s="2" t="s">
        <v>14360</v>
      </c>
      <c r="B7236" s="2" t="s">
        <v>14361</v>
      </c>
      <c r="C7236" s="2" t="s">
        <v>56</v>
      </c>
      <c r="D7236" s="2" t="s">
        <v>57</v>
      </c>
      <c r="E7236" s="5">
        <v>-27829</v>
      </c>
      <c r="F7236" s="3" t="s">
        <v>228</v>
      </c>
      <c r="G7236" s="3" t="s">
        <v>20</v>
      </c>
      <c r="H7236" s="2" t="s">
        <v>21</v>
      </c>
      <c r="I7236" s="2" t="s">
        <v>14362</v>
      </c>
      <c r="J7236" s="3" t="str">
        <f>HYPERLINK("https://www.boe.es/gazeta/dias/1823/10/21/pdfs/GMD-1823-1003.pdf#page=4","Abrir facsímil")</f>
        <v>Abrir facsímil</v>
      </c>
      <c r="K7236" s="3" t="s">
        <v>23</v>
      </c>
    </row>
    <row r="7237" spans="1:11" ht="42" customHeight="1">
      <c r="A7237" s="2" t="s">
        <v>14363</v>
      </c>
      <c r="B7237" s="2" t="s">
        <v>14364</v>
      </c>
      <c r="C7237" s="2" t="s">
        <v>79</v>
      </c>
      <c r="D7237" s="2" t="s">
        <v>74</v>
      </c>
      <c r="E7237" s="5">
        <v>-28077</v>
      </c>
      <c r="F7237" s="3" t="s">
        <v>536</v>
      </c>
      <c r="G7237" s="3" t="s">
        <v>59</v>
      </c>
      <c r="H7237" s="2" t="s">
        <v>21</v>
      </c>
      <c r="I7237" s="2" t="s">
        <v>14365</v>
      </c>
      <c r="J7237" s="3" t="str">
        <f>HYPERLINK("https://www.boe.es/gazeta/dias/1823/02/15/pdfs/GMD-1823-49.pdf#page=6","Abrir facsímil")</f>
        <v>Abrir facsímil</v>
      </c>
      <c r="K7237" s="3" t="s">
        <v>23</v>
      </c>
    </row>
    <row r="7238" spans="1:11" ht="42" customHeight="1">
      <c r="A7238" s="2" t="s">
        <v>14366</v>
      </c>
      <c r="B7238" s="2" t="s">
        <v>14367</v>
      </c>
      <c r="C7238" s="2" t="s">
        <v>73</v>
      </c>
      <c r="D7238" s="2" t="s">
        <v>74</v>
      </c>
      <c r="E7238" s="5">
        <v>-27978</v>
      </c>
      <c r="F7238" s="3" t="s">
        <v>342</v>
      </c>
      <c r="G7238" s="3" t="s">
        <v>59</v>
      </c>
      <c r="H7238" s="2" t="s">
        <v>21</v>
      </c>
      <c r="I7238" s="2" t="s">
        <v>14368</v>
      </c>
      <c r="J7238" s="3" t="str">
        <f>HYPERLINK("https://www.boe.es/gazeta/dias/1823/05/25/pdfs/GES-1823-46.pdf#page=6","Abrir facsímil")</f>
        <v>Abrir facsímil</v>
      </c>
      <c r="K7238" s="3" t="s">
        <v>23</v>
      </c>
    </row>
    <row r="7239" spans="1:11" ht="42" customHeight="1">
      <c r="A7239" s="2" t="s">
        <v>14366</v>
      </c>
      <c r="B7239" s="2" t="s">
        <v>14367</v>
      </c>
      <c r="C7239" s="2" t="s">
        <v>79</v>
      </c>
      <c r="D7239" s="2" t="s">
        <v>74</v>
      </c>
      <c r="E7239" s="5">
        <v>-27870</v>
      </c>
      <c r="F7239" s="3" t="s">
        <v>376</v>
      </c>
      <c r="G7239" s="3" t="s">
        <v>20</v>
      </c>
      <c r="H7239" s="2" t="s">
        <v>21</v>
      </c>
      <c r="I7239" s="2" t="s">
        <v>14369</v>
      </c>
      <c r="J7239" s="3" t="str">
        <f>HYPERLINK("https://www.boe.es/gazeta/dias/1823/09/10/pdfs/GES-1823-154.pdf#page=4","Abrir facsímil")</f>
        <v>Abrir facsímil</v>
      </c>
      <c r="K7239" s="3" t="s">
        <v>23</v>
      </c>
    </row>
    <row r="7240" spans="1:11" ht="42" customHeight="1">
      <c r="A7240" s="2" t="s">
        <v>14370</v>
      </c>
      <c r="B7240" s="2" t="s">
        <v>14371</v>
      </c>
      <c r="C7240" s="2" t="s">
        <v>79</v>
      </c>
      <c r="D7240" s="2" t="s">
        <v>74</v>
      </c>
      <c r="E7240" s="5">
        <v>-27993</v>
      </c>
      <c r="F7240" s="3" t="s">
        <v>977</v>
      </c>
      <c r="G7240" s="3" t="s">
        <v>48</v>
      </c>
      <c r="H7240" s="2" t="s">
        <v>21</v>
      </c>
      <c r="I7240" s="2" t="s">
        <v>14372</v>
      </c>
      <c r="J7240" s="3" t="str">
        <f>HYPERLINK("https://www.boe.es/gazeta/dias/1823/05/10/pdfs/GES-1823-30.pdf#page=3","Abrir facsímil")</f>
        <v>Abrir facsímil</v>
      </c>
      <c r="K7240" s="3" t="s">
        <v>23</v>
      </c>
    </row>
    <row r="7241" spans="1:11" ht="42" customHeight="1">
      <c r="A7241" s="2" t="s">
        <v>14370</v>
      </c>
      <c r="B7241" s="2" t="s">
        <v>14371</v>
      </c>
      <c r="C7241" s="2" t="s">
        <v>79</v>
      </c>
      <c r="D7241" s="2" t="s">
        <v>74</v>
      </c>
      <c r="E7241" s="5">
        <v>-27986</v>
      </c>
      <c r="F7241" s="3" t="s">
        <v>607</v>
      </c>
      <c r="G7241" s="3" t="s">
        <v>27</v>
      </c>
      <c r="H7241" s="2" t="s">
        <v>21</v>
      </c>
      <c r="I7241" s="2" t="s">
        <v>14373</v>
      </c>
      <c r="J7241" s="3" t="str">
        <f>HYPERLINK("https://www.boe.es/gazeta/dias/1823/05/17/pdfs/GMD-1823-152.pdf#page=2","Abrir facsímil")</f>
        <v>Abrir facsímil</v>
      </c>
      <c r="K7241" s="3" t="s">
        <v>23</v>
      </c>
    </row>
    <row r="7242" spans="1:11" ht="42" customHeight="1">
      <c r="A7242" s="2" t="s">
        <v>14374</v>
      </c>
      <c r="B7242" s="2" t="s">
        <v>14375</v>
      </c>
      <c r="C7242" s="2" t="s">
        <v>17</v>
      </c>
      <c r="D7242" s="2" t="s">
        <v>18</v>
      </c>
      <c r="E7242" s="5">
        <v>-27904</v>
      </c>
      <c r="F7242" s="3" t="s">
        <v>1227</v>
      </c>
      <c r="G7242" s="3" t="s">
        <v>34</v>
      </c>
      <c r="H7242" s="2" t="s">
        <v>28</v>
      </c>
      <c r="I7242" s="2" t="s">
        <v>14376</v>
      </c>
      <c r="J7242" s="3" t="str">
        <f>HYPERLINK("https://www.boe.es/gazeta/dias/1823/08/07/pdfs/GMD-1823-543.pdf#page=5","Abrir facsímil")</f>
        <v>Abrir facsímil</v>
      </c>
      <c r="K7242" s="3" t="s">
        <v>30</v>
      </c>
    </row>
    <row r="7243" spans="1:11" ht="42" customHeight="1">
      <c r="A7243" s="2" t="s">
        <v>14377</v>
      </c>
      <c r="B7243" s="2" t="s">
        <v>14378</v>
      </c>
      <c r="C7243" s="2" t="s">
        <v>56</v>
      </c>
      <c r="D7243" s="2" t="s">
        <v>57</v>
      </c>
      <c r="E7243" s="5">
        <v>-28092</v>
      </c>
      <c r="F7243" s="3" t="s">
        <v>105</v>
      </c>
      <c r="G7243" s="3" t="s">
        <v>27</v>
      </c>
      <c r="H7243" s="2" t="s">
        <v>21</v>
      </c>
      <c r="I7243" s="2" t="s">
        <v>14379</v>
      </c>
      <c r="J7243" s="3" t="str">
        <f>HYPERLINK("https://www.boe.es/gazeta/dias/1823/01/31/pdfs/GMD-1823-32.pdf#page=2","Abrir facsímil")</f>
        <v>Abrir facsímil</v>
      </c>
      <c r="K7243" s="3" t="s">
        <v>23</v>
      </c>
    </row>
    <row r="7244" spans="1:11" ht="42" customHeight="1">
      <c r="A7244" s="2" t="s">
        <v>14380</v>
      </c>
      <c r="B7244" s="2" t="s">
        <v>14381</v>
      </c>
      <c r="C7244" s="2" t="s">
        <v>17</v>
      </c>
      <c r="D7244" s="2" t="s">
        <v>117</v>
      </c>
      <c r="E7244" s="5">
        <v>-27975</v>
      </c>
      <c r="F7244" s="3" t="s">
        <v>1922</v>
      </c>
      <c r="G7244" s="3" t="s">
        <v>39</v>
      </c>
      <c r="H7244" s="2" t="s">
        <v>21</v>
      </c>
      <c r="I7244" s="2" t="s">
        <v>14382</v>
      </c>
      <c r="J7244" s="3" t="str">
        <f>HYPERLINK("https://www.boe.es/gazeta/dias/1823/05/28/pdfs/GES-1823-51E.pdf#page=1","Abrir facsímil")</f>
        <v>Abrir facsímil</v>
      </c>
      <c r="K7244" s="3" t="s">
        <v>23</v>
      </c>
    </row>
    <row r="7245" spans="1:11" ht="42" customHeight="1">
      <c r="A7245" s="2" t="s">
        <v>14380</v>
      </c>
      <c r="B7245" s="2" t="s">
        <v>14381</v>
      </c>
      <c r="C7245" s="2" t="s">
        <v>17</v>
      </c>
      <c r="D7245" s="2" t="s">
        <v>18</v>
      </c>
      <c r="E7245" s="5">
        <v>-27883</v>
      </c>
      <c r="F7245" s="3" t="s">
        <v>2318</v>
      </c>
      <c r="G7245" s="3" t="s">
        <v>20</v>
      </c>
      <c r="H7245" s="2" t="s">
        <v>21</v>
      </c>
      <c r="I7245" s="2" t="s">
        <v>14383</v>
      </c>
      <c r="J7245" s="3" t="str">
        <f>HYPERLINK("https://www.boe.es/gazeta/dias/1823/08/28/pdfs/GMD-1823-663.pdf#page=4","Abrir facsímil")</f>
        <v>Abrir facsímil</v>
      </c>
      <c r="K7245" s="3" t="s">
        <v>23</v>
      </c>
    </row>
    <row r="7246" spans="1:11" ht="42" customHeight="1">
      <c r="A7246" s="2" t="s">
        <v>14384</v>
      </c>
      <c r="B7246" s="2" t="s">
        <v>14385</v>
      </c>
      <c r="C7246" s="2" t="s">
        <v>17</v>
      </c>
      <c r="D7246" s="2" t="s">
        <v>18</v>
      </c>
      <c r="E7246" s="5">
        <v>-27864</v>
      </c>
      <c r="F7246" s="3" t="s">
        <v>1301</v>
      </c>
      <c r="G7246" s="3" t="s">
        <v>27</v>
      </c>
      <c r="H7246" s="2" t="s">
        <v>21</v>
      </c>
      <c r="I7246" s="2" t="s">
        <v>14386</v>
      </c>
      <c r="J7246" s="3" t="str">
        <f>HYPERLINK("https://www.boe.es/gazeta/dias/1823/09/16/pdfs/GES-1823-160.pdf#page=2","Abrir facsímil")</f>
        <v>Abrir facsímil</v>
      </c>
      <c r="K7246" s="3" t="s">
        <v>23</v>
      </c>
    </row>
    <row r="7247" spans="1:11" ht="42" customHeight="1">
      <c r="A7247" s="2" t="s">
        <v>14387</v>
      </c>
      <c r="B7247" s="2" t="s">
        <v>14388</v>
      </c>
      <c r="C7247" s="2" t="s">
        <v>79</v>
      </c>
      <c r="D7247" s="2" t="s">
        <v>74</v>
      </c>
      <c r="E7247" s="5">
        <v>-27989</v>
      </c>
      <c r="F7247" s="3" t="s">
        <v>1134</v>
      </c>
      <c r="G7247" s="3" t="s">
        <v>39</v>
      </c>
      <c r="H7247" s="2" t="s">
        <v>21</v>
      </c>
      <c r="I7247" s="2" t="s">
        <v>14389</v>
      </c>
      <c r="J7247" s="3" t="str">
        <f>HYPERLINK("https://www.boe.es/gazeta/dias/1823/05/14/pdfs/GES-1823-34.pdf#page=1","Abrir facsímil")</f>
        <v>Abrir facsímil</v>
      </c>
      <c r="K7247" s="3" t="s">
        <v>23</v>
      </c>
    </row>
    <row r="7248" spans="1:11" ht="42" customHeight="1">
      <c r="A7248" s="2" t="s">
        <v>14390</v>
      </c>
      <c r="B7248" s="2" t="s">
        <v>14391</v>
      </c>
      <c r="C7248" s="2" t="s">
        <v>56</v>
      </c>
      <c r="D7248" s="2" t="s">
        <v>57</v>
      </c>
      <c r="E7248" s="5">
        <v>-27994</v>
      </c>
      <c r="F7248" s="3" t="s">
        <v>714</v>
      </c>
      <c r="G7248" s="3" t="s">
        <v>4475</v>
      </c>
      <c r="H7248" s="2" t="s">
        <v>21</v>
      </c>
      <c r="I7248" s="2" t="s">
        <v>14392</v>
      </c>
      <c r="J7248" s="3" t="str">
        <f>HYPERLINK("https://www.boe.es/gazeta/dias/1823/05/09/pdfs/GES-1823-29.pdf#page=3","Abrir facsímil")</f>
        <v>Abrir facsímil</v>
      </c>
      <c r="K7248" s="3" t="s">
        <v>23</v>
      </c>
    </row>
    <row r="7249" spans="1:11" ht="42" customHeight="1">
      <c r="A7249" s="2" t="s">
        <v>14393</v>
      </c>
      <c r="B7249" s="2" t="s">
        <v>14393</v>
      </c>
      <c r="C7249" s="2" t="s">
        <v>17</v>
      </c>
      <c r="D7249" s="2" t="s">
        <v>18</v>
      </c>
      <c r="E7249" s="5">
        <v>-28080</v>
      </c>
      <c r="F7249" s="3" t="s">
        <v>1010</v>
      </c>
      <c r="G7249" s="3" t="s">
        <v>48</v>
      </c>
      <c r="H7249" s="2" t="s">
        <v>21</v>
      </c>
      <c r="I7249" s="2" t="s">
        <v>14394</v>
      </c>
      <c r="J7249" s="3" t="str">
        <f>HYPERLINK("https://www.boe.es/gazeta/dias/1823/02/12/pdfs/GMD-1823-46.pdf#page=3","Abrir facsímil")</f>
        <v>Abrir facsímil</v>
      </c>
      <c r="K7249" s="3" t="s">
        <v>23</v>
      </c>
    </row>
    <row r="7250" spans="1:11" ht="42" customHeight="1">
      <c r="A7250" s="2" t="s">
        <v>14395</v>
      </c>
      <c r="B7250" s="2" t="s">
        <v>14395</v>
      </c>
      <c r="C7250" s="2" t="s">
        <v>56</v>
      </c>
      <c r="D7250" s="2" t="s">
        <v>57</v>
      </c>
      <c r="E7250" s="5">
        <v>-28094</v>
      </c>
      <c r="F7250" s="3" t="s">
        <v>93</v>
      </c>
      <c r="G7250" s="3" t="s">
        <v>27</v>
      </c>
      <c r="H7250" s="2" t="s">
        <v>21</v>
      </c>
      <c r="I7250" s="2" t="s">
        <v>14396</v>
      </c>
      <c r="J7250" s="3" t="str">
        <f>HYPERLINK("https://www.boe.es/gazeta/dias/1823/01/29/pdfs/GMD-1823-30.pdf#page=2","Abrir facsímil")</f>
        <v>Abrir facsímil</v>
      </c>
      <c r="K7250" s="3" t="s">
        <v>23</v>
      </c>
    </row>
    <row r="7251" spans="1:11" ht="42" customHeight="1">
      <c r="A7251" s="2" t="s">
        <v>14395</v>
      </c>
      <c r="B7251" s="2" t="s">
        <v>14395</v>
      </c>
      <c r="C7251" s="2" t="s">
        <v>17</v>
      </c>
      <c r="D7251" s="2" t="s">
        <v>117</v>
      </c>
      <c r="E7251" s="5">
        <v>-27920</v>
      </c>
      <c r="F7251" s="3" t="s">
        <v>10546</v>
      </c>
      <c r="G7251" s="3" t="s">
        <v>39</v>
      </c>
      <c r="H7251" s="2" t="s">
        <v>21</v>
      </c>
      <c r="I7251" s="2" t="s">
        <v>14397</v>
      </c>
      <c r="J7251" s="3" t="str">
        <f>HYPERLINK("https://www.boe.es/gazeta/dias/1823/07/22/pdfs/GMD-1823-453E.pdf#page=1","Abrir facsímil")</f>
        <v>Abrir facsímil</v>
      </c>
      <c r="K7251" s="3" t="s">
        <v>23</v>
      </c>
    </row>
    <row r="7252" spans="1:11" ht="42" customHeight="1">
      <c r="A7252" s="2" t="s">
        <v>14395</v>
      </c>
      <c r="B7252" s="2" t="s">
        <v>14395</v>
      </c>
      <c r="C7252" s="2" t="s">
        <v>17</v>
      </c>
      <c r="D7252" s="2" t="s">
        <v>18</v>
      </c>
      <c r="E7252" s="5">
        <v>-27911</v>
      </c>
      <c r="F7252" s="3" t="s">
        <v>1393</v>
      </c>
      <c r="G7252" s="3" t="s">
        <v>20</v>
      </c>
      <c r="H7252" s="2" t="s">
        <v>21</v>
      </c>
      <c r="I7252" s="2" t="s">
        <v>14398</v>
      </c>
      <c r="J7252" s="3" t="str">
        <f>HYPERLINK("https://www.boe.es/gazeta/dias/1823/07/31/pdfs/GMD-1823-503.pdf#page=4","Abrir facsímil")</f>
        <v>Abrir facsímil</v>
      </c>
      <c r="K7252" s="3" t="s">
        <v>23</v>
      </c>
    </row>
    <row r="7253" spans="1:11" ht="42" customHeight="1">
      <c r="A7253" s="2" t="s">
        <v>14399</v>
      </c>
      <c r="B7253" s="2" t="s">
        <v>14400</v>
      </c>
      <c r="C7253" s="2" t="s">
        <v>56</v>
      </c>
      <c r="D7253" s="2" t="s">
        <v>57</v>
      </c>
      <c r="E7253" s="5">
        <v>-28049</v>
      </c>
      <c r="F7253" s="3" t="s">
        <v>198</v>
      </c>
      <c r="G7253" s="3" t="s">
        <v>27</v>
      </c>
      <c r="H7253" s="2" t="s">
        <v>21</v>
      </c>
      <c r="I7253" s="2" t="s">
        <v>14401</v>
      </c>
      <c r="J7253" s="3" t="str">
        <f>HYPERLINK("https://www.boe.es/gazeta/dias/1823/03/15/pdfs/GMD-1823-78.pdf#page=2","Abrir facsímil")</f>
        <v>Abrir facsímil</v>
      </c>
      <c r="K7253" s="3" t="s">
        <v>23</v>
      </c>
    </row>
    <row r="7254" spans="1:11" ht="42" customHeight="1">
      <c r="A7254" s="2" t="s">
        <v>14402</v>
      </c>
      <c r="B7254" s="2" t="s">
        <v>14403</v>
      </c>
      <c r="C7254" s="2" t="s">
        <v>79</v>
      </c>
      <c r="D7254" s="2" t="s">
        <v>74</v>
      </c>
      <c r="E7254" s="5">
        <v>-28069</v>
      </c>
      <c r="F7254" s="3" t="s">
        <v>2006</v>
      </c>
      <c r="G7254" s="3" t="s">
        <v>20</v>
      </c>
      <c r="H7254" s="2" t="s">
        <v>21</v>
      </c>
      <c r="I7254" s="2" t="s">
        <v>14404</v>
      </c>
      <c r="J7254" s="3" t="str">
        <f>HYPERLINK("https://www.boe.es/gazeta/dias/1823/02/23/pdfs/GMD-1823-57.pdf#page=4","Abrir facsímil")</f>
        <v>Abrir facsímil</v>
      </c>
      <c r="K7254" s="3" t="s">
        <v>23</v>
      </c>
    </row>
    <row r="7255" spans="1:11" ht="42" customHeight="1">
      <c r="A7255" s="2" t="s">
        <v>14405</v>
      </c>
      <c r="B7255" s="2" t="s">
        <v>14406</v>
      </c>
      <c r="C7255" s="2" t="s">
        <v>17</v>
      </c>
      <c r="D7255" s="2" t="s">
        <v>18</v>
      </c>
      <c r="E7255" s="5">
        <v>-27846</v>
      </c>
      <c r="F7255" s="3" t="s">
        <v>2535</v>
      </c>
      <c r="G7255" s="3" t="s">
        <v>48</v>
      </c>
      <c r="H7255" s="2" t="s">
        <v>21</v>
      </c>
      <c r="I7255" s="2" t="s">
        <v>14407</v>
      </c>
      <c r="J7255" s="3" t="str">
        <f>HYPERLINK("https://www.boe.es/gazeta/dias/1823/10/04/pdfs/GMD-1823-913.pdf#page=3","Abrir facsímil")</f>
        <v>Abrir facsímil</v>
      </c>
      <c r="K7255" s="3" t="s">
        <v>23</v>
      </c>
    </row>
    <row r="7256" spans="1:11" ht="42" customHeight="1">
      <c r="A7256" s="2" t="s">
        <v>14408</v>
      </c>
      <c r="B7256" s="2" t="s">
        <v>14409</v>
      </c>
      <c r="C7256" s="2" t="s">
        <v>293</v>
      </c>
      <c r="D7256" s="2" t="s">
        <v>74</v>
      </c>
      <c r="E7256" s="5">
        <v>-27843</v>
      </c>
      <c r="F7256" s="3" t="s">
        <v>790</v>
      </c>
      <c r="G7256" s="3" t="s">
        <v>20</v>
      </c>
      <c r="H7256" s="2" t="s">
        <v>21</v>
      </c>
      <c r="I7256" s="2" t="s">
        <v>14410</v>
      </c>
      <c r="J7256" s="3" t="str">
        <f>HYPERLINK("https://www.boe.es/gazeta/dias/1823/10/07/pdfs/GMD-1823-933.pdf#page=4","Abrir facsímil")</f>
        <v>Abrir facsímil</v>
      </c>
      <c r="K7256" s="3" t="s">
        <v>23</v>
      </c>
    </row>
    <row r="7257" spans="1:11" ht="42" customHeight="1">
      <c r="A7257" s="2" t="s">
        <v>14411</v>
      </c>
      <c r="B7257" s="2" t="s">
        <v>14411</v>
      </c>
      <c r="C7257" s="2" t="s">
        <v>17</v>
      </c>
      <c r="D7257" s="2" t="s">
        <v>18</v>
      </c>
      <c r="E7257" s="5">
        <v>-27874</v>
      </c>
      <c r="F7257" s="3" t="s">
        <v>1410</v>
      </c>
      <c r="G7257" s="3" t="s">
        <v>48</v>
      </c>
      <c r="H7257" s="2" t="s">
        <v>21</v>
      </c>
      <c r="I7257" s="2" t="s">
        <v>14412</v>
      </c>
      <c r="J7257" s="3" t="str">
        <f>HYPERLINK("https://www.boe.es/gazeta/dias/1823/09/06/pdfs/GES-1823-150.pdf#page=3","Abrir facsímil")</f>
        <v>Abrir facsímil</v>
      </c>
      <c r="K7257" s="3" t="s">
        <v>23</v>
      </c>
    </row>
    <row r="7258" spans="1:11" ht="42" customHeight="1">
      <c r="A7258" s="2" t="s">
        <v>14413</v>
      </c>
      <c r="B7258" s="2" t="s">
        <v>14413</v>
      </c>
      <c r="C7258" s="2" t="s">
        <v>17</v>
      </c>
      <c r="D7258" s="2" t="s">
        <v>18</v>
      </c>
      <c r="E7258" s="5">
        <v>-28073</v>
      </c>
      <c r="F7258" s="3" t="s">
        <v>204</v>
      </c>
      <c r="G7258" s="3" t="s">
        <v>48</v>
      </c>
      <c r="H7258" s="2" t="s">
        <v>21</v>
      </c>
      <c r="I7258" s="2" t="s">
        <v>14414</v>
      </c>
      <c r="J7258" s="3" t="str">
        <f>HYPERLINK("https://www.boe.es/gazeta/dias/1823/02/19/pdfs/GMD-1823-53.pdf#page=3","Abrir facsímil")</f>
        <v>Abrir facsímil</v>
      </c>
      <c r="K7258" s="3" t="s">
        <v>23</v>
      </c>
    </row>
    <row r="7259" spans="1:11" ht="42" customHeight="1">
      <c r="A7259" s="2" t="s">
        <v>14415</v>
      </c>
      <c r="B7259" s="2" t="s">
        <v>14415</v>
      </c>
      <c r="C7259" s="2" t="s">
        <v>17</v>
      </c>
      <c r="D7259" s="2" t="s">
        <v>18</v>
      </c>
      <c r="E7259" s="5">
        <v>-27878</v>
      </c>
      <c r="F7259" s="3" t="s">
        <v>130</v>
      </c>
      <c r="G7259" s="3" t="s">
        <v>39</v>
      </c>
      <c r="H7259" s="2" t="s">
        <v>21</v>
      </c>
      <c r="I7259" s="2" t="s">
        <v>14416</v>
      </c>
      <c r="J7259" s="3" t="str">
        <f>HYPERLINK("https://www.boe.es/gazeta/dias/1823/09/02/pdfs/GES-1823-146.pdf#page=1","Abrir facsímil")</f>
        <v>Abrir facsímil</v>
      </c>
      <c r="K7259" s="3" t="s">
        <v>23</v>
      </c>
    </row>
    <row r="7260" spans="1:11" ht="42" customHeight="1">
      <c r="A7260" s="2" t="s">
        <v>14417</v>
      </c>
      <c r="B7260" s="2" t="s">
        <v>14417</v>
      </c>
      <c r="C7260" s="2" t="s">
        <v>79</v>
      </c>
      <c r="D7260" s="2" t="s">
        <v>74</v>
      </c>
      <c r="E7260" s="5">
        <v>-27927</v>
      </c>
      <c r="F7260" s="3" t="s">
        <v>2409</v>
      </c>
      <c r="G7260" s="3" t="s">
        <v>48</v>
      </c>
      <c r="H7260" s="2" t="s">
        <v>21</v>
      </c>
      <c r="I7260" s="2" t="s">
        <v>14418</v>
      </c>
      <c r="J7260" s="3" t="str">
        <f>HYPERLINK("https://www.boe.es/gazeta/dias/1823/07/15/pdfs/GMD-1823-403.pdf#page=3","Abrir facsímil")</f>
        <v>Abrir facsímil</v>
      </c>
      <c r="K7260" s="3" t="s">
        <v>23</v>
      </c>
    </row>
    <row r="7261" spans="1:11" ht="42" customHeight="1">
      <c r="A7261" s="2" t="s">
        <v>14419</v>
      </c>
      <c r="B7261" s="2" t="s">
        <v>14420</v>
      </c>
      <c r="C7261" s="2" t="s">
        <v>17</v>
      </c>
      <c r="D7261" s="2" t="s">
        <v>18</v>
      </c>
      <c r="E7261" s="5">
        <v>-27951</v>
      </c>
      <c r="F7261" s="3" t="s">
        <v>4670</v>
      </c>
      <c r="G7261" s="3" t="s">
        <v>39</v>
      </c>
      <c r="H7261" s="2" t="s">
        <v>21</v>
      </c>
      <c r="I7261" s="2" t="s">
        <v>14421</v>
      </c>
      <c r="J7261" s="3" t="str">
        <f>HYPERLINK("https://www.boe.es/gazeta/dias/1823/06/21/pdfs/GMD-1823-223.pdf#page=1","Abrir facsímil")</f>
        <v>Abrir facsímil</v>
      </c>
      <c r="K7261" s="3" t="s">
        <v>23</v>
      </c>
    </row>
    <row r="7262" spans="1:11" ht="42" customHeight="1">
      <c r="A7262" s="2" t="s">
        <v>14422</v>
      </c>
      <c r="B7262" s="2" t="s">
        <v>14423</v>
      </c>
      <c r="C7262" s="2" t="s">
        <v>17</v>
      </c>
      <c r="D7262" s="2" t="s">
        <v>18</v>
      </c>
      <c r="E7262" s="5">
        <v>-27785</v>
      </c>
      <c r="F7262" s="3" t="s">
        <v>1397</v>
      </c>
      <c r="G7262" s="3" t="s">
        <v>48</v>
      </c>
      <c r="H7262" s="2" t="s">
        <v>28</v>
      </c>
      <c r="I7262" s="2" t="s">
        <v>14424</v>
      </c>
      <c r="J7262" s="3" t="str">
        <f>HYPERLINK("https://www.boe.es/gazeta/dias/1823/12/04/pdfs/GMD-1823-1203.pdf#page=3","Abrir facsímil")</f>
        <v>Abrir facsímil</v>
      </c>
      <c r="K7262" s="3" t="s">
        <v>30</v>
      </c>
    </row>
    <row r="7263" spans="1:11" ht="42" customHeight="1">
      <c r="A7263" s="2" t="s">
        <v>14425</v>
      </c>
      <c r="B7263" s="2" t="s">
        <v>14426</v>
      </c>
      <c r="C7263" s="2" t="s">
        <v>79</v>
      </c>
      <c r="D7263" s="2" t="s">
        <v>74</v>
      </c>
      <c r="E7263" s="5">
        <v>-28110</v>
      </c>
      <c r="F7263" s="3" t="s">
        <v>249</v>
      </c>
      <c r="G7263" s="3" t="s">
        <v>48</v>
      </c>
      <c r="H7263" s="2" t="s">
        <v>21</v>
      </c>
      <c r="I7263" s="2" t="s">
        <v>14427</v>
      </c>
      <c r="J7263" s="3" t="str">
        <f>HYPERLINK("https://www.boe.es/gazeta/dias/1823/01/13/pdfs/GMD-1823-13.pdf#page=3","Abrir facsímil")</f>
        <v>Abrir facsímil</v>
      </c>
      <c r="K7263" s="3" t="s">
        <v>23</v>
      </c>
    </row>
    <row r="7264" spans="1:11" ht="42" customHeight="1">
      <c r="A7264" s="2" t="s">
        <v>14428</v>
      </c>
      <c r="B7264" s="2" t="s">
        <v>14428</v>
      </c>
      <c r="C7264" s="2" t="s">
        <v>17</v>
      </c>
      <c r="D7264" s="2" t="s">
        <v>18</v>
      </c>
      <c r="E7264" s="5">
        <v>-27895</v>
      </c>
      <c r="F7264" s="3" t="s">
        <v>5642</v>
      </c>
      <c r="G7264" s="3" t="s">
        <v>48</v>
      </c>
      <c r="H7264" s="2" t="s">
        <v>21</v>
      </c>
      <c r="I7264" s="2" t="s">
        <v>14429</v>
      </c>
      <c r="J7264" s="3" t="str">
        <f>HYPERLINK("https://www.boe.es/gazeta/dias/1823/08/16/pdfs/GMD-1823-603.pdf#page=3","Abrir facsímil")</f>
        <v>Abrir facsímil</v>
      </c>
      <c r="K7264" s="3" t="s">
        <v>23</v>
      </c>
    </row>
    <row r="7265" spans="1:11" ht="42" customHeight="1">
      <c r="A7265" s="2" t="s">
        <v>14430</v>
      </c>
      <c r="B7265" s="2" t="s">
        <v>14430</v>
      </c>
      <c r="C7265" s="2" t="s">
        <v>73</v>
      </c>
      <c r="D7265" s="2" t="s">
        <v>74</v>
      </c>
      <c r="E7265" s="5">
        <v>-28055</v>
      </c>
      <c r="F7265" s="3" t="s">
        <v>313</v>
      </c>
      <c r="G7265" s="3" t="s">
        <v>27</v>
      </c>
      <c r="H7265" s="2" t="s">
        <v>21</v>
      </c>
      <c r="I7265" s="2" t="s">
        <v>14431</v>
      </c>
      <c r="J7265" s="3" t="str">
        <f>HYPERLINK("https://www.boe.es/gazeta/dias/1823/03/09/pdfs/GMD-1823-72.pdf#page=2","Abrir facsímil")</f>
        <v>Abrir facsímil</v>
      </c>
      <c r="K7265" s="3" t="s">
        <v>23</v>
      </c>
    </row>
    <row r="7266" spans="1:11" ht="42" customHeight="1">
      <c r="A7266" s="2" t="s">
        <v>14432</v>
      </c>
      <c r="B7266" s="2" t="s">
        <v>14432</v>
      </c>
      <c r="C7266" s="2" t="s">
        <v>17</v>
      </c>
      <c r="D7266" s="2" t="s">
        <v>18</v>
      </c>
      <c r="E7266" s="5">
        <v>-27874</v>
      </c>
      <c r="F7266" s="3" t="s">
        <v>1410</v>
      </c>
      <c r="G7266" s="3" t="s">
        <v>48</v>
      </c>
      <c r="H7266" s="2" t="s">
        <v>21</v>
      </c>
      <c r="I7266" s="2" t="s">
        <v>14433</v>
      </c>
      <c r="J7266" s="3" t="str">
        <f>HYPERLINK("https://www.boe.es/gazeta/dias/1823/09/06/pdfs/GES-1823-150.pdf#page=3","Abrir facsímil")</f>
        <v>Abrir facsímil</v>
      </c>
      <c r="K7266" s="3" t="s">
        <v>23</v>
      </c>
    </row>
    <row r="7267" spans="1:11" ht="42" customHeight="1">
      <c r="A7267" s="2" t="s">
        <v>14434</v>
      </c>
      <c r="B7267" s="2" t="s">
        <v>14434</v>
      </c>
      <c r="C7267" s="2" t="s">
        <v>17</v>
      </c>
      <c r="D7267" s="2" t="s">
        <v>18</v>
      </c>
      <c r="E7267" s="5">
        <v>-27904</v>
      </c>
      <c r="F7267" s="3" t="s">
        <v>1227</v>
      </c>
      <c r="G7267" s="3" t="s">
        <v>20</v>
      </c>
      <c r="H7267" s="2" t="s">
        <v>21</v>
      </c>
      <c r="I7267" s="2" t="s">
        <v>14435</v>
      </c>
      <c r="J7267" s="3" t="str">
        <f>HYPERLINK("https://www.boe.es/gazeta/dias/1823/08/07/pdfs/GMD-1823-543.pdf#page=4","Abrir facsímil")</f>
        <v>Abrir facsímil</v>
      </c>
      <c r="K7267" s="3" t="s">
        <v>23</v>
      </c>
    </row>
    <row r="7268" spans="1:11" ht="42" customHeight="1">
      <c r="A7268" s="2" t="s">
        <v>14436</v>
      </c>
      <c r="B7268" s="2" t="s">
        <v>14436</v>
      </c>
      <c r="C7268" s="2" t="s">
        <v>17</v>
      </c>
      <c r="D7268" s="2" t="s">
        <v>18</v>
      </c>
      <c r="E7268" s="5">
        <v>-27949</v>
      </c>
      <c r="F7268" s="3" t="s">
        <v>1162</v>
      </c>
      <c r="G7268" s="3" t="s">
        <v>20</v>
      </c>
      <c r="H7268" s="2" t="s">
        <v>21</v>
      </c>
      <c r="I7268" s="2" t="s">
        <v>14437</v>
      </c>
      <c r="J7268" s="3" t="str">
        <f>HYPERLINK("https://www.boe.es/gazeta/dias/1823/06/23/pdfs/GES-1823-71.pdf#page=4","Abrir facsímil")</f>
        <v>Abrir facsímil</v>
      </c>
      <c r="K7268" s="3" t="s">
        <v>23</v>
      </c>
    </row>
    <row r="7269" spans="1:11" ht="42" customHeight="1">
      <c r="A7269" s="2" t="s">
        <v>14436</v>
      </c>
      <c r="B7269" s="2" t="s">
        <v>14436</v>
      </c>
      <c r="C7269" s="2" t="s">
        <v>17</v>
      </c>
      <c r="D7269" s="2" t="s">
        <v>18</v>
      </c>
      <c r="E7269" s="5">
        <v>-27946</v>
      </c>
      <c r="F7269" s="3" t="s">
        <v>2146</v>
      </c>
      <c r="G7269" s="3" t="s">
        <v>20</v>
      </c>
      <c r="H7269" s="2" t="s">
        <v>21</v>
      </c>
      <c r="I7269" s="2" t="s">
        <v>14438</v>
      </c>
      <c r="J7269" s="3" t="str">
        <f>HYPERLINK("https://www.boe.es/gazeta/dias/1823/06/26/pdfs/GES-1823-76.pdf#page=4","Abrir facsímil")</f>
        <v>Abrir facsímil</v>
      </c>
      <c r="K7269" s="3" t="s">
        <v>23</v>
      </c>
    </row>
    <row r="7270" spans="1:11" ht="42" customHeight="1">
      <c r="A7270" s="2" t="s">
        <v>14439</v>
      </c>
      <c r="B7270" s="2" t="s">
        <v>14440</v>
      </c>
      <c r="C7270" s="2" t="s">
        <v>17</v>
      </c>
      <c r="D7270" s="2" t="s">
        <v>18</v>
      </c>
      <c r="E7270" s="5">
        <v>-28058</v>
      </c>
      <c r="F7270" s="3" t="s">
        <v>1282</v>
      </c>
      <c r="G7270" s="3" t="s">
        <v>59</v>
      </c>
      <c r="H7270" s="2" t="s">
        <v>21</v>
      </c>
      <c r="I7270" s="2" t="s">
        <v>14441</v>
      </c>
      <c r="J7270" s="3" t="str">
        <f>HYPERLINK("https://www.boe.es/gazeta/dias/1823/03/06/pdfs/GMD-1823-69.pdf#page=6","Abrir facsímil")</f>
        <v>Abrir facsímil</v>
      </c>
      <c r="K7270" s="3" t="s">
        <v>23</v>
      </c>
    </row>
    <row r="7271" spans="1:11" ht="42" customHeight="1">
      <c r="A7271" s="2" t="s">
        <v>14442</v>
      </c>
      <c r="B7271" s="2" t="s">
        <v>14443</v>
      </c>
      <c r="C7271" s="2" t="s">
        <v>17</v>
      </c>
      <c r="D7271" s="2" t="s">
        <v>18</v>
      </c>
      <c r="E7271" s="5">
        <v>-28081</v>
      </c>
      <c r="F7271" s="3" t="s">
        <v>170</v>
      </c>
      <c r="G7271" s="3" t="s">
        <v>20</v>
      </c>
      <c r="H7271" s="2" t="s">
        <v>21</v>
      </c>
      <c r="I7271" s="2" t="s">
        <v>14444</v>
      </c>
      <c r="J7271" s="3" t="str">
        <f>HYPERLINK("https://www.boe.es/gazeta/dias/1823/02/11/pdfs/GMD-1823-45.pdf#page=4","Abrir facsímil")</f>
        <v>Abrir facsímil</v>
      </c>
      <c r="K7271" s="3" t="s">
        <v>23</v>
      </c>
    </row>
    <row r="7272" spans="1:11" ht="42" customHeight="1">
      <c r="A7272" s="2" t="s">
        <v>14445</v>
      </c>
      <c r="B7272" s="2" t="s">
        <v>14446</v>
      </c>
      <c r="C7272" s="2" t="s">
        <v>17</v>
      </c>
      <c r="D7272" s="2" t="s">
        <v>18</v>
      </c>
      <c r="E7272" s="5">
        <v>-27975</v>
      </c>
      <c r="F7272" s="3" t="s">
        <v>47</v>
      </c>
      <c r="G7272" s="3" t="s">
        <v>27</v>
      </c>
      <c r="H7272" s="2" t="s">
        <v>21</v>
      </c>
      <c r="I7272" s="2" t="s">
        <v>14447</v>
      </c>
      <c r="J7272" s="3" t="str">
        <f>HYPERLINK("https://www.boe.es/gazeta/dias/1823/05/28/pdfs/GES-1823-50.pdf#page=2","Abrir facsímil")</f>
        <v>Abrir facsímil</v>
      </c>
      <c r="K7272" s="3" t="s">
        <v>23</v>
      </c>
    </row>
    <row r="7273" spans="1:11" ht="42" customHeight="1">
      <c r="A7273" s="2" t="s">
        <v>14448</v>
      </c>
      <c r="B7273" s="2" t="s">
        <v>14449</v>
      </c>
      <c r="C7273" s="2" t="s">
        <v>293</v>
      </c>
      <c r="D7273" s="2" t="s">
        <v>74</v>
      </c>
      <c r="E7273" s="5">
        <v>-28065</v>
      </c>
      <c r="F7273" s="3" t="s">
        <v>686</v>
      </c>
      <c r="G7273" s="3" t="s">
        <v>20</v>
      </c>
      <c r="H7273" s="2" t="s">
        <v>28</v>
      </c>
      <c r="I7273" s="2" t="s">
        <v>14450</v>
      </c>
      <c r="J7273" s="3" t="str">
        <f>HYPERLINK("https://www.boe.es/gazeta/dias/1823/02/27/pdfs/GMD-1823-61.pdf#page=4","Abrir facsímil")</f>
        <v>Abrir facsímil</v>
      </c>
      <c r="K7273" s="3" t="s">
        <v>30</v>
      </c>
    </row>
    <row r="7274" spans="1:11" ht="42" customHeight="1">
      <c r="A7274" s="2" t="s">
        <v>14451</v>
      </c>
      <c r="B7274" s="2" t="s">
        <v>14452</v>
      </c>
      <c r="C7274" s="2" t="s">
        <v>84</v>
      </c>
      <c r="D7274" s="2" t="s">
        <v>74</v>
      </c>
      <c r="E7274" s="5">
        <v>-28118</v>
      </c>
      <c r="F7274" s="3" t="s">
        <v>252</v>
      </c>
      <c r="G7274" s="3" t="s">
        <v>59</v>
      </c>
      <c r="H7274" s="2" t="s">
        <v>21</v>
      </c>
      <c r="I7274" s="2" t="s">
        <v>14453</v>
      </c>
      <c r="J7274" s="3" t="str">
        <f>HYPERLINK("https://www.boe.es/gazeta/dias/1823/01/05/pdfs/GMD-1823-5.pdf#page=6","Abrir facsímil")</f>
        <v>Abrir facsímil</v>
      </c>
      <c r="K7274" s="3" t="s">
        <v>23</v>
      </c>
    </row>
    <row r="7275" spans="1:11" ht="42" customHeight="1">
      <c r="A7275" s="2" t="s">
        <v>14454</v>
      </c>
      <c r="B7275" s="2" t="s">
        <v>14455</v>
      </c>
      <c r="C7275" s="2" t="s">
        <v>109</v>
      </c>
      <c r="D7275" s="2" t="s">
        <v>74</v>
      </c>
      <c r="E7275" s="5">
        <v>-28085</v>
      </c>
      <c r="F7275" s="3" t="s">
        <v>458</v>
      </c>
      <c r="G7275" s="3" t="s">
        <v>39</v>
      </c>
      <c r="H7275" s="2" t="s">
        <v>21</v>
      </c>
      <c r="I7275" s="2" t="s">
        <v>14456</v>
      </c>
      <c r="J7275" s="3" t="str">
        <f>HYPERLINK("https://www.boe.es/gazeta/dias/1823/02/07/pdfs/GMD-1823-40.pdf#page=1","Abrir facsímil")</f>
        <v>Abrir facsímil</v>
      </c>
      <c r="K7275" s="3" t="s">
        <v>23</v>
      </c>
    </row>
    <row r="7276" spans="1:11" ht="42" customHeight="1">
      <c r="A7276" s="2" t="s">
        <v>14457</v>
      </c>
      <c r="B7276" s="2" t="s">
        <v>14457</v>
      </c>
      <c r="C7276" s="2" t="s">
        <v>17</v>
      </c>
      <c r="D7276" s="2" t="s">
        <v>18</v>
      </c>
      <c r="E7276" s="5">
        <v>-28077</v>
      </c>
      <c r="F7276" s="3" t="s">
        <v>536</v>
      </c>
      <c r="G7276" s="3" t="s">
        <v>59</v>
      </c>
      <c r="H7276" s="2" t="s">
        <v>21</v>
      </c>
      <c r="I7276" s="2" t="s">
        <v>14458</v>
      </c>
      <c r="J7276" s="3" t="str">
        <f>HYPERLINK("https://www.boe.es/gazeta/dias/1823/02/15/pdfs/GMD-1823-49.pdf#page=6","Abrir facsímil")</f>
        <v>Abrir facsímil</v>
      </c>
      <c r="K7276" s="3" t="s">
        <v>23</v>
      </c>
    </row>
    <row r="7277" spans="1:11" ht="42" customHeight="1">
      <c r="A7277" s="2" t="s">
        <v>14457</v>
      </c>
      <c r="B7277" s="2" t="s">
        <v>14457</v>
      </c>
      <c r="C7277" s="2" t="s">
        <v>17</v>
      </c>
      <c r="D7277" s="2" t="s">
        <v>18</v>
      </c>
      <c r="E7277" s="5">
        <v>-28074</v>
      </c>
      <c r="F7277" s="3" t="s">
        <v>212</v>
      </c>
      <c r="G7277" s="3" t="s">
        <v>39</v>
      </c>
      <c r="H7277" s="2" t="s">
        <v>21</v>
      </c>
      <c r="I7277" s="2" t="s">
        <v>14459</v>
      </c>
      <c r="J7277" s="3" t="str">
        <f>HYPERLINK("https://www.boe.es/gazeta/dias/1823/02/18/pdfs/GMD-1823-52.pdf#page=1","Abrir facsímil")</f>
        <v>Abrir facsímil</v>
      </c>
      <c r="K7277" s="3" t="s">
        <v>23</v>
      </c>
    </row>
    <row r="7278" spans="1:11" ht="42" customHeight="1">
      <c r="A7278" s="2" t="s">
        <v>14457</v>
      </c>
      <c r="B7278" s="2" t="s">
        <v>14457</v>
      </c>
      <c r="C7278" s="2" t="s">
        <v>17</v>
      </c>
      <c r="D7278" s="2" t="s">
        <v>18</v>
      </c>
      <c r="E7278" s="5">
        <v>-28062</v>
      </c>
      <c r="F7278" s="3" t="s">
        <v>1357</v>
      </c>
      <c r="G7278" s="3" t="s">
        <v>48</v>
      </c>
      <c r="H7278" s="2" t="s">
        <v>21</v>
      </c>
      <c r="I7278" s="2" t="s">
        <v>14460</v>
      </c>
      <c r="J7278" s="3" t="str">
        <f>HYPERLINK("https://www.boe.es/gazeta/dias/1823/03/02/pdfs/GMD-1823-65.pdf#page=3","Abrir facsímil")</f>
        <v>Abrir facsímil</v>
      </c>
      <c r="K7278" s="3" t="s">
        <v>23</v>
      </c>
    </row>
    <row r="7279" spans="1:11" ht="42" customHeight="1">
      <c r="A7279" s="2" t="s">
        <v>14457</v>
      </c>
      <c r="B7279" s="2" t="s">
        <v>14457</v>
      </c>
      <c r="C7279" s="2" t="s">
        <v>17</v>
      </c>
      <c r="D7279" s="2" t="s">
        <v>18</v>
      </c>
      <c r="E7279" s="5">
        <v>-28035</v>
      </c>
      <c r="F7279" s="3" t="s">
        <v>138</v>
      </c>
      <c r="G7279" s="3" t="s">
        <v>27</v>
      </c>
      <c r="H7279" s="2" t="s">
        <v>21</v>
      </c>
      <c r="I7279" s="2" t="s">
        <v>14461</v>
      </c>
      <c r="J7279" s="3" t="str">
        <f>HYPERLINK("https://www.boe.es/gazeta/dias/1823/03/29/pdfs/GMD-1823-92.pdf#page=2","Abrir facsímil")</f>
        <v>Abrir facsímil</v>
      </c>
      <c r="K7279" s="3" t="s">
        <v>23</v>
      </c>
    </row>
    <row r="7280" spans="1:11" ht="42" customHeight="1">
      <c r="A7280" s="2" t="s">
        <v>14457</v>
      </c>
      <c r="B7280" s="2" t="s">
        <v>14457</v>
      </c>
      <c r="C7280" s="2" t="s">
        <v>17</v>
      </c>
      <c r="D7280" s="2" t="s">
        <v>117</v>
      </c>
      <c r="E7280" s="5">
        <v>-27953</v>
      </c>
      <c r="F7280" s="3" t="s">
        <v>2684</v>
      </c>
      <c r="G7280" s="3" t="s">
        <v>39</v>
      </c>
      <c r="H7280" s="2" t="s">
        <v>21</v>
      </c>
      <c r="I7280" s="2" t="s">
        <v>14462</v>
      </c>
      <c r="J7280" s="3" t="str">
        <f>HYPERLINK("https://www.boe.es/gazeta/dias/1823/06/19/pdfs/GMD-1823-203E.pdf#page=1","Abrir facsímil")</f>
        <v>Abrir facsímil</v>
      </c>
      <c r="K7280" s="3" t="s">
        <v>23</v>
      </c>
    </row>
    <row r="7281" spans="1:11" ht="42" customHeight="1">
      <c r="A7281" s="2" t="s">
        <v>14457</v>
      </c>
      <c r="B7281" s="2" t="s">
        <v>14457</v>
      </c>
      <c r="C7281" s="2" t="s">
        <v>17</v>
      </c>
      <c r="D7281" s="2" t="s">
        <v>18</v>
      </c>
      <c r="E7281" s="5">
        <v>-27951</v>
      </c>
      <c r="F7281" s="3" t="s">
        <v>4670</v>
      </c>
      <c r="G7281" s="3" t="s">
        <v>48</v>
      </c>
      <c r="H7281" s="2" t="s">
        <v>21</v>
      </c>
      <c r="I7281" s="2" t="s">
        <v>14463</v>
      </c>
      <c r="J7281" s="3" t="str">
        <f>HYPERLINK("https://www.boe.es/gazeta/dias/1823/06/21/pdfs/GMD-1823-223.pdf#page=3","Abrir facsímil")</f>
        <v>Abrir facsímil</v>
      </c>
      <c r="K7281" s="3" t="s">
        <v>23</v>
      </c>
    </row>
    <row r="7282" spans="1:11" ht="42" customHeight="1">
      <c r="A7282" s="2" t="s">
        <v>14457</v>
      </c>
      <c r="B7282" s="2" t="s">
        <v>14457</v>
      </c>
      <c r="C7282" s="2" t="s">
        <v>17</v>
      </c>
      <c r="D7282" s="2" t="s">
        <v>117</v>
      </c>
      <c r="E7282" s="5">
        <v>-27951</v>
      </c>
      <c r="F7282" s="3" t="s">
        <v>14464</v>
      </c>
      <c r="G7282" s="3" t="s">
        <v>39</v>
      </c>
      <c r="H7282" s="2" t="s">
        <v>21</v>
      </c>
      <c r="I7282" s="2" t="s">
        <v>14465</v>
      </c>
      <c r="J7282" s="3" t="str">
        <f>HYPERLINK("https://www.boe.es/gazeta/dias/1823/06/21/pdfs/GMD-1823-233E.pdf#page=1","Abrir facsímil")</f>
        <v>Abrir facsímil</v>
      </c>
      <c r="K7282" s="3" t="s">
        <v>23</v>
      </c>
    </row>
    <row r="7283" spans="1:11" ht="42" customHeight="1">
      <c r="A7283" s="2" t="s">
        <v>14466</v>
      </c>
      <c r="B7283" s="2" t="s">
        <v>14466</v>
      </c>
      <c r="C7283" s="2" t="s">
        <v>17</v>
      </c>
      <c r="D7283" s="2" t="s">
        <v>18</v>
      </c>
      <c r="E7283" s="5">
        <v>-27944</v>
      </c>
      <c r="F7283" s="3" t="s">
        <v>658</v>
      </c>
      <c r="G7283" s="3" t="s">
        <v>39</v>
      </c>
      <c r="H7283" s="2" t="s">
        <v>21</v>
      </c>
      <c r="I7283" s="2" t="s">
        <v>14467</v>
      </c>
      <c r="J7283" s="3" t="str">
        <f>HYPERLINK("https://www.boe.es/gazeta/dias/1823/06/28/pdfs/GMD-1823-303.pdf#page=1","Abrir facsímil")</f>
        <v>Abrir facsímil</v>
      </c>
      <c r="K7283" s="3" t="s">
        <v>23</v>
      </c>
    </row>
    <row r="7284" spans="1:11" ht="42" customHeight="1">
      <c r="A7284" s="2" t="s">
        <v>14457</v>
      </c>
      <c r="B7284" s="2" t="s">
        <v>14457</v>
      </c>
      <c r="C7284" s="2" t="s">
        <v>79</v>
      </c>
      <c r="D7284" s="2" t="s">
        <v>74</v>
      </c>
      <c r="E7284" s="5">
        <v>-27941</v>
      </c>
      <c r="F7284" s="3" t="s">
        <v>1551</v>
      </c>
      <c r="G7284" s="3" t="s">
        <v>20</v>
      </c>
      <c r="H7284" s="2" t="s">
        <v>21</v>
      </c>
      <c r="I7284" s="2" t="s">
        <v>14468</v>
      </c>
      <c r="J7284" s="3" t="str">
        <f>HYPERLINK("https://www.boe.es/gazeta/dias/1823/07/01/pdfs/GMD-1823-323.pdf#page=4","Abrir facsímil")</f>
        <v>Abrir facsímil</v>
      </c>
      <c r="K7284" s="3" t="s">
        <v>23</v>
      </c>
    </row>
    <row r="7285" spans="1:11" ht="42" customHeight="1">
      <c r="A7285" s="2" t="s">
        <v>14457</v>
      </c>
      <c r="B7285" s="2" t="s">
        <v>14457</v>
      </c>
      <c r="C7285" s="2" t="s">
        <v>17</v>
      </c>
      <c r="D7285" s="2" t="s">
        <v>18</v>
      </c>
      <c r="E7285" s="5">
        <v>-27937</v>
      </c>
      <c r="F7285" s="3" t="s">
        <v>897</v>
      </c>
      <c r="G7285" s="3" t="s">
        <v>20</v>
      </c>
      <c r="H7285" s="2" t="s">
        <v>21</v>
      </c>
      <c r="I7285" s="2" t="s">
        <v>14469</v>
      </c>
      <c r="J7285" s="3" t="str">
        <f>HYPERLINK("https://www.boe.es/gazeta/dias/1823/07/05/pdfs/GMD-1823-343.pdf#page=4","Abrir facsímil")</f>
        <v>Abrir facsímil</v>
      </c>
      <c r="K7285" s="3" t="s">
        <v>23</v>
      </c>
    </row>
    <row r="7286" spans="1:11" ht="42" customHeight="1">
      <c r="A7286" s="2" t="s">
        <v>14457</v>
      </c>
      <c r="B7286" s="2" t="s">
        <v>14457</v>
      </c>
      <c r="C7286" s="2" t="s">
        <v>17</v>
      </c>
      <c r="D7286" s="2" t="s">
        <v>18</v>
      </c>
      <c r="E7286" s="5">
        <v>-27918</v>
      </c>
      <c r="F7286" s="3" t="s">
        <v>218</v>
      </c>
      <c r="G7286" s="3" t="s">
        <v>20</v>
      </c>
      <c r="H7286" s="2" t="s">
        <v>21</v>
      </c>
      <c r="I7286" s="2" t="s">
        <v>14470</v>
      </c>
      <c r="J7286" s="3" t="str">
        <f>HYPERLINK("https://www.boe.es/gazeta/dias/1823/07/24/pdfs/GMD-1823-463.pdf#page=4","Abrir facsímil")</f>
        <v>Abrir facsímil</v>
      </c>
      <c r="K7286" s="3" t="s">
        <v>23</v>
      </c>
    </row>
    <row r="7287" spans="1:11" ht="42" customHeight="1">
      <c r="A7287" s="2" t="s">
        <v>14457</v>
      </c>
      <c r="B7287" s="2" t="s">
        <v>14457</v>
      </c>
      <c r="C7287" s="2" t="s">
        <v>17</v>
      </c>
      <c r="D7287" s="2" t="s">
        <v>18</v>
      </c>
      <c r="E7287" s="5">
        <v>-27913</v>
      </c>
      <c r="F7287" s="3" t="s">
        <v>829</v>
      </c>
      <c r="G7287" s="3" t="s">
        <v>34</v>
      </c>
      <c r="H7287" s="2" t="s">
        <v>21</v>
      </c>
      <c r="I7287" s="2" t="s">
        <v>14471</v>
      </c>
      <c r="J7287" s="3" t="str">
        <f>HYPERLINK("https://www.boe.es/gazeta/dias/1823/07/29/pdfs/GMD-1823-483.pdf#page=5","Abrir facsímil")</f>
        <v>Abrir facsímil</v>
      </c>
      <c r="K7287" s="3" t="s">
        <v>23</v>
      </c>
    </row>
    <row r="7288" spans="1:11" ht="42" customHeight="1">
      <c r="A7288" s="2" t="s">
        <v>14457</v>
      </c>
      <c r="B7288" s="2" t="s">
        <v>14457</v>
      </c>
      <c r="C7288" s="2" t="s">
        <v>17</v>
      </c>
      <c r="D7288" s="2" t="s">
        <v>18</v>
      </c>
      <c r="E7288" s="5">
        <v>-27911</v>
      </c>
      <c r="F7288" s="3" t="s">
        <v>1393</v>
      </c>
      <c r="G7288" s="3" t="s">
        <v>20</v>
      </c>
      <c r="H7288" s="2" t="s">
        <v>21</v>
      </c>
      <c r="I7288" s="2" t="s">
        <v>14472</v>
      </c>
      <c r="J7288" s="3" t="str">
        <f>HYPERLINK("https://www.boe.es/gazeta/dias/1823/07/31/pdfs/GMD-1823-503.pdf#page=4","Abrir facsímil")</f>
        <v>Abrir facsímil</v>
      </c>
      <c r="K7288" s="3" t="s">
        <v>23</v>
      </c>
    </row>
    <row r="7289" spans="1:11" ht="42" customHeight="1">
      <c r="A7289" s="2" t="s">
        <v>14457</v>
      </c>
      <c r="B7289" s="2" t="s">
        <v>14457</v>
      </c>
      <c r="C7289" s="2" t="s">
        <v>17</v>
      </c>
      <c r="D7289" s="2" t="s">
        <v>18</v>
      </c>
      <c r="E7289" s="5">
        <v>-27906</v>
      </c>
      <c r="F7289" s="3" t="s">
        <v>1527</v>
      </c>
      <c r="G7289" s="3" t="s">
        <v>20</v>
      </c>
      <c r="H7289" s="2" t="s">
        <v>21</v>
      </c>
      <c r="I7289" s="2" t="s">
        <v>14473</v>
      </c>
      <c r="J7289" s="3" t="str">
        <f>HYPERLINK("https://www.boe.es/gazeta/dias/1823/08/05/pdfs/GMD-1823-533.pdf#page=4","Abrir facsímil")</f>
        <v>Abrir facsímil</v>
      </c>
      <c r="K7289" s="3" t="s">
        <v>23</v>
      </c>
    </row>
    <row r="7290" spans="1:11" ht="42" customHeight="1">
      <c r="A7290" s="2" t="s">
        <v>14457</v>
      </c>
      <c r="B7290" s="2" t="s">
        <v>14457</v>
      </c>
      <c r="C7290" s="2" t="s">
        <v>17</v>
      </c>
      <c r="D7290" s="2" t="s">
        <v>18</v>
      </c>
      <c r="E7290" s="5">
        <v>-27904</v>
      </c>
      <c r="F7290" s="3" t="s">
        <v>1227</v>
      </c>
      <c r="G7290" s="3" t="s">
        <v>48</v>
      </c>
      <c r="H7290" s="2" t="s">
        <v>21</v>
      </c>
      <c r="I7290" s="2" t="s">
        <v>14474</v>
      </c>
      <c r="J7290" s="3" t="str">
        <f>HYPERLINK("https://www.boe.es/gazeta/dias/1823/08/07/pdfs/GMD-1823-543.pdf#page=3","Abrir facsímil")</f>
        <v>Abrir facsímil</v>
      </c>
      <c r="K7290" s="3" t="s">
        <v>23</v>
      </c>
    </row>
    <row r="7291" spans="1:11" ht="42" customHeight="1">
      <c r="A7291" s="2" t="s">
        <v>14457</v>
      </c>
      <c r="B7291" s="2" t="s">
        <v>14457</v>
      </c>
      <c r="C7291" s="2" t="s">
        <v>17</v>
      </c>
      <c r="D7291" s="2" t="s">
        <v>18</v>
      </c>
      <c r="E7291" s="5">
        <v>-27904</v>
      </c>
      <c r="F7291" s="3" t="s">
        <v>1227</v>
      </c>
      <c r="G7291" s="3" t="s">
        <v>20</v>
      </c>
      <c r="H7291" s="2" t="s">
        <v>21</v>
      </c>
      <c r="I7291" s="2" t="s">
        <v>14475</v>
      </c>
      <c r="J7291" s="3" t="str">
        <f>HYPERLINK("https://www.boe.es/gazeta/dias/1823/08/07/pdfs/GMD-1823-543.pdf#page=4","Abrir facsímil")</f>
        <v>Abrir facsímil</v>
      </c>
      <c r="K7291" s="3" t="s">
        <v>23</v>
      </c>
    </row>
    <row r="7292" spans="1:11" ht="42" customHeight="1">
      <c r="A7292" s="2" t="s">
        <v>14457</v>
      </c>
      <c r="B7292" s="2" t="s">
        <v>14457</v>
      </c>
      <c r="C7292" s="2" t="s">
        <v>17</v>
      </c>
      <c r="D7292" s="2" t="s">
        <v>117</v>
      </c>
      <c r="E7292" s="5">
        <v>-27904</v>
      </c>
      <c r="F7292" s="3" t="s">
        <v>14476</v>
      </c>
      <c r="G7292" s="3" t="s">
        <v>39</v>
      </c>
      <c r="H7292" s="2" t="s">
        <v>21</v>
      </c>
      <c r="I7292" s="2" t="s">
        <v>14477</v>
      </c>
      <c r="J7292" s="3" t="str">
        <f>HYPERLINK("https://www.boe.es/gazeta/dias/1823/08/07/pdfs/GMD-1823-553E.pdf#page=1","Abrir facsímil")</f>
        <v>Abrir facsímil</v>
      </c>
      <c r="K7292" s="3" t="s">
        <v>23</v>
      </c>
    </row>
    <row r="7293" spans="1:11" ht="42" customHeight="1">
      <c r="A7293" s="2" t="s">
        <v>14478</v>
      </c>
      <c r="B7293" s="2" t="s">
        <v>14478</v>
      </c>
      <c r="C7293" s="2" t="s">
        <v>17</v>
      </c>
      <c r="D7293" s="2" t="s">
        <v>18</v>
      </c>
      <c r="E7293" s="5">
        <v>-27902</v>
      </c>
      <c r="F7293" s="3" t="s">
        <v>259</v>
      </c>
      <c r="G7293" s="3" t="s">
        <v>48</v>
      </c>
      <c r="H7293" s="2" t="s">
        <v>21</v>
      </c>
      <c r="I7293" s="2" t="s">
        <v>14479</v>
      </c>
      <c r="J7293" s="3" t="str">
        <f>HYPERLINK("https://www.boe.es/gazeta/dias/1823/08/09/pdfs/GMD-1823-563.pdf#page=3","Abrir facsímil")</f>
        <v>Abrir facsímil</v>
      </c>
      <c r="K7293" s="3" t="s">
        <v>23</v>
      </c>
    </row>
    <row r="7294" spans="1:11" ht="42" customHeight="1">
      <c r="A7294" s="2" t="s">
        <v>14457</v>
      </c>
      <c r="B7294" s="2" t="s">
        <v>14457</v>
      </c>
      <c r="C7294" s="2" t="s">
        <v>17</v>
      </c>
      <c r="D7294" s="2" t="s">
        <v>18</v>
      </c>
      <c r="E7294" s="5">
        <v>-27902</v>
      </c>
      <c r="F7294" s="3" t="s">
        <v>259</v>
      </c>
      <c r="G7294" s="3" t="s">
        <v>20</v>
      </c>
      <c r="H7294" s="2" t="s">
        <v>21</v>
      </c>
      <c r="I7294" s="2" t="s">
        <v>14480</v>
      </c>
      <c r="J7294" s="3" t="str">
        <f>HYPERLINK("https://www.boe.es/gazeta/dias/1823/08/09/pdfs/GMD-1823-563.pdf#page=4","Abrir facsímil")</f>
        <v>Abrir facsímil</v>
      </c>
      <c r="K7294" s="3" t="s">
        <v>23</v>
      </c>
    </row>
    <row r="7295" spans="1:11" ht="42" customHeight="1">
      <c r="A7295" s="2" t="s">
        <v>14457</v>
      </c>
      <c r="B7295" s="2" t="s">
        <v>14457</v>
      </c>
      <c r="C7295" s="2" t="s">
        <v>17</v>
      </c>
      <c r="D7295" s="2" t="s">
        <v>18</v>
      </c>
      <c r="E7295" s="5">
        <v>-27899</v>
      </c>
      <c r="F7295" s="3" t="s">
        <v>215</v>
      </c>
      <c r="G7295" s="3" t="s">
        <v>39</v>
      </c>
      <c r="H7295" s="2" t="s">
        <v>21</v>
      </c>
      <c r="I7295" s="2" t="s">
        <v>14481</v>
      </c>
      <c r="J7295" s="3" t="str">
        <f>HYPERLINK("https://www.boe.es/gazeta/dias/1823/08/12/pdfs/GMD-1823-583.pdf#page=1","Abrir facsímil")</f>
        <v>Abrir facsímil</v>
      </c>
      <c r="K7295" s="3" t="s">
        <v>23</v>
      </c>
    </row>
    <row r="7296" spans="1:11" ht="42" customHeight="1">
      <c r="A7296" s="2" t="s">
        <v>14457</v>
      </c>
      <c r="B7296" s="2" t="s">
        <v>14457</v>
      </c>
      <c r="C7296" s="2" t="s">
        <v>17</v>
      </c>
      <c r="D7296" s="2" t="s">
        <v>18</v>
      </c>
      <c r="E7296" s="5">
        <v>-27897</v>
      </c>
      <c r="F7296" s="3" t="s">
        <v>1569</v>
      </c>
      <c r="G7296" s="3" t="s">
        <v>27</v>
      </c>
      <c r="H7296" s="2" t="s">
        <v>21</v>
      </c>
      <c r="I7296" s="2" t="s">
        <v>14482</v>
      </c>
      <c r="J7296" s="3" t="str">
        <f>HYPERLINK("https://www.boe.es/gazeta/dias/1823/08/14/pdfs/GMD-1823-593.pdf#page=2","Abrir facsímil")</f>
        <v>Abrir facsímil</v>
      </c>
      <c r="K7296" s="3" t="s">
        <v>23</v>
      </c>
    </row>
    <row r="7297" spans="1:11" ht="42" customHeight="1">
      <c r="A7297" s="2" t="s">
        <v>14457</v>
      </c>
      <c r="B7297" s="2" t="s">
        <v>14457</v>
      </c>
      <c r="C7297" s="2" t="s">
        <v>17</v>
      </c>
      <c r="D7297" s="2" t="s">
        <v>18</v>
      </c>
      <c r="E7297" s="5">
        <v>-27895</v>
      </c>
      <c r="F7297" s="3" t="s">
        <v>5642</v>
      </c>
      <c r="G7297" s="3" t="s">
        <v>48</v>
      </c>
      <c r="H7297" s="2" t="s">
        <v>21</v>
      </c>
      <c r="I7297" s="2" t="s">
        <v>14483</v>
      </c>
      <c r="J7297" s="3" t="str">
        <f>HYPERLINK("https://www.boe.es/gazeta/dias/1823/08/16/pdfs/GMD-1823-603.pdf#page=3","Abrir facsímil")</f>
        <v>Abrir facsímil</v>
      </c>
      <c r="K7297" s="3" t="s">
        <v>23</v>
      </c>
    </row>
    <row r="7298" spans="1:11" ht="42" customHeight="1">
      <c r="A7298" s="2" t="s">
        <v>14457</v>
      </c>
      <c r="B7298" s="2" t="s">
        <v>14457</v>
      </c>
      <c r="C7298" s="2" t="s">
        <v>17</v>
      </c>
      <c r="D7298" s="2" t="s">
        <v>18</v>
      </c>
      <c r="E7298" s="5">
        <v>-27881</v>
      </c>
      <c r="F7298" s="3" t="s">
        <v>725</v>
      </c>
      <c r="G7298" s="3" t="s">
        <v>48</v>
      </c>
      <c r="H7298" s="2" t="s">
        <v>21</v>
      </c>
      <c r="I7298" s="2" t="s">
        <v>14484</v>
      </c>
      <c r="J7298" s="3" t="str">
        <f>HYPERLINK("https://www.boe.es/gazeta/dias/1823/08/30/pdfs/GMD-1823-673.pdf#page=3","Abrir facsímil")</f>
        <v>Abrir facsímil</v>
      </c>
      <c r="K7298" s="3" t="s">
        <v>23</v>
      </c>
    </row>
    <row r="7299" spans="1:11" ht="42" customHeight="1">
      <c r="A7299" s="2" t="s">
        <v>14457</v>
      </c>
      <c r="B7299" s="2" t="s">
        <v>14457</v>
      </c>
      <c r="C7299" s="2" t="s">
        <v>17</v>
      </c>
      <c r="D7299" s="2" t="s">
        <v>18</v>
      </c>
      <c r="E7299" s="5">
        <v>-27878</v>
      </c>
      <c r="F7299" s="3" t="s">
        <v>1581</v>
      </c>
      <c r="G7299" s="3" t="s">
        <v>20</v>
      </c>
      <c r="H7299" s="2" t="s">
        <v>21</v>
      </c>
      <c r="I7299" s="2" t="s">
        <v>14485</v>
      </c>
      <c r="J7299" s="3" t="str">
        <f>HYPERLINK("https://www.boe.es/gazeta/dias/1823/09/02/pdfs/GMD-1823-683.pdf#page=4","Abrir facsímil")</f>
        <v>Abrir facsímil</v>
      </c>
      <c r="K7299" s="3" t="s">
        <v>23</v>
      </c>
    </row>
    <row r="7300" spans="1:11" ht="42" customHeight="1">
      <c r="A7300" s="2" t="s">
        <v>14457</v>
      </c>
      <c r="B7300" s="2" t="s">
        <v>14457</v>
      </c>
      <c r="C7300" s="2" t="s">
        <v>17</v>
      </c>
      <c r="D7300" s="2" t="s">
        <v>18</v>
      </c>
      <c r="E7300" s="5">
        <v>-27874</v>
      </c>
      <c r="F7300" s="3" t="s">
        <v>1410</v>
      </c>
      <c r="G7300" s="3" t="s">
        <v>48</v>
      </c>
      <c r="H7300" s="2" t="s">
        <v>21</v>
      </c>
      <c r="I7300" s="2" t="s">
        <v>14486</v>
      </c>
      <c r="J7300" s="3" t="str">
        <f>HYPERLINK("https://www.boe.es/gazeta/dias/1823/09/06/pdfs/GES-1823-150.pdf#page=3","Abrir facsímil")</f>
        <v>Abrir facsímil</v>
      </c>
      <c r="K7300" s="3" t="s">
        <v>23</v>
      </c>
    </row>
    <row r="7301" spans="1:11" ht="42" customHeight="1">
      <c r="A7301" s="2" t="s">
        <v>14457</v>
      </c>
      <c r="B7301" s="2" t="s">
        <v>14457</v>
      </c>
      <c r="C7301" s="2" t="s">
        <v>79</v>
      </c>
      <c r="D7301" s="2" t="s">
        <v>74</v>
      </c>
      <c r="E7301" s="5">
        <v>-27860</v>
      </c>
      <c r="F7301" s="3" t="s">
        <v>998</v>
      </c>
      <c r="G7301" s="3" t="s">
        <v>34</v>
      </c>
      <c r="H7301" s="2" t="s">
        <v>21</v>
      </c>
      <c r="I7301" s="2" t="s">
        <v>14487</v>
      </c>
      <c r="J7301" s="3" t="str">
        <f>HYPERLINK("https://www.boe.es/gazeta/dias/1823/09/20/pdfs/GMD-1823-813.pdf#page=5","Abrir facsímil")</f>
        <v>Abrir facsímil</v>
      </c>
      <c r="K7301" s="3" t="s">
        <v>23</v>
      </c>
    </row>
    <row r="7302" spans="1:11" ht="42" customHeight="1">
      <c r="A7302" s="2" t="s">
        <v>14457</v>
      </c>
      <c r="B7302" s="2" t="s">
        <v>14457</v>
      </c>
      <c r="C7302" s="2" t="s">
        <v>17</v>
      </c>
      <c r="D7302" s="2" t="s">
        <v>18</v>
      </c>
      <c r="E7302" s="5">
        <v>-27860</v>
      </c>
      <c r="F7302" s="3" t="s">
        <v>998</v>
      </c>
      <c r="G7302" s="3" t="s">
        <v>59</v>
      </c>
      <c r="H7302" s="2" t="s">
        <v>21</v>
      </c>
      <c r="I7302" s="2" t="s">
        <v>14488</v>
      </c>
      <c r="J7302" s="3" t="str">
        <f>HYPERLINK("https://www.boe.es/gazeta/dias/1823/09/20/pdfs/GMD-1823-813.pdf#page=6","Abrir facsímil")</f>
        <v>Abrir facsímil</v>
      </c>
      <c r="K7302" s="3" t="s">
        <v>23</v>
      </c>
    </row>
    <row r="7303" spans="1:11" ht="42" customHeight="1">
      <c r="A7303" s="2" t="s">
        <v>14457</v>
      </c>
      <c r="B7303" s="2" t="s">
        <v>14457</v>
      </c>
      <c r="C7303" s="2" t="s">
        <v>109</v>
      </c>
      <c r="D7303" s="2" t="s">
        <v>74</v>
      </c>
      <c r="E7303" s="5">
        <v>-27855</v>
      </c>
      <c r="F7303" s="3" t="s">
        <v>380</v>
      </c>
      <c r="G7303" s="3" t="s">
        <v>27</v>
      </c>
      <c r="H7303" s="2" t="s">
        <v>21</v>
      </c>
      <c r="I7303" s="2" t="s">
        <v>14489</v>
      </c>
      <c r="J7303" s="3" t="str">
        <f>HYPERLINK("https://www.boe.es/gazeta/dias/1823/09/25/pdfs/GMD-1823-853.pdf#page=2","Abrir facsímil")</f>
        <v>Abrir facsímil</v>
      </c>
      <c r="K7303" s="3" t="s">
        <v>23</v>
      </c>
    </row>
    <row r="7304" spans="1:11" ht="42" customHeight="1">
      <c r="A7304" s="2" t="s">
        <v>14457</v>
      </c>
      <c r="B7304" s="2" t="s">
        <v>14457</v>
      </c>
      <c r="C7304" s="2" t="s">
        <v>17</v>
      </c>
      <c r="D7304" s="2" t="s">
        <v>18</v>
      </c>
      <c r="E7304" s="5">
        <v>-27834</v>
      </c>
      <c r="F7304" s="3" t="s">
        <v>188</v>
      </c>
      <c r="G7304" s="3" t="s">
        <v>20</v>
      </c>
      <c r="H7304" s="2" t="s">
        <v>21</v>
      </c>
      <c r="I7304" s="2" t="s">
        <v>14490</v>
      </c>
      <c r="J7304" s="3" t="str">
        <f>HYPERLINK("https://www.boe.es/gazeta/dias/1823/10/16/pdfs/GMD-1823-983.pdf#page=4","Abrir facsímil")</f>
        <v>Abrir facsímil</v>
      </c>
      <c r="K7304" s="3" t="s">
        <v>23</v>
      </c>
    </row>
    <row r="7305" spans="1:11" ht="42" customHeight="1">
      <c r="A7305" s="2" t="s">
        <v>14491</v>
      </c>
      <c r="B7305" s="2" t="s">
        <v>14492</v>
      </c>
      <c r="C7305" s="2" t="s">
        <v>17</v>
      </c>
      <c r="D7305" s="2" t="s">
        <v>18</v>
      </c>
      <c r="E7305" s="5">
        <v>-27857</v>
      </c>
      <c r="F7305" s="3" t="s">
        <v>378</v>
      </c>
      <c r="G7305" s="3" t="s">
        <v>20</v>
      </c>
      <c r="H7305" s="2" t="s">
        <v>21</v>
      </c>
      <c r="I7305" s="2" t="s">
        <v>14493</v>
      </c>
      <c r="J7305" s="3" t="str">
        <f>HYPERLINK("https://www.boe.es/gazeta/dias/1823/09/23/pdfs/GMD-1823-833.pdf#page=4","Abrir facsímil")</f>
        <v>Abrir facsímil</v>
      </c>
      <c r="K7305" s="3" t="s">
        <v>23</v>
      </c>
    </row>
    <row r="7306" spans="1:11" ht="42" customHeight="1">
      <c r="A7306" s="2" t="s">
        <v>14491</v>
      </c>
      <c r="B7306" s="2" t="s">
        <v>14492</v>
      </c>
      <c r="C7306" s="2" t="s">
        <v>17</v>
      </c>
      <c r="D7306" s="2" t="s">
        <v>18</v>
      </c>
      <c r="E7306" s="5">
        <v>-27829</v>
      </c>
      <c r="F7306" s="3" t="s">
        <v>228</v>
      </c>
      <c r="G7306" s="3" t="s">
        <v>48</v>
      </c>
      <c r="H7306" s="2" t="s">
        <v>21</v>
      </c>
      <c r="I7306" s="2" t="s">
        <v>14494</v>
      </c>
      <c r="J7306" s="3" t="str">
        <f>HYPERLINK("https://www.boe.es/gazeta/dias/1823/10/21/pdfs/GMD-1823-1003.pdf#page=3","Abrir facsímil")</f>
        <v>Abrir facsímil</v>
      </c>
      <c r="K7306" s="3" t="s">
        <v>23</v>
      </c>
    </row>
    <row r="7307" spans="1:11" ht="42" customHeight="1">
      <c r="A7307" s="2" t="s">
        <v>14495</v>
      </c>
      <c r="B7307" s="2" t="s">
        <v>14496</v>
      </c>
      <c r="C7307" s="2" t="s">
        <v>17</v>
      </c>
      <c r="D7307" s="2" t="s">
        <v>18</v>
      </c>
      <c r="E7307" s="5">
        <v>-27801</v>
      </c>
      <c r="F7307" s="3" t="s">
        <v>800</v>
      </c>
      <c r="G7307" s="3" t="s">
        <v>39</v>
      </c>
      <c r="H7307" s="2" t="s">
        <v>21</v>
      </c>
      <c r="I7307" s="2" t="s">
        <v>14497</v>
      </c>
      <c r="J7307" s="3" t="str">
        <f>HYPERLINK("https://www.boe.es/gazeta/dias/1823/11/18/pdfs/GMD-1823-1133.pdf#page=1","Abrir facsímil")</f>
        <v>Abrir facsímil</v>
      </c>
      <c r="K7307" s="3" t="s">
        <v>23</v>
      </c>
    </row>
    <row r="7308" spans="1:11" ht="42" customHeight="1">
      <c r="A7308" s="2" t="s">
        <v>14498</v>
      </c>
      <c r="B7308" s="2" t="s">
        <v>14499</v>
      </c>
      <c r="C7308" s="2" t="s">
        <v>56</v>
      </c>
      <c r="D7308" s="2" t="s">
        <v>57</v>
      </c>
      <c r="E7308" s="5">
        <v>-28082</v>
      </c>
      <c r="F7308" s="3" t="s">
        <v>468</v>
      </c>
      <c r="G7308" s="3" t="s">
        <v>39</v>
      </c>
      <c r="H7308" s="2" t="s">
        <v>21</v>
      </c>
      <c r="I7308" s="2" t="s">
        <v>14500</v>
      </c>
      <c r="J7308" s="3" t="str">
        <f>HYPERLINK("https://www.boe.es/gazeta/dias/1823/02/10/pdfs/GMD-1823-44.pdf#page=1","Abrir facsímil")</f>
        <v>Abrir facsímil</v>
      </c>
      <c r="K7308" s="3" t="s">
        <v>23</v>
      </c>
    </row>
    <row r="7309" spans="1:11" ht="42" customHeight="1">
      <c r="A7309" s="2" t="s">
        <v>14501</v>
      </c>
      <c r="B7309" s="2" t="s">
        <v>14502</v>
      </c>
      <c r="C7309" s="2" t="s">
        <v>56</v>
      </c>
      <c r="D7309" s="2" t="s">
        <v>57</v>
      </c>
      <c r="E7309" s="5">
        <v>-28082</v>
      </c>
      <c r="F7309" s="3" t="s">
        <v>468</v>
      </c>
      <c r="G7309" s="3" t="s">
        <v>39</v>
      </c>
      <c r="H7309" s="2" t="s">
        <v>21</v>
      </c>
      <c r="I7309" s="2" t="s">
        <v>14503</v>
      </c>
      <c r="J7309" s="3" t="str">
        <f>HYPERLINK("https://www.boe.es/gazeta/dias/1823/02/10/pdfs/GMD-1823-44.pdf#page=1","Abrir facsímil")</f>
        <v>Abrir facsímil</v>
      </c>
      <c r="K7309" s="3" t="s">
        <v>23</v>
      </c>
    </row>
    <row r="7310" spans="1:11" ht="42" customHeight="1">
      <c r="A7310" s="2" t="s">
        <v>14504</v>
      </c>
      <c r="B7310" s="2" t="s">
        <v>14504</v>
      </c>
      <c r="C7310" s="2" t="s">
        <v>17</v>
      </c>
      <c r="D7310" s="2" t="s">
        <v>18</v>
      </c>
      <c r="E7310" s="5">
        <v>-27926</v>
      </c>
      <c r="F7310" s="3" t="s">
        <v>2158</v>
      </c>
      <c r="G7310" s="3" t="s">
        <v>39</v>
      </c>
      <c r="H7310" s="2" t="s">
        <v>21</v>
      </c>
      <c r="I7310" s="2" t="s">
        <v>14505</v>
      </c>
      <c r="J7310" s="3" t="str">
        <f>HYPERLINK("https://www.boe.es/gazeta/dias/1823/07/16/pdfs/GES-1823-96.pdf#page=1","Abrir facsímil")</f>
        <v>Abrir facsímil</v>
      </c>
      <c r="K7310" s="3" t="s">
        <v>23</v>
      </c>
    </row>
    <row r="7311" spans="1:11" ht="42" customHeight="1">
      <c r="A7311" s="2" t="s">
        <v>14506</v>
      </c>
      <c r="B7311" s="2" t="s">
        <v>14506</v>
      </c>
      <c r="C7311" s="2" t="s">
        <v>56</v>
      </c>
      <c r="D7311" s="2" t="s">
        <v>57</v>
      </c>
      <c r="E7311" s="5">
        <v>-27945</v>
      </c>
      <c r="F7311" s="3" t="s">
        <v>628</v>
      </c>
      <c r="G7311" s="3" t="s">
        <v>39</v>
      </c>
      <c r="H7311" s="2" t="s">
        <v>21</v>
      </c>
      <c r="I7311" s="2" t="s">
        <v>14507</v>
      </c>
      <c r="J7311" s="3" t="str">
        <f>HYPERLINK("https://www.boe.es/gazeta/dias/1823/06/27/pdfs/GES-1823-77.pdf#page=1","Abrir facsímil")</f>
        <v>Abrir facsímil</v>
      </c>
      <c r="K7311" s="3" t="s">
        <v>23</v>
      </c>
    </row>
    <row r="7312" spans="1:11" ht="42" customHeight="1">
      <c r="A7312" s="2" t="s">
        <v>14508</v>
      </c>
      <c r="B7312" s="2" t="s">
        <v>14509</v>
      </c>
      <c r="C7312" s="2" t="s">
        <v>17</v>
      </c>
      <c r="D7312" s="2" t="s">
        <v>18</v>
      </c>
      <c r="E7312" s="5">
        <v>-28048</v>
      </c>
      <c r="F7312" s="3" t="s">
        <v>399</v>
      </c>
      <c r="G7312" s="3" t="s">
        <v>59</v>
      </c>
      <c r="H7312" s="2" t="s">
        <v>21</v>
      </c>
      <c r="I7312" s="2" t="s">
        <v>14510</v>
      </c>
      <c r="J7312" s="3" t="str">
        <f>HYPERLINK("https://www.boe.es/gazeta/dias/1823/03/16/pdfs/GMD-1823-79.pdf#page=6","Abrir facsímil")</f>
        <v>Abrir facsímil</v>
      </c>
      <c r="K7312" s="3" t="s">
        <v>23</v>
      </c>
    </row>
    <row r="7313" spans="1:11" ht="42" customHeight="1">
      <c r="A7313" s="2" t="s">
        <v>14511</v>
      </c>
      <c r="B7313" s="2" t="s">
        <v>14512</v>
      </c>
      <c r="C7313" s="2" t="s">
        <v>17</v>
      </c>
      <c r="D7313" s="2" t="s">
        <v>18</v>
      </c>
      <c r="E7313" s="5">
        <v>-27984</v>
      </c>
      <c r="F7313" s="3" t="s">
        <v>335</v>
      </c>
      <c r="G7313" s="3" t="s">
        <v>27</v>
      </c>
      <c r="H7313" s="2" t="s">
        <v>21</v>
      </c>
      <c r="I7313" s="2" t="s">
        <v>14513</v>
      </c>
      <c r="J7313" s="3" t="str">
        <f>HYPERLINK("https://www.boe.es/gazeta/dias/1823/05/19/pdfs/GES-1823-39.pdf#page=2","Abrir facsímil")</f>
        <v>Abrir facsímil</v>
      </c>
      <c r="K7313" s="3" t="s">
        <v>23</v>
      </c>
    </row>
    <row r="7314" spans="1:11" ht="42" customHeight="1">
      <c r="A7314" s="2" t="s">
        <v>14514</v>
      </c>
      <c r="B7314" s="2" t="s">
        <v>14515</v>
      </c>
      <c r="C7314" s="2" t="s">
        <v>17</v>
      </c>
      <c r="D7314" s="2" t="s">
        <v>18</v>
      </c>
      <c r="E7314" s="5">
        <v>-27984</v>
      </c>
      <c r="F7314" s="3" t="s">
        <v>335</v>
      </c>
      <c r="G7314" s="3" t="s">
        <v>27</v>
      </c>
      <c r="H7314" s="2" t="s">
        <v>21</v>
      </c>
      <c r="I7314" s="2" t="s">
        <v>14516</v>
      </c>
      <c r="J7314" s="3" t="str">
        <f>HYPERLINK("https://www.boe.es/gazeta/dias/1823/05/19/pdfs/GES-1823-39.pdf#page=2","Abrir facsímil")</f>
        <v>Abrir facsímil</v>
      </c>
      <c r="K7314" s="3" t="s">
        <v>23</v>
      </c>
    </row>
    <row r="7315" spans="1:11" ht="42" customHeight="1">
      <c r="A7315" s="2" t="s">
        <v>14514</v>
      </c>
      <c r="B7315" s="2" t="s">
        <v>14515</v>
      </c>
      <c r="C7315" s="2" t="s">
        <v>17</v>
      </c>
      <c r="D7315" s="2" t="s">
        <v>18</v>
      </c>
      <c r="E7315" s="5">
        <v>-27818</v>
      </c>
      <c r="F7315" s="3" t="s">
        <v>1597</v>
      </c>
      <c r="G7315" s="3" t="s">
        <v>20</v>
      </c>
      <c r="H7315" s="2" t="s">
        <v>21</v>
      </c>
      <c r="I7315" s="2" t="s">
        <v>14517</v>
      </c>
      <c r="J7315" s="3" t="str">
        <f>HYPERLINK("https://www.boe.es/gazeta/dias/1823/11/01/pdfs/GMD-1823-1053.pdf#page=4","Abrir facsímil")</f>
        <v>Abrir facsímil</v>
      </c>
      <c r="K7315" s="3" t="s">
        <v>23</v>
      </c>
    </row>
    <row r="7316" spans="1:11" ht="42" customHeight="1">
      <c r="A7316" s="2" t="s">
        <v>14518</v>
      </c>
      <c r="B7316" s="2" t="s">
        <v>14519</v>
      </c>
      <c r="C7316" s="2" t="s">
        <v>17</v>
      </c>
      <c r="D7316" s="2" t="s">
        <v>18</v>
      </c>
      <c r="E7316" s="5">
        <v>-27846</v>
      </c>
      <c r="F7316" s="3" t="s">
        <v>2535</v>
      </c>
      <c r="G7316" s="3" t="s">
        <v>48</v>
      </c>
      <c r="H7316" s="2" t="s">
        <v>21</v>
      </c>
      <c r="I7316" s="2" t="s">
        <v>14520</v>
      </c>
      <c r="J7316" s="3" t="str">
        <f>HYPERLINK("https://www.boe.es/gazeta/dias/1823/10/04/pdfs/GMD-1823-913.pdf#page=3","Abrir facsímil")</f>
        <v>Abrir facsímil</v>
      </c>
      <c r="K7316" s="3" t="s">
        <v>23</v>
      </c>
    </row>
    <row r="7317" spans="1:11" ht="42" customHeight="1">
      <c r="A7317" s="2" t="s">
        <v>14521</v>
      </c>
      <c r="B7317" s="2" t="s">
        <v>14522</v>
      </c>
      <c r="C7317" s="2" t="s">
        <v>79</v>
      </c>
      <c r="D7317" s="2" t="s">
        <v>74</v>
      </c>
      <c r="E7317" s="5">
        <v>-27904</v>
      </c>
      <c r="F7317" s="3" t="s">
        <v>1227</v>
      </c>
      <c r="G7317" s="3" t="s">
        <v>39</v>
      </c>
      <c r="H7317" s="2" t="s">
        <v>28</v>
      </c>
      <c r="I7317" s="2" t="s">
        <v>14523</v>
      </c>
      <c r="J7317" s="3" t="str">
        <f>HYPERLINK("https://www.boe.es/gazeta/dias/1823/08/07/pdfs/GMD-1823-543.pdf#page=1","Abrir facsímil")</f>
        <v>Abrir facsímil</v>
      </c>
      <c r="K7317" s="3" t="s">
        <v>30</v>
      </c>
    </row>
    <row r="7318" spans="1:11" ht="42" customHeight="1">
      <c r="A7318" s="2" t="s">
        <v>14524</v>
      </c>
      <c r="B7318" s="2" t="s">
        <v>14525</v>
      </c>
      <c r="C7318" s="2" t="s">
        <v>17</v>
      </c>
      <c r="D7318" s="2" t="s">
        <v>18</v>
      </c>
      <c r="E7318" s="5">
        <v>-28066</v>
      </c>
      <c r="F7318" s="3" t="s">
        <v>19</v>
      </c>
      <c r="G7318" s="3" t="s">
        <v>20</v>
      </c>
      <c r="H7318" s="2" t="s">
        <v>21</v>
      </c>
      <c r="I7318" s="2" t="s">
        <v>14526</v>
      </c>
      <c r="J7318" s="3" t="str">
        <f>HYPERLINK("https://www.boe.es/gazeta/dias/1823/02/26/pdfs/GMD-1823-60.pdf#page=4","Abrir facsímil")</f>
        <v>Abrir facsímil</v>
      </c>
      <c r="K7318" s="3" t="s">
        <v>23</v>
      </c>
    </row>
    <row r="7319" spans="1:11" ht="42" customHeight="1">
      <c r="A7319" s="2" t="s">
        <v>14527</v>
      </c>
      <c r="B7319" s="2" t="s">
        <v>14528</v>
      </c>
      <c r="C7319" s="2" t="s">
        <v>56</v>
      </c>
      <c r="D7319" s="2" t="s">
        <v>57</v>
      </c>
      <c r="E7319" s="5">
        <v>-28062</v>
      </c>
      <c r="F7319" s="3" t="s">
        <v>1357</v>
      </c>
      <c r="G7319" s="3" t="s">
        <v>20</v>
      </c>
      <c r="H7319" s="2" t="s">
        <v>21</v>
      </c>
      <c r="I7319" s="2" t="s">
        <v>14529</v>
      </c>
      <c r="J7319" s="3" t="str">
        <f>HYPERLINK("https://www.boe.es/gazeta/dias/1823/03/02/pdfs/GMD-1823-65.pdf#page=4","Abrir facsímil")</f>
        <v>Abrir facsímil</v>
      </c>
      <c r="K7319" s="3" t="s">
        <v>23</v>
      </c>
    </row>
    <row r="7320" spans="1:11" ht="42" customHeight="1">
      <c r="A7320" s="2" t="s">
        <v>14530</v>
      </c>
      <c r="B7320" s="2" t="s">
        <v>14530</v>
      </c>
      <c r="C7320" s="2" t="s">
        <v>109</v>
      </c>
      <c r="D7320" s="2" t="s">
        <v>74</v>
      </c>
      <c r="E7320" s="5">
        <v>-27859</v>
      </c>
      <c r="F7320" s="3" t="s">
        <v>2722</v>
      </c>
      <c r="G7320" s="3" t="s">
        <v>27</v>
      </c>
      <c r="H7320" s="2" t="s">
        <v>21</v>
      </c>
      <c r="I7320" s="2" t="s">
        <v>14531</v>
      </c>
      <c r="J7320" s="3" t="str">
        <f>HYPERLINK("https://www.boe.es/gazeta/dias/1823/09/21/pdfs/GES-1823-165.pdf#page=2","Abrir facsímil")</f>
        <v>Abrir facsímil</v>
      </c>
      <c r="K7320" s="3" t="s">
        <v>23</v>
      </c>
    </row>
    <row r="7321" spans="1:11" ht="42" customHeight="1">
      <c r="A7321" s="2" t="s">
        <v>14532</v>
      </c>
      <c r="B7321" s="2" t="s">
        <v>14532</v>
      </c>
      <c r="C7321" s="2" t="s">
        <v>84</v>
      </c>
      <c r="D7321" s="2" t="s">
        <v>74</v>
      </c>
      <c r="E7321" s="5">
        <v>-28029</v>
      </c>
      <c r="F7321" s="3" t="s">
        <v>141</v>
      </c>
      <c r="G7321" s="3" t="s">
        <v>20</v>
      </c>
      <c r="H7321" s="2" t="s">
        <v>21</v>
      </c>
      <c r="I7321" s="2" t="s">
        <v>14533</v>
      </c>
      <c r="J7321" s="3" t="str">
        <f>HYPERLINK("https://www.boe.es/gazeta/dias/1823/04/04/pdfs/GMD-1823-98.pdf#page=4","Abrir facsímil")</f>
        <v>Abrir facsímil</v>
      </c>
      <c r="K7321" s="3" t="s">
        <v>23</v>
      </c>
    </row>
    <row r="7322" spans="1:11" ht="42" customHeight="1">
      <c r="A7322" s="2" t="s">
        <v>14532</v>
      </c>
      <c r="B7322" s="2" t="s">
        <v>14532</v>
      </c>
      <c r="C7322" s="2" t="s">
        <v>17</v>
      </c>
      <c r="D7322" s="2" t="s">
        <v>18</v>
      </c>
      <c r="E7322" s="5">
        <v>-28021</v>
      </c>
      <c r="F7322" s="3" t="s">
        <v>2669</v>
      </c>
      <c r="G7322" s="3" t="s">
        <v>48</v>
      </c>
      <c r="H7322" s="2" t="s">
        <v>21</v>
      </c>
      <c r="I7322" s="2" t="s">
        <v>14534</v>
      </c>
      <c r="J7322" s="3" t="str">
        <f>HYPERLINK("https://www.boe.es/gazeta/dias/1823/04/12/pdfs/GES-1823-2.pdf#page=3","Abrir facsímil")</f>
        <v>Abrir facsímil</v>
      </c>
      <c r="K7322" s="3" t="s">
        <v>23</v>
      </c>
    </row>
    <row r="7323" spans="1:11" ht="42" customHeight="1">
      <c r="A7323" s="2" t="s">
        <v>14532</v>
      </c>
      <c r="B7323" s="2" t="s">
        <v>14532</v>
      </c>
      <c r="C7323" s="2" t="s">
        <v>17</v>
      </c>
      <c r="D7323" s="2" t="s">
        <v>18</v>
      </c>
      <c r="E7323" s="5">
        <v>-28011</v>
      </c>
      <c r="F7323" s="3" t="s">
        <v>2416</v>
      </c>
      <c r="G7323" s="3" t="s">
        <v>27</v>
      </c>
      <c r="H7323" s="2" t="s">
        <v>21</v>
      </c>
      <c r="I7323" s="2" t="s">
        <v>14535</v>
      </c>
      <c r="J7323" s="3" t="str">
        <f>HYPERLINK("https://www.boe.es/gazeta/dias/1823/04/22/pdfs/GMD-1823-42.pdf#page=2","Abrir facsímil")</f>
        <v>Abrir facsímil</v>
      </c>
      <c r="K7323" s="3" t="s">
        <v>23</v>
      </c>
    </row>
    <row r="7324" spans="1:11" ht="42" customHeight="1">
      <c r="A7324" s="2" t="s">
        <v>14532</v>
      </c>
      <c r="B7324" s="2" t="s">
        <v>14532</v>
      </c>
      <c r="C7324" s="2" t="s">
        <v>17</v>
      </c>
      <c r="D7324" s="2" t="s">
        <v>18</v>
      </c>
      <c r="E7324" s="5">
        <v>-27990</v>
      </c>
      <c r="F7324" s="3" t="s">
        <v>1132</v>
      </c>
      <c r="G7324" s="3" t="s">
        <v>20</v>
      </c>
      <c r="H7324" s="2" t="s">
        <v>21</v>
      </c>
      <c r="I7324" s="2" t="s">
        <v>14536</v>
      </c>
      <c r="J7324" s="3" t="str">
        <f>HYPERLINK("https://www.boe.es/gazeta/dias/1823/05/13/pdfs/GES-1823-33.pdf#page=4","Abrir facsímil")</f>
        <v>Abrir facsímil</v>
      </c>
      <c r="K7324" s="3" t="s">
        <v>23</v>
      </c>
    </row>
    <row r="7325" spans="1:11" ht="42" customHeight="1">
      <c r="A7325" s="2" t="s">
        <v>14532</v>
      </c>
      <c r="B7325" s="2" t="s">
        <v>14532</v>
      </c>
      <c r="C7325" s="2" t="s">
        <v>17</v>
      </c>
      <c r="D7325" s="2" t="s">
        <v>18</v>
      </c>
      <c r="E7325" s="5">
        <v>-27967</v>
      </c>
      <c r="F7325" s="3" t="s">
        <v>2493</v>
      </c>
      <c r="G7325" s="3" t="s">
        <v>20</v>
      </c>
      <c r="H7325" s="2" t="s">
        <v>21</v>
      </c>
      <c r="I7325" s="2" t="s">
        <v>14537</v>
      </c>
      <c r="J7325" s="3" t="str">
        <f>HYPERLINK("https://www.boe.es/gazeta/dias/1823/06/05/pdfs/GMD-1823-63.pdf#page=4","Abrir facsímil")</f>
        <v>Abrir facsímil</v>
      </c>
      <c r="K7325" s="3" t="s">
        <v>23</v>
      </c>
    </row>
    <row r="7326" spans="1:11" ht="42" customHeight="1">
      <c r="A7326" s="2" t="s">
        <v>14532</v>
      </c>
      <c r="B7326" s="2" t="s">
        <v>14532</v>
      </c>
      <c r="C7326" s="2" t="s">
        <v>79</v>
      </c>
      <c r="D7326" s="2" t="s">
        <v>74</v>
      </c>
      <c r="E7326" s="5">
        <v>-27964</v>
      </c>
      <c r="F7326" s="3" t="s">
        <v>58</v>
      </c>
      <c r="G7326" s="3" t="s">
        <v>20</v>
      </c>
      <c r="H7326" s="2" t="s">
        <v>21</v>
      </c>
      <c r="I7326" s="2" t="s">
        <v>14538</v>
      </c>
      <c r="J7326" s="3" t="str">
        <f>HYPERLINK("https://www.boe.es/gazeta/dias/1823/06/08/pdfs/GES-1823-62.pdf#page=4","Abrir facsímil")</f>
        <v>Abrir facsímil</v>
      </c>
      <c r="K7326" s="3" t="s">
        <v>23</v>
      </c>
    </row>
    <row r="7327" spans="1:11" ht="42" customHeight="1">
      <c r="A7327" s="2" t="s">
        <v>14532</v>
      </c>
      <c r="B7327" s="2" t="s">
        <v>14532</v>
      </c>
      <c r="C7327" s="2" t="s">
        <v>17</v>
      </c>
      <c r="D7327" s="2" t="s">
        <v>18</v>
      </c>
      <c r="E7327" s="5">
        <v>-27949</v>
      </c>
      <c r="F7327" s="3" t="s">
        <v>1162</v>
      </c>
      <c r="G7327" s="3" t="s">
        <v>39</v>
      </c>
      <c r="H7327" s="2" t="s">
        <v>21</v>
      </c>
      <c r="I7327" s="2" t="s">
        <v>14539</v>
      </c>
      <c r="J7327" s="3" t="str">
        <f>HYPERLINK("https://www.boe.es/gazeta/dias/1823/06/23/pdfs/GES-1823-71.pdf#page=1","Abrir facsímil")</f>
        <v>Abrir facsímil</v>
      </c>
      <c r="K7327" s="3" t="s">
        <v>23</v>
      </c>
    </row>
    <row r="7328" spans="1:11" ht="42" customHeight="1">
      <c r="A7328" s="2" t="s">
        <v>14532</v>
      </c>
      <c r="B7328" s="2" t="s">
        <v>14532</v>
      </c>
      <c r="C7328" s="2" t="s">
        <v>17</v>
      </c>
      <c r="D7328" s="2" t="s">
        <v>18</v>
      </c>
      <c r="E7328" s="5">
        <v>-27939</v>
      </c>
      <c r="F7328" s="3" t="s">
        <v>1403</v>
      </c>
      <c r="G7328" s="3" t="s">
        <v>12414</v>
      </c>
      <c r="H7328" s="2" t="s">
        <v>21</v>
      </c>
      <c r="I7328" s="2" t="s">
        <v>14540</v>
      </c>
      <c r="J7328" s="3" t="str">
        <f>HYPERLINK("https://www.boe.es/gazeta/dias/1823/07/03/pdfs/GMD-1823-333.pdf#page=4","Abrir facsímil")</f>
        <v>Abrir facsímil</v>
      </c>
      <c r="K7328" s="3" t="s">
        <v>23</v>
      </c>
    </row>
    <row r="7329" spans="1:11" ht="42" customHeight="1">
      <c r="A7329" s="2" t="s">
        <v>14532</v>
      </c>
      <c r="B7329" s="2" t="s">
        <v>14532</v>
      </c>
      <c r="C7329" s="2" t="s">
        <v>17</v>
      </c>
      <c r="D7329" s="2" t="s">
        <v>18</v>
      </c>
      <c r="E7329" s="5">
        <v>-27912</v>
      </c>
      <c r="F7329" s="3" t="s">
        <v>365</v>
      </c>
      <c r="G7329" s="3" t="s">
        <v>39</v>
      </c>
      <c r="H7329" s="2" t="s">
        <v>21</v>
      </c>
      <c r="I7329" s="2" t="s">
        <v>14541</v>
      </c>
      <c r="J7329" s="3" t="str">
        <f>HYPERLINK("https://www.boe.es/gazeta/dias/1823/07/30/pdfs/GES-1823-111.pdf#page=1","Abrir facsímil")</f>
        <v>Abrir facsímil</v>
      </c>
      <c r="K7329" s="3" t="s">
        <v>23</v>
      </c>
    </row>
    <row r="7330" spans="1:11" ht="42" customHeight="1">
      <c r="A7330" s="2" t="s">
        <v>14532</v>
      </c>
      <c r="B7330" s="2" t="s">
        <v>14532</v>
      </c>
      <c r="C7330" s="2" t="s">
        <v>17</v>
      </c>
      <c r="D7330" s="2" t="s">
        <v>18</v>
      </c>
      <c r="E7330" s="5">
        <v>-27888</v>
      </c>
      <c r="F7330" s="3" t="s">
        <v>232</v>
      </c>
      <c r="G7330" s="3" t="s">
        <v>1576</v>
      </c>
      <c r="H7330" s="2" t="s">
        <v>21</v>
      </c>
      <c r="I7330" s="2" t="s">
        <v>14542</v>
      </c>
      <c r="J7330" s="3" t="str">
        <f>HYPERLINK("https://www.boe.es/gazeta/dias/1823/08/23/pdfs/GMD-1823-633.pdf#page=4","Abrir facsímil")</f>
        <v>Abrir facsímil</v>
      </c>
      <c r="K7330" s="3" t="s">
        <v>23</v>
      </c>
    </row>
    <row r="7331" spans="1:11" ht="42" customHeight="1">
      <c r="A7331" s="2" t="s">
        <v>14532</v>
      </c>
      <c r="B7331" s="2" t="s">
        <v>14532</v>
      </c>
      <c r="C7331" s="2" t="s">
        <v>17</v>
      </c>
      <c r="D7331" s="2" t="s">
        <v>18</v>
      </c>
      <c r="E7331" s="5">
        <v>-27876</v>
      </c>
      <c r="F7331" s="3" t="s">
        <v>8384</v>
      </c>
      <c r="G7331" s="3" t="s">
        <v>20</v>
      </c>
      <c r="H7331" s="2" t="s">
        <v>21</v>
      </c>
      <c r="I7331" s="2" t="s">
        <v>14543</v>
      </c>
      <c r="J7331" s="3" t="str">
        <f>HYPERLINK("https://www.boe.es/gazeta/dias/1823/09/04/pdfs/GMD-1823-693.pdf#page=4","Abrir facsímil")</f>
        <v>Abrir facsímil</v>
      </c>
      <c r="K7331" s="3" t="s">
        <v>23</v>
      </c>
    </row>
    <row r="7332" spans="1:11" ht="42" customHeight="1">
      <c r="A7332" s="2" t="s">
        <v>14532</v>
      </c>
      <c r="B7332" s="2" t="s">
        <v>14532</v>
      </c>
      <c r="C7332" s="2" t="s">
        <v>79</v>
      </c>
      <c r="D7332" s="2" t="s">
        <v>74</v>
      </c>
      <c r="E7332" s="5">
        <v>-27867</v>
      </c>
      <c r="F7332" s="3" t="s">
        <v>1585</v>
      </c>
      <c r="G7332" s="3" t="s">
        <v>27</v>
      </c>
      <c r="H7332" s="2" t="s">
        <v>21</v>
      </c>
      <c r="I7332" s="2" t="s">
        <v>14544</v>
      </c>
      <c r="J7332" s="3" t="str">
        <f>HYPERLINK("https://www.boe.es/gazeta/dias/1823/09/13/pdfs/GMD-1823-773.pdf#page=2","Abrir facsímil")</f>
        <v>Abrir facsímil</v>
      </c>
      <c r="K7332" s="3" t="s">
        <v>23</v>
      </c>
    </row>
    <row r="7333" spans="1:11" ht="42" customHeight="1">
      <c r="A7333" s="2" t="s">
        <v>14532</v>
      </c>
      <c r="B7333" s="2" t="s">
        <v>14532</v>
      </c>
      <c r="C7333" s="2" t="s">
        <v>17</v>
      </c>
      <c r="D7333" s="2" t="s">
        <v>18</v>
      </c>
      <c r="E7333" s="5">
        <v>-27858</v>
      </c>
      <c r="F7333" s="3" t="s">
        <v>4263</v>
      </c>
      <c r="G7333" s="3" t="s">
        <v>48</v>
      </c>
      <c r="H7333" s="2" t="s">
        <v>21</v>
      </c>
      <c r="I7333" s="2" t="s">
        <v>14545</v>
      </c>
      <c r="J7333" s="3" t="str">
        <f>HYPERLINK("https://www.boe.es/gazeta/dias/1823/09/22/pdfs/GES-1823-166.pdf#page=3","Abrir facsímil")</f>
        <v>Abrir facsímil</v>
      </c>
      <c r="K7333" s="3" t="s">
        <v>23</v>
      </c>
    </row>
    <row r="7334" spans="1:11" ht="42" customHeight="1">
      <c r="A7334" s="2" t="s">
        <v>14532</v>
      </c>
      <c r="B7334" s="2" t="s">
        <v>14532</v>
      </c>
      <c r="C7334" s="2" t="s">
        <v>17</v>
      </c>
      <c r="D7334" s="2" t="s">
        <v>18</v>
      </c>
      <c r="E7334" s="5">
        <v>-27818</v>
      </c>
      <c r="F7334" s="3" t="s">
        <v>1597</v>
      </c>
      <c r="G7334" s="3" t="s">
        <v>48</v>
      </c>
      <c r="H7334" s="2" t="s">
        <v>21</v>
      </c>
      <c r="I7334" s="2" t="s">
        <v>14546</v>
      </c>
      <c r="J7334" s="3" t="str">
        <f>HYPERLINK("https://www.boe.es/gazeta/dias/1823/11/01/pdfs/GMD-1823-1053.pdf#page=3","Abrir facsímil")</f>
        <v>Abrir facsímil</v>
      </c>
      <c r="K7334" s="3" t="s">
        <v>23</v>
      </c>
    </row>
    <row r="7335" spans="1:11" ht="42" customHeight="1">
      <c r="A7335" s="2" t="s">
        <v>14547</v>
      </c>
      <c r="B7335" s="2" t="s">
        <v>14548</v>
      </c>
      <c r="C7335" s="2" t="s">
        <v>84</v>
      </c>
      <c r="D7335" s="2" t="s">
        <v>74</v>
      </c>
      <c r="E7335" s="5">
        <v>-27904</v>
      </c>
      <c r="F7335" s="3" t="s">
        <v>1227</v>
      </c>
      <c r="G7335" s="3" t="s">
        <v>59</v>
      </c>
      <c r="H7335" s="2" t="s">
        <v>21</v>
      </c>
      <c r="I7335" s="2" t="s">
        <v>14549</v>
      </c>
      <c r="J7335" s="3" t="str">
        <f>HYPERLINK("https://www.boe.es/gazeta/dias/1823/08/07/pdfs/GMD-1823-543.pdf#page=6","Abrir facsímil")</f>
        <v>Abrir facsímil</v>
      </c>
      <c r="K7335" s="3" t="s">
        <v>23</v>
      </c>
    </row>
    <row r="7336" spans="1:11" ht="42" customHeight="1">
      <c r="A7336" s="2" t="s">
        <v>14550</v>
      </c>
      <c r="B7336" s="2" t="s">
        <v>14550</v>
      </c>
      <c r="C7336" s="2" t="s">
        <v>17</v>
      </c>
      <c r="D7336" s="2" t="s">
        <v>18</v>
      </c>
      <c r="E7336" s="5">
        <v>-27934</v>
      </c>
      <c r="F7336" s="3" t="s">
        <v>634</v>
      </c>
      <c r="G7336" s="3" t="s">
        <v>20</v>
      </c>
      <c r="H7336" s="2" t="s">
        <v>21</v>
      </c>
      <c r="I7336" s="2" t="s">
        <v>14551</v>
      </c>
      <c r="J7336" s="3" t="str">
        <f>HYPERLINK("https://www.boe.es/gazeta/dias/1823/07/08/pdfs/GMD-1823-353.pdf#page=4","Abrir facsímil")</f>
        <v>Abrir facsímil</v>
      </c>
      <c r="K7336" s="3" t="s">
        <v>23</v>
      </c>
    </row>
    <row r="7337" spans="1:11" ht="42" customHeight="1">
      <c r="A7337" s="2" t="s">
        <v>14552</v>
      </c>
      <c r="B7337" s="2" t="s">
        <v>14553</v>
      </c>
      <c r="C7337" s="2" t="s">
        <v>17</v>
      </c>
      <c r="D7337" s="2" t="s">
        <v>18</v>
      </c>
      <c r="E7337" s="5">
        <v>-27937</v>
      </c>
      <c r="F7337" s="3" t="s">
        <v>897</v>
      </c>
      <c r="G7337" s="3" t="s">
        <v>34</v>
      </c>
      <c r="H7337" s="2" t="s">
        <v>21</v>
      </c>
      <c r="I7337" s="2" t="s">
        <v>14554</v>
      </c>
      <c r="J7337" s="3" t="str">
        <f>HYPERLINK("https://www.boe.es/gazeta/dias/1823/07/05/pdfs/GMD-1823-343.pdf#page=5","Abrir facsímil")</f>
        <v>Abrir facsímil</v>
      </c>
      <c r="K7337" s="3" t="s">
        <v>23</v>
      </c>
    </row>
    <row r="7338" spans="1:11" ht="42" customHeight="1">
      <c r="A7338" s="2" t="s">
        <v>14555</v>
      </c>
      <c r="B7338" s="2" t="s">
        <v>14556</v>
      </c>
      <c r="C7338" s="2" t="s">
        <v>73</v>
      </c>
      <c r="D7338" s="2" t="s">
        <v>74</v>
      </c>
      <c r="E7338" s="5">
        <v>-28021</v>
      </c>
      <c r="F7338" s="3" t="s">
        <v>1054</v>
      </c>
      <c r="G7338" s="3" t="s">
        <v>1055</v>
      </c>
      <c r="H7338" s="2" t="s">
        <v>21</v>
      </c>
      <c r="I7338" s="2" t="s">
        <v>14557</v>
      </c>
      <c r="J7338" s="3" t="str">
        <f>HYPERLINK("https://www.boe.es/gazeta/dias/1823/04/12/pdfs/GMD-1823-107.pdf#page=4","Abrir facsímil")</f>
        <v>Abrir facsímil</v>
      </c>
      <c r="K7338" s="3" t="s">
        <v>23</v>
      </c>
    </row>
    <row r="7339" spans="1:11" ht="42" customHeight="1">
      <c r="A7339" s="2" t="s">
        <v>14558</v>
      </c>
      <c r="B7339" s="2" t="s">
        <v>14558</v>
      </c>
      <c r="C7339" s="2" t="s">
        <v>17</v>
      </c>
      <c r="D7339" s="2" t="s">
        <v>18</v>
      </c>
      <c r="E7339" s="5">
        <v>-27884</v>
      </c>
      <c r="F7339" s="3" t="s">
        <v>61</v>
      </c>
      <c r="G7339" s="3" t="s">
        <v>27</v>
      </c>
      <c r="H7339" s="2" t="s">
        <v>21</v>
      </c>
      <c r="I7339" s="2" t="s">
        <v>14559</v>
      </c>
      <c r="J7339" s="3" t="str">
        <f>HYPERLINK("https://www.boe.es/gazeta/dias/1823/08/27/pdfs/GES-1823-140.pdf#page=2","Abrir facsímil")</f>
        <v>Abrir facsímil</v>
      </c>
      <c r="K7339" s="3" t="s">
        <v>23</v>
      </c>
    </row>
    <row r="7340" spans="1:11" ht="42" customHeight="1">
      <c r="A7340" s="2" t="s">
        <v>14558</v>
      </c>
      <c r="B7340" s="2" t="s">
        <v>14558</v>
      </c>
      <c r="C7340" s="2" t="s">
        <v>56</v>
      </c>
      <c r="D7340" s="2" t="s">
        <v>57</v>
      </c>
      <c r="E7340" s="5">
        <v>-27874</v>
      </c>
      <c r="F7340" s="3" t="s">
        <v>1410</v>
      </c>
      <c r="G7340" s="3" t="s">
        <v>27</v>
      </c>
      <c r="H7340" s="2" t="s">
        <v>21</v>
      </c>
      <c r="I7340" s="2" t="s">
        <v>14560</v>
      </c>
      <c r="J7340" s="3" t="str">
        <f>HYPERLINK("https://www.boe.es/gazeta/dias/1823/09/06/pdfs/GES-1823-150.pdf#page=2","Abrir facsímil")</f>
        <v>Abrir facsímil</v>
      </c>
      <c r="K7340" s="3" t="s">
        <v>23</v>
      </c>
    </row>
    <row r="7341" spans="1:11" ht="42" customHeight="1">
      <c r="A7341" s="2" t="s">
        <v>14558</v>
      </c>
      <c r="B7341" s="2" t="s">
        <v>14558</v>
      </c>
      <c r="C7341" s="2" t="s">
        <v>17</v>
      </c>
      <c r="D7341" s="2" t="s">
        <v>18</v>
      </c>
      <c r="E7341" s="5">
        <v>-27861</v>
      </c>
      <c r="F7341" s="3" t="s">
        <v>425</v>
      </c>
      <c r="G7341" s="3" t="s">
        <v>39</v>
      </c>
      <c r="H7341" s="2" t="s">
        <v>21</v>
      </c>
      <c r="I7341" s="2" t="s">
        <v>14561</v>
      </c>
      <c r="J7341" s="3" t="str">
        <f>HYPERLINK("https://www.boe.es/gazeta/dias/1823/09/19/pdfs/GES-1823-163.pdf#page=1","Abrir facsímil")</f>
        <v>Abrir facsímil</v>
      </c>
      <c r="K7341" s="3" t="s">
        <v>23</v>
      </c>
    </row>
    <row r="7342" spans="1:11" ht="42" customHeight="1">
      <c r="A7342" s="2" t="s">
        <v>14558</v>
      </c>
      <c r="B7342" s="2" t="s">
        <v>14558</v>
      </c>
      <c r="C7342" s="2" t="s">
        <v>17</v>
      </c>
      <c r="D7342" s="2" t="s">
        <v>18</v>
      </c>
      <c r="E7342" s="5">
        <v>-27861</v>
      </c>
      <c r="F7342" s="3" t="s">
        <v>425</v>
      </c>
      <c r="G7342" s="3" t="s">
        <v>27</v>
      </c>
      <c r="H7342" s="2" t="s">
        <v>21</v>
      </c>
      <c r="I7342" s="2" t="s">
        <v>14562</v>
      </c>
      <c r="J7342" s="3" t="str">
        <f>HYPERLINK("https://www.boe.es/gazeta/dias/1823/09/19/pdfs/GES-1823-163.pdf#page=2","Abrir facsímil")</f>
        <v>Abrir facsímil</v>
      </c>
      <c r="K7342" s="3" t="s">
        <v>23</v>
      </c>
    </row>
    <row r="7343" spans="1:11" ht="42" customHeight="1">
      <c r="A7343" s="2" t="s">
        <v>14563</v>
      </c>
      <c r="B7343" s="2" t="s">
        <v>14564</v>
      </c>
      <c r="C7343" s="2" t="s">
        <v>17</v>
      </c>
      <c r="D7343" s="2" t="s">
        <v>18</v>
      </c>
      <c r="E7343" s="5">
        <v>-28080</v>
      </c>
      <c r="F7343" s="3" t="s">
        <v>1010</v>
      </c>
      <c r="G7343" s="3" t="s">
        <v>1382</v>
      </c>
      <c r="H7343" s="2" t="s">
        <v>21</v>
      </c>
      <c r="I7343" s="2" t="s">
        <v>14565</v>
      </c>
      <c r="J7343" s="3" t="str">
        <f>HYPERLINK("https://www.boe.es/gazeta/dias/1823/02/12/pdfs/GMD-1823-46.pdf#page=4","Abrir facsímil")</f>
        <v>Abrir facsímil</v>
      </c>
      <c r="K7343" s="3" t="s">
        <v>23</v>
      </c>
    </row>
    <row r="7344" spans="1:11" ht="42" customHeight="1">
      <c r="A7344" s="2" t="s">
        <v>14563</v>
      </c>
      <c r="B7344" s="2" t="s">
        <v>14564</v>
      </c>
      <c r="C7344" s="2" t="s">
        <v>17</v>
      </c>
      <c r="D7344" s="2" t="s">
        <v>18</v>
      </c>
      <c r="E7344" s="5">
        <v>-27875</v>
      </c>
      <c r="F7344" s="3" t="s">
        <v>1858</v>
      </c>
      <c r="G7344" s="3" t="s">
        <v>2437</v>
      </c>
      <c r="H7344" s="2" t="s">
        <v>21</v>
      </c>
      <c r="I7344" s="2" t="s">
        <v>14566</v>
      </c>
      <c r="J7344" s="3" t="str">
        <f>HYPERLINK("https://www.boe.es/gazeta/dias/1823/09/05/pdfs/GES-1823-149.pdf#page=2","Abrir facsímil")</f>
        <v>Abrir facsímil</v>
      </c>
      <c r="K7344" s="3" t="s">
        <v>23</v>
      </c>
    </row>
    <row r="7345" spans="1:11" ht="42" customHeight="1">
      <c r="A7345" s="2" t="s">
        <v>14563</v>
      </c>
      <c r="B7345" s="2" t="s">
        <v>14564</v>
      </c>
      <c r="C7345" s="2" t="s">
        <v>17</v>
      </c>
      <c r="D7345" s="2" t="s">
        <v>18</v>
      </c>
      <c r="E7345" s="5">
        <v>-27875</v>
      </c>
      <c r="F7345" s="3" t="s">
        <v>1858</v>
      </c>
      <c r="G7345" s="3" t="s">
        <v>39</v>
      </c>
      <c r="H7345" s="2" t="s">
        <v>21</v>
      </c>
      <c r="I7345" s="2" t="s">
        <v>14567</v>
      </c>
      <c r="J7345" s="3" t="str">
        <f>HYPERLINK("https://www.boe.es/gazeta/dias/1823/09/05/pdfs/GES-1823-149.pdf#page=1","Abrir facsímil")</f>
        <v>Abrir facsímil</v>
      </c>
      <c r="K7345" s="3" t="s">
        <v>23</v>
      </c>
    </row>
    <row r="7346" spans="1:11" ht="42" customHeight="1">
      <c r="A7346" s="2" t="s">
        <v>14563</v>
      </c>
      <c r="B7346" s="2" t="s">
        <v>14564</v>
      </c>
      <c r="C7346" s="2" t="s">
        <v>17</v>
      </c>
      <c r="D7346" s="2" t="s">
        <v>18</v>
      </c>
      <c r="E7346" s="5">
        <v>-27874</v>
      </c>
      <c r="F7346" s="3" t="s">
        <v>1410</v>
      </c>
      <c r="G7346" s="3" t="s">
        <v>27</v>
      </c>
      <c r="H7346" s="2" t="s">
        <v>21</v>
      </c>
      <c r="I7346" s="2" t="s">
        <v>14568</v>
      </c>
      <c r="J7346" s="3" t="str">
        <f>HYPERLINK("https://www.boe.es/gazeta/dias/1823/09/06/pdfs/GES-1823-150.pdf#page=2","Abrir facsímil")</f>
        <v>Abrir facsímil</v>
      </c>
      <c r="K7346" s="3" t="s">
        <v>23</v>
      </c>
    </row>
    <row r="7347" spans="1:11" ht="42" customHeight="1">
      <c r="A7347" s="2" t="s">
        <v>14563</v>
      </c>
      <c r="B7347" s="2" t="s">
        <v>14564</v>
      </c>
      <c r="C7347" s="2" t="s">
        <v>17</v>
      </c>
      <c r="D7347" s="2" t="s">
        <v>18</v>
      </c>
      <c r="E7347" s="5">
        <v>-27861</v>
      </c>
      <c r="F7347" s="3" t="s">
        <v>425</v>
      </c>
      <c r="G7347" s="3" t="s">
        <v>39</v>
      </c>
      <c r="H7347" s="2" t="s">
        <v>21</v>
      </c>
      <c r="I7347" s="2" t="s">
        <v>14569</v>
      </c>
      <c r="J7347" s="3" t="str">
        <f>HYPERLINK("https://www.boe.es/gazeta/dias/1823/09/19/pdfs/GES-1823-163.pdf#page=1","Abrir facsímil")</f>
        <v>Abrir facsímil</v>
      </c>
      <c r="K7347" s="3" t="s">
        <v>23</v>
      </c>
    </row>
    <row r="7348" spans="1:11" ht="42" customHeight="1">
      <c r="A7348" s="2" t="s">
        <v>14570</v>
      </c>
      <c r="B7348" s="2" t="s">
        <v>14571</v>
      </c>
      <c r="C7348" s="2" t="s">
        <v>56</v>
      </c>
      <c r="D7348" s="2" t="s">
        <v>57</v>
      </c>
      <c r="E7348" s="5">
        <v>-27967</v>
      </c>
      <c r="F7348" s="3" t="s">
        <v>412</v>
      </c>
      <c r="G7348" s="3" t="s">
        <v>27</v>
      </c>
      <c r="H7348" s="2" t="s">
        <v>21</v>
      </c>
      <c r="I7348" s="2" t="s">
        <v>14572</v>
      </c>
      <c r="J7348" s="3" t="str">
        <f>HYPERLINK("https://www.boe.es/gazeta/dias/1823/06/05/pdfs/GES-1823-59.pdf#page=2","Abrir facsímil")</f>
        <v>Abrir facsímil</v>
      </c>
      <c r="K7348" s="3" t="s">
        <v>23</v>
      </c>
    </row>
    <row r="7349" spans="1:11" ht="42" customHeight="1">
      <c r="A7349" s="2" t="s">
        <v>14573</v>
      </c>
      <c r="B7349" s="2" t="s">
        <v>14574</v>
      </c>
      <c r="C7349" s="2" t="s">
        <v>17</v>
      </c>
      <c r="D7349" s="2" t="s">
        <v>18</v>
      </c>
      <c r="E7349" s="5">
        <v>-27966</v>
      </c>
      <c r="F7349" s="3" t="s">
        <v>675</v>
      </c>
      <c r="G7349" s="3" t="s">
        <v>27</v>
      </c>
      <c r="H7349" s="2" t="s">
        <v>21</v>
      </c>
      <c r="I7349" s="2" t="s">
        <v>14575</v>
      </c>
      <c r="J7349" s="3" t="str">
        <f>HYPERLINK("https://www.boe.es/gazeta/dias/1823/06/06/pdfs/GES-1823-60.pdf#page=2","Abrir facsímil")</f>
        <v>Abrir facsímil</v>
      </c>
      <c r="K7349" s="3" t="s">
        <v>23</v>
      </c>
    </row>
    <row r="7350" spans="1:11" ht="42" customHeight="1">
      <c r="A7350" s="2" t="s">
        <v>14570</v>
      </c>
      <c r="B7350" s="2" t="s">
        <v>14571</v>
      </c>
      <c r="C7350" s="2" t="s">
        <v>84</v>
      </c>
      <c r="D7350" s="2" t="s">
        <v>74</v>
      </c>
      <c r="E7350" s="5">
        <v>-27964</v>
      </c>
      <c r="F7350" s="3" t="s">
        <v>58</v>
      </c>
      <c r="G7350" s="3" t="s">
        <v>20</v>
      </c>
      <c r="H7350" s="2" t="s">
        <v>21</v>
      </c>
      <c r="I7350" s="2" t="s">
        <v>14576</v>
      </c>
      <c r="J7350" s="3" t="str">
        <f>HYPERLINK("https://www.boe.es/gazeta/dias/1823/06/08/pdfs/GES-1823-62.pdf#page=4","Abrir facsímil")</f>
        <v>Abrir facsímil</v>
      </c>
      <c r="K7350" s="3" t="s">
        <v>23</v>
      </c>
    </row>
    <row r="7351" spans="1:11" ht="42" customHeight="1">
      <c r="A7351" s="2" t="s">
        <v>14577</v>
      </c>
      <c r="B7351" s="2" t="s">
        <v>14578</v>
      </c>
      <c r="C7351" s="2" t="s">
        <v>84</v>
      </c>
      <c r="D7351" s="2" t="s">
        <v>74</v>
      </c>
      <c r="E7351" s="5">
        <v>-27964</v>
      </c>
      <c r="F7351" s="3" t="s">
        <v>58</v>
      </c>
      <c r="G7351" s="3" t="s">
        <v>20</v>
      </c>
      <c r="H7351" s="2" t="s">
        <v>21</v>
      </c>
      <c r="I7351" s="2" t="s">
        <v>14579</v>
      </c>
      <c r="J7351" s="3" t="str">
        <f>HYPERLINK("https://www.boe.es/gazeta/dias/1823/06/08/pdfs/GES-1823-62.pdf#page=4","Abrir facsímil")</f>
        <v>Abrir facsímil</v>
      </c>
      <c r="K7351" s="3" t="s">
        <v>23</v>
      </c>
    </row>
    <row r="7352" spans="1:11" ht="42" customHeight="1">
      <c r="A7352" s="2" t="s">
        <v>14580</v>
      </c>
      <c r="B7352" s="2" t="s">
        <v>14580</v>
      </c>
      <c r="C7352" s="2" t="s">
        <v>17</v>
      </c>
      <c r="D7352" s="2" t="s">
        <v>18</v>
      </c>
      <c r="E7352" s="5">
        <v>-27944</v>
      </c>
      <c r="F7352" s="3" t="s">
        <v>658</v>
      </c>
      <c r="G7352" s="3" t="s">
        <v>27</v>
      </c>
      <c r="H7352" s="2" t="s">
        <v>21</v>
      </c>
      <c r="I7352" s="2" t="s">
        <v>14581</v>
      </c>
      <c r="J7352" s="3" t="str">
        <f>HYPERLINK("https://www.boe.es/gazeta/dias/1823/06/28/pdfs/GMD-1823-303.pdf#page=2","Abrir facsímil")</f>
        <v>Abrir facsímil</v>
      </c>
      <c r="K7352" s="3" t="s">
        <v>23</v>
      </c>
    </row>
    <row r="7353" spans="1:11" ht="42" customHeight="1">
      <c r="A7353" s="2" t="s">
        <v>14582</v>
      </c>
      <c r="B7353" s="2" t="s">
        <v>14583</v>
      </c>
      <c r="C7353" s="2" t="s">
        <v>79</v>
      </c>
      <c r="D7353" s="2" t="s">
        <v>74</v>
      </c>
      <c r="E7353" s="5">
        <v>-28013</v>
      </c>
      <c r="F7353" s="3" t="s">
        <v>105</v>
      </c>
      <c r="G7353" s="3" t="s">
        <v>20</v>
      </c>
      <c r="H7353" s="2" t="s">
        <v>28</v>
      </c>
      <c r="I7353" s="2" t="s">
        <v>14584</v>
      </c>
      <c r="J7353" s="3" t="str">
        <f>HYPERLINK("https://www.boe.es/gazeta/dias/1823/04/20/pdfs/GMD-1823-32.pdf#page=4","Abrir facsímil")</f>
        <v>Abrir facsímil</v>
      </c>
      <c r="K7353" s="3" t="s">
        <v>30</v>
      </c>
    </row>
    <row r="7354" spans="1:11" ht="42" customHeight="1">
      <c r="A7354" s="2" t="s">
        <v>14585</v>
      </c>
      <c r="B7354" s="2" t="s">
        <v>14585</v>
      </c>
      <c r="C7354" s="2" t="s">
        <v>17</v>
      </c>
      <c r="D7354" s="2" t="s">
        <v>18</v>
      </c>
      <c r="E7354" s="5">
        <v>-27813</v>
      </c>
      <c r="F7354" s="3" t="s">
        <v>1600</v>
      </c>
      <c r="G7354" s="3" t="s">
        <v>48</v>
      </c>
      <c r="H7354" s="2" t="s">
        <v>21</v>
      </c>
      <c r="I7354" s="2" t="s">
        <v>14586</v>
      </c>
      <c r="J7354" s="3" t="str">
        <f>HYPERLINK("https://www.boe.es/gazeta/dias/1823/11/06/pdfs/GMD-1823-1073.pdf#page=3","Abrir facsímil")</f>
        <v>Abrir facsímil</v>
      </c>
      <c r="K7354" s="3" t="s">
        <v>23</v>
      </c>
    </row>
    <row r="7355" spans="1:11" ht="42" customHeight="1">
      <c r="A7355" s="2" t="s">
        <v>14587</v>
      </c>
      <c r="B7355" s="2" t="s">
        <v>14587</v>
      </c>
      <c r="C7355" s="2" t="s">
        <v>17</v>
      </c>
      <c r="D7355" s="2" t="s">
        <v>18</v>
      </c>
      <c r="E7355" s="5">
        <v>-27899</v>
      </c>
      <c r="F7355" s="3" t="s">
        <v>215</v>
      </c>
      <c r="G7355" s="3" t="s">
        <v>20</v>
      </c>
      <c r="H7355" s="2" t="s">
        <v>21</v>
      </c>
      <c r="I7355" s="2" t="s">
        <v>14588</v>
      </c>
      <c r="J7355" s="3" t="str">
        <f>HYPERLINK("https://www.boe.es/gazeta/dias/1823/08/12/pdfs/GMD-1823-583.pdf#page=4","Abrir facsímil")</f>
        <v>Abrir facsímil</v>
      </c>
      <c r="K7355" s="3" t="s">
        <v>23</v>
      </c>
    </row>
    <row r="7356" spans="1:11" ht="42" customHeight="1">
      <c r="A7356" s="2" t="s">
        <v>14589</v>
      </c>
      <c r="B7356" s="2" t="s">
        <v>14589</v>
      </c>
      <c r="C7356" s="2" t="s">
        <v>79</v>
      </c>
      <c r="D7356" s="2" t="s">
        <v>74</v>
      </c>
      <c r="E7356" s="5">
        <v>-27939</v>
      </c>
      <c r="F7356" s="3" t="s">
        <v>1076</v>
      </c>
      <c r="G7356" s="3" t="s">
        <v>20</v>
      </c>
      <c r="H7356" s="2" t="s">
        <v>21</v>
      </c>
      <c r="I7356" s="2" t="s">
        <v>14590</v>
      </c>
      <c r="J7356" s="3" t="str">
        <f>HYPERLINK("https://www.boe.es/gazeta/dias/1823/07/03/pdfs/GES-1823-83.pdf#page=4","Abrir facsímil")</f>
        <v>Abrir facsímil</v>
      </c>
      <c r="K7356" s="3" t="s">
        <v>23</v>
      </c>
    </row>
    <row r="7357" spans="1:11" ht="42" customHeight="1">
      <c r="A7357" s="2" t="s">
        <v>14591</v>
      </c>
      <c r="B7357" s="2" t="s">
        <v>14592</v>
      </c>
      <c r="C7357" s="2" t="s">
        <v>17</v>
      </c>
      <c r="D7357" s="2" t="s">
        <v>18</v>
      </c>
      <c r="E7357" s="5">
        <v>-27764</v>
      </c>
      <c r="F7357" s="3" t="s">
        <v>3370</v>
      </c>
      <c r="G7357" s="3" t="s">
        <v>48</v>
      </c>
      <c r="H7357" s="2" t="s">
        <v>21</v>
      </c>
      <c r="I7357" s="2" t="s">
        <v>14593</v>
      </c>
      <c r="J7357" s="3" t="str">
        <f>HYPERLINK("https://www.boe.es/gazeta/dias/1823/12/25/pdfs/GMD-1823-1293.pdf#page=3","Abrir facsímil")</f>
        <v>Abrir facsímil</v>
      </c>
      <c r="K7357" s="3" t="s">
        <v>23</v>
      </c>
    </row>
    <row r="7358" spans="1:11" ht="42" customHeight="1">
      <c r="A7358" s="2" t="s">
        <v>14594</v>
      </c>
      <c r="B7358" s="2" t="s">
        <v>14595</v>
      </c>
      <c r="C7358" s="2" t="s">
        <v>109</v>
      </c>
      <c r="D7358" s="2" t="s">
        <v>74</v>
      </c>
      <c r="E7358" s="5">
        <v>-28114</v>
      </c>
      <c r="F7358" s="3" t="s">
        <v>153</v>
      </c>
      <c r="G7358" s="3" t="s">
        <v>39</v>
      </c>
      <c r="H7358" s="2" t="s">
        <v>21</v>
      </c>
      <c r="I7358" s="2" t="s">
        <v>14596</v>
      </c>
      <c r="J7358" s="3" t="str">
        <f>HYPERLINK("https://www.boe.es/gazeta/dias/1823/01/09/pdfs/GMD-1823-9.pdf#page=1","Abrir facsímil")</f>
        <v>Abrir facsímil</v>
      </c>
      <c r="K7358" s="3" t="s">
        <v>23</v>
      </c>
    </row>
    <row r="7359" spans="1:11" ht="42" customHeight="1">
      <c r="A7359" s="2" t="s">
        <v>14594</v>
      </c>
      <c r="B7359" s="2" t="s">
        <v>14595</v>
      </c>
      <c r="C7359" s="2" t="s">
        <v>17</v>
      </c>
      <c r="D7359" s="2" t="s">
        <v>18</v>
      </c>
      <c r="E7359" s="5">
        <v>-27967</v>
      </c>
      <c r="F7359" s="3" t="s">
        <v>412</v>
      </c>
      <c r="G7359" s="3" t="s">
        <v>27</v>
      </c>
      <c r="H7359" s="2" t="s">
        <v>21</v>
      </c>
      <c r="I7359" s="2" t="s">
        <v>14597</v>
      </c>
      <c r="J7359" s="3" t="str">
        <f>HYPERLINK("https://www.boe.es/gazeta/dias/1823/06/05/pdfs/GES-1823-59.pdf#page=2","Abrir facsímil")</f>
        <v>Abrir facsímil</v>
      </c>
      <c r="K7359" s="3" t="s">
        <v>23</v>
      </c>
    </row>
    <row r="7360" spans="1:11" ht="42" customHeight="1">
      <c r="A7360" s="2" t="s">
        <v>14598</v>
      </c>
      <c r="B7360" s="2" t="s">
        <v>14599</v>
      </c>
      <c r="C7360" s="2" t="s">
        <v>17</v>
      </c>
      <c r="D7360" s="2" t="s">
        <v>18</v>
      </c>
      <c r="E7360" s="5">
        <v>-27902</v>
      </c>
      <c r="F7360" s="3" t="s">
        <v>221</v>
      </c>
      <c r="G7360" s="3" t="s">
        <v>39</v>
      </c>
      <c r="H7360" s="2" t="s">
        <v>28</v>
      </c>
      <c r="I7360" s="2" t="s">
        <v>14600</v>
      </c>
      <c r="J7360" s="3" t="str">
        <f>HYPERLINK("https://www.boe.es/gazeta/dias/1823/08/09/pdfs/GES-1823-122.pdf#page=1","Abrir facsímil")</f>
        <v>Abrir facsímil</v>
      </c>
      <c r="K7360" s="3" t="s">
        <v>30</v>
      </c>
    </row>
    <row r="7361" spans="1:11" ht="42" customHeight="1">
      <c r="A7361" s="2" t="s">
        <v>14601</v>
      </c>
      <c r="B7361" s="2" t="s">
        <v>14602</v>
      </c>
      <c r="C7361" s="2" t="s">
        <v>79</v>
      </c>
      <c r="D7361" s="2" t="s">
        <v>74</v>
      </c>
      <c r="E7361" s="5">
        <v>-27862</v>
      </c>
      <c r="F7361" s="3" t="s">
        <v>1530</v>
      </c>
      <c r="G7361" s="3" t="s">
        <v>39</v>
      </c>
      <c r="H7361" s="2" t="s">
        <v>21</v>
      </c>
      <c r="I7361" s="2" t="s">
        <v>14603</v>
      </c>
      <c r="J7361" s="3" t="str">
        <f>HYPERLINK("https://www.boe.es/gazeta/dias/1823/09/18/pdfs/GMD-1823-803.pdf#page=1","Abrir facsímil")</f>
        <v>Abrir facsímil</v>
      </c>
      <c r="K7361" s="3" t="s">
        <v>23</v>
      </c>
    </row>
    <row r="7362" spans="1:11" ht="42" customHeight="1">
      <c r="A7362" s="2" t="s">
        <v>14601</v>
      </c>
      <c r="B7362" s="2" t="s">
        <v>14602</v>
      </c>
      <c r="C7362" s="2" t="s">
        <v>17</v>
      </c>
      <c r="D7362" s="2" t="s">
        <v>117</v>
      </c>
      <c r="E7362" s="5">
        <v>-27860</v>
      </c>
      <c r="F7362" s="3" t="s">
        <v>4855</v>
      </c>
      <c r="G7362" s="3" t="s">
        <v>39</v>
      </c>
      <c r="H7362" s="2" t="s">
        <v>21</v>
      </c>
      <c r="I7362" s="2" t="s">
        <v>14604</v>
      </c>
      <c r="J7362" s="3" t="str">
        <f>HYPERLINK("https://www.boe.es/gazeta/dias/1823/09/20/pdfs/GMD-1823-823E.pdf#page=1","Abrir facsímil")</f>
        <v>Abrir facsímil</v>
      </c>
      <c r="K7362" s="3" t="s">
        <v>23</v>
      </c>
    </row>
    <row r="7363" spans="1:11" ht="42" customHeight="1">
      <c r="A7363" s="2" t="s">
        <v>14605</v>
      </c>
      <c r="B7363" s="2" t="s">
        <v>14606</v>
      </c>
      <c r="C7363" s="2" t="s">
        <v>79</v>
      </c>
      <c r="D7363" s="2" t="s">
        <v>74</v>
      </c>
      <c r="E7363" s="5">
        <v>-27822</v>
      </c>
      <c r="F7363" s="3" t="s">
        <v>992</v>
      </c>
      <c r="G7363" s="3" t="s">
        <v>48</v>
      </c>
      <c r="H7363" s="2" t="s">
        <v>21</v>
      </c>
      <c r="I7363" s="2" t="s">
        <v>14607</v>
      </c>
      <c r="J7363" s="3" t="str">
        <f>HYPERLINK("https://www.boe.es/gazeta/dias/1823/10/28/pdfs/GMD-1823-1033.pdf#page=3","Abrir facsímil")</f>
        <v>Abrir facsímil</v>
      </c>
      <c r="K7363" s="3" t="s">
        <v>23</v>
      </c>
    </row>
    <row r="7364" spans="1:11" ht="42" customHeight="1">
      <c r="A7364" s="2" t="s">
        <v>14608</v>
      </c>
      <c r="B7364" s="2" t="s">
        <v>14609</v>
      </c>
      <c r="C7364" s="2" t="s">
        <v>56</v>
      </c>
      <c r="D7364" s="2" t="s">
        <v>57</v>
      </c>
      <c r="E7364" s="5">
        <v>-27937</v>
      </c>
      <c r="F7364" s="3" t="s">
        <v>897</v>
      </c>
      <c r="G7364" s="3" t="s">
        <v>1257</v>
      </c>
      <c r="H7364" s="2" t="s">
        <v>21</v>
      </c>
      <c r="I7364" s="2" t="s">
        <v>14610</v>
      </c>
      <c r="J7364" s="3" t="str">
        <f>HYPERLINK("https://www.boe.es/gazeta/dias/1823/07/05/pdfs/GMD-1823-343.pdf#page=6","Abrir facsímil")</f>
        <v>Abrir facsímil</v>
      </c>
      <c r="K7364" s="3" t="s">
        <v>23</v>
      </c>
    </row>
    <row r="7365" spans="1:11" ht="42" customHeight="1">
      <c r="A7365" s="2" t="s">
        <v>14611</v>
      </c>
      <c r="B7365" s="2" t="s">
        <v>14612</v>
      </c>
      <c r="C7365" s="2" t="s">
        <v>17</v>
      </c>
      <c r="D7365" s="2" t="s">
        <v>18</v>
      </c>
      <c r="E7365" s="5">
        <v>-27953</v>
      </c>
      <c r="F7365" s="3" t="s">
        <v>1543</v>
      </c>
      <c r="G7365" s="3" t="s">
        <v>27</v>
      </c>
      <c r="H7365" s="2" t="s">
        <v>21</v>
      </c>
      <c r="I7365" s="2" t="s">
        <v>14613</v>
      </c>
      <c r="J7365" s="3" t="str">
        <f>HYPERLINK("https://www.boe.es/gazeta/dias/1823/06/19/pdfs/GMD-1823-193.pdf#page=2","Abrir facsímil")</f>
        <v>Abrir facsímil</v>
      </c>
      <c r="K7365" s="3" t="s">
        <v>23</v>
      </c>
    </row>
    <row r="7366" spans="1:11" ht="42" customHeight="1">
      <c r="A7366" s="2" t="s">
        <v>14614</v>
      </c>
      <c r="B7366" s="2" t="s">
        <v>14614</v>
      </c>
      <c r="C7366" s="2" t="s">
        <v>17</v>
      </c>
      <c r="D7366" s="2" t="s">
        <v>18</v>
      </c>
      <c r="E7366" s="5">
        <v>-28016</v>
      </c>
      <c r="F7366" s="3" t="s">
        <v>2259</v>
      </c>
      <c r="G7366" s="3" t="s">
        <v>20</v>
      </c>
      <c r="H7366" s="2" t="s">
        <v>21</v>
      </c>
      <c r="I7366" s="2" t="s">
        <v>14615</v>
      </c>
      <c r="J7366" s="3" t="str">
        <f>HYPERLINK("https://www.boe.es/gazeta/dias/1823/04/17/pdfs/GES-1823-7.pdf#page=4","Abrir facsímil")</f>
        <v>Abrir facsímil</v>
      </c>
      <c r="K7366" s="3" t="s">
        <v>23</v>
      </c>
    </row>
    <row r="7367" spans="1:11" ht="42" customHeight="1">
      <c r="A7367" s="2" t="s">
        <v>14616</v>
      </c>
      <c r="B7367" s="2" t="s">
        <v>14617</v>
      </c>
      <c r="C7367" s="2" t="s">
        <v>79</v>
      </c>
      <c r="D7367" s="2" t="s">
        <v>74</v>
      </c>
      <c r="E7367" s="5">
        <v>-28074</v>
      </c>
      <c r="F7367" s="3" t="s">
        <v>212</v>
      </c>
      <c r="G7367" s="3" t="s">
        <v>59</v>
      </c>
      <c r="H7367" s="2" t="s">
        <v>21</v>
      </c>
      <c r="I7367" s="2" t="s">
        <v>14618</v>
      </c>
      <c r="J7367" s="3" t="str">
        <f>HYPERLINK("https://www.boe.es/gazeta/dias/1823/02/18/pdfs/GMD-1823-52.pdf#page=6","Abrir facsímil")</f>
        <v>Abrir facsímil</v>
      </c>
      <c r="K7367" s="3" t="s">
        <v>23</v>
      </c>
    </row>
    <row r="7368" spans="1:11" ht="42" customHeight="1">
      <c r="A7368" s="2" t="s">
        <v>14616</v>
      </c>
      <c r="B7368" s="2" t="s">
        <v>14617</v>
      </c>
      <c r="C7368" s="2" t="s">
        <v>17</v>
      </c>
      <c r="D7368" s="2" t="s">
        <v>18</v>
      </c>
      <c r="E7368" s="5">
        <v>-28066</v>
      </c>
      <c r="F7368" s="3" t="s">
        <v>19</v>
      </c>
      <c r="G7368" s="3" t="s">
        <v>20</v>
      </c>
      <c r="H7368" s="2" t="s">
        <v>21</v>
      </c>
      <c r="I7368" s="2" t="s">
        <v>14619</v>
      </c>
      <c r="J7368" s="3" t="str">
        <f>HYPERLINK("https://www.boe.es/gazeta/dias/1823/02/26/pdfs/GMD-1823-60.pdf#page=4","Abrir facsímil")</f>
        <v>Abrir facsímil</v>
      </c>
      <c r="K7368" s="3" t="s">
        <v>23</v>
      </c>
    </row>
    <row r="7369" spans="1:11" ht="42" customHeight="1">
      <c r="A7369" s="2" t="s">
        <v>14616</v>
      </c>
      <c r="B7369" s="2" t="s">
        <v>14617</v>
      </c>
      <c r="C7369" s="2" t="s">
        <v>17</v>
      </c>
      <c r="D7369" s="2" t="s">
        <v>117</v>
      </c>
      <c r="E7369" s="5">
        <v>-27975</v>
      </c>
      <c r="F7369" s="3" t="s">
        <v>1922</v>
      </c>
      <c r="G7369" s="3" t="s">
        <v>39</v>
      </c>
      <c r="H7369" s="2" t="s">
        <v>21</v>
      </c>
      <c r="I7369" s="2" t="s">
        <v>14620</v>
      </c>
      <c r="J7369" s="3" t="str">
        <f>HYPERLINK("https://www.boe.es/gazeta/dias/1823/05/28/pdfs/GES-1823-51E.pdf#page=1","Abrir facsímil")</f>
        <v>Abrir facsímil</v>
      </c>
      <c r="K7369" s="3" t="s">
        <v>23</v>
      </c>
    </row>
    <row r="7370" spans="1:11" ht="42" customHeight="1">
      <c r="A7370" s="2" t="s">
        <v>14621</v>
      </c>
      <c r="B7370" s="2" t="s">
        <v>14622</v>
      </c>
      <c r="C7370" s="2" t="s">
        <v>56</v>
      </c>
      <c r="D7370" s="2" t="s">
        <v>57</v>
      </c>
      <c r="E7370" s="5">
        <v>-28118</v>
      </c>
      <c r="F7370" s="3" t="s">
        <v>252</v>
      </c>
      <c r="G7370" s="3" t="s">
        <v>59</v>
      </c>
      <c r="H7370" s="2" t="s">
        <v>21</v>
      </c>
      <c r="I7370" s="2" t="s">
        <v>14623</v>
      </c>
      <c r="J7370" s="3" t="str">
        <f>HYPERLINK("https://www.boe.es/gazeta/dias/1823/01/05/pdfs/GMD-1823-5.pdf#page=6","Abrir facsímil")</f>
        <v>Abrir facsímil</v>
      </c>
      <c r="K7370" s="3" t="s">
        <v>23</v>
      </c>
    </row>
    <row r="7371" spans="1:11" ht="42" customHeight="1">
      <c r="A7371" s="2" t="s">
        <v>14624</v>
      </c>
      <c r="B7371" s="2" t="s">
        <v>14624</v>
      </c>
      <c r="C7371" s="2" t="s">
        <v>17</v>
      </c>
      <c r="D7371" s="2" t="s">
        <v>18</v>
      </c>
      <c r="E7371" s="5">
        <v>-28105</v>
      </c>
      <c r="F7371" s="3" t="s">
        <v>502</v>
      </c>
      <c r="G7371" s="3" t="s">
        <v>48</v>
      </c>
      <c r="H7371" s="2" t="s">
        <v>21</v>
      </c>
      <c r="I7371" s="2" t="s">
        <v>14625</v>
      </c>
      <c r="J7371" s="3" t="str">
        <f>HYPERLINK("https://www.boe.es/gazeta/dias/1823/01/18/pdfs/GMD-1823-18.pdf#page=3","Abrir facsímil")</f>
        <v>Abrir facsímil</v>
      </c>
      <c r="K7371" s="3" t="s">
        <v>23</v>
      </c>
    </row>
    <row r="7372" spans="1:11" ht="42" customHeight="1">
      <c r="A7372" s="2" t="s">
        <v>14624</v>
      </c>
      <c r="B7372" s="2" t="s">
        <v>14624</v>
      </c>
      <c r="C7372" s="2" t="s">
        <v>17</v>
      </c>
      <c r="D7372" s="2" t="s">
        <v>18</v>
      </c>
      <c r="E7372" s="5">
        <v>-28101</v>
      </c>
      <c r="F7372" s="3" t="s">
        <v>1041</v>
      </c>
      <c r="G7372" s="3" t="s">
        <v>27</v>
      </c>
      <c r="H7372" s="2" t="s">
        <v>21</v>
      </c>
      <c r="I7372" s="2" t="s">
        <v>14626</v>
      </c>
      <c r="J7372" s="3" t="str">
        <f>HYPERLINK("https://www.boe.es/gazeta/dias/1823/01/22/pdfs/GMD-1823-23.pdf#page=2","Abrir facsímil")</f>
        <v>Abrir facsímil</v>
      </c>
      <c r="K7372" s="3" t="s">
        <v>23</v>
      </c>
    </row>
    <row r="7373" spans="1:11" ht="42" customHeight="1">
      <c r="A7373" s="2" t="s">
        <v>14624</v>
      </c>
      <c r="B7373" s="2" t="s">
        <v>14624</v>
      </c>
      <c r="C7373" s="2" t="s">
        <v>17</v>
      </c>
      <c r="D7373" s="2" t="s">
        <v>18</v>
      </c>
      <c r="E7373" s="5">
        <v>-28082</v>
      </c>
      <c r="F7373" s="3" t="s">
        <v>468</v>
      </c>
      <c r="G7373" s="3" t="s">
        <v>27</v>
      </c>
      <c r="H7373" s="2" t="s">
        <v>21</v>
      </c>
      <c r="I7373" s="2" t="s">
        <v>14627</v>
      </c>
      <c r="J7373" s="3" t="str">
        <f>HYPERLINK("https://www.boe.es/gazeta/dias/1823/02/10/pdfs/GMD-1823-44.pdf#page=2","Abrir facsímil")</f>
        <v>Abrir facsímil</v>
      </c>
      <c r="K7373" s="3" t="s">
        <v>23</v>
      </c>
    </row>
    <row r="7374" spans="1:11" ht="42" customHeight="1">
      <c r="A7374" s="2" t="s">
        <v>14624</v>
      </c>
      <c r="B7374" s="2" t="s">
        <v>14624</v>
      </c>
      <c r="C7374" s="2" t="s">
        <v>79</v>
      </c>
      <c r="D7374" s="2" t="s">
        <v>74</v>
      </c>
      <c r="E7374" s="5">
        <v>-28078</v>
      </c>
      <c r="F7374" s="3" t="s">
        <v>508</v>
      </c>
      <c r="G7374" s="3" t="s">
        <v>27</v>
      </c>
      <c r="H7374" s="2" t="s">
        <v>21</v>
      </c>
      <c r="I7374" s="2" t="s">
        <v>14628</v>
      </c>
      <c r="J7374" s="3" t="str">
        <f>HYPERLINK("https://www.boe.es/gazeta/dias/1823/02/14/pdfs/GMD-1823-48.pdf#page=2","Abrir facsímil")</f>
        <v>Abrir facsímil</v>
      </c>
      <c r="K7374" s="3" t="s">
        <v>23</v>
      </c>
    </row>
    <row r="7375" spans="1:11" ht="42" customHeight="1">
      <c r="A7375" s="2" t="s">
        <v>14624</v>
      </c>
      <c r="B7375" s="2" t="s">
        <v>14624</v>
      </c>
      <c r="C7375" s="2" t="s">
        <v>56</v>
      </c>
      <c r="D7375" s="2" t="s">
        <v>57</v>
      </c>
      <c r="E7375" s="5">
        <v>-28077</v>
      </c>
      <c r="F7375" s="3" t="s">
        <v>536</v>
      </c>
      <c r="G7375" s="3" t="s">
        <v>39</v>
      </c>
      <c r="H7375" s="2" t="s">
        <v>21</v>
      </c>
      <c r="I7375" s="2" t="s">
        <v>14629</v>
      </c>
      <c r="J7375" s="3" t="str">
        <f>HYPERLINK("https://www.boe.es/gazeta/dias/1823/02/15/pdfs/GMD-1823-49.pdf#page=1","Abrir facsímil")</f>
        <v>Abrir facsímil</v>
      </c>
      <c r="K7375" s="3" t="s">
        <v>23</v>
      </c>
    </row>
    <row r="7376" spans="1:11" ht="42" customHeight="1">
      <c r="A7376" s="2" t="s">
        <v>14624</v>
      </c>
      <c r="B7376" s="2" t="s">
        <v>14624</v>
      </c>
      <c r="C7376" s="2" t="s">
        <v>79</v>
      </c>
      <c r="D7376" s="2" t="s">
        <v>74</v>
      </c>
      <c r="E7376" s="5">
        <v>-28055</v>
      </c>
      <c r="F7376" s="3" t="s">
        <v>313</v>
      </c>
      <c r="G7376" s="3" t="s">
        <v>27</v>
      </c>
      <c r="H7376" s="2" t="s">
        <v>21</v>
      </c>
      <c r="I7376" s="2" t="s">
        <v>14630</v>
      </c>
      <c r="J7376" s="3" t="str">
        <f>HYPERLINK("https://www.boe.es/gazeta/dias/1823/03/09/pdfs/GMD-1823-72.pdf#page=2","Abrir facsímil")</f>
        <v>Abrir facsímil</v>
      </c>
      <c r="K7376" s="3" t="s">
        <v>23</v>
      </c>
    </row>
    <row r="7377" spans="1:11" ht="42" customHeight="1">
      <c r="A7377" s="2" t="s">
        <v>14624</v>
      </c>
      <c r="B7377" s="2" t="s">
        <v>14624</v>
      </c>
      <c r="C7377" s="2" t="s">
        <v>17</v>
      </c>
      <c r="D7377" s="2" t="s">
        <v>18</v>
      </c>
      <c r="E7377" s="5">
        <v>-28009</v>
      </c>
      <c r="F7377" s="3" t="s">
        <v>307</v>
      </c>
      <c r="G7377" s="3" t="s">
        <v>27</v>
      </c>
      <c r="H7377" s="2" t="s">
        <v>21</v>
      </c>
      <c r="I7377" s="2" t="s">
        <v>14631</v>
      </c>
      <c r="J7377" s="3" t="str">
        <f>HYPERLINK("https://www.boe.es/gazeta/dias/1823/04/24/pdfs/GES-1823-14.pdf#page=2","Abrir facsímil")</f>
        <v>Abrir facsímil</v>
      </c>
      <c r="K7377" s="3" t="s">
        <v>23</v>
      </c>
    </row>
    <row r="7378" spans="1:11" ht="42" customHeight="1">
      <c r="A7378" s="2" t="s">
        <v>14624</v>
      </c>
      <c r="B7378" s="2" t="s">
        <v>14624</v>
      </c>
      <c r="C7378" s="2" t="s">
        <v>56</v>
      </c>
      <c r="D7378" s="2" t="s">
        <v>57</v>
      </c>
      <c r="E7378" s="5">
        <v>-28008</v>
      </c>
      <c r="F7378" s="3" t="s">
        <v>309</v>
      </c>
      <c r="G7378" s="3" t="s">
        <v>27</v>
      </c>
      <c r="H7378" s="2" t="s">
        <v>21</v>
      </c>
      <c r="I7378" s="2" t="s">
        <v>14632</v>
      </c>
      <c r="J7378" s="3" t="str">
        <f>HYPERLINK("https://www.boe.es/gazeta/dias/1823/04/25/pdfs/GES-1823-15.pdf#page=2","Abrir facsímil")</f>
        <v>Abrir facsímil</v>
      </c>
      <c r="K7378" s="3" t="s">
        <v>23</v>
      </c>
    </row>
    <row r="7379" spans="1:11" ht="42" customHeight="1">
      <c r="A7379" s="2" t="s">
        <v>14624</v>
      </c>
      <c r="B7379" s="2" t="s">
        <v>14624</v>
      </c>
      <c r="C7379" s="2" t="s">
        <v>109</v>
      </c>
      <c r="D7379" s="2" t="s">
        <v>74</v>
      </c>
      <c r="E7379" s="5">
        <v>-28004</v>
      </c>
      <c r="F7379" s="3" t="s">
        <v>33</v>
      </c>
      <c r="G7379" s="3" t="s">
        <v>48</v>
      </c>
      <c r="H7379" s="2" t="s">
        <v>21</v>
      </c>
      <c r="I7379" s="2" t="s">
        <v>14633</v>
      </c>
      <c r="J7379" s="3" t="str">
        <f>HYPERLINK("https://www.boe.es/gazeta/dias/1823/04/29/pdfs/GES-1823-19.pdf#page=3","Abrir facsímil")</f>
        <v>Abrir facsímil</v>
      </c>
      <c r="K7379" s="3" t="s">
        <v>23</v>
      </c>
    </row>
    <row r="7380" spans="1:11" ht="42" customHeight="1">
      <c r="A7380" s="2" t="s">
        <v>14624</v>
      </c>
      <c r="B7380" s="2" t="s">
        <v>14624</v>
      </c>
      <c r="C7380" s="2" t="s">
        <v>56</v>
      </c>
      <c r="D7380" s="2" t="s">
        <v>57</v>
      </c>
      <c r="E7380" s="5">
        <v>-28004</v>
      </c>
      <c r="F7380" s="3" t="s">
        <v>313</v>
      </c>
      <c r="G7380" s="3" t="s">
        <v>27</v>
      </c>
      <c r="H7380" s="2" t="s">
        <v>21</v>
      </c>
      <c r="I7380" s="2" t="s">
        <v>14634</v>
      </c>
      <c r="J7380" s="3" t="str">
        <f>HYPERLINK("https://www.boe.es/gazeta/dias/1823/04/29/pdfs/GMD-1823-72.pdf#page=2","Abrir facsímil")</f>
        <v>Abrir facsímil</v>
      </c>
      <c r="K7380" s="3" t="s">
        <v>23</v>
      </c>
    </row>
    <row r="7381" spans="1:11" ht="42" customHeight="1">
      <c r="A7381" s="2" t="s">
        <v>14624</v>
      </c>
      <c r="B7381" s="2" t="s">
        <v>14624</v>
      </c>
      <c r="C7381" s="2" t="s">
        <v>79</v>
      </c>
      <c r="D7381" s="2" t="s">
        <v>74</v>
      </c>
      <c r="E7381" s="5">
        <v>-28003</v>
      </c>
      <c r="F7381" s="3" t="s">
        <v>26</v>
      </c>
      <c r="G7381" s="3" t="s">
        <v>48</v>
      </c>
      <c r="H7381" s="2" t="s">
        <v>21</v>
      </c>
      <c r="I7381" s="2" t="s">
        <v>14635</v>
      </c>
      <c r="J7381" s="3" t="str">
        <f>HYPERLINK("https://www.boe.es/gazeta/dias/1823/04/30/pdfs/GES-1823-20.pdf#page=3","Abrir facsímil")</f>
        <v>Abrir facsímil</v>
      </c>
      <c r="K7381" s="3" t="s">
        <v>23</v>
      </c>
    </row>
    <row r="7382" spans="1:11" ht="42" customHeight="1">
      <c r="A7382" s="2" t="s">
        <v>14636</v>
      </c>
      <c r="B7382" s="2" t="s">
        <v>14637</v>
      </c>
      <c r="C7382" s="2" t="s">
        <v>17</v>
      </c>
      <c r="D7382" s="2" t="s">
        <v>117</v>
      </c>
      <c r="E7382" s="5">
        <v>-27953</v>
      </c>
      <c r="F7382" s="3" t="s">
        <v>2684</v>
      </c>
      <c r="G7382" s="3" t="s">
        <v>39</v>
      </c>
      <c r="H7382" s="2" t="s">
        <v>21</v>
      </c>
      <c r="I7382" s="2" t="s">
        <v>14638</v>
      </c>
      <c r="J7382" s="3" t="str">
        <f>HYPERLINK("https://www.boe.es/gazeta/dias/1823/06/19/pdfs/GMD-1823-203E.pdf#page=1","Abrir facsímil")</f>
        <v>Abrir facsímil</v>
      </c>
      <c r="K7382" s="3" t="s">
        <v>23</v>
      </c>
    </row>
    <row r="7383" spans="1:11" ht="42" customHeight="1">
      <c r="A7383" s="2" t="s">
        <v>14639</v>
      </c>
      <c r="B7383" s="2" t="s">
        <v>14640</v>
      </c>
      <c r="C7383" s="2" t="s">
        <v>325</v>
      </c>
      <c r="D7383" s="2" t="s">
        <v>74</v>
      </c>
      <c r="E7383" s="5">
        <v>-27992</v>
      </c>
      <c r="F7383" s="3" t="s">
        <v>565</v>
      </c>
      <c r="G7383" s="3" t="s">
        <v>39</v>
      </c>
      <c r="H7383" s="2" t="s">
        <v>21</v>
      </c>
      <c r="I7383" s="2" t="s">
        <v>14641</v>
      </c>
      <c r="J7383" s="3" t="str">
        <f>HYPERLINK("https://www.boe.es/gazeta/dias/1823/05/11/pdfs/GES-1823-31.pdf#page=1","Abrir facsímil")</f>
        <v>Abrir facsímil</v>
      </c>
      <c r="K7383" s="3" t="s">
        <v>23</v>
      </c>
    </row>
    <row r="7384" spans="1:11" ht="42" customHeight="1">
      <c r="A7384" s="2" t="s">
        <v>14642</v>
      </c>
      <c r="B7384" s="2" t="s">
        <v>14642</v>
      </c>
      <c r="C7384" s="2" t="s">
        <v>17</v>
      </c>
      <c r="D7384" s="2" t="s">
        <v>18</v>
      </c>
      <c r="E7384" s="5">
        <v>-27899</v>
      </c>
      <c r="F7384" s="3" t="s">
        <v>215</v>
      </c>
      <c r="G7384" s="3" t="s">
        <v>20</v>
      </c>
      <c r="H7384" s="2" t="s">
        <v>21</v>
      </c>
      <c r="I7384" s="2" t="s">
        <v>14643</v>
      </c>
      <c r="J7384" s="3" t="str">
        <f>HYPERLINK("https://www.boe.es/gazeta/dias/1823/08/12/pdfs/GMD-1823-583.pdf#page=4","Abrir facsímil")</f>
        <v>Abrir facsímil</v>
      </c>
      <c r="K7384" s="3" t="s">
        <v>23</v>
      </c>
    </row>
    <row r="7385" spans="1:11" ht="42" customHeight="1">
      <c r="A7385" s="2" t="s">
        <v>14644</v>
      </c>
      <c r="B7385" s="2" t="s">
        <v>14644</v>
      </c>
      <c r="C7385" s="2" t="s">
        <v>17</v>
      </c>
      <c r="D7385" s="2" t="s">
        <v>18</v>
      </c>
      <c r="E7385" s="5">
        <v>-27864</v>
      </c>
      <c r="F7385" s="3" t="s">
        <v>395</v>
      </c>
      <c r="G7385" s="3" t="s">
        <v>48</v>
      </c>
      <c r="H7385" s="2" t="s">
        <v>21</v>
      </c>
      <c r="I7385" s="2" t="s">
        <v>14645</v>
      </c>
      <c r="J7385" s="3" t="str">
        <f>HYPERLINK("https://www.boe.es/gazeta/dias/1823/09/16/pdfs/GMD-1823-783.pdf#page=3","Abrir facsímil")</f>
        <v>Abrir facsímil</v>
      </c>
      <c r="K7385" s="3" t="s">
        <v>23</v>
      </c>
    </row>
    <row r="7386" spans="1:11" ht="42" customHeight="1">
      <c r="A7386" s="2" t="s">
        <v>14646</v>
      </c>
      <c r="B7386" s="2" t="s">
        <v>14646</v>
      </c>
      <c r="C7386" s="2" t="s">
        <v>17</v>
      </c>
      <c r="D7386" s="2" t="s">
        <v>18</v>
      </c>
      <c r="E7386" s="5">
        <v>-27857</v>
      </c>
      <c r="F7386" s="3" t="s">
        <v>4857</v>
      </c>
      <c r="G7386" s="3" t="s">
        <v>48</v>
      </c>
      <c r="H7386" s="2" t="s">
        <v>21</v>
      </c>
      <c r="I7386" s="2" t="s">
        <v>14647</v>
      </c>
      <c r="J7386" s="3" t="str">
        <f>HYPERLINK("https://www.boe.es/gazeta/dias/1823/09/23/pdfs/GES-1823-167.pdf#page=3","Abrir facsímil")</f>
        <v>Abrir facsímil</v>
      </c>
      <c r="K7386" s="3" t="s">
        <v>23</v>
      </c>
    </row>
    <row r="7387" spans="1:11" ht="42" customHeight="1">
      <c r="A7387" s="2" t="s">
        <v>14648</v>
      </c>
      <c r="B7387" s="2" t="s">
        <v>14648</v>
      </c>
      <c r="C7387" s="2" t="s">
        <v>84</v>
      </c>
      <c r="D7387" s="2" t="s">
        <v>74</v>
      </c>
      <c r="E7387" s="5">
        <v>-28031</v>
      </c>
      <c r="F7387" s="3" t="s">
        <v>1211</v>
      </c>
      <c r="G7387" s="3" t="s">
        <v>20</v>
      </c>
      <c r="H7387" s="2" t="s">
        <v>21</v>
      </c>
      <c r="I7387" s="2" t="s">
        <v>14649</v>
      </c>
      <c r="J7387" s="3" t="str">
        <f>HYPERLINK("https://www.boe.es/gazeta/dias/1823/04/02/pdfs/GMD-1823-96.pdf#page=4","Abrir facsímil")</f>
        <v>Abrir facsímil</v>
      </c>
      <c r="K7387" s="3" t="s">
        <v>23</v>
      </c>
    </row>
    <row r="7388" spans="1:11" ht="42" customHeight="1">
      <c r="A7388" s="2" t="s">
        <v>14650</v>
      </c>
      <c r="B7388" s="2" t="s">
        <v>14650</v>
      </c>
      <c r="C7388" s="2" t="s">
        <v>79</v>
      </c>
      <c r="D7388" s="2" t="s">
        <v>74</v>
      </c>
      <c r="E7388" s="5">
        <v>-28031</v>
      </c>
      <c r="F7388" s="3" t="s">
        <v>1211</v>
      </c>
      <c r="G7388" s="3" t="s">
        <v>20</v>
      </c>
      <c r="H7388" s="2" t="s">
        <v>21</v>
      </c>
      <c r="I7388" s="2" t="s">
        <v>14651</v>
      </c>
      <c r="J7388" s="3" t="str">
        <f>HYPERLINK("https://www.boe.es/gazeta/dias/1823/04/02/pdfs/GMD-1823-96.pdf#page=4","Abrir facsímil")</f>
        <v>Abrir facsímil</v>
      </c>
      <c r="K7388" s="3" t="s">
        <v>23</v>
      </c>
    </row>
    <row r="7389" spans="1:11" ht="42" customHeight="1">
      <c r="A7389" s="2" t="s">
        <v>14652</v>
      </c>
      <c r="B7389" s="2" t="s">
        <v>14652</v>
      </c>
      <c r="C7389" s="2" t="s">
        <v>17</v>
      </c>
      <c r="D7389" s="2" t="s">
        <v>18</v>
      </c>
      <c r="E7389" s="5">
        <v>-27873</v>
      </c>
      <c r="F7389" s="3" t="s">
        <v>160</v>
      </c>
      <c r="G7389" s="3" t="s">
        <v>39</v>
      </c>
      <c r="H7389" s="2" t="s">
        <v>21</v>
      </c>
      <c r="I7389" s="2" t="s">
        <v>14653</v>
      </c>
      <c r="J7389" s="3" t="str">
        <f>HYPERLINK("https://www.boe.es/gazeta/dias/1823/09/07/pdfs/GES-1823-151.pdf#page=1","Abrir facsímil")</f>
        <v>Abrir facsímil</v>
      </c>
      <c r="K7389" s="3" t="s">
        <v>23</v>
      </c>
    </row>
    <row r="7390" spans="1:11" ht="42" customHeight="1">
      <c r="A7390" s="2" t="s">
        <v>14654</v>
      </c>
      <c r="B7390" s="2" t="s">
        <v>14655</v>
      </c>
      <c r="C7390" s="2" t="s">
        <v>17</v>
      </c>
      <c r="D7390" s="2" t="s">
        <v>18</v>
      </c>
      <c r="E7390" s="5">
        <v>-28059</v>
      </c>
      <c r="F7390" s="3" t="s">
        <v>149</v>
      </c>
      <c r="G7390" s="3" t="s">
        <v>20</v>
      </c>
      <c r="H7390" s="2" t="s">
        <v>21</v>
      </c>
      <c r="I7390" s="2" t="s">
        <v>14656</v>
      </c>
      <c r="J7390" s="3" t="str">
        <f>HYPERLINK("https://www.boe.es/gazeta/dias/1823/03/05/pdfs/GMD-1823-68.pdf#page=4","Abrir facsímil")</f>
        <v>Abrir facsímil</v>
      </c>
      <c r="K7390" s="3" t="s">
        <v>23</v>
      </c>
    </row>
    <row r="7391" spans="1:11" ht="42" customHeight="1">
      <c r="A7391" s="2" t="s">
        <v>14657</v>
      </c>
      <c r="B7391" s="2" t="s">
        <v>14657</v>
      </c>
      <c r="C7391" s="2" t="s">
        <v>17</v>
      </c>
      <c r="D7391" s="2" t="s">
        <v>18</v>
      </c>
      <c r="E7391" s="5">
        <v>-28050</v>
      </c>
      <c r="F7391" s="3" t="s">
        <v>473</v>
      </c>
      <c r="G7391" s="3" t="s">
        <v>34</v>
      </c>
      <c r="H7391" s="2" t="s">
        <v>21</v>
      </c>
      <c r="I7391" s="2" t="s">
        <v>14658</v>
      </c>
      <c r="J7391" s="3" t="str">
        <f>HYPERLINK("https://www.boe.es/gazeta/dias/1823/03/14/pdfs/GMD-1823-77.pdf#page=5","Abrir facsímil")</f>
        <v>Abrir facsímil</v>
      </c>
      <c r="K7391" s="3" t="s">
        <v>23</v>
      </c>
    </row>
    <row r="7392" spans="1:11" ht="42" customHeight="1">
      <c r="A7392" s="2" t="s">
        <v>14659</v>
      </c>
      <c r="B7392" s="2" t="s">
        <v>14660</v>
      </c>
      <c r="C7392" s="2" t="s">
        <v>73</v>
      </c>
      <c r="D7392" s="2" t="s">
        <v>74</v>
      </c>
      <c r="E7392" s="5">
        <v>-27986</v>
      </c>
      <c r="F7392" s="3" t="s">
        <v>75</v>
      </c>
      <c r="G7392" s="3" t="s">
        <v>27</v>
      </c>
      <c r="H7392" s="2" t="s">
        <v>21</v>
      </c>
      <c r="I7392" s="2" t="s">
        <v>14661</v>
      </c>
      <c r="J7392" s="3" t="str">
        <f>HYPERLINK("https://www.boe.es/gazeta/dias/1823/05/17/pdfs/GES-1823-37.pdf#page=2","Abrir facsímil")</f>
        <v>Abrir facsímil</v>
      </c>
      <c r="K7392" s="3" t="s">
        <v>23</v>
      </c>
    </row>
    <row r="7393" spans="1:11" ht="42" customHeight="1">
      <c r="A7393" s="2" t="s">
        <v>14662</v>
      </c>
      <c r="B7393" s="2" t="s">
        <v>14663</v>
      </c>
      <c r="C7393" s="2" t="s">
        <v>79</v>
      </c>
      <c r="D7393" s="2" t="s">
        <v>74</v>
      </c>
      <c r="E7393" s="5">
        <v>-27825</v>
      </c>
      <c r="F7393" s="3" t="s">
        <v>2503</v>
      </c>
      <c r="G7393" s="3" t="s">
        <v>20</v>
      </c>
      <c r="H7393" s="2" t="s">
        <v>21</v>
      </c>
      <c r="I7393" s="2" t="s">
        <v>14664</v>
      </c>
      <c r="J7393" s="3" t="str">
        <f>HYPERLINK("https://www.boe.es/gazeta/dias/1823/10/25/pdfs/GMD-1823-1023.pdf#page=4","Abrir facsímil")</f>
        <v>Abrir facsímil</v>
      </c>
      <c r="K7393" s="3" t="s">
        <v>23</v>
      </c>
    </row>
    <row r="7394" spans="1:11" ht="42" customHeight="1">
      <c r="A7394" s="2" t="s">
        <v>14665</v>
      </c>
      <c r="B7394" s="2" t="s">
        <v>14665</v>
      </c>
      <c r="C7394" s="2" t="s">
        <v>293</v>
      </c>
      <c r="D7394" s="2" t="s">
        <v>74</v>
      </c>
      <c r="E7394" s="5">
        <v>-27939</v>
      </c>
      <c r="F7394" s="3" t="s">
        <v>1403</v>
      </c>
      <c r="G7394" s="3" t="s">
        <v>5889</v>
      </c>
      <c r="H7394" s="2" t="s">
        <v>21</v>
      </c>
      <c r="I7394" s="2" t="s">
        <v>14666</v>
      </c>
      <c r="J7394" s="3" t="str">
        <f>HYPERLINK("https://www.boe.es/gazeta/dias/1823/07/03/pdfs/GMD-1823-333.pdf#page=5","Abrir facsímil")</f>
        <v>Abrir facsímil</v>
      </c>
      <c r="K7394" s="3" t="s">
        <v>23</v>
      </c>
    </row>
    <row r="7395" spans="1:11" ht="42" customHeight="1">
      <c r="A7395" s="2" t="s">
        <v>14667</v>
      </c>
      <c r="B7395" s="2" t="s">
        <v>14668</v>
      </c>
      <c r="C7395" s="2" t="s">
        <v>79</v>
      </c>
      <c r="D7395" s="2" t="s">
        <v>74</v>
      </c>
      <c r="E7395" s="5">
        <v>-28037</v>
      </c>
      <c r="F7395" s="3" t="s">
        <v>192</v>
      </c>
      <c r="G7395" s="3" t="s">
        <v>48</v>
      </c>
      <c r="H7395" s="2" t="s">
        <v>21</v>
      </c>
      <c r="I7395" s="2" t="s">
        <v>14669</v>
      </c>
      <c r="J7395" s="3" t="str">
        <f>HYPERLINK("https://www.boe.es/gazeta/dias/1823/03/27/pdfs/GMD-1823-90.pdf#page=3","Abrir facsímil")</f>
        <v>Abrir facsímil</v>
      </c>
      <c r="K7395" s="3" t="s">
        <v>23</v>
      </c>
    </row>
    <row r="7396" spans="1:11" ht="42" customHeight="1">
      <c r="A7396" s="2" t="s">
        <v>14670</v>
      </c>
      <c r="B7396" s="2" t="s">
        <v>14670</v>
      </c>
      <c r="C7396" s="2" t="s">
        <v>17</v>
      </c>
      <c r="D7396" s="2" t="s">
        <v>18</v>
      </c>
      <c r="E7396" s="5">
        <v>-27864</v>
      </c>
      <c r="F7396" s="3" t="s">
        <v>395</v>
      </c>
      <c r="G7396" s="3" t="s">
        <v>48</v>
      </c>
      <c r="H7396" s="2" t="s">
        <v>21</v>
      </c>
      <c r="I7396" s="2" t="s">
        <v>14671</v>
      </c>
      <c r="J7396" s="3" t="str">
        <f>HYPERLINK("https://www.boe.es/gazeta/dias/1823/09/16/pdfs/GMD-1823-783.pdf#page=3","Abrir facsímil")</f>
        <v>Abrir facsímil</v>
      </c>
      <c r="K7396" s="3" t="s">
        <v>23</v>
      </c>
    </row>
    <row r="7397" spans="1:11" ht="42" customHeight="1">
      <c r="A7397" s="2" t="s">
        <v>14672</v>
      </c>
      <c r="B7397" s="2" t="s">
        <v>14673</v>
      </c>
      <c r="C7397" s="2" t="s">
        <v>17</v>
      </c>
      <c r="D7397" s="2" t="s">
        <v>18</v>
      </c>
      <c r="E7397" s="5">
        <v>-27861</v>
      </c>
      <c r="F7397" s="3" t="s">
        <v>425</v>
      </c>
      <c r="G7397" s="3" t="s">
        <v>39</v>
      </c>
      <c r="H7397" s="2" t="s">
        <v>21</v>
      </c>
      <c r="I7397" s="2" t="s">
        <v>14674</v>
      </c>
      <c r="J7397" s="3" t="str">
        <f>HYPERLINK("https://www.boe.es/gazeta/dias/1823/09/19/pdfs/GES-1823-163.pdf#page=1","Abrir facsímil")</f>
        <v>Abrir facsímil</v>
      </c>
      <c r="K7397" s="3" t="s">
        <v>23</v>
      </c>
    </row>
    <row r="7398" spans="1:11" ht="42" customHeight="1">
      <c r="A7398" s="2" t="s">
        <v>14675</v>
      </c>
      <c r="B7398" s="2" t="s">
        <v>14676</v>
      </c>
      <c r="C7398" s="2" t="s">
        <v>17</v>
      </c>
      <c r="D7398" s="2" t="s">
        <v>18</v>
      </c>
      <c r="E7398" s="5">
        <v>-27970</v>
      </c>
      <c r="F7398" s="3" t="s">
        <v>1030</v>
      </c>
      <c r="G7398" s="3" t="s">
        <v>59</v>
      </c>
      <c r="H7398" s="2" t="s">
        <v>28</v>
      </c>
      <c r="I7398" s="2" t="s">
        <v>14677</v>
      </c>
      <c r="J7398" s="3" t="str">
        <f>HYPERLINK("https://www.boe.es/gazeta/dias/1823/06/02/pdfs/GES-1823-56.pdf#page=6","Abrir facsímil")</f>
        <v>Abrir facsímil</v>
      </c>
      <c r="K7398" s="3" t="s">
        <v>30</v>
      </c>
    </row>
    <row r="7399" spans="1:11" ht="42" customHeight="1">
      <c r="A7399" s="2" t="s">
        <v>14678</v>
      </c>
      <c r="B7399" s="2" t="s">
        <v>14678</v>
      </c>
      <c r="C7399" s="2" t="s">
        <v>79</v>
      </c>
      <c r="D7399" s="2" t="s">
        <v>74</v>
      </c>
      <c r="E7399" s="5">
        <v>-27989</v>
      </c>
      <c r="F7399" s="3" t="s">
        <v>1134</v>
      </c>
      <c r="G7399" s="3" t="s">
        <v>39</v>
      </c>
      <c r="H7399" s="2" t="s">
        <v>21</v>
      </c>
      <c r="I7399" s="2" t="s">
        <v>14679</v>
      </c>
      <c r="J7399" s="3" t="str">
        <f>HYPERLINK("https://www.boe.es/gazeta/dias/1823/05/14/pdfs/GES-1823-34.pdf#page=1","Abrir facsímil")</f>
        <v>Abrir facsímil</v>
      </c>
      <c r="K7399" s="3" t="s">
        <v>23</v>
      </c>
    </row>
    <row r="7400" spans="1:11" ht="42" customHeight="1">
      <c r="A7400" s="2" t="s">
        <v>14680</v>
      </c>
      <c r="B7400" s="2" t="s">
        <v>14680</v>
      </c>
      <c r="C7400" s="2" t="s">
        <v>79</v>
      </c>
      <c r="D7400" s="2" t="s">
        <v>74</v>
      </c>
      <c r="E7400" s="5">
        <v>-27946</v>
      </c>
      <c r="F7400" s="3" t="s">
        <v>1547</v>
      </c>
      <c r="G7400" s="3" t="s">
        <v>48</v>
      </c>
      <c r="H7400" s="2" t="s">
        <v>21</v>
      </c>
      <c r="I7400" s="2" t="s">
        <v>14681</v>
      </c>
      <c r="J7400" s="3" t="str">
        <f>HYPERLINK("https://www.boe.es/gazeta/dias/1823/06/26/pdfs/GMD-1823-283.pdf#page=3","Abrir facsímil")</f>
        <v>Abrir facsímil</v>
      </c>
      <c r="K7400" s="3" t="s">
        <v>23</v>
      </c>
    </row>
    <row r="7401" spans="1:11" ht="42" customHeight="1">
      <c r="A7401" s="2" t="s">
        <v>14682</v>
      </c>
      <c r="B7401" s="2" t="s">
        <v>14683</v>
      </c>
      <c r="C7401" s="2" t="s">
        <v>17</v>
      </c>
      <c r="D7401" s="2" t="s">
        <v>18</v>
      </c>
      <c r="E7401" s="5">
        <v>-28030</v>
      </c>
      <c r="F7401" s="3" t="s">
        <v>145</v>
      </c>
      <c r="G7401" s="3" t="s">
        <v>48</v>
      </c>
      <c r="H7401" s="2" t="s">
        <v>21</v>
      </c>
      <c r="I7401" s="2" t="s">
        <v>14684</v>
      </c>
      <c r="J7401" s="3" t="str">
        <f>HYPERLINK("https://www.boe.es/gazeta/dias/1823/04/03/pdfs/GMD-1823-97.pdf#page=3","Abrir facsímil")</f>
        <v>Abrir facsímil</v>
      </c>
      <c r="K7401" s="3" t="s">
        <v>23</v>
      </c>
    </row>
    <row r="7402" spans="1:11" ht="42" customHeight="1">
      <c r="A7402" s="2" t="s">
        <v>14685</v>
      </c>
      <c r="B7402" s="2" t="s">
        <v>14686</v>
      </c>
      <c r="C7402" s="2" t="s">
        <v>325</v>
      </c>
      <c r="D7402" s="2" t="s">
        <v>74</v>
      </c>
      <c r="E7402" s="5">
        <v>-28110</v>
      </c>
      <c r="F7402" s="3" t="s">
        <v>249</v>
      </c>
      <c r="G7402" s="3" t="s">
        <v>20</v>
      </c>
      <c r="H7402" s="2" t="s">
        <v>21</v>
      </c>
      <c r="I7402" s="2" t="s">
        <v>14687</v>
      </c>
      <c r="J7402" s="3" t="str">
        <f>HYPERLINK("https://www.boe.es/gazeta/dias/1823/01/13/pdfs/GMD-1823-13.pdf#page=4","Abrir facsímil")</f>
        <v>Abrir facsímil</v>
      </c>
      <c r="K7402" s="3" t="s">
        <v>23</v>
      </c>
    </row>
    <row r="7403" spans="1:11" ht="42" customHeight="1">
      <c r="A7403" s="2" t="s">
        <v>14688</v>
      </c>
      <c r="B7403" s="2" t="s">
        <v>14688</v>
      </c>
      <c r="C7403" s="2" t="s">
        <v>17</v>
      </c>
      <c r="D7403" s="2" t="s">
        <v>18</v>
      </c>
      <c r="E7403" s="5">
        <v>-28018</v>
      </c>
      <c r="F7403" s="3" t="s">
        <v>275</v>
      </c>
      <c r="G7403" s="3" t="s">
        <v>48</v>
      </c>
      <c r="H7403" s="2" t="s">
        <v>21</v>
      </c>
      <c r="I7403" s="2" t="s">
        <v>14689</v>
      </c>
      <c r="J7403" s="3" t="str">
        <f>HYPERLINK("https://www.boe.es/gazeta/dias/1823/04/15/pdfs/GMD-1823-12.pdf#page=3","Abrir facsímil")</f>
        <v>Abrir facsímil</v>
      </c>
      <c r="K7403" s="3" t="s">
        <v>23</v>
      </c>
    </row>
    <row r="7404" spans="1:11" ht="42" customHeight="1">
      <c r="A7404" s="2" t="s">
        <v>14690</v>
      </c>
      <c r="B7404" s="2" t="s">
        <v>14691</v>
      </c>
      <c r="C7404" s="2" t="s">
        <v>56</v>
      </c>
      <c r="D7404" s="2" t="s">
        <v>57</v>
      </c>
      <c r="E7404" s="5">
        <v>-28061</v>
      </c>
      <c r="F7404" s="3" t="s">
        <v>704</v>
      </c>
      <c r="G7404" s="3" t="s">
        <v>39</v>
      </c>
      <c r="H7404" s="2" t="s">
        <v>21</v>
      </c>
      <c r="I7404" s="2" t="s">
        <v>14692</v>
      </c>
      <c r="J7404" s="3" t="str">
        <f>HYPERLINK("https://www.boe.es/gazeta/dias/1823/03/03/pdfs/GMD-1823-66.pdf#page=1","Abrir facsímil")</f>
        <v>Abrir facsímil</v>
      </c>
      <c r="K7404" s="3" t="s">
        <v>23</v>
      </c>
    </row>
    <row r="7405" spans="1:11" ht="42" customHeight="1">
      <c r="A7405" s="2" t="s">
        <v>14693</v>
      </c>
      <c r="B7405" s="2" t="s">
        <v>14694</v>
      </c>
      <c r="C7405" s="2" t="s">
        <v>73</v>
      </c>
      <c r="D7405" s="2" t="s">
        <v>74</v>
      </c>
      <c r="E7405" s="5">
        <v>-28058</v>
      </c>
      <c r="F7405" s="3" t="s">
        <v>1282</v>
      </c>
      <c r="G7405" s="3" t="s">
        <v>34</v>
      </c>
      <c r="H7405" s="2" t="s">
        <v>21</v>
      </c>
      <c r="I7405" s="2" t="s">
        <v>14695</v>
      </c>
      <c r="J7405" s="3" t="str">
        <f>HYPERLINK("https://www.boe.es/gazeta/dias/1823/03/06/pdfs/GMD-1823-69.pdf#page=5","Abrir facsímil")</f>
        <v>Abrir facsímil</v>
      </c>
      <c r="K7405" s="3" t="s">
        <v>23</v>
      </c>
    </row>
    <row r="7406" spans="1:11" ht="42" customHeight="1">
      <c r="A7406" s="2" t="s">
        <v>14693</v>
      </c>
      <c r="B7406" s="2" t="s">
        <v>14694</v>
      </c>
      <c r="C7406" s="2" t="s">
        <v>79</v>
      </c>
      <c r="D7406" s="2" t="s">
        <v>74</v>
      </c>
      <c r="E7406" s="5">
        <v>-28057</v>
      </c>
      <c r="F7406" s="3" t="s">
        <v>301</v>
      </c>
      <c r="G7406" s="3" t="s">
        <v>20</v>
      </c>
      <c r="H7406" s="2" t="s">
        <v>21</v>
      </c>
      <c r="I7406" s="2" t="s">
        <v>14696</v>
      </c>
      <c r="J7406" s="3" t="str">
        <f>HYPERLINK("https://www.boe.es/gazeta/dias/1823/03/07/pdfs/GMD-1823-70.pdf#page=4","Abrir facsímil")</f>
        <v>Abrir facsímil</v>
      </c>
      <c r="K7406" s="3" t="s">
        <v>23</v>
      </c>
    </row>
    <row r="7407" spans="1:11" ht="42" customHeight="1">
      <c r="A7407" s="2" t="s">
        <v>14690</v>
      </c>
      <c r="B7407" s="2" t="s">
        <v>14691</v>
      </c>
      <c r="C7407" s="2" t="s">
        <v>79</v>
      </c>
      <c r="D7407" s="2" t="s">
        <v>74</v>
      </c>
      <c r="E7407" s="5">
        <v>-28051</v>
      </c>
      <c r="F7407" s="3" t="s">
        <v>305</v>
      </c>
      <c r="G7407" s="3" t="s">
        <v>27</v>
      </c>
      <c r="H7407" s="2" t="s">
        <v>21</v>
      </c>
      <c r="I7407" s="2" t="s">
        <v>14697</v>
      </c>
      <c r="J7407" s="3" t="str">
        <f>HYPERLINK("https://www.boe.es/gazeta/dias/1823/03/13/pdfs/GMD-1823-76.pdf#page=2","Abrir facsímil")</f>
        <v>Abrir facsímil</v>
      </c>
      <c r="K7407" s="3" t="s">
        <v>23</v>
      </c>
    </row>
    <row r="7408" spans="1:11" ht="42" customHeight="1">
      <c r="A7408" s="2" t="s">
        <v>14690</v>
      </c>
      <c r="B7408" s="2" t="s">
        <v>14691</v>
      </c>
      <c r="C7408" s="2" t="s">
        <v>17</v>
      </c>
      <c r="D7408" s="2" t="s">
        <v>18</v>
      </c>
      <c r="E7408" s="5">
        <v>-28050</v>
      </c>
      <c r="F7408" s="3" t="s">
        <v>473</v>
      </c>
      <c r="G7408" s="3" t="s">
        <v>27</v>
      </c>
      <c r="H7408" s="2" t="s">
        <v>21</v>
      </c>
      <c r="I7408" s="2" t="s">
        <v>14698</v>
      </c>
      <c r="J7408" s="3" t="str">
        <f>HYPERLINK("https://www.boe.es/gazeta/dias/1823/03/14/pdfs/GMD-1823-77.pdf#page=2","Abrir facsímil")</f>
        <v>Abrir facsímil</v>
      </c>
      <c r="K7408" s="3" t="s">
        <v>23</v>
      </c>
    </row>
    <row r="7409" spans="1:11" ht="42" customHeight="1">
      <c r="A7409" s="2" t="s">
        <v>14699</v>
      </c>
      <c r="B7409" s="2" t="s">
        <v>14700</v>
      </c>
      <c r="C7409" s="2" t="s">
        <v>293</v>
      </c>
      <c r="D7409" s="2" t="s">
        <v>74</v>
      </c>
      <c r="E7409" s="5">
        <v>-27976</v>
      </c>
      <c r="F7409" s="3" t="s">
        <v>1156</v>
      </c>
      <c r="G7409" s="3" t="s">
        <v>39</v>
      </c>
      <c r="H7409" s="2" t="s">
        <v>21</v>
      </c>
      <c r="I7409" s="2" t="s">
        <v>14701</v>
      </c>
      <c r="J7409" s="3" t="str">
        <f>HYPERLINK("https://www.boe.es/gazeta/dias/1823/05/27/pdfs/GES-1823-49.pdf#page=1","Abrir facsímil")</f>
        <v>Abrir facsímil</v>
      </c>
      <c r="K7409" s="3" t="s">
        <v>23</v>
      </c>
    </row>
    <row r="7410" spans="1:11" ht="42" customHeight="1">
      <c r="A7410" s="2" t="s">
        <v>14702</v>
      </c>
      <c r="B7410" s="2" t="s">
        <v>14703</v>
      </c>
      <c r="C7410" s="2" t="s">
        <v>79</v>
      </c>
      <c r="D7410" s="2" t="s">
        <v>74</v>
      </c>
      <c r="E7410" s="5">
        <v>-27766</v>
      </c>
      <c r="F7410" s="3" t="s">
        <v>3450</v>
      </c>
      <c r="G7410" s="3" t="s">
        <v>20</v>
      </c>
      <c r="H7410" s="2" t="s">
        <v>21</v>
      </c>
      <c r="I7410" s="2" t="s">
        <v>14704</v>
      </c>
      <c r="J7410" s="3" t="str">
        <f>HYPERLINK("https://www.boe.es/gazeta/dias/1823/12/23/pdfs/GMD-1823-1283.pdf#page=4","Abrir facsímil")</f>
        <v>Abrir facsímil</v>
      </c>
      <c r="K7410" s="3" t="s">
        <v>23</v>
      </c>
    </row>
    <row r="7411" spans="1:11" ht="42" customHeight="1">
      <c r="A7411" s="2" t="s">
        <v>14705</v>
      </c>
      <c r="B7411" s="2" t="s">
        <v>14705</v>
      </c>
      <c r="C7411" s="2" t="s">
        <v>17</v>
      </c>
      <c r="D7411" s="2" t="s">
        <v>18</v>
      </c>
      <c r="E7411" s="5">
        <v>-28105</v>
      </c>
      <c r="F7411" s="3" t="s">
        <v>502</v>
      </c>
      <c r="G7411" s="3" t="s">
        <v>34</v>
      </c>
      <c r="H7411" s="2" t="s">
        <v>21</v>
      </c>
      <c r="I7411" s="2" t="s">
        <v>14706</v>
      </c>
      <c r="J7411" s="3" t="str">
        <f>HYPERLINK("https://www.boe.es/gazeta/dias/1823/01/18/pdfs/GMD-1823-18.pdf#page=5","Abrir facsímil")</f>
        <v>Abrir facsímil</v>
      </c>
      <c r="K7411" s="3" t="s">
        <v>23</v>
      </c>
    </row>
    <row r="7412" spans="1:11" ht="42" customHeight="1">
      <c r="A7412" s="2" t="s">
        <v>14705</v>
      </c>
      <c r="B7412" s="2" t="s">
        <v>14705</v>
      </c>
      <c r="C7412" s="2" t="s">
        <v>17</v>
      </c>
      <c r="D7412" s="2" t="s">
        <v>18</v>
      </c>
      <c r="E7412" s="5">
        <v>-28102</v>
      </c>
      <c r="F7412" s="3" t="s">
        <v>287</v>
      </c>
      <c r="G7412" s="3" t="s">
        <v>27</v>
      </c>
      <c r="H7412" s="2" t="s">
        <v>21</v>
      </c>
      <c r="I7412" s="2" t="s">
        <v>14707</v>
      </c>
      <c r="J7412" s="3" t="str">
        <f>HYPERLINK("https://www.boe.es/gazeta/dias/1823/01/21/pdfs/GMD-1823-22.pdf#page=2","Abrir facsímil")</f>
        <v>Abrir facsímil</v>
      </c>
      <c r="K7412" s="3" t="s">
        <v>23</v>
      </c>
    </row>
    <row r="7413" spans="1:11" ht="42" customHeight="1">
      <c r="A7413" s="2" t="s">
        <v>14705</v>
      </c>
      <c r="B7413" s="2" t="s">
        <v>14705</v>
      </c>
      <c r="C7413" s="2" t="s">
        <v>17</v>
      </c>
      <c r="D7413" s="2" t="s">
        <v>18</v>
      </c>
      <c r="E7413" s="5">
        <v>-28078</v>
      </c>
      <c r="F7413" s="3" t="s">
        <v>508</v>
      </c>
      <c r="G7413" s="3" t="s">
        <v>39</v>
      </c>
      <c r="H7413" s="2" t="s">
        <v>21</v>
      </c>
      <c r="I7413" s="2" t="s">
        <v>14708</v>
      </c>
      <c r="J7413" s="3" t="str">
        <f>HYPERLINK("https://www.boe.es/gazeta/dias/1823/02/14/pdfs/GMD-1823-48.pdf#page=1","Abrir facsímil")</f>
        <v>Abrir facsímil</v>
      </c>
      <c r="K7413" s="3" t="s">
        <v>23</v>
      </c>
    </row>
    <row r="7414" spans="1:11" ht="42" customHeight="1">
      <c r="A7414" s="2" t="s">
        <v>14705</v>
      </c>
      <c r="B7414" s="2" t="s">
        <v>14705</v>
      </c>
      <c r="C7414" s="2" t="s">
        <v>17</v>
      </c>
      <c r="D7414" s="2" t="s">
        <v>18</v>
      </c>
      <c r="E7414" s="5">
        <v>-28077</v>
      </c>
      <c r="F7414" s="3" t="s">
        <v>536</v>
      </c>
      <c r="G7414" s="3" t="s">
        <v>59</v>
      </c>
      <c r="H7414" s="2" t="s">
        <v>21</v>
      </c>
      <c r="I7414" s="2" t="s">
        <v>14709</v>
      </c>
      <c r="J7414" s="3" t="str">
        <f>HYPERLINK("https://www.boe.es/gazeta/dias/1823/02/15/pdfs/GMD-1823-49.pdf#page=6","Abrir facsímil")</f>
        <v>Abrir facsímil</v>
      </c>
      <c r="K7414" s="3" t="s">
        <v>23</v>
      </c>
    </row>
    <row r="7415" spans="1:11" ht="42" customHeight="1">
      <c r="A7415" s="2" t="s">
        <v>14705</v>
      </c>
      <c r="B7415" s="2" t="s">
        <v>14705</v>
      </c>
      <c r="C7415" s="2" t="s">
        <v>17</v>
      </c>
      <c r="D7415" s="2" t="s">
        <v>18</v>
      </c>
      <c r="E7415" s="5">
        <v>-28071</v>
      </c>
      <c r="F7415" s="3" t="s">
        <v>587</v>
      </c>
      <c r="G7415" s="3" t="s">
        <v>39</v>
      </c>
      <c r="H7415" s="2" t="s">
        <v>21</v>
      </c>
      <c r="I7415" s="2" t="s">
        <v>14710</v>
      </c>
      <c r="J7415" s="3" t="str">
        <f>HYPERLINK("https://www.boe.es/gazeta/dias/1823/02/21/pdfs/GMD-1823-55.pdf#page=1","Abrir facsímil")</f>
        <v>Abrir facsímil</v>
      </c>
      <c r="K7415" s="3" t="s">
        <v>23</v>
      </c>
    </row>
    <row r="7416" spans="1:11" ht="42" customHeight="1">
      <c r="A7416" s="2" t="s">
        <v>14705</v>
      </c>
      <c r="B7416" s="2" t="s">
        <v>14705</v>
      </c>
      <c r="C7416" s="2" t="s">
        <v>17</v>
      </c>
      <c r="D7416" s="2" t="s">
        <v>18</v>
      </c>
      <c r="E7416" s="5">
        <v>-28061</v>
      </c>
      <c r="F7416" s="3" t="s">
        <v>704</v>
      </c>
      <c r="G7416" s="3" t="s">
        <v>39</v>
      </c>
      <c r="H7416" s="2" t="s">
        <v>21</v>
      </c>
      <c r="I7416" s="2" t="s">
        <v>14711</v>
      </c>
      <c r="J7416" s="3" t="str">
        <f>HYPERLINK("https://www.boe.es/gazeta/dias/1823/03/03/pdfs/GMD-1823-66.pdf#page=1","Abrir facsímil")</f>
        <v>Abrir facsímil</v>
      </c>
      <c r="K7416" s="3" t="s">
        <v>23</v>
      </c>
    </row>
    <row r="7417" spans="1:11" ht="42" customHeight="1">
      <c r="A7417" s="2" t="s">
        <v>14705</v>
      </c>
      <c r="B7417" s="2" t="s">
        <v>14705</v>
      </c>
      <c r="C7417" s="2" t="s">
        <v>17</v>
      </c>
      <c r="D7417" s="2" t="s">
        <v>18</v>
      </c>
      <c r="E7417" s="5">
        <v>-28030</v>
      </c>
      <c r="F7417" s="3" t="s">
        <v>145</v>
      </c>
      <c r="G7417" s="3" t="s">
        <v>48</v>
      </c>
      <c r="H7417" s="2" t="s">
        <v>21</v>
      </c>
      <c r="I7417" s="2" t="s">
        <v>14712</v>
      </c>
      <c r="J7417" s="3" t="str">
        <f>HYPERLINK("https://www.boe.es/gazeta/dias/1823/04/03/pdfs/GMD-1823-97.pdf#page=3","Abrir facsímil")</f>
        <v>Abrir facsímil</v>
      </c>
      <c r="K7417" s="3" t="s">
        <v>23</v>
      </c>
    </row>
    <row r="7418" spans="1:11" ht="42" customHeight="1">
      <c r="A7418" s="2" t="s">
        <v>14705</v>
      </c>
      <c r="B7418" s="2" t="s">
        <v>14705</v>
      </c>
      <c r="C7418" s="2" t="s">
        <v>17</v>
      </c>
      <c r="D7418" s="2" t="s">
        <v>18</v>
      </c>
      <c r="E7418" s="5">
        <v>-28018</v>
      </c>
      <c r="F7418" s="3" t="s">
        <v>275</v>
      </c>
      <c r="G7418" s="3" t="s">
        <v>27</v>
      </c>
      <c r="H7418" s="2" t="s">
        <v>21</v>
      </c>
      <c r="I7418" s="2" t="s">
        <v>14713</v>
      </c>
      <c r="J7418" s="3" t="str">
        <f>HYPERLINK("https://www.boe.es/gazeta/dias/1823/04/15/pdfs/GMD-1823-12.pdf#page=2","Abrir facsímil")</f>
        <v>Abrir facsímil</v>
      </c>
      <c r="K7418" s="3" t="s">
        <v>23</v>
      </c>
    </row>
    <row r="7419" spans="1:11" ht="42" customHeight="1">
      <c r="A7419" s="2" t="s">
        <v>14705</v>
      </c>
      <c r="B7419" s="2" t="s">
        <v>14705</v>
      </c>
      <c r="C7419" s="2" t="s">
        <v>17</v>
      </c>
      <c r="D7419" s="2" t="s">
        <v>18</v>
      </c>
      <c r="E7419" s="5">
        <v>-28017</v>
      </c>
      <c r="F7419" s="3" t="s">
        <v>2912</v>
      </c>
      <c r="G7419" s="3" t="s">
        <v>48</v>
      </c>
      <c r="H7419" s="2" t="s">
        <v>21</v>
      </c>
      <c r="I7419" s="2" t="s">
        <v>14714</v>
      </c>
      <c r="J7419" s="3" t="str">
        <f>HYPERLINK("https://www.boe.es/gazeta/dias/1823/04/16/pdfs/GES-1823-6.pdf#page=3","Abrir facsímil")</f>
        <v>Abrir facsímil</v>
      </c>
      <c r="K7419" s="3" t="s">
        <v>23</v>
      </c>
    </row>
    <row r="7420" spans="1:11" ht="42" customHeight="1">
      <c r="A7420" s="2" t="s">
        <v>14705</v>
      </c>
      <c r="B7420" s="2" t="s">
        <v>14705</v>
      </c>
      <c r="C7420" s="2" t="s">
        <v>17</v>
      </c>
      <c r="D7420" s="2" t="s">
        <v>18</v>
      </c>
      <c r="E7420" s="5">
        <v>-28015</v>
      </c>
      <c r="F7420" s="3" t="s">
        <v>985</v>
      </c>
      <c r="G7420" s="3" t="s">
        <v>27</v>
      </c>
      <c r="H7420" s="2" t="s">
        <v>21</v>
      </c>
      <c r="I7420" s="2" t="s">
        <v>14715</v>
      </c>
      <c r="J7420" s="3" t="str">
        <f>HYPERLINK("https://www.boe.es/gazeta/dias/1823/04/18/pdfs/GES-1823-8.pdf#page=2","Abrir facsímil")</f>
        <v>Abrir facsímil</v>
      </c>
      <c r="K7420" s="3" t="s">
        <v>23</v>
      </c>
    </row>
    <row r="7421" spans="1:11" ht="42" customHeight="1">
      <c r="A7421" s="2" t="s">
        <v>14705</v>
      </c>
      <c r="B7421" s="2" t="s">
        <v>14705</v>
      </c>
      <c r="C7421" s="2" t="s">
        <v>17</v>
      </c>
      <c r="D7421" s="2" t="s">
        <v>18</v>
      </c>
      <c r="E7421" s="5">
        <v>-28011</v>
      </c>
      <c r="F7421" s="3" t="s">
        <v>2416</v>
      </c>
      <c r="G7421" s="3" t="s">
        <v>48</v>
      </c>
      <c r="H7421" s="2" t="s">
        <v>21</v>
      </c>
      <c r="I7421" s="2" t="s">
        <v>14716</v>
      </c>
      <c r="J7421" s="3" t="str">
        <f>HYPERLINK("https://www.boe.es/gazeta/dias/1823/04/22/pdfs/GMD-1823-42.pdf#page=3","Abrir facsímil")</f>
        <v>Abrir facsímil</v>
      </c>
      <c r="K7421" s="3" t="s">
        <v>23</v>
      </c>
    </row>
    <row r="7422" spans="1:11" ht="42" customHeight="1">
      <c r="A7422" s="2" t="s">
        <v>14705</v>
      </c>
      <c r="B7422" s="2" t="s">
        <v>14705</v>
      </c>
      <c r="C7422" s="2" t="s">
        <v>17</v>
      </c>
      <c r="D7422" s="2" t="s">
        <v>18</v>
      </c>
      <c r="E7422" s="5">
        <v>-28002</v>
      </c>
      <c r="F7422" s="3" t="s">
        <v>245</v>
      </c>
      <c r="G7422" s="3" t="s">
        <v>48</v>
      </c>
      <c r="H7422" s="2" t="s">
        <v>21</v>
      </c>
      <c r="I7422" s="2" t="s">
        <v>14717</v>
      </c>
      <c r="J7422" s="3" t="str">
        <f>HYPERLINK("https://www.boe.es/gazeta/dias/1823/05/01/pdfs/GMD-1823-82.pdf#page=3","Abrir facsímil")</f>
        <v>Abrir facsímil</v>
      </c>
      <c r="K7422" s="3" t="s">
        <v>23</v>
      </c>
    </row>
    <row r="7423" spans="1:11" ht="42" customHeight="1">
      <c r="A7423" s="2" t="s">
        <v>14705</v>
      </c>
      <c r="B7423" s="2" t="s">
        <v>14705</v>
      </c>
      <c r="C7423" s="2" t="s">
        <v>17</v>
      </c>
      <c r="D7423" s="2" t="s">
        <v>18</v>
      </c>
      <c r="E7423" s="5">
        <v>-28001</v>
      </c>
      <c r="F7423" s="3" t="s">
        <v>768</v>
      </c>
      <c r="G7423" s="3" t="s">
        <v>27</v>
      </c>
      <c r="H7423" s="2" t="s">
        <v>21</v>
      </c>
      <c r="I7423" s="2" t="s">
        <v>14718</v>
      </c>
      <c r="J7423" s="3" t="str">
        <f>HYPERLINK("https://www.boe.es/gazeta/dias/1823/05/02/pdfs/GES-1823-22.pdf#page=2","Abrir facsímil")</f>
        <v>Abrir facsímil</v>
      </c>
      <c r="K7423" s="3" t="s">
        <v>23</v>
      </c>
    </row>
    <row r="7424" spans="1:11" ht="42" customHeight="1">
      <c r="A7424" s="2" t="s">
        <v>14705</v>
      </c>
      <c r="B7424" s="2" t="s">
        <v>14705</v>
      </c>
      <c r="C7424" s="2" t="s">
        <v>17</v>
      </c>
      <c r="D7424" s="2" t="s">
        <v>18</v>
      </c>
      <c r="E7424" s="5">
        <v>-27993</v>
      </c>
      <c r="F7424" s="3" t="s">
        <v>1062</v>
      </c>
      <c r="G7424" s="3" t="s">
        <v>59</v>
      </c>
      <c r="H7424" s="2" t="s">
        <v>21</v>
      </c>
      <c r="I7424" s="2" t="s">
        <v>14719</v>
      </c>
      <c r="J7424" s="3" t="str">
        <f>HYPERLINK("https://www.boe.es/gazeta/dias/1823/05/10/pdfs/GMD-1823-122.pdf#page=6","Abrir facsímil")</f>
        <v>Abrir facsímil</v>
      </c>
      <c r="K7424" s="3" t="s">
        <v>23</v>
      </c>
    </row>
    <row r="7425" spans="1:11" ht="42" customHeight="1">
      <c r="A7425" s="2" t="s">
        <v>14705</v>
      </c>
      <c r="B7425" s="2" t="s">
        <v>14705</v>
      </c>
      <c r="C7425" s="2" t="s">
        <v>17</v>
      </c>
      <c r="D7425" s="2" t="s">
        <v>18</v>
      </c>
      <c r="E7425" s="5">
        <v>-27961</v>
      </c>
      <c r="F7425" s="3" t="s">
        <v>52</v>
      </c>
      <c r="G7425" s="3" t="s">
        <v>48</v>
      </c>
      <c r="H7425" s="2" t="s">
        <v>21</v>
      </c>
      <c r="I7425" s="2" t="s">
        <v>14720</v>
      </c>
      <c r="J7425" s="3" t="str">
        <f>HYPERLINK("https://www.boe.es/gazeta/dias/1823/06/11/pdfs/GES-1823-65.pdf#page=3","Abrir facsímil")</f>
        <v>Abrir facsímil</v>
      </c>
      <c r="K7425" s="3" t="s">
        <v>23</v>
      </c>
    </row>
    <row r="7426" spans="1:11" ht="42" customHeight="1">
      <c r="A7426" s="2" t="s">
        <v>14705</v>
      </c>
      <c r="B7426" s="2" t="s">
        <v>14705</v>
      </c>
      <c r="C7426" s="2" t="s">
        <v>17</v>
      </c>
      <c r="D7426" s="2" t="s">
        <v>18</v>
      </c>
      <c r="E7426" s="5">
        <v>-27922</v>
      </c>
      <c r="F7426" s="3" t="s">
        <v>1959</v>
      </c>
      <c r="G7426" s="3" t="s">
        <v>48</v>
      </c>
      <c r="H7426" s="2" t="s">
        <v>21</v>
      </c>
      <c r="I7426" s="2" t="s">
        <v>14721</v>
      </c>
      <c r="J7426" s="3" t="str">
        <f>HYPERLINK("https://www.boe.es/gazeta/dias/1823/07/20/pdfs/GES-1823-101.pdf#page=3","Abrir facsímil")</f>
        <v>Abrir facsímil</v>
      </c>
      <c r="K7426" s="3" t="s">
        <v>23</v>
      </c>
    </row>
    <row r="7427" spans="1:11" ht="42" customHeight="1">
      <c r="A7427" s="2" t="s">
        <v>14705</v>
      </c>
      <c r="B7427" s="2" t="s">
        <v>14705</v>
      </c>
      <c r="C7427" s="2" t="s">
        <v>17</v>
      </c>
      <c r="D7427" s="2" t="s">
        <v>18</v>
      </c>
      <c r="E7427" s="5">
        <v>-27901</v>
      </c>
      <c r="F7427" s="3" t="s">
        <v>840</v>
      </c>
      <c r="G7427" s="3" t="s">
        <v>27</v>
      </c>
      <c r="H7427" s="2" t="s">
        <v>21</v>
      </c>
      <c r="I7427" s="2" t="s">
        <v>14722</v>
      </c>
      <c r="J7427" s="3" t="str">
        <f>HYPERLINK("https://www.boe.es/gazeta/dias/1823/08/10/pdfs/GES-1823-123.pdf#page=2","Abrir facsímil")</f>
        <v>Abrir facsímil</v>
      </c>
      <c r="K7427" s="3" t="s">
        <v>23</v>
      </c>
    </row>
    <row r="7428" spans="1:11" ht="42" customHeight="1">
      <c r="A7428" s="2" t="s">
        <v>14705</v>
      </c>
      <c r="B7428" s="2" t="s">
        <v>14705</v>
      </c>
      <c r="C7428" s="2" t="s">
        <v>17</v>
      </c>
      <c r="D7428" s="2" t="s">
        <v>18</v>
      </c>
      <c r="E7428" s="5">
        <v>-27851</v>
      </c>
      <c r="F7428" s="3" t="s">
        <v>14723</v>
      </c>
      <c r="G7428" s="3" t="s">
        <v>27</v>
      </c>
      <c r="H7428" s="2" t="s">
        <v>21</v>
      </c>
      <c r="I7428" s="2" t="s">
        <v>14724</v>
      </c>
      <c r="J7428" s="3" t="str">
        <f>HYPERLINK("https://www.boe.es/gazeta/dias/1823/09/29/pdfs/GES-1823-173.pdf#page=2","Abrir facsímil")</f>
        <v>Abrir facsímil</v>
      </c>
      <c r="K7428" s="3" t="s">
        <v>23</v>
      </c>
    </row>
    <row r="7429" spans="1:11" ht="42" customHeight="1">
      <c r="A7429" s="2" t="s">
        <v>14705</v>
      </c>
      <c r="B7429" s="2" t="s">
        <v>14705</v>
      </c>
      <c r="C7429" s="2" t="s">
        <v>17</v>
      </c>
      <c r="D7429" s="2" t="s">
        <v>18</v>
      </c>
      <c r="E7429" s="5">
        <v>-27839</v>
      </c>
      <c r="F7429" s="3" t="s">
        <v>263</v>
      </c>
      <c r="G7429" s="3" t="s">
        <v>27</v>
      </c>
      <c r="H7429" s="2" t="s">
        <v>21</v>
      </c>
      <c r="I7429" s="2" t="s">
        <v>14725</v>
      </c>
      <c r="J7429" s="3" t="str">
        <f>HYPERLINK("https://www.boe.es/gazeta/dias/1823/10/11/pdfs/GMD-1823-963.pdf#page=2","Abrir facsímil")</f>
        <v>Abrir facsímil</v>
      </c>
      <c r="K7429" s="3" t="s">
        <v>23</v>
      </c>
    </row>
    <row r="7430" spans="1:11" ht="42" customHeight="1">
      <c r="A7430" s="2" t="s">
        <v>14726</v>
      </c>
      <c r="B7430" s="2" t="s">
        <v>14727</v>
      </c>
      <c r="C7430" s="2" t="s">
        <v>17</v>
      </c>
      <c r="D7430" s="2" t="s">
        <v>18</v>
      </c>
      <c r="E7430" s="5">
        <v>-27939</v>
      </c>
      <c r="F7430" s="3" t="s">
        <v>1403</v>
      </c>
      <c r="G7430" s="3" t="s">
        <v>715</v>
      </c>
      <c r="H7430" s="2" t="s">
        <v>21</v>
      </c>
      <c r="I7430" s="2" t="s">
        <v>14728</v>
      </c>
      <c r="J7430" s="3" t="str">
        <f>HYPERLINK("https://www.boe.es/gazeta/dias/1823/07/03/pdfs/GMD-1823-333.pdf#page=8","Abrir facsímil")</f>
        <v>Abrir facsímil</v>
      </c>
      <c r="K7430" s="3" t="s">
        <v>23</v>
      </c>
    </row>
    <row r="7431" spans="1:11" ht="42" customHeight="1">
      <c r="A7431" s="2" t="s">
        <v>14729</v>
      </c>
      <c r="B7431" s="2" t="s">
        <v>14730</v>
      </c>
      <c r="C7431" s="2" t="s">
        <v>79</v>
      </c>
      <c r="D7431" s="2" t="s">
        <v>74</v>
      </c>
      <c r="E7431" s="5">
        <v>-27906</v>
      </c>
      <c r="F7431" s="3" t="s">
        <v>241</v>
      </c>
      <c r="G7431" s="3" t="s">
        <v>2212</v>
      </c>
      <c r="H7431" s="2" t="s">
        <v>21</v>
      </c>
      <c r="I7431" s="2" t="s">
        <v>14731</v>
      </c>
      <c r="J7431" s="3" t="str">
        <f>HYPERLINK("https://www.boe.es/gazeta/dias/1823/08/05/pdfs/GES-1823-117.pdf#page=2","Abrir facsímil")</f>
        <v>Abrir facsímil</v>
      </c>
      <c r="K7431" s="3" t="s">
        <v>23</v>
      </c>
    </row>
    <row r="7432" spans="1:11" ht="42" customHeight="1">
      <c r="A7432" s="2" t="s">
        <v>14732</v>
      </c>
      <c r="B7432" s="2" t="s">
        <v>14733</v>
      </c>
      <c r="C7432" s="2" t="s">
        <v>17</v>
      </c>
      <c r="D7432" s="2" t="s">
        <v>18</v>
      </c>
      <c r="E7432" s="5">
        <v>-27964</v>
      </c>
      <c r="F7432" s="3" t="s">
        <v>58</v>
      </c>
      <c r="G7432" s="3" t="s">
        <v>34</v>
      </c>
      <c r="H7432" s="2" t="s">
        <v>21</v>
      </c>
      <c r="I7432" s="2" t="s">
        <v>14734</v>
      </c>
      <c r="J7432" s="3" t="str">
        <f>HYPERLINK("https://www.boe.es/gazeta/dias/1823/06/08/pdfs/GES-1823-62.pdf#page=5","Abrir facsímil")</f>
        <v>Abrir facsímil</v>
      </c>
      <c r="K7432" s="3" t="s">
        <v>23</v>
      </c>
    </row>
    <row r="7433" spans="1:11" ht="42" customHeight="1">
      <c r="A7433" s="2" t="s">
        <v>14732</v>
      </c>
      <c r="B7433" s="2" t="s">
        <v>14733</v>
      </c>
      <c r="C7433" s="2" t="s">
        <v>73</v>
      </c>
      <c r="D7433" s="2" t="s">
        <v>74</v>
      </c>
      <c r="E7433" s="5">
        <v>-27787</v>
      </c>
      <c r="F7433" s="3" t="s">
        <v>865</v>
      </c>
      <c r="G7433" s="3" t="s">
        <v>39</v>
      </c>
      <c r="H7433" s="2" t="s">
        <v>21</v>
      </c>
      <c r="I7433" s="2" t="s">
        <v>14735</v>
      </c>
      <c r="J7433" s="3" t="str">
        <f>HYPERLINK("https://www.boe.es/gazeta/dias/1823/12/02/pdfs/GMD-1823-1193.pdf#page=1","Abrir facsímil")</f>
        <v>Abrir facsímil</v>
      </c>
      <c r="K7433" s="3" t="s">
        <v>23</v>
      </c>
    </row>
    <row r="7434" spans="1:11" ht="42" customHeight="1">
      <c r="A7434" s="2" t="s">
        <v>14736</v>
      </c>
      <c r="B7434" s="2" t="s">
        <v>14737</v>
      </c>
      <c r="C7434" s="2" t="s">
        <v>79</v>
      </c>
      <c r="D7434" s="2" t="s">
        <v>74</v>
      </c>
      <c r="E7434" s="5">
        <v>-27925</v>
      </c>
      <c r="F7434" s="3" t="s">
        <v>1744</v>
      </c>
      <c r="G7434" s="3" t="s">
        <v>48</v>
      </c>
      <c r="H7434" s="2" t="s">
        <v>28</v>
      </c>
      <c r="I7434" s="2" t="s">
        <v>14738</v>
      </c>
      <c r="J7434" s="3" t="str">
        <f>HYPERLINK("https://www.boe.es/gazeta/dias/1823/07/17/pdfs/GMD-1823-413.pdf#page=3","Abrir facsímil")</f>
        <v>Abrir facsímil</v>
      </c>
      <c r="K7434" s="3" t="s">
        <v>30</v>
      </c>
    </row>
    <row r="7435" spans="1:11" ht="42" customHeight="1">
      <c r="A7435" s="2" t="s">
        <v>14739</v>
      </c>
      <c r="B7435" s="2" t="s">
        <v>14740</v>
      </c>
      <c r="C7435" s="2" t="s">
        <v>79</v>
      </c>
      <c r="D7435" s="2" t="s">
        <v>74</v>
      </c>
      <c r="E7435" s="5">
        <v>-28018</v>
      </c>
      <c r="F7435" s="3" t="s">
        <v>2613</v>
      </c>
      <c r="G7435" s="3" t="s">
        <v>34</v>
      </c>
      <c r="H7435" s="2" t="s">
        <v>21</v>
      </c>
      <c r="I7435" s="2" t="s">
        <v>14741</v>
      </c>
      <c r="J7435" s="3" t="str">
        <f>HYPERLINK("https://www.boe.es/gazeta/dias/1823/04/15/pdfs/GES-1823-5.pdf#page=5","Abrir facsímil")</f>
        <v>Abrir facsímil</v>
      </c>
      <c r="K7435" s="3" t="s">
        <v>23</v>
      </c>
    </row>
    <row r="7436" spans="1:11" ht="42" customHeight="1">
      <c r="A7436" s="2" t="s">
        <v>14742</v>
      </c>
      <c r="B7436" s="2" t="s">
        <v>14743</v>
      </c>
      <c r="C7436" s="2" t="s">
        <v>79</v>
      </c>
      <c r="D7436" s="2" t="s">
        <v>74</v>
      </c>
      <c r="E7436" s="5">
        <v>-27910</v>
      </c>
      <c r="F7436" s="3" t="s">
        <v>38</v>
      </c>
      <c r="G7436" s="3" t="s">
        <v>39</v>
      </c>
      <c r="H7436" s="2" t="s">
        <v>21</v>
      </c>
      <c r="I7436" s="2" t="s">
        <v>14744</v>
      </c>
      <c r="J7436" s="3" t="str">
        <f>HYPERLINK("https://www.boe.es/gazeta/dias/1823/08/01/pdfs/GES-1823-113.pdf#page=1","Abrir facsímil")</f>
        <v>Abrir facsímil</v>
      </c>
      <c r="K7436" s="3" t="s">
        <v>23</v>
      </c>
    </row>
    <row r="7437" spans="1:11" ht="42" customHeight="1">
      <c r="A7437" s="2" t="s">
        <v>14745</v>
      </c>
      <c r="B7437" s="2" t="s">
        <v>14746</v>
      </c>
      <c r="C7437" s="2" t="s">
        <v>17</v>
      </c>
      <c r="D7437" s="2" t="s">
        <v>18</v>
      </c>
      <c r="E7437" s="5">
        <v>-28072</v>
      </c>
      <c r="F7437" s="3" t="s">
        <v>4439</v>
      </c>
      <c r="G7437" s="3" t="s">
        <v>27</v>
      </c>
      <c r="H7437" s="2" t="s">
        <v>21</v>
      </c>
      <c r="I7437" s="2" t="s">
        <v>14747</v>
      </c>
      <c r="J7437" s="3" t="str">
        <f>HYPERLINK("https://www.boe.es/gazeta/dias/1823/02/20/pdfs/GMD-1823-54.pdf#page=2","Abrir facsímil")</f>
        <v>Abrir facsímil</v>
      </c>
      <c r="K7437" s="3" t="s">
        <v>23</v>
      </c>
    </row>
    <row r="7438" spans="1:11" ht="42" customHeight="1">
      <c r="A7438" s="2" t="s">
        <v>14745</v>
      </c>
      <c r="B7438" s="2" t="s">
        <v>14746</v>
      </c>
      <c r="C7438" s="2" t="s">
        <v>17</v>
      </c>
      <c r="D7438" s="2" t="s">
        <v>18</v>
      </c>
      <c r="E7438" s="5">
        <v>-28071</v>
      </c>
      <c r="F7438" s="3" t="s">
        <v>587</v>
      </c>
      <c r="G7438" s="3" t="s">
        <v>27</v>
      </c>
      <c r="H7438" s="2" t="s">
        <v>21</v>
      </c>
      <c r="I7438" s="2" t="s">
        <v>14748</v>
      </c>
      <c r="J7438" s="3" t="str">
        <f>HYPERLINK("https://www.boe.es/gazeta/dias/1823/02/21/pdfs/GMD-1823-55.pdf#page=2","Abrir facsímil")</f>
        <v>Abrir facsímil</v>
      </c>
      <c r="K7438" s="3" t="s">
        <v>23</v>
      </c>
    </row>
    <row r="7439" spans="1:11" ht="42" customHeight="1">
      <c r="A7439" s="2" t="s">
        <v>14749</v>
      </c>
      <c r="B7439" s="2" t="s">
        <v>14750</v>
      </c>
      <c r="C7439" s="2" t="s">
        <v>17</v>
      </c>
      <c r="D7439" s="2" t="s">
        <v>18</v>
      </c>
      <c r="E7439" s="5">
        <v>-27991</v>
      </c>
      <c r="F7439" s="3" t="s">
        <v>328</v>
      </c>
      <c r="G7439" s="3" t="s">
        <v>27</v>
      </c>
      <c r="H7439" s="2" t="s">
        <v>21</v>
      </c>
      <c r="I7439" s="2" t="s">
        <v>14751</v>
      </c>
      <c r="J7439" s="3" t="str">
        <f>HYPERLINK("https://www.boe.es/gazeta/dias/1823/05/12/pdfs/GES-1823-32.pdf#page=2","Abrir facsímil")</f>
        <v>Abrir facsímil</v>
      </c>
      <c r="K7439" s="3" t="s">
        <v>23</v>
      </c>
    </row>
    <row r="7440" spans="1:11" ht="42" customHeight="1">
      <c r="A7440" s="2" t="s">
        <v>14749</v>
      </c>
      <c r="B7440" s="2" t="s">
        <v>14750</v>
      </c>
      <c r="C7440" s="2" t="s">
        <v>17</v>
      </c>
      <c r="D7440" s="2" t="s">
        <v>18</v>
      </c>
      <c r="E7440" s="5">
        <v>-27868</v>
      </c>
      <c r="F7440" s="3" t="s">
        <v>2166</v>
      </c>
      <c r="G7440" s="3" t="s">
        <v>39</v>
      </c>
      <c r="H7440" s="2" t="s">
        <v>21</v>
      </c>
      <c r="I7440" s="2" t="s">
        <v>14752</v>
      </c>
      <c r="J7440" s="3" t="str">
        <f>HYPERLINK("https://www.boe.es/gazeta/dias/1823/09/12/pdfs/GES-1823-156.pdf#page=1","Abrir facsímil")</f>
        <v>Abrir facsímil</v>
      </c>
      <c r="K7440" s="3" t="s">
        <v>23</v>
      </c>
    </row>
    <row r="7441" spans="1:11" ht="42" customHeight="1">
      <c r="A7441" s="2" t="s">
        <v>14753</v>
      </c>
      <c r="B7441" s="2" t="s">
        <v>14754</v>
      </c>
      <c r="C7441" s="2" t="s">
        <v>325</v>
      </c>
      <c r="D7441" s="2" t="s">
        <v>74</v>
      </c>
      <c r="E7441" s="5">
        <v>-28013</v>
      </c>
      <c r="F7441" s="3" t="s">
        <v>105</v>
      </c>
      <c r="G7441" s="3" t="s">
        <v>20</v>
      </c>
      <c r="H7441" s="2" t="s">
        <v>21</v>
      </c>
      <c r="I7441" s="2" t="s">
        <v>14755</v>
      </c>
      <c r="J7441" s="3" t="str">
        <f>HYPERLINK("https://www.boe.es/gazeta/dias/1823/04/20/pdfs/GMD-1823-32.pdf#page=4","Abrir facsímil")</f>
        <v>Abrir facsímil</v>
      </c>
      <c r="K7441" s="3" t="s">
        <v>23</v>
      </c>
    </row>
    <row r="7442" spans="1:11" ht="42" customHeight="1">
      <c r="A7442" s="2" t="s">
        <v>14756</v>
      </c>
      <c r="B7442" s="2" t="s">
        <v>14757</v>
      </c>
      <c r="C7442" s="2" t="s">
        <v>56</v>
      </c>
      <c r="D7442" s="2" t="s">
        <v>57</v>
      </c>
      <c r="E7442" s="5">
        <v>-28041</v>
      </c>
      <c r="F7442" s="3" t="s">
        <v>873</v>
      </c>
      <c r="G7442" s="3" t="s">
        <v>366</v>
      </c>
      <c r="H7442" s="2" t="s">
        <v>21</v>
      </c>
      <c r="I7442" s="2" t="s">
        <v>14758</v>
      </c>
      <c r="J7442" s="3" t="str">
        <f>HYPERLINK("https://www.boe.es/gazeta/dias/1823/03/23/pdfs/GMD-1823-86.pdf#page=4","Abrir facsímil")</f>
        <v>Abrir facsímil</v>
      </c>
      <c r="K7442" s="3" t="s">
        <v>23</v>
      </c>
    </row>
    <row r="7443" spans="1:11" ht="42" customHeight="1">
      <c r="A7443" s="2" t="s">
        <v>14759</v>
      </c>
      <c r="B7443" s="2" t="s">
        <v>14760</v>
      </c>
      <c r="C7443" s="2" t="s">
        <v>56</v>
      </c>
      <c r="D7443" s="2" t="s">
        <v>57</v>
      </c>
      <c r="E7443" s="5">
        <v>-27766</v>
      </c>
      <c r="F7443" s="3" t="s">
        <v>3450</v>
      </c>
      <c r="G7443" s="3" t="s">
        <v>48</v>
      </c>
      <c r="H7443" s="2" t="s">
        <v>21</v>
      </c>
      <c r="I7443" s="2" t="s">
        <v>14761</v>
      </c>
      <c r="J7443" s="3" t="str">
        <f>HYPERLINK("https://www.boe.es/gazeta/dias/1823/12/23/pdfs/GMD-1823-1283.pdf#page=3","Abrir facsímil")</f>
        <v>Abrir facsímil</v>
      </c>
      <c r="K7443" s="3" t="s">
        <v>23</v>
      </c>
    </row>
    <row r="7444" spans="1:11" ht="42" customHeight="1">
      <c r="A7444" s="2" t="s">
        <v>14762</v>
      </c>
      <c r="B7444" s="2" t="s">
        <v>14763</v>
      </c>
      <c r="C7444" s="2" t="s">
        <v>17</v>
      </c>
      <c r="D7444" s="2" t="s">
        <v>18</v>
      </c>
      <c r="E7444" s="5">
        <v>-28049</v>
      </c>
      <c r="F7444" s="3" t="s">
        <v>198</v>
      </c>
      <c r="G7444" s="3" t="s">
        <v>48</v>
      </c>
      <c r="H7444" s="2" t="s">
        <v>21</v>
      </c>
      <c r="I7444" s="2" t="s">
        <v>14764</v>
      </c>
      <c r="J7444" s="3" t="str">
        <f>HYPERLINK("https://www.boe.es/gazeta/dias/1823/03/15/pdfs/GMD-1823-78.pdf#page=3","Abrir facsímil")</f>
        <v>Abrir facsímil</v>
      </c>
      <c r="K7444" s="3" t="s">
        <v>23</v>
      </c>
    </row>
    <row r="7445" spans="1:11" ht="42" customHeight="1">
      <c r="A7445" s="2" t="s">
        <v>14765</v>
      </c>
      <c r="B7445" s="2" t="s">
        <v>14766</v>
      </c>
      <c r="C7445" s="2" t="s">
        <v>56</v>
      </c>
      <c r="D7445" s="2" t="s">
        <v>57</v>
      </c>
      <c r="E7445" s="5">
        <v>-28031</v>
      </c>
      <c r="F7445" s="3" t="s">
        <v>1211</v>
      </c>
      <c r="G7445" s="3" t="s">
        <v>20</v>
      </c>
      <c r="H7445" s="2" t="s">
        <v>21</v>
      </c>
      <c r="I7445" s="2" t="s">
        <v>14767</v>
      </c>
      <c r="J7445" s="3" t="str">
        <f>HYPERLINK("https://www.boe.es/gazeta/dias/1823/04/02/pdfs/GMD-1823-96.pdf#page=4","Abrir facsímil")</f>
        <v>Abrir facsímil</v>
      </c>
      <c r="K7445" s="3" t="s">
        <v>23</v>
      </c>
    </row>
    <row r="7446" spans="1:11" ht="42" customHeight="1">
      <c r="A7446" s="2" t="s">
        <v>14768</v>
      </c>
      <c r="B7446" s="2" t="s">
        <v>14769</v>
      </c>
      <c r="C7446" s="2" t="s">
        <v>17</v>
      </c>
      <c r="D7446" s="2" t="s">
        <v>18</v>
      </c>
      <c r="E7446" s="5">
        <v>-28059</v>
      </c>
      <c r="F7446" s="3" t="s">
        <v>149</v>
      </c>
      <c r="G7446" s="3" t="s">
        <v>20</v>
      </c>
      <c r="H7446" s="2" t="s">
        <v>21</v>
      </c>
      <c r="I7446" s="2" t="s">
        <v>14770</v>
      </c>
      <c r="J7446" s="3" t="str">
        <f>HYPERLINK("https://www.boe.es/gazeta/dias/1823/03/05/pdfs/GMD-1823-68.pdf#page=4","Abrir facsímil")</f>
        <v>Abrir facsímil</v>
      </c>
      <c r="K7446" s="3" t="s">
        <v>23</v>
      </c>
    </row>
    <row r="7447" spans="1:11" ht="42" customHeight="1">
      <c r="A7447" s="2" t="s">
        <v>14771</v>
      </c>
      <c r="B7447" s="2" t="s">
        <v>14771</v>
      </c>
      <c r="C7447" s="2" t="s">
        <v>17</v>
      </c>
      <c r="D7447" s="2" t="s">
        <v>18</v>
      </c>
      <c r="E7447" s="5">
        <v>-28016</v>
      </c>
      <c r="F7447" s="3" t="s">
        <v>2259</v>
      </c>
      <c r="G7447" s="3" t="s">
        <v>48</v>
      </c>
      <c r="H7447" s="2" t="s">
        <v>21</v>
      </c>
      <c r="I7447" s="2" t="s">
        <v>14772</v>
      </c>
      <c r="J7447" s="3" t="str">
        <f>HYPERLINK("https://www.boe.es/gazeta/dias/1823/04/17/pdfs/GES-1823-7.pdf#page=3","Abrir facsímil")</f>
        <v>Abrir facsímil</v>
      </c>
      <c r="K7447" s="3" t="s">
        <v>23</v>
      </c>
    </row>
    <row r="7448" spans="1:11" ht="42" customHeight="1">
      <c r="A7448" s="2" t="s">
        <v>14773</v>
      </c>
      <c r="B7448" s="2" t="s">
        <v>14773</v>
      </c>
      <c r="C7448" s="2" t="s">
        <v>17</v>
      </c>
      <c r="D7448" s="2" t="s">
        <v>18</v>
      </c>
      <c r="E7448" s="5">
        <v>-28081</v>
      </c>
      <c r="F7448" s="3" t="s">
        <v>170</v>
      </c>
      <c r="G7448" s="3" t="s">
        <v>48</v>
      </c>
      <c r="H7448" s="2" t="s">
        <v>21</v>
      </c>
      <c r="I7448" s="2" t="s">
        <v>14774</v>
      </c>
      <c r="J7448" s="3" t="str">
        <f>HYPERLINK("https://www.boe.es/gazeta/dias/1823/02/11/pdfs/GMD-1823-45.pdf#page=3","Abrir facsímil")</f>
        <v>Abrir facsímil</v>
      </c>
      <c r="K7448" s="3" t="s">
        <v>23</v>
      </c>
    </row>
    <row r="7449" spans="1:11" ht="42" customHeight="1">
      <c r="A7449" s="2" t="s">
        <v>14773</v>
      </c>
      <c r="B7449" s="2" t="s">
        <v>14773</v>
      </c>
      <c r="C7449" s="2" t="s">
        <v>17</v>
      </c>
      <c r="D7449" s="2" t="s">
        <v>18</v>
      </c>
      <c r="E7449" s="5">
        <v>-27901</v>
      </c>
      <c r="F7449" s="3" t="s">
        <v>840</v>
      </c>
      <c r="G7449" s="3" t="s">
        <v>39</v>
      </c>
      <c r="H7449" s="2" t="s">
        <v>21</v>
      </c>
      <c r="I7449" s="2" t="s">
        <v>14775</v>
      </c>
      <c r="J7449" s="3" t="str">
        <f>HYPERLINK("https://www.boe.es/gazeta/dias/1823/08/10/pdfs/GES-1823-123.pdf#page=1","Abrir facsímil")</f>
        <v>Abrir facsímil</v>
      </c>
      <c r="K7449" s="3" t="s">
        <v>23</v>
      </c>
    </row>
    <row r="7450" spans="1:11" ht="42" customHeight="1">
      <c r="A7450" s="2" t="s">
        <v>14776</v>
      </c>
      <c r="B7450" s="2" t="s">
        <v>14777</v>
      </c>
      <c r="C7450" s="2" t="s">
        <v>325</v>
      </c>
      <c r="D7450" s="2" t="s">
        <v>74</v>
      </c>
      <c r="E7450" s="5">
        <v>-28013</v>
      </c>
      <c r="F7450" s="3" t="s">
        <v>105</v>
      </c>
      <c r="G7450" s="3" t="s">
        <v>20</v>
      </c>
      <c r="H7450" s="2" t="s">
        <v>21</v>
      </c>
      <c r="I7450" s="2" t="s">
        <v>14778</v>
      </c>
      <c r="J7450" s="3" t="str">
        <f>HYPERLINK("https://www.boe.es/gazeta/dias/1823/04/20/pdfs/GMD-1823-32.pdf#page=4","Abrir facsímil")</f>
        <v>Abrir facsímil</v>
      </c>
      <c r="K7450" s="3" t="s">
        <v>23</v>
      </c>
    </row>
    <row r="7451" spans="1:11" ht="42" customHeight="1">
      <c r="A7451" s="2" t="s">
        <v>14779</v>
      </c>
      <c r="B7451" s="2" t="s">
        <v>14780</v>
      </c>
      <c r="C7451" s="2" t="s">
        <v>17</v>
      </c>
      <c r="D7451" s="2" t="s">
        <v>18</v>
      </c>
      <c r="E7451" s="5">
        <v>-27970</v>
      </c>
      <c r="F7451" s="3" t="s">
        <v>1030</v>
      </c>
      <c r="G7451" s="3" t="s">
        <v>20</v>
      </c>
      <c r="H7451" s="2" t="s">
        <v>21</v>
      </c>
      <c r="I7451" s="2" t="s">
        <v>14781</v>
      </c>
      <c r="J7451" s="3" t="str">
        <f>HYPERLINK("https://www.boe.es/gazeta/dias/1823/06/02/pdfs/GES-1823-56.pdf#page=4","Abrir facsímil")</f>
        <v>Abrir facsímil</v>
      </c>
      <c r="K7451" s="3" t="s">
        <v>23</v>
      </c>
    </row>
    <row r="7452" spans="1:11" ht="42" customHeight="1">
      <c r="A7452" s="2" t="s">
        <v>14782</v>
      </c>
      <c r="B7452" s="2" t="s">
        <v>14782</v>
      </c>
      <c r="C7452" s="2" t="s">
        <v>79</v>
      </c>
      <c r="D7452" s="2" t="s">
        <v>74</v>
      </c>
      <c r="E7452" s="5">
        <v>-28051</v>
      </c>
      <c r="F7452" s="3" t="s">
        <v>305</v>
      </c>
      <c r="G7452" s="3" t="s">
        <v>48</v>
      </c>
      <c r="H7452" s="2" t="s">
        <v>21</v>
      </c>
      <c r="I7452" s="2" t="s">
        <v>14783</v>
      </c>
      <c r="J7452" s="3" t="str">
        <f>HYPERLINK("https://www.boe.es/gazeta/dias/1823/03/13/pdfs/GMD-1823-76.pdf#page=3","Abrir facsímil")</f>
        <v>Abrir facsímil</v>
      </c>
      <c r="K7452" s="3" t="s">
        <v>23</v>
      </c>
    </row>
    <row r="7453" spans="1:11" ht="42" customHeight="1">
      <c r="A7453" s="2" t="s">
        <v>14784</v>
      </c>
      <c r="B7453" s="2" t="s">
        <v>14785</v>
      </c>
      <c r="C7453" s="2" t="s">
        <v>79</v>
      </c>
      <c r="D7453" s="2" t="s">
        <v>74</v>
      </c>
      <c r="E7453" s="5">
        <v>-28051</v>
      </c>
      <c r="F7453" s="3" t="s">
        <v>305</v>
      </c>
      <c r="G7453" s="3" t="s">
        <v>48</v>
      </c>
      <c r="H7453" s="2" t="s">
        <v>21</v>
      </c>
      <c r="I7453" s="2" t="s">
        <v>14786</v>
      </c>
      <c r="J7453" s="3" t="str">
        <f>HYPERLINK("https://www.boe.es/gazeta/dias/1823/03/13/pdfs/GMD-1823-76.pdf#page=3","Abrir facsímil")</f>
        <v>Abrir facsímil</v>
      </c>
      <c r="K7453" s="3" t="s">
        <v>23</v>
      </c>
    </row>
    <row r="7454" spans="1:11" ht="42" customHeight="1">
      <c r="A7454" s="2" t="s">
        <v>14787</v>
      </c>
      <c r="B7454" s="2" t="s">
        <v>14787</v>
      </c>
      <c r="C7454" s="2" t="s">
        <v>109</v>
      </c>
      <c r="D7454" s="2" t="s">
        <v>74</v>
      </c>
      <c r="E7454" s="5">
        <v>-28117</v>
      </c>
      <c r="F7454" s="3" t="s">
        <v>271</v>
      </c>
      <c r="G7454" s="3" t="s">
        <v>48</v>
      </c>
      <c r="H7454" s="2" t="s">
        <v>21</v>
      </c>
      <c r="I7454" s="2" t="s">
        <v>14788</v>
      </c>
      <c r="J7454" s="3" t="str">
        <f>HYPERLINK("https://www.boe.es/gazeta/dias/1823/01/06/pdfs/GMD-1823-6.pdf#page=3","Abrir facsímil")</f>
        <v>Abrir facsímil</v>
      </c>
      <c r="K7454" s="3" t="s">
        <v>23</v>
      </c>
    </row>
    <row r="7455" spans="1:11" ht="42" customHeight="1">
      <c r="A7455" s="2" t="s">
        <v>14787</v>
      </c>
      <c r="B7455" s="2" t="s">
        <v>14787</v>
      </c>
      <c r="C7455" s="2" t="s">
        <v>79</v>
      </c>
      <c r="D7455" s="2" t="s">
        <v>74</v>
      </c>
      <c r="E7455" s="5">
        <v>-28109</v>
      </c>
      <c r="F7455" s="3" t="s">
        <v>889</v>
      </c>
      <c r="G7455" s="3" t="s">
        <v>27</v>
      </c>
      <c r="H7455" s="2" t="s">
        <v>21</v>
      </c>
      <c r="I7455" s="2" t="s">
        <v>14789</v>
      </c>
      <c r="J7455" s="3" t="str">
        <f>HYPERLINK("https://www.boe.es/gazeta/dias/1823/01/14/pdfs/GMD-1823-14.pdf#page=2","Abrir facsímil")</f>
        <v>Abrir facsímil</v>
      </c>
      <c r="K7455" s="3" t="s">
        <v>23</v>
      </c>
    </row>
    <row r="7456" spans="1:11" ht="42" customHeight="1">
      <c r="A7456" s="2" t="s">
        <v>14787</v>
      </c>
      <c r="B7456" s="2" t="s">
        <v>14787</v>
      </c>
      <c r="C7456" s="2" t="s">
        <v>109</v>
      </c>
      <c r="D7456" s="2" t="s">
        <v>74</v>
      </c>
      <c r="E7456" s="5">
        <v>-28109</v>
      </c>
      <c r="F7456" s="3" t="s">
        <v>889</v>
      </c>
      <c r="G7456" s="3" t="s">
        <v>48</v>
      </c>
      <c r="H7456" s="2" t="s">
        <v>21</v>
      </c>
      <c r="I7456" s="2" t="s">
        <v>14790</v>
      </c>
      <c r="J7456" s="3" t="str">
        <f>HYPERLINK("https://www.boe.es/gazeta/dias/1823/01/14/pdfs/GMD-1823-14.pdf#page=3","Abrir facsímil")</f>
        <v>Abrir facsímil</v>
      </c>
      <c r="K7456" s="3" t="s">
        <v>23</v>
      </c>
    </row>
    <row r="7457" spans="1:11" ht="42" customHeight="1">
      <c r="A7457" s="2" t="s">
        <v>14787</v>
      </c>
      <c r="B7457" s="2" t="s">
        <v>14787</v>
      </c>
      <c r="C7457" s="2" t="s">
        <v>109</v>
      </c>
      <c r="D7457" s="2" t="s">
        <v>74</v>
      </c>
      <c r="E7457" s="5">
        <v>-28104</v>
      </c>
      <c r="F7457" s="3" t="s">
        <v>114</v>
      </c>
      <c r="G7457" s="3" t="s">
        <v>39</v>
      </c>
      <c r="H7457" s="2" t="s">
        <v>21</v>
      </c>
      <c r="I7457" s="2" t="s">
        <v>14791</v>
      </c>
      <c r="J7457" s="3" t="str">
        <f>HYPERLINK("https://www.boe.es/gazeta/dias/1823/01/19/pdfs/GMD-1823-19.pdf#page=1","Abrir facsímil")</f>
        <v>Abrir facsímil</v>
      </c>
      <c r="K7457" s="3" t="s">
        <v>23</v>
      </c>
    </row>
    <row r="7458" spans="1:11" ht="42" customHeight="1">
      <c r="A7458" s="2" t="s">
        <v>14787</v>
      </c>
      <c r="B7458" s="2" t="s">
        <v>14787</v>
      </c>
      <c r="C7458" s="2" t="s">
        <v>56</v>
      </c>
      <c r="D7458" s="2" t="s">
        <v>57</v>
      </c>
      <c r="E7458" s="5">
        <v>-28100</v>
      </c>
      <c r="F7458" s="3" t="s">
        <v>737</v>
      </c>
      <c r="G7458" s="3" t="s">
        <v>27</v>
      </c>
      <c r="H7458" s="2" t="s">
        <v>21</v>
      </c>
      <c r="I7458" s="2" t="s">
        <v>14792</v>
      </c>
      <c r="J7458" s="3" t="str">
        <f>HYPERLINK("https://www.boe.es/gazeta/dias/1823/01/23/pdfs/GMD-1823-24.pdf#page=2","Abrir facsímil")</f>
        <v>Abrir facsímil</v>
      </c>
      <c r="K7458" s="3" t="s">
        <v>23</v>
      </c>
    </row>
    <row r="7459" spans="1:11" ht="42" customHeight="1">
      <c r="A7459" s="2" t="s">
        <v>14787</v>
      </c>
      <c r="B7459" s="2" t="s">
        <v>14787</v>
      </c>
      <c r="C7459" s="2" t="s">
        <v>79</v>
      </c>
      <c r="D7459" s="2" t="s">
        <v>74</v>
      </c>
      <c r="E7459" s="5">
        <v>-28096</v>
      </c>
      <c r="F7459" s="3" t="s">
        <v>534</v>
      </c>
      <c r="G7459" s="3" t="s">
        <v>27</v>
      </c>
      <c r="H7459" s="2" t="s">
        <v>21</v>
      </c>
      <c r="I7459" s="2" t="s">
        <v>14793</v>
      </c>
      <c r="J7459" s="3" t="str">
        <f>HYPERLINK("https://www.boe.es/gazeta/dias/1823/01/27/pdfs/GMD-1823-28.pdf#page=2","Abrir facsímil")</f>
        <v>Abrir facsímil</v>
      </c>
      <c r="K7459" s="3" t="s">
        <v>23</v>
      </c>
    </row>
    <row r="7460" spans="1:11" ht="42" customHeight="1">
      <c r="A7460" s="2" t="s">
        <v>14787</v>
      </c>
      <c r="B7460" s="2" t="s">
        <v>14787</v>
      </c>
      <c r="C7460" s="2" t="s">
        <v>17</v>
      </c>
      <c r="D7460" s="2" t="s">
        <v>18</v>
      </c>
      <c r="E7460" s="5">
        <v>-28087</v>
      </c>
      <c r="F7460" s="3" t="s">
        <v>3125</v>
      </c>
      <c r="G7460" s="3" t="s">
        <v>34</v>
      </c>
      <c r="H7460" s="2" t="s">
        <v>21</v>
      </c>
      <c r="I7460" s="2" t="s">
        <v>14794</v>
      </c>
      <c r="J7460" s="3" t="str">
        <f>HYPERLINK("https://www.boe.es/gazeta/dias/1823/02/05/pdfs/GMD-1823-38.pdf#page=5","Abrir facsímil")</f>
        <v>Abrir facsímil</v>
      </c>
      <c r="K7460" s="3" t="s">
        <v>23</v>
      </c>
    </row>
    <row r="7461" spans="1:11" ht="42" customHeight="1">
      <c r="A7461" s="2" t="s">
        <v>14787</v>
      </c>
      <c r="B7461" s="2" t="s">
        <v>14787</v>
      </c>
      <c r="C7461" s="2" t="s">
        <v>79</v>
      </c>
      <c r="D7461" s="2" t="s">
        <v>74</v>
      </c>
      <c r="E7461" s="5">
        <v>-28079</v>
      </c>
      <c r="F7461" s="3" t="s">
        <v>178</v>
      </c>
      <c r="G7461" s="3" t="s">
        <v>39</v>
      </c>
      <c r="H7461" s="2" t="s">
        <v>21</v>
      </c>
      <c r="I7461" s="2" t="s">
        <v>14795</v>
      </c>
      <c r="J7461" s="3" t="str">
        <f>HYPERLINK("https://www.boe.es/gazeta/dias/1823/02/13/pdfs/GMD-1823-47.pdf#page=1","Abrir facsímil")</f>
        <v>Abrir facsímil</v>
      </c>
      <c r="K7461" s="3" t="s">
        <v>23</v>
      </c>
    </row>
    <row r="7462" spans="1:11" ht="42" customHeight="1">
      <c r="A7462" s="2" t="s">
        <v>14787</v>
      </c>
      <c r="B7462" s="2" t="s">
        <v>14787</v>
      </c>
      <c r="C7462" s="2" t="s">
        <v>79</v>
      </c>
      <c r="D7462" s="2" t="s">
        <v>74</v>
      </c>
      <c r="E7462" s="5">
        <v>-28077</v>
      </c>
      <c r="F7462" s="3" t="s">
        <v>536</v>
      </c>
      <c r="G7462" s="3" t="s">
        <v>39</v>
      </c>
      <c r="H7462" s="2" t="s">
        <v>21</v>
      </c>
      <c r="I7462" s="2" t="s">
        <v>14796</v>
      </c>
      <c r="J7462" s="3" t="str">
        <f>HYPERLINK("https://www.boe.es/gazeta/dias/1823/02/15/pdfs/GMD-1823-49.pdf#page=1","Abrir facsímil")</f>
        <v>Abrir facsímil</v>
      </c>
      <c r="K7462" s="3" t="s">
        <v>23</v>
      </c>
    </row>
    <row r="7463" spans="1:11" ht="42" customHeight="1">
      <c r="A7463" s="2" t="s">
        <v>14787</v>
      </c>
      <c r="B7463" s="2" t="s">
        <v>14787</v>
      </c>
      <c r="C7463" s="2" t="s">
        <v>17</v>
      </c>
      <c r="D7463" s="2" t="s">
        <v>18</v>
      </c>
      <c r="E7463" s="5">
        <v>-28060</v>
      </c>
      <c r="F7463" s="3" t="s">
        <v>180</v>
      </c>
      <c r="G7463" s="3" t="s">
        <v>27</v>
      </c>
      <c r="H7463" s="2" t="s">
        <v>21</v>
      </c>
      <c r="I7463" s="2" t="s">
        <v>14797</v>
      </c>
      <c r="J7463" s="3" t="str">
        <f>HYPERLINK("https://www.boe.es/gazeta/dias/1823/03/04/pdfs/GMD-1823-67.pdf#page=2","Abrir facsímil")</f>
        <v>Abrir facsímil</v>
      </c>
      <c r="K7463" s="3" t="s">
        <v>23</v>
      </c>
    </row>
    <row r="7464" spans="1:11" ht="42" customHeight="1">
      <c r="A7464" s="2" t="s">
        <v>14787</v>
      </c>
      <c r="B7464" s="2" t="s">
        <v>14787</v>
      </c>
      <c r="C7464" s="2" t="s">
        <v>84</v>
      </c>
      <c r="D7464" s="2" t="s">
        <v>74</v>
      </c>
      <c r="E7464" s="5">
        <v>-28059</v>
      </c>
      <c r="F7464" s="3" t="s">
        <v>149</v>
      </c>
      <c r="G7464" s="3" t="s">
        <v>48</v>
      </c>
      <c r="H7464" s="2" t="s">
        <v>21</v>
      </c>
      <c r="I7464" s="2" t="s">
        <v>14798</v>
      </c>
      <c r="J7464" s="3" t="str">
        <f>HYPERLINK("https://www.boe.es/gazeta/dias/1823/03/05/pdfs/GMD-1823-68.pdf#page=3","Abrir facsímil")</f>
        <v>Abrir facsímil</v>
      </c>
      <c r="K7464" s="3" t="s">
        <v>23</v>
      </c>
    </row>
    <row r="7465" spans="1:11" ht="42" customHeight="1">
      <c r="A7465" s="2" t="s">
        <v>14787</v>
      </c>
      <c r="B7465" s="2" t="s">
        <v>14787</v>
      </c>
      <c r="C7465" s="2" t="s">
        <v>17</v>
      </c>
      <c r="D7465" s="2" t="s">
        <v>18</v>
      </c>
      <c r="E7465" s="5">
        <v>-28058</v>
      </c>
      <c r="F7465" s="3" t="s">
        <v>1282</v>
      </c>
      <c r="G7465" s="3" t="s">
        <v>48</v>
      </c>
      <c r="H7465" s="2" t="s">
        <v>21</v>
      </c>
      <c r="I7465" s="2" t="s">
        <v>14799</v>
      </c>
      <c r="J7465" s="3" t="str">
        <f>HYPERLINK("https://www.boe.es/gazeta/dias/1823/03/06/pdfs/GMD-1823-69.pdf#page=3","Abrir facsímil")</f>
        <v>Abrir facsímil</v>
      </c>
      <c r="K7465" s="3" t="s">
        <v>23</v>
      </c>
    </row>
    <row r="7466" spans="1:11" ht="42" customHeight="1">
      <c r="A7466" s="2" t="s">
        <v>14787</v>
      </c>
      <c r="B7466" s="2" t="s">
        <v>14787</v>
      </c>
      <c r="C7466" s="2" t="s">
        <v>17</v>
      </c>
      <c r="D7466" s="2" t="s">
        <v>18</v>
      </c>
      <c r="E7466" s="5">
        <v>-28055</v>
      </c>
      <c r="F7466" s="3" t="s">
        <v>313</v>
      </c>
      <c r="G7466" s="3" t="s">
        <v>48</v>
      </c>
      <c r="H7466" s="2" t="s">
        <v>21</v>
      </c>
      <c r="I7466" s="2" t="s">
        <v>14800</v>
      </c>
      <c r="J7466" s="3" t="str">
        <f>HYPERLINK("https://www.boe.es/gazeta/dias/1823/03/09/pdfs/GMD-1823-72.pdf#page=3","Abrir facsímil")</f>
        <v>Abrir facsímil</v>
      </c>
      <c r="K7466" s="3" t="s">
        <v>23</v>
      </c>
    </row>
    <row r="7467" spans="1:11" ht="42" customHeight="1">
      <c r="A7467" s="2" t="s">
        <v>14787</v>
      </c>
      <c r="B7467" s="2" t="s">
        <v>14787</v>
      </c>
      <c r="C7467" s="2" t="s">
        <v>293</v>
      </c>
      <c r="D7467" s="2" t="s">
        <v>74</v>
      </c>
      <c r="E7467" s="5">
        <v>-28053</v>
      </c>
      <c r="F7467" s="3" t="s">
        <v>303</v>
      </c>
      <c r="G7467" s="3" t="s">
        <v>27</v>
      </c>
      <c r="H7467" s="2" t="s">
        <v>21</v>
      </c>
      <c r="I7467" s="2" t="s">
        <v>14801</v>
      </c>
      <c r="J7467" s="3" t="str">
        <f>HYPERLINK("https://www.boe.es/gazeta/dias/1823/03/11/pdfs/GMD-1823-74.pdf#page=2","Abrir facsímil")</f>
        <v>Abrir facsímil</v>
      </c>
      <c r="K7467" s="3" t="s">
        <v>23</v>
      </c>
    </row>
    <row r="7468" spans="1:11" ht="42" customHeight="1">
      <c r="A7468" s="2" t="s">
        <v>14787</v>
      </c>
      <c r="B7468" s="2" t="s">
        <v>14787</v>
      </c>
      <c r="C7468" s="2" t="s">
        <v>73</v>
      </c>
      <c r="D7468" s="2" t="s">
        <v>74</v>
      </c>
      <c r="E7468" s="5">
        <v>-27983</v>
      </c>
      <c r="F7468" s="3" t="s">
        <v>337</v>
      </c>
      <c r="G7468" s="3" t="s">
        <v>20</v>
      </c>
      <c r="H7468" s="2" t="s">
        <v>21</v>
      </c>
      <c r="I7468" s="2" t="s">
        <v>14802</v>
      </c>
      <c r="J7468" s="3" t="str">
        <f>HYPERLINK("https://www.boe.es/gazeta/dias/1823/05/20/pdfs/GES-1823-40.pdf#page=4","Abrir facsímil")</f>
        <v>Abrir facsímil</v>
      </c>
      <c r="K7468" s="3" t="s">
        <v>23</v>
      </c>
    </row>
    <row r="7469" spans="1:11" ht="42" customHeight="1">
      <c r="A7469" s="2" t="s">
        <v>14787</v>
      </c>
      <c r="B7469" s="2" t="s">
        <v>14787</v>
      </c>
      <c r="C7469" s="2" t="s">
        <v>17</v>
      </c>
      <c r="D7469" s="2" t="s">
        <v>18</v>
      </c>
      <c r="E7469" s="5">
        <v>-27979</v>
      </c>
      <c r="F7469" s="3" t="s">
        <v>1071</v>
      </c>
      <c r="G7469" s="3" t="s">
        <v>39</v>
      </c>
      <c r="H7469" s="2" t="s">
        <v>21</v>
      </c>
      <c r="I7469" s="2" t="s">
        <v>14803</v>
      </c>
      <c r="J7469" s="3" t="str">
        <f>HYPERLINK("https://www.boe.es/gazeta/dias/1823/05/24/pdfs/GES-1823-45.pdf#page=1","Abrir facsímil")</f>
        <v>Abrir facsímil</v>
      </c>
      <c r="K7469" s="3" t="s">
        <v>23</v>
      </c>
    </row>
    <row r="7470" spans="1:11" ht="42" customHeight="1">
      <c r="A7470" s="2" t="s">
        <v>14787</v>
      </c>
      <c r="B7470" s="2" t="s">
        <v>14787</v>
      </c>
      <c r="C7470" s="2" t="s">
        <v>56</v>
      </c>
      <c r="D7470" s="2" t="s">
        <v>57</v>
      </c>
      <c r="E7470" s="5">
        <v>-27965</v>
      </c>
      <c r="F7470" s="3" t="s">
        <v>1930</v>
      </c>
      <c r="G7470" s="3" t="s">
        <v>48</v>
      </c>
      <c r="H7470" s="2" t="s">
        <v>21</v>
      </c>
      <c r="I7470" s="2" t="s">
        <v>14804</v>
      </c>
      <c r="J7470" s="3" t="str">
        <f>HYPERLINK("https://www.boe.es/gazeta/dias/1823/06/07/pdfs/GMD-1823-83.pdf#page=3","Abrir facsímil")</f>
        <v>Abrir facsímil</v>
      </c>
      <c r="K7470" s="3" t="s">
        <v>23</v>
      </c>
    </row>
    <row r="7471" spans="1:11" ht="42" customHeight="1">
      <c r="A7471" s="2" t="s">
        <v>14787</v>
      </c>
      <c r="B7471" s="2" t="s">
        <v>14787</v>
      </c>
      <c r="C7471" s="2" t="s">
        <v>17</v>
      </c>
      <c r="D7471" s="2" t="s">
        <v>18</v>
      </c>
      <c r="E7471" s="5">
        <v>-27930</v>
      </c>
      <c r="F7471" s="3" t="s">
        <v>2334</v>
      </c>
      <c r="G7471" s="3" t="s">
        <v>39</v>
      </c>
      <c r="H7471" s="2" t="s">
        <v>21</v>
      </c>
      <c r="I7471" s="2" t="s">
        <v>14805</v>
      </c>
      <c r="J7471" s="3" t="str">
        <f>HYPERLINK("https://www.boe.es/gazeta/dias/1823/07/12/pdfs/GES-1823-92.pdf#page=1","Abrir facsímil")</f>
        <v>Abrir facsímil</v>
      </c>
      <c r="K7471" s="3" t="s">
        <v>23</v>
      </c>
    </row>
    <row r="7472" spans="1:11" ht="42" customHeight="1">
      <c r="A7472" s="2" t="s">
        <v>14787</v>
      </c>
      <c r="B7472" s="2" t="s">
        <v>14787</v>
      </c>
      <c r="C7472" s="2" t="s">
        <v>109</v>
      </c>
      <c r="D7472" s="2" t="s">
        <v>74</v>
      </c>
      <c r="E7472" s="5">
        <v>-27905</v>
      </c>
      <c r="F7472" s="3" t="s">
        <v>236</v>
      </c>
      <c r="G7472" s="3" t="s">
        <v>27</v>
      </c>
      <c r="H7472" s="2" t="s">
        <v>21</v>
      </c>
      <c r="I7472" s="2" t="s">
        <v>14806</v>
      </c>
      <c r="J7472" s="3" t="str">
        <f>HYPERLINK("https://www.boe.es/gazeta/dias/1823/08/06/pdfs/GES-1823-119.pdf#page=2","Abrir facsímil")</f>
        <v>Abrir facsímil</v>
      </c>
      <c r="K7472" s="3" t="s">
        <v>23</v>
      </c>
    </row>
    <row r="7473" spans="1:11" ht="42" customHeight="1">
      <c r="A7473" s="2" t="s">
        <v>14807</v>
      </c>
      <c r="B7473" s="2" t="s">
        <v>14808</v>
      </c>
      <c r="C7473" s="2" t="s">
        <v>17</v>
      </c>
      <c r="D7473" s="2" t="s">
        <v>18</v>
      </c>
      <c r="E7473" s="5">
        <v>-28037</v>
      </c>
      <c r="F7473" s="3" t="s">
        <v>192</v>
      </c>
      <c r="G7473" s="3" t="s">
        <v>48</v>
      </c>
      <c r="H7473" s="2" t="s">
        <v>21</v>
      </c>
      <c r="I7473" s="2" t="s">
        <v>14809</v>
      </c>
      <c r="J7473" s="3" t="str">
        <f>HYPERLINK("https://www.boe.es/gazeta/dias/1823/03/27/pdfs/GMD-1823-90.pdf#page=3","Abrir facsímil")</f>
        <v>Abrir facsímil</v>
      </c>
      <c r="K7473" s="3" t="s">
        <v>23</v>
      </c>
    </row>
    <row r="7474" spans="1:11" ht="42" customHeight="1">
      <c r="A7474" s="2" t="s">
        <v>14807</v>
      </c>
      <c r="B7474" s="2" t="s">
        <v>14808</v>
      </c>
      <c r="C7474" s="2" t="s">
        <v>73</v>
      </c>
      <c r="D7474" s="2" t="s">
        <v>74</v>
      </c>
      <c r="E7474" s="5">
        <v>-28018</v>
      </c>
      <c r="F7474" s="3" t="s">
        <v>275</v>
      </c>
      <c r="G7474" s="3" t="s">
        <v>20</v>
      </c>
      <c r="H7474" s="2" t="s">
        <v>21</v>
      </c>
      <c r="I7474" s="2" t="s">
        <v>14810</v>
      </c>
      <c r="J7474" s="3" t="str">
        <f>HYPERLINK("https://www.boe.es/gazeta/dias/1823/04/15/pdfs/GMD-1823-12.pdf#page=4","Abrir facsímil")</f>
        <v>Abrir facsímil</v>
      </c>
      <c r="K7474" s="3" t="s">
        <v>23</v>
      </c>
    </row>
    <row r="7475" spans="1:11" ht="42" customHeight="1">
      <c r="A7475" s="2" t="s">
        <v>14811</v>
      </c>
      <c r="B7475" s="2" t="s">
        <v>14812</v>
      </c>
      <c r="C7475" s="2" t="s">
        <v>84</v>
      </c>
      <c r="D7475" s="2" t="s">
        <v>74</v>
      </c>
      <c r="E7475" s="5">
        <v>-28008</v>
      </c>
      <c r="F7475" s="3" t="s">
        <v>309</v>
      </c>
      <c r="G7475" s="3" t="s">
        <v>20</v>
      </c>
      <c r="H7475" s="2" t="s">
        <v>21</v>
      </c>
      <c r="I7475" s="2" t="s">
        <v>14813</v>
      </c>
      <c r="J7475" s="3" t="str">
        <f>HYPERLINK("https://www.boe.es/gazeta/dias/1823/04/25/pdfs/GES-1823-15.pdf#page=4","Abrir facsímil")</f>
        <v>Abrir facsímil</v>
      </c>
      <c r="K7475" s="3" t="s">
        <v>23</v>
      </c>
    </row>
    <row r="7476" spans="1:11" ht="42" customHeight="1">
      <c r="A7476" s="2" t="s">
        <v>14814</v>
      </c>
      <c r="B7476" s="2" t="s">
        <v>14815</v>
      </c>
      <c r="C7476" s="2" t="s">
        <v>17</v>
      </c>
      <c r="D7476" s="2" t="s">
        <v>18</v>
      </c>
      <c r="E7476" s="5">
        <v>-27892</v>
      </c>
      <c r="F7476" s="3" t="s">
        <v>1571</v>
      </c>
      <c r="G7476" s="3" t="s">
        <v>48</v>
      </c>
      <c r="H7476" s="2" t="s">
        <v>28</v>
      </c>
      <c r="I7476" s="2" t="s">
        <v>14816</v>
      </c>
      <c r="J7476" s="3" t="str">
        <f>HYPERLINK("https://www.boe.es/gazeta/dias/1823/08/19/pdfs/GMD-1823-613.pdf#page=3","Abrir facsímil")</f>
        <v>Abrir facsímil</v>
      </c>
      <c r="K7476" s="3" t="s">
        <v>30</v>
      </c>
    </row>
    <row r="7477" spans="1:11" ht="42" customHeight="1">
      <c r="A7477" s="2" t="s">
        <v>14817</v>
      </c>
      <c r="B7477" s="2" t="s">
        <v>14818</v>
      </c>
      <c r="C7477" s="2" t="s">
        <v>17</v>
      </c>
      <c r="D7477" s="2" t="s">
        <v>18</v>
      </c>
      <c r="E7477" s="5">
        <v>-27839</v>
      </c>
      <c r="F7477" s="3" t="s">
        <v>263</v>
      </c>
      <c r="G7477" s="3" t="s">
        <v>39</v>
      </c>
      <c r="H7477" s="2" t="s">
        <v>21</v>
      </c>
      <c r="I7477" s="2" t="s">
        <v>14819</v>
      </c>
      <c r="J7477" s="3" t="str">
        <f>HYPERLINK("https://www.boe.es/gazeta/dias/1823/10/11/pdfs/GMD-1823-963.pdf#page=1","Abrir facsímil")</f>
        <v>Abrir facsímil</v>
      </c>
      <c r="K7477" s="3" t="s">
        <v>23</v>
      </c>
    </row>
    <row r="7478" spans="1:11" ht="42" customHeight="1">
      <c r="A7478" s="2" t="s">
        <v>14820</v>
      </c>
      <c r="B7478" s="2" t="s">
        <v>14821</v>
      </c>
      <c r="C7478" s="2" t="s">
        <v>17</v>
      </c>
      <c r="D7478" s="2" t="s">
        <v>18</v>
      </c>
      <c r="E7478" s="5">
        <v>-27902</v>
      </c>
      <c r="F7478" s="3" t="s">
        <v>259</v>
      </c>
      <c r="G7478" s="3" t="s">
        <v>39</v>
      </c>
      <c r="H7478" s="2" t="s">
        <v>21</v>
      </c>
      <c r="I7478" s="2" t="s">
        <v>14822</v>
      </c>
      <c r="J7478" s="3" t="str">
        <f>HYPERLINK("https://www.boe.es/gazeta/dias/1823/08/09/pdfs/GMD-1823-563.pdf#page=1","Abrir facsímil")</f>
        <v>Abrir facsímil</v>
      </c>
      <c r="K7478" s="3" t="s">
        <v>23</v>
      </c>
    </row>
    <row r="7479" spans="1:11" ht="42" customHeight="1">
      <c r="A7479" s="2" t="s">
        <v>14820</v>
      </c>
      <c r="B7479" s="2" t="s">
        <v>14821</v>
      </c>
      <c r="C7479" s="2" t="s">
        <v>17</v>
      </c>
      <c r="D7479" s="2" t="s">
        <v>18</v>
      </c>
      <c r="E7479" s="5">
        <v>-27839</v>
      </c>
      <c r="F7479" s="3" t="s">
        <v>263</v>
      </c>
      <c r="G7479" s="3" t="s">
        <v>39</v>
      </c>
      <c r="H7479" s="2" t="s">
        <v>21</v>
      </c>
      <c r="I7479" s="2" t="s">
        <v>14823</v>
      </c>
      <c r="J7479" s="3" t="str">
        <f>HYPERLINK("https://www.boe.es/gazeta/dias/1823/10/11/pdfs/GMD-1823-963.pdf#page=1","Abrir facsímil")</f>
        <v>Abrir facsímil</v>
      </c>
      <c r="K7479" s="3" t="s">
        <v>23</v>
      </c>
    </row>
    <row r="7480" spans="1:11" ht="42" customHeight="1">
      <c r="A7480" s="2" t="s">
        <v>14824</v>
      </c>
      <c r="B7480" s="2" t="s">
        <v>14825</v>
      </c>
      <c r="C7480" s="2" t="s">
        <v>293</v>
      </c>
      <c r="D7480" s="2" t="s">
        <v>74</v>
      </c>
      <c r="E7480" s="5">
        <v>-28049</v>
      </c>
      <c r="F7480" s="3" t="s">
        <v>198</v>
      </c>
      <c r="G7480" s="3" t="s">
        <v>48</v>
      </c>
      <c r="H7480" s="2" t="s">
        <v>21</v>
      </c>
      <c r="I7480" s="2" t="s">
        <v>14826</v>
      </c>
      <c r="J7480" s="3" t="str">
        <f>HYPERLINK("https://www.boe.es/gazeta/dias/1823/03/15/pdfs/GMD-1823-78.pdf#page=3","Abrir facsímil")</f>
        <v>Abrir facsímil</v>
      </c>
      <c r="K7480" s="3" t="s">
        <v>23</v>
      </c>
    </row>
    <row r="7481" spans="1:11" ht="42" customHeight="1">
      <c r="A7481" s="2" t="s">
        <v>14827</v>
      </c>
      <c r="B7481" s="2" t="s">
        <v>14828</v>
      </c>
      <c r="C7481" s="2" t="s">
        <v>79</v>
      </c>
      <c r="D7481" s="2" t="s">
        <v>74</v>
      </c>
      <c r="E7481" s="5">
        <v>-28102</v>
      </c>
      <c r="F7481" s="3" t="s">
        <v>287</v>
      </c>
      <c r="G7481" s="3" t="s">
        <v>27</v>
      </c>
      <c r="H7481" s="2" t="s">
        <v>21</v>
      </c>
      <c r="I7481" s="2" t="s">
        <v>14829</v>
      </c>
      <c r="J7481" s="3" t="str">
        <f>HYPERLINK("https://www.boe.es/gazeta/dias/1823/01/21/pdfs/GMD-1823-22.pdf#page=2","Abrir facsímil")</f>
        <v>Abrir facsímil</v>
      </c>
      <c r="K7481" s="3" t="s">
        <v>23</v>
      </c>
    </row>
    <row r="7482" spans="1:11" ht="42" customHeight="1">
      <c r="A7482" s="2" t="s">
        <v>14830</v>
      </c>
      <c r="B7482" s="2" t="s">
        <v>14831</v>
      </c>
      <c r="C7482" s="2" t="s">
        <v>17</v>
      </c>
      <c r="D7482" s="2" t="s">
        <v>18</v>
      </c>
      <c r="E7482" s="5">
        <v>-28004</v>
      </c>
      <c r="F7482" s="3" t="s">
        <v>33</v>
      </c>
      <c r="G7482" s="3" t="s">
        <v>34</v>
      </c>
      <c r="H7482" s="2" t="s">
        <v>21</v>
      </c>
      <c r="I7482" s="2" t="s">
        <v>14832</v>
      </c>
      <c r="J7482" s="3" t="str">
        <f>HYPERLINK("https://www.boe.es/gazeta/dias/1823/04/29/pdfs/GES-1823-19.pdf#page=5","Abrir facsímil")</f>
        <v>Abrir facsímil</v>
      </c>
      <c r="K7482" s="3" t="s">
        <v>23</v>
      </c>
    </row>
    <row r="7483" spans="1:11" ht="42" customHeight="1">
      <c r="A7483" s="2" t="s">
        <v>14830</v>
      </c>
      <c r="B7483" s="2" t="s">
        <v>14831</v>
      </c>
      <c r="C7483" s="2" t="s">
        <v>17</v>
      </c>
      <c r="D7483" s="2" t="s">
        <v>18</v>
      </c>
      <c r="E7483" s="5">
        <v>-28003</v>
      </c>
      <c r="F7483" s="3" t="s">
        <v>26</v>
      </c>
      <c r="G7483" s="3" t="s">
        <v>27</v>
      </c>
      <c r="H7483" s="2" t="s">
        <v>21</v>
      </c>
      <c r="I7483" s="2" t="s">
        <v>14833</v>
      </c>
      <c r="J7483" s="3" t="str">
        <f>HYPERLINK("https://www.boe.es/gazeta/dias/1823/04/30/pdfs/GES-1823-20.pdf#page=2","Abrir facsímil")</f>
        <v>Abrir facsímil</v>
      </c>
      <c r="K7483" s="3" t="s">
        <v>23</v>
      </c>
    </row>
    <row r="7484" spans="1:11" ht="42" customHeight="1">
      <c r="A7484" s="2" t="s">
        <v>14834</v>
      </c>
      <c r="B7484" s="2" t="s">
        <v>14835</v>
      </c>
      <c r="C7484" s="2" t="s">
        <v>17</v>
      </c>
      <c r="D7484" s="2" t="s">
        <v>18</v>
      </c>
      <c r="E7484" s="5">
        <v>-28112</v>
      </c>
      <c r="F7484" s="3" t="s">
        <v>43</v>
      </c>
      <c r="G7484" s="3" t="s">
        <v>20</v>
      </c>
      <c r="H7484" s="2" t="s">
        <v>21</v>
      </c>
      <c r="I7484" s="2" t="s">
        <v>14836</v>
      </c>
      <c r="J7484" s="3" t="str">
        <f>HYPERLINK("https://www.boe.es/gazeta/dias/1823/01/11/pdfs/GMD-1823-11.pdf#page=4","Abrir facsímil")</f>
        <v>Abrir facsímil</v>
      </c>
      <c r="K7484" s="3" t="s">
        <v>23</v>
      </c>
    </row>
    <row r="7485" spans="1:11" ht="42" customHeight="1">
      <c r="A7485" s="2" t="s">
        <v>14837</v>
      </c>
      <c r="B7485" s="2" t="s">
        <v>14837</v>
      </c>
      <c r="C7485" s="2" t="s">
        <v>17</v>
      </c>
      <c r="D7485" s="2" t="s">
        <v>18</v>
      </c>
      <c r="E7485" s="5">
        <v>-27987</v>
      </c>
      <c r="F7485" s="3" t="s">
        <v>332</v>
      </c>
      <c r="G7485" s="3" t="s">
        <v>39</v>
      </c>
      <c r="H7485" s="2" t="s">
        <v>21</v>
      </c>
      <c r="I7485" s="2" t="s">
        <v>14838</v>
      </c>
      <c r="J7485" s="3" t="str">
        <f>HYPERLINK("https://www.boe.es/gazeta/dias/1823/05/16/pdfs/GES-1823-36.pdf#page=1","Abrir facsímil")</f>
        <v>Abrir facsímil</v>
      </c>
      <c r="K7485" s="3" t="s">
        <v>23</v>
      </c>
    </row>
    <row r="7486" spans="1:11" ht="42" customHeight="1">
      <c r="A7486" s="2" t="s">
        <v>14839</v>
      </c>
      <c r="B7486" s="2" t="s">
        <v>14840</v>
      </c>
      <c r="C7486" s="2" t="s">
        <v>109</v>
      </c>
      <c r="D7486" s="2" t="s">
        <v>74</v>
      </c>
      <c r="E7486" s="5">
        <v>-28037</v>
      </c>
      <c r="F7486" s="3" t="s">
        <v>192</v>
      </c>
      <c r="G7486" s="3" t="s">
        <v>20</v>
      </c>
      <c r="H7486" s="2" t="s">
        <v>21</v>
      </c>
      <c r="I7486" s="2" t="s">
        <v>14841</v>
      </c>
      <c r="J7486" s="3" t="str">
        <f>HYPERLINK("https://www.boe.es/gazeta/dias/1823/03/27/pdfs/GMD-1823-90.pdf#page=4","Abrir facsímil")</f>
        <v>Abrir facsímil</v>
      </c>
      <c r="K7486" s="3" t="s">
        <v>23</v>
      </c>
    </row>
    <row r="7487" spans="1:11" ht="42" customHeight="1">
      <c r="A7487" s="2" t="s">
        <v>14839</v>
      </c>
      <c r="B7487" s="2" t="s">
        <v>14840</v>
      </c>
      <c r="C7487" s="2" t="s">
        <v>109</v>
      </c>
      <c r="D7487" s="2" t="s">
        <v>74</v>
      </c>
      <c r="E7487" s="5">
        <v>-27881</v>
      </c>
      <c r="F7487" s="3" t="s">
        <v>485</v>
      </c>
      <c r="G7487" s="3" t="s">
        <v>20</v>
      </c>
      <c r="H7487" s="2" t="s">
        <v>21</v>
      </c>
      <c r="I7487" s="2" t="s">
        <v>14842</v>
      </c>
      <c r="J7487" s="3" t="str">
        <f>HYPERLINK("https://www.boe.es/gazeta/dias/1823/08/30/pdfs/GES-1823-143.pdf#page=4","Abrir facsímil")</f>
        <v>Abrir facsímil</v>
      </c>
      <c r="K7487" s="3" t="s">
        <v>23</v>
      </c>
    </row>
    <row r="7488" spans="1:11" ht="42" customHeight="1">
      <c r="A7488" s="2" t="s">
        <v>14839</v>
      </c>
      <c r="B7488" s="2" t="s">
        <v>14840</v>
      </c>
      <c r="C7488" s="2" t="s">
        <v>17</v>
      </c>
      <c r="D7488" s="2" t="s">
        <v>18</v>
      </c>
      <c r="E7488" s="5">
        <v>-27827</v>
      </c>
      <c r="F7488" s="3" t="s">
        <v>531</v>
      </c>
      <c r="G7488" s="3" t="s">
        <v>39</v>
      </c>
      <c r="H7488" s="2" t="s">
        <v>21</v>
      </c>
      <c r="I7488" s="2" t="s">
        <v>14843</v>
      </c>
      <c r="J7488" s="3" t="str">
        <f>HYPERLINK("https://www.boe.es/gazeta/dias/1823/10/23/pdfs/GMD-1823-1013.pdf#page=1","Abrir facsímil")</f>
        <v>Abrir facsímil</v>
      </c>
      <c r="K7488" s="3" t="s">
        <v>23</v>
      </c>
    </row>
    <row r="7489" spans="1:11" ht="42" customHeight="1">
      <c r="A7489" s="2" t="s">
        <v>14844</v>
      </c>
      <c r="B7489" s="2" t="s">
        <v>14844</v>
      </c>
      <c r="C7489" s="2" t="s">
        <v>56</v>
      </c>
      <c r="D7489" s="2" t="s">
        <v>57</v>
      </c>
      <c r="E7489" s="5">
        <v>-28073</v>
      </c>
      <c r="F7489" s="3" t="s">
        <v>204</v>
      </c>
      <c r="G7489" s="3" t="s">
        <v>27</v>
      </c>
      <c r="H7489" s="2" t="s">
        <v>21</v>
      </c>
      <c r="I7489" s="2" t="s">
        <v>14845</v>
      </c>
      <c r="J7489" s="3" t="str">
        <f>HYPERLINK("https://www.boe.es/gazeta/dias/1823/02/19/pdfs/GMD-1823-53.pdf#page=2","Abrir facsímil")</f>
        <v>Abrir facsímil</v>
      </c>
      <c r="K7489" s="3" t="s">
        <v>23</v>
      </c>
    </row>
    <row r="7490" spans="1:11" ht="42" customHeight="1">
      <c r="A7490" s="2" t="s">
        <v>14846</v>
      </c>
      <c r="B7490" s="2" t="s">
        <v>14847</v>
      </c>
      <c r="C7490" s="2" t="s">
        <v>56</v>
      </c>
      <c r="D7490" s="2" t="s">
        <v>57</v>
      </c>
      <c r="E7490" s="5">
        <v>-28073</v>
      </c>
      <c r="F7490" s="3" t="s">
        <v>204</v>
      </c>
      <c r="G7490" s="3" t="s">
        <v>27</v>
      </c>
      <c r="H7490" s="2" t="s">
        <v>21</v>
      </c>
      <c r="I7490" s="2" t="s">
        <v>14848</v>
      </c>
      <c r="J7490" s="3" t="str">
        <f>HYPERLINK("https://www.boe.es/gazeta/dias/1823/02/19/pdfs/GMD-1823-53.pdf#page=2","Abrir facsímil")</f>
        <v>Abrir facsímil</v>
      </c>
      <c r="K7490" s="3" t="s">
        <v>23</v>
      </c>
    </row>
    <row r="7491" spans="1:11" ht="42" customHeight="1">
      <c r="A7491" s="2" t="s">
        <v>14849</v>
      </c>
      <c r="B7491" s="2" t="s">
        <v>14850</v>
      </c>
      <c r="C7491" s="2" t="s">
        <v>84</v>
      </c>
      <c r="D7491" s="2" t="s">
        <v>74</v>
      </c>
      <c r="E7491" s="5">
        <v>-28059</v>
      </c>
      <c r="F7491" s="3" t="s">
        <v>149</v>
      </c>
      <c r="G7491" s="3" t="s">
        <v>20</v>
      </c>
      <c r="H7491" s="2" t="s">
        <v>21</v>
      </c>
      <c r="I7491" s="2" t="s">
        <v>14851</v>
      </c>
      <c r="J7491" s="3" t="str">
        <f>HYPERLINK("https://www.boe.es/gazeta/dias/1823/03/05/pdfs/GMD-1823-68.pdf#page=4","Abrir facsímil")</f>
        <v>Abrir facsímil</v>
      </c>
      <c r="K7491" s="3" t="s">
        <v>23</v>
      </c>
    </row>
    <row r="7492" spans="1:11" ht="42" customHeight="1">
      <c r="A7492" s="2" t="s">
        <v>14849</v>
      </c>
      <c r="B7492" s="2" t="s">
        <v>14850</v>
      </c>
      <c r="C7492" s="2" t="s">
        <v>17</v>
      </c>
      <c r="D7492" s="2" t="s">
        <v>18</v>
      </c>
      <c r="E7492" s="5">
        <v>-28023</v>
      </c>
      <c r="F7492" s="3" t="s">
        <v>384</v>
      </c>
      <c r="G7492" s="3" t="s">
        <v>20</v>
      </c>
      <c r="H7492" s="2" t="s">
        <v>21</v>
      </c>
      <c r="I7492" s="2" t="s">
        <v>14852</v>
      </c>
      <c r="J7492" s="3" t="str">
        <f>HYPERLINK("https://www.boe.es/gazeta/dias/1823/04/10/pdfs/GMD-1823-105.pdf#page=4","Abrir facsímil")</f>
        <v>Abrir facsímil</v>
      </c>
      <c r="K7492" s="3" t="s">
        <v>23</v>
      </c>
    </row>
    <row r="7493" spans="1:11" ht="42" customHeight="1">
      <c r="A7493" s="2" t="s">
        <v>14853</v>
      </c>
      <c r="B7493" s="2" t="s">
        <v>14853</v>
      </c>
      <c r="C7493" s="2" t="s">
        <v>17</v>
      </c>
      <c r="D7493" s="2" t="s">
        <v>18</v>
      </c>
      <c r="E7493" s="5">
        <v>-27970</v>
      </c>
      <c r="F7493" s="3" t="s">
        <v>1030</v>
      </c>
      <c r="G7493" s="3" t="s">
        <v>20</v>
      </c>
      <c r="H7493" s="2" t="s">
        <v>21</v>
      </c>
      <c r="I7493" s="2" t="s">
        <v>14854</v>
      </c>
      <c r="J7493" s="3" t="str">
        <f>HYPERLINK("https://www.boe.es/gazeta/dias/1823/06/02/pdfs/GES-1823-56.pdf#page=4","Abrir facsímil")</f>
        <v>Abrir facsímil</v>
      </c>
      <c r="K7493" s="3" t="s">
        <v>23</v>
      </c>
    </row>
    <row r="7494" spans="1:11" ht="42" customHeight="1">
      <c r="A7494" s="2" t="s">
        <v>14855</v>
      </c>
      <c r="B7494" s="2" t="s">
        <v>14856</v>
      </c>
      <c r="C7494" s="2" t="s">
        <v>79</v>
      </c>
      <c r="D7494" s="2" t="s">
        <v>74</v>
      </c>
      <c r="E7494" s="5">
        <v>-28015</v>
      </c>
      <c r="F7494" s="3" t="s">
        <v>985</v>
      </c>
      <c r="G7494" s="3" t="s">
        <v>39</v>
      </c>
      <c r="H7494" s="2" t="s">
        <v>21</v>
      </c>
      <c r="I7494" s="2" t="s">
        <v>14857</v>
      </c>
      <c r="J7494" s="3" t="str">
        <f>HYPERLINK("https://www.boe.es/gazeta/dias/1823/04/18/pdfs/GES-1823-8.pdf#page=1","Abrir facsímil")</f>
        <v>Abrir facsímil</v>
      </c>
      <c r="K7494" s="3" t="s">
        <v>23</v>
      </c>
    </row>
    <row r="7495" spans="1:11" ht="42" customHeight="1">
      <c r="A7495" s="2" t="s">
        <v>14858</v>
      </c>
      <c r="B7495" s="2" t="s">
        <v>14858</v>
      </c>
      <c r="C7495" s="2" t="s">
        <v>17</v>
      </c>
      <c r="D7495" s="2" t="s">
        <v>18</v>
      </c>
      <c r="E7495" s="5">
        <v>-28007</v>
      </c>
      <c r="F7495" s="3" t="s">
        <v>1190</v>
      </c>
      <c r="G7495" s="3" t="s">
        <v>48</v>
      </c>
      <c r="H7495" s="2" t="s">
        <v>21</v>
      </c>
      <c r="I7495" s="2" t="s">
        <v>14859</v>
      </c>
      <c r="J7495" s="3" t="str">
        <f>HYPERLINK("https://www.boe.es/gazeta/dias/1823/04/26/pdfs/GMD-1823-62.pdf#page=3","Abrir facsímil")</f>
        <v>Abrir facsímil</v>
      </c>
      <c r="K7495" s="3" t="s">
        <v>23</v>
      </c>
    </row>
    <row r="7496" spans="1:11" ht="42" customHeight="1">
      <c r="A7496" s="2" t="s">
        <v>14858</v>
      </c>
      <c r="B7496" s="2" t="s">
        <v>14858</v>
      </c>
      <c r="C7496" s="2" t="s">
        <v>17</v>
      </c>
      <c r="D7496" s="2" t="s">
        <v>18</v>
      </c>
      <c r="E7496" s="5">
        <v>-28005</v>
      </c>
      <c r="F7496" s="3" t="s">
        <v>1648</v>
      </c>
      <c r="G7496" s="3" t="s">
        <v>7662</v>
      </c>
      <c r="H7496" s="2" t="s">
        <v>21</v>
      </c>
      <c r="I7496" s="2" t="s">
        <v>14860</v>
      </c>
      <c r="J7496" s="3" t="str">
        <f>HYPERLINK("https://www.boe.es/gazeta/dias/1823/04/28/pdfs/GES-1823-18.pdf#page=1","Abrir facsímil")</f>
        <v>Abrir facsímil</v>
      </c>
      <c r="K7496" s="3" t="s">
        <v>23</v>
      </c>
    </row>
    <row r="7497" spans="1:11" ht="42" customHeight="1">
      <c r="A7497" s="2" t="s">
        <v>14858</v>
      </c>
      <c r="B7497" s="2" t="s">
        <v>14858</v>
      </c>
      <c r="C7497" s="2" t="s">
        <v>17</v>
      </c>
      <c r="D7497" s="2" t="s">
        <v>18</v>
      </c>
      <c r="E7497" s="5">
        <v>-28004</v>
      </c>
      <c r="F7497" s="3" t="s">
        <v>33</v>
      </c>
      <c r="G7497" s="3" t="s">
        <v>34</v>
      </c>
      <c r="H7497" s="2" t="s">
        <v>21</v>
      </c>
      <c r="I7497" s="2" t="s">
        <v>14861</v>
      </c>
      <c r="J7497" s="3" t="str">
        <f>HYPERLINK("https://www.boe.es/gazeta/dias/1823/04/29/pdfs/GES-1823-19.pdf#page=5","Abrir facsímil")</f>
        <v>Abrir facsímil</v>
      </c>
      <c r="K7497" s="3" t="s">
        <v>23</v>
      </c>
    </row>
    <row r="7498" spans="1:11" ht="42" customHeight="1">
      <c r="A7498" s="2" t="s">
        <v>14858</v>
      </c>
      <c r="B7498" s="2" t="s">
        <v>14858</v>
      </c>
      <c r="C7498" s="2" t="s">
        <v>17</v>
      </c>
      <c r="D7498" s="2" t="s">
        <v>18</v>
      </c>
      <c r="E7498" s="5">
        <v>-27994</v>
      </c>
      <c r="F7498" s="3" t="s">
        <v>714</v>
      </c>
      <c r="G7498" s="3" t="s">
        <v>715</v>
      </c>
      <c r="H7498" s="2" t="s">
        <v>21</v>
      </c>
      <c r="I7498" s="2" t="s">
        <v>14862</v>
      </c>
      <c r="J7498" s="3" t="str">
        <f>HYPERLINK("https://www.boe.es/gazeta/dias/1823/05/09/pdfs/GES-1823-29.pdf#page=8","Abrir facsímil")</f>
        <v>Abrir facsímil</v>
      </c>
      <c r="K7498" s="3" t="s">
        <v>23</v>
      </c>
    </row>
    <row r="7499" spans="1:11" ht="42" customHeight="1">
      <c r="A7499" s="2" t="s">
        <v>14858</v>
      </c>
      <c r="B7499" s="2" t="s">
        <v>14858</v>
      </c>
      <c r="C7499" s="2" t="s">
        <v>17</v>
      </c>
      <c r="D7499" s="2" t="s">
        <v>18</v>
      </c>
      <c r="E7499" s="5">
        <v>-27990</v>
      </c>
      <c r="F7499" s="3" t="s">
        <v>330</v>
      </c>
      <c r="G7499" s="3" t="s">
        <v>39</v>
      </c>
      <c r="H7499" s="2" t="s">
        <v>21</v>
      </c>
      <c r="I7499" s="2" t="s">
        <v>14863</v>
      </c>
      <c r="J7499" s="3" t="str">
        <f>HYPERLINK("https://www.boe.es/gazeta/dias/1823/05/13/pdfs/GMD-1823-132.pdf#page=1","Abrir facsímil")</f>
        <v>Abrir facsímil</v>
      </c>
      <c r="K7499" s="3" t="s">
        <v>23</v>
      </c>
    </row>
    <row r="7500" spans="1:11" ht="42" customHeight="1">
      <c r="A7500" s="2" t="s">
        <v>14858</v>
      </c>
      <c r="B7500" s="2" t="s">
        <v>14858</v>
      </c>
      <c r="C7500" s="2" t="s">
        <v>17</v>
      </c>
      <c r="D7500" s="2" t="s">
        <v>18</v>
      </c>
      <c r="E7500" s="5">
        <v>-27984</v>
      </c>
      <c r="F7500" s="3" t="s">
        <v>335</v>
      </c>
      <c r="G7500" s="3" t="s">
        <v>59</v>
      </c>
      <c r="H7500" s="2" t="s">
        <v>21</v>
      </c>
      <c r="I7500" s="2" t="s">
        <v>14864</v>
      </c>
      <c r="J7500" s="3" t="str">
        <f>HYPERLINK("https://www.boe.es/gazeta/dias/1823/05/19/pdfs/GES-1823-39.pdf#page=6","Abrir facsímil")</f>
        <v>Abrir facsímil</v>
      </c>
      <c r="K7500" s="3" t="s">
        <v>23</v>
      </c>
    </row>
    <row r="7501" spans="1:11" ht="42" customHeight="1">
      <c r="A7501" s="2" t="s">
        <v>14858</v>
      </c>
      <c r="B7501" s="2" t="s">
        <v>14858</v>
      </c>
      <c r="C7501" s="2" t="s">
        <v>17</v>
      </c>
      <c r="D7501" s="2" t="s">
        <v>18</v>
      </c>
      <c r="E7501" s="5">
        <v>-27977</v>
      </c>
      <c r="F7501" s="3" t="s">
        <v>1489</v>
      </c>
      <c r="G7501" s="3" t="s">
        <v>27</v>
      </c>
      <c r="H7501" s="2" t="s">
        <v>21</v>
      </c>
      <c r="I7501" s="2" t="s">
        <v>14865</v>
      </c>
      <c r="J7501" s="3" t="str">
        <f>HYPERLINK("https://www.boe.es/gazeta/dias/1823/05/26/pdfs/GES-1823-47.pdf#page=2","Abrir facsímil")</f>
        <v>Abrir facsímil</v>
      </c>
      <c r="K7501" s="3" t="s">
        <v>23</v>
      </c>
    </row>
    <row r="7502" spans="1:11" ht="42" customHeight="1">
      <c r="A7502" s="2" t="s">
        <v>14858</v>
      </c>
      <c r="B7502" s="2" t="s">
        <v>14858</v>
      </c>
      <c r="C7502" s="2" t="s">
        <v>17</v>
      </c>
      <c r="D7502" s="2" t="s">
        <v>18</v>
      </c>
      <c r="E7502" s="5">
        <v>-27964</v>
      </c>
      <c r="F7502" s="3" t="s">
        <v>58</v>
      </c>
      <c r="G7502" s="3" t="s">
        <v>20</v>
      </c>
      <c r="H7502" s="2" t="s">
        <v>21</v>
      </c>
      <c r="I7502" s="2" t="s">
        <v>14866</v>
      </c>
      <c r="J7502" s="3" t="str">
        <f>HYPERLINK("https://www.boe.es/gazeta/dias/1823/06/08/pdfs/GES-1823-62.pdf#page=4","Abrir facsímil")</f>
        <v>Abrir facsímil</v>
      </c>
      <c r="K7502" s="3" t="s">
        <v>23</v>
      </c>
    </row>
    <row r="7503" spans="1:11" ht="42" customHeight="1">
      <c r="A7503" s="2" t="s">
        <v>14858</v>
      </c>
      <c r="B7503" s="2" t="s">
        <v>14858</v>
      </c>
      <c r="C7503" s="2" t="s">
        <v>17</v>
      </c>
      <c r="D7503" s="2" t="s">
        <v>18</v>
      </c>
      <c r="E7503" s="5">
        <v>-27937</v>
      </c>
      <c r="F7503" s="3" t="s">
        <v>897</v>
      </c>
      <c r="G7503" s="3" t="s">
        <v>20</v>
      </c>
      <c r="H7503" s="2" t="s">
        <v>21</v>
      </c>
      <c r="I7503" s="2" t="s">
        <v>14867</v>
      </c>
      <c r="J7503" s="3" t="str">
        <f>HYPERLINK("https://www.boe.es/gazeta/dias/1823/07/05/pdfs/GMD-1823-343.pdf#page=4","Abrir facsímil")</f>
        <v>Abrir facsímil</v>
      </c>
      <c r="K7503" s="3" t="s">
        <v>23</v>
      </c>
    </row>
    <row r="7504" spans="1:11" ht="42" customHeight="1">
      <c r="A7504" s="2" t="s">
        <v>14858</v>
      </c>
      <c r="B7504" s="2" t="s">
        <v>14858</v>
      </c>
      <c r="C7504" s="2" t="s">
        <v>17</v>
      </c>
      <c r="D7504" s="2" t="s">
        <v>18</v>
      </c>
      <c r="E7504" s="5">
        <v>-27937</v>
      </c>
      <c r="F7504" s="3" t="s">
        <v>897</v>
      </c>
      <c r="G7504" s="3" t="s">
        <v>34</v>
      </c>
      <c r="H7504" s="2" t="s">
        <v>21</v>
      </c>
      <c r="I7504" s="2" t="s">
        <v>14868</v>
      </c>
      <c r="J7504" s="3" t="str">
        <f>HYPERLINK("https://www.boe.es/gazeta/dias/1823/07/05/pdfs/GMD-1823-343.pdf#page=5","Abrir facsímil")</f>
        <v>Abrir facsímil</v>
      </c>
      <c r="K7504" s="3" t="s">
        <v>23</v>
      </c>
    </row>
    <row r="7505" spans="1:11" ht="42" customHeight="1">
      <c r="A7505" s="2" t="s">
        <v>14858</v>
      </c>
      <c r="B7505" s="2" t="s">
        <v>14858</v>
      </c>
      <c r="C7505" s="2" t="s">
        <v>17</v>
      </c>
      <c r="D7505" s="2" t="s">
        <v>117</v>
      </c>
      <c r="E7505" s="5">
        <v>-27932</v>
      </c>
      <c r="F7505" s="3" t="s">
        <v>1947</v>
      </c>
      <c r="G7505" s="3" t="s">
        <v>39</v>
      </c>
      <c r="H7505" s="2" t="s">
        <v>21</v>
      </c>
      <c r="I7505" s="2" t="s">
        <v>14869</v>
      </c>
      <c r="J7505" s="3" t="str">
        <f>HYPERLINK("https://www.boe.es/gazeta/dias/1823/07/10/pdfs/GMD-1823-373E.pdf#page=1","Abrir facsímil")</f>
        <v>Abrir facsímil</v>
      </c>
      <c r="K7505" s="3" t="s">
        <v>23</v>
      </c>
    </row>
    <row r="7506" spans="1:11" ht="42" customHeight="1">
      <c r="A7506" s="2" t="s">
        <v>14858</v>
      </c>
      <c r="B7506" s="2" t="s">
        <v>14858</v>
      </c>
      <c r="C7506" s="2" t="s">
        <v>17</v>
      </c>
      <c r="D7506" s="2" t="s">
        <v>18</v>
      </c>
      <c r="E7506" s="5">
        <v>-27927</v>
      </c>
      <c r="F7506" s="3" t="s">
        <v>2409</v>
      </c>
      <c r="G7506" s="3" t="s">
        <v>48</v>
      </c>
      <c r="H7506" s="2" t="s">
        <v>21</v>
      </c>
      <c r="I7506" s="2" t="s">
        <v>14870</v>
      </c>
      <c r="J7506" s="3" t="str">
        <f>HYPERLINK("https://www.boe.es/gazeta/dias/1823/07/15/pdfs/GMD-1823-403.pdf#page=3","Abrir facsímil")</f>
        <v>Abrir facsímil</v>
      </c>
      <c r="K7506" s="3" t="s">
        <v>23</v>
      </c>
    </row>
    <row r="7507" spans="1:11" ht="42" customHeight="1">
      <c r="A7507" s="2" t="s">
        <v>14858</v>
      </c>
      <c r="B7507" s="2" t="s">
        <v>14858</v>
      </c>
      <c r="C7507" s="2" t="s">
        <v>17</v>
      </c>
      <c r="D7507" s="2" t="s">
        <v>18</v>
      </c>
      <c r="E7507" s="5">
        <v>-27925</v>
      </c>
      <c r="F7507" s="3" t="s">
        <v>1744</v>
      </c>
      <c r="G7507" s="3" t="s">
        <v>34</v>
      </c>
      <c r="H7507" s="2" t="s">
        <v>21</v>
      </c>
      <c r="I7507" s="2" t="s">
        <v>14871</v>
      </c>
      <c r="J7507" s="3" t="str">
        <f>HYPERLINK("https://www.boe.es/gazeta/dias/1823/07/17/pdfs/GMD-1823-413.pdf#page=5","Abrir facsímil")</f>
        <v>Abrir facsímil</v>
      </c>
      <c r="K7507" s="3" t="s">
        <v>23</v>
      </c>
    </row>
    <row r="7508" spans="1:11" ht="42" customHeight="1">
      <c r="A7508" s="2" t="s">
        <v>14858</v>
      </c>
      <c r="B7508" s="2" t="s">
        <v>14858</v>
      </c>
      <c r="C7508" s="2" t="s">
        <v>17</v>
      </c>
      <c r="D7508" s="2" t="s">
        <v>117</v>
      </c>
      <c r="E7508" s="5">
        <v>-27925</v>
      </c>
      <c r="F7508" s="3" t="s">
        <v>3766</v>
      </c>
      <c r="G7508" s="3" t="s">
        <v>39</v>
      </c>
      <c r="H7508" s="2" t="s">
        <v>21</v>
      </c>
      <c r="I7508" s="2" t="s">
        <v>14872</v>
      </c>
      <c r="J7508" s="3" t="str">
        <f>HYPERLINK("https://www.boe.es/gazeta/dias/1823/07/17/pdfs/GMD-1823-423E.pdf#page=1","Abrir facsímil")</f>
        <v>Abrir facsímil</v>
      </c>
      <c r="K7508" s="3" t="s">
        <v>23</v>
      </c>
    </row>
    <row r="7509" spans="1:11" ht="42" customHeight="1">
      <c r="A7509" s="2" t="s">
        <v>14858</v>
      </c>
      <c r="B7509" s="2" t="s">
        <v>14858</v>
      </c>
      <c r="C7509" s="2" t="s">
        <v>17</v>
      </c>
      <c r="D7509" s="2" t="s">
        <v>18</v>
      </c>
      <c r="E7509" s="5">
        <v>-27923</v>
      </c>
      <c r="F7509" s="3" t="s">
        <v>1225</v>
      </c>
      <c r="G7509" s="3" t="s">
        <v>48</v>
      </c>
      <c r="H7509" s="2" t="s">
        <v>21</v>
      </c>
      <c r="I7509" s="2" t="s">
        <v>14873</v>
      </c>
      <c r="J7509" s="3" t="str">
        <f>HYPERLINK("https://www.boe.es/gazeta/dias/1823/07/19/pdfs/GMD-1823-433.pdf#page=3","Abrir facsímil")</f>
        <v>Abrir facsímil</v>
      </c>
      <c r="K7509" s="3" t="s">
        <v>23</v>
      </c>
    </row>
    <row r="7510" spans="1:11" ht="42" customHeight="1">
      <c r="A7510" s="2" t="s">
        <v>14858</v>
      </c>
      <c r="B7510" s="2" t="s">
        <v>14858</v>
      </c>
      <c r="C7510" s="2" t="s">
        <v>17</v>
      </c>
      <c r="D7510" s="2" t="s">
        <v>18</v>
      </c>
      <c r="E7510" s="5">
        <v>-27920</v>
      </c>
      <c r="F7510" s="3" t="s">
        <v>1334</v>
      </c>
      <c r="G7510" s="3" t="s">
        <v>59</v>
      </c>
      <c r="H7510" s="2" t="s">
        <v>21</v>
      </c>
      <c r="I7510" s="2" t="s">
        <v>14874</v>
      </c>
      <c r="J7510" s="3" t="str">
        <f>HYPERLINK("https://www.boe.es/gazeta/dias/1823/07/22/pdfs/GMD-1823-443.pdf#page=6","Abrir facsímil")</f>
        <v>Abrir facsímil</v>
      </c>
      <c r="K7510" s="3" t="s">
        <v>23</v>
      </c>
    </row>
    <row r="7511" spans="1:11" ht="42" customHeight="1">
      <c r="A7511" s="2" t="s">
        <v>14858</v>
      </c>
      <c r="B7511" s="2" t="s">
        <v>14858</v>
      </c>
      <c r="C7511" s="2" t="s">
        <v>17</v>
      </c>
      <c r="D7511" s="2" t="s">
        <v>18</v>
      </c>
      <c r="E7511" s="5">
        <v>-27918</v>
      </c>
      <c r="F7511" s="3" t="s">
        <v>218</v>
      </c>
      <c r="G7511" s="3" t="s">
        <v>20</v>
      </c>
      <c r="H7511" s="2" t="s">
        <v>21</v>
      </c>
      <c r="I7511" s="2" t="s">
        <v>14875</v>
      </c>
      <c r="J7511" s="3" t="str">
        <f>HYPERLINK("https://www.boe.es/gazeta/dias/1823/07/24/pdfs/GMD-1823-463.pdf#page=4","Abrir facsímil")</f>
        <v>Abrir facsímil</v>
      </c>
      <c r="K7511" s="3" t="s">
        <v>23</v>
      </c>
    </row>
    <row r="7512" spans="1:11" ht="42" customHeight="1">
      <c r="A7512" s="2" t="s">
        <v>14858</v>
      </c>
      <c r="B7512" s="2" t="s">
        <v>14858</v>
      </c>
      <c r="C7512" s="2" t="s">
        <v>17</v>
      </c>
      <c r="D7512" s="2" t="s">
        <v>18</v>
      </c>
      <c r="E7512" s="5">
        <v>-27917</v>
      </c>
      <c r="F7512" s="3" t="s">
        <v>363</v>
      </c>
      <c r="G7512" s="3" t="s">
        <v>39</v>
      </c>
      <c r="H7512" s="2" t="s">
        <v>21</v>
      </c>
      <c r="I7512" s="2" t="s">
        <v>14876</v>
      </c>
      <c r="J7512" s="3" t="str">
        <f>HYPERLINK("https://www.boe.es/gazeta/dias/1823/07/25/pdfs/GES-1823-106.pdf#page=1","Abrir facsímil")</f>
        <v>Abrir facsímil</v>
      </c>
      <c r="K7512" s="3" t="s">
        <v>23</v>
      </c>
    </row>
    <row r="7513" spans="1:11" ht="42" customHeight="1">
      <c r="A7513" s="2" t="s">
        <v>14858</v>
      </c>
      <c r="B7513" s="2" t="s">
        <v>14858</v>
      </c>
      <c r="C7513" s="2" t="s">
        <v>17</v>
      </c>
      <c r="D7513" s="2" t="s">
        <v>18</v>
      </c>
      <c r="E7513" s="5">
        <v>-27917</v>
      </c>
      <c r="F7513" s="3" t="s">
        <v>363</v>
      </c>
      <c r="G7513" s="3" t="s">
        <v>27</v>
      </c>
      <c r="H7513" s="2" t="s">
        <v>21</v>
      </c>
      <c r="I7513" s="2" t="s">
        <v>14877</v>
      </c>
      <c r="J7513" s="3" t="str">
        <f>HYPERLINK("https://www.boe.es/gazeta/dias/1823/07/25/pdfs/GES-1823-106.pdf#page=2","Abrir facsímil")</f>
        <v>Abrir facsímil</v>
      </c>
      <c r="K7513" s="3" t="s">
        <v>23</v>
      </c>
    </row>
    <row r="7514" spans="1:11" ht="42" customHeight="1">
      <c r="A7514" s="2" t="s">
        <v>14858</v>
      </c>
      <c r="B7514" s="2" t="s">
        <v>14858</v>
      </c>
      <c r="C7514" s="2" t="s">
        <v>17</v>
      </c>
      <c r="D7514" s="2" t="s">
        <v>18</v>
      </c>
      <c r="E7514" s="5">
        <v>-27917</v>
      </c>
      <c r="F7514" s="3" t="s">
        <v>363</v>
      </c>
      <c r="G7514" s="3" t="s">
        <v>48</v>
      </c>
      <c r="H7514" s="2" t="s">
        <v>21</v>
      </c>
      <c r="I7514" s="2" t="s">
        <v>14878</v>
      </c>
      <c r="J7514" s="3" t="str">
        <f>HYPERLINK("https://www.boe.es/gazeta/dias/1823/07/25/pdfs/GES-1823-106.pdf#page=3","Abrir facsímil")</f>
        <v>Abrir facsímil</v>
      </c>
      <c r="K7514" s="3" t="s">
        <v>23</v>
      </c>
    </row>
    <row r="7515" spans="1:11" ht="42" customHeight="1">
      <c r="A7515" s="2" t="s">
        <v>14858</v>
      </c>
      <c r="B7515" s="2" t="s">
        <v>14858</v>
      </c>
      <c r="C7515" s="2" t="s">
        <v>17</v>
      </c>
      <c r="D7515" s="2" t="s">
        <v>18</v>
      </c>
      <c r="E7515" s="5">
        <v>-27916</v>
      </c>
      <c r="F7515" s="3" t="s">
        <v>772</v>
      </c>
      <c r="G7515" s="3" t="s">
        <v>27</v>
      </c>
      <c r="H7515" s="2" t="s">
        <v>21</v>
      </c>
      <c r="I7515" s="2" t="s">
        <v>14879</v>
      </c>
      <c r="J7515" s="3" t="str">
        <f>HYPERLINK("https://www.boe.es/gazeta/dias/1823/07/26/pdfs/GES-1823-107.pdf#page=2","Abrir facsímil")</f>
        <v>Abrir facsímil</v>
      </c>
      <c r="K7515" s="3" t="s">
        <v>23</v>
      </c>
    </row>
    <row r="7516" spans="1:11" ht="42" customHeight="1">
      <c r="A7516" s="2" t="s">
        <v>14858</v>
      </c>
      <c r="B7516" s="2" t="s">
        <v>14858</v>
      </c>
      <c r="C7516" s="2" t="s">
        <v>17</v>
      </c>
      <c r="D7516" s="2" t="s">
        <v>18</v>
      </c>
      <c r="E7516" s="5">
        <v>-27913</v>
      </c>
      <c r="F7516" s="3" t="s">
        <v>829</v>
      </c>
      <c r="G7516" s="3" t="s">
        <v>34</v>
      </c>
      <c r="H7516" s="2" t="s">
        <v>21</v>
      </c>
      <c r="I7516" s="2" t="s">
        <v>14880</v>
      </c>
      <c r="J7516" s="3" t="str">
        <f>HYPERLINK("https://www.boe.es/gazeta/dias/1823/07/29/pdfs/GMD-1823-483.pdf#page=5","Abrir facsímil")</f>
        <v>Abrir facsímil</v>
      </c>
      <c r="K7516" s="3" t="s">
        <v>23</v>
      </c>
    </row>
    <row r="7517" spans="1:11" ht="42" customHeight="1">
      <c r="A7517" s="2" t="s">
        <v>14858</v>
      </c>
      <c r="B7517" s="2" t="s">
        <v>14858</v>
      </c>
      <c r="C7517" s="2" t="s">
        <v>17</v>
      </c>
      <c r="D7517" s="2" t="s">
        <v>18</v>
      </c>
      <c r="E7517" s="5">
        <v>-27911</v>
      </c>
      <c r="F7517" s="3" t="s">
        <v>1393</v>
      </c>
      <c r="G7517" s="3" t="s">
        <v>20</v>
      </c>
      <c r="H7517" s="2" t="s">
        <v>21</v>
      </c>
      <c r="I7517" s="2" t="s">
        <v>14881</v>
      </c>
      <c r="J7517" s="3" t="str">
        <f>HYPERLINK("https://www.boe.es/gazeta/dias/1823/07/31/pdfs/GMD-1823-503.pdf#page=4","Abrir facsímil")</f>
        <v>Abrir facsímil</v>
      </c>
      <c r="K7517" s="3" t="s">
        <v>23</v>
      </c>
    </row>
    <row r="7518" spans="1:11" ht="42" customHeight="1">
      <c r="A7518" s="2" t="s">
        <v>14858</v>
      </c>
      <c r="B7518" s="2" t="s">
        <v>14858</v>
      </c>
      <c r="C7518" s="2" t="s">
        <v>17</v>
      </c>
      <c r="D7518" s="2" t="s">
        <v>18</v>
      </c>
      <c r="E7518" s="5">
        <v>-27909</v>
      </c>
      <c r="F7518" s="3" t="s">
        <v>1525</v>
      </c>
      <c r="G7518" s="3" t="s">
        <v>20</v>
      </c>
      <c r="H7518" s="2" t="s">
        <v>21</v>
      </c>
      <c r="I7518" s="2" t="s">
        <v>14882</v>
      </c>
      <c r="J7518" s="3" t="str">
        <f>HYPERLINK("https://www.boe.es/gazeta/dias/1823/08/02/pdfs/GMD-1823-513.pdf#page=4","Abrir facsímil")</f>
        <v>Abrir facsímil</v>
      </c>
      <c r="K7518" s="3" t="s">
        <v>23</v>
      </c>
    </row>
    <row r="7519" spans="1:11" ht="42" customHeight="1">
      <c r="A7519" s="2" t="s">
        <v>14858</v>
      </c>
      <c r="B7519" s="2" t="s">
        <v>14858</v>
      </c>
      <c r="C7519" s="2" t="s">
        <v>17</v>
      </c>
      <c r="D7519" s="2" t="s">
        <v>18</v>
      </c>
      <c r="E7519" s="5">
        <v>-27908</v>
      </c>
      <c r="F7519" s="3" t="s">
        <v>80</v>
      </c>
      <c r="G7519" s="3" t="s">
        <v>27</v>
      </c>
      <c r="H7519" s="2" t="s">
        <v>21</v>
      </c>
      <c r="I7519" s="2" t="s">
        <v>14883</v>
      </c>
      <c r="J7519" s="3" t="str">
        <f>HYPERLINK("https://www.boe.es/gazeta/dias/1823/08/03/pdfs/GES-1823-115.pdf#page=2","Abrir facsímil")</f>
        <v>Abrir facsímil</v>
      </c>
      <c r="K7519" s="3" t="s">
        <v>23</v>
      </c>
    </row>
    <row r="7520" spans="1:11" ht="42" customHeight="1">
      <c r="A7520" s="2" t="s">
        <v>14858</v>
      </c>
      <c r="B7520" s="2" t="s">
        <v>14858</v>
      </c>
      <c r="C7520" s="2" t="s">
        <v>17</v>
      </c>
      <c r="D7520" s="2" t="s">
        <v>18</v>
      </c>
      <c r="E7520" s="5">
        <v>-27908</v>
      </c>
      <c r="F7520" s="3" t="s">
        <v>80</v>
      </c>
      <c r="G7520" s="3" t="s">
        <v>48</v>
      </c>
      <c r="H7520" s="2" t="s">
        <v>21</v>
      </c>
      <c r="I7520" s="2" t="s">
        <v>14884</v>
      </c>
      <c r="J7520" s="3" t="str">
        <f>HYPERLINK("https://www.boe.es/gazeta/dias/1823/08/03/pdfs/GES-1823-115.pdf#page=3","Abrir facsímil")</f>
        <v>Abrir facsímil</v>
      </c>
      <c r="K7520" s="3" t="s">
        <v>23</v>
      </c>
    </row>
    <row r="7521" spans="1:11" ht="42" customHeight="1">
      <c r="A7521" s="2" t="s">
        <v>14858</v>
      </c>
      <c r="B7521" s="2" t="s">
        <v>14858</v>
      </c>
      <c r="C7521" s="2" t="s">
        <v>17</v>
      </c>
      <c r="D7521" s="2" t="s">
        <v>18</v>
      </c>
      <c r="E7521" s="5">
        <v>-27902</v>
      </c>
      <c r="F7521" s="3" t="s">
        <v>221</v>
      </c>
      <c r="G7521" s="3" t="s">
        <v>27</v>
      </c>
      <c r="H7521" s="2" t="s">
        <v>21</v>
      </c>
      <c r="I7521" s="2" t="s">
        <v>14885</v>
      </c>
      <c r="J7521" s="3" t="str">
        <f>HYPERLINK("https://www.boe.es/gazeta/dias/1823/08/09/pdfs/GES-1823-122.pdf#page=2","Abrir facsímil")</f>
        <v>Abrir facsímil</v>
      </c>
      <c r="K7521" s="3" t="s">
        <v>23</v>
      </c>
    </row>
    <row r="7522" spans="1:11" ht="42" customHeight="1">
      <c r="A7522" s="2" t="s">
        <v>14858</v>
      </c>
      <c r="B7522" s="2" t="s">
        <v>14858</v>
      </c>
      <c r="C7522" s="2" t="s">
        <v>17</v>
      </c>
      <c r="D7522" s="2" t="s">
        <v>18</v>
      </c>
      <c r="E7522" s="5">
        <v>-27885</v>
      </c>
      <c r="F7522" s="3" t="s">
        <v>6503</v>
      </c>
      <c r="G7522" s="3" t="s">
        <v>27</v>
      </c>
      <c r="H7522" s="2" t="s">
        <v>21</v>
      </c>
      <c r="I7522" s="2" t="s">
        <v>14886</v>
      </c>
      <c r="J7522" s="3" t="str">
        <f>HYPERLINK("https://www.boe.es/gazeta/dias/1823/08/26/pdfs/GES-1823-139.pdf#page=2","Abrir facsímil")</f>
        <v>Abrir facsímil</v>
      </c>
      <c r="K7522" s="3" t="s">
        <v>23</v>
      </c>
    </row>
    <row r="7523" spans="1:11" ht="42" customHeight="1">
      <c r="A7523" s="2" t="s">
        <v>14858</v>
      </c>
      <c r="B7523" s="2" t="s">
        <v>14858</v>
      </c>
      <c r="C7523" s="2" t="s">
        <v>17</v>
      </c>
      <c r="D7523" s="2" t="s">
        <v>18</v>
      </c>
      <c r="E7523" s="5">
        <v>-27878</v>
      </c>
      <c r="F7523" s="3" t="s">
        <v>130</v>
      </c>
      <c r="G7523" s="3" t="s">
        <v>6596</v>
      </c>
      <c r="H7523" s="2" t="s">
        <v>21</v>
      </c>
      <c r="I7523" s="2" t="s">
        <v>14887</v>
      </c>
      <c r="J7523" s="3" t="str">
        <f>HYPERLINK("https://www.boe.es/gazeta/dias/1823/09/02/pdfs/GES-1823-146.pdf#page=4","Abrir facsímil")</f>
        <v>Abrir facsímil</v>
      </c>
      <c r="K7523" s="3" t="s">
        <v>23</v>
      </c>
    </row>
    <row r="7524" spans="1:11" ht="42" customHeight="1">
      <c r="A7524" s="2" t="s">
        <v>14888</v>
      </c>
      <c r="B7524" s="2" t="s">
        <v>14889</v>
      </c>
      <c r="C7524" s="2" t="s">
        <v>17</v>
      </c>
      <c r="D7524" s="2" t="s">
        <v>18</v>
      </c>
      <c r="E7524" s="5">
        <v>-28028</v>
      </c>
      <c r="F7524" s="3" t="s">
        <v>893</v>
      </c>
      <c r="G7524" s="3" t="s">
        <v>27</v>
      </c>
      <c r="H7524" s="2" t="s">
        <v>21</v>
      </c>
      <c r="I7524" s="2" t="s">
        <v>14890</v>
      </c>
      <c r="J7524" s="3" t="str">
        <f>HYPERLINK("https://www.boe.es/gazeta/dias/1823/04/05/pdfs/GMD-1823-99.pdf#page=2","Abrir facsímil")</f>
        <v>Abrir facsímil</v>
      </c>
      <c r="K7524" s="3" t="s">
        <v>23</v>
      </c>
    </row>
    <row r="7525" spans="1:11" ht="42" customHeight="1">
      <c r="A7525" s="2" t="s">
        <v>14891</v>
      </c>
      <c r="B7525" s="2" t="s">
        <v>14892</v>
      </c>
      <c r="C7525" s="2" t="s">
        <v>17</v>
      </c>
      <c r="D7525" s="2" t="s">
        <v>18</v>
      </c>
      <c r="E7525" s="5">
        <v>-28007</v>
      </c>
      <c r="F7525" s="3" t="s">
        <v>1190</v>
      </c>
      <c r="G7525" s="3" t="s">
        <v>20</v>
      </c>
      <c r="H7525" s="2" t="s">
        <v>21</v>
      </c>
      <c r="I7525" s="2" t="s">
        <v>14893</v>
      </c>
      <c r="J7525" s="3" t="str">
        <f>HYPERLINK("https://www.boe.es/gazeta/dias/1823/04/26/pdfs/GMD-1823-62.pdf#page=4","Abrir facsímil")</f>
        <v>Abrir facsímil</v>
      </c>
      <c r="K7525" s="3" t="s">
        <v>23</v>
      </c>
    </row>
    <row r="7526" spans="1:11" ht="42" customHeight="1">
      <c r="A7526" s="2" t="s">
        <v>14891</v>
      </c>
      <c r="B7526" s="2" t="s">
        <v>14892</v>
      </c>
      <c r="C7526" s="2" t="s">
        <v>17</v>
      </c>
      <c r="D7526" s="2" t="s">
        <v>18</v>
      </c>
      <c r="E7526" s="5">
        <v>-27887</v>
      </c>
      <c r="F7526" s="3" t="s">
        <v>1196</v>
      </c>
      <c r="G7526" s="3" t="s">
        <v>20</v>
      </c>
      <c r="H7526" s="2" t="s">
        <v>21</v>
      </c>
      <c r="I7526" s="2" t="s">
        <v>14894</v>
      </c>
      <c r="J7526" s="3" t="str">
        <f>HYPERLINK("https://www.boe.es/gazeta/dias/1823/08/24/pdfs/GES-1823-137.pdf#page=4","Abrir facsímil")</f>
        <v>Abrir facsímil</v>
      </c>
      <c r="K7526" s="3" t="s">
        <v>23</v>
      </c>
    </row>
    <row r="7527" spans="1:11" ht="42" customHeight="1">
      <c r="A7527" s="2" t="s">
        <v>14895</v>
      </c>
      <c r="B7527" s="2" t="s">
        <v>14895</v>
      </c>
      <c r="C7527" s="2" t="s">
        <v>79</v>
      </c>
      <c r="D7527" s="2" t="s">
        <v>74</v>
      </c>
      <c r="E7527" s="5">
        <v>-28060</v>
      </c>
      <c r="F7527" s="3" t="s">
        <v>180</v>
      </c>
      <c r="G7527" s="3" t="s">
        <v>39</v>
      </c>
      <c r="H7527" s="2" t="s">
        <v>21</v>
      </c>
      <c r="I7527" s="2" t="s">
        <v>14896</v>
      </c>
      <c r="J7527" s="3" t="str">
        <f>HYPERLINK("https://www.boe.es/gazeta/dias/1823/03/04/pdfs/GMD-1823-67.pdf#page=1","Abrir facsímil")</f>
        <v>Abrir facsímil</v>
      </c>
      <c r="K7527" s="3" t="s">
        <v>23</v>
      </c>
    </row>
    <row r="7528" spans="1:11" ht="42" customHeight="1">
      <c r="A7528" s="2" t="s">
        <v>14897</v>
      </c>
      <c r="B7528" s="2" t="s">
        <v>14897</v>
      </c>
      <c r="C7528" s="2" t="s">
        <v>109</v>
      </c>
      <c r="D7528" s="2" t="s">
        <v>74</v>
      </c>
      <c r="E7528" s="5">
        <v>-27964</v>
      </c>
      <c r="F7528" s="3" t="s">
        <v>58</v>
      </c>
      <c r="G7528" s="3" t="s">
        <v>39</v>
      </c>
      <c r="H7528" s="2" t="s">
        <v>21</v>
      </c>
      <c r="I7528" s="2" t="s">
        <v>14898</v>
      </c>
      <c r="J7528" s="3" t="str">
        <f>HYPERLINK("https://www.boe.es/gazeta/dias/1823/06/08/pdfs/GES-1823-62.pdf#page=1","Abrir facsímil")</f>
        <v>Abrir facsímil</v>
      </c>
      <c r="K7528" s="3" t="s">
        <v>23</v>
      </c>
    </row>
    <row r="7529" spans="1:11" ht="42" customHeight="1">
      <c r="A7529" s="2" t="s">
        <v>14899</v>
      </c>
      <c r="B7529" s="2" t="s">
        <v>14900</v>
      </c>
      <c r="C7529" s="2" t="s">
        <v>17</v>
      </c>
      <c r="D7529" s="2" t="s">
        <v>18</v>
      </c>
      <c r="E7529" s="5">
        <v>-28013</v>
      </c>
      <c r="F7529" s="3" t="s">
        <v>2466</v>
      </c>
      <c r="G7529" s="3" t="s">
        <v>2467</v>
      </c>
      <c r="H7529" s="2" t="s">
        <v>21</v>
      </c>
      <c r="I7529" s="2" t="s">
        <v>14901</v>
      </c>
      <c r="J7529" s="3" t="str">
        <f>HYPERLINK("https://www.boe.es/gazeta/dias/1823/04/20/pdfs/GES-1823-10.pdf#page=3","Abrir facsímil")</f>
        <v>Abrir facsímil</v>
      </c>
      <c r="K7529" s="3" t="s">
        <v>23</v>
      </c>
    </row>
    <row r="7530" spans="1:11" ht="42" customHeight="1">
      <c r="A7530" s="2" t="s">
        <v>14902</v>
      </c>
      <c r="B7530" s="2" t="s">
        <v>14903</v>
      </c>
      <c r="C7530" s="2" t="s">
        <v>17</v>
      </c>
      <c r="D7530" s="2" t="s">
        <v>18</v>
      </c>
      <c r="E7530" s="5">
        <v>-27877</v>
      </c>
      <c r="F7530" s="3" t="s">
        <v>844</v>
      </c>
      <c r="G7530" s="3" t="s">
        <v>48</v>
      </c>
      <c r="H7530" s="2" t="s">
        <v>21</v>
      </c>
      <c r="I7530" s="2" t="s">
        <v>14904</v>
      </c>
      <c r="J7530" s="3" t="str">
        <f>HYPERLINK("https://www.boe.es/gazeta/dias/1823/09/03/pdfs/GES-1823-147.pdf#page=3","Abrir facsímil")</f>
        <v>Abrir facsímil</v>
      </c>
      <c r="K7530" s="3" t="s">
        <v>23</v>
      </c>
    </row>
    <row r="7531" spans="1:11" ht="42" customHeight="1">
      <c r="A7531" s="2" t="s">
        <v>14905</v>
      </c>
      <c r="B7531" s="2" t="s">
        <v>14906</v>
      </c>
      <c r="C7531" s="2" t="s">
        <v>56</v>
      </c>
      <c r="D7531" s="2" t="s">
        <v>57</v>
      </c>
      <c r="E7531" s="5">
        <v>-28055</v>
      </c>
      <c r="F7531" s="3" t="s">
        <v>313</v>
      </c>
      <c r="G7531" s="3" t="s">
        <v>20</v>
      </c>
      <c r="H7531" s="2" t="s">
        <v>21</v>
      </c>
      <c r="I7531" s="2" t="s">
        <v>14907</v>
      </c>
      <c r="J7531" s="3" t="str">
        <f>HYPERLINK("https://www.boe.es/gazeta/dias/1823/03/09/pdfs/GMD-1823-72.pdf#page=4","Abrir facsímil")</f>
        <v>Abrir facsímil</v>
      </c>
      <c r="K7531" s="3" t="s">
        <v>23</v>
      </c>
    </row>
    <row r="7532" spans="1:11" ht="42" customHeight="1">
      <c r="A7532" s="2" t="s">
        <v>14908</v>
      </c>
      <c r="B7532" s="2" t="s">
        <v>14909</v>
      </c>
      <c r="C7532" s="2" t="s">
        <v>56</v>
      </c>
      <c r="D7532" s="2" t="s">
        <v>57</v>
      </c>
      <c r="E7532" s="5">
        <v>-27964</v>
      </c>
      <c r="F7532" s="3" t="s">
        <v>58</v>
      </c>
      <c r="G7532" s="3" t="s">
        <v>59</v>
      </c>
      <c r="H7532" s="2" t="s">
        <v>21</v>
      </c>
      <c r="I7532" s="2" t="s">
        <v>14910</v>
      </c>
      <c r="J7532" s="3" t="str">
        <f>HYPERLINK("https://www.boe.es/gazeta/dias/1823/06/08/pdfs/GES-1823-62.pdf#page=6","Abrir facsímil")</f>
        <v>Abrir facsímil</v>
      </c>
      <c r="K7532" s="3" t="s">
        <v>23</v>
      </c>
    </row>
    <row r="7533" spans="1:11" ht="42" customHeight="1">
      <c r="A7533" s="2" t="s">
        <v>14911</v>
      </c>
      <c r="B7533" s="2" t="s">
        <v>14912</v>
      </c>
      <c r="C7533" s="2" t="s">
        <v>56</v>
      </c>
      <c r="D7533" s="2" t="s">
        <v>57</v>
      </c>
      <c r="E7533" s="5">
        <v>-27965</v>
      </c>
      <c r="F7533" s="3" t="s">
        <v>208</v>
      </c>
      <c r="G7533" s="3" t="s">
        <v>48</v>
      </c>
      <c r="H7533" s="2" t="s">
        <v>21</v>
      </c>
      <c r="I7533" s="2" t="s">
        <v>14913</v>
      </c>
      <c r="J7533" s="3" t="str">
        <f>HYPERLINK("https://www.boe.es/gazeta/dias/1823/06/07/pdfs/GES-1823-61.pdf#page=3","Abrir facsímil")</f>
        <v>Abrir facsímil</v>
      </c>
      <c r="K7533" s="3" t="s">
        <v>23</v>
      </c>
    </row>
    <row r="7534" spans="1:11" ht="42" customHeight="1">
      <c r="A7534" s="2" t="s">
        <v>14914</v>
      </c>
      <c r="B7534" s="2" t="s">
        <v>14914</v>
      </c>
      <c r="C7534" s="2" t="s">
        <v>17</v>
      </c>
      <c r="D7534" s="2" t="s">
        <v>18</v>
      </c>
      <c r="E7534" s="5">
        <v>-28079</v>
      </c>
      <c r="F7534" s="3" t="s">
        <v>178</v>
      </c>
      <c r="G7534" s="3" t="s">
        <v>39</v>
      </c>
      <c r="H7534" s="2" t="s">
        <v>21</v>
      </c>
      <c r="I7534" s="2" t="s">
        <v>14915</v>
      </c>
      <c r="J7534" s="3" t="str">
        <f>HYPERLINK("https://www.boe.es/gazeta/dias/1823/02/13/pdfs/GMD-1823-47.pdf#page=1","Abrir facsímil")</f>
        <v>Abrir facsímil</v>
      </c>
      <c r="K7534" s="3" t="s">
        <v>23</v>
      </c>
    </row>
    <row r="7535" spans="1:11" ht="42" customHeight="1">
      <c r="A7535" s="2" t="s">
        <v>14914</v>
      </c>
      <c r="B7535" s="2" t="s">
        <v>14914</v>
      </c>
      <c r="C7535" s="2" t="s">
        <v>17</v>
      </c>
      <c r="D7535" s="2" t="s">
        <v>18</v>
      </c>
      <c r="E7535" s="5">
        <v>-28011</v>
      </c>
      <c r="F7535" s="3" t="s">
        <v>2416</v>
      </c>
      <c r="G7535" s="3" t="s">
        <v>1966</v>
      </c>
      <c r="H7535" s="2" t="s">
        <v>21</v>
      </c>
      <c r="I7535" s="2" t="s">
        <v>14916</v>
      </c>
      <c r="J7535" s="3" t="str">
        <f>HYPERLINK("https://www.boe.es/gazeta/dias/1823/04/22/pdfs/GMD-1823-42.pdf#page=4","Abrir facsímil")</f>
        <v>Abrir facsímil</v>
      </c>
      <c r="K7535" s="3" t="s">
        <v>23</v>
      </c>
    </row>
    <row r="7536" spans="1:11" ht="42" customHeight="1">
      <c r="A7536" s="2" t="s">
        <v>14914</v>
      </c>
      <c r="B7536" s="2" t="s">
        <v>14914</v>
      </c>
      <c r="C7536" s="2" t="s">
        <v>56</v>
      </c>
      <c r="D7536" s="2" t="s">
        <v>57</v>
      </c>
      <c r="E7536" s="5">
        <v>-27962</v>
      </c>
      <c r="F7536" s="3" t="s">
        <v>594</v>
      </c>
      <c r="G7536" s="3" t="s">
        <v>39</v>
      </c>
      <c r="H7536" s="2" t="s">
        <v>21</v>
      </c>
      <c r="I7536" s="2" t="s">
        <v>14917</v>
      </c>
      <c r="J7536" s="3" t="str">
        <f>HYPERLINK("https://www.boe.es/gazeta/dias/1823/06/10/pdfs/GES-1823-64.pdf#page=1","Abrir facsímil")</f>
        <v>Abrir facsímil</v>
      </c>
      <c r="K7536" s="3" t="s">
        <v>23</v>
      </c>
    </row>
    <row r="7537" spans="1:11" ht="42" customHeight="1">
      <c r="A7537" s="2" t="s">
        <v>14918</v>
      </c>
      <c r="B7537" s="2" t="s">
        <v>14919</v>
      </c>
      <c r="C7537" s="2" t="s">
        <v>56</v>
      </c>
      <c r="D7537" s="2" t="s">
        <v>57</v>
      </c>
      <c r="E7537" s="5">
        <v>-27962</v>
      </c>
      <c r="F7537" s="3" t="s">
        <v>594</v>
      </c>
      <c r="G7537" s="3" t="s">
        <v>39</v>
      </c>
      <c r="H7537" s="2" t="s">
        <v>21</v>
      </c>
      <c r="I7537" s="2" t="s">
        <v>14920</v>
      </c>
      <c r="J7537" s="3" t="str">
        <f>HYPERLINK("https://www.boe.es/gazeta/dias/1823/06/10/pdfs/GES-1823-64.pdf#page=1","Abrir facsímil")</f>
        <v>Abrir facsímil</v>
      </c>
      <c r="K7537" s="3" t="s">
        <v>23</v>
      </c>
    </row>
    <row r="7538" spans="1:11" ht="42" customHeight="1">
      <c r="A7538" s="2" t="s">
        <v>14921</v>
      </c>
      <c r="B7538" s="2" t="s">
        <v>14922</v>
      </c>
      <c r="C7538" s="2" t="s">
        <v>17</v>
      </c>
      <c r="D7538" s="2" t="s">
        <v>18</v>
      </c>
      <c r="E7538" s="5">
        <v>-27991</v>
      </c>
      <c r="F7538" s="3" t="s">
        <v>328</v>
      </c>
      <c r="G7538" s="3" t="s">
        <v>34</v>
      </c>
      <c r="H7538" s="2" t="s">
        <v>21</v>
      </c>
      <c r="I7538" s="2" t="s">
        <v>14923</v>
      </c>
      <c r="J7538" s="3" t="str">
        <f>HYPERLINK("https://www.boe.es/gazeta/dias/1823/05/12/pdfs/GES-1823-32.pdf#page=5","Abrir facsímil")</f>
        <v>Abrir facsímil</v>
      </c>
      <c r="K7538" s="3" t="s">
        <v>23</v>
      </c>
    </row>
    <row r="7539" spans="1:11" ht="42" customHeight="1">
      <c r="A7539" s="2" t="s">
        <v>14921</v>
      </c>
      <c r="B7539" s="2" t="s">
        <v>14922</v>
      </c>
      <c r="C7539" s="2" t="s">
        <v>17</v>
      </c>
      <c r="D7539" s="2" t="s">
        <v>18</v>
      </c>
      <c r="E7539" s="5">
        <v>-27988</v>
      </c>
      <c r="F7539" s="3" t="s">
        <v>2022</v>
      </c>
      <c r="G7539" s="3" t="s">
        <v>27</v>
      </c>
      <c r="H7539" s="2" t="s">
        <v>21</v>
      </c>
      <c r="I7539" s="2" t="s">
        <v>14924</v>
      </c>
      <c r="J7539" s="3" t="str">
        <f>HYPERLINK("https://www.boe.es/gazeta/dias/1823/05/15/pdfs/GMD-1823-142.pdf#page=2","Abrir facsímil")</f>
        <v>Abrir facsímil</v>
      </c>
      <c r="K7539" s="3" t="s">
        <v>23</v>
      </c>
    </row>
    <row r="7540" spans="1:11" ht="42" customHeight="1">
      <c r="A7540" s="2" t="s">
        <v>14925</v>
      </c>
      <c r="B7540" s="2" t="s">
        <v>14926</v>
      </c>
      <c r="C7540" s="2" t="s">
        <v>109</v>
      </c>
      <c r="D7540" s="2" t="s">
        <v>74</v>
      </c>
      <c r="E7540" s="5">
        <v>-27832</v>
      </c>
      <c r="F7540" s="3" t="s">
        <v>1815</v>
      </c>
      <c r="G7540" s="3" t="s">
        <v>27</v>
      </c>
      <c r="H7540" s="2" t="s">
        <v>21</v>
      </c>
      <c r="I7540" s="2" t="s">
        <v>14927</v>
      </c>
      <c r="J7540" s="3" t="str">
        <f>HYPERLINK("https://www.boe.es/gazeta/dias/1823/10/18/pdfs/GMD-1823-993.pdf#page=2","Abrir facsímil")</f>
        <v>Abrir facsímil</v>
      </c>
      <c r="K7540" s="3" t="s">
        <v>23</v>
      </c>
    </row>
    <row r="7541" spans="1:11" ht="42" customHeight="1">
      <c r="A7541" s="2" t="s">
        <v>14928</v>
      </c>
      <c r="B7541" s="2" t="s">
        <v>14928</v>
      </c>
      <c r="C7541" s="2" t="s">
        <v>79</v>
      </c>
      <c r="D7541" s="2" t="s">
        <v>74</v>
      </c>
      <c r="E7541" s="5">
        <v>-28011</v>
      </c>
      <c r="F7541" s="3" t="s">
        <v>3326</v>
      </c>
      <c r="G7541" s="3" t="s">
        <v>6440</v>
      </c>
      <c r="H7541" s="2" t="s">
        <v>21</v>
      </c>
      <c r="I7541" s="2" t="s">
        <v>14929</v>
      </c>
      <c r="J7541" s="3" t="str">
        <f>HYPERLINK("https://www.boe.es/gazeta/dias/1823/04/22/pdfs/GES-1823-12.pdf#page=3","Abrir facsímil")</f>
        <v>Abrir facsímil</v>
      </c>
      <c r="K7541" s="3" t="s">
        <v>23</v>
      </c>
    </row>
    <row r="7542" spans="1:11" ht="42" customHeight="1">
      <c r="A7542" s="2" t="s">
        <v>14930</v>
      </c>
      <c r="B7542" s="2" t="s">
        <v>14930</v>
      </c>
      <c r="C7542" s="2" t="s">
        <v>17</v>
      </c>
      <c r="D7542" s="2" t="s">
        <v>18</v>
      </c>
      <c r="E7542" s="5">
        <v>-28073</v>
      </c>
      <c r="F7542" s="3" t="s">
        <v>204</v>
      </c>
      <c r="G7542" s="3" t="s">
        <v>48</v>
      </c>
      <c r="H7542" s="2" t="s">
        <v>21</v>
      </c>
      <c r="I7542" s="2" t="s">
        <v>14931</v>
      </c>
      <c r="J7542" s="3" t="str">
        <f>HYPERLINK("https://www.boe.es/gazeta/dias/1823/02/19/pdfs/GMD-1823-53.pdf#page=3","Abrir facsímil")</f>
        <v>Abrir facsímil</v>
      </c>
      <c r="K7542" s="3" t="s">
        <v>23</v>
      </c>
    </row>
    <row r="7543" spans="1:11" ht="42" customHeight="1">
      <c r="A7543" s="2" t="s">
        <v>14932</v>
      </c>
      <c r="B7543" s="2" t="s">
        <v>14932</v>
      </c>
      <c r="C7543" s="2" t="s">
        <v>17</v>
      </c>
      <c r="D7543" s="2" t="s">
        <v>18</v>
      </c>
      <c r="E7543" s="5">
        <v>-27918</v>
      </c>
      <c r="F7543" s="3" t="s">
        <v>218</v>
      </c>
      <c r="G7543" s="3" t="s">
        <v>20</v>
      </c>
      <c r="H7543" s="2" t="s">
        <v>21</v>
      </c>
      <c r="I7543" s="2" t="s">
        <v>14933</v>
      </c>
      <c r="J7543" s="3" t="str">
        <f>HYPERLINK("https://www.boe.es/gazeta/dias/1823/07/24/pdfs/GMD-1823-463.pdf#page=4","Abrir facsímil")</f>
        <v>Abrir facsímil</v>
      </c>
      <c r="K7543" s="3" t="s">
        <v>23</v>
      </c>
    </row>
    <row r="7544" spans="1:11" ht="42" customHeight="1">
      <c r="A7544" s="2" t="s">
        <v>14934</v>
      </c>
      <c r="B7544" s="2" t="s">
        <v>14934</v>
      </c>
      <c r="C7544" s="2" t="s">
        <v>56</v>
      </c>
      <c r="D7544" s="2" t="s">
        <v>57</v>
      </c>
      <c r="E7544" s="5">
        <v>-28073</v>
      </c>
      <c r="F7544" s="3" t="s">
        <v>204</v>
      </c>
      <c r="G7544" s="3" t="s">
        <v>48</v>
      </c>
      <c r="H7544" s="2" t="s">
        <v>21</v>
      </c>
      <c r="I7544" s="2" t="s">
        <v>14935</v>
      </c>
      <c r="J7544" s="3" t="str">
        <f>HYPERLINK("https://www.boe.es/gazeta/dias/1823/02/19/pdfs/GMD-1823-53.pdf#page=3","Abrir facsímil")</f>
        <v>Abrir facsímil</v>
      </c>
      <c r="K7544" s="3" t="s">
        <v>23</v>
      </c>
    </row>
    <row r="7545" spans="1:11" ht="42" customHeight="1">
      <c r="A7545" s="2" t="s">
        <v>14934</v>
      </c>
      <c r="B7545" s="2" t="s">
        <v>14934</v>
      </c>
      <c r="C7545" s="2" t="s">
        <v>17</v>
      </c>
      <c r="D7545" s="2" t="s">
        <v>18</v>
      </c>
      <c r="E7545" s="5">
        <v>-28071</v>
      </c>
      <c r="F7545" s="3" t="s">
        <v>587</v>
      </c>
      <c r="G7545" s="3" t="s">
        <v>39</v>
      </c>
      <c r="H7545" s="2" t="s">
        <v>21</v>
      </c>
      <c r="I7545" s="2" t="s">
        <v>14936</v>
      </c>
      <c r="J7545" s="3" t="str">
        <f>HYPERLINK("https://www.boe.es/gazeta/dias/1823/02/21/pdfs/GMD-1823-55.pdf#page=1","Abrir facsímil")</f>
        <v>Abrir facsímil</v>
      </c>
      <c r="K7545" s="3" t="s">
        <v>23</v>
      </c>
    </row>
    <row r="7546" spans="1:11" ht="42" customHeight="1">
      <c r="A7546" s="2" t="s">
        <v>14934</v>
      </c>
      <c r="B7546" s="2" t="s">
        <v>14934</v>
      </c>
      <c r="C7546" s="2" t="s">
        <v>17</v>
      </c>
      <c r="D7546" s="2" t="s">
        <v>18</v>
      </c>
      <c r="E7546" s="5">
        <v>-28068</v>
      </c>
      <c r="F7546" s="3" t="s">
        <v>1325</v>
      </c>
      <c r="G7546" s="3" t="s">
        <v>39</v>
      </c>
      <c r="H7546" s="2" t="s">
        <v>21</v>
      </c>
      <c r="I7546" s="2" t="s">
        <v>14937</v>
      </c>
      <c r="J7546" s="3" t="str">
        <f>HYPERLINK("https://www.boe.es/gazeta/dias/1823/02/24/pdfs/GMD-1823-58.pdf#page=1","Abrir facsímil")</f>
        <v>Abrir facsímil</v>
      </c>
      <c r="K7546" s="3" t="s">
        <v>23</v>
      </c>
    </row>
    <row r="7547" spans="1:11" ht="42" customHeight="1">
      <c r="A7547" s="2" t="s">
        <v>14934</v>
      </c>
      <c r="B7547" s="2" t="s">
        <v>14934</v>
      </c>
      <c r="C7547" s="2" t="s">
        <v>17</v>
      </c>
      <c r="D7547" s="2" t="s">
        <v>18</v>
      </c>
      <c r="E7547" s="5">
        <v>-28068</v>
      </c>
      <c r="F7547" s="3" t="s">
        <v>1325</v>
      </c>
      <c r="G7547" s="3" t="s">
        <v>27</v>
      </c>
      <c r="H7547" s="2" t="s">
        <v>21</v>
      </c>
      <c r="I7547" s="2" t="s">
        <v>14938</v>
      </c>
      <c r="J7547" s="3" t="str">
        <f>HYPERLINK("https://www.boe.es/gazeta/dias/1823/02/24/pdfs/GMD-1823-58.pdf#page=2","Abrir facsímil")</f>
        <v>Abrir facsímil</v>
      </c>
      <c r="K7547" s="3" t="s">
        <v>23</v>
      </c>
    </row>
    <row r="7548" spans="1:11" ht="42" customHeight="1">
      <c r="A7548" s="2" t="s">
        <v>14934</v>
      </c>
      <c r="B7548" s="2" t="s">
        <v>14934</v>
      </c>
      <c r="C7548" s="2" t="s">
        <v>17</v>
      </c>
      <c r="D7548" s="2" t="s">
        <v>18</v>
      </c>
      <c r="E7548" s="5">
        <v>-28063</v>
      </c>
      <c r="F7548" s="3" t="s">
        <v>2493</v>
      </c>
      <c r="G7548" s="3" t="s">
        <v>48</v>
      </c>
      <c r="H7548" s="2" t="s">
        <v>21</v>
      </c>
      <c r="I7548" s="2" t="s">
        <v>14939</v>
      </c>
      <c r="J7548" s="3" t="str">
        <f>HYPERLINK("https://www.boe.es/gazeta/dias/1823/03/01/pdfs/GMD-1823-63.pdf#page=3","Abrir facsímil")</f>
        <v>Abrir facsímil</v>
      </c>
      <c r="K7548" s="3" t="s">
        <v>23</v>
      </c>
    </row>
    <row r="7549" spans="1:11" ht="42" customHeight="1">
      <c r="A7549" s="2" t="s">
        <v>14934</v>
      </c>
      <c r="B7549" s="2" t="s">
        <v>14934</v>
      </c>
      <c r="C7549" s="2" t="s">
        <v>79</v>
      </c>
      <c r="D7549" s="2" t="s">
        <v>74</v>
      </c>
      <c r="E7549" s="5">
        <v>-28048</v>
      </c>
      <c r="F7549" s="3" t="s">
        <v>399</v>
      </c>
      <c r="G7549" s="3" t="s">
        <v>27</v>
      </c>
      <c r="H7549" s="2" t="s">
        <v>21</v>
      </c>
      <c r="I7549" s="2" t="s">
        <v>14940</v>
      </c>
      <c r="J7549" s="3" t="str">
        <f>HYPERLINK("https://www.boe.es/gazeta/dias/1823/03/16/pdfs/GMD-1823-79.pdf#page=2","Abrir facsímil")</f>
        <v>Abrir facsímil</v>
      </c>
      <c r="K7549" s="3" t="s">
        <v>23</v>
      </c>
    </row>
    <row r="7550" spans="1:11" ht="42" customHeight="1">
      <c r="A7550" s="2" t="s">
        <v>14934</v>
      </c>
      <c r="B7550" s="2" t="s">
        <v>14934</v>
      </c>
      <c r="C7550" s="2" t="s">
        <v>56</v>
      </c>
      <c r="D7550" s="2" t="s">
        <v>57</v>
      </c>
      <c r="E7550" s="5">
        <v>-28047</v>
      </c>
      <c r="F7550" s="3" t="s">
        <v>2269</v>
      </c>
      <c r="G7550" s="3" t="s">
        <v>27</v>
      </c>
      <c r="H7550" s="2" t="s">
        <v>21</v>
      </c>
      <c r="I7550" s="2" t="s">
        <v>14941</v>
      </c>
      <c r="J7550" s="3" t="str">
        <f>HYPERLINK("https://www.boe.es/gazeta/dias/1823/03/17/pdfs/GMD-1823-80.pdf#page=2","Abrir facsímil")</f>
        <v>Abrir facsímil</v>
      </c>
      <c r="K7550" s="3" t="s">
        <v>23</v>
      </c>
    </row>
    <row r="7551" spans="1:11" ht="42" customHeight="1">
      <c r="A7551" s="2" t="s">
        <v>14934</v>
      </c>
      <c r="B7551" s="2" t="s">
        <v>14934</v>
      </c>
      <c r="C7551" s="2" t="s">
        <v>79</v>
      </c>
      <c r="D7551" s="2" t="s">
        <v>74</v>
      </c>
      <c r="E7551" s="5">
        <v>-27967</v>
      </c>
      <c r="F7551" s="3" t="s">
        <v>412</v>
      </c>
      <c r="G7551" s="3" t="s">
        <v>39</v>
      </c>
      <c r="H7551" s="2" t="s">
        <v>21</v>
      </c>
      <c r="I7551" s="2" t="s">
        <v>14942</v>
      </c>
      <c r="J7551" s="3" t="str">
        <f>HYPERLINK("https://www.boe.es/gazeta/dias/1823/06/05/pdfs/GES-1823-59.pdf#page=1","Abrir facsímil")</f>
        <v>Abrir facsímil</v>
      </c>
      <c r="K7551" s="3" t="s">
        <v>23</v>
      </c>
    </row>
    <row r="7552" spans="1:11" ht="42" customHeight="1">
      <c r="A7552" s="2" t="s">
        <v>14934</v>
      </c>
      <c r="B7552" s="2" t="s">
        <v>14934</v>
      </c>
      <c r="C7552" s="2" t="s">
        <v>56</v>
      </c>
      <c r="D7552" s="2" t="s">
        <v>57</v>
      </c>
      <c r="E7552" s="5">
        <v>-27967</v>
      </c>
      <c r="F7552" s="3" t="s">
        <v>412</v>
      </c>
      <c r="G7552" s="3" t="s">
        <v>27</v>
      </c>
      <c r="H7552" s="2" t="s">
        <v>21</v>
      </c>
      <c r="I7552" s="2" t="s">
        <v>14943</v>
      </c>
      <c r="J7552" s="3" t="str">
        <f>HYPERLINK("https://www.boe.es/gazeta/dias/1823/06/05/pdfs/GES-1823-59.pdf#page=2","Abrir facsímil")</f>
        <v>Abrir facsímil</v>
      </c>
      <c r="K7552" s="3" t="s">
        <v>23</v>
      </c>
    </row>
    <row r="7553" spans="1:11" ht="42" customHeight="1">
      <c r="A7553" s="2" t="s">
        <v>14934</v>
      </c>
      <c r="B7553" s="2" t="s">
        <v>14934</v>
      </c>
      <c r="C7553" s="2" t="s">
        <v>56</v>
      </c>
      <c r="D7553" s="2" t="s">
        <v>57</v>
      </c>
      <c r="E7553" s="5">
        <v>-27964</v>
      </c>
      <c r="F7553" s="3" t="s">
        <v>58</v>
      </c>
      <c r="G7553" s="3" t="s">
        <v>48</v>
      </c>
      <c r="H7553" s="2" t="s">
        <v>21</v>
      </c>
      <c r="I7553" s="2" t="s">
        <v>14944</v>
      </c>
      <c r="J7553" s="3" t="str">
        <f>HYPERLINK("https://www.boe.es/gazeta/dias/1823/06/08/pdfs/GES-1823-62.pdf#page=3","Abrir facsímil")</f>
        <v>Abrir facsímil</v>
      </c>
      <c r="K7553" s="3" t="s">
        <v>23</v>
      </c>
    </row>
    <row r="7554" spans="1:11" ht="42" customHeight="1">
      <c r="A7554" s="2" t="s">
        <v>14934</v>
      </c>
      <c r="B7554" s="2" t="s">
        <v>14934</v>
      </c>
      <c r="C7554" s="2" t="s">
        <v>109</v>
      </c>
      <c r="D7554" s="2" t="s">
        <v>74</v>
      </c>
      <c r="E7554" s="5">
        <v>-27964</v>
      </c>
      <c r="F7554" s="3" t="s">
        <v>58</v>
      </c>
      <c r="G7554" s="3" t="s">
        <v>20</v>
      </c>
      <c r="H7554" s="2" t="s">
        <v>21</v>
      </c>
      <c r="I7554" s="2" t="s">
        <v>14945</v>
      </c>
      <c r="J7554" s="3" t="str">
        <f>HYPERLINK("https://www.boe.es/gazeta/dias/1823/06/08/pdfs/GES-1823-62.pdf#page=4","Abrir facsímil")</f>
        <v>Abrir facsímil</v>
      </c>
      <c r="K7554" s="3" t="s">
        <v>23</v>
      </c>
    </row>
    <row r="7555" spans="1:11" ht="42" customHeight="1">
      <c r="A7555" s="2" t="s">
        <v>14946</v>
      </c>
      <c r="B7555" s="2" t="s">
        <v>14946</v>
      </c>
      <c r="C7555" s="2" t="s">
        <v>17</v>
      </c>
      <c r="D7555" s="2" t="s">
        <v>18</v>
      </c>
      <c r="E7555" s="5">
        <v>-28056</v>
      </c>
      <c r="F7555" s="3" t="s">
        <v>572</v>
      </c>
      <c r="G7555" s="3" t="s">
        <v>34</v>
      </c>
      <c r="H7555" s="2" t="s">
        <v>21</v>
      </c>
      <c r="I7555" s="2" t="s">
        <v>14947</v>
      </c>
      <c r="J7555" s="3" t="str">
        <f>HYPERLINK("https://www.boe.es/gazeta/dias/1823/03/08/pdfs/GMD-1823-71.pdf#page=5","Abrir facsímil")</f>
        <v>Abrir facsímil</v>
      </c>
      <c r="K7555" s="3" t="s">
        <v>23</v>
      </c>
    </row>
    <row r="7556" spans="1:11" ht="42" customHeight="1">
      <c r="A7556" s="2" t="s">
        <v>14946</v>
      </c>
      <c r="B7556" s="2" t="s">
        <v>14946</v>
      </c>
      <c r="C7556" s="2" t="s">
        <v>17</v>
      </c>
      <c r="D7556" s="2" t="s">
        <v>18</v>
      </c>
      <c r="E7556" s="5">
        <v>-28055</v>
      </c>
      <c r="F7556" s="3" t="s">
        <v>313</v>
      </c>
      <c r="G7556" s="3" t="s">
        <v>27</v>
      </c>
      <c r="H7556" s="2" t="s">
        <v>21</v>
      </c>
      <c r="I7556" s="2" t="s">
        <v>14948</v>
      </c>
      <c r="J7556" s="3" t="str">
        <f>HYPERLINK("https://www.boe.es/gazeta/dias/1823/03/09/pdfs/GMD-1823-72.pdf#page=2","Abrir facsímil")</f>
        <v>Abrir facsímil</v>
      </c>
      <c r="K7556" s="3" t="s">
        <v>23</v>
      </c>
    </row>
    <row r="7557" spans="1:11" ht="42" customHeight="1">
      <c r="A7557" s="2" t="s">
        <v>14946</v>
      </c>
      <c r="B7557" s="2" t="s">
        <v>14946</v>
      </c>
      <c r="C7557" s="2" t="s">
        <v>17</v>
      </c>
      <c r="D7557" s="2" t="s">
        <v>18</v>
      </c>
      <c r="E7557" s="5">
        <v>-28004</v>
      </c>
      <c r="F7557" s="3" t="s">
        <v>33</v>
      </c>
      <c r="G7557" s="3" t="s">
        <v>34</v>
      </c>
      <c r="H7557" s="2" t="s">
        <v>21</v>
      </c>
      <c r="I7557" s="2" t="s">
        <v>14949</v>
      </c>
      <c r="J7557" s="3" t="str">
        <f>HYPERLINK("https://www.boe.es/gazeta/dias/1823/04/29/pdfs/GES-1823-19.pdf#page=5","Abrir facsímil")</f>
        <v>Abrir facsímil</v>
      </c>
      <c r="K7557" s="3" t="s">
        <v>23</v>
      </c>
    </row>
    <row r="7558" spans="1:11" ht="42" customHeight="1">
      <c r="A7558" s="2" t="s">
        <v>14946</v>
      </c>
      <c r="B7558" s="2" t="s">
        <v>14946</v>
      </c>
      <c r="C7558" s="2" t="s">
        <v>17</v>
      </c>
      <c r="D7558" s="2" t="s">
        <v>18</v>
      </c>
      <c r="E7558" s="5">
        <v>-27997</v>
      </c>
      <c r="F7558" s="3" t="s">
        <v>937</v>
      </c>
      <c r="G7558" s="3" t="s">
        <v>48</v>
      </c>
      <c r="H7558" s="2" t="s">
        <v>21</v>
      </c>
      <c r="I7558" s="2" t="s">
        <v>14950</v>
      </c>
      <c r="J7558" s="3" t="str">
        <f>HYPERLINK("https://www.boe.es/gazeta/dias/1823/05/06/pdfs/GMD-1823-102.pdf#page=3","Abrir facsímil")</f>
        <v>Abrir facsímil</v>
      </c>
      <c r="K7558" s="3" t="s">
        <v>23</v>
      </c>
    </row>
    <row r="7559" spans="1:11" ht="42" customHeight="1">
      <c r="A7559" s="2" t="s">
        <v>14946</v>
      </c>
      <c r="B7559" s="2" t="s">
        <v>14946</v>
      </c>
      <c r="C7559" s="2" t="s">
        <v>109</v>
      </c>
      <c r="D7559" s="2" t="s">
        <v>74</v>
      </c>
      <c r="E7559" s="5">
        <v>-27996</v>
      </c>
      <c r="F7559" s="3" t="s">
        <v>695</v>
      </c>
      <c r="G7559" s="3" t="s">
        <v>27</v>
      </c>
      <c r="H7559" s="2" t="s">
        <v>21</v>
      </c>
      <c r="I7559" s="2" t="s">
        <v>14951</v>
      </c>
      <c r="J7559" s="3" t="str">
        <f>HYPERLINK("https://www.boe.es/gazeta/dias/1823/05/07/pdfs/GES-1823-27.pdf#page=2","Abrir facsímil")</f>
        <v>Abrir facsímil</v>
      </c>
      <c r="K7559" s="3" t="s">
        <v>23</v>
      </c>
    </row>
    <row r="7560" spans="1:11" ht="42" customHeight="1">
      <c r="A7560" s="2" t="s">
        <v>14946</v>
      </c>
      <c r="B7560" s="2" t="s">
        <v>14946</v>
      </c>
      <c r="C7560" s="2" t="s">
        <v>109</v>
      </c>
      <c r="D7560" s="2" t="s">
        <v>74</v>
      </c>
      <c r="E7560" s="5">
        <v>-27972</v>
      </c>
      <c r="F7560" s="3" t="s">
        <v>429</v>
      </c>
      <c r="G7560" s="3" t="s">
        <v>39</v>
      </c>
      <c r="H7560" s="2" t="s">
        <v>21</v>
      </c>
      <c r="I7560" s="2" t="s">
        <v>14952</v>
      </c>
      <c r="J7560" s="3" t="str">
        <f>HYPERLINK("https://www.boe.es/gazeta/dias/1823/05/31/pdfs/GES-1823-54.pdf#page=1","Abrir facsímil")</f>
        <v>Abrir facsímil</v>
      </c>
      <c r="K7560" s="3" t="s">
        <v>23</v>
      </c>
    </row>
    <row r="7561" spans="1:11" ht="42" customHeight="1">
      <c r="A7561" s="2" t="s">
        <v>14946</v>
      </c>
      <c r="B7561" s="2" t="s">
        <v>14946</v>
      </c>
      <c r="C7561" s="2" t="s">
        <v>109</v>
      </c>
      <c r="D7561" s="2" t="s">
        <v>74</v>
      </c>
      <c r="E7561" s="5">
        <v>-27962</v>
      </c>
      <c r="F7561" s="3" t="s">
        <v>594</v>
      </c>
      <c r="G7561" s="3" t="s">
        <v>27</v>
      </c>
      <c r="H7561" s="2" t="s">
        <v>21</v>
      </c>
      <c r="I7561" s="2" t="s">
        <v>14953</v>
      </c>
      <c r="J7561" s="3" t="str">
        <f>HYPERLINK("https://www.boe.es/gazeta/dias/1823/06/10/pdfs/GES-1823-64.pdf#page=2","Abrir facsímil")</f>
        <v>Abrir facsímil</v>
      </c>
      <c r="K7561" s="3" t="s">
        <v>23</v>
      </c>
    </row>
    <row r="7562" spans="1:11" ht="42" customHeight="1">
      <c r="A7562" s="2" t="s">
        <v>14946</v>
      </c>
      <c r="B7562" s="2" t="s">
        <v>14946</v>
      </c>
      <c r="C7562" s="2" t="s">
        <v>17</v>
      </c>
      <c r="D7562" s="2" t="s">
        <v>18</v>
      </c>
      <c r="E7562" s="5">
        <v>-27960</v>
      </c>
      <c r="F7562" s="3" t="s">
        <v>741</v>
      </c>
      <c r="G7562" s="3" t="s">
        <v>27</v>
      </c>
      <c r="H7562" s="2" t="s">
        <v>21</v>
      </c>
      <c r="I7562" s="2" t="s">
        <v>14954</v>
      </c>
      <c r="J7562" s="3" t="str">
        <f>HYPERLINK("https://www.boe.es/gazeta/dias/1823/06/12/pdfs/GES-1823-66.pdf#page=2","Abrir facsímil")</f>
        <v>Abrir facsímil</v>
      </c>
      <c r="K7562" s="3" t="s">
        <v>23</v>
      </c>
    </row>
    <row r="7563" spans="1:11" ht="42" customHeight="1">
      <c r="A7563" s="2" t="s">
        <v>14946</v>
      </c>
      <c r="B7563" s="2" t="s">
        <v>14946</v>
      </c>
      <c r="C7563" s="2" t="s">
        <v>17</v>
      </c>
      <c r="D7563" s="2" t="s">
        <v>18</v>
      </c>
      <c r="E7563" s="5">
        <v>-27938</v>
      </c>
      <c r="F7563" s="3" t="s">
        <v>101</v>
      </c>
      <c r="G7563" s="3" t="s">
        <v>27</v>
      </c>
      <c r="H7563" s="2" t="s">
        <v>21</v>
      </c>
      <c r="I7563" s="2" t="s">
        <v>14955</v>
      </c>
      <c r="J7563" s="3" t="str">
        <f>HYPERLINK("https://www.boe.es/gazeta/dias/1823/07/04/pdfs/GES-1823-84.pdf#page=2","Abrir facsímil")</f>
        <v>Abrir facsímil</v>
      </c>
      <c r="K7563" s="3" t="s">
        <v>23</v>
      </c>
    </row>
    <row r="7564" spans="1:11" ht="42" customHeight="1">
      <c r="A7564" s="2" t="s">
        <v>14946</v>
      </c>
      <c r="B7564" s="2" t="s">
        <v>14946</v>
      </c>
      <c r="C7564" s="2" t="s">
        <v>17</v>
      </c>
      <c r="D7564" s="2" t="s">
        <v>18</v>
      </c>
      <c r="E7564" s="5">
        <v>-27927</v>
      </c>
      <c r="F7564" s="3" t="s">
        <v>1426</v>
      </c>
      <c r="G7564" s="3" t="s">
        <v>27</v>
      </c>
      <c r="H7564" s="2" t="s">
        <v>21</v>
      </c>
      <c r="I7564" s="2" t="s">
        <v>14956</v>
      </c>
      <c r="J7564" s="3" t="str">
        <f>HYPERLINK("https://www.boe.es/gazeta/dias/1823/07/15/pdfs/GES-1823-95.pdf#page=2","Abrir facsímil")</f>
        <v>Abrir facsímil</v>
      </c>
      <c r="K7564" s="3" t="s">
        <v>23</v>
      </c>
    </row>
    <row r="7565" spans="1:11" ht="42" customHeight="1">
      <c r="A7565" s="2" t="s">
        <v>14946</v>
      </c>
      <c r="B7565" s="2" t="s">
        <v>14946</v>
      </c>
      <c r="C7565" s="2" t="s">
        <v>17</v>
      </c>
      <c r="D7565" s="2" t="s">
        <v>18</v>
      </c>
      <c r="E7565" s="5">
        <v>-27919</v>
      </c>
      <c r="F7565" s="3" t="s">
        <v>361</v>
      </c>
      <c r="G7565" s="3" t="s">
        <v>39</v>
      </c>
      <c r="H7565" s="2" t="s">
        <v>21</v>
      </c>
      <c r="I7565" s="2" t="s">
        <v>14957</v>
      </c>
      <c r="J7565" s="3" t="str">
        <f>HYPERLINK("https://www.boe.es/gazeta/dias/1823/07/23/pdfs/GES-1823-104.pdf#page=1","Abrir facsímil")</f>
        <v>Abrir facsímil</v>
      </c>
      <c r="K7565" s="3" t="s">
        <v>23</v>
      </c>
    </row>
    <row r="7566" spans="1:11" ht="42" customHeight="1">
      <c r="A7566" s="2" t="s">
        <v>14946</v>
      </c>
      <c r="B7566" s="2" t="s">
        <v>14946</v>
      </c>
      <c r="C7566" s="2" t="s">
        <v>109</v>
      </c>
      <c r="D7566" s="2" t="s">
        <v>74</v>
      </c>
      <c r="E7566" s="5">
        <v>-27911</v>
      </c>
      <c r="F7566" s="3" t="s">
        <v>368</v>
      </c>
      <c r="G7566" s="3" t="s">
        <v>48</v>
      </c>
      <c r="H7566" s="2" t="s">
        <v>21</v>
      </c>
      <c r="I7566" s="2" t="s">
        <v>14958</v>
      </c>
      <c r="J7566" s="3" t="str">
        <f>HYPERLINK("https://www.boe.es/gazeta/dias/1823/07/31/pdfs/GES-1823-112.pdf#page=3","Abrir facsímil")</f>
        <v>Abrir facsímil</v>
      </c>
      <c r="K7566" s="3" t="s">
        <v>23</v>
      </c>
    </row>
    <row r="7567" spans="1:11" ht="42" customHeight="1">
      <c r="A7567" s="2" t="s">
        <v>14946</v>
      </c>
      <c r="B7567" s="2" t="s">
        <v>14946</v>
      </c>
      <c r="C7567" s="2" t="s">
        <v>73</v>
      </c>
      <c r="D7567" s="2" t="s">
        <v>74</v>
      </c>
      <c r="E7567" s="5">
        <v>-27908</v>
      </c>
      <c r="F7567" s="3" t="s">
        <v>80</v>
      </c>
      <c r="G7567" s="3" t="s">
        <v>39</v>
      </c>
      <c r="H7567" s="2" t="s">
        <v>21</v>
      </c>
      <c r="I7567" s="2" t="s">
        <v>14959</v>
      </c>
      <c r="J7567" s="3" t="str">
        <f>HYPERLINK("https://www.boe.es/gazeta/dias/1823/08/03/pdfs/GES-1823-115.pdf#page=1","Abrir facsímil")</f>
        <v>Abrir facsímil</v>
      </c>
      <c r="K7567" s="3" t="s">
        <v>23</v>
      </c>
    </row>
    <row r="7568" spans="1:11" ht="42" customHeight="1">
      <c r="A7568" s="2" t="s">
        <v>14946</v>
      </c>
      <c r="B7568" s="2" t="s">
        <v>14946</v>
      </c>
      <c r="C7568" s="2" t="s">
        <v>56</v>
      </c>
      <c r="D7568" s="2" t="s">
        <v>57</v>
      </c>
      <c r="E7568" s="5">
        <v>-27908</v>
      </c>
      <c r="F7568" s="3" t="s">
        <v>80</v>
      </c>
      <c r="G7568" s="3" t="s">
        <v>27</v>
      </c>
      <c r="H7568" s="2" t="s">
        <v>21</v>
      </c>
      <c r="I7568" s="2" t="s">
        <v>14960</v>
      </c>
      <c r="J7568" s="3" t="str">
        <f>HYPERLINK("https://www.boe.es/gazeta/dias/1823/08/03/pdfs/GES-1823-115.pdf#page=2","Abrir facsímil")</f>
        <v>Abrir facsímil</v>
      </c>
      <c r="K7568" s="3" t="s">
        <v>23</v>
      </c>
    </row>
    <row r="7569" spans="1:11" ht="42" customHeight="1">
      <c r="A7569" s="2" t="s">
        <v>14946</v>
      </c>
      <c r="B7569" s="2" t="s">
        <v>14946</v>
      </c>
      <c r="C7569" s="2" t="s">
        <v>109</v>
      </c>
      <c r="D7569" s="2" t="s">
        <v>74</v>
      </c>
      <c r="E7569" s="5">
        <v>-27907</v>
      </c>
      <c r="F7569" s="3" t="s">
        <v>370</v>
      </c>
      <c r="G7569" s="3" t="s">
        <v>39</v>
      </c>
      <c r="H7569" s="2" t="s">
        <v>21</v>
      </c>
      <c r="I7569" s="2" t="s">
        <v>14961</v>
      </c>
      <c r="J7569" s="3" t="str">
        <f>HYPERLINK("https://www.boe.es/gazeta/dias/1823/08/04/pdfs/GES-1823-116.pdf#page=1","Abrir facsímil")</f>
        <v>Abrir facsímil</v>
      </c>
      <c r="K7569" s="3" t="s">
        <v>23</v>
      </c>
    </row>
    <row r="7570" spans="1:11" ht="42" customHeight="1">
      <c r="A7570" s="2" t="s">
        <v>14962</v>
      </c>
      <c r="B7570" s="2" t="s">
        <v>14963</v>
      </c>
      <c r="C7570" s="2" t="s">
        <v>17</v>
      </c>
      <c r="D7570" s="2" t="s">
        <v>18</v>
      </c>
      <c r="E7570" s="5">
        <v>-28071</v>
      </c>
      <c r="F7570" s="3" t="s">
        <v>587</v>
      </c>
      <c r="G7570" s="3" t="s">
        <v>27</v>
      </c>
      <c r="H7570" s="2" t="s">
        <v>21</v>
      </c>
      <c r="I7570" s="2" t="s">
        <v>14964</v>
      </c>
      <c r="J7570" s="3" t="str">
        <f>HYPERLINK("https://www.boe.es/gazeta/dias/1823/02/21/pdfs/GMD-1823-55.pdf#page=2","Abrir facsímil")</f>
        <v>Abrir facsímil</v>
      </c>
      <c r="K7570" s="3" t="s">
        <v>23</v>
      </c>
    </row>
    <row r="7571" spans="1:11" ht="42" customHeight="1">
      <c r="A7571" s="2" t="s">
        <v>14962</v>
      </c>
      <c r="B7571" s="2" t="s">
        <v>14963</v>
      </c>
      <c r="C7571" s="2" t="s">
        <v>56</v>
      </c>
      <c r="D7571" s="2" t="s">
        <v>57</v>
      </c>
      <c r="E7571" s="5">
        <v>-28066</v>
      </c>
      <c r="F7571" s="3" t="s">
        <v>19</v>
      </c>
      <c r="G7571" s="3" t="s">
        <v>48</v>
      </c>
      <c r="H7571" s="2" t="s">
        <v>21</v>
      </c>
      <c r="I7571" s="2" t="s">
        <v>14965</v>
      </c>
      <c r="J7571" s="3" t="str">
        <f>HYPERLINK("https://www.boe.es/gazeta/dias/1823/02/26/pdfs/GMD-1823-60.pdf#page=3","Abrir facsímil")</f>
        <v>Abrir facsímil</v>
      </c>
      <c r="K7571" s="3" t="s">
        <v>23</v>
      </c>
    </row>
    <row r="7572" spans="1:11" ht="42" customHeight="1">
      <c r="A7572" s="2" t="s">
        <v>14966</v>
      </c>
      <c r="B7572" s="2" t="s">
        <v>14967</v>
      </c>
      <c r="C7572" s="2" t="s">
        <v>79</v>
      </c>
      <c r="D7572" s="2" t="s">
        <v>74</v>
      </c>
      <c r="E7572" s="5">
        <v>-27962</v>
      </c>
      <c r="F7572" s="3" t="s">
        <v>594</v>
      </c>
      <c r="G7572" s="3" t="s">
        <v>27</v>
      </c>
      <c r="H7572" s="2" t="s">
        <v>21</v>
      </c>
      <c r="I7572" s="2" t="s">
        <v>14968</v>
      </c>
      <c r="J7572" s="3" t="str">
        <f>HYPERLINK("https://www.boe.es/gazeta/dias/1823/06/10/pdfs/GES-1823-64.pdf#page=2","Abrir facsímil")</f>
        <v>Abrir facsímil</v>
      </c>
      <c r="K7572" s="3" t="s">
        <v>23</v>
      </c>
    </row>
    <row r="7573" spans="1:11" ht="42" customHeight="1">
      <c r="A7573" s="2" t="s">
        <v>14969</v>
      </c>
      <c r="B7573" s="2" t="s">
        <v>14969</v>
      </c>
      <c r="C7573" s="2" t="s">
        <v>17</v>
      </c>
      <c r="D7573" s="2" t="s">
        <v>117</v>
      </c>
      <c r="E7573" s="5">
        <v>-27966</v>
      </c>
      <c r="F7573" s="3" t="s">
        <v>962</v>
      </c>
      <c r="G7573" s="3" t="s">
        <v>39</v>
      </c>
      <c r="H7573" s="2" t="s">
        <v>21</v>
      </c>
      <c r="I7573" s="2" t="s">
        <v>14970</v>
      </c>
      <c r="J7573" s="3" t="str">
        <f>HYPERLINK("https://www.boe.es/gazeta/dias/1823/06/06/pdfs/GMD-1823-73E.pdf#page=1","Abrir facsímil")</f>
        <v>Abrir facsímil</v>
      </c>
      <c r="K7573" s="3" t="s">
        <v>23</v>
      </c>
    </row>
    <row r="7574" spans="1:11" ht="42" customHeight="1">
      <c r="A7574" s="2" t="s">
        <v>14971</v>
      </c>
      <c r="B7574" s="2" t="s">
        <v>14971</v>
      </c>
      <c r="C7574" s="2" t="s">
        <v>79</v>
      </c>
      <c r="D7574" s="2" t="s">
        <v>74</v>
      </c>
      <c r="E7574" s="5">
        <v>-27934</v>
      </c>
      <c r="F7574" s="3" t="s">
        <v>634</v>
      </c>
      <c r="G7574" s="3" t="s">
        <v>20</v>
      </c>
      <c r="H7574" s="2" t="s">
        <v>21</v>
      </c>
      <c r="I7574" s="2" t="s">
        <v>14972</v>
      </c>
      <c r="J7574" s="3" t="str">
        <f>HYPERLINK("https://www.boe.es/gazeta/dias/1823/07/08/pdfs/GMD-1823-353.pdf#page=4","Abrir facsímil")</f>
        <v>Abrir facsímil</v>
      </c>
      <c r="K7574" s="3" t="s">
        <v>23</v>
      </c>
    </row>
    <row r="7575" spans="1:11" ht="42" customHeight="1">
      <c r="A7575" s="2" t="s">
        <v>14971</v>
      </c>
      <c r="B7575" s="2" t="s">
        <v>14971</v>
      </c>
      <c r="C7575" s="2" t="s">
        <v>17</v>
      </c>
      <c r="D7575" s="2" t="s">
        <v>18</v>
      </c>
      <c r="E7575" s="5">
        <v>-27895</v>
      </c>
      <c r="F7575" s="3" t="s">
        <v>734</v>
      </c>
      <c r="G7575" s="3" t="s">
        <v>39</v>
      </c>
      <c r="H7575" s="2" t="s">
        <v>21</v>
      </c>
      <c r="I7575" s="2" t="s">
        <v>14973</v>
      </c>
      <c r="J7575" s="3" t="str">
        <f>HYPERLINK("https://www.boe.es/gazeta/dias/1823/08/16/pdfs/GES-1823-129.pdf#page=1","Abrir facsímil")</f>
        <v>Abrir facsímil</v>
      </c>
      <c r="K7575" s="3" t="s">
        <v>23</v>
      </c>
    </row>
    <row r="7576" spans="1:11" ht="42" customHeight="1">
      <c r="A7576" s="2" t="s">
        <v>14974</v>
      </c>
      <c r="B7576" s="2" t="s">
        <v>14975</v>
      </c>
      <c r="C7576" s="2" t="s">
        <v>17</v>
      </c>
      <c r="D7576" s="2" t="s">
        <v>18</v>
      </c>
      <c r="E7576" s="5">
        <v>-27904</v>
      </c>
      <c r="F7576" s="3" t="s">
        <v>1227</v>
      </c>
      <c r="G7576" s="3" t="s">
        <v>34</v>
      </c>
      <c r="H7576" s="2" t="s">
        <v>21</v>
      </c>
      <c r="I7576" s="2" t="s">
        <v>14976</v>
      </c>
      <c r="J7576" s="3" t="str">
        <f>HYPERLINK("https://www.boe.es/gazeta/dias/1823/08/07/pdfs/GMD-1823-543.pdf#page=5","Abrir facsímil")</f>
        <v>Abrir facsímil</v>
      </c>
      <c r="K7576" s="3" t="s">
        <v>23</v>
      </c>
    </row>
    <row r="7577" spans="1:11" ht="42" customHeight="1">
      <c r="A7577" s="2" t="s">
        <v>14977</v>
      </c>
      <c r="B7577" s="2" t="s">
        <v>14978</v>
      </c>
      <c r="C7577" s="2" t="s">
        <v>79</v>
      </c>
      <c r="D7577" s="2" t="s">
        <v>74</v>
      </c>
      <c r="E7577" s="5">
        <v>-28034</v>
      </c>
      <c r="F7577" s="3" t="s">
        <v>6937</v>
      </c>
      <c r="G7577" s="3" t="s">
        <v>27</v>
      </c>
      <c r="H7577" s="2" t="s">
        <v>21</v>
      </c>
      <c r="I7577" s="2" t="s">
        <v>14979</v>
      </c>
      <c r="J7577" s="3" t="str">
        <f>HYPERLINK("https://www.boe.es/gazeta/dias/1823/03/30/pdfs/GMD-1823-93.pdf#page=2","Abrir facsímil")</f>
        <v>Abrir facsímil</v>
      </c>
      <c r="K7577" s="3" t="s">
        <v>23</v>
      </c>
    </row>
    <row r="7578" spans="1:11" ht="42" customHeight="1">
      <c r="A7578" s="2" t="s">
        <v>14980</v>
      </c>
      <c r="B7578" s="2" t="s">
        <v>14981</v>
      </c>
      <c r="C7578" s="2" t="s">
        <v>17</v>
      </c>
      <c r="D7578" s="2" t="s">
        <v>18</v>
      </c>
      <c r="E7578" s="5">
        <v>-27962</v>
      </c>
      <c r="F7578" s="3" t="s">
        <v>477</v>
      </c>
      <c r="G7578" s="3" t="s">
        <v>27</v>
      </c>
      <c r="H7578" s="2" t="s">
        <v>28</v>
      </c>
      <c r="I7578" s="2" t="s">
        <v>14982</v>
      </c>
      <c r="J7578" s="3" t="str">
        <f>HYPERLINK("https://www.boe.es/gazeta/dias/1823/06/10/pdfs/GMD-1823-103.pdf#page=2","Abrir facsímil")</f>
        <v>Abrir facsímil</v>
      </c>
      <c r="K7578" s="3" t="s">
        <v>30</v>
      </c>
    </row>
    <row r="7579" spans="1:11" ht="42" customHeight="1">
      <c r="A7579" s="2" t="s">
        <v>14983</v>
      </c>
      <c r="B7579" s="2" t="s">
        <v>14984</v>
      </c>
      <c r="C7579" s="2" t="s">
        <v>17</v>
      </c>
      <c r="D7579" s="2" t="s">
        <v>18</v>
      </c>
      <c r="E7579" s="5">
        <v>-27964</v>
      </c>
      <c r="F7579" s="3" t="s">
        <v>58</v>
      </c>
      <c r="G7579" s="3" t="s">
        <v>34</v>
      </c>
      <c r="H7579" s="2" t="s">
        <v>21</v>
      </c>
      <c r="I7579" s="2" t="s">
        <v>14985</v>
      </c>
      <c r="J7579" s="3" t="str">
        <f>HYPERLINK("https://www.boe.es/gazeta/dias/1823/06/08/pdfs/GES-1823-62.pdf#page=5","Abrir facsímil")</f>
        <v>Abrir facsímil</v>
      </c>
      <c r="K7579" s="3" t="s">
        <v>23</v>
      </c>
    </row>
    <row r="7580" spans="1:11" ht="42" customHeight="1">
      <c r="A7580" s="2" t="s">
        <v>14986</v>
      </c>
      <c r="B7580" s="2" t="s">
        <v>14987</v>
      </c>
      <c r="C7580" s="2" t="s">
        <v>84</v>
      </c>
      <c r="D7580" s="2" t="s">
        <v>74</v>
      </c>
      <c r="E7580" s="5">
        <v>-28028</v>
      </c>
      <c r="F7580" s="3" t="s">
        <v>893</v>
      </c>
      <c r="G7580" s="3" t="s">
        <v>20</v>
      </c>
      <c r="H7580" s="2" t="s">
        <v>21</v>
      </c>
      <c r="I7580" s="2" t="s">
        <v>14988</v>
      </c>
      <c r="J7580" s="3" t="str">
        <f>HYPERLINK("https://www.boe.es/gazeta/dias/1823/04/05/pdfs/GMD-1823-99.pdf#page=4","Abrir facsímil")</f>
        <v>Abrir facsímil</v>
      </c>
      <c r="K7580" s="3" t="s">
        <v>23</v>
      </c>
    </row>
    <row r="7581" spans="1:11" ht="42" customHeight="1">
      <c r="A7581" s="2" t="s">
        <v>14989</v>
      </c>
      <c r="B7581" s="2" t="s">
        <v>14990</v>
      </c>
      <c r="C7581" s="2" t="s">
        <v>79</v>
      </c>
      <c r="D7581" s="2" t="s">
        <v>74</v>
      </c>
      <c r="E7581" s="5">
        <v>-27994</v>
      </c>
      <c r="F7581" s="3" t="s">
        <v>714</v>
      </c>
      <c r="G7581" s="3" t="s">
        <v>715</v>
      </c>
      <c r="H7581" s="2" t="s">
        <v>28</v>
      </c>
      <c r="I7581" s="2" t="s">
        <v>14991</v>
      </c>
      <c r="J7581" s="3" t="str">
        <f>HYPERLINK("https://www.boe.es/gazeta/dias/1823/05/09/pdfs/GES-1823-29.pdf#page=8","Abrir facsímil")</f>
        <v>Abrir facsímil</v>
      </c>
      <c r="K7581" s="3" t="s">
        <v>30</v>
      </c>
    </row>
    <row r="7582" spans="1:11" ht="42" customHeight="1">
      <c r="A7582" s="2" t="s">
        <v>14992</v>
      </c>
      <c r="B7582" s="2" t="s">
        <v>14992</v>
      </c>
      <c r="C7582" s="2" t="s">
        <v>17</v>
      </c>
      <c r="D7582" s="2" t="s">
        <v>18</v>
      </c>
      <c r="E7582" s="5">
        <v>-28121</v>
      </c>
      <c r="F7582" s="3" t="s">
        <v>575</v>
      </c>
      <c r="G7582" s="3" t="s">
        <v>3416</v>
      </c>
      <c r="H7582" s="2" t="s">
        <v>21</v>
      </c>
      <c r="I7582" s="2" t="s">
        <v>14993</v>
      </c>
      <c r="J7582" s="3" t="str">
        <f>HYPERLINK("https://www.boe.es/gazeta/dias/1823/01/02/pdfs/GMD-1823-2.pdf#page=4","Abrir facsímil")</f>
        <v>Abrir facsímil</v>
      </c>
      <c r="K7582" s="3" t="s">
        <v>23</v>
      </c>
    </row>
    <row r="7583" spans="1:11" ht="42" customHeight="1">
      <c r="A7583" s="2" t="s">
        <v>14992</v>
      </c>
      <c r="B7583" s="2" t="s">
        <v>14992</v>
      </c>
      <c r="C7583" s="2" t="s">
        <v>56</v>
      </c>
      <c r="D7583" s="2" t="s">
        <v>57</v>
      </c>
      <c r="E7583" s="5">
        <v>-28116</v>
      </c>
      <c r="F7583" s="3" t="s">
        <v>134</v>
      </c>
      <c r="G7583" s="3" t="s">
        <v>39</v>
      </c>
      <c r="H7583" s="2" t="s">
        <v>21</v>
      </c>
      <c r="I7583" s="2" t="s">
        <v>14994</v>
      </c>
      <c r="J7583" s="3" t="str">
        <f>HYPERLINK("https://www.boe.es/gazeta/dias/1823/01/07/pdfs/GMD-1823-7.pdf#page=1","Abrir facsímil")</f>
        <v>Abrir facsímil</v>
      </c>
      <c r="K7583" s="3" t="s">
        <v>23</v>
      </c>
    </row>
    <row r="7584" spans="1:11" ht="42" customHeight="1">
      <c r="A7584" s="2" t="s">
        <v>14992</v>
      </c>
      <c r="B7584" s="2" t="s">
        <v>14992</v>
      </c>
      <c r="C7584" s="2" t="s">
        <v>17</v>
      </c>
      <c r="D7584" s="2" t="s">
        <v>18</v>
      </c>
      <c r="E7584" s="5">
        <v>-28101</v>
      </c>
      <c r="F7584" s="3" t="s">
        <v>1041</v>
      </c>
      <c r="G7584" s="3" t="s">
        <v>39</v>
      </c>
      <c r="H7584" s="2" t="s">
        <v>21</v>
      </c>
      <c r="I7584" s="2" t="s">
        <v>14995</v>
      </c>
      <c r="J7584" s="3" t="str">
        <f>HYPERLINK("https://www.boe.es/gazeta/dias/1823/01/22/pdfs/GMD-1823-23.pdf#page=1","Abrir facsímil")</f>
        <v>Abrir facsímil</v>
      </c>
      <c r="K7584" s="3" t="s">
        <v>23</v>
      </c>
    </row>
    <row r="7585" spans="1:11" ht="42" customHeight="1">
      <c r="A7585" s="2" t="s">
        <v>14992</v>
      </c>
      <c r="B7585" s="2" t="s">
        <v>14992</v>
      </c>
      <c r="C7585" s="2" t="s">
        <v>56</v>
      </c>
      <c r="D7585" s="2" t="s">
        <v>57</v>
      </c>
      <c r="E7585" s="5">
        <v>-28101</v>
      </c>
      <c r="F7585" s="3" t="s">
        <v>1041</v>
      </c>
      <c r="G7585" s="3" t="s">
        <v>48</v>
      </c>
      <c r="H7585" s="2" t="s">
        <v>21</v>
      </c>
      <c r="I7585" s="2" t="s">
        <v>14996</v>
      </c>
      <c r="J7585" s="3" t="str">
        <f>HYPERLINK("https://www.boe.es/gazeta/dias/1823/01/22/pdfs/GMD-1823-23.pdf#page=3","Abrir facsímil")</f>
        <v>Abrir facsímil</v>
      </c>
      <c r="K7585" s="3" t="s">
        <v>23</v>
      </c>
    </row>
    <row r="7586" spans="1:11" ht="42" customHeight="1">
      <c r="A7586" s="2" t="s">
        <v>14992</v>
      </c>
      <c r="B7586" s="2" t="s">
        <v>14992</v>
      </c>
      <c r="C7586" s="2" t="s">
        <v>17</v>
      </c>
      <c r="D7586" s="2" t="s">
        <v>18</v>
      </c>
      <c r="E7586" s="5">
        <v>-28098</v>
      </c>
      <c r="F7586" s="3" t="s">
        <v>1101</v>
      </c>
      <c r="G7586" s="3" t="s">
        <v>39</v>
      </c>
      <c r="H7586" s="2" t="s">
        <v>21</v>
      </c>
      <c r="I7586" s="2" t="s">
        <v>14997</v>
      </c>
      <c r="J7586" s="3" t="str">
        <f>HYPERLINK("https://www.boe.es/gazeta/dias/1823/01/25/pdfs/GMD-1823-26.pdf#page=1","Abrir facsímil")</f>
        <v>Abrir facsímil</v>
      </c>
      <c r="K7586" s="3" t="s">
        <v>23</v>
      </c>
    </row>
    <row r="7587" spans="1:11" ht="42" customHeight="1">
      <c r="A7587" s="2" t="s">
        <v>14992</v>
      </c>
      <c r="B7587" s="2" t="s">
        <v>14992</v>
      </c>
      <c r="C7587" s="2" t="s">
        <v>56</v>
      </c>
      <c r="D7587" s="2" t="s">
        <v>57</v>
      </c>
      <c r="E7587" s="5">
        <v>-28056</v>
      </c>
      <c r="F7587" s="3" t="s">
        <v>572</v>
      </c>
      <c r="G7587" s="3" t="s">
        <v>59</v>
      </c>
      <c r="H7587" s="2" t="s">
        <v>21</v>
      </c>
      <c r="I7587" s="2" t="s">
        <v>14998</v>
      </c>
      <c r="J7587" s="3" t="str">
        <f>HYPERLINK("https://www.boe.es/gazeta/dias/1823/03/08/pdfs/GMD-1823-71.pdf#page=6","Abrir facsímil")</f>
        <v>Abrir facsímil</v>
      </c>
      <c r="K7587" s="3" t="s">
        <v>23</v>
      </c>
    </row>
    <row r="7588" spans="1:11" ht="42" customHeight="1">
      <c r="A7588" s="2" t="s">
        <v>14992</v>
      </c>
      <c r="B7588" s="2" t="s">
        <v>14992</v>
      </c>
      <c r="C7588" s="2" t="s">
        <v>17</v>
      </c>
      <c r="D7588" s="2" t="s">
        <v>18</v>
      </c>
      <c r="E7588" s="5">
        <v>-28049</v>
      </c>
      <c r="F7588" s="3" t="s">
        <v>198</v>
      </c>
      <c r="G7588" s="3" t="s">
        <v>20</v>
      </c>
      <c r="H7588" s="2" t="s">
        <v>21</v>
      </c>
      <c r="I7588" s="2" t="s">
        <v>14999</v>
      </c>
      <c r="J7588" s="3" t="str">
        <f>HYPERLINK("https://www.boe.es/gazeta/dias/1823/03/15/pdfs/GMD-1823-78.pdf#page=4","Abrir facsímil")</f>
        <v>Abrir facsímil</v>
      </c>
      <c r="K7588" s="3" t="s">
        <v>23</v>
      </c>
    </row>
    <row r="7589" spans="1:11" ht="42" customHeight="1">
      <c r="A7589" s="2" t="s">
        <v>14992</v>
      </c>
      <c r="B7589" s="2" t="s">
        <v>14992</v>
      </c>
      <c r="C7589" s="2" t="s">
        <v>56</v>
      </c>
      <c r="D7589" s="2" t="s">
        <v>57</v>
      </c>
      <c r="E7589" s="5">
        <v>-28046</v>
      </c>
      <c r="F7589" s="3" t="s">
        <v>85</v>
      </c>
      <c r="G7589" s="3" t="s">
        <v>48</v>
      </c>
      <c r="H7589" s="2" t="s">
        <v>21</v>
      </c>
      <c r="I7589" s="2" t="s">
        <v>15000</v>
      </c>
      <c r="J7589" s="3" t="str">
        <f>HYPERLINK("https://www.boe.es/gazeta/dias/1823/03/18/pdfs/GMD-1823-81.pdf#page=3","Abrir facsímil")</f>
        <v>Abrir facsímil</v>
      </c>
      <c r="K7589" s="3" t="s">
        <v>23</v>
      </c>
    </row>
    <row r="7590" spans="1:11" ht="42" customHeight="1">
      <c r="A7590" s="2" t="s">
        <v>14992</v>
      </c>
      <c r="B7590" s="2" t="s">
        <v>14992</v>
      </c>
      <c r="C7590" s="2" t="s">
        <v>17</v>
      </c>
      <c r="D7590" s="2" t="s">
        <v>18</v>
      </c>
      <c r="E7590" s="5">
        <v>-28046</v>
      </c>
      <c r="F7590" s="3" t="s">
        <v>85</v>
      </c>
      <c r="G7590" s="3" t="s">
        <v>20</v>
      </c>
      <c r="H7590" s="2" t="s">
        <v>21</v>
      </c>
      <c r="I7590" s="2" t="s">
        <v>15001</v>
      </c>
      <c r="J7590" s="3" t="str">
        <f>HYPERLINK("https://www.boe.es/gazeta/dias/1823/03/18/pdfs/GMD-1823-81.pdf#page=4","Abrir facsímil")</f>
        <v>Abrir facsímil</v>
      </c>
      <c r="K7590" s="3" t="s">
        <v>23</v>
      </c>
    </row>
    <row r="7591" spans="1:11" ht="42" customHeight="1">
      <c r="A7591" s="2" t="s">
        <v>14992</v>
      </c>
      <c r="B7591" s="2" t="s">
        <v>14992</v>
      </c>
      <c r="C7591" s="2" t="s">
        <v>17</v>
      </c>
      <c r="D7591" s="2" t="s">
        <v>18</v>
      </c>
      <c r="E7591" s="5">
        <v>-28045</v>
      </c>
      <c r="F7591" s="3" t="s">
        <v>245</v>
      </c>
      <c r="G7591" s="3" t="s">
        <v>39</v>
      </c>
      <c r="H7591" s="2" t="s">
        <v>21</v>
      </c>
      <c r="I7591" s="2" t="s">
        <v>15002</v>
      </c>
      <c r="J7591" s="3" t="str">
        <f>HYPERLINK("https://www.boe.es/gazeta/dias/1823/03/19/pdfs/GMD-1823-82.pdf#page=1","Abrir facsímil")</f>
        <v>Abrir facsímil</v>
      </c>
      <c r="K7591" s="3" t="s">
        <v>23</v>
      </c>
    </row>
    <row r="7592" spans="1:11" ht="42" customHeight="1">
      <c r="A7592" s="2" t="s">
        <v>14992</v>
      </c>
      <c r="B7592" s="2" t="s">
        <v>14992</v>
      </c>
      <c r="C7592" s="2" t="s">
        <v>17</v>
      </c>
      <c r="D7592" s="2" t="s">
        <v>18</v>
      </c>
      <c r="E7592" s="5">
        <v>-28039</v>
      </c>
      <c r="F7592" s="3" t="s">
        <v>126</v>
      </c>
      <c r="G7592" s="3" t="s">
        <v>10177</v>
      </c>
      <c r="H7592" s="2" t="s">
        <v>21</v>
      </c>
      <c r="I7592" s="2" t="s">
        <v>15003</v>
      </c>
      <c r="J7592" s="3" t="str">
        <f>HYPERLINK("https://www.boe.es/gazeta/dias/1823/03/25/pdfs/GMD-1823-88.pdf#page=2","Abrir facsímil")</f>
        <v>Abrir facsímil</v>
      </c>
      <c r="K7592" s="3" t="s">
        <v>23</v>
      </c>
    </row>
    <row r="7593" spans="1:11" ht="42" customHeight="1">
      <c r="A7593" s="2" t="s">
        <v>14992</v>
      </c>
      <c r="B7593" s="2" t="s">
        <v>14992</v>
      </c>
      <c r="C7593" s="2" t="s">
        <v>325</v>
      </c>
      <c r="D7593" s="2" t="s">
        <v>74</v>
      </c>
      <c r="E7593" s="5">
        <v>-28034</v>
      </c>
      <c r="F7593" s="3" t="s">
        <v>6937</v>
      </c>
      <c r="G7593" s="3" t="s">
        <v>39</v>
      </c>
      <c r="H7593" s="2" t="s">
        <v>21</v>
      </c>
      <c r="I7593" s="2" t="s">
        <v>15004</v>
      </c>
      <c r="J7593" s="3" t="str">
        <f>HYPERLINK("https://www.boe.es/gazeta/dias/1823/03/30/pdfs/GMD-1823-93.pdf#page=1","Abrir facsímil")</f>
        <v>Abrir facsímil</v>
      </c>
      <c r="K7593" s="3" t="s">
        <v>23</v>
      </c>
    </row>
    <row r="7594" spans="1:11" ht="42" customHeight="1">
      <c r="A7594" s="2" t="s">
        <v>14992</v>
      </c>
      <c r="B7594" s="2" t="s">
        <v>14992</v>
      </c>
      <c r="C7594" s="2" t="s">
        <v>56</v>
      </c>
      <c r="D7594" s="2" t="s">
        <v>57</v>
      </c>
      <c r="E7594" s="5">
        <v>-28027</v>
      </c>
      <c r="F7594" s="3" t="s">
        <v>4234</v>
      </c>
      <c r="G7594" s="3" t="s">
        <v>20</v>
      </c>
      <c r="H7594" s="2" t="s">
        <v>21</v>
      </c>
      <c r="I7594" s="2" t="s">
        <v>15005</v>
      </c>
      <c r="J7594" s="3" t="str">
        <f>HYPERLINK("https://www.boe.es/gazeta/dias/1823/04/06/pdfs/GMD-1823-101.pdf#page=4","Abrir facsímil")</f>
        <v>Abrir facsímil</v>
      </c>
      <c r="K7594" s="3" t="s">
        <v>23</v>
      </c>
    </row>
    <row r="7595" spans="1:11" ht="42" customHeight="1">
      <c r="A7595" s="2" t="s">
        <v>14992</v>
      </c>
      <c r="B7595" s="2" t="s">
        <v>14992</v>
      </c>
      <c r="C7595" s="2" t="s">
        <v>17</v>
      </c>
      <c r="D7595" s="2" t="s">
        <v>18</v>
      </c>
      <c r="E7595" s="5">
        <v>-28024</v>
      </c>
      <c r="F7595" s="3" t="s">
        <v>1659</v>
      </c>
      <c r="G7595" s="3" t="s">
        <v>39</v>
      </c>
      <c r="H7595" s="2" t="s">
        <v>21</v>
      </c>
      <c r="I7595" s="2" t="s">
        <v>15006</v>
      </c>
      <c r="J7595" s="3" t="str">
        <f>HYPERLINK("https://www.boe.es/gazeta/dias/1823/04/09/pdfs/GMD-1823-104.pdf#page=1","Abrir facsímil")</f>
        <v>Abrir facsímil</v>
      </c>
      <c r="K7595" s="3" t="s">
        <v>23</v>
      </c>
    </row>
    <row r="7596" spans="1:11" ht="42" customHeight="1">
      <c r="A7596" s="2" t="s">
        <v>14992</v>
      </c>
      <c r="B7596" s="2" t="s">
        <v>14992</v>
      </c>
      <c r="C7596" s="2" t="s">
        <v>17</v>
      </c>
      <c r="D7596" s="2" t="s">
        <v>18</v>
      </c>
      <c r="E7596" s="5">
        <v>-27977</v>
      </c>
      <c r="F7596" s="3" t="s">
        <v>1489</v>
      </c>
      <c r="G7596" s="3" t="s">
        <v>1490</v>
      </c>
      <c r="H7596" s="2" t="s">
        <v>21</v>
      </c>
      <c r="I7596" s="2" t="s">
        <v>15007</v>
      </c>
      <c r="J7596" s="3" t="str">
        <f>HYPERLINK("https://www.boe.es/gazeta/dias/1823/05/26/pdfs/GES-1823-47.pdf#page=6","Abrir facsímil")</f>
        <v>Abrir facsímil</v>
      </c>
      <c r="K7596" s="3" t="s">
        <v>23</v>
      </c>
    </row>
    <row r="7597" spans="1:11" ht="42" customHeight="1">
      <c r="A7597" s="2" t="s">
        <v>14992</v>
      </c>
      <c r="B7597" s="2" t="s">
        <v>14992</v>
      </c>
      <c r="C7597" s="2" t="s">
        <v>56</v>
      </c>
      <c r="D7597" s="2" t="s">
        <v>57</v>
      </c>
      <c r="E7597" s="5">
        <v>-27943</v>
      </c>
      <c r="F7597" s="3" t="s">
        <v>346</v>
      </c>
      <c r="G7597" s="3" t="s">
        <v>48</v>
      </c>
      <c r="H7597" s="2" t="s">
        <v>21</v>
      </c>
      <c r="I7597" s="2" t="s">
        <v>15008</v>
      </c>
      <c r="J7597" s="3" t="str">
        <f>HYPERLINK("https://www.boe.es/gazeta/dias/1823/06/29/pdfs/GES-1823-79.pdf#page=3","Abrir facsímil")</f>
        <v>Abrir facsímil</v>
      </c>
      <c r="K7597" s="3" t="s">
        <v>23</v>
      </c>
    </row>
    <row r="7598" spans="1:11" ht="42" customHeight="1">
      <c r="A7598" s="2" t="s">
        <v>14992</v>
      </c>
      <c r="B7598" s="2" t="s">
        <v>14992</v>
      </c>
      <c r="C7598" s="2" t="s">
        <v>17</v>
      </c>
      <c r="D7598" s="2" t="s">
        <v>18</v>
      </c>
      <c r="E7598" s="5">
        <v>-27855</v>
      </c>
      <c r="F7598" s="3" t="s">
        <v>380</v>
      </c>
      <c r="G7598" s="3" t="s">
        <v>27</v>
      </c>
      <c r="H7598" s="2" t="s">
        <v>21</v>
      </c>
      <c r="I7598" s="2" t="s">
        <v>15009</v>
      </c>
      <c r="J7598" s="3" t="str">
        <f>HYPERLINK("https://www.boe.es/gazeta/dias/1823/09/25/pdfs/GMD-1823-853.pdf#page=2","Abrir facsímil")</f>
        <v>Abrir facsímil</v>
      </c>
      <c r="K7598" s="3" t="s">
        <v>23</v>
      </c>
    </row>
    <row r="7599" spans="1:11" ht="42" customHeight="1">
      <c r="A7599" s="2" t="s">
        <v>15010</v>
      </c>
      <c r="B7599" s="2" t="s">
        <v>15010</v>
      </c>
      <c r="C7599" s="2" t="s">
        <v>293</v>
      </c>
      <c r="D7599" s="2" t="s">
        <v>74</v>
      </c>
      <c r="E7599" s="5">
        <v>-28032</v>
      </c>
      <c r="F7599" s="3" t="s">
        <v>668</v>
      </c>
      <c r="G7599" s="3" t="s">
        <v>48</v>
      </c>
      <c r="H7599" s="2" t="s">
        <v>21</v>
      </c>
      <c r="I7599" s="2" t="s">
        <v>15011</v>
      </c>
      <c r="J7599" s="3" t="str">
        <f>HYPERLINK("https://www.boe.es/gazeta/dias/1823/04/01/pdfs/GMD-1823-95.pdf#page=3","Abrir facsímil")</f>
        <v>Abrir facsímil</v>
      </c>
      <c r="K7599" s="3" t="s">
        <v>23</v>
      </c>
    </row>
    <row r="7600" spans="1:11" ht="42" customHeight="1">
      <c r="A7600" s="2" t="s">
        <v>15012</v>
      </c>
      <c r="B7600" s="2" t="s">
        <v>15012</v>
      </c>
      <c r="C7600" s="2" t="s">
        <v>84</v>
      </c>
      <c r="D7600" s="2" t="s">
        <v>74</v>
      </c>
      <c r="E7600" s="5">
        <v>-28088</v>
      </c>
      <c r="F7600" s="3" t="s">
        <v>542</v>
      </c>
      <c r="G7600" s="3" t="s">
        <v>27</v>
      </c>
      <c r="H7600" s="2" t="s">
        <v>21</v>
      </c>
      <c r="I7600" s="2" t="s">
        <v>15013</v>
      </c>
      <c r="J7600" s="3" t="str">
        <f>HYPERLINK("https://www.boe.es/gazeta/dias/1823/02/04/pdfs/GMD-1823-37.pdf#page=2","Abrir facsímil")</f>
        <v>Abrir facsímil</v>
      </c>
      <c r="K7600" s="3" t="s">
        <v>23</v>
      </c>
    </row>
    <row r="7601" spans="1:11" ht="42" customHeight="1">
      <c r="A7601" s="2" t="s">
        <v>15014</v>
      </c>
      <c r="B7601" s="2" t="s">
        <v>15014</v>
      </c>
      <c r="C7601" s="2" t="s">
        <v>84</v>
      </c>
      <c r="D7601" s="2" t="s">
        <v>74</v>
      </c>
      <c r="E7601" s="5">
        <v>-27968</v>
      </c>
      <c r="F7601" s="3" t="s">
        <v>1160</v>
      </c>
      <c r="G7601" s="3" t="s">
        <v>276</v>
      </c>
      <c r="H7601" s="2" t="s">
        <v>21</v>
      </c>
      <c r="I7601" s="2" t="s">
        <v>15015</v>
      </c>
      <c r="J7601" s="3" t="str">
        <f>HYPERLINK("https://www.boe.es/gazeta/dias/1823/06/04/pdfs/GES-1823-58.pdf#page=7","Abrir facsímil")</f>
        <v>Abrir facsímil</v>
      </c>
      <c r="K7601" s="3" t="s">
        <v>23</v>
      </c>
    </row>
    <row r="7602" spans="1:11" ht="42" customHeight="1">
      <c r="A7602" s="2" t="s">
        <v>15016</v>
      </c>
      <c r="B7602" s="2" t="s">
        <v>15016</v>
      </c>
      <c r="C7602" s="2" t="s">
        <v>79</v>
      </c>
      <c r="D7602" s="2" t="s">
        <v>74</v>
      </c>
      <c r="E7602" s="5">
        <v>-28078</v>
      </c>
      <c r="F7602" s="3" t="s">
        <v>508</v>
      </c>
      <c r="G7602" s="3" t="s">
        <v>59</v>
      </c>
      <c r="H7602" s="2" t="s">
        <v>21</v>
      </c>
      <c r="I7602" s="2" t="s">
        <v>15017</v>
      </c>
      <c r="J7602" s="3" t="str">
        <f>HYPERLINK("https://www.boe.es/gazeta/dias/1823/02/14/pdfs/GMD-1823-48.pdf#page=6","Abrir facsímil")</f>
        <v>Abrir facsímil</v>
      </c>
      <c r="K7602" s="3" t="s">
        <v>23</v>
      </c>
    </row>
    <row r="7603" spans="1:11" ht="42" customHeight="1">
      <c r="A7603" s="2" t="s">
        <v>15016</v>
      </c>
      <c r="B7603" s="2" t="s">
        <v>15016</v>
      </c>
      <c r="C7603" s="2" t="s">
        <v>17</v>
      </c>
      <c r="D7603" s="2" t="s">
        <v>18</v>
      </c>
      <c r="E7603" s="5">
        <v>-27950</v>
      </c>
      <c r="F7603" s="3" t="s">
        <v>4513</v>
      </c>
      <c r="G7603" s="3" t="s">
        <v>27</v>
      </c>
      <c r="H7603" s="2" t="s">
        <v>21</v>
      </c>
      <c r="I7603" s="2" t="s">
        <v>15018</v>
      </c>
      <c r="J7603" s="3" t="str">
        <f>HYPERLINK("https://www.boe.es/gazeta/dias/1823/06/22/pdfs/GES-1823-70.pdf#page=2","Abrir facsímil")</f>
        <v>Abrir facsímil</v>
      </c>
      <c r="K7603" s="3" t="s">
        <v>23</v>
      </c>
    </row>
    <row r="7604" spans="1:11" ht="42" customHeight="1">
      <c r="A7604" s="2" t="s">
        <v>15019</v>
      </c>
      <c r="B7604" s="2" t="s">
        <v>15019</v>
      </c>
      <c r="C7604" s="2" t="s">
        <v>17</v>
      </c>
      <c r="D7604" s="2" t="s">
        <v>18</v>
      </c>
      <c r="E7604" s="5">
        <v>-28090</v>
      </c>
      <c r="F7604" s="3" t="s">
        <v>174</v>
      </c>
      <c r="G7604" s="3" t="s">
        <v>39</v>
      </c>
      <c r="H7604" s="2" t="s">
        <v>21</v>
      </c>
      <c r="I7604" s="2" t="s">
        <v>15020</v>
      </c>
      <c r="J7604" s="3" t="str">
        <f>HYPERLINK("https://www.boe.es/gazeta/dias/1823/02/02/pdfs/GMD-1823-35.pdf#page=1","Abrir facsímil")</f>
        <v>Abrir facsímil</v>
      </c>
      <c r="K7604" s="3" t="s">
        <v>23</v>
      </c>
    </row>
    <row r="7605" spans="1:11" ht="42" customHeight="1">
      <c r="A7605" s="2" t="s">
        <v>15021</v>
      </c>
      <c r="B7605" s="2" t="s">
        <v>15021</v>
      </c>
      <c r="C7605" s="2" t="s">
        <v>17</v>
      </c>
      <c r="D7605" s="2" t="s">
        <v>18</v>
      </c>
      <c r="E7605" s="5">
        <v>-27867</v>
      </c>
      <c r="F7605" s="3" t="s">
        <v>569</v>
      </c>
      <c r="G7605" s="3" t="s">
        <v>39</v>
      </c>
      <c r="H7605" s="2" t="s">
        <v>21</v>
      </c>
      <c r="I7605" s="2" t="s">
        <v>15022</v>
      </c>
      <c r="J7605" s="3" t="str">
        <f>HYPERLINK("https://www.boe.es/gazeta/dias/1823/09/13/pdfs/GES-1823-157.pdf#page=1","Abrir facsímil")</f>
        <v>Abrir facsímil</v>
      </c>
      <c r="K7605" s="3" t="s">
        <v>23</v>
      </c>
    </row>
    <row r="7606" spans="1:11" ht="42" customHeight="1">
      <c r="A7606" s="2" t="s">
        <v>15023</v>
      </c>
      <c r="B7606" s="2" t="s">
        <v>15023</v>
      </c>
      <c r="C7606" s="2" t="s">
        <v>17</v>
      </c>
      <c r="D7606" s="2" t="s">
        <v>18</v>
      </c>
      <c r="E7606" s="5">
        <v>-27985</v>
      </c>
      <c r="F7606" s="3" t="s">
        <v>951</v>
      </c>
      <c r="G7606" s="3" t="s">
        <v>59</v>
      </c>
      <c r="H7606" s="2" t="s">
        <v>21</v>
      </c>
      <c r="I7606" s="2" t="s">
        <v>15024</v>
      </c>
      <c r="J7606" s="3" t="str">
        <f>HYPERLINK("https://www.boe.es/gazeta/dias/1823/05/18/pdfs/GES-1823-38.pdf#page=6","Abrir facsímil")</f>
        <v>Abrir facsímil</v>
      </c>
      <c r="K7606" s="3" t="s">
        <v>23</v>
      </c>
    </row>
    <row r="7607" spans="1:11" ht="42" customHeight="1">
      <c r="A7607" s="2" t="s">
        <v>15025</v>
      </c>
      <c r="B7607" s="2" t="s">
        <v>15026</v>
      </c>
      <c r="C7607" s="2" t="s">
        <v>17</v>
      </c>
      <c r="D7607" s="2" t="s">
        <v>18</v>
      </c>
      <c r="E7607" s="5">
        <v>-27960</v>
      </c>
      <c r="F7607" s="3" t="s">
        <v>682</v>
      </c>
      <c r="G7607" s="3" t="s">
        <v>815</v>
      </c>
      <c r="H7607" s="2" t="s">
        <v>21</v>
      </c>
      <c r="I7607" s="2" t="s">
        <v>15027</v>
      </c>
      <c r="J7607" s="3" t="str">
        <f>HYPERLINK("https://www.boe.es/gazeta/dias/1823/06/12/pdfs/GMD-1823-123.pdf#page=6","Abrir facsímil")</f>
        <v>Abrir facsímil</v>
      </c>
      <c r="K7607" s="3" t="s">
        <v>23</v>
      </c>
    </row>
    <row r="7608" spans="1:11" ht="42" customHeight="1">
      <c r="A7608" s="2" t="s">
        <v>15028</v>
      </c>
      <c r="B7608" s="2" t="s">
        <v>15029</v>
      </c>
      <c r="C7608" s="2" t="s">
        <v>17</v>
      </c>
      <c r="D7608" s="2" t="s">
        <v>18</v>
      </c>
      <c r="E7608" s="5">
        <v>-28037</v>
      </c>
      <c r="F7608" s="3" t="s">
        <v>192</v>
      </c>
      <c r="G7608" s="3" t="s">
        <v>48</v>
      </c>
      <c r="H7608" s="2" t="s">
        <v>21</v>
      </c>
      <c r="I7608" s="2" t="s">
        <v>15030</v>
      </c>
      <c r="J7608" s="3" t="str">
        <f>HYPERLINK("https://www.boe.es/gazeta/dias/1823/03/27/pdfs/GMD-1823-90.pdf#page=3","Abrir facsímil")</f>
        <v>Abrir facsímil</v>
      </c>
      <c r="K7608" s="3" t="s">
        <v>23</v>
      </c>
    </row>
    <row r="7609" spans="1:11" ht="42" customHeight="1">
      <c r="A7609" s="2" t="s">
        <v>15031</v>
      </c>
      <c r="B7609" s="2" t="s">
        <v>15031</v>
      </c>
      <c r="C7609" s="2" t="s">
        <v>17</v>
      </c>
      <c r="D7609" s="2" t="s">
        <v>18</v>
      </c>
      <c r="E7609" s="5">
        <v>-27916</v>
      </c>
      <c r="F7609" s="3" t="s">
        <v>1558</v>
      </c>
      <c r="G7609" s="3" t="s">
        <v>48</v>
      </c>
      <c r="H7609" s="2" t="s">
        <v>21</v>
      </c>
      <c r="I7609" s="2" t="s">
        <v>15032</v>
      </c>
      <c r="J7609" s="3" t="str">
        <f>HYPERLINK("https://www.boe.es/gazeta/dias/1823/07/26/pdfs/GMD-1823-473.pdf#page=3","Abrir facsímil")</f>
        <v>Abrir facsímil</v>
      </c>
      <c r="K7609" s="3" t="s">
        <v>23</v>
      </c>
    </row>
    <row r="7610" spans="1:11" ht="42" customHeight="1">
      <c r="A7610" s="2" t="s">
        <v>15033</v>
      </c>
      <c r="B7610" s="2" t="s">
        <v>15033</v>
      </c>
      <c r="C7610" s="2" t="s">
        <v>56</v>
      </c>
      <c r="D7610" s="2" t="s">
        <v>57</v>
      </c>
      <c r="E7610" s="5">
        <v>-28076</v>
      </c>
      <c r="F7610" s="3" t="s">
        <v>1638</v>
      </c>
      <c r="G7610" s="3" t="s">
        <v>48</v>
      </c>
      <c r="H7610" s="2" t="s">
        <v>21</v>
      </c>
      <c r="I7610" s="2" t="s">
        <v>15034</v>
      </c>
      <c r="J7610" s="3" t="str">
        <f>HYPERLINK("https://www.boe.es/gazeta/dias/1823/02/16/pdfs/GMD-1823-50.pdf#page=3","Abrir facsímil")</f>
        <v>Abrir facsímil</v>
      </c>
      <c r="K7610" s="3" t="s">
        <v>23</v>
      </c>
    </row>
    <row r="7611" spans="1:11" ht="42" customHeight="1">
      <c r="A7611" s="2" t="s">
        <v>15033</v>
      </c>
      <c r="B7611" s="2" t="s">
        <v>15033</v>
      </c>
      <c r="C7611" s="2" t="s">
        <v>17</v>
      </c>
      <c r="D7611" s="2" t="s">
        <v>18</v>
      </c>
      <c r="E7611" s="5">
        <v>-28049</v>
      </c>
      <c r="F7611" s="3" t="s">
        <v>198</v>
      </c>
      <c r="G7611" s="3" t="s">
        <v>27</v>
      </c>
      <c r="H7611" s="2" t="s">
        <v>21</v>
      </c>
      <c r="I7611" s="2" t="s">
        <v>15035</v>
      </c>
      <c r="J7611" s="3" t="str">
        <f>HYPERLINK("https://www.boe.es/gazeta/dias/1823/03/15/pdfs/GMD-1823-78.pdf#page=2","Abrir facsímil")</f>
        <v>Abrir facsímil</v>
      </c>
      <c r="K7611" s="3" t="s">
        <v>23</v>
      </c>
    </row>
    <row r="7612" spans="1:11" ht="42" customHeight="1">
      <c r="A7612" s="2" t="s">
        <v>15036</v>
      </c>
      <c r="B7612" s="2" t="s">
        <v>15037</v>
      </c>
      <c r="C7612" s="2" t="s">
        <v>17</v>
      </c>
      <c r="D7612" s="2" t="s">
        <v>18</v>
      </c>
      <c r="E7612" s="5">
        <v>-28037</v>
      </c>
      <c r="F7612" s="3" t="s">
        <v>192</v>
      </c>
      <c r="G7612" s="3" t="s">
        <v>48</v>
      </c>
      <c r="H7612" s="2" t="s">
        <v>21</v>
      </c>
      <c r="I7612" s="2" t="s">
        <v>15038</v>
      </c>
      <c r="J7612" s="3" t="str">
        <f>HYPERLINK("https://www.boe.es/gazeta/dias/1823/03/27/pdfs/GMD-1823-90.pdf#page=3","Abrir facsímil")</f>
        <v>Abrir facsímil</v>
      </c>
      <c r="K7612" s="3" t="s">
        <v>23</v>
      </c>
    </row>
    <row r="7613" spans="1:11" ht="42" customHeight="1">
      <c r="A7613" s="2" t="s">
        <v>15039</v>
      </c>
      <c r="B7613" s="2" t="s">
        <v>15039</v>
      </c>
      <c r="C7613" s="2" t="s">
        <v>293</v>
      </c>
      <c r="D7613" s="2" t="s">
        <v>74</v>
      </c>
      <c r="E7613" s="5">
        <v>-28073</v>
      </c>
      <c r="F7613" s="3" t="s">
        <v>204</v>
      </c>
      <c r="G7613" s="3" t="s">
        <v>39</v>
      </c>
      <c r="H7613" s="2" t="s">
        <v>21</v>
      </c>
      <c r="I7613" s="2" t="s">
        <v>15040</v>
      </c>
      <c r="J7613" s="3" t="str">
        <f>HYPERLINK("https://www.boe.es/gazeta/dias/1823/02/19/pdfs/GMD-1823-53.pdf#page=1","Abrir facsímil")</f>
        <v>Abrir facsímil</v>
      </c>
      <c r="K7613" s="3" t="s">
        <v>23</v>
      </c>
    </row>
    <row r="7614" spans="1:11" ht="42" customHeight="1">
      <c r="A7614" s="2" t="s">
        <v>15041</v>
      </c>
      <c r="B7614" s="2" t="s">
        <v>15041</v>
      </c>
      <c r="C7614" s="2" t="s">
        <v>17</v>
      </c>
      <c r="D7614" s="2" t="s">
        <v>18</v>
      </c>
      <c r="E7614" s="5">
        <v>-28060</v>
      </c>
      <c r="F7614" s="3" t="s">
        <v>180</v>
      </c>
      <c r="G7614" s="3" t="s">
        <v>27</v>
      </c>
      <c r="H7614" s="2" t="s">
        <v>21</v>
      </c>
      <c r="I7614" s="2" t="s">
        <v>15042</v>
      </c>
      <c r="J7614" s="3" t="str">
        <f>HYPERLINK("https://www.boe.es/gazeta/dias/1823/03/04/pdfs/GMD-1823-67.pdf#page=2","Abrir facsímil")</f>
        <v>Abrir facsímil</v>
      </c>
      <c r="K7614" s="3" t="s">
        <v>23</v>
      </c>
    </row>
    <row r="7615" spans="1:11" ht="42" customHeight="1">
      <c r="A7615" s="2" t="s">
        <v>15043</v>
      </c>
      <c r="B7615" s="2" t="s">
        <v>15043</v>
      </c>
      <c r="C7615" s="2" t="s">
        <v>79</v>
      </c>
      <c r="D7615" s="2" t="s">
        <v>74</v>
      </c>
      <c r="E7615" s="5">
        <v>-28084</v>
      </c>
      <c r="F7615" s="3" t="s">
        <v>1049</v>
      </c>
      <c r="G7615" s="3" t="s">
        <v>3129</v>
      </c>
      <c r="H7615" s="2" t="s">
        <v>21</v>
      </c>
      <c r="I7615" s="2" t="s">
        <v>15044</v>
      </c>
      <c r="J7615" s="3" t="str">
        <f>HYPERLINK("https://www.boe.es/gazeta/dias/1823/02/08/pdfs/GMD-1823-41.pdf#page=2","Abrir facsímil")</f>
        <v>Abrir facsímil</v>
      </c>
      <c r="K7615" s="3" t="s">
        <v>23</v>
      </c>
    </row>
    <row r="7616" spans="1:11" ht="42" customHeight="1">
      <c r="A7616" s="2" t="s">
        <v>15043</v>
      </c>
      <c r="B7616" s="2" t="s">
        <v>15043</v>
      </c>
      <c r="C7616" s="2" t="s">
        <v>17</v>
      </c>
      <c r="D7616" s="2" t="s">
        <v>18</v>
      </c>
      <c r="E7616" s="5">
        <v>-28076</v>
      </c>
      <c r="F7616" s="3" t="s">
        <v>1638</v>
      </c>
      <c r="G7616" s="3" t="s">
        <v>20</v>
      </c>
      <c r="H7616" s="2" t="s">
        <v>21</v>
      </c>
      <c r="I7616" s="2" t="s">
        <v>15045</v>
      </c>
      <c r="J7616" s="3" t="str">
        <f>HYPERLINK("https://www.boe.es/gazeta/dias/1823/02/16/pdfs/GMD-1823-50.pdf#page=4","Abrir facsímil")</f>
        <v>Abrir facsímil</v>
      </c>
      <c r="K7616" s="3" t="s">
        <v>23</v>
      </c>
    </row>
    <row r="7617" spans="1:11" ht="42" customHeight="1">
      <c r="A7617" s="2" t="s">
        <v>15043</v>
      </c>
      <c r="B7617" s="2" t="s">
        <v>15043</v>
      </c>
      <c r="C7617" s="2" t="s">
        <v>17</v>
      </c>
      <c r="D7617" s="2" t="s">
        <v>18</v>
      </c>
      <c r="E7617" s="5">
        <v>-28042</v>
      </c>
      <c r="F7617" s="3" t="s">
        <v>1218</v>
      </c>
      <c r="G7617" s="3" t="s">
        <v>48</v>
      </c>
      <c r="H7617" s="2" t="s">
        <v>21</v>
      </c>
      <c r="I7617" s="2" t="s">
        <v>15046</v>
      </c>
      <c r="J7617" s="3" t="str">
        <f>HYPERLINK("https://www.boe.es/gazeta/dias/1823/03/22/pdfs/GMD-1823-85.pdf#page=3","Abrir facsímil")</f>
        <v>Abrir facsímil</v>
      </c>
      <c r="K7617" s="3" t="s">
        <v>23</v>
      </c>
    </row>
    <row r="7618" spans="1:11" ht="42" customHeight="1">
      <c r="A7618" s="2" t="s">
        <v>15047</v>
      </c>
      <c r="B7618" s="2" t="s">
        <v>15047</v>
      </c>
      <c r="C7618" s="2" t="s">
        <v>73</v>
      </c>
      <c r="D7618" s="2" t="s">
        <v>74</v>
      </c>
      <c r="E7618" s="5">
        <v>-28119</v>
      </c>
      <c r="F7618" s="3" t="s">
        <v>545</v>
      </c>
      <c r="G7618" s="3" t="s">
        <v>27</v>
      </c>
      <c r="H7618" s="2" t="s">
        <v>21</v>
      </c>
      <c r="I7618" s="2" t="s">
        <v>15048</v>
      </c>
      <c r="J7618" s="3" t="str">
        <f>HYPERLINK("https://www.boe.es/gazeta/dias/1823/01/04/pdfs/GMD-1823-4.pdf#page=2","Abrir facsímil")</f>
        <v>Abrir facsímil</v>
      </c>
      <c r="K7618" s="3" t="s">
        <v>23</v>
      </c>
    </row>
    <row r="7619" spans="1:11" ht="42" customHeight="1">
      <c r="A7619" s="2" t="s">
        <v>15047</v>
      </c>
      <c r="B7619" s="2" t="s">
        <v>15047</v>
      </c>
      <c r="C7619" s="2" t="s">
        <v>79</v>
      </c>
      <c r="D7619" s="2" t="s">
        <v>74</v>
      </c>
      <c r="E7619" s="5">
        <v>-28111</v>
      </c>
      <c r="F7619" s="3" t="s">
        <v>275</v>
      </c>
      <c r="G7619" s="3" t="s">
        <v>276</v>
      </c>
      <c r="H7619" s="2" t="s">
        <v>21</v>
      </c>
      <c r="I7619" s="2" t="s">
        <v>15049</v>
      </c>
      <c r="J7619" s="3" t="str">
        <f>HYPERLINK("https://www.boe.es/gazeta/dias/1823/01/12/pdfs/GMD-1823-12.pdf#page=7","Abrir facsímil")</f>
        <v>Abrir facsímil</v>
      </c>
      <c r="K7619" s="3" t="s">
        <v>23</v>
      </c>
    </row>
    <row r="7620" spans="1:11" ht="42" customHeight="1">
      <c r="A7620" s="2" t="s">
        <v>15047</v>
      </c>
      <c r="B7620" s="2" t="s">
        <v>15047</v>
      </c>
      <c r="C7620" s="2" t="s">
        <v>109</v>
      </c>
      <c r="D7620" s="2" t="s">
        <v>74</v>
      </c>
      <c r="E7620" s="5">
        <v>-28110</v>
      </c>
      <c r="F7620" s="3" t="s">
        <v>249</v>
      </c>
      <c r="G7620" s="3" t="s">
        <v>1968</v>
      </c>
      <c r="H7620" s="2" t="s">
        <v>21</v>
      </c>
      <c r="I7620" s="2" t="s">
        <v>15050</v>
      </c>
      <c r="J7620" s="3" t="str">
        <f>HYPERLINK("https://www.boe.es/gazeta/dias/1823/01/13/pdfs/GMD-1823-13.pdf#page=2","Abrir facsímil")</f>
        <v>Abrir facsímil</v>
      </c>
      <c r="K7620" s="3" t="s">
        <v>23</v>
      </c>
    </row>
    <row r="7621" spans="1:11" ht="42" customHeight="1">
      <c r="A7621" s="2" t="s">
        <v>15047</v>
      </c>
      <c r="B7621" s="2" t="s">
        <v>15047</v>
      </c>
      <c r="C7621" s="2" t="s">
        <v>17</v>
      </c>
      <c r="D7621" s="2" t="s">
        <v>18</v>
      </c>
      <c r="E7621" s="5">
        <v>-28109</v>
      </c>
      <c r="F7621" s="3" t="s">
        <v>889</v>
      </c>
      <c r="G7621" s="3" t="s">
        <v>48</v>
      </c>
      <c r="H7621" s="2" t="s">
        <v>21</v>
      </c>
      <c r="I7621" s="2" t="s">
        <v>15051</v>
      </c>
      <c r="J7621" s="3" t="str">
        <f>HYPERLINK("https://www.boe.es/gazeta/dias/1823/01/14/pdfs/GMD-1823-14.pdf#page=3","Abrir facsímil")</f>
        <v>Abrir facsímil</v>
      </c>
      <c r="K7621" s="3" t="s">
        <v>23</v>
      </c>
    </row>
    <row r="7622" spans="1:11" ht="42" customHeight="1">
      <c r="A7622" s="2" t="s">
        <v>15047</v>
      </c>
      <c r="B7622" s="2" t="s">
        <v>15047</v>
      </c>
      <c r="C7622" s="2" t="s">
        <v>84</v>
      </c>
      <c r="D7622" s="2" t="s">
        <v>74</v>
      </c>
      <c r="E7622" s="5">
        <v>-28073</v>
      </c>
      <c r="F7622" s="3" t="s">
        <v>204</v>
      </c>
      <c r="G7622" s="3" t="s">
        <v>27</v>
      </c>
      <c r="H7622" s="2" t="s">
        <v>21</v>
      </c>
      <c r="I7622" s="2" t="s">
        <v>15052</v>
      </c>
      <c r="J7622" s="3" t="str">
        <f>HYPERLINK("https://www.boe.es/gazeta/dias/1823/02/19/pdfs/GMD-1823-53.pdf#page=2","Abrir facsímil")</f>
        <v>Abrir facsímil</v>
      </c>
      <c r="K7622" s="3" t="s">
        <v>23</v>
      </c>
    </row>
    <row r="7623" spans="1:11" ht="42" customHeight="1">
      <c r="A7623" s="2" t="s">
        <v>15047</v>
      </c>
      <c r="B7623" s="2" t="s">
        <v>15047</v>
      </c>
      <c r="C7623" s="2" t="s">
        <v>79</v>
      </c>
      <c r="D7623" s="2" t="s">
        <v>74</v>
      </c>
      <c r="E7623" s="5">
        <v>-28071</v>
      </c>
      <c r="F7623" s="3" t="s">
        <v>587</v>
      </c>
      <c r="G7623" s="3" t="s">
        <v>27</v>
      </c>
      <c r="H7623" s="2" t="s">
        <v>21</v>
      </c>
      <c r="I7623" s="2" t="s">
        <v>15053</v>
      </c>
      <c r="J7623" s="3" t="str">
        <f>HYPERLINK("https://www.boe.es/gazeta/dias/1823/02/21/pdfs/GMD-1823-55.pdf#page=2","Abrir facsímil")</f>
        <v>Abrir facsímil</v>
      </c>
      <c r="K7623" s="3" t="s">
        <v>23</v>
      </c>
    </row>
    <row r="7624" spans="1:11" ht="42" customHeight="1">
      <c r="A7624" s="2" t="s">
        <v>15047</v>
      </c>
      <c r="B7624" s="2" t="s">
        <v>15047</v>
      </c>
      <c r="C7624" s="2" t="s">
        <v>56</v>
      </c>
      <c r="D7624" s="2" t="s">
        <v>57</v>
      </c>
      <c r="E7624" s="5">
        <v>-28060</v>
      </c>
      <c r="F7624" s="3" t="s">
        <v>180</v>
      </c>
      <c r="G7624" s="3" t="s">
        <v>20</v>
      </c>
      <c r="H7624" s="2" t="s">
        <v>21</v>
      </c>
      <c r="I7624" s="2" t="s">
        <v>15054</v>
      </c>
      <c r="J7624" s="3" t="str">
        <f>HYPERLINK("https://www.boe.es/gazeta/dias/1823/03/04/pdfs/GMD-1823-67.pdf#page=4","Abrir facsímil")</f>
        <v>Abrir facsímil</v>
      </c>
      <c r="K7624" s="3" t="s">
        <v>23</v>
      </c>
    </row>
    <row r="7625" spans="1:11" ht="42" customHeight="1">
      <c r="A7625" s="2" t="s">
        <v>15047</v>
      </c>
      <c r="B7625" s="2" t="s">
        <v>15047</v>
      </c>
      <c r="C7625" s="2" t="s">
        <v>17</v>
      </c>
      <c r="D7625" s="2" t="s">
        <v>18</v>
      </c>
      <c r="E7625" s="5">
        <v>-28000</v>
      </c>
      <c r="F7625" s="3" t="s">
        <v>1118</v>
      </c>
      <c r="G7625" s="3" t="s">
        <v>27</v>
      </c>
      <c r="H7625" s="2" t="s">
        <v>21</v>
      </c>
      <c r="I7625" s="2" t="s">
        <v>15055</v>
      </c>
      <c r="J7625" s="3" t="str">
        <f>HYPERLINK("https://www.boe.es/gazeta/dias/1823/05/03/pdfs/GES-1823-23.pdf#page=2","Abrir facsímil")</f>
        <v>Abrir facsímil</v>
      </c>
      <c r="K7625" s="3" t="s">
        <v>23</v>
      </c>
    </row>
    <row r="7626" spans="1:11" ht="42" customHeight="1">
      <c r="A7626" s="2" t="s">
        <v>15047</v>
      </c>
      <c r="B7626" s="2" t="s">
        <v>15047</v>
      </c>
      <c r="C7626" s="2" t="s">
        <v>56</v>
      </c>
      <c r="D7626" s="2" t="s">
        <v>57</v>
      </c>
      <c r="E7626" s="5">
        <v>-28000</v>
      </c>
      <c r="F7626" s="3" t="s">
        <v>1118</v>
      </c>
      <c r="G7626" s="3" t="s">
        <v>48</v>
      </c>
      <c r="H7626" s="2" t="s">
        <v>21</v>
      </c>
      <c r="I7626" s="2" t="s">
        <v>15056</v>
      </c>
      <c r="J7626" s="3" t="str">
        <f>HYPERLINK("https://www.boe.es/gazeta/dias/1823/05/03/pdfs/GES-1823-23.pdf#page=3","Abrir facsímil")</f>
        <v>Abrir facsímil</v>
      </c>
      <c r="K7626" s="3" t="s">
        <v>23</v>
      </c>
    </row>
    <row r="7627" spans="1:11" ht="42" customHeight="1">
      <c r="A7627" s="2" t="s">
        <v>15057</v>
      </c>
      <c r="B7627" s="2" t="s">
        <v>15057</v>
      </c>
      <c r="C7627" s="2" t="s">
        <v>17</v>
      </c>
      <c r="D7627" s="2" t="s">
        <v>18</v>
      </c>
      <c r="E7627" s="5">
        <v>-27993</v>
      </c>
      <c r="F7627" s="3" t="s">
        <v>1062</v>
      </c>
      <c r="G7627" s="3" t="s">
        <v>48</v>
      </c>
      <c r="H7627" s="2" t="s">
        <v>21</v>
      </c>
      <c r="I7627" s="2" t="s">
        <v>15058</v>
      </c>
      <c r="J7627" s="3" t="str">
        <f>HYPERLINK("https://www.boe.es/gazeta/dias/1823/05/10/pdfs/GMD-1823-122.pdf#page=3","Abrir facsímil")</f>
        <v>Abrir facsímil</v>
      </c>
      <c r="K7627" s="3" t="s">
        <v>23</v>
      </c>
    </row>
    <row r="7628" spans="1:11" ht="42" customHeight="1">
      <c r="A7628" s="2" t="s">
        <v>15047</v>
      </c>
      <c r="B7628" s="2" t="s">
        <v>15047</v>
      </c>
      <c r="C7628" s="2" t="s">
        <v>109</v>
      </c>
      <c r="D7628" s="2" t="s">
        <v>74</v>
      </c>
      <c r="E7628" s="5">
        <v>-27979</v>
      </c>
      <c r="F7628" s="3" t="s">
        <v>1071</v>
      </c>
      <c r="G7628" s="3" t="s">
        <v>39</v>
      </c>
      <c r="H7628" s="2" t="s">
        <v>21</v>
      </c>
      <c r="I7628" s="2" t="s">
        <v>15059</v>
      </c>
      <c r="J7628" s="3" t="str">
        <f>HYPERLINK("https://www.boe.es/gazeta/dias/1823/05/24/pdfs/GES-1823-45.pdf#page=1","Abrir facsímil")</f>
        <v>Abrir facsímil</v>
      </c>
      <c r="K7628" s="3" t="s">
        <v>23</v>
      </c>
    </row>
    <row r="7629" spans="1:11" ht="42" customHeight="1">
      <c r="A7629" s="2" t="s">
        <v>15047</v>
      </c>
      <c r="B7629" s="2" t="s">
        <v>15047</v>
      </c>
      <c r="C7629" s="2" t="s">
        <v>56</v>
      </c>
      <c r="D7629" s="2" t="s">
        <v>57</v>
      </c>
      <c r="E7629" s="5">
        <v>-27941</v>
      </c>
      <c r="F7629" s="3" t="s">
        <v>527</v>
      </c>
      <c r="G7629" s="3" t="s">
        <v>20</v>
      </c>
      <c r="H7629" s="2" t="s">
        <v>21</v>
      </c>
      <c r="I7629" s="2" t="s">
        <v>15060</v>
      </c>
      <c r="J7629" s="3" t="str">
        <f>HYPERLINK("https://www.boe.es/gazeta/dias/1823/07/01/pdfs/GES-1823-81.pdf#page=4","Abrir facsímil")</f>
        <v>Abrir facsímil</v>
      </c>
      <c r="K7629" s="3" t="s">
        <v>23</v>
      </c>
    </row>
    <row r="7630" spans="1:11" ht="42" customHeight="1">
      <c r="A7630" s="2" t="s">
        <v>15047</v>
      </c>
      <c r="B7630" s="2" t="s">
        <v>15047</v>
      </c>
      <c r="C7630" s="2" t="s">
        <v>79</v>
      </c>
      <c r="D7630" s="2" t="s">
        <v>74</v>
      </c>
      <c r="E7630" s="5">
        <v>-27935</v>
      </c>
      <c r="F7630" s="3" t="s">
        <v>350</v>
      </c>
      <c r="G7630" s="3" t="s">
        <v>39</v>
      </c>
      <c r="H7630" s="2" t="s">
        <v>21</v>
      </c>
      <c r="I7630" s="2" t="s">
        <v>15061</v>
      </c>
      <c r="J7630" s="3" t="str">
        <f>HYPERLINK("https://www.boe.es/gazeta/dias/1823/07/07/pdfs/GES-1823-87.pdf#page=1","Abrir facsímil")</f>
        <v>Abrir facsímil</v>
      </c>
      <c r="K7630" s="3" t="s">
        <v>23</v>
      </c>
    </row>
    <row r="7631" spans="1:11" ht="42" customHeight="1">
      <c r="A7631" s="2" t="s">
        <v>15047</v>
      </c>
      <c r="B7631" s="2" t="s">
        <v>15047</v>
      </c>
      <c r="C7631" s="2" t="s">
        <v>79</v>
      </c>
      <c r="D7631" s="2" t="s">
        <v>74</v>
      </c>
      <c r="E7631" s="5">
        <v>-27927</v>
      </c>
      <c r="F7631" s="3" t="s">
        <v>1426</v>
      </c>
      <c r="G7631" s="3" t="s">
        <v>39</v>
      </c>
      <c r="H7631" s="2" t="s">
        <v>21</v>
      </c>
      <c r="I7631" s="2" t="s">
        <v>15062</v>
      </c>
      <c r="J7631" s="3" t="str">
        <f>HYPERLINK("https://www.boe.es/gazeta/dias/1823/07/15/pdfs/GES-1823-95.pdf#page=1","Abrir facsímil")</f>
        <v>Abrir facsímil</v>
      </c>
      <c r="K7631" s="3" t="s">
        <v>23</v>
      </c>
    </row>
    <row r="7632" spans="1:11" ht="42" customHeight="1">
      <c r="A7632" s="2" t="s">
        <v>15047</v>
      </c>
      <c r="B7632" s="2" t="s">
        <v>15047</v>
      </c>
      <c r="C7632" s="2" t="s">
        <v>109</v>
      </c>
      <c r="D7632" s="2" t="s">
        <v>74</v>
      </c>
      <c r="E7632" s="5">
        <v>-27922</v>
      </c>
      <c r="F7632" s="3" t="s">
        <v>1959</v>
      </c>
      <c r="G7632" s="3" t="s">
        <v>48</v>
      </c>
      <c r="H7632" s="2" t="s">
        <v>21</v>
      </c>
      <c r="I7632" s="2" t="s">
        <v>15063</v>
      </c>
      <c r="J7632" s="3" t="str">
        <f>HYPERLINK("https://www.boe.es/gazeta/dias/1823/07/20/pdfs/GES-1823-101.pdf#page=3","Abrir facsímil")</f>
        <v>Abrir facsímil</v>
      </c>
      <c r="K7632" s="3" t="s">
        <v>23</v>
      </c>
    </row>
    <row r="7633" spans="1:11" ht="42" customHeight="1">
      <c r="A7633" s="2" t="s">
        <v>15047</v>
      </c>
      <c r="B7633" s="2" t="s">
        <v>15047</v>
      </c>
      <c r="C7633" s="2" t="s">
        <v>56</v>
      </c>
      <c r="D7633" s="2" t="s">
        <v>57</v>
      </c>
      <c r="E7633" s="5">
        <v>-27871</v>
      </c>
      <c r="F7633" s="3" t="s">
        <v>782</v>
      </c>
      <c r="G7633" s="3" t="s">
        <v>20</v>
      </c>
      <c r="H7633" s="2" t="s">
        <v>21</v>
      </c>
      <c r="I7633" s="2" t="s">
        <v>15064</v>
      </c>
      <c r="J7633" s="3" t="str">
        <f>HYPERLINK("https://www.boe.es/gazeta/dias/1823/09/09/pdfs/GES-1823-153.pdf#page=4","Abrir facsímil")</f>
        <v>Abrir facsímil</v>
      </c>
      <c r="K7633" s="3" t="s">
        <v>23</v>
      </c>
    </row>
    <row r="7634" spans="1:11" ht="42" customHeight="1">
      <c r="A7634" s="2" t="s">
        <v>15065</v>
      </c>
      <c r="B7634" s="2" t="s">
        <v>15065</v>
      </c>
      <c r="C7634" s="2" t="s">
        <v>17</v>
      </c>
      <c r="D7634" s="2" t="s">
        <v>18</v>
      </c>
      <c r="E7634" s="5">
        <v>-27911</v>
      </c>
      <c r="F7634" s="3" t="s">
        <v>1393</v>
      </c>
      <c r="G7634" s="3" t="s">
        <v>39</v>
      </c>
      <c r="H7634" s="2" t="s">
        <v>21</v>
      </c>
      <c r="I7634" s="2" t="s">
        <v>15066</v>
      </c>
      <c r="J7634" s="3" t="str">
        <f>HYPERLINK("https://www.boe.es/gazeta/dias/1823/07/31/pdfs/GMD-1823-503.pdf#page=1","Abrir facsímil")</f>
        <v>Abrir facsímil</v>
      </c>
      <c r="K7634" s="3" t="s">
        <v>23</v>
      </c>
    </row>
    <row r="7635" spans="1:11" ht="42" customHeight="1">
      <c r="A7635" s="2" t="s">
        <v>15067</v>
      </c>
      <c r="B7635" s="2" t="s">
        <v>15068</v>
      </c>
      <c r="C7635" s="2" t="s">
        <v>17</v>
      </c>
      <c r="D7635" s="2" t="s">
        <v>18</v>
      </c>
      <c r="E7635" s="5">
        <v>-28058</v>
      </c>
      <c r="F7635" s="3" t="s">
        <v>1282</v>
      </c>
      <c r="G7635" s="3" t="s">
        <v>34</v>
      </c>
      <c r="H7635" s="2" t="s">
        <v>21</v>
      </c>
      <c r="I7635" s="2" t="s">
        <v>15069</v>
      </c>
      <c r="J7635" s="3" t="str">
        <f>HYPERLINK("https://www.boe.es/gazeta/dias/1823/03/06/pdfs/GMD-1823-69.pdf#page=5","Abrir facsímil")</f>
        <v>Abrir facsímil</v>
      </c>
      <c r="K7635" s="3" t="s">
        <v>23</v>
      </c>
    </row>
    <row r="7636" spans="1:11" ht="42" customHeight="1">
      <c r="A7636" s="2" t="s">
        <v>15070</v>
      </c>
      <c r="B7636" s="2" t="s">
        <v>15070</v>
      </c>
      <c r="C7636" s="2" t="s">
        <v>17</v>
      </c>
      <c r="D7636" s="2" t="s">
        <v>18</v>
      </c>
      <c r="E7636" s="5">
        <v>-28096</v>
      </c>
      <c r="F7636" s="3" t="s">
        <v>534</v>
      </c>
      <c r="G7636" s="3" t="s">
        <v>39</v>
      </c>
      <c r="H7636" s="2" t="s">
        <v>21</v>
      </c>
      <c r="I7636" s="2" t="s">
        <v>15071</v>
      </c>
      <c r="J7636" s="3" t="str">
        <f>HYPERLINK("https://www.boe.es/gazeta/dias/1823/01/27/pdfs/GMD-1823-28.pdf#page=1","Abrir facsímil")</f>
        <v>Abrir facsímil</v>
      </c>
      <c r="K7636" s="3" t="s">
        <v>23</v>
      </c>
    </row>
    <row r="7637" spans="1:11" ht="42" customHeight="1">
      <c r="A7637" s="2" t="s">
        <v>15072</v>
      </c>
      <c r="B7637" s="2" t="s">
        <v>15073</v>
      </c>
      <c r="C7637" s="2" t="s">
        <v>17</v>
      </c>
      <c r="D7637" s="2" t="s">
        <v>117</v>
      </c>
      <c r="E7637" s="5">
        <v>-27925</v>
      </c>
      <c r="F7637" s="3" t="s">
        <v>3911</v>
      </c>
      <c r="G7637" s="3" t="s">
        <v>39</v>
      </c>
      <c r="H7637" s="2" t="s">
        <v>21</v>
      </c>
      <c r="I7637" s="2" t="s">
        <v>15074</v>
      </c>
      <c r="J7637" s="3" t="str">
        <f>HYPERLINK("https://www.boe.es/gazeta/dias/1823/07/17/pdfs/GES-1823-98E.pdf#page=1","Abrir facsímil")</f>
        <v>Abrir facsímil</v>
      </c>
      <c r="K7637" s="3" t="s">
        <v>23</v>
      </c>
    </row>
    <row r="7638" spans="1:11" ht="42" customHeight="1">
      <c r="A7638" s="2" t="s">
        <v>15075</v>
      </c>
      <c r="B7638" s="2" t="s">
        <v>15076</v>
      </c>
      <c r="C7638" s="2" t="s">
        <v>17</v>
      </c>
      <c r="D7638" s="2" t="s">
        <v>18</v>
      </c>
      <c r="E7638" s="5">
        <v>-28030</v>
      </c>
      <c r="F7638" s="3" t="s">
        <v>145</v>
      </c>
      <c r="G7638" s="3" t="s">
        <v>48</v>
      </c>
      <c r="H7638" s="2" t="s">
        <v>21</v>
      </c>
      <c r="I7638" s="2" t="s">
        <v>15077</v>
      </c>
      <c r="J7638" s="3" t="str">
        <f>HYPERLINK("https://www.boe.es/gazeta/dias/1823/04/03/pdfs/GMD-1823-97.pdf#page=3","Abrir facsímil")</f>
        <v>Abrir facsímil</v>
      </c>
      <c r="K7638" s="3" t="s">
        <v>23</v>
      </c>
    </row>
    <row r="7639" spans="1:11" ht="42" customHeight="1">
      <c r="A7639" s="2" t="s">
        <v>15078</v>
      </c>
      <c r="B7639" s="2" t="s">
        <v>15079</v>
      </c>
      <c r="C7639" s="2" t="s">
        <v>17</v>
      </c>
      <c r="D7639" s="2" t="s">
        <v>18</v>
      </c>
      <c r="E7639" s="5">
        <v>-28009</v>
      </c>
      <c r="F7639" s="3" t="s">
        <v>307</v>
      </c>
      <c r="G7639" s="3" t="s">
        <v>27</v>
      </c>
      <c r="H7639" s="2" t="s">
        <v>21</v>
      </c>
      <c r="I7639" s="2" t="s">
        <v>15080</v>
      </c>
      <c r="J7639" s="3" t="str">
        <f>HYPERLINK("https://www.boe.es/gazeta/dias/1823/04/24/pdfs/GES-1823-14.pdf#page=2","Abrir facsímil")</f>
        <v>Abrir facsímil</v>
      </c>
      <c r="K7639" s="3" t="s">
        <v>23</v>
      </c>
    </row>
    <row r="7640" spans="1:11" ht="42" customHeight="1">
      <c r="A7640" s="2" t="s">
        <v>15078</v>
      </c>
      <c r="B7640" s="2" t="s">
        <v>15079</v>
      </c>
      <c r="C7640" s="2" t="s">
        <v>56</v>
      </c>
      <c r="D7640" s="2" t="s">
        <v>57</v>
      </c>
      <c r="E7640" s="5">
        <v>-28005</v>
      </c>
      <c r="F7640" s="3" t="s">
        <v>1648</v>
      </c>
      <c r="G7640" s="3" t="s">
        <v>20</v>
      </c>
      <c r="H7640" s="2" t="s">
        <v>21</v>
      </c>
      <c r="I7640" s="2" t="s">
        <v>15081</v>
      </c>
      <c r="J7640" s="3" t="str">
        <f>HYPERLINK("https://www.boe.es/gazeta/dias/1823/04/28/pdfs/GES-1823-18.pdf#page=4","Abrir facsímil")</f>
        <v>Abrir facsímil</v>
      </c>
      <c r="K7640" s="3" t="s">
        <v>23</v>
      </c>
    </row>
    <row r="7641" spans="1:11" ht="42" customHeight="1">
      <c r="A7641" s="2" t="s">
        <v>15078</v>
      </c>
      <c r="B7641" s="2" t="s">
        <v>15079</v>
      </c>
      <c r="C7641" s="2" t="s">
        <v>17</v>
      </c>
      <c r="D7641" s="2" t="s">
        <v>18</v>
      </c>
      <c r="E7641" s="5">
        <v>-27876</v>
      </c>
      <c r="F7641" s="3" t="s">
        <v>8384</v>
      </c>
      <c r="G7641" s="3" t="s">
        <v>20</v>
      </c>
      <c r="H7641" s="2" t="s">
        <v>21</v>
      </c>
      <c r="I7641" s="2" t="s">
        <v>15082</v>
      </c>
      <c r="J7641" s="3" t="str">
        <f>HYPERLINK("https://www.boe.es/gazeta/dias/1823/09/04/pdfs/GMD-1823-693.pdf#page=4","Abrir facsímil")</f>
        <v>Abrir facsímil</v>
      </c>
      <c r="K7641" s="3" t="s">
        <v>23</v>
      </c>
    </row>
    <row r="7642" spans="1:11" ht="42" customHeight="1">
      <c r="A7642" s="2" t="s">
        <v>15083</v>
      </c>
      <c r="B7642" s="2" t="s">
        <v>15084</v>
      </c>
      <c r="C7642" s="2" t="s">
        <v>56</v>
      </c>
      <c r="D7642" s="2" t="s">
        <v>57</v>
      </c>
      <c r="E7642" s="5">
        <v>-28027</v>
      </c>
      <c r="F7642" s="3" t="s">
        <v>4234</v>
      </c>
      <c r="G7642" s="3" t="s">
        <v>20</v>
      </c>
      <c r="H7642" s="2" t="s">
        <v>21</v>
      </c>
      <c r="I7642" s="2" t="s">
        <v>15085</v>
      </c>
      <c r="J7642" s="3" t="str">
        <f>HYPERLINK("https://www.boe.es/gazeta/dias/1823/04/06/pdfs/GMD-1823-101.pdf#page=4","Abrir facsímil")</f>
        <v>Abrir facsímil</v>
      </c>
      <c r="K7642" s="3" t="s">
        <v>23</v>
      </c>
    </row>
    <row r="7643" spans="1:11" ht="42" customHeight="1">
      <c r="A7643" s="2" t="s">
        <v>15086</v>
      </c>
      <c r="B7643" s="2" t="s">
        <v>15087</v>
      </c>
      <c r="C7643" s="2" t="s">
        <v>17</v>
      </c>
      <c r="D7643" s="2" t="s">
        <v>18</v>
      </c>
      <c r="E7643" s="5">
        <v>-27867</v>
      </c>
      <c r="F7643" s="3" t="s">
        <v>569</v>
      </c>
      <c r="G7643" s="3" t="s">
        <v>39</v>
      </c>
      <c r="H7643" s="2" t="s">
        <v>21</v>
      </c>
      <c r="I7643" s="2" t="s">
        <v>15088</v>
      </c>
      <c r="J7643" s="3" t="str">
        <f>HYPERLINK("https://www.boe.es/gazeta/dias/1823/09/13/pdfs/GES-1823-157.pdf#page=1","Abrir facsímil")</f>
        <v>Abrir facsímil</v>
      </c>
      <c r="K7643" s="3" t="s">
        <v>23</v>
      </c>
    </row>
    <row r="7644" spans="1:11" ht="42" customHeight="1">
      <c r="A7644" s="2" t="s">
        <v>15089</v>
      </c>
      <c r="B7644" s="2" t="s">
        <v>15089</v>
      </c>
      <c r="C7644" s="2" t="s">
        <v>73</v>
      </c>
      <c r="D7644" s="2" t="s">
        <v>74</v>
      </c>
      <c r="E7644" s="5">
        <v>-28056</v>
      </c>
      <c r="F7644" s="3" t="s">
        <v>572</v>
      </c>
      <c r="G7644" s="3" t="s">
        <v>20</v>
      </c>
      <c r="H7644" s="2" t="s">
        <v>21</v>
      </c>
      <c r="I7644" s="2" t="s">
        <v>15090</v>
      </c>
      <c r="J7644" s="3" t="str">
        <f>HYPERLINK("https://www.boe.es/gazeta/dias/1823/03/08/pdfs/GMD-1823-71.pdf#page=4","Abrir facsímil")</f>
        <v>Abrir facsímil</v>
      </c>
      <c r="K7644" s="3" t="s">
        <v>23</v>
      </c>
    </row>
    <row r="7645" spans="1:11" ht="42" customHeight="1">
      <c r="A7645" s="2" t="s">
        <v>15089</v>
      </c>
      <c r="B7645" s="2" t="s">
        <v>15089</v>
      </c>
      <c r="C7645" s="2" t="s">
        <v>84</v>
      </c>
      <c r="D7645" s="2" t="s">
        <v>74</v>
      </c>
      <c r="E7645" s="5">
        <v>-27871</v>
      </c>
      <c r="F7645" s="3" t="s">
        <v>782</v>
      </c>
      <c r="G7645" s="3" t="s">
        <v>20</v>
      </c>
      <c r="H7645" s="2" t="s">
        <v>21</v>
      </c>
      <c r="I7645" s="2" t="s">
        <v>15091</v>
      </c>
      <c r="J7645" s="3" t="str">
        <f>HYPERLINK("https://www.boe.es/gazeta/dias/1823/09/09/pdfs/GES-1823-153.pdf#page=4","Abrir facsímil")</f>
        <v>Abrir facsímil</v>
      </c>
      <c r="K7645" s="3" t="s">
        <v>23</v>
      </c>
    </row>
    <row r="7646" spans="1:11" ht="42" customHeight="1">
      <c r="A7646" s="2" t="s">
        <v>15092</v>
      </c>
      <c r="B7646" s="2" t="s">
        <v>15092</v>
      </c>
      <c r="C7646" s="2" t="s">
        <v>56</v>
      </c>
      <c r="D7646" s="2" t="s">
        <v>57</v>
      </c>
      <c r="E7646" s="5">
        <v>-28057</v>
      </c>
      <c r="F7646" s="3" t="s">
        <v>301</v>
      </c>
      <c r="G7646" s="3" t="s">
        <v>27</v>
      </c>
      <c r="H7646" s="2" t="s">
        <v>21</v>
      </c>
      <c r="I7646" s="2" t="s">
        <v>15093</v>
      </c>
      <c r="J7646" s="3" t="str">
        <f>HYPERLINK("https://www.boe.es/gazeta/dias/1823/03/07/pdfs/GMD-1823-70.pdf#page=2","Abrir facsímil")</f>
        <v>Abrir facsímil</v>
      </c>
      <c r="K7646" s="3" t="s">
        <v>23</v>
      </c>
    </row>
    <row r="7647" spans="1:11" ht="42" customHeight="1">
      <c r="A7647" s="2" t="s">
        <v>15094</v>
      </c>
      <c r="B7647" s="2" t="s">
        <v>15095</v>
      </c>
      <c r="C7647" s="2" t="s">
        <v>17</v>
      </c>
      <c r="D7647" s="2" t="s">
        <v>18</v>
      </c>
      <c r="E7647" s="5">
        <v>-27999</v>
      </c>
      <c r="F7647" s="3" t="s">
        <v>97</v>
      </c>
      <c r="G7647" s="3" t="s">
        <v>1257</v>
      </c>
      <c r="H7647" s="2" t="s">
        <v>21</v>
      </c>
      <c r="I7647" s="2" t="s">
        <v>15096</v>
      </c>
      <c r="J7647" s="3" t="str">
        <f>HYPERLINK("https://www.boe.es/gazeta/dias/1823/05/04/pdfs/GES-1823-24.pdf#page=2","Abrir facsímil")</f>
        <v>Abrir facsímil</v>
      </c>
      <c r="K7647" s="3" t="s">
        <v>23</v>
      </c>
    </row>
    <row r="7648" spans="1:11" ht="42" customHeight="1">
      <c r="A7648" s="2" t="s">
        <v>15097</v>
      </c>
      <c r="B7648" s="2" t="s">
        <v>15098</v>
      </c>
      <c r="C7648" s="2" t="s">
        <v>56</v>
      </c>
      <c r="D7648" s="2" t="s">
        <v>57</v>
      </c>
      <c r="E7648" s="5">
        <v>-28042</v>
      </c>
      <c r="F7648" s="3" t="s">
        <v>1218</v>
      </c>
      <c r="G7648" s="3" t="s">
        <v>20</v>
      </c>
      <c r="H7648" s="2" t="s">
        <v>21</v>
      </c>
      <c r="I7648" s="2" t="s">
        <v>15099</v>
      </c>
      <c r="J7648" s="3" t="str">
        <f>HYPERLINK("https://www.boe.es/gazeta/dias/1823/03/22/pdfs/GMD-1823-85.pdf#page=4","Abrir facsímil")</f>
        <v>Abrir facsímil</v>
      </c>
      <c r="K7648" s="3" t="s">
        <v>23</v>
      </c>
    </row>
    <row r="7649" spans="1:11" ht="42" customHeight="1">
      <c r="A7649" s="2" t="s">
        <v>15100</v>
      </c>
      <c r="B7649" s="2" t="s">
        <v>15100</v>
      </c>
      <c r="C7649" s="2" t="s">
        <v>17</v>
      </c>
      <c r="D7649" s="2" t="s">
        <v>18</v>
      </c>
      <c r="E7649" s="5">
        <v>-28102</v>
      </c>
      <c r="F7649" s="3" t="s">
        <v>287</v>
      </c>
      <c r="G7649" s="3" t="s">
        <v>48</v>
      </c>
      <c r="H7649" s="2" t="s">
        <v>21</v>
      </c>
      <c r="I7649" s="2" t="s">
        <v>15101</v>
      </c>
      <c r="J7649" s="3" t="str">
        <f>HYPERLINK("https://www.boe.es/gazeta/dias/1823/01/21/pdfs/GMD-1823-22.pdf#page=3","Abrir facsímil")</f>
        <v>Abrir facsímil</v>
      </c>
      <c r="K7649" s="3" t="s">
        <v>23</v>
      </c>
    </row>
    <row r="7650" spans="1:11" ht="42" customHeight="1">
      <c r="A7650" s="2" t="s">
        <v>15100</v>
      </c>
      <c r="B7650" s="2" t="s">
        <v>15100</v>
      </c>
      <c r="C7650" s="2" t="s">
        <v>17</v>
      </c>
      <c r="D7650" s="2" t="s">
        <v>18</v>
      </c>
      <c r="E7650" s="5">
        <v>-28097</v>
      </c>
      <c r="F7650" s="3" t="s">
        <v>1368</v>
      </c>
      <c r="G7650" s="3" t="s">
        <v>27</v>
      </c>
      <c r="H7650" s="2" t="s">
        <v>21</v>
      </c>
      <c r="I7650" s="2" t="s">
        <v>15102</v>
      </c>
      <c r="J7650" s="3" t="str">
        <f>HYPERLINK("https://www.boe.es/gazeta/dias/1823/01/26/pdfs/GMD-1823-27.pdf#page=2","Abrir facsímil")</f>
        <v>Abrir facsímil</v>
      </c>
      <c r="K7650" s="3" t="s">
        <v>23</v>
      </c>
    </row>
    <row r="7651" spans="1:11" ht="42" customHeight="1">
      <c r="A7651" s="2" t="s">
        <v>15100</v>
      </c>
      <c r="B7651" s="2" t="s">
        <v>15100</v>
      </c>
      <c r="C7651" s="2" t="s">
        <v>109</v>
      </c>
      <c r="D7651" s="2" t="s">
        <v>74</v>
      </c>
      <c r="E7651" s="5">
        <v>-28076</v>
      </c>
      <c r="F7651" s="3" t="s">
        <v>1638</v>
      </c>
      <c r="G7651" s="3" t="s">
        <v>20</v>
      </c>
      <c r="H7651" s="2" t="s">
        <v>21</v>
      </c>
      <c r="I7651" s="2" t="s">
        <v>15103</v>
      </c>
      <c r="J7651" s="3" t="str">
        <f>HYPERLINK("https://www.boe.es/gazeta/dias/1823/02/16/pdfs/GMD-1823-50.pdf#page=4","Abrir facsímil")</f>
        <v>Abrir facsímil</v>
      </c>
      <c r="K7651" s="3" t="s">
        <v>23</v>
      </c>
    </row>
    <row r="7652" spans="1:11" ht="42" customHeight="1">
      <c r="A7652" s="2" t="s">
        <v>15100</v>
      </c>
      <c r="B7652" s="2" t="s">
        <v>15100</v>
      </c>
      <c r="C7652" s="2" t="s">
        <v>56</v>
      </c>
      <c r="D7652" s="2" t="s">
        <v>57</v>
      </c>
      <c r="E7652" s="5">
        <v>-28009</v>
      </c>
      <c r="F7652" s="3" t="s">
        <v>307</v>
      </c>
      <c r="G7652" s="3" t="s">
        <v>27</v>
      </c>
      <c r="H7652" s="2" t="s">
        <v>21</v>
      </c>
      <c r="I7652" s="2" t="s">
        <v>15104</v>
      </c>
      <c r="J7652" s="3" t="str">
        <f>HYPERLINK("https://www.boe.es/gazeta/dias/1823/04/24/pdfs/GES-1823-14.pdf#page=2","Abrir facsímil")</f>
        <v>Abrir facsímil</v>
      </c>
      <c r="K7652" s="3" t="s">
        <v>23</v>
      </c>
    </row>
    <row r="7653" spans="1:11" ht="42" customHeight="1">
      <c r="A7653" s="2" t="s">
        <v>15100</v>
      </c>
      <c r="B7653" s="2" t="s">
        <v>15100</v>
      </c>
      <c r="C7653" s="2" t="s">
        <v>17</v>
      </c>
      <c r="D7653" s="2" t="s">
        <v>18</v>
      </c>
      <c r="E7653" s="5">
        <v>-28007</v>
      </c>
      <c r="F7653" s="3" t="s">
        <v>311</v>
      </c>
      <c r="G7653" s="3" t="s">
        <v>27</v>
      </c>
      <c r="H7653" s="2" t="s">
        <v>21</v>
      </c>
      <c r="I7653" s="2" t="s">
        <v>15105</v>
      </c>
      <c r="J7653" s="3" t="str">
        <f>HYPERLINK("https://www.boe.es/gazeta/dias/1823/04/26/pdfs/GES-1823-16.pdf#page=2","Abrir facsímil")</f>
        <v>Abrir facsímil</v>
      </c>
      <c r="K7653" s="3" t="s">
        <v>23</v>
      </c>
    </row>
    <row r="7654" spans="1:11" ht="42" customHeight="1">
      <c r="A7654" s="2" t="s">
        <v>15100</v>
      </c>
      <c r="B7654" s="2" t="s">
        <v>15100</v>
      </c>
      <c r="C7654" s="2" t="s">
        <v>17</v>
      </c>
      <c r="D7654" s="2" t="s">
        <v>18</v>
      </c>
      <c r="E7654" s="5">
        <v>-28003</v>
      </c>
      <c r="F7654" s="3" t="s">
        <v>26</v>
      </c>
      <c r="G7654" s="3" t="s">
        <v>48</v>
      </c>
      <c r="H7654" s="2" t="s">
        <v>21</v>
      </c>
      <c r="I7654" s="2" t="s">
        <v>15106</v>
      </c>
      <c r="J7654" s="3" t="str">
        <f>HYPERLINK("https://www.boe.es/gazeta/dias/1823/04/30/pdfs/GES-1823-20.pdf#page=3","Abrir facsímil")</f>
        <v>Abrir facsímil</v>
      </c>
      <c r="K7654" s="3" t="s">
        <v>23</v>
      </c>
    </row>
    <row r="7655" spans="1:11" ht="42" customHeight="1">
      <c r="A7655" s="2" t="s">
        <v>15100</v>
      </c>
      <c r="B7655" s="2" t="s">
        <v>15100</v>
      </c>
      <c r="C7655" s="2" t="s">
        <v>79</v>
      </c>
      <c r="D7655" s="2" t="s">
        <v>74</v>
      </c>
      <c r="E7655" s="5">
        <v>-28002</v>
      </c>
      <c r="F7655" s="3" t="s">
        <v>315</v>
      </c>
      <c r="G7655" s="3" t="s">
        <v>48</v>
      </c>
      <c r="H7655" s="2" t="s">
        <v>21</v>
      </c>
      <c r="I7655" s="2" t="s">
        <v>15107</v>
      </c>
      <c r="J7655" s="3" t="str">
        <f>HYPERLINK("https://www.boe.es/gazeta/dias/1823/05/01/pdfs/GES-1823-21.pdf#page=3","Abrir facsímil")</f>
        <v>Abrir facsímil</v>
      </c>
      <c r="K7655" s="3" t="s">
        <v>23</v>
      </c>
    </row>
    <row r="7656" spans="1:11" ht="42" customHeight="1">
      <c r="A7656" s="2" t="s">
        <v>15100</v>
      </c>
      <c r="B7656" s="2" t="s">
        <v>15100</v>
      </c>
      <c r="C7656" s="2" t="s">
        <v>79</v>
      </c>
      <c r="D7656" s="2" t="s">
        <v>74</v>
      </c>
      <c r="E7656" s="5">
        <v>-27994</v>
      </c>
      <c r="F7656" s="3" t="s">
        <v>714</v>
      </c>
      <c r="G7656" s="3" t="s">
        <v>27</v>
      </c>
      <c r="H7656" s="2" t="s">
        <v>21</v>
      </c>
      <c r="I7656" s="2" t="s">
        <v>15108</v>
      </c>
      <c r="J7656" s="3" t="str">
        <f>HYPERLINK("https://www.boe.es/gazeta/dias/1823/05/09/pdfs/GES-1823-29.pdf#page=2","Abrir facsímil")</f>
        <v>Abrir facsímil</v>
      </c>
      <c r="K7656" s="3" t="s">
        <v>23</v>
      </c>
    </row>
    <row r="7657" spans="1:11" ht="42" customHeight="1">
      <c r="A7657" s="2" t="s">
        <v>15100</v>
      </c>
      <c r="B7657" s="2" t="s">
        <v>15100</v>
      </c>
      <c r="C7657" s="2" t="s">
        <v>17</v>
      </c>
      <c r="D7657" s="2" t="s">
        <v>18</v>
      </c>
      <c r="E7657" s="5">
        <v>-27994</v>
      </c>
      <c r="F7657" s="3" t="s">
        <v>714</v>
      </c>
      <c r="G7657" s="3" t="s">
        <v>59</v>
      </c>
      <c r="H7657" s="2" t="s">
        <v>21</v>
      </c>
      <c r="I7657" s="2" t="s">
        <v>15109</v>
      </c>
      <c r="J7657" s="3" t="str">
        <f>HYPERLINK("https://www.boe.es/gazeta/dias/1823/05/09/pdfs/GES-1823-29.pdf#page=6","Abrir facsímil")</f>
        <v>Abrir facsímil</v>
      </c>
      <c r="K7657" s="3" t="s">
        <v>23</v>
      </c>
    </row>
    <row r="7658" spans="1:11" ht="42" customHeight="1">
      <c r="A7658" s="2" t="s">
        <v>15100</v>
      </c>
      <c r="B7658" s="2" t="s">
        <v>15100</v>
      </c>
      <c r="C7658" s="2" t="s">
        <v>109</v>
      </c>
      <c r="D7658" s="2" t="s">
        <v>74</v>
      </c>
      <c r="E7658" s="5">
        <v>-27988</v>
      </c>
      <c r="F7658" s="3" t="s">
        <v>2022</v>
      </c>
      <c r="G7658" s="3" t="s">
        <v>27</v>
      </c>
      <c r="H7658" s="2" t="s">
        <v>21</v>
      </c>
      <c r="I7658" s="2" t="s">
        <v>15110</v>
      </c>
      <c r="J7658" s="3" t="str">
        <f>HYPERLINK("https://www.boe.es/gazeta/dias/1823/05/15/pdfs/GMD-1823-142.pdf#page=2","Abrir facsímil")</f>
        <v>Abrir facsímil</v>
      </c>
      <c r="K7658" s="3" t="s">
        <v>23</v>
      </c>
    </row>
    <row r="7659" spans="1:11" ht="42" customHeight="1">
      <c r="A7659" s="2" t="s">
        <v>15100</v>
      </c>
      <c r="B7659" s="2" t="s">
        <v>15100</v>
      </c>
      <c r="C7659" s="2" t="s">
        <v>79</v>
      </c>
      <c r="D7659" s="2" t="s">
        <v>74</v>
      </c>
      <c r="E7659" s="5">
        <v>-27987</v>
      </c>
      <c r="F7659" s="3" t="s">
        <v>332</v>
      </c>
      <c r="G7659" s="3" t="s">
        <v>20</v>
      </c>
      <c r="H7659" s="2" t="s">
        <v>21</v>
      </c>
      <c r="I7659" s="2" t="s">
        <v>15111</v>
      </c>
      <c r="J7659" s="3" t="str">
        <f>HYPERLINK("https://www.boe.es/gazeta/dias/1823/05/16/pdfs/GES-1823-36.pdf#page=4","Abrir facsímil")</f>
        <v>Abrir facsímil</v>
      </c>
      <c r="K7659" s="3" t="s">
        <v>23</v>
      </c>
    </row>
    <row r="7660" spans="1:11" ht="42" customHeight="1">
      <c r="A7660" s="2" t="s">
        <v>15100</v>
      </c>
      <c r="B7660" s="2" t="s">
        <v>15100</v>
      </c>
      <c r="C7660" s="2" t="s">
        <v>73</v>
      </c>
      <c r="D7660" s="2" t="s">
        <v>74</v>
      </c>
      <c r="E7660" s="5">
        <v>-27982</v>
      </c>
      <c r="F7660" s="3" t="s">
        <v>340</v>
      </c>
      <c r="G7660" s="3" t="s">
        <v>48</v>
      </c>
      <c r="H7660" s="2" t="s">
        <v>21</v>
      </c>
      <c r="I7660" s="2" t="s">
        <v>15112</v>
      </c>
      <c r="J7660" s="3" t="str">
        <f>HYPERLINK("https://www.boe.es/gazeta/dias/1823/05/21/pdfs/GES-1823-42.pdf#page=3","Abrir facsímil")</f>
        <v>Abrir facsímil</v>
      </c>
      <c r="K7660" s="3" t="s">
        <v>23</v>
      </c>
    </row>
    <row r="7661" spans="1:11" ht="42" customHeight="1">
      <c r="A7661" s="2" t="s">
        <v>15100</v>
      </c>
      <c r="B7661" s="2" t="s">
        <v>15100</v>
      </c>
      <c r="C7661" s="2" t="s">
        <v>84</v>
      </c>
      <c r="D7661" s="2" t="s">
        <v>74</v>
      </c>
      <c r="E7661" s="5">
        <v>-27935</v>
      </c>
      <c r="F7661" s="3" t="s">
        <v>350</v>
      </c>
      <c r="G7661" s="3" t="s">
        <v>48</v>
      </c>
      <c r="H7661" s="2" t="s">
        <v>21</v>
      </c>
      <c r="I7661" s="2" t="s">
        <v>15113</v>
      </c>
      <c r="J7661" s="3" t="str">
        <f>HYPERLINK("https://www.boe.es/gazeta/dias/1823/07/07/pdfs/GES-1823-87.pdf#page=3","Abrir facsímil")</f>
        <v>Abrir facsímil</v>
      </c>
      <c r="K7661" s="3" t="s">
        <v>23</v>
      </c>
    </row>
    <row r="7662" spans="1:11" ht="42" customHeight="1">
      <c r="A7662" s="2" t="s">
        <v>15100</v>
      </c>
      <c r="B7662" s="2" t="s">
        <v>15100</v>
      </c>
      <c r="C7662" s="2" t="s">
        <v>17</v>
      </c>
      <c r="D7662" s="2" t="s">
        <v>18</v>
      </c>
      <c r="E7662" s="5">
        <v>-27934</v>
      </c>
      <c r="F7662" s="3" t="s">
        <v>2155</v>
      </c>
      <c r="G7662" s="3" t="s">
        <v>48</v>
      </c>
      <c r="H7662" s="2" t="s">
        <v>21</v>
      </c>
      <c r="I7662" s="2" t="s">
        <v>15114</v>
      </c>
      <c r="J7662" s="3" t="str">
        <f>HYPERLINK("https://www.boe.es/gazeta/dias/1823/07/08/pdfs/GES-1823-88.pdf#page=3","Abrir facsímil")</f>
        <v>Abrir facsímil</v>
      </c>
      <c r="K7662" s="3" t="s">
        <v>23</v>
      </c>
    </row>
    <row r="7663" spans="1:11" ht="42" customHeight="1">
      <c r="A7663" s="2" t="s">
        <v>15100</v>
      </c>
      <c r="B7663" s="2" t="s">
        <v>15100</v>
      </c>
      <c r="C7663" s="2" t="s">
        <v>17</v>
      </c>
      <c r="D7663" s="2" t="s">
        <v>18</v>
      </c>
      <c r="E7663" s="5">
        <v>-27906</v>
      </c>
      <c r="F7663" s="3" t="s">
        <v>241</v>
      </c>
      <c r="G7663" s="3" t="s">
        <v>2212</v>
      </c>
      <c r="H7663" s="2" t="s">
        <v>21</v>
      </c>
      <c r="I7663" s="2" t="s">
        <v>15115</v>
      </c>
      <c r="J7663" s="3" t="str">
        <f>HYPERLINK("https://www.boe.es/gazeta/dias/1823/08/05/pdfs/GES-1823-117.pdf#page=2","Abrir facsímil")</f>
        <v>Abrir facsímil</v>
      </c>
      <c r="K7663" s="3" t="s">
        <v>23</v>
      </c>
    </row>
    <row r="7664" spans="1:11" ht="42" customHeight="1">
      <c r="A7664" s="2" t="s">
        <v>15100</v>
      </c>
      <c r="B7664" s="2" t="s">
        <v>15100</v>
      </c>
      <c r="C7664" s="2" t="s">
        <v>56</v>
      </c>
      <c r="D7664" s="2" t="s">
        <v>57</v>
      </c>
      <c r="E7664" s="5">
        <v>-27906</v>
      </c>
      <c r="F7664" s="3" t="s">
        <v>241</v>
      </c>
      <c r="G7664" s="3" t="s">
        <v>39</v>
      </c>
      <c r="H7664" s="2" t="s">
        <v>21</v>
      </c>
      <c r="I7664" s="2" t="s">
        <v>15116</v>
      </c>
      <c r="J7664" s="3" t="str">
        <f>HYPERLINK("https://www.boe.es/gazeta/dias/1823/08/05/pdfs/GES-1823-117.pdf#page=1","Abrir facsímil")</f>
        <v>Abrir facsímil</v>
      </c>
      <c r="K7664" s="3" t="s">
        <v>23</v>
      </c>
    </row>
    <row r="7665" spans="1:11" ht="42" customHeight="1">
      <c r="A7665" s="2" t="s">
        <v>15117</v>
      </c>
      <c r="B7665" s="2" t="s">
        <v>15117</v>
      </c>
      <c r="C7665" s="2" t="s">
        <v>56</v>
      </c>
      <c r="D7665" s="2" t="s">
        <v>57</v>
      </c>
      <c r="E7665" s="5">
        <v>-27950</v>
      </c>
      <c r="F7665" s="3" t="s">
        <v>4513</v>
      </c>
      <c r="G7665" s="3" t="s">
        <v>39</v>
      </c>
      <c r="H7665" s="2" t="s">
        <v>21</v>
      </c>
      <c r="I7665" s="2" t="s">
        <v>15118</v>
      </c>
      <c r="J7665" s="3" t="str">
        <f>HYPERLINK("https://www.boe.es/gazeta/dias/1823/06/22/pdfs/GES-1823-70.pdf#page=1","Abrir facsímil")</f>
        <v>Abrir facsímil</v>
      </c>
      <c r="K7665" s="3" t="s">
        <v>23</v>
      </c>
    </row>
    <row r="7666" spans="1:11" ht="42" customHeight="1">
      <c r="A7666" s="2" t="s">
        <v>15119</v>
      </c>
      <c r="B7666" s="2" t="s">
        <v>15119</v>
      </c>
      <c r="C7666" s="2" t="s">
        <v>17</v>
      </c>
      <c r="D7666" s="2" t="s">
        <v>18</v>
      </c>
      <c r="E7666" s="5">
        <v>-27950</v>
      </c>
      <c r="F7666" s="3" t="s">
        <v>4513</v>
      </c>
      <c r="G7666" s="3" t="s">
        <v>27</v>
      </c>
      <c r="H7666" s="2" t="s">
        <v>21</v>
      </c>
      <c r="I7666" s="2" t="s">
        <v>15120</v>
      </c>
      <c r="J7666" s="3" t="str">
        <f>HYPERLINK("https://www.boe.es/gazeta/dias/1823/06/22/pdfs/GES-1823-70.pdf#page=2","Abrir facsímil")</f>
        <v>Abrir facsímil</v>
      </c>
      <c r="K7666" s="3" t="s">
        <v>23</v>
      </c>
    </row>
    <row r="7667" spans="1:11" ht="42" customHeight="1">
      <c r="A7667" s="2" t="s">
        <v>15121</v>
      </c>
      <c r="B7667" s="2" t="s">
        <v>15122</v>
      </c>
      <c r="C7667" s="2" t="s">
        <v>17</v>
      </c>
      <c r="D7667" s="2" t="s">
        <v>18</v>
      </c>
      <c r="E7667" s="5">
        <v>-28085</v>
      </c>
      <c r="F7667" s="3" t="s">
        <v>458</v>
      </c>
      <c r="G7667" s="3" t="s">
        <v>59</v>
      </c>
      <c r="H7667" s="2" t="s">
        <v>21</v>
      </c>
      <c r="I7667" s="2" t="s">
        <v>15123</v>
      </c>
      <c r="J7667" s="3" t="str">
        <f>HYPERLINK("https://www.boe.es/gazeta/dias/1823/02/07/pdfs/GMD-1823-40.pdf#page=6","Abrir facsímil")</f>
        <v>Abrir facsímil</v>
      </c>
      <c r="K7667" s="3" t="s">
        <v>23</v>
      </c>
    </row>
    <row r="7668" spans="1:11" ht="42" customHeight="1">
      <c r="A7668" s="2" t="s">
        <v>15124</v>
      </c>
      <c r="B7668" s="2" t="s">
        <v>15124</v>
      </c>
      <c r="C7668" s="2" t="s">
        <v>73</v>
      </c>
      <c r="D7668" s="2" t="s">
        <v>74</v>
      </c>
      <c r="E7668" s="5">
        <v>-28004</v>
      </c>
      <c r="F7668" s="3" t="s">
        <v>33</v>
      </c>
      <c r="G7668" s="3" t="s">
        <v>34</v>
      </c>
      <c r="H7668" s="2" t="s">
        <v>21</v>
      </c>
      <c r="I7668" s="2" t="s">
        <v>15125</v>
      </c>
      <c r="J7668" s="3" t="str">
        <f>HYPERLINK("https://www.boe.es/gazeta/dias/1823/04/29/pdfs/GES-1823-19.pdf#page=5","Abrir facsímil")</f>
        <v>Abrir facsímil</v>
      </c>
      <c r="K7668" s="3" t="s">
        <v>23</v>
      </c>
    </row>
    <row r="7669" spans="1:11" ht="42" customHeight="1">
      <c r="A7669" s="2" t="s">
        <v>15126</v>
      </c>
      <c r="B7669" s="2" t="s">
        <v>15126</v>
      </c>
      <c r="C7669" s="2" t="s">
        <v>17</v>
      </c>
      <c r="D7669" s="2" t="s">
        <v>18</v>
      </c>
      <c r="E7669" s="5">
        <v>-27937</v>
      </c>
      <c r="F7669" s="3" t="s">
        <v>730</v>
      </c>
      <c r="G7669" s="3" t="s">
        <v>39</v>
      </c>
      <c r="H7669" s="2" t="s">
        <v>21</v>
      </c>
      <c r="I7669" s="2" t="s">
        <v>15127</v>
      </c>
      <c r="J7669" s="3" t="str">
        <f>HYPERLINK("https://www.boe.es/gazeta/dias/1823/07/05/pdfs/GES-1823-85.pdf#page=1","Abrir facsímil")</f>
        <v>Abrir facsímil</v>
      </c>
      <c r="K7669" s="3" t="s">
        <v>23</v>
      </c>
    </row>
    <row r="7670" spans="1:11" ht="42" customHeight="1">
      <c r="A7670" s="2" t="s">
        <v>15128</v>
      </c>
      <c r="B7670" s="2" t="s">
        <v>15128</v>
      </c>
      <c r="C7670" s="2" t="s">
        <v>56</v>
      </c>
      <c r="D7670" s="2" t="s">
        <v>57</v>
      </c>
      <c r="E7670" s="5">
        <v>-28115</v>
      </c>
      <c r="F7670" s="3" t="s">
        <v>579</v>
      </c>
      <c r="G7670" s="3" t="s">
        <v>27</v>
      </c>
      <c r="H7670" s="2" t="s">
        <v>21</v>
      </c>
      <c r="I7670" s="2" t="s">
        <v>15129</v>
      </c>
      <c r="J7670" s="3" t="str">
        <f>HYPERLINK("https://www.boe.es/gazeta/dias/1823/01/08/pdfs/GMD-1823-8.pdf#page=2","Abrir facsímil")</f>
        <v>Abrir facsímil</v>
      </c>
      <c r="K7670" s="3" t="s">
        <v>23</v>
      </c>
    </row>
    <row r="7671" spans="1:11" ht="42" customHeight="1">
      <c r="A7671" s="2" t="s">
        <v>15128</v>
      </c>
      <c r="B7671" s="2" t="s">
        <v>15128</v>
      </c>
      <c r="C7671" s="2" t="s">
        <v>79</v>
      </c>
      <c r="D7671" s="2" t="s">
        <v>74</v>
      </c>
      <c r="E7671" s="5">
        <v>-28107</v>
      </c>
      <c r="F7671" s="3" t="s">
        <v>278</v>
      </c>
      <c r="G7671" s="3" t="s">
        <v>20</v>
      </c>
      <c r="H7671" s="2" t="s">
        <v>21</v>
      </c>
      <c r="I7671" s="2" t="s">
        <v>15130</v>
      </c>
      <c r="J7671" s="3" t="str">
        <f>HYPERLINK("https://www.boe.es/gazeta/dias/1823/01/16/pdfs/GMD-1823-16.pdf#page=4","Abrir facsímil")</f>
        <v>Abrir facsímil</v>
      </c>
      <c r="K7671" s="3" t="s">
        <v>23</v>
      </c>
    </row>
    <row r="7672" spans="1:11" ht="42" customHeight="1">
      <c r="A7672" s="2" t="s">
        <v>15128</v>
      </c>
      <c r="B7672" s="2" t="s">
        <v>15128</v>
      </c>
      <c r="C7672" s="2" t="s">
        <v>56</v>
      </c>
      <c r="D7672" s="2" t="s">
        <v>57</v>
      </c>
      <c r="E7672" s="5">
        <v>-28106</v>
      </c>
      <c r="F7672" s="3" t="s">
        <v>280</v>
      </c>
      <c r="G7672" s="3" t="s">
        <v>48</v>
      </c>
      <c r="H7672" s="2" t="s">
        <v>21</v>
      </c>
      <c r="I7672" s="2" t="s">
        <v>15131</v>
      </c>
      <c r="J7672" s="3" t="str">
        <f>HYPERLINK("https://www.boe.es/gazeta/dias/1823/01/17/pdfs/GMD-1823-17.pdf#page=3","Abrir facsímil")</f>
        <v>Abrir facsímil</v>
      </c>
      <c r="K7672" s="3" t="s">
        <v>23</v>
      </c>
    </row>
    <row r="7673" spans="1:11" ht="42" customHeight="1">
      <c r="A7673" s="2" t="s">
        <v>15128</v>
      </c>
      <c r="B7673" s="2" t="s">
        <v>15128</v>
      </c>
      <c r="C7673" s="2" t="s">
        <v>56</v>
      </c>
      <c r="D7673" s="2" t="s">
        <v>57</v>
      </c>
      <c r="E7673" s="5">
        <v>-28084</v>
      </c>
      <c r="F7673" s="3" t="s">
        <v>1049</v>
      </c>
      <c r="G7673" s="3" t="s">
        <v>3129</v>
      </c>
      <c r="H7673" s="2" t="s">
        <v>21</v>
      </c>
      <c r="I7673" s="2" t="s">
        <v>15132</v>
      </c>
      <c r="J7673" s="3" t="str">
        <f>HYPERLINK("https://www.boe.es/gazeta/dias/1823/02/08/pdfs/GMD-1823-41.pdf#page=2","Abrir facsímil")</f>
        <v>Abrir facsímil</v>
      </c>
      <c r="K7673" s="3" t="s">
        <v>23</v>
      </c>
    </row>
    <row r="7674" spans="1:11" ht="42" customHeight="1">
      <c r="A7674" s="2" t="s">
        <v>15128</v>
      </c>
      <c r="B7674" s="2" t="s">
        <v>15128</v>
      </c>
      <c r="C7674" s="2" t="s">
        <v>17</v>
      </c>
      <c r="D7674" s="2" t="s">
        <v>18</v>
      </c>
      <c r="E7674" s="5">
        <v>-28082</v>
      </c>
      <c r="F7674" s="3" t="s">
        <v>468</v>
      </c>
      <c r="G7674" s="3" t="s">
        <v>27</v>
      </c>
      <c r="H7674" s="2" t="s">
        <v>21</v>
      </c>
      <c r="I7674" s="2" t="s">
        <v>15133</v>
      </c>
      <c r="J7674" s="3" t="str">
        <f>HYPERLINK("https://www.boe.es/gazeta/dias/1823/02/10/pdfs/GMD-1823-44.pdf#page=2","Abrir facsímil")</f>
        <v>Abrir facsímil</v>
      </c>
      <c r="K7674" s="3" t="s">
        <v>23</v>
      </c>
    </row>
    <row r="7675" spans="1:11" ht="42" customHeight="1">
      <c r="A7675" s="2" t="s">
        <v>15128</v>
      </c>
      <c r="B7675" s="2" t="s">
        <v>15128</v>
      </c>
      <c r="C7675" s="2" t="s">
        <v>56</v>
      </c>
      <c r="D7675" s="2" t="s">
        <v>57</v>
      </c>
      <c r="E7675" s="5">
        <v>-27994</v>
      </c>
      <c r="F7675" s="3" t="s">
        <v>714</v>
      </c>
      <c r="G7675" s="3" t="s">
        <v>27</v>
      </c>
      <c r="H7675" s="2" t="s">
        <v>21</v>
      </c>
      <c r="I7675" s="2" t="s">
        <v>15134</v>
      </c>
      <c r="J7675" s="3" t="str">
        <f>HYPERLINK("https://www.boe.es/gazeta/dias/1823/05/09/pdfs/GES-1823-29.pdf#page=2","Abrir facsímil")</f>
        <v>Abrir facsímil</v>
      </c>
      <c r="K7675" s="3" t="s">
        <v>23</v>
      </c>
    </row>
    <row r="7676" spans="1:11" ht="42" customHeight="1">
      <c r="A7676" s="2" t="s">
        <v>15128</v>
      </c>
      <c r="B7676" s="2" t="s">
        <v>15128</v>
      </c>
      <c r="C7676" s="2" t="s">
        <v>73</v>
      </c>
      <c r="D7676" s="2" t="s">
        <v>74</v>
      </c>
      <c r="E7676" s="5">
        <v>-27990</v>
      </c>
      <c r="F7676" s="3" t="s">
        <v>1132</v>
      </c>
      <c r="G7676" s="3" t="s">
        <v>48</v>
      </c>
      <c r="H7676" s="2" t="s">
        <v>21</v>
      </c>
      <c r="I7676" s="2" t="s">
        <v>15135</v>
      </c>
      <c r="J7676" s="3" t="str">
        <f>HYPERLINK("https://www.boe.es/gazeta/dias/1823/05/13/pdfs/GES-1823-33.pdf#page=3","Abrir facsímil")</f>
        <v>Abrir facsímil</v>
      </c>
      <c r="K7676" s="3" t="s">
        <v>23</v>
      </c>
    </row>
    <row r="7677" spans="1:11" ht="42" customHeight="1">
      <c r="A7677" s="2" t="s">
        <v>15128</v>
      </c>
      <c r="B7677" s="2" t="s">
        <v>15128</v>
      </c>
      <c r="C7677" s="2" t="s">
        <v>109</v>
      </c>
      <c r="D7677" s="2" t="s">
        <v>74</v>
      </c>
      <c r="E7677" s="5">
        <v>-27989</v>
      </c>
      <c r="F7677" s="3" t="s">
        <v>1134</v>
      </c>
      <c r="G7677" s="3" t="s">
        <v>48</v>
      </c>
      <c r="H7677" s="2" t="s">
        <v>21</v>
      </c>
      <c r="I7677" s="2" t="s">
        <v>15136</v>
      </c>
      <c r="J7677" s="3" t="str">
        <f>HYPERLINK("https://www.boe.es/gazeta/dias/1823/05/14/pdfs/GES-1823-34.pdf#page=3","Abrir facsímil")</f>
        <v>Abrir facsímil</v>
      </c>
      <c r="K7677" s="3" t="s">
        <v>23</v>
      </c>
    </row>
    <row r="7678" spans="1:11" ht="42" customHeight="1">
      <c r="A7678" s="2" t="s">
        <v>15128</v>
      </c>
      <c r="B7678" s="2" t="s">
        <v>15128</v>
      </c>
      <c r="C7678" s="2" t="s">
        <v>109</v>
      </c>
      <c r="D7678" s="2" t="s">
        <v>74</v>
      </c>
      <c r="E7678" s="5">
        <v>-27949</v>
      </c>
      <c r="F7678" s="3" t="s">
        <v>1162</v>
      </c>
      <c r="G7678" s="3" t="s">
        <v>48</v>
      </c>
      <c r="H7678" s="2" t="s">
        <v>21</v>
      </c>
      <c r="I7678" s="2" t="s">
        <v>15137</v>
      </c>
      <c r="J7678" s="3" t="str">
        <f>HYPERLINK("https://www.boe.es/gazeta/dias/1823/06/23/pdfs/GES-1823-71.pdf#page=3","Abrir facsímil")</f>
        <v>Abrir facsímil</v>
      </c>
      <c r="K7678" s="3" t="s">
        <v>23</v>
      </c>
    </row>
    <row r="7679" spans="1:11" ht="42" customHeight="1">
      <c r="A7679" s="2" t="s">
        <v>15128</v>
      </c>
      <c r="B7679" s="2" t="s">
        <v>15128</v>
      </c>
      <c r="C7679" s="2" t="s">
        <v>56</v>
      </c>
      <c r="D7679" s="2" t="s">
        <v>57</v>
      </c>
      <c r="E7679" s="5">
        <v>-27915</v>
      </c>
      <c r="F7679" s="3" t="s">
        <v>524</v>
      </c>
      <c r="G7679" s="3" t="s">
        <v>27</v>
      </c>
      <c r="H7679" s="2" t="s">
        <v>21</v>
      </c>
      <c r="I7679" s="2" t="s">
        <v>15138</v>
      </c>
      <c r="J7679" s="3" t="str">
        <f>HYPERLINK("https://www.boe.es/gazeta/dias/1823/07/27/pdfs/GES-1823-108.pdf#page=2","Abrir facsímil")</f>
        <v>Abrir facsímil</v>
      </c>
      <c r="K7679" s="3" t="s">
        <v>23</v>
      </c>
    </row>
    <row r="7680" spans="1:11" ht="42" customHeight="1">
      <c r="A7680" s="2" t="s">
        <v>15128</v>
      </c>
      <c r="B7680" s="2" t="s">
        <v>15128</v>
      </c>
      <c r="C7680" s="2" t="s">
        <v>17</v>
      </c>
      <c r="D7680" s="2" t="s">
        <v>18</v>
      </c>
      <c r="E7680" s="5">
        <v>-27908</v>
      </c>
      <c r="F7680" s="3" t="s">
        <v>80</v>
      </c>
      <c r="G7680" s="3" t="s">
        <v>27</v>
      </c>
      <c r="H7680" s="2" t="s">
        <v>21</v>
      </c>
      <c r="I7680" s="2" t="s">
        <v>15139</v>
      </c>
      <c r="J7680" s="3" t="str">
        <f>HYPERLINK("https://www.boe.es/gazeta/dias/1823/08/03/pdfs/GES-1823-115.pdf#page=2","Abrir facsímil")</f>
        <v>Abrir facsímil</v>
      </c>
      <c r="K7680" s="3" t="s">
        <v>23</v>
      </c>
    </row>
    <row r="7681" spans="1:11" ht="42" customHeight="1">
      <c r="A7681" s="2" t="s">
        <v>15140</v>
      </c>
      <c r="B7681" s="2" t="s">
        <v>15141</v>
      </c>
      <c r="C7681" s="2" t="s">
        <v>17</v>
      </c>
      <c r="D7681" s="2" t="s">
        <v>18</v>
      </c>
      <c r="E7681" s="5">
        <v>-27911</v>
      </c>
      <c r="F7681" s="3" t="s">
        <v>368</v>
      </c>
      <c r="G7681" s="3" t="s">
        <v>39</v>
      </c>
      <c r="H7681" s="2" t="s">
        <v>21</v>
      </c>
      <c r="I7681" s="2" t="s">
        <v>15142</v>
      </c>
      <c r="J7681" s="3" t="str">
        <f>HYPERLINK("https://www.boe.es/gazeta/dias/1823/07/31/pdfs/GES-1823-112.pdf#page=1","Abrir facsímil")</f>
        <v>Abrir facsímil</v>
      </c>
      <c r="K7681" s="3" t="s">
        <v>23</v>
      </c>
    </row>
    <row r="7682" spans="1:11" ht="42" customHeight="1">
      <c r="A7682" s="2" t="s">
        <v>15143</v>
      </c>
      <c r="B7682" s="2" t="s">
        <v>15144</v>
      </c>
      <c r="C7682" s="2" t="s">
        <v>17</v>
      </c>
      <c r="D7682" s="2" t="s">
        <v>18</v>
      </c>
      <c r="E7682" s="5">
        <v>-28055</v>
      </c>
      <c r="F7682" s="3" t="s">
        <v>313</v>
      </c>
      <c r="G7682" s="3" t="s">
        <v>48</v>
      </c>
      <c r="H7682" s="2" t="s">
        <v>21</v>
      </c>
      <c r="I7682" s="2" t="s">
        <v>15145</v>
      </c>
      <c r="J7682" s="3" t="str">
        <f>HYPERLINK("https://www.boe.es/gazeta/dias/1823/03/09/pdfs/GMD-1823-72.pdf#page=3","Abrir facsímil")</f>
        <v>Abrir facsímil</v>
      </c>
      <c r="K7682" s="3" t="s">
        <v>23</v>
      </c>
    </row>
    <row r="7683" spans="1:11" ht="42" customHeight="1">
      <c r="A7683" s="2" t="s">
        <v>15146</v>
      </c>
      <c r="B7683" s="2" t="s">
        <v>15146</v>
      </c>
      <c r="C7683" s="2" t="s">
        <v>17</v>
      </c>
      <c r="D7683" s="2" t="s">
        <v>18</v>
      </c>
      <c r="E7683" s="5">
        <v>-27962</v>
      </c>
      <c r="F7683" s="3" t="s">
        <v>477</v>
      </c>
      <c r="G7683" s="3" t="s">
        <v>48</v>
      </c>
      <c r="H7683" s="2" t="s">
        <v>21</v>
      </c>
      <c r="I7683" s="2" t="s">
        <v>15147</v>
      </c>
      <c r="J7683" s="3" t="str">
        <f>HYPERLINK("https://www.boe.es/gazeta/dias/1823/06/10/pdfs/GMD-1823-103.pdf#page=3","Abrir facsímil")</f>
        <v>Abrir facsímil</v>
      </c>
      <c r="K7683" s="3" t="s">
        <v>23</v>
      </c>
    </row>
    <row r="7684" spans="1:11" ht="42" customHeight="1">
      <c r="A7684" s="2" t="s">
        <v>15148</v>
      </c>
      <c r="B7684" s="2" t="s">
        <v>15148</v>
      </c>
      <c r="C7684" s="2" t="s">
        <v>84</v>
      </c>
      <c r="D7684" s="2" t="s">
        <v>74</v>
      </c>
      <c r="E7684" s="5">
        <v>-27909</v>
      </c>
      <c r="F7684" s="3" t="s">
        <v>948</v>
      </c>
      <c r="G7684" s="3" t="s">
        <v>48</v>
      </c>
      <c r="H7684" s="2" t="s">
        <v>21</v>
      </c>
      <c r="I7684" s="2" t="s">
        <v>15149</v>
      </c>
      <c r="J7684" s="3" t="str">
        <f>HYPERLINK("https://www.boe.es/gazeta/dias/1823/08/02/pdfs/GES-1823-114.pdf#page=3","Abrir facsímil")</f>
        <v>Abrir facsímil</v>
      </c>
      <c r="K7684" s="3" t="s">
        <v>23</v>
      </c>
    </row>
    <row r="7685" spans="1:11" ht="42" customHeight="1">
      <c r="A7685" s="2" t="s">
        <v>15150</v>
      </c>
      <c r="B7685" s="2" t="s">
        <v>15151</v>
      </c>
      <c r="C7685" s="2" t="s">
        <v>17</v>
      </c>
      <c r="D7685" s="2" t="s">
        <v>18</v>
      </c>
      <c r="E7685" s="5">
        <v>-27906</v>
      </c>
      <c r="F7685" s="3" t="s">
        <v>241</v>
      </c>
      <c r="G7685" s="3" t="s">
        <v>20</v>
      </c>
      <c r="H7685" s="2" t="s">
        <v>21</v>
      </c>
      <c r="I7685" s="2" t="s">
        <v>15152</v>
      </c>
      <c r="J7685" s="3" t="str">
        <f>HYPERLINK("https://www.boe.es/gazeta/dias/1823/08/05/pdfs/GES-1823-117.pdf#page=4","Abrir facsímil")</f>
        <v>Abrir facsímil</v>
      </c>
      <c r="K7685" s="3" t="s">
        <v>23</v>
      </c>
    </row>
    <row r="7686" spans="1:11" ht="42" customHeight="1">
      <c r="A7686" s="2" t="s">
        <v>15153</v>
      </c>
      <c r="B7686" s="2" t="s">
        <v>15154</v>
      </c>
      <c r="C7686" s="2" t="s">
        <v>56</v>
      </c>
      <c r="D7686" s="2" t="s">
        <v>57</v>
      </c>
      <c r="E7686" s="5">
        <v>-27895</v>
      </c>
      <c r="F7686" s="3" t="s">
        <v>734</v>
      </c>
      <c r="G7686" s="3" t="s">
        <v>20</v>
      </c>
      <c r="H7686" s="2" t="s">
        <v>21</v>
      </c>
      <c r="I7686" s="2" t="s">
        <v>15155</v>
      </c>
      <c r="J7686" s="3" t="str">
        <f>HYPERLINK("https://www.boe.es/gazeta/dias/1823/08/16/pdfs/GES-1823-129.pdf#page=4","Abrir facsímil")</f>
        <v>Abrir facsímil</v>
      </c>
      <c r="K7686" s="3" t="s">
        <v>23</v>
      </c>
    </row>
    <row r="7687" spans="1:11" ht="42" customHeight="1">
      <c r="A7687" s="2" t="s">
        <v>15156</v>
      </c>
      <c r="B7687" s="2" t="s">
        <v>15156</v>
      </c>
      <c r="C7687" s="2" t="s">
        <v>17</v>
      </c>
      <c r="D7687" s="2" t="s">
        <v>18</v>
      </c>
      <c r="E7687" s="5">
        <v>-27911</v>
      </c>
      <c r="F7687" s="3" t="s">
        <v>1393</v>
      </c>
      <c r="G7687" s="3" t="s">
        <v>39</v>
      </c>
      <c r="H7687" s="2" t="s">
        <v>21</v>
      </c>
      <c r="I7687" s="2" t="s">
        <v>15157</v>
      </c>
      <c r="J7687" s="3" t="str">
        <f>HYPERLINK("https://www.boe.es/gazeta/dias/1823/07/31/pdfs/GMD-1823-503.pdf#page=1","Abrir facsímil")</f>
        <v>Abrir facsímil</v>
      </c>
      <c r="K7687" s="3" t="s">
        <v>23</v>
      </c>
    </row>
    <row r="7688" spans="1:11" ht="42" customHeight="1">
      <c r="A7688" s="2" t="s">
        <v>15158</v>
      </c>
      <c r="B7688" s="2" t="s">
        <v>15158</v>
      </c>
      <c r="C7688" s="2" t="s">
        <v>17</v>
      </c>
      <c r="D7688" s="2" t="s">
        <v>18</v>
      </c>
      <c r="E7688" s="5">
        <v>-28075</v>
      </c>
      <c r="F7688" s="3" t="s">
        <v>2327</v>
      </c>
      <c r="G7688" s="3" t="s">
        <v>48</v>
      </c>
      <c r="H7688" s="2" t="s">
        <v>21</v>
      </c>
      <c r="I7688" s="2" t="s">
        <v>15159</v>
      </c>
      <c r="J7688" s="3" t="str">
        <f>HYPERLINK("https://www.boe.es/gazeta/dias/1823/02/17/pdfs/GMD-1823-51.pdf#page=3","Abrir facsímil")</f>
        <v>Abrir facsímil</v>
      </c>
      <c r="K7688" s="3" t="s">
        <v>23</v>
      </c>
    </row>
    <row r="7689" spans="1:11" ht="42" customHeight="1">
      <c r="A7689" s="2" t="s">
        <v>15160</v>
      </c>
      <c r="B7689" s="2" t="s">
        <v>15161</v>
      </c>
      <c r="C7689" s="2" t="s">
        <v>17</v>
      </c>
      <c r="D7689" s="2" t="s">
        <v>18</v>
      </c>
      <c r="E7689" s="5">
        <v>-28058</v>
      </c>
      <c r="F7689" s="3" t="s">
        <v>1282</v>
      </c>
      <c r="G7689" s="3" t="s">
        <v>20</v>
      </c>
      <c r="H7689" s="2" t="s">
        <v>28</v>
      </c>
      <c r="I7689" s="2" t="s">
        <v>15162</v>
      </c>
      <c r="J7689" s="3" t="str">
        <f>HYPERLINK("https://www.boe.es/gazeta/dias/1823/03/06/pdfs/GMD-1823-69.pdf#page=4","Abrir facsímil")</f>
        <v>Abrir facsímil</v>
      </c>
      <c r="K7689" s="3" t="s">
        <v>30</v>
      </c>
    </row>
    <row r="7690" spans="1:11" ht="42" customHeight="1">
      <c r="A7690" s="2" t="s">
        <v>15163</v>
      </c>
      <c r="B7690" s="2" t="s">
        <v>15164</v>
      </c>
      <c r="C7690" s="2" t="s">
        <v>17</v>
      </c>
      <c r="D7690" s="2" t="s">
        <v>18</v>
      </c>
      <c r="E7690" s="5">
        <v>-28001</v>
      </c>
      <c r="F7690" s="3" t="s">
        <v>768</v>
      </c>
      <c r="G7690" s="3" t="s">
        <v>34</v>
      </c>
      <c r="H7690" s="2" t="s">
        <v>28</v>
      </c>
      <c r="I7690" s="2" t="s">
        <v>15165</v>
      </c>
      <c r="J7690" s="3" t="str">
        <f>HYPERLINK("https://www.boe.es/gazeta/dias/1823/05/02/pdfs/GES-1823-22.pdf#page=5","Abrir facsímil")</f>
        <v>Abrir facsímil</v>
      </c>
      <c r="K7690" s="3" t="s">
        <v>30</v>
      </c>
    </row>
    <row r="7691" spans="1:11" ht="42" customHeight="1">
      <c r="A7691" s="2" t="s">
        <v>15166</v>
      </c>
      <c r="B7691" s="2" t="s">
        <v>15167</v>
      </c>
      <c r="C7691" s="2" t="s">
        <v>17</v>
      </c>
      <c r="D7691" s="2" t="s">
        <v>18</v>
      </c>
      <c r="E7691" s="5">
        <v>-28058</v>
      </c>
      <c r="F7691" s="3" t="s">
        <v>1282</v>
      </c>
      <c r="G7691" s="3" t="s">
        <v>48</v>
      </c>
      <c r="H7691" s="2" t="s">
        <v>28</v>
      </c>
      <c r="I7691" s="2" t="s">
        <v>15168</v>
      </c>
      <c r="J7691" s="3" t="str">
        <f>HYPERLINK("https://www.boe.es/gazeta/dias/1823/03/06/pdfs/GMD-1823-69.pdf#page=3","Abrir facsímil")</f>
        <v>Abrir facsímil</v>
      </c>
      <c r="K7691" s="3" t="s">
        <v>30</v>
      </c>
    </row>
    <row r="7692" spans="1:11" ht="42" customHeight="1">
      <c r="A7692" s="2" t="s">
        <v>15169</v>
      </c>
      <c r="B7692" s="2" t="s">
        <v>15170</v>
      </c>
      <c r="C7692" s="2" t="s">
        <v>73</v>
      </c>
      <c r="D7692" s="2" t="s">
        <v>74</v>
      </c>
      <c r="E7692" s="5">
        <v>-27944</v>
      </c>
      <c r="F7692" s="3" t="s">
        <v>2823</v>
      </c>
      <c r="G7692" s="3" t="s">
        <v>27</v>
      </c>
      <c r="H7692" s="2" t="s">
        <v>28</v>
      </c>
      <c r="I7692" s="2" t="s">
        <v>15171</v>
      </c>
      <c r="J7692" s="3" t="str">
        <f>HYPERLINK("https://www.boe.es/gazeta/dias/1823/06/28/pdfs/GES-1823-78.pdf#page=2","Abrir facsímil")</f>
        <v>Abrir facsímil</v>
      </c>
      <c r="K7692" s="3" t="s">
        <v>30</v>
      </c>
    </row>
    <row r="7693" spans="1:11" ht="42" customHeight="1">
      <c r="A7693" s="2" t="s">
        <v>15172</v>
      </c>
      <c r="B7693" s="2" t="s">
        <v>15173</v>
      </c>
      <c r="C7693" s="2" t="s">
        <v>109</v>
      </c>
      <c r="D7693" s="2" t="s">
        <v>74</v>
      </c>
      <c r="E7693" s="5">
        <v>-28099</v>
      </c>
      <c r="F7693" s="3" t="s">
        <v>1689</v>
      </c>
      <c r="G7693" s="3" t="s">
        <v>27</v>
      </c>
      <c r="H7693" s="2" t="s">
        <v>28</v>
      </c>
      <c r="I7693" s="2" t="s">
        <v>15174</v>
      </c>
      <c r="J7693" s="3" t="str">
        <f>HYPERLINK("https://www.boe.es/gazeta/dias/1823/01/24/pdfs/GMD-1823-25.pdf#page=2","Abrir facsímil")</f>
        <v>Abrir facsímil</v>
      </c>
      <c r="K7693" s="3" t="s">
        <v>30</v>
      </c>
    </row>
    <row r="7694" spans="1:11" ht="42" customHeight="1">
      <c r="A7694" s="2" t="s">
        <v>15175</v>
      </c>
      <c r="B7694" s="2" t="s">
        <v>15175</v>
      </c>
      <c r="C7694" s="2" t="s">
        <v>17</v>
      </c>
      <c r="D7694" s="2" t="s">
        <v>18</v>
      </c>
      <c r="E7694" s="5">
        <v>-28090</v>
      </c>
      <c r="F7694" s="3" t="s">
        <v>174</v>
      </c>
      <c r="G7694" s="3" t="s">
        <v>39</v>
      </c>
      <c r="H7694" s="2" t="s">
        <v>21</v>
      </c>
      <c r="I7694" s="2" t="s">
        <v>15176</v>
      </c>
      <c r="J7694" s="3" t="str">
        <f>HYPERLINK("https://www.boe.es/gazeta/dias/1823/02/02/pdfs/GMD-1823-35.pdf#page=1","Abrir facsímil")</f>
        <v>Abrir facsímil</v>
      </c>
      <c r="K7694" s="3" t="s">
        <v>23</v>
      </c>
    </row>
    <row r="7695" spans="1:11" ht="42" customHeight="1">
      <c r="A7695" s="2" t="s">
        <v>15175</v>
      </c>
      <c r="B7695" s="2" t="s">
        <v>15175</v>
      </c>
      <c r="C7695" s="2" t="s">
        <v>17</v>
      </c>
      <c r="D7695" s="2" t="s">
        <v>18</v>
      </c>
      <c r="E7695" s="5">
        <v>-27797</v>
      </c>
      <c r="F7695" s="3" t="s">
        <v>3409</v>
      </c>
      <c r="G7695" s="3" t="s">
        <v>20</v>
      </c>
      <c r="H7695" s="2" t="s">
        <v>21</v>
      </c>
      <c r="I7695" s="2" t="s">
        <v>15177</v>
      </c>
      <c r="J7695" s="3" t="str">
        <f>HYPERLINK("https://www.boe.es/gazeta/dias/1823/11/22/pdfs/GMD-1823-1153.pdf#page=4","Abrir facsímil")</f>
        <v>Abrir facsímil</v>
      </c>
      <c r="K7695" s="3" t="s">
        <v>23</v>
      </c>
    </row>
    <row r="7696" spans="1:11" ht="42" customHeight="1">
      <c r="A7696" s="2" t="s">
        <v>15178</v>
      </c>
      <c r="B7696" s="2" t="s">
        <v>15179</v>
      </c>
      <c r="C7696" s="2" t="s">
        <v>17</v>
      </c>
      <c r="D7696" s="2" t="s">
        <v>18</v>
      </c>
      <c r="E7696" s="5">
        <v>-28015</v>
      </c>
      <c r="F7696" s="3" t="s">
        <v>985</v>
      </c>
      <c r="G7696" s="3" t="s">
        <v>27</v>
      </c>
      <c r="H7696" s="2" t="s">
        <v>21</v>
      </c>
      <c r="I7696" s="2" t="s">
        <v>15180</v>
      </c>
      <c r="J7696" s="3" t="str">
        <f>HYPERLINK("https://www.boe.es/gazeta/dias/1823/04/18/pdfs/GES-1823-8.pdf#page=2","Abrir facsímil")</f>
        <v>Abrir facsímil</v>
      </c>
      <c r="K7696" s="3" t="s">
        <v>23</v>
      </c>
    </row>
    <row r="7697" spans="1:11" ht="42" customHeight="1">
      <c r="A7697" s="2" t="s">
        <v>15181</v>
      </c>
      <c r="B7697" s="2" t="s">
        <v>15182</v>
      </c>
      <c r="C7697" s="2" t="s">
        <v>17</v>
      </c>
      <c r="D7697" s="2" t="s">
        <v>18</v>
      </c>
      <c r="E7697" s="5">
        <v>-28042</v>
      </c>
      <c r="F7697" s="3" t="s">
        <v>1218</v>
      </c>
      <c r="G7697" s="3" t="s">
        <v>48</v>
      </c>
      <c r="H7697" s="2" t="s">
        <v>21</v>
      </c>
      <c r="I7697" s="2" t="s">
        <v>15183</v>
      </c>
      <c r="J7697" s="3" t="str">
        <f>HYPERLINK("https://www.boe.es/gazeta/dias/1823/03/22/pdfs/GMD-1823-85.pdf#page=3","Abrir facsímil")</f>
        <v>Abrir facsímil</v>
      </c>
      <c r="K7697" s="3" t="s">
        <v>23</v>
      </c>
    </row>
    <row r="7698" spans="1:11" ht="42" customHeight="1">
      <c r="A7698" s="2" t="s">
        <v>15184</v>
      </c>
      <c r="B7698" s="2" t="s">
        <v>15185</v>
      </c>
      <c r="C7698" s="2" t="s">
        <v>56</v>
      </c>
      <c r="D7698" s="2" t="s">
        <v>57</v>
      </c>
      <c r="E7698" s="5">
        <v>-28081</v>
      </c>
      <c r="F7698" s="3" t="s">
        <v>170</v>
      </c>
      <c r="G7698" s="3" t="s">
        <v>20</v>
      </c>
      <c r="H7698" s="2" t="s">
        <v>21</v>
      </c>
      <c r="I7698" s="2" t="s">
        <v>15186</v>
      </c>
      <c r="J7698" s="3" t="str">
        <f>HYPERLINK("https://www.boe.es/gazeta/dias/1823/02/11/pdfs/GMD-1823-45.pdf#page=4","Abrir facsímil")</f>
        <v>Abrir facsímil</v>
      </c>
      <c r="K7698" s="3" t="s">
        <v>23</v>
      </c>
    </row>
    <row r="7699" spans="1:11" ht="42" customHeight="1">
      <c r="A7699" s="2" t="s">
        <v>15187</v>
      </c>
      <c r="B7699" s="2" t="s">
        <v>15188</v>
      </c>
      <c r="C7699" s="2" t="s">
        <v>17</v>
      </c>
      <c r="D7699" s="2" t="s">
        <v>18</v>
      </c>
      <c r="E7699" s="5">
        <v>-27944</v>
      </c>
      <c r="F7699" s="3" t="s">
        <v>658</v>
      </c>
      <c r="G7699" s="3" t="s">
        <v>48</v>
      </c>
      <c r="H7699" s="2" t="s">
        <v>21</v>
      </c>
      <c r="I7699" s="2" t="s">
        <v>15189</v>
      </c>
      <c r="J7699" s="3" t="str">
        <f>HYPERLINK("https://www.boe.es/gazeta/dias/1823/06/28/pdfs/GMD-1823-303.pdf#page=3","Abrir facsímil")</f>
        <v>Abrir facsímil</v>
      </c>
      <c r="K7699" s="3" t="s">
        <v>23</v>
      </c>
    </row>
    <row r="7700" spans="1:11" ht="42" customHeight="1">
      <c r="A7700" s="2" t="s">
        <v>15190</v>
      </c>
      <c r="B7700" s="2" t="s">
        <v>15191</v>
      </c>
      <c r="C7700" s="2" t="s">
        <v>84</v>
      </c>
      <c r="D7700" s="2" t="s">
        <v>74</v>
      </c>
      <c r="E7700" s="5">
        <v>-28037</v>
      </c>
      <c r="F7700" s="3" t="s">
        <v>192</v>
      </c>
      <c r="G7700" s="3" t="s">
        <v>27</v>
      </c>
      <c r="H7700" s="2" t="s">
        <v>21</v>
      </c>
      <c r="I7700" s="2" t="s">
        <v>15192</v>
      </c>
      <c r="J7700" s="3" t="str">
        <f>HYPERLINK("https://www.boe.es/gazeta/dias/1823/03/27/pdfs/GMD-1823-90.pdf#page=2","Abrir facsímil")</f>
        <v>Abrir facsímil</v>
      </c>
      <c r="K7700" s="3" t="s">
        <v>23</v>
      </c>
    </row>
    <row r="7701" spans="1:11" ht="42" customHeight="1">
      <c r="A7701" s="2" t="s">
        <v>15193</v>
      </c>
      <c r="B7701" s="2" t="s">
        <v>15194</v>
      </c>
      <c r="C7701" s="2" t="s">
        <v>17</v>
      </c>
      <c r="D7701" s="2" t="s">
        <v>18</v>
      </c>
      <c r="E7701" s="5">
        <v>-28080</v>
      </c>
      <c r="F7701" s="3" t="s">
        <v>1010</v>
      </c>
      <c r="G7701" s="3" t="s">
        <v>1382</v>
      </c>
      <c r="H7701" s="2" t="s">
        <v>21</v>
      </c>
      <c r="I7701" s="2" t="s">
        <v>15195</v>
      </c>
      <c r="J7701" s="3" t="str">
        <f>HYPERLINK("https://www.boe.es/gazeta/dias/1823/02/12/pdfs/GMD-1823-46.pdf#page=4","Abrir facsímil")</f>
        <v>Abrir facsímil</v>
      </c>
      <c r="K7701" s="3" t="s">
        <v>23</v>
      </c>
    </row>
    <row r="7702" spans="1:11" ht="42" customHeight="1">
      <c r="A7702" s="2" t="s">
        <v>15193</v>
      </c>
      <c r="B7702" s="2" t="s">
        <v>15194</v>
      </c>
      <c r="C7702" s="2" t="s">
        <v>17</v>
      </c>
      <c r="D7702" s="2" t="s">
        <v>18</v>
      </c>
      <c r="E7702" s="5">
        <v>-27861</v>
      </c>
      <c r="F7702" s="3" t="s">
        <v>425</v>
      </c>
      <c r="G7702" s="3" t="s">
        <v>39</v>
      </c>
      <c r="H7702" s="2" t="s">
        <v>21</v>
      </c>
      <c r="I7702" s="2" t="s">
        <v>15196</v>
      </c>
      <c r="J7702" s="3" t="str">
        <f>HYPERLINK("https://www.boe.es/gazeta/dias/1823/09/19/pdfs/GES-1823-163.pdf#page=1","Abrir facsímil")</f>
        <v>Abrir facsímil</v>
      </c>
      <c r="K7702" s="3" t="s">
        <v>23</v>
      </c>
    </row>
    <row r="7703" spans="1:11" ht="42" customHeight="1">
      <c r="A7703" s="2" t="s">
        <v>15197</v>
      </c>
      <c r="B7703" s="2" t="s">
        <v>15198</v>
      </c>
      <c r="C7703" s="2" t="s">
        <v>79</v>
      </c>
      <c r="D7703" s="2" t="s">
        <v>74</v>
      </c>
      <c r="E7703" s="5">
        <v>-28018</v>
      </c>
      <c r="F7703" s="3" t="s">
        <v>275</v>
      </c>
      <c r="G7703" s="3" t="s">
        <v>20</v>
      </c>
      <c r="H7703" s="2" t="s">
        <v>21</v>
      </c>
      <c r="I7703" s="2" t="s">
        <v>15199</v>
      </c>
      <c r="J7703" s="3" t="str">
        <f>HYPERLINK("https://www.boe.es/gazeta/dias/1823/04/15/pdfs/GMD-1823-12.pdf#page=4","Abrir facsímil")</f>
        <v>Abrir facsímil</v>
      </c>
      <c r="K7703" s="3" t="s">
        <v>23</v>
      </c>
    </row>
    <row r="7704" spans="1:11" ht="42" customHeight="1">
      <c r="A7704" s="2" t="s">
        <v>15200</v>
      </c>
      <c r="B7704" s="2" t="s">
        <v>15201</v>
      </c>
      <c r="C7704" s="2" t="s">
        <v>325</v>
      </c>
      <c r="D7704" s="2" t="s">
        <v>74</v>
      </c>
      <c r="E7704" s="5">
        <v>-28013</v>
      </c>
      <c r="F7704" s="3" t="s">
        <v>105</v>
      </c>
      <c r="G7704" s="3" t="s">
        <v>20</v>
      </c>
      <c r="H7704" s="2" t="s">
        <v>21</v>
      </c>
      <c r="I7704" s="2" t="s">
        <v>15202</v>
      </c>
      <c r="J7704" s="3" t="str">
        <f>HYPERLINK("https://www.boe.es/gazeta/dias/1823/04/20/pdfs/GMD-1823-32.pdf#page=4","Abrir facsímil")</f>
        <v>Abrir facsímil</v>
      </c>
      <c r="K7704" s="3" t="s">
        <v>23</v>
      </c>
    </row>
    <row r="7705" spans="1:11" ht="42" customHeight="1">
      <c r="A7705" s="2" t="s">
        <v>15200</v>
      </c>
      <c r="B7705" s="2" t="s">
        <v>15201</v>
      </c>
      <c r="C7705" s="2" t="s">
        <v>84</v>
      </c>
      <c r="D7705" s="2" t="s">
        <v>74</v>
      </c>
      <c r="E7705" s="5">
        <v>-28008</v>
      </c>
      <c r="F7705" s="3" t="s">
        <v>309</v>
      </c>
      <c r="G7705" s="3" t="s">
        <v>20</v>
      </c>
      <c r="H7705" s="2" t="s">
        <v>21</v>
      </c>
      <c r="I7705" s="2" t="s">
        <v>15203</v>
      </c>
      <c r="J7705" s="3" t="str">
        <f>HYPERLINK("https://www.boe.es/gazeta/dias/1823/04/25/pdfs/GES-1823-15.pdf#page=4","Abrir facsímil")</f>
        <v>Abrir facsímil</v>
      </c>
      <c r="K7705" s="3" t="s">
        <v>23</v>
      </c>
    </row>
    <row r="7706" spans="1:11" ht="42" customHeight="1">
      <c r="A7706" s="2" t="s">
        <v>15204</v>
      </c>
      <c r="B7706" s="2" t="s">
        <v>15204</v>
      </c>
      <c r="C7706" s="2" t="s">
        <v>17</v>
      </c>
      <c r="D7706" s="2" t="s">
        <v>18</v>
      </c>
      <c r="E7706" s="5">
        <v>-27987</v>
      </c>
      <c r="F7706" s="3" t="s">
        <v>332</v>
      </c>
      <c r="G7706" s="3" t="s">
        <v>34</v>
      </c>
      <c r="H7706" s="2" t="s">
        <v>21</v>
      </c>
      <c r="I7706" s="2" t="s">
        <v>15205</v>
      </c>
      <c r="J7706" s="3" t="str">
        <f>HYPERLINK("https://www.boe.es/gazeta/dias/1823/05/16/pdfs/GES-1823-36.pdf#page=5","Abrir facsímil")</f>
        <v>Abrir facsímil</v>
      </c>
      <c r="K7706" s="3" t="s">
        <v>23</v>
      </c>
    </row>
    <row r="7707" spans="1:11" ht="42" customHeight="1">
      <c r="A7707" s="2" t="s">
        <v>15206</v>
      </c>
      <c r="B7707" s="2" t="s">
        <v>15207</v>
      </c>
      <c r="C7707" s="2" t="s">
        <v>73</v>
      </c>
      <c r="D7707" s="2" t="s">
        <v>74</v>
      </c>
      <c r="E7707" s="5">
        <v>-27955</v>
      </c>
      <c r="F7707" s="3" t="s">
        <v>3015</v>
      </c>
      <c r="G7707" s="3" t="s">
        <v>59</v>
      </c>
      <c r="H7707" s="2" t="s">
        <v>21</v>
      </c>
      <c r="I7707" s="2" t="s">
        <v>15208</v>
      </c>
      <c r="J7707" s="3" t="str">
        <f>HYPERLINK("https://www.boe.es/gazeta/dias/1823/06/17/pdfs/GMD-1823-183.pdf#page=6","Abrir facsímil")</f>
        <v>Abrir facsímil</v>
      </c>
      <c r="K7707" s="3" t="s">
        <v>23</v>
      </c>
    </row>
    <row r="7708" spans="1:11" ht="42" customHeight="1">
      <c r="A7708" s="2" t="s">
        <v>15209</v>
      </c>
      <c r="B7708" s="2" t="s">
        <v>15209</v>
      </c>
      <c r="C7708" s="2" t="s">
        <v>17</v>
      </c>
      <c r="D7708" s="2" t="s">
        <v>18</v>
      </c>
      <c r="E7708" s="5">
        <v>-27913</v>
      </c>
      <c r="F7708" s="3" t="s">
        <v>829</v>
      </c>
      <c r="G7708" s="3" t="s">
        <v>715</v>
      </c>
      <c r="H7708" s="2" t="s">
        <v>21</v>
      </c>
      <c r="I7708" s="2" t="s">
        <v>15210</v>
      </c>
      <c r="J7708" s="3" t="str">
        <f>HYPERLINK("https://www.boe.es/gazeta/dias/1823/07/29/pdfs/GMD-1823-483.pdf#page=8","Abrir facsímil")</f>
        <v>Abrir facsímil</v>
      </c>
      <c r="K7708" s="3" t="s">
        <v>23</v>
      </c>
    </row>
    <row r="7709" spans="1:11" ht="42" customHeight="1">
      <c r="A7709" s="2" t="s">
        <v>15211</v>
      </c>
      <c r="B7709" s="2" t="s">
        <v>15212</v>
      </c>
      <c r="C7709" s="2" t="s">
        <v>17</v>
      </c>
      <c r="D7709" s="2" t="s">
        <v>18</v>
      </c>
      <c r="E7709" s="5">
        <v>-28065</v>
      </c>
      <c r="F7709" s="3" t="s">
        <v>686</v>
      </c>
      <c r="G7709" s="3" t="s">
        <v>48</v>
      </c>
      <c r="H7709" s="2" t="s">
        <v>21</v>
      </c>
      <c r="I7709" s="2" t="s">
        <v>15213</v>
      </c>
      <c r="J7709" s="3" t="str">
        <f>HYPERLINK("https://www.boe.es/gazeta/dias/1823/02/27/pdfs/GMD-1823-61.pdf#page=3","Abrir facsímil")</f>
        <v>Abrir facsímil</v>
      </c>
      <c r="K7709" s="3" t="s">
        <v>23</v>
      </c>
    </row>
    <row r="7710" spans="1:11" ht="42" customHeight="1">
      <c r="A7710" s="2" t="s">
        <v>15214</v>
      </c>
      <c r="B7710" s="2" t="s">
        <v>15215</v>
      </c>
      <c r="C7710" s="2" t="s">
        <v>17</v>
      </c>
      <c r="D7710" s="2" t="s">
        <v>18</v>
      </c>
      <c r="E7710" s="5">
        <v>-27874</v>
      </c>
      <c r="F7710" s="3" t="s">
        <v>1410</v>
      </c>
      <c r="G7710" s="3" t="s">
        <v>27</v>
      </c>
      <c r="H7710" s="2" t="s">
        <v>21</v>
      </c>
      <c r="I7710" s="2" t="s">
        <v>15216</v>
      </c>
      <c r="J7710" s="3" t="str">
        <f>HYPERLINK("https://www.boe.es/gazeta/dias/1823/09/06/pdfs/GES-1823-150.pdf#page=2","Abrir facsímil")</f>
        <v>Abrir facsímil</v>
      </c>
      <c r="K7710" s="3" t="s">
        <v>23</v>
      </c>
    </row>
    <row r="7711" spans="1:11" ht="42" customHeight="1">
      <c r="A7711" s="2" t="s">
        <v>15217</v>
      </c>
      <c r="B7711" s="2" t="s">
        <v>15217</v>
      </c>
      <c r="C7711" s="2" t="s">
        <v>109</v>
      </c>
      <c r="D7711" s="2" t="s">
        <v>74</v>
      </c>
      <c r="E7711" s="5">
        <v>-27925</v>
      </c>
      <c r="F7711" s="3" t="s">
        <v>1744</v>
      </c>
      <c r="G7711" s="3" t="s">
        <v>20</v>
      </c>
      <c r="H7711" s="2" t="s">
        <v>21</v>
      </c>
      <c r="I7711" s="2" t="s">
        <v>15218</v>
      </c>
      <c r="J7711" s="3" t="str">
        <f>HYPERLINK("https://www.boe.es/gazeta/dias/1823/07/17/pdfs/GMD-1823-413.pdf#page=4","Abrir facsímil")</f>
        <v>Abrir facsímil</v>
      </c>
      <c r="K7711" s="3" t="s">
        <v>23</v>
      </c>
    </row>
    <row r="7712" spans="1:11" ht="42" customHeight="1">
      <c r="A7712" s="2" t="s">
        <v>15219</v>
      </c>
      <c r="B7712" s="2" t="s">
        <v>15220</v>
      </c>
      <c r="C7712" s="2" t="s">
        <v>17</v>
      </c>
      <c r="D7712" s="2" t="s">
        <v>18</v>
      </c>
      <c r="E7712" s="5">
        <v>-27906</v>
      </c>
      <c r="F7712" s="3" t="s">
        <v>241</v>
      </c>
      <c r="G7712" s="3" t="s">
        <v>34</v>
      </c>
      <c r="H7712" s="2" t="s">
        <v>21</v>
      </c>
      <c r="I7712" s="2" t="s">
        <v>15221</v>
      </c>
      <c r="J7712" s="3" t="str">
        <f>HYPERLINK("https://www.boe.es/gazeta/dias/1823/08/05/pdfs/GES-1823-117.pdf#page=5","Abrir facsímil")</f>
        <v>Abrir facsímil</v>
      </c>
      <c r="K7712" s="3" t="s">
        <v>23</v>
      </c>
    </row>
    <row r="7713" spans="1:11" ht="42" customHeight="1">
      <c r="A7713" s="2" t="s">
        <v>15222</v>
      </c>
      <c r="B7713" s="2" t="s">
        <v>15223</v>
      </c>
      <c r="C7713" s="2" t="s">
        <v>17</v>
      </c>
      <c r="D7713" s="2" t="s">
        <v>18</v>
      </c>
      <c r="E7713" s="5">
        <v>-28032</v>
      </c>
      <c r="F7713" s="3" t="s">
        <v>668</v>
      </c>
      <c r="G7713" s="3" t="s">
        <v>27</v>
      </c>
      <c r="H7713" s="2" t="s">
        <v>28</v>
      </c>
      <c r="I7713" s="2" t="s">
        <v>15224</v>
      </c>
      <c r="J7713" s="3" t="str">
        <f>HYPERLINK("https://www.boe.es/gazeta/dias/1823/04/01/pdfs/GMD-1823-95.pdf#page=2","Abrir facsímil")</f>
        <v>Abrir facsímil</v>
      </c>
      <c r="K7713" s="3" t="s">
        <v>30</v>
      </c>
    </row>
    <row r="7714" spans="1:11" ht="42" customHeight="1">
      <c r="A7714" s="2" t="s">
        <v>15225</v>
      </c>
      <c r="B7714" s="2" t="s">
        <v>15226</v>
      </c>
      <c r="C7714" s="2" t="s">
        <v>17</v>
      </c>
      <c r="D7714" s="2" t="s">
        <v>18</v>
      </c>
      <c r="E7714" s="5">
        <v>-27878</v>
      </c>
      <c r="F7714" s="3" t="s">
        <v>130</v>
      </c>
      <c r="G7714" s="3" t="s">
        <v>48</v>
      </c>
      <c r="H7714" s="2" t="s">
        <v>21</v>
      </c>
      <c r="I7714" s="2" t="s">
        <v>15227</v>
      </c>
      <c r="J7714" s="3" t="str">
        <f>HYPERLINK("https://www.boe.es/gazeta/dias/1823/09/02/pdfs/GES-1823-146.pdf#page=3","Abrir facsímil")</f>
        <v>Abrir facsímil</v>
      </c>
      <c r="K7714" s="3" t="s">
        <v>23</v>
      </c>
    </row>
    <row r="7715" spans="1:11" ht="42" customHeight="1">
      <c r="A7715" s="2" t="s">
        <v>15228</v>
      </c>
      <c r="B7715" s="2" t="s">
        <v>15229</v>
      </c>
      <c r="C7715" s="2" t="s">
        <v>325</v>
      </c>
      <c r="D7715" s="2" t="s">
        <v>74</v>
      </c>
      <c r="E7715" s="5">
        <v>-28029</v>
      </c>
      <c r="F7715" s="3" t="s">
        <v>141</v>
      </c>
      <c r="G7715" s="3" t="s">
        <v>20</v>
      </c>
      <c r="H7715" s="2" t="s">
        <v>21</v>
      </c>
      <c r="I7715" s="2" t="s">
        <v>15230</v>
      </c>
      <c r="J7715" s="3" t="str">
        <f>HYPERLINK("https://www.boe.es/gazeta/dias/1823/04/04/pdfs/GMD-1823-98.pdf#page=4","Abrir facsímil")</f>
        <v>Abrir facsímil</v>
      </c>
      <c r="K7715" s="3" t="s">
        <v>23</v>
      </c>
    </row>
    <row r="7716" spans="1:11" ht="42" customHeight="1">
      <c r="A7716" s="2" t="s">
        <v>15231</v>
      </c>
      <c r="B7716" s="2" t="s">
        <v>15232</v>
      </c>
      <c r="C7716" s="2" t="s">
        <v>56</v>
      </c>
      <c r="D7716" s="2" t="s">
        <v>57</v>
      </c>
      <c r="E7716" s="5">
        <v>-27813</v>
      </c>
      <c r="F7716" s="3" t="s">
        <v>1600</v>
      </c>
      <c r="G7716" s="3" t="s">
        <v>20</v>
      </c>
      <c r="H7716" s="2" t="s">
        <v>21</v>
      </c>
      <c r="I7716" s="2" t="s">
        <v>15233</v>
      </c>
      <c r="J7716" s="3" t="str">
        <f>HYPERLINK("https://www.boe.es/gazeta/dias/1823/11/06/pdfs/GMD-1823-1073.pdf#page=4","Abrir facsímil")</f>
        <v>Abrir facsímil</v>
      </c>
      <c r="K7716" s="3" t="s">
        <v>23</v>
      </c>
    </row>
    <row r="7717" spans="1:11" ht="42" customHeight="1">
      <c r="A7717" s="2" t="s">
        <v>15234</v>
      </c>
      <c r="B7717" s="2" t="s">
        <v>15235</v>
      </c>
      <c r="C7717" s="2" t="s">
        <v>17</v>
      </c>
      <c r="D7717" s="2" t="s">
        <v>18</v>
      </c>
      <c r="E7717" s="5">
        <v>-28116</v>
      </c>
      <c r="F7717" s="3" t="s">
        <v>134</v>
      </c>
      <c r="G7717" s="3" t="s">
        <v>59</v>
      </c>
      <c r="H7717" s="2" t="s">
        <v>21</v>
      </c>
      <c r="I7717" s="2" t="s">
        <v>15236</v>
      </c>
      <c r="J7717" s="3" t="str">
        <f>HYPERLINK("https://www.boe.es/gazeta/dias/1823/01/07/pdfs/GMD-1823-7.pdf#page=6","Abrir facsímil")</f>
        <v>Abrir facsímil</v>
      </c>
      <c r="K7717" s="3" t="s">
        <v>23</v>
      </c>
    </row>
    <row r="7718" spans="1:11" ht="42" customHeight="1">
      <c r="A7718" s="2" t="s">
        <v>15237</v>
      </c>
      <c r="B7718" s="2" t="s">
        <v>15237</v>
      </c>
      <c r="C7718" s="2" t="s">
        <v>109</v>
      </c>
      <c r="D7718" s="2" t="s">
        <v>74</v>
      </c>
      <c r="E7718" s="5">
        <v>-28009</v>
      </c>
      <c r="F7718" s="3" t="s">
        <v>307</v>
      </c>
      <c r="G7718" s="3" t="s">
        <v>34</v>
      </c>
      <c r="H7718" s="2" t="s">
        <v>21</v>
      </c>
      <c r="I7718" s="2" t="s">
        <v>15238</v>
      </c>
      <c r="J7718" s="3" t="str">
        <f>HYPERLINK("https://www.boe.es/gazeta/dias/1823/04/24/pdfs/GES-1823-14.pdf#page=5","Abrir facsímil")</f>
        <v>Abrir facsímil</v>
      </c>
      <c r="K7718" s="3" t="s">
        <v>23</v>
      </c>
    </row>
    <row r="7719" spans="1:11" ht="42" customHeight="1">
      <c r="A7719" s="2" t="s">
        <v>15239</v>
      </c>
      <c r="B7719" s="2" t="s">
        <v>15240</v>
      </c>
      <c r="C7719" s="2" t="s">
        <v>79</v>
      </c>
      <c r="D7719" s="2" t="s">
        <v>74</v>
      </c>
      <c r="E7719" s="5">
        <v>-28065</v>
      </c>
      <c r="F7719" s="3" t="s">
        <v>686</v>
      </c>
      <c r="G7719" s="3" t="s">
        <v>20</v>
      </c>
      <c r="H7719" s="2" t="s">
        <v>21</v>
      </c>
      <c r="I7719" s="2" t="s">
        <v>15241</v>
      </c>
      <c r="J7719" s="3" t="str">
        <f>HYPERLINK("https://www.boe.es/gazeta/dias/1823/02/27/pdfs/GMD-1823-61.pdf#page=4","Abrir facsímil")</f>
        <v>Abrir facsímil</v>
      </c>
      <c r="K7719" s="3" t="s">
        <v>23</v>
      </c>
    </row>
    <row r="7720" spans="1:11" ht="42" customHeight="1">
      <c r="A7720" s="2" t="s">
        <v>15242</v>
      </c>
      <c r="B7720" s="2" t="s">
        <v>15243</v>
      </c>
      <c r="C7720" s="2" t="s">
        <v>79</v>
      </c>
      <c r="D7720" s="2" t="s">
        <v>74</v>
      </c>
      <c r="E7720" s="5">
        <v>-28069</v>
      </c>
      <c r="F7720" s="3" t="s">
        <v>2006</v>
      </c>
      <c r="G7720" s="3" t="s">
        <v>48</v>
      </c>
      <c r="H7720" s="2" t="s">
        <v>21</v>
      </c>
      <c r="I7720" s="2" t="s">
        <v>15244</v>
      </c>
      <c r="J7720" s="3" t="str">
        <f>HYPERLINK("https://www.boe.es/gazeta/dias/1823/02/23/pdfs/GMD-1823-57.pdf#page=3","Abrir facsímil")</f>
        <v>Abrir facsímil</v>
      </c>
      <c r="K7720" s="3" t="s">
        <v>23</v>
      </c>
    </row>
    <row r="7721" spans="1:11" ht="42" customHeight="1">
      <c r="A7721" s="2" t="s">
        <v>15245</v>
      </c>
      <c r="B7721" s="2" t="s">
        <v>15246</v>
      </c>
      <c r="C7721" s="2" t="s">
        <v>109</v>
      </c>
      <c r="D7721" s="2" t="s">
        <v>74</v>
      </c>
      <c r="E7721" s="5">
        <v>-27994</v>
      </c>
      <c r="F7721" s="3" t="s">
        <v>714</v>
      </c>
      <c r="G7721" s="3" t="s">
        <v>715</v>
      </c>
      <c r="H7721" s="2" t="s">
        <v>21</v>
      </c>
      <c r="I7721" s="2" t="s">
        <v>15247</v>
      </c>
      <c r="J7721" s="3" t="str">
        <f>HYPERLINK("https://www.boe.es/gazeta/dias/1823/05/09/pdfs/GES-1823-29.pdf#page=8","Abrir facsímil")</f>
        <v>Abrir facsímil</v>
      </c>
      <c r="K7721" s="3" t="s">
        <v>23</v>
      </c>
    </row>
    <row r="7722" spans="1:11" ht="42" customHeight="1">
      <c r="A7722" s="2" t="s">
        <v>15245</v>
      </c>
      <c r="B7722" s="2" t="s">
        <v>15246</v>
      </c>
      <c r="C7722" s="2" t="s">
        <v>17</v>
      </c>
      <c r="D7722" s="2" t="s">
        <v>18</v>
      </c>
      <c r="E7722" s="5">
        <v>-27990</v>
      </c>
      <c r="F7722" s="3" t="s">
        <v>330</v>
      </c>
      <c r="G7722" s="3" t="s">
        <v>27</v>
      </c>
      <c r="H7722" s="2" t="s">
        <v>21</v>
      </c>
      <c r="I7722" s="2" t="s">
        <v>15248</v>
      </c>
      <c r="J7722" s="3" t="str">
        <f>HYPERLINK("https://www.boe.es/gazeta/dias/1823/05/13/pdfs/GMD-1823-132.pdf#page=2","Abrir facsímil")</f>
        <v>Abrir facsímil</v>
      </c>
      <c r="K7722" s="3" t="s">
        <v>23</v>
      </c>
    </row>
    <row r="7723" spans="1:11" ht="42" customHeight="1">
      <c r="A7723" s="2" t="s">
        <v>15249</v>
      </c>
      <c r="B7723" s="2" t="s">
        <v>15250</v>
      </c>
      <c r="C7723" s="2" t="s">
        <v>73</v>
      </c>
      <c r="D7723" s="2" t="s">
        <v>74</v>
      </c>
      <c r="E7723" s="5">
        <v>-27996</v>
      </c>
      <c r="F7723" s="3" t="s">
        <v>695</v>
      </c>
      <c r="G7723" s="3" t="s">
        <v>27</v>
      </c>
      <c r="H7723" s="2" t="s">
        <v>21</v>
      </c>
      <c r="I7723" s="2" t="s">
        <v>15251</v>
      </c>
      <c r="J7723" s="3" t="str">
        <f>HYPERLINK("https://www.boe.es/gazeta/dias/1823/05/07/pdfs/GES-1823-27.pdf#page=2","Abrir facsímil")</f>
        <v>Abrir facsímil</v>
      </c>
      <c r="K7723" s="3" t="s">
        <v>23</v>
      </c>
    </row>
    <row r="7724" spans="1:11" ht="42" customHeight="1">
      <c r="A7724" s="2" t="s">
        <v>15252</v>
      </c>
      <c r="B7724" s="2" t="s">
        <v>15253</v>
      </c>
      <c r="C7724" s="2" t="s">
        <v>56</v>
      </c>
      <c r="D7724" s="2" t="s">
        <v>57</v>
      </c>
      <c r="E7724" s="5">
        <v>-28036</v>
      </c>
      <c r="F7724" s="3" t="s">
        <v>2216</v>
      </c>
      <c r="G7724" s="3" t="s">
        <v>20</v>
      </c>
      <c r="H7724" s="2" t="s">
        <v>21</v>
      </c>
      <c r="I7724" s="2" t="s">
        <v>15254</v>
      </c>
      <c r="J7724" s="3" t="str">
        <f>HYPERLINK("https://www.boe.es/gazeta/dias/1823/03/28/pdfs/GMD-1823-91.pdf#page=4","Abrir facsímil")</f>
        <v>Abrir facsímil</v>
      </c>
      <c r="K7724" s="3" t="s">
        <v>23</v>
      </c>
    </row>
    <row r="7725" spans="1:11" ht="42" customHeight="1">
      <c r="A7725" s="2" t="s">
        <v>15255</v>
      </c>
      <c r="B7725" s="2" t="s">
        <v>15256</v>
      </c>
      <c r="C7725" s="2" t="s">
        <v>79</v>
      </c>
      <c r="D7725" s="2" t="s">
        <v>74</v>
      </c>
      <c r="E7725" s="5">
        <v>-27978</v>
      </c>
      <c r="F7725" s="3" t="s">
        <v>342</v>
      </c>
      <c r="G7725" s="3" t="s">
        <v>59</v>
      </c>
      <c r="H7725" s="2" t="s">
        <v>21</v>
      </c>
      <c r="I7725" s="2" t="s">
        <v>15257</v>
      </c>
      <c r="J7725" s="3" t="str">
        <f>HYPERLINK("https://www.boe.es/gazeta/dias/1823/05/25/pdfs/GES-1823-46.pdf#page=6","Abrir facsímil")</f>
        <v>Abrir facsímil</v>
      </c>
      <c r="K7725" s="3" t="s">
        <v>23</v>
      </c>
    </row>
    <row r="7726" spans="1:11" ht="42" customHeight="1">
      <c r="A7726" s="2" t="s">
        <v>15258</v>
      </c>
      <c r="B7726" s="2" t="s">
        <v>15259</v>
      </c>
      <c r="C7726" s="2" t="s">
        <v>17</v>
      </c>
      <c r="D7726" s="2" t="s">
        <v>18</v>
      </c>
      <c r="E7726" s="5">
        <v>-27975</v>
      </c>
      <c r="F7726" s="3" t="s">
        <v>47</v>
      </c>
      <c r="G7726" s="3" t="s">
        <v>27</v>
      </c>
      <c r="H7726" s="2" t="s">
        <v>21</v>
      </c>
      <c r="I7726" s="2" t="s">
        <v>15260</v>
      </c>
      <c r="J7726" s="3" t="str">
        <f>HYPERLINK("https://www.boe.es/gazeta/dias/1823/05/28/pdfs/GES-1823-50.pdf#page=2","Abrir facsímil")</f>
        <v>Abrir facsímil</v>
      </c>
      <c r="K7726" s="3" t="s">
        <v>23</v>
      </c>
    </row>
    <row r="7727" spans="1:11" ht="42" customHeight="1">
      <c r="A7727" s="2" t="s">
        <v>15261</v>
      </c>
      <c r="B7727" s="2" t="s">
        <v>15261</v>
      </c>
      <c r="C7727" s="2" t="s">
        <v>293</v>
      </c>
      <c r="D7727" s="2" t="s">
        <v>74</v>
      </c>
      <c r="E7727" s="5">
        <v>-28042</v>
      </c>
      <c r="F7727" s="3" t="s">
        <v>1218</v>
      </c>
      <c r="G7727" s="3" t="s">
        <v>20</v>
      </c>
      <c r="H7727" s="2" t="s">
        <v>21</v>
      </c>
      <c r="I7727" s="2" t="s">
        <v>15262</v>
      </c>
      <c r="J7727" s="3" t="str">
        <f>HYPERLINK("https://www.boe.es/gazeta/dias/1823/03/22/pdfs/GMD-1823-85.pdf#page=4","Abrir facsímil")</f>
        <v>Abrir facsímil</v>
      </c>
      <c r="K7727" s="3" t="s">
        <v>23</v>
      </c>
    </row>
    <row r="7728" spans="1:11" ht="42" customHeight="1">
      <c r="A7728" s="2" t="s">
        <v>15263</v>
      </c>
      <c r="B7728" s="2" t="s">
        <v>15264</v>
      </c>
      <c r="C7728" s="2" t="s">
        <v>109</v>
      </c>
      <c r="D7728" s="2" t="s">
        <v>74</v>
      </c>
      <c r="E7728" s="5">
        <v>-28037</v>
      </c>
      <c r="F7728" s="3" t="s">
        <v>192</v>
      </c>
      <c r="G7728" s="3" t="s">
        <v>48</v>
      </c>
      <c r="H7728" s="2" t="s">
        <v>21</v>
      </c>
      <c r="I7728" s="2" t="s">
        <v>15265</v>
      </c>
      <c r="J7728" s="3" t="str">
        <f>HYPERLINK("https://www.boe.es/gazeta/dias/1823/03/27/pdfs/GMD-1823-90.pdf#page=3","Abrir facsímil")</f>
        <v>Abrir facsímil</v>
      </c>
      <c r="K7728" s="3" t="s">
        <v>23</v>
      </c>
    </row>
    <row r="7729" spans="1:11" ht="42" customHeight="1">
      <c r="A7729" s="2" t="s">
        <v>15266</v>
      </c>
      <c r="B7729" s="2" t="s">
        <v>15267</v>
      </c>
      <c r="C7729" s="2" t="s">
        <v>17</v>
      </c>
      <c r="D7729" s="2" t="s">
        <v>18</v>
      </c>
      <c r="E7729" s="5">
        <v>-28042</v>
      </c>
      <c r="F7729" s="3" t="s">
        <v>1218</v>
      </c>
      <c r="G7729" s="3" t="s">
        <v>20</v>
      </c>
      <c r="H7729" s="2" t="s">
        <v>21</v>
      </c>
      <c r="I7729" s="2" t="s">
        <v>15268</v>
      </c>
      <c r="J7729" s="3" t="str">
        <f>HYPERLINK("https://www.boe.es/gazeta/dias/1823/03/22/pdfs/GMD-1823-85.pdf#page=4","Abrir facsímil")</f>
        <v>Abrir facsímil</v>
      </c>
      <c r="K7729" s="3" t="s">
        <v>23</v>
      </c>
    </row>
    <row r="7730" spans="1:11" ht="42" customHeight="1">
      <c r="A7730" s="2" t="s">
        <v>15269</v>
      </c>
      <c r="B7730" s="2" t="s">
        <v>15270</v>
      </c>
      <c r="C7730" s="2" t="s">
        <v>17</v>
      </c>
      <c r="D7730" s="2" t="s">
        <v>18</v>
      </c>
      <c r="E7730" s="5">
        <v>-27890</v>
      </c>
      <c r="F7730" s="3" t="s">
        <v>1573</v>
      </c>
      <c r="G7730" s="3" t="s">
        <v>39</v>
      </c>
      <c r="H7730" s="2" t="s">
        <v>21</v>
      </c>
      <c r="I7730" s="2" t="s">
        <v>15271</v>
      </c>
      <c r="J7730" s="3" t="str">
        <f>HYPERLINK("https://www.boe.es/gazeta/dias/1823/08/21/pdfs/GMD-1823-623.pdf#page=1","Abrir facsímil")</f>
        <v>Abrir facsímil</v>
      </c>
      <c r="K7730" s="3" t="s">
        <v>23</v>
      </c>
    </row>
    <row r="7731" spans="1:11" ht="42" customHeight="1">
      <c r="A7731" s="2" t="s">
        <v>15272</v>
      </c>
      <c r="B7731" s="2" t="s">
        <v>15272</v>
      </c>
      <c r="C7731" s="2" t="s">
        <v>17</v>
      </c>
      <c r="D7731" s="2" t="s">
        <v>18</v>
      </c>
      <c r="E7731" s="5">
        <v>-27994</v>
      </c>
      <c r="F7731" s="3" t="s">
        <v>714</v>
      </c>
      <c r="G7731" s="3" t="s">
        <v>39</v>
      </c>
      <c r="H7731" s="2" t="s">
        <v>21</v>
      </c>
      <c r="I7731" s="2" t="s">
        <v>15273</v>
      </c>
      <c r="J7731" s="3" t="str">
        <f>HYPERLINK("https://www.boe.es/gazeta/dias/1823/05/09/pdfs/GES-1823-29.pdf#page=1","Abrir facsímil")</f>
        <v>Abrir facsímil</v>
      </c>
      <c r="K7731" s="3" t="s">
        <v>23</v>
      </c>
    </row>
    <row r="7732" spans="1:11" ht="42" customHeight="1">
      <c r="A7732" s="2" t="s">
        <v>15274</v>
      </c>
      <c r="B7732" s="2" t="s">
        <v>15274</v>
      </c>
      <c r="C7732" s="2" t="s">
        <v>84</v>
      </c>
      <c r="D7732" s="2" t="s">
        <v>74</v>
      </c>
      <c r="E7732" s="5">
        <v>-28002</v>
      </c>
      <c r="F7732" s="3" t="s">
        <v>315</v>
      </c>
      <c r="G7732" s="3" t="s">
        <v>3998</v>
      </c>
      <c r="H7732" s="2" t="s">
        <v>21</v>
      </c>
      <c r="I7732" s="2" t="s">
        <v>15275</v>
      </c>
      <c r="J7732" s="3" t="str">
        <f>HYPERLINK("https://www.boe.es/gazeta/dias/1823/05/01/pdfs/GES-1823-21.pdf#page=6","Abrir facsímil")</f>
        <v>Abrir facsímil</v>
      </c>
      <c r="K7732" s="3" t="s">
        <v>23</v>
      </c>
    </row>
    <row r="7733" spans="1:11" ht="42" customHeight="1">
      <c r="A7733" s="2" t="s">
        <v>15276</v>
      </c>
      <c r="B7733" s="2" t="s">
        <v>15276</v>
      </c>
      <c r="C7733" s="2" t="s">
        <v>17</v>
      </c>
      <c r="D7733" s="2" t="s">
        <v>18</v>
      </c>
      <c r="E7733" s="5">
        <v>-28009</v>
      </c>
      <c r="F7733" s="3" t="s">
        <v>307</v>
      </c>
      <c r="G7733" s="3" t="s">
        <v>59</v>
      </c>
      <c r="H7733" s="2" t="s">
        <v>21</v>
      </c>
      <c r="I7733" s="2" t="s">
        <v>15277</v>
      </c>
      <c r="J7733" s="3" t="str">
        <f>HYPERLINK("https://www.boe.es/gazeta/dias/1823/04/24/pdfs/GES-1823-14.pdf#page=6","Abrir facsímil")</f>
        <v>Abrir facsímil</v>
      </c>
      <c r="K7733" s="3" t="s">
        <v>23</v>
      </c>
    </row>
    <row r="7734" spans="1:11" ht="42" customHeight="1">
      <c r="A7734" s="2" t="s">
        <v>15278</v>
      </c>
      <c r="B7734" s="2" t="s">
        <v>15279</v>
      </c>
      <c r="C7734" s="2" t="s">
        <v>17</v>
      </c>
      <c r="D7734" s="2" t="s">
        <v>18</v>
      </c>
      <c r="E7734" s="5">
        <v>-27877</v>
      </c>
      <c r="F7734" s="3" t="s">
        <v>844</v>
      </c>
      <c r="G7734" s="3" t="s">
        <v>39</v>
      </c>
      <c r="H7734" s="2" t="s">
        <v>28</v>
      </c>
      <c r="I7734" s="2" t="s">
        <v>15280</v>
      </c>
      <c r="J7734" s="3" t="str">
        <f>HYPERLINK("https://www.boe.es/gazeta/dias/1823/09/03/pdfs/GES-1823-147.pdf#page=1","Abrir facsímil")</f>
        <v>Abrir facsímil</v>
      </c>
      <c r="K7734" s="3" t="s">
        <v>30</v>
      </c>
    </row>
    <row r="7735" spans="1:11" ht="42" customHeight="1">
      <c r="A7735" s="2" t="s">
        <v>15281</v>
      </c>
      <c r="B7735" s="2" t="s">
        <v>15282</v>
      </c>
      <c r="C7735" s="2" t="s">
        <v>17</v>
      </c>
      <c r="D7735" s="2" t="s">
        <v>18</v>
      </c>
      <c r="E7735" s="5">
        <v>-28030</v>
      </c>
      <c r="F7735" s="3" t="s">
        <v>145</v>
      </c>
      <c r="G7735" s="3" t="s">
        <v>20</v>
      </c>
      <c r="H7735" s="2" t="s">
        <v>21</v>
      </c>
      <c r="I7735" s="2" t="s">
        <v>15283</v>
      </c>
      <c r="J7735" s="3" t="str">
        <f>HYPERLINK("https://www.boe.es/gazeta/dias/1823/04/03/pdfs/GMD-1823-97.pdf#page=4","Abrir facsímil")</f>
        <v>Abrir facsímil</v>
      </c>
      <c r="K7735" s="3" t="s">
        <v>23</v>
      </c>
    </row>
    <row r="7736" spans="1:11" ht="42" customHeight="1">
      <c r="A7736" s="2" t="s">
        <v>15284</v>
      </c>
      <c r="B7736" s="2" t="s">
        <v>15285</v>
      </c>
      <c r="C7736" s="2" t="s">
        <v>17</v>
      </c>
      <c r="D7736" s="2" t="s">
        <v>18</v>
      </c>
      <c r="E7736" s="5">
        <v>-27883</v>
      </c>
      <c r="F7736" s="3" t="s">
        <v>2318</v>
      </c>
      <c r="G7736" s="3" t="s">
        <v>27</v>
      </c>
      <c r="H7736" s="2" t="s">
        <v>28</v>
      </c>
      <c r="I7736" s="2" t="s">
        <v>15286</v>
      </c>
      <c r="J7736" s="3" t="str">
        <f>HYPERLINK("https://www.boe.es/gazeta/dias/1823/08/28/pdfs/GMD-1823-663.pdf#page=2","Abrir facsímil")</f>
        <v>Abrir facsímil</v>
      </c>
      <c r="K7736" s="3" t="s">
        <v>30</v>
      </c>
    </row>
    <row r="7737" spans="1:11" ht="42" customHeight="1">
      <c r="A7737" s="2" t="s">
        <v>15287</v>
      </c>
      <c r="B7737" s="2" t="s">
        <v>15288</v>
      </c>
      <c r="C7737" s="2" t="s">
        <v>79</v>
      </c>
      <c r="D7737" s="2" t="s">
        <v>74</v>
      </c>
      <c r="E7737" s="5">
        <v>-27920</v>
      </c>
      <c r="F7737" s="3" t="s">
        <v>1334</v>
      </c>
      <c r="G7737" s="3" t="s">
        <v>276</v>
      </c>
      <c r="H7737" s="2" t="s">
        <v>21</v>
      </c>
      <c r="I7737" s="2" t="s">
        <v>15289</v>
      </c>
      <c r="J7737" s="3" t="str">
        <f>HYPERLINK("https://www.boe.es/gazeta/dias/1823/07/22/pdfs/GMD-1823-443.pdf#page=7","Abrir facsímil")</f>
        <v>Abrir facsímil</v>
      </c>
      <c r="K7737" s="3" t="s">
        <v>23</v>
      </c>
    </row>
    <row r="7738" spans="1:11" ht="42" customHeight="1">
      <c r="A7738" s="2" t="s">
        <v>15290</v>
      </c>
      <c r="B7738" s="2" t="s">
        <v>15291</v>
      </c>
      <c r="C7738" s="2" t="s">
        <v>56</v>
      </c>
      <c r="D7738" s="2" t="s">
        <v>57</v>
      </c>
      <c r="E7738" s="5">
        <v>-28055</v>
      </c>
      <c r="F7738" s="3" t="s">
        <v>313</v>
      </c>
      <c r="G7738" s="3" t="s">
        <v>20</v>
      </c>
      <c r="H7738" s="2" t="s">
        <v>21</v>
      </c>
      <c r="I7738" s="2" t="s">
        <v>15292</v>
      </c>
      <c r="J7738" s="3" t="str">
        <f>HYPERLINK("https://www.boe.es/gazeta/dias/1823/03/09/pdfs/GMD-1823-72.pdf#page=4","Abrir facsímil")</f>
        <v>Abrir facsímil</v>
      </c>
      <c r="K7738" s="3" t="s">
        <v>23</v>
      </c>
    </row>
    <row r="7739" spans="1:11" ht="42" customHeight="1">
      <c r="A7739" s="2" t="s">
        <v>15293</v>
      </c>
      <c r="B7739" s="2" t="s">
        <v>15293</v>
      </c>
      <c r="C7739" s="2" t="s">
        <v>17</v>
      </c>
      <c r="D7739" s="2" t="s">
        <v>18</v>
      </c>
      <c r="E7739" s="5">
        <v>-27879</v>
      </c>
      <c r="F7739" s="3" t="s">
        <v>638</v>
      </c>
      <c r="G7739" s="3" t="s">
        <v>27</v>
      </c>
      <c r="H7739" s="2" t="s">
        <v>21</v>
      </c>
      <c r="I7739" s="2" t="s">
        <v>15294</v>
      </c>
      <c r="J7739" s="3" t="str">
        <f>HYPERLINK("https://www.boe.es/gazeta/dias/1823/09/01/pdfs/GES-1823-145.pdf#page=2","Abrir facsímil")</f>
        <v>Abrir facsímil</v>
      </c>
      <c r="K7739" s="3" t="s">
        <v>23</v>
      </c>
    </row>
    <row r="7740" spans="1:11" ht="42" customHeight="1">
      <c r="A7740" s="2" t="s">
        <v>15295</v>
      </c>
      <c r="B7740" s="2" t="s">
        <v>15295</v>
      </c>
      <c r="C7740" s="2" t="s">
        <v>56</v>
      </c>
      <c r="D7740" s="2" t="s">
        <v>57</v>
      </c>
      <c r="E7740" s="5">
        <v>-28092</v>
      </c>
      <c r="F7740" s="3" t="s">
        <v>105</v>
      </c>
      <c r="G7740" s="3" t="s">
        <v>27</v>
      </c>
      <c r="H7740" s="2" t="s">
        <v>21</v>
      </c>
      <c r="I7740" s="2" t="s">
        <v>15296</v>
      </c>
      <c r="J7740" s="3" t="str">
        <f>HYPERLINK("https://www.boe.es/gazeta/dias/1823/01/31/pdfs/GMD-1823-32.pdf#page=2","Abrir facsímil")</f>
        <v>Abrir facsímil</v>
      </c>
      <c r="K7740" s="3" t="s">
        <v>23</v>
      </c>
    </row>
    <row r="7741" spans="1:11" ht="42" customHeight="1">
      <c r="A7741" s="2" t="s">
        <v>15295</v>
      </c>
      <c r="B7741" s="2" t="s">
        <v>15295</v>
      </c>
      <c r="C7741" s="2" t="s">
        <v>109</v>
      </c>
      <c r="D7741" s="2" t="s">
        <v>74</v>
      </c>
      <c r="E7741" s="5">
        <v>-28087</v>
      </c>
      <c r="F7741" s="3" t="s">
        <v>3125</v>
      </c>
      <c r="G7741" s="3" t="s">
        <v>20</v>
      </c>
      <c r="H7741" s="2" t="s">
        <v>21</v>
      </c>
      <c r="I7741" s="2" t="s">
        <v>15297</v>
      </c>
      <c r="J7741" s="3" t="str">
        <f>HYPERLINK("https://www.boe.es/gazeta/dias/1823/02/05/pdfs/GMD-1823-38.pdf#page=4","Abrir facsímil")</f>
        <v>Abrir facsímil</v>
      </c>
      <c r="K7741" s="3" t="s">
        <v>23</v>
      </c>
    </row>
    <row r="7742" spans="1:11" ht="42" customHeight="1">
      <c r="A7742" s="2" t="s">
        <v>15295</v>
      </c>
      <c r="B7742" s="2" t="s">
        <v>15295</v>
      </c>
      <c r="C7742" s="2" t="s">
        <v>79</v>
      </c>
      <c r="D7742" s="2" t="s">
        <v>74</v>
      </c>
      <c r="E7742" s="5">
        <v>-28066</v>
      </c>
      <c r="F7742" s="3" t="s">
        <v>19</v>
      </c>
      <c r="G7742" s="3" t="s">
        <v>48</v>
      </c>
      <c r="H7742" s="2" t="s">
        <v>21</v>
      </c>
      <c r="I7742" s="2" t="s">
        <v>15298</v>
      </c>
      <c r="J7742" s="3" t="str">
        <f>HYPERLINK("https://www.boe.es/gazeta/dias/1823/02/26/pdfs/GMD-1823-60.pdf#page=3","Abrir facsímil")</f>
        <v>Abrir facsímil</v>
      </c>
      <c r="K7742" s="3" t="s">
        <v>23</v>
      </c>
    </row>
    <row r="7743" spans="1:11" ht="42" customHeight="1">
      <c r="A7743" s="2" t="s">
        <v>15295</v>
      </c>
      <c r="B7743" s="2" t="s">
        <v>15295</v>
      </c>
      <c r="C7743" s="2" t="s">
        <v>109</v>
      </c>
      <c r="D7743" s="2" t="s">
        <v>74</v>
      </c>
      <c r="E7743" s="5">
        <v>-28059</v>
      </c>
      <c r="F7743" s="3" t="s">
        <v>149</v>
      </c>
      <c r="G7743" s="3" t="s">
        <v>20</v>
      </c>
      <c r="H7743" s="2" t="s">
        <v>21</v>
      </c>
      <c r="I7743" s="2" t="s">
        <v>15299</v>
      </c>
      <c r="J7743" s="3" t="str">
        <f>HYPERLINK("https://www.boe.es/gazeta/dias/1823/03/05/pdfs/GMD-1823-68.pdf#page=4","Abrir facsímil")</f>
        <v>Abrir facsímil</v>
      </c>
      <c r="K7743" s="3" t="s">
        <v>23</v>
      </c>
    </row>
    <row r="7744" spans="1:11" ht="42" customHeight="1">
      <c r="A7744" s="2" t="s">
        <v>15295</v>
      </c>
      <c r="B7744" s="2" t="s">
        <v>15295</v>
      </c>
      <c r="C7744" s="2" t="s">
        <v>79</v>
      </c>
      <c r="D7744" s="2" t="s">
        <v>74</v>
      </c>
      <c r="E7744" s="5">
        <v>-28057</v>
      </c>
      <c r="F7744" s="3" t="s">
        <v>301</v>
      </c>
      <c r="G7744" s="3" t="s">
        <v>20</v>
      </c>
      <c r="H7744" s="2" t="s">
        <v>21</v>
      </c>
      <c r="I7744" s="2" t="s">
        <v>15300</v>
      </c>
      <c r="J7744" s="3" t="str">
        <f>HYPERLINK("https://www.boe.es/gazeta/dias/1823/03/07/pdfs/GMD-1823-70.pdf#page=4","Abrir facsímil")</f>
        <v>Abrir facsímil</v>
      </c>
      <c r="K7744" s="3" t="s">
        <v>23</v>
      </c>
    </row>
    <row r="7745" spans="1:11" ht="42" customHeight="1">
      <c r="A7745" s="2" t="s">
        <v>15295</v>
      </c>
      <c r="B7745" s="2" t="s">
        <v>15295</v>
      </c>
      <c r="C7745" s="2" t="s">
        <v>79</v>
      </c>
      <c r="D7745" s="2" t="s">
        <v>74</v>
      </c>
      <c r="E7745" s="5">
        <v>-27913</v>
      </c>
      <c r="F7745" s="3" t="s">
        <v>821</v>
      </c>
      <c r="G7745" s="3" t="s">
        <v>1204</v>
      </c>
      <c r="H7745" s="2" t="s">
        <v>21</v>
      </c>
      <c r="I7745" s="2" t="s">
        <v>15301</v>
      </c>
      <c r="J7745" s="3" t="str">
        <f>HYPERLINK("https://www.boe.es/gazeta/dias/1823/07/29/pdfs/GES-1823-110.pdf#page=2","Abrir facsímil")</f>
        <v>Abrir facsímil</v>
      </c>
      <c r="K7745" s="3" t="s">
        <v>23</v>
      </c>
    </row>
    <row r="7746" spans="1:11" ht="42" customHeight="1">
      <c r="A7746" s="2" t="s">
        <v>15302</v>
      </c>
      <c r="B7746" s="2" t="s">
        <v>15303</v>
      </c>
      <c r="C7746" s="2" t="s">
        <v>17</v>
      </c>
      <c r="D7746" s="2" t="s">
        <v>18</v>
      </c>
      <c r="E7746" s="5">
        <v>-27994</v>
      </c>
      <c r="F7746" s="3" t="s">
        <v>714</v>
      </c>
      <c r="G7746" s="3" t="s">
        <v>59</v>
      </c>
      <c r="H7746" s="2" t="s">
        <v>21</v>
      </c>
      <c r="I7746" s="2" t="s">
        <v>15304</v>
      </c>
      <c r="J7746" s="3" t="str">
        <f>HYPERLINK("https://www.boe.es/gazeta/dias/1823/05/09/pdfs/GES-1823-29.pdf#page=6","Abrir facsímil")</f>
        <v>Abrir facsímil</v>
      </c>
      <c r="K7746" s="3" t="s">
        <v>23</v>
      </c>
    </row>
    <row r="7747" spans="1:11" ht="42" customHeight="1">
      <c r="A7747" s="2" t="s">
        <v>15305</v>
      </c>
      <c r="B7747" s="2" t="s">
        <v>15305</v>
      </c>
      <c r="C7747" s="2" t="s">
        <v>56</v>
      </c>
      <c r="D7747" s="2" t="s">
        <v>57</v>
      </c>
      <c r="E7747" s="5">
        <v>-27913</v>
      </c>
      <c r="F7747" s="3" t="s">
        <v>821</v>
      </c>
      <c r="G7747" s="3" t="s">
        <v>39</v>
      </c>
      <c r="H7747" s="2" t="s">
        <v>21</v>
      </c>
      <c r="I7747" s="2" t="s">
        <v>15306</v>
      </c>
      <c r="J7747" s="3" t="str">
        <f>HYPERLINK("https://www.boe.es/gazeta/dias/1823/07/29/pdfs/GES-1823-110.pdf#page=1","Abrir facsímil")</f>
        <v>Abrir facsímil</v>
      </c>
      <c r="K7747" s="3" t="s">
        <v>23</v>
      </c>
    </row>
    <row r="7748" spans="1:11" ht="42" customHeight="1">
      <c r="A7748" s="2" t="s">
        <v>15307</v>
      </c>
      <c r="B7748" s="2" t="s">
        <v>15307</v>
      </c>
      <c r="C7748" s="2" t="s">
        <v>79</v>
      </c>
      <c r="D7748" s="2" t="s">
        <v>74</v>
      </c>
      <c r="E7748" s="5">
        <v>-28076</v>
      </c>
      <c r="F7748" s="3" t="s">
        <v>1638</v>
      </c>
      <c r="G7748" s="3" t="s">
        <v>39</v>
      </c>
      <c r="H7748" s="2" t="s">
        <v>21</v>
      </c>
      <c r="I7748" s="2" t="s">
        <v>15308</v>
      </c>
      <c r="J7748" s="3" t="str">
        <f>HYPERLINK("https://www.boe.es/gazeta/dias/1823/02/16/pdfs/GMD-1823-50.pdf#page=1","Abrir facsímil")</f>
        <v>Abrir facsímil</v>
      </c>
      <c r="K7748" s="3" t="s">
        <v>23</v>
      </c>
    </row>
    <row r="7749" spans="1:11" ht="42" customHeight="1">
      <c r="A7749" s="2" t="s">
        <v>15309</v>
      </c>
      <c r="B7749" s="2" t="s">
        <v>15309</v>
      </c>
      <c r="C7749" s="2" t="s">
        <v>109</v>
      </c>
      <c r="D7749" s="2" t="s">
        <v>74</v>
      </c>
      <c r="E7749" s="5">
        <v>-28009</v>
      </c>
      <c r="F7749" s="3" t="s">
        <v>307</v>
      </c>
      <c r="G7749" s="3" t="s">
        <v>59</v>
      </c>
      <c r="H7749" s="2" t="s">
        <v>21</v>
      </c>
      <c r="I7749" s="2" t="s">
        <v>15310</v>
      </c>
      <c r="J7749" s="3" t="str">
        <f>HYPERLINK("https://www.boe.es/gazeta/dias/1823/04/24/pdfs/GES-1823-14.pdf#page=6","Abrir facsímil")</f>
        <v>Abrir facsímil</v>
      </c>
      <c r="K7749" s="3" t="s">
        <v>23</v>
      </c>
    </row>
    <row r="7750" spans="1:11" ht="42" customHeight="1">
      <c r="A7750" s="2" t="s">
        <v>15309</v>
      </c>
      <c r="B7750" s="2" t="s">
        <v>15309</v>
      </c>
      <c r="C7750" s="2" t="s">
        <v>109</v>
      </c>
      <c r="D7750" s="2" t="s">
        <v>74</v>
      </c>
      <c r="E7750" s="5">
        <v>-28003</v>
      </c>
      <c r="F7750" s="3" t="s">
        <v>26</v>
      </c>
      <c r="G7750" s="3" t="s">
        <v>1114</v>
      </c>
      <c r="H7750" s="2" t="s">
        <v>21</v>
      </c>
      <c r="I7750" s="2" t="s">
        <v>15311</v>
      </c>
      <c r="J7750" s="3" t="str">
        <f>HYPERLINK("https://www.boe.es/gazeta/dias/1823/04/30/pdfs/GES-1823-20.pdf#page=6","Abrir facsímil")</f>
        <v>Abrir facsímil</v>
      </c>
      <c r="K7750" s="3" t="s">
        <v>23</v>
      </c>
    </row>
    <row r="7751" spans="1:11" ht="42" customHeight="1">
      <c r="A7751" s="2" t="s">
        <v>15309</v>
      </c>
      <c r="B7751" s="2" t="s">
        <v>15309</v>
      </c>
      <c r="C7751" s="2" t="s">
        <v>17</v>
      </c>
      <c r="D7751" s="2" t="s">
        <v>18</v>
      </c>
      <c r="E7751" s="5">
        <v>-28002</v>
      </c>
      <c r="F7751" s="3" t="s">
        <v>315</v>
      </c>
      <c r="G7751" s="3" t="s">
        <v>3998</v>
      </c>
      <c r="H7751" s="2" t="s">
        <v>21</v>
      </c>
      <c r="I7751" s="2" t="s">
        <v>15312</v>
      </c>
      <c r="J7751" s="3" t="str">
        <f>HYPERLINK("https://www.boe.es/gazeta/dias/1823/05/01/pdfs/GES-1823-21.pdf#page=6","Abrir facsímil")</f>
        <v>Abrir facsímil</v>
      </c>
      <c r="K7751" s="3" t="s">
        <v>23</v>
      </c>
    </row>
    <row r="7752" spans="1:11" ht="42" customHeight="1">
      <c r="A7752" s="2" t="s">
        <v>15313</v>
      </c>
      <c r="B7752" s="2" t="s">
        <v>15313</v>
      </c>
      <c r="C7752" s="2" t="s">
        <v>17</v>
      </c>
      <c r="D7752" s="2" t="s">
        <v>18</v>
      </c>
      <c r="E7752" s="5">
        <v>-28111</v>
      </c>
      <c r="F7752" s="3" t="s">
        <v>275</v>
      </c>
      <c r="G7752" s="3" t="s">
        <v>276</v>
      </c>
      <c r="H7752" s="2" t="s">
        <v>21</v>
      </c>
      <c r="I7752" s="2" t="s">
        <v>15314</v>
      </c>
      <c r="J7752" s="3" t="str">
        <f>HYPERLINK("https://www.boe.es/gazeta/dias/1823/01/12/pdfs/GMD-1823-12.pdf#page=7","Abrir facsímil")</f>
        <v>Abrir facsímil</v>
      </c>
      <c r="K7752" s="3" t="s">
        <v>23</v>
      </c>
    </row>
    <row r="7753" spans="1:11" ht="42" customHeight="1">
      <c r="A7753" s="2" t="s">
        <v>15315</v>
      </c>
      <c r="B7753" s="2" t="s">
        <v>15315</v>
      </c>
      <c r="C7753" s="2" t="s">
        <v>109</v>
      </c>
      <c r="D7753" s="2" t="s">
        <v>74</v>
      </c>
      <c r="E7753" s="5">
        <v>-28003</v>
      </c>
      <c r="F7753" s="3" t="s">
        <v>26</v>
      </c>
      <c r="G7753" s="3" t="s">
        <v>1114</v>
      </c>
      <c r="H7753" s="2" t="s">
        <v>21</v>
      </c>
      <c r="I7753" s="2" t="s">
        <v>15316</v>
      </c>
      <c r="J7753" s="3" t="str">
        <f>HYPERLINK("https://www.boe.es/gazeta/dias/1823/04/30/pdfs/GES-1823-20.pdf#page=6","Abrir facsímil")</f>
        <v>Abrir facsímil</v>
      </c>
      <c r="K7753" s="3" t="s">
        <v>23</v>
      </c>
    </row>
    <row r="7754" spans="1:11" ht="42" customHeight="1">
      <c r="A7754" s="2" t="s">
        <v>15317</v>
      </c>
      <c r="B7754" s="2" t="s">
        <v>15318</v>
      </c>
      <c r="C7754" s="2" t="s">
        <v>56</v>
      </c>
      <c r="D7754" s="2" t="s">
        <v>57</v>
      </c>
      <c r="E7754" s="5">
        <v>-28043</v>
      </c>
      <c r="F7754" s="3" t="s">
        <v>69</v>
      </c>
      <c r="G7754" s="3" t="s">
        <v>59</v>
      </c>
      <c r="H7754" s="2" t="s">
        <v>21</v>
      </c>
      <c r="I7754" s="2" t="s">
        <v>15319</v>
      </c>
      <c r="J7754" s="3" t="str">
        <f>HYPERLINK("https://www.boe.es/gazeta/dias/1823/03/21/pdfs/GMD-1823-84.pdf#page=6","Abrir facsímil")</f>
        <v>Abrir facsímil</v>
      </c>
      <c r="K7754" s="3" t="s">
        <v>23</v>
      </c>
    </row>
    <row r="7755" spans="1:11" ht="42" customHeight="1">
      <c r="A7755" s="2" t="s">
        <v>15320</v>
      </c>
      <c r="B7755" s="2" t="s">
        <v>15321</v>
      </c>
      <c r="C7755" s="2" t="s">
        <v>17</v>
      </c>
      <c r="D7755" s="2" t="s">
        <v>18</v>
      </c>
      <c r="E7755" s="5">
        <v>-27897</v>
      </c>
      <c r="F7755" s="3" t="s">
        <v>1569</v>
      </c>
      <c r="G7755" s="3" t="s">
        <v>20</v>
      </c>
      <c r="H7755" s="2" t="s">
        <v>28</v>
      </c>
      <c r="I7755" s="2" t="s">
        <v>15322</v>
      </c>
      <c r="J7755" s="3" t="str">
        <f>HYPERLINK("https://www.boe.es/gazeta/dias/1823/08/14/pdfs/GMD-1823-593.pdf#page=4","Abrir facsímil")</f>
        <v>Abrir facsímil</v>
      </c>
      <c r="K7755" s="3" t="s">
        <v>30</v>
      </c>
    </row>
    <row r="7756" spans="1:11" ht="42" customHeight="1">
      <c r="A7756" s="2" t="s">
        <v>15323</v>
      </c>
      <c r="B7756" s="2" t="s">
        <v>15324</v>
      </c>
      <c r="C7756" s="2" t="s">
        <v>17</v>
      </c>
      <c r="D7756" s="2" t="s">
        <v>18</v>
      </c>
      <c r="E7756" s="5">
        <v>-27797</v>
      </c>
      <c r="F7756" s="3" t="s">
        <v>3409</v>
      </c>
      <c r="G7756" s="3" t="s">
        <v>20</v>
      </c>
      <c r="H7756" s="2" t="s">
        <v>21</v>
      </c>
      <c r="I7756" s="2" t="s">
        <v>15325</v>
      </c>
      <c r="J7756" s="3" t="str">
        <f>HYPERLINK("https://www.boe.es/gazeta/dias/1823/11/22/pdfs/GMD-1823-1153.pdf#page=4","Abrir facsímil")</f>
        <v>Abrir facsímil</v>
      </c>
      <c r="K7756" s="3" t="s">
        <v>23</v>
      </c>
    </row>
    <row r="7757" spans="1:11" ht="42" customHeight="1">
      <c r="A7757" s="2" t="s">
        <v>15326</v>
      </c>
      <c r="B7757" s="2" t="s">
        <v>15327</v>
      </c>
      <c r="C7757" s="2" t="s">
        <v>56</v>
      </c>
      <c r="D7757" s="2" t="s">
        <v>57</v>
      </c>
      <c r="E7757" s="5">
        <v>-27797</v>
      </c>
      <c r="F7757" s="3" t="s">
        <v>3409</v>
      </c>
      <c r="G7757" s="3" t="s">
        <v>20</v>
      </c>
      <c r="H7757" s="2" t="s">
        <v>21</v>
      </c>
      <c r="I7757" s="2" t="s">
        <v>15328</v>
      </c>
      <c r="J7757" s="3" t="str">
        <f>HYPERLINK("https://www.boe.es/gazeta/dias/1823/11/22/pdfs/GMD-1823-1153.pdf#page=4","Abrir facsímil")</f>
        <v>Abrir facsímil</v>
      </c>
      <c r="K7757" s="3" t="s">
        <v>23</v>
      </c>
    </row>
    <row r="7758" spans="1:11" ht="42" customHeight="1">
      <c r="A7758" s="2" t="s">
        <v>15329</v>
      </c>
      <c r="B7758" s="2" t="s">
        <v>15329</v>
      </c>
      <c r="C7758" s="2" t="s">
        <v>17</v>
      </c>
      <c r="D7758" s="2" t="s">
        <v>18</v>
      </c>
      <c r="E7758" s="5">
        <v>-27944</v>
      </c>
      <c r="F7758" s="3" t="s">
        <v>658</v>
      </c>
      <c r="G7758" s="3" t="s">
        <v>27</v>
      </c>
      <c r="H7758" s="2" t="s">
        <v>21</v>
      </c>
      <c r="I7758" s="2" t="s">
        <v>15330</v>
      </c>
      <c r="J7758" s="3" t="str">
        <f>HYPERLINK("https://www.boe.es/gazeta/dias/1823/06/28/pdfs/GMD-1823-303.pdf#page=2","Abrir facsímil")</f>
        <v>Abrir facsímil</v>
      </c>
      <c r="K7758" s="3" t="s">
        <v>23</v>
      </c>
    </row>
    <row r="7759" spans="1:11" ht="42" customHeight="1">
      <c r="A7759" s="2" t="s">
        <v>15329</v>
      </c>
      <c r="B7759" s="2" t="s">
        <v>15329</v>
      </c>
      <c r="C7759" s="2" t="s">
        <v>17</v>
      </c>
      <c r="D7759" s="2" t="s">
        <v>18</v>
      </c>
      <c r="E7759" s="5">
        <v>-27889</v>
      </c>
      <c r="F7759" s="3" t="s">
        <v>1306</v>
      </c>
      <c r="G7759" s="3" t="s">
        <v>20</v>
      </c>
      <c r="H7759" s="2" t="s">
        <v>21</v>
      </c>
      <c r="I7759" s="2" t="s">
        <v>15331</v>
      </c>
      <c r="J7759" s="3" t="str">
        <f>HYPERLINK("https://www.boe.es/gazeta/dias/1823/08/22/pdfs/GES-1823-135.pdf#page=4","Abrir facsímil")</f>
        <v>Abrir facsímil</v>
      </c>
      <c r="K7759" s="3" t="s">
        <v>23</v>
      </c>
    </row>
    <row r="7760" spans="1:11" ht="42" customHeight="1">
      <c r="A7760" s="2" t="s">
        <v>15332</v>
      </c>
      <c r="B7760" s="2" t="s">
        <v>15333</v>
      </c>
      <c r="C7760" s="2" t="s">
        <v>17</v>
      </c>
      <c r="D7760" s="2" t="s">
        <v>18</v>
      </c>
      <c r="E7760" s="5">
        <v>-28062</v>
      </c>
      <c r="F7760" s="3" t="s">
        <v>1357</v>
      </c>
      <c r="G7760" s="3" t="s">
        <v>20</v>
      </c>
      <c r="H7760" s="2" t="s">
        <v>21</v>
      </c>
      <c r="I7760" s="2" t="s">
        <v>15334</v>
      </c>
      <c r="J7760" s="3" t="str">
        <f>HYPERLINK("https://www.boe.es/gazeta/dias/1823/03/02/pdfs/GMD-1823-65.pdf#page=4","Abrir facsímil")</f>
        <v>Abrir facsímil</v>
      </c>
      <c r="K7760" s="3" t="s">
        <v>23</v>
      </c>
    </row>
    <row r="7761" spans="1:11" ht="42" customHeight="1">
      <c r="A7761" s="2" t="s">
        <v>15335</v>
      </c>
      <c r="B7761" s="2" t="s">
        <v>15335</v>
      </c>
      <c r="C7761" s="2" t="s">
        <v>17</v>
      </c>
      <c r="D7761" s="2" t="s">
        <v>18</v>
      </c>
      <c r="E7761" s="5">
        <v>-27948</v>
      </c>
      <c r="F7761" s="3" t="s">
        <v>3752</v>
      </c>
      <c r="G7761" s="3" t="s">
        <v>27</v>
      </c>
      <c r="H7761" s="2" t="s">
        <v>21</v>
      </c>
      <c r="I7761" s="2" t="s">
        <v>15336</v>
      </c>
      <c r="J7761" s="3" t="str">
        <f>HYPERLINK("https://www.boe.es/gazeta/dias/1823/06/24/pdfs/GMD-1823-263.pdf#page=2","Abrir facsímil")</f>
        <v>Abrir facsímil</v>
      </c>
      <c r="K7761" s="3" t="s">
        <v>23</v>
      </c>
    </row>
    <row r="7762" spans="1:11" ht="42" customHeight="1">
      <c r="A7762" s="2" t="s">
        <v>15337</v>
      </c>
      <c r="B7762" s="2" t="s">
        <v>15337</v>
      </c>
      <c r="C7762" s="2" t="s">
        <v>109</v>
      </c>
      <c r="D7762" s="2" t="s">
        <v>74</v>
      </c>
      <c r="E7762" s="5">
        <v>-28097</v>
      </c>
      <c r="F7762" s="3" t="s">
        <v>1368</v>
      </c>
      <c r="G7762" s="3" t="s">
        <v>20</v>
      </c>
      <c r="H7762" s="2" t="s">
        <v>21</v>
      </c>
      <c r="I7762" s="2" t="s">
        <v>15338</v>
      </c>
      <c r="J7762" s="3" t="str">
        <f>HYPERLINK("https://www.boe.es/gazeta/dias/1823/01/26/pdfs/GMD-1823-27.pdf#page=4","Abrir facsímil")</f>
        <v>Abrir facsímil</v>
      </c>
      <c r="K7762" s="3" t="s">
        <v>23</v>
      </c>
    </row>
    <row r="7763" spans="1:11" ht="42" customHeight="1">
      <c r="A7763" s="2" t="s">
        <v>15337</v>
      </c>
      <c r="B7763" s="2" t="s">
        <v>15337</v>
      </c>
      <c r="C7763" s="2" t="s">
        <v>325</v>
      </c>
      <c r="D7763" s="2" t="s">
        <v>74</v>
      </c>
      <c r="E7763" s="5">
        <v>-28037</v>
      </c>
      <c r="F7763" s="3" t="s">
        <v>192</v>
      </c>
      <c r="G7763" s="3" t="s">
        <v>20</v>
      </c>
      <c r="H7763" s="2" t="s">
        <v>21</v>
      </c>
      <c r="I7763" s="2" t="s">
        <v>15339</v>
      </c>
      <c r="J7763" s="3" t="str">
        <f>HYPERLINK("https://www.boe.es/gazeta/dias/1823/03/27/pdfs/GMD-1823-90.pdf#page=4","Abrir facsímil")</f>
        <v>Abrir facsímil</v>
      </c>
      <c r="K7763" s="3" t="s">
        <v>23</v>
      </c>
    </row>
    <row r="7764" spans="1:11" ht="42" customHeight="1">
      <c r="A7764" s="2" t="s">
        <v>15337</v>
      </c>
      <c r="B7764" s="2" t="s">
        <v>15337</v>
      </c>
      <c r="C7764" s="2" t="s">
        <v>17</v>
      </c>
      <c r="D7764" s="2" t="s">
        <v>18</v>
      </c>
      <c r="E7764" s="5">
        <v>-28013</v>
      </c>
      <c r="F7764" s="3" t="s">
        <v>2466</v>
      </c>
      <c r="G7764" s="3" t="s">
        <v>4093</v>
      </c>
      <c r="H7764" s="2" t="s">
        <v>21</v>
      </c>
      <c r="I7764" s="2" t="s">
        <v>15340</v>
      </c>
      <c r="J7764" s="3" t="str">
        <f>HYPERLINK("https://www.boe.es/gazeta/dias/1823/04/20/pdfs/GES-1823-10.pdf#page=4","Abrir facsímil")</f>
        <v>Abrir facsímil</v>
      </c>
      <c r="K7764" s="3" t="s">
        <v>23</v>
      </c>
    </row>
    <row r="7765" spans="1:11" ht="42" customHeight="1">
      <c r="A7765" s="2" t="s">
        <v>15337</v>
      </c>
      <c r="B7765" s="2" t="s">
        <v>15337</v>
      </c>
      <c r="C7765" s="2" t="s">
        <v>17</v>
      </c>
      <c r="D7765" s="2" t="s">
        <v>18</v>
      </c>
      <c r="E7765" s="5">
        <v>-27995</v>
      </c>
      <c r="F7765" s="3" t="s">
        <v>326</v>
      </c>
      <c r="G7765" s="3" t="s">
        <v>39</v>
      </c>
      <c r="H7765" s="2" t="s">
        <v>21</v>
      </c>
      <c r="I7765" s="2" t="s">
        <v>15341</v>
      </c>
      <c r="J7765" s="3" t="str">
        <f>HYPERLINK("https://www.boe.es/gazeta/dias/1823/05/08/pdfs/GMD-1823-112.pdf#page=1","Abrir facsímil")</f>
        <v>Abrir facsímil</v>
      </c>
      <c r="K7765" s="3" t="s">
        <v>23</v>
      </c>
    </row>
    <row r="7766" spans="1:11" ht="42" customHeight="1">
      <c r="A7766" s="2" t="s">
        <v>15337</v>
      </c>
      <c r="B7766" s="2" t="s">
        <v>15337</v>
      </c>
      <c r="C7766" s="2" t="s">
        <v>17</v>
      </c>
      <c r="D7766" s="2" t="s">
        <v>18</v>
      </c>
      <c r="E7766" s="5">
        <v>-27906</v>
      </c>
      <c r="F7766" s="3" t="s">
        <v>241</v>
      </c>
      <c r="G7766" s="3" t="s">
        <v>59</v>
      </c>
      <c r="H7766" s="2" t="s">
        <v>21</v>
      </c>
      <c r="I7766" s="2" t="s">
        <v>15342</v>
      </c>
      <c r="J7766" s="3" t="str">
        <f>HYPERLINK("https://www.boe.es/gazeta/dias/1823/08/05/pdfs/GES-1823-117.pdf#page=6","Abrir facsímil")</f>
        <v>Abrir facsímil</v>
      </c>
      <c r="K7766" s="3" t="s">
        <v>23</v>
      </c>
    </row>
    <row r="7767" spans="1:11" ht="42" customHeight="1">
      <c r="A7767" s="2" t="s">
        <v>15337</v>
      </c>
      <c r="B7767" s="2" t="s">
        <v>15337</v>
      </c>
      <c r="C7767" s="2" t="s">
        <v>84</v>
      </c>
      <c r="D7767" s="2" t="s">
        <v>74</v>
      </c>
      <c r="E7767" s="5">
        <v>-27899</v>
      </c>
      <c r="F7767" s="3" t="s">
        <v>2172</v>
      </c>
      <c r="G7767" s="3" t="s">
        <v>20</v>
      </c>
      <c r="H7767" s="2" t="s">
        <v>21</v>
      </c>
      <c r="I7767" s="2" t="s">
        <v>15343</v>
      </c>
      <c r="J7767" s="3" t="str">
        <f>HYPERLINK("https://www.boe.es/gazeta/dias/1823/08/12/pdfs/GES-1823-125.pdf#page=4","Abrir facsímil")</f>
        <v>Abrir facsímil</v>
      </c>
      <c r="K7767" s="3" t="s">
        <v>23</v>
      </c>
    </row>
    <row r="7768" spans="1:11" ht="42" customHeight="1">
      <c r="A7768" s="2" t="s">
        <v>15337</v>
      </c>
      <c r="B7768" s="2" t="s">
        <v>15337</v>
      </c>
      <c r="C7768" s="2" t="s">
        <v>17</v>
      </c>
      <c r="D7768" s="2" t="s">
        <v>18</v>
      </c>
      <c r="E7768" s="5">
        <v>-27898</v>
      </c>
      <c r="F7768" s="3" t="s">
        <v>5169</v>
      </c>
      <c r="G7768" s="3" t="s">
        <v>20</v>
      </c>
      <c r="H7768" s="2" t="s">
        <v>21</v>
      </c>
      <c r="I7768" s="2" t="s">
        <v>15344</v>
      </c>
      <c r="J7768" s="3" t="str">
        <f>HYPERLINK("https://www.boe.es/gazeta/dias/1823/08/13/pdfs/GES-1823-126.pdf#page=4","Abrir facsímil")</f>
        <v>Abrir facsímil</v>
      </c>
      <c r="K7768" s="3" t="s">
        <v>23</v>
      </c>
    </row>
    <row r="7769" spans="1:11" ht="42" customHeight="1">
      <c r="A7769" s="2" t="s">
        <v>15345</v>
      </c>
      <c r="B7769" s="2" t="s">
        <v>15345</v>
      </c>
      <c r="C7769" s="2" t="s">
        <v>17</v>
      </c>
      <c r="D7769" s="2" t="s">
        <v>18</v>
      </c>
      <c r="E7769" s="5">
        <v>-27939</v>
      </c>
      <c r="F7769" s="3" t="s">
        <v>1403</v>
      </c>
      <c r="G7769" s="3" t="s">
        <v>2756</v>
      </c>
      <c r="H7769" s="2" t="s">
        <v>21</v>
      </c>
      <c r="I7769" s="2" t="s">
        <v>15346</v>
      </c>
      <c r="J7769" s="3" t="str">
        <f>HYPERLINK("https://www.boe.es/gazeta/dias/1823/07/03/pdfs/GMD-1823-333.pdf#page=6","Abrir facsímil")</f>
        <v>Abrir facsímil</v>
      </c>
      <c r="K7769" s="3" t="s">
        <v>23</v>
      </c>
    </row>
    <row r="7770" spans="1:11" ht="42" customHeight="1">
      <c r="A7770" s="2" t="s">
        <v>15347</v>
      </c>
      <c r="B7770" s="2" t="s">
        <v>15347</v>
      </c>
      <c r="C7770" s="2" t="s">
        <v>17</v>
      </c>
      <c r="D7770" s="2" t="s">
        <v>18</v>
      </c>
      <c r="E7770" s="5">
        <v>-28037</v>
      </c>
      <c r="F7770" s="3" t="s">
        <v>192</v>
      </c>
      <c r="G7770" s="3" t="s">
        <v>39</v>
      </c>
      <c r="H7770" s="2" t="s">
        <v>21</v>
      </c>
      <c r="I7770" s="2" t="s">
        <v>15348</v>
      </c>
      <c r="J7770" s="3" t="str">
        <f>HYPERLINK("https://www.boe.es/gazeta/dias/1823/03/27/pdfs/GMD-1823-90.pdf#page=1","Abrir facsímil")</f>
        <v>Abrir facsímil</v>
      </c>
      <c r="K7770" s="3" t="s">
        <v>23</v>
      </c>
    </row>
    <row r="7771" spans="1:11" ht="42" customHeight="1">
      <c r="A7771" s="2" t="s">
        <v>15349</v>
      </c>
      <c r="B7771" s="2" t="s">
        <v>15350</v>
      </c>
      <c r="C7771" s="2" t="s">
        <v>79</v>
      </c>
      <c r="D7771" s="2" t="s">
        <v>74</v>
      </c>
      <c r="E7771" s="5">
        <v>-28015</v>
      </c>
      <c r="F7771" s="3" t="s">
        <v>985</v>
      </c>
      <c r="G7771" s="3" t="s">
        <v>20</v>
      </c>
      <c r="H7771" s="2" t="s">
        <v>21</v>
      </c>
      <c r="I7771" s="2" t="s">
        <v>15351</v>
      </c>
      <c r="J7771" s="3" t="str">
        <f>HYPERLINK("https://www.boe.es/gazeta/dias/1823/04/18/pdfs/GES-1823-8.pdf#page=4","Abrir facsímil")</f>
        <v>Abrir facsímil</v>
      </c>
      <c r="K7771" s="3" t="s">
        <v>23</v>
      </c>
    </row>
    <row r="7772" spans="1:11" ht="42" customHeight="1">
      <c r="A7772" s="2" t="s">
        <v>15352</v>
      </c>
      <c r="B7772" s="2" t="s">
        <v>15353</v>
      </c>
      <c r="C7772" s="2" t="s">
        <v>17</v>
      </c>
      <c r="D7772" s="2" t="s">
        <v>18</v>
      </c>
      <c r="E7772" s="5">
        <v>-27985</v>
      </c>
      <c r="F7772" s="3" t="s">
        <v>951</v>
      </c>
      <c r="G7772" s="3" t="s">
        <v>1140</v>
      </c>
      <c r="H7772" s="2" t="s">
        <v>21</v>
      </c>
      <c r="I7772" s="2" t="s">
        <v>15354</v>
      </c>
      <c r="J7772" s="3" t="str">
        <f>HYPERLINK("https://www.boe.es/gazeta/dias/1823/05/18/pdfs/GES-1823-38.pdf#page=5","Abrir facsímil")</f>
        <v>Abrir facsímil</v>
      </c>
      <c r="K7772" s="3" t="s">
        <v>23</v>
      </c>
    </row>
    <row r="7773" spans="1:11" ht="42" customHeight="1">
      <c r="A7773" s="2" t="s">
        <v>15355</v>
      </c>
      <c r="B7773" s="2" t="s">
        <v>15355</v>
      </c>
      <c r="C7773" s="2" t="s">
        <v>293</v>
      </c>
      <c r="D7773" s="2" t="s">
        <v>74</v>
      </c>
      <c r="E7773" s="5">
        <v>-27927</v>
      </c>
      <c r="F7773" s="3" t="s">
        <v>2409</v>
      </c>
      <c r="G7773" s="3" t="s">
        <v>27</v>
      </c>
      <c r="H7773" s="2" t="s">
        <v>21</v>
      </c>
      <c r="I7773" s="2" t="s">
        <v>15356</v>
      </c>
      <c r="J7773" s="3" t="str">
        <f>HYPERLINK("https://www.boe.es/gazeta/dias/1823/07/15/pdfs/GMD-1823-403.pdf#page=2","Abrir facsímil")</f>
        <v>Abrir facsímil</v>
      </c>
      <c r="K7773" s="3" t="s">
        <v>23</v>
      </c>
    </row>
    <row r="7774" spans="1:11" ht="42" customHeight="1">
      <c r="A7774" s="2" t="s">
        <v>15357</v>
      </c>
      <c r="B7774" s="2" t="s">
        <v>15358</v>
      </c>
      <c r="C7774" s="2" t="s">
        <v>17</v>
      </c>
      <c r="D7774" s="2" t="s">
        <v>18</v>
      </c>
      <c r="E7774" s="5">
        <v>-27860</v>
      </c>
      <c r="F7774" s="3" t="s">
        <v>744</v>
      </c>
      <c r="G7774" s="3" t="s">
        <v>745</v>
      </c>
      <c r="H7774" s="2" t="s">
        <v>21</v>
      </c>
      <c r="I7774" s="2" t="s">
        <v>15359</v>
      </c>
      <c r="J7774" s="3" t="str">
        <f>HYPERLINK("https://www.boe.es/gazeta/dias/1823/09/20/pdfs/GES-1823-164.pdf#page=2","Abrir facsímil")</f>
        <v>Abrir facsímil</v>
      </c>
      <c r="K7774" s="3" t="s">
        <v>23</v>
      </c>
    </row>
    <row r="7775" spans="1:11" ht="42" customHeight="1">
      <c r="A7775" s="2" t="s">
        <v>15360</v>
      </c>
      <c r="B7775" s="2" t="s">
        <v>15361</v>
      </c>
      <c r="C7775" s="2" t="s">
        <v>17</v>
      </c>
      <c r="D7775" s="2" t="s">
        <v>18</v>
      </c>
      <c r="E7775" s="5">
        <v>-27966</v>
      </c>
      <c r="F7775" s="3" t="s">
        <v>675</v>
      </c>
      <c r="G7775" s="3" t="s">
        <v>27</v>
      </c>
      <c r="H7775" s="2" t="s">
        <v>21</v>
      </c>
      <c r="I7775" s="2" t="s">
        <v>15362</v>
      </c>
      <c r="J7775" s="3" t="str">
        <f>HYPERLINK("https://www.boe.es/gazeta/dias/1823/06/06/pdfs/GES-1823-60.pdf#page=2","Abrir facsímil")</f>
        <v>Abrir facsímil</v>
      </c>
      <c r="K7775" s="3" t="s">
        <v>23</v>
      </c>
    </row>
    <row r="7776" spans="1:11" ht="42" customHeight="1">
      <c r="A7776" s="2" t="s">
        <v>15363</v>
      </c>
      <c r="B7776" s="2" t="s">
        <v>15364</v>
      </c>
      <c r="C7776" s="2" t="s">
        <v>17</v>
      </c>
      <c r="D7776" s="2" t="s">
        <v>18</v>
      </c>
      <c r="E7776" s="5">
        <v>-27997</v>
      </c>
      <c r="F7776" s="3" t="s">
        <v>937</v>
      </c>
      <c r="G7776" s="3" t="s">
        <v>39</v>
      </c>
      <c r="H7776" s="2" t="s">
        <v>21</v>
      </c>
      <c r="I7776" s="2" t="s">
        <v>15365</v>
      </c>
      <c r="J7776" s="3" t="str">
        <f>HYPERLINK("https://www.boe.es/gazeta/dias/1823/05/06/pdfs/GMD-1823-102.pdf#page=1","Abrir facsímil")</f>
        <v>Abrir facsímil</v>
      </c>
      <c r="K7776" s="3" t="s">
        <v>23</v>
      </c>
    </row>
    <row r="7777" spans="1:11" ht="42" customHeight="1">
      <c r="A7777" s="2" t="s">
        <v>15366</v>
      </c>
      <c r="B7777" s="2" t="s">
        <v>15367</v>
      </c>
      <c r="C7777" s="2" t="s">
        <v>17</v>
      </c>
      <c r="D7777" s="2" t="s">
        <v>18</v>
      </c>
      <c r="E7777" s="5">
        <v>-27999</v>
      </c>
      <c r="F7777" s="3" t="s">
        <v>97</v>
      </c>
      <c r="G7777" s="3" t="s">
        <v>1257</v>
      </c>
      <c r="H7777" s="2" t="s">
        <v>21</v>
      </c>
      <c r="I7777" s="2" t="s">
        <v>15368</v>
      </c>
      <c r="J7777" s="3" t="str">
        <f>HYPERLINK("https://www.boe.es/gazeta/dias/1823/05/04/pdfs/GES-1823-24.pdf#page=2","Abrir facsímil")</f>
        <v>Abrir facsímil</v>
      </c>
      <c r="K7777" s="3" t="s">
        <v>23</v>
      </c>
    </row>
    <row r="7778" spans="1:11" ht="42" customHeight="1">
      <c r="A7778" s="2" t="s">
        <v>15369</v>
      </c>
      <c r="B7778" s="2" t="s">
        <v>15369</v>
      </c>
      <c r="C7778" s="2" t="s">
        <v>17</v>
      </c>
      <c r="D7778" s="2" t="s">
        <v>18</v>
      </c>
      <c r="E7778" s="5">
        <v>-27931</v>
      </c>
      <c r="F7778" s="3" t="s">
        <v>1833</v>
      </c>
      <c r="G7778" s="3" t="s">
        <v>48</v>
      </c>
      <c r="H7778" s="2" t="s">
        <v>21</v>
      </c>
      <c r="I7778" s="2" t="s">
        <v>15370</v>
      </c>
      <c r="J7778" s="3" t="str">
        <f>HYPERLINK("https://www.boe.es/gazeta/dias/1823/07/11/pdfs/GES-1823-91.pdf#page=3","Abrir facsímil")</f>
        <v>Abrir facsímil</v>
      </c>
      <c r="K7778" s="3" t="s">
        <v>23</v>
      </c>
    </row>
    <row r="7779" spans="1:11" ht="42" customHeight="1">
      <c r="A7779" s="2" t="s">
        <v>15371</v>
      </c>
      <c r="B7779" s="2" t="s">
        <v>15371</v>
      </c>
      <c r="C7779" s="2" t="s">
        <v>56</v>
      </c>
      <c r="D7779" s="2" t="s">
        <v>57</v>
      </c>
      <c r="E7779" s="5">
        <v>-27951</v>
      </c>
      <c r="F7779" s="3" t="s">
        <v>548</v>
      </c>
      <c r="G7779" s="3" t="s">
        <v>39</v>
      </c>
      <c r="H7779" s="2" t="s">
        <v>21</v>
      </c>
      <c r="I7779" s="2" t="s">
        <v>15372</v>
      </c>
      <c r="J7779" s="3" t="str">
        <f>HYPERLINK("https://www.boe.es/gazeta/dias/1823/06/21/pdfs/GES-1823-69.pdf#page=1","Abrir facsímil")</f>
        <v>Abrir facsímil</v>
      </c>
      <c r="K7779" s="3" t="s">
        <v>23</v>
      </c>
    </row>
    <row r="7780" spans="1:11" ht="42" customHeight="1">
      <c r="A7780" s="2" t="s">
        <v>15373</v>
      </c>
      <c r="B7780" s="2" t="s">
        <v>15374</v>
      </c>
      <c r="C7780" s="2" t="s">
        <v>325</v>
      </c>
      <c r="D7780" s="2" t="s">
        <v>74</v>
      </c>
      <c r="E7780" s="5">
        <v>-28028</v>
      </c>
      <c r="F7780" s="3" t="s">
        <v>893</v>
      </c>
      <c r="G7780" s="3" t="s">
        <v>27</v>
      </c>
      <c r="H7780" s="2" t="s">
        <v>21</v>
      </c>
      <c r="I7780" s="2" t="s">
        <v>15375</v>
      </c>
      <c r="J7780" s="3" t="str">
        <f>HYPERLINK("https://www.boe.es/gazeta/dias/1823/04/05/pdfs/GMD-1823-99.pdf#page=2","Abrir facsímil")</f>
        <v>Abrir facsímil</v>
      </c>
      <c r="K7780" s="3" t="s">
        <v>23</v>
      </c>
    </row>
    <row r="7781" spans="1:11" ht="42" customHeight="1">
      <c r="A7781" s="2" t="s">
        <v>15376</v>
      </c>
      <c r="B7781" s="2" t="s">
        <v>15376</v>
      </c>
      <c r="C7781" s="2" t="s">
        <v>17</v>
      </c>
      <c r="D7781" s="2" t="s">
        <v>18</v>
      </c>
      <c r="E7781" s="5">
        <v>-28021</v>
      </c>
      <c r="F7781" s="3" t="s">
        <v>2669</v>
      </c>
      <c r="G7781" s="3" t="s">
        <v>48</v>
      </c>
      <c r="H7781" s="2" t="s">
        <v>21</v>
      </c>
      <c r="I7781" s="2" t="s">
        <v>15377</v>
      </c>
      <c r="J7781" s="3" t="str">
        <f>HYPERLINK("https://www.boe.es/gazeta/dias/1823/04/12/pdfs/GES-1823-2.pdf#page=3","Abrir facsímil")</f>
        <v>Abrir facsímil</v>
      </c>
      <c r="K7781" s="3" t="s">
        <v>23</v>
      </c>
    </row>
    <row r="7782" spans="1:11" ht="42" customHeight="1">
      <c r="A7782" s="2" t="s">
        <v>15378</v>
      </c>
      <c r="B7782" s="2" t="s">
        <v>15379</v>
      </c>
      <c r="C7782" s="2" t="s">
        <v>17</v>
      </c>
      <c r="D7782" s="2" t="s">
        <v>18</v>
      </c>
      <c r="E7782" s="5">
        <v>-28059</v>
      </c>
      <c r="F7782" s="3" t="s">
        <v>149</v>
      </c>
      <c r="G7782" s="3" t="s">
        <v>20</v>
      </c>
      <c r="H7782" s="2" t="s">
        <v>21</v>
      </c>
      <c r="I7782" s="2" t="s">
        <v>15380</v>
      </c>
      <c r="J7782" s="3" t="str">
        <f>HYPERLINK("https://www.boe.es/gazeta/dias/1823/03/05/pdfs/GMD-1823-68.pdf#page=4","Abrir facsímil")</f>
        <v>Abrir facsímil</v>
      </c>
      <c r="K7782" s="3" t="s">
        <v>23</v>
      </c>
    </row>
    <row r="7783" spans="1:11" ht="42" customHeight="1">
      <c r="A7783" s="2" t="s">
        <v>15381</v>
      </c>
      <c r="B7783" s="2" t="s">
        <v>15381</v>
      </c>
      <c r="C7783" s="2" t="s">
        <v>17</v>
      </c>
      <c r="D7783" s="2" t="s">
        <v>18</v>
      </c>
      <c r="E7783" s="5">
        <v>-27948</v>
      </c>
      <c r="F7783" s="3" t="s">
        <v>3752</v>
      </c>
      <c r="G7783" s="3" t="s">
        <v>39</v>
      </c>
      <c r="H7783" s="2" t="s">
        <v>21</v>
      </c>
      <c r="I7783" s="2" t="s">
        <v>15382</v>
      </c>
      <c r="J7783" s="3" t="str">
        <f>HYPERLINK("https://www.boe.es/gazeta/dias/1823/06/24/pdfs/GMD-1823-263.pdf#page=1","Abrir facsímil")</f>
        <v>Abrir facsímil</v>
      </c>
      <c r="K7783" s="3" t="s">
        <v>23</v>
      </c>
    </row>
    <row r="7784" spans="1:11" ht="42" customHeight="1">
      <c r="A7784" s="2" t="s">
        <v>15383</v>
      </c>
      <c r="B7784" s="2" t="s">
        <v>15384</v>
      </c>
      <c r="C7784" s="2" t="s">
        <v>17</v>
      </c>
      <c r="D7784" s="2" t="s">
        <v>18</v>
      </c>
      <c r="E7784" s="5">
        <v>-27953</v>
      </c>
      <c r="F7784" s="3" t="s">
        <v>1543</v>
      </c>
      <c r="G7784" s="3" t="s">
        <v>27</v>
      </c>
      <c r="H7784" s="2" t="s">
        <v>28</v>
      </c>
      <c r="I7784" s="2" t="s">
        <v>15385</v>
      </c>
      <c r="J7784" s="3" t="str">
        <f>HYPERLINK("https://www.boe.es/gazeta/dias/1823/06/19/pdfs/GMD-1823-193.pdf#page=2","Abrir facsímil")</f>
        <v>Abrir facsímil</v>
      </c>
      <c r="K7784" s="3" t="s">
        <v>30</v>
      </c>
    </row>
    <row r="7785" spans="1:11" ht="42" customHeight="1">
      <c r="A7785" s="2" t="s">
        <v>15386</v>
      </c>
      <c r="B7785" s="2" t="s">
        <v>15386</v>
      </c>
      <c r="C7785" s="2" t="s">
        <v>17</v>
      </c>
      <c r="D7785" s="2" t="s">
        <v>18</v>
      </c>
      <c r="E7785" s="5">
        <v>-27918</v>
      </c>
      <c r="F7785" s="3" t="s">
        <v>218</v>
      </c>
      <c r="G7785" s="3" t="s">
        <v>27</v>
      </c>
      <c r="H7785" s="2" t="s">
        <v>21</v>
      </c>
      <c r="I7785" s="2" t="s">
        <v>15387</v>
      </c>
      <c r="J7785" s="3" t="str">
        <f>HYPERLINK("https://www.boe.es/gazeta/dias/1823/07/24/pdfs/GMD-1823-463.pdf#page=2","Abrir facsímil")</f>
        <v>Abrir facsímil</v>
      </c>
      <c r="K7785" s="3" t="s">
        <v>23</v>
      </c>
    </row>
    <row r="7786" spans="1:11" ht="42" customHeight="1">
      <c r="A7786" s="2" t="s">
        <v>15388</v>
      </c>
      <c r="B7786" s="2" t="s">
        <v>15388</v>
      </c>
      <c r="C7786" s="2" t="s">
        <v>17</v>
      </c>
      <c r="D7786" s="2" t="s">
        <v>18</v>
      </c>
      <c r="E7786" s="5">
        <v>-27897</v>
      </c>
      <c r="F7786" s="3" t="s">
        <v>1569</v>
      </c>
      <c r="G7786" s="3" t="s">
        <v>48</v>
      </c>
      <c r="H7786" s="2" t="s">
        <v>21</v>
      </c>
      <c r="I7786" s="2" t="s">
        <v>15389</v>
      </c>
      <c r="J7786" s="3" t="str">
        <f>HYPERLINK("https://www.boe.es/gazeta/dias/1823/08/14/pdfs/GMD-1823-593.pdf#page=3","Abrir facsímil")</f>
        <v>Abrir facsímil</v>
      </c>
      <c r="K7786" s="3" t="s">
        <v>23</v>
      </c>
    </row>
    <row r="7787" spans="1:11" ht="42" customHeight="1">
      <c r="A7787" s="2" t="s">
        <v>15390</v>
      </c>
      <c r="B7787" s="2" t="s">
        <v>15391</v>
      </c>
      <c r="C7787" s="2" t="s">
        <v>79</v>
      </c>
      <c r="D7787" s="2" t="s">
        <v>74</v>
      </c>
      <c r="E7787" s="5">
        <v>-28004</v>
      </c>
      <c r="F7787" s="3" t="s">
        <v>313</v>
      </c>
      <c r="G7787" s="3" t="s">
        <v>27</v>
      </c>
      <c r="H7787" s="2" t="s">
        <v>21</v>
      </c>
      <c r="I7787" s="2" t="s">
        <v>15392</v>
      </c>
      <c r="J7787" s="3" t="str">
        <f>HYPERLINK("https://www.boe.es/gazeta/dias/1823/04/29/pdfs/GMD-1823-72.pdf#page=2","Abrir facsímil")</f>
        <v>Abrir facsímil</v>
      </c>
      <c r="K7787" s="3" t="s">
        <v>23</v>
      </c>
    </row>
    <row r="7788" spans="1:11" ht="42" customHeight="1">
      <c r="A7788" s="2" t="s">
        <v>15393</v>
      </c>
      <c r="B7788" s="2" t="s">
        <v>15393</v>
      </c>
      <c r="C7788" s="2" t="s">
        <v>17</v>
      </c>
      <c r="D7788" s="2" t="s">
        <v>18</v>
      </c>
      <c r="E7788" s="5">
        <v>-27897</v>
      </c>
      <c r="F7788" s="3" t="s">
        <v>1569</v>
      </c>
      <c r="G7788" s="3" t="s">
        <v>48</v>
      </c>
      <c r="H7788" s="2" t="s">
        <v>21</v>
      </c>
      <c r="I7788" s="2" t="s">
        <v>15394</v>
      </c>
      <c r="J7788" s="3" t="str">
        <f>HYPERLINK("https://www.boe.es/gazeta/dias/1823/08/14/pdfs/GMD-1823-593.pdf#page=3","Abrir facsímil")</f>
        <v>Abrir facsímil</v>
      </c>
      <c r="K7788" s="3" t="s">
        <v>23</v>
      </c>
    </row>
    <row r="7789" spans="1:11" ht="42" customHeight="1">
      <c r="A7789" s="2" t="s">
        <v>15393</v>
      </c>
      <c r="B7789" s="2" t="s">
        <v>15393</v>
      </c>
      <c r="C7789" s="2" t="s">
        <v>17</v>
      </c>
      <c r="D7789" s="2" t="s">
        <v>18</v>
      </c>
      <c r="E7789" s="5">
        <v>-27897</v>
      </c>
      <c r="F7789" s="3" t="s">
        <v>1569</v>
      </c>
      <c r="G7789" s="3" t="s">
        <v>20</v>
      </c>
      <c r="H7789" s="2" t="s">
        <v>21</v>
      </c>
      <c r="I7789" s="2" t="s">
        <v>15395</v>
      </c>
      <c r="J7789" s="3" t="str">
        <f>HYPERLINK("https://www.boe.es/gazeta/dias/1823/08/14/pdfs/GMD-1823-593.pdf#page=4","Abrir facsímil")</f>
        <v>Abrir facsímil</v>
      </c>
      <c r="K7789" s="3" t="s">
        <v>23</v>
      </c>
    </row>
    <row r="7790" spans="1:11" ht="42" customHeight="1">
      <c r="A7790" s="2" t="s">
        <v>15393</v>
      </c>
      <c r="B7790" s="2" t="s">
        <v>15393</v>
      </c>
      <c r="C7790" s="2" t="s">
        <v>17</v>
      </c>
      <c r="D7790" s="2" t="s">
        <v>18</v>
      </c>
      <c r="E7790" s="5">
        <v>-27890</v>
      </c>
      <c r="F7790" s="3" t="s">
        <v>1573</v>
      </c>
      <c r="G7790" s="3" t="s">
        <v>20</v>
      </c>
      <c r="H7790" s="2" t="s">
        <v>21</v>
      </c>
      <c r="I7790" s="2" t="s">
        <v>15396</v>
      </c>
      <c r="J7790" s="3" t="str">
        <f>HYPERLINK("https://www.boe.es/gazeta/dias/1823/08/21/pdfs/GMD-1823-623.pdf#page=4","Abrir facsímil")</f>
        <v>Abrir facsímil</v>
      </c>
      <c r="K7790" s="3" t="s">
        <v>23</v>
      </c>
    </row>
    <row r="7791" spans="1:11" ht="42" customHeight="1">
      <c r="A7791" s="2" t="s">
        <v>15393</v>
      </c>
      <c r="B7791" s="2" t="s">
        <v>15393</v>
      </c>
      <c r="C7791" s="2" t="s">
        <v>17</v>
      </c>
      <c r="D7791" s="2" t="s">
        <v>117</v>
      </c>
      <c r="E7791" s="5">
        <v>-27886</v>
      </c>
      <c r="F7791" s="3" t="s">
        <v>2388</v>
      </c>
      <c r="G7791" s="3" t="s">
        <v>39</v>
      </c>
      <c r="H7791" s="2" t="s">
        <v>21</v>
      </c>
      <c r="I7791" s="2" t="s">
        <v>15397</v>
      </c>
      <c r="J7791" s="3" t="str">
        <f>HYPERLINK("https://www.boe.es/gazeta/dias/1823/08/25/pdfs/GMD-1823-643E.pdf#page=1","Abrir facsímil")</f>
        <v>Abrir facsímil</v>
      </c>
      <c r="K7791" s="3" t="s">
        <v>23</v>
      </c>
    </row>
    <row r="7792" spans="1:11" ht="42" customHeight="1">
      <c r="A7792" s="2" t="s">
        <v>15393</v>
      </c>
      <c r="B7792" s="2" t="s">
        <v>15393</v>
      </c>
      <c r="C7792" s="2" t="s">
        <v>17</v>
      </c>
      <c r="D7792" s="2" t="s">
        <v>18</v>
      </c>
      <c r="E7792" s="5">
        <v>-27866</v>
      </c>
      <c r="F7792" s="3" t="s">
        <v>1262</v>
      </c>
      <c r="G7792" s="3" t="s">
        <v>27</v>
      </c>
      <c r="H7792" s="2" t="s">
        <v>21</v>
      </c>
      <c r="I7792" s="2" t="s">
        <v>15398</v>
      </c>
      <c r="J7792" s="3" t="str">
        <f>HYPERLINK("https://www.boe.es/gazeta/dias/1823/09/14/pdfs/GES-1823-158.pdf#page=2","Abrir facsímil")</f>
        <v>Abrir facsímil</v>
      </c>
      <c r="K7792" s="3" t="s">
        <v>23</v>
      </c>
    </row>
    <row r="7793" spans="1:11" ht="42" customHeight="1">
      <c r="A7793" s="2" t="s">
        <v>15399</v>
      </c>
      <c r="B7793" s="2" t="s">
        <v>15400</v>
      </c>
      <c r="C7793" s="2" t="s">
        <v>17</v>
      </c>
      <c r="D7793" s="2" t="s">
        <v>18</v>
      </c>
      <c r="E7793" s="5">
        <v>-28024</v>
      </c>
      <c r="F7793" s="3" t="s">
        <v>1659</v>
      </c>
      <c r="G7793" s="3" t="s">
        <v>27</v>
      </c>
      <c r="H7793" s="2" t="s">
        <v>21</v>
      </c>
      <c r="I7793" s="2" t="s">
        <v>15401</v>
      </c>
      <c r="J7793" s="3" t="str">
        <f>HYPERLINK("https://www.boe.es/gazeta/dias/1823/04/09/pdfs/GMD-1823-104.pdf#page=2","Abrir facsímil")</f>
        <v>Abrir facsímil</v>
      </c>
      <c r="K7793" s="3" t="s">
        <v>23</v>
      </c>
    </row>
    <row r="7794" spans="1:11" ht="42" customHeight="1">
      <c r="A7794" s="2" t="s">
        <v>15402</v>
      </c>
      <c r="B7794" s="2" t="s">
        <v>15403</v>
      </c>
      <c r="C7794" s="2" t="s">
        <v>17</v>
      </c>
      <c r="D7794" s="2" t="s">
        <v>117</v>
      </c>
      <c r="E7794" s="5">
        <v>-27886</v>
      </c>
      <c r="F7794" s="3" t="s">
        <v>2388</v>
      </c>
      <c r="G7794" s="3" t="s">
        <v>39</v>
      </c>
      <c r="H7794" s="2" t="s">
        <v>21</v>
      </c>
      <c r="I7794" s="2" t="s">
        <v>15404</v>
      </c>
      <c r="J7794" s="3" t="str">
        <f>HYPERLINK("https://www.boe.es/gazeta/dias/1823/08/25/pdfs/GMD-1823-643E.pdf#page=1","Abrir facsímil")</f>
        <v>Abrir facsímil</v>
      </c>
      <c r="K7794" s="3" t="s">
        <v>23</v>
      </c>
    </row>
    <row r="7795" spans="1:11" ht="42" customHeight="1">
      <c r="A7795" s="2" t="s">
        <v>15405</v>
      </c>
      <c r="B7795" s="2" t="s">
        <v>15406</v>
      </c>
      <c r="C7795" s="2" t="s">
        <v>73</v>
      </c>
      <c r="D7795" s="2" t="s">
        <v>74</v>
      </c>
      <c r="E7795" s="5">
        <v>-28041</v>
      </c>
      <c r="F7795" s="3" t="s">
        <v>873</v>
      </c>
      <c r="G7795" s="3" t="s">
        <v>366</v>
      </c>
      <c r="H7795" s="2" t="s">
        <v>28</v>
      </c>
      <c r="I7795" s="2" t="s">
        <v>15407</v>
      </c>
      <c r="J7795" s="3" t="str">
        <f>HYPERLINK("https://www.boe.es/gazeta/dias/1823/03/23/pdfs/GMD-1823-86.pdf#page=4","Abrir facsímil")</f>
        <v>Abrir facsímil</v>
      </c>
      <c r="K7795" s="3" t="s">
        <v>30</v>
      </c>
    </row>
    <row r="7796" spans="1:11" ht="42" customHeight="1">
      <c r="A7796" s="2" t="s">
        <v>15408</v>
      </c>
      <c r="B7796" s="2" t="s">
        <v>15408</v>
      </c>
      <c r="C7796" s="2" t="s">
        <v>17</v>
      </c>
      <c r="D7796" s="2" t="s">
        <v>18</v>
      </c>
      <c r="E7796" s="5">
        <v>-28068</v>
      </c>
      <c r="F7796" s="3" t="s">
        <v>1325</v>
      </c>
      <c r="G7796" s="3" t="s">
        <v>48</v>
      </c>
      <c r="H7796" s="2" t="s">
        <v>21</v>
      </c>
      <c r="I7796" s="2" t="s">
        <v>15409</v>
      </c>
      <c r="J7796" s="3" t="str">
        <f>HYPERLINK("https://www.boe.es/gazeta/dias/1823/02/24/pdfs/GMD-1823-58.pdf#page=3","Abrir facsímil")</f>
        <v>Abrir facsímil</v>
      </c>
      <c r="K7796" s="3" t="s">
        <v>23</v>
      </c>
    </row>
    <row r="7797" spans="1:11" ht="42" customHeight="1">
      <c r="A7797" s="2" t="s">
        <v>15410</v>
      </c>
      <c r="B7797" s="2" t="s">
        <v>15410</v>
      </c>
      <c r="C7797" s="2" t="s">
        <v>17</v>
      </c>
      <c r="D7797" s="2" t="s">
        <v>117</v>
      </c>
      <c r="E7797" s="5">
        <v>-28092</v>
      </c>
      <c r="F7797" s="3" t="s">
        <v>156</v>
      </c>
      <c r="G7797" s="3" t="s">
        <v>39</v>
      </c>
      <c r="H7797" s="2" t="s">
        <v>21</v>
      </c>
      <c r="I7797" s="2" t="s">
        <v>15411</v>
      </c>
      <c r="J7797" s="3" t="str">
        <f>HYPERLINK("https://www.boe.es/gazeta/dias/1823/01/31/pdfs/GMD-1823-33E.pdf#page=1","Abrir facsímil")</f>
        <v>Abrir facsímil</v>
      </c>
      <c r="K7797" s="3" t="s">
        <v>23</v>
      </c>
    </row>
    <row r="7798" spans="1:11" ht="42" customHeight="1">
      <c r="A7798" s="2" t="s">
        <v>15412</v>
      </c>
      <c r="B7798" s="2" t="s">
        <v>15413</v>
      </c>
      <c r="C7798" s="2" t="s">
        <v>56</v>
      </c>
      <c r="D7798" s="2" t="s">
        <v>57</v>
      </c>
      <c r="E7798" s="5">
        <v>-28052</v>
      </c>
      <c r="F7798" s="3" t="s">
        <v>1025</v>
      </c>
      <c r="G7798" s="3" t="s">
        <v>34</v>
      </c>
      <c r="H7798" s="2" t="s">
        <v>21</v>
      </c>
      <c r="I7798" s="2" t="s">
        <v>15414</v>
      </c>
      <c r="J7798" s="3" t="str">
        <f>HYPERLINK("https://www.boe.es/gazeta/dias/1823/03/12/pdfs/GMD-1823-75.pdf#page=5","Abrir facsímil")</f>
        <v>Abrir facsímil</v>
      </c>
      <c r="K7798" s="3" t="s">
        <v>23</v>
      </c>
    </row>
    <row r="7799" spans="1:11" ht="42" customHeight="1">
      <c r="A7799" s="2" t="s">
        <v>15415</v>
      </c>
      <c r="B7799" s="2" t="s">
        <v>15416</v>
      </c>
      <c r="C7799" s="2" t="s">
        <v>17</v>
      </c>
      <c r="D7799" s="2" t="s">
        <v>18</v>
      </c>
      <c r="E7799" s="5">
        <v>-27978</v>
      </c>
      <c r="F7799" s="3" t="s">
        <v>342</v>
      </c>
      <c r="G7799" s="3" t="s">
        <v>34</v>
      </c>
      <c r="H7799" s="2" t="s">
        <v>21</v>
      </c>
      <c r="I7799" s="2" t="s">
        <v>15417</v>
      </c>
      <c r="J7799" s="3" t="str">
        <f>HYPERLINK("https://www.boe.es/gazeta/dias/1823/05/25/pdfs/GES-1823-46.pdf#page=5","Abrir facsímil")</f>
        <v>Abrir facsímil</v>
      </c>
      <c r="K7799" s="3" t="s">
        <v>23</v>
      </c>
    </row>
    <row r="7800" spans="1:11" ht="42" customHeight="1">
      <c r="A7800" s="2" t="s">
        <v>15418</v>
      </c>
      <c r="B7800" s="2" t="s">
        <v>15419</v>
      </c>
      <c r="C7800" s="2" t="s">
        <v>17</v>
      </c>
      <c r="D7800" s="2" t="s">
        <v>18</v>
      </c>
      <c r="E7800" s="5">
        <v>-28004</v>
      </c>
      <c r="F7800" s="3" t="s">
        <v>33</v>
      </c>
      <c r="G7800" s="3" t="s">
        <v>2827</v>
      </c>
      <c r="H7800" s="2" t="s">
        <v>21</v>
      </c>
      <c r="I7800" s="2" t="s">
        <v>15420</v>
      </c>
      <c r="J7800" s="3" t="str">
        <f>HYPERLINK("https://www.boe.es/gazeta/dias/1823/04/29/pdfs/GES-1823-19.pdf#page=6","Abrir facsímil")</f>
        <v>Abrir facsímil</v>
      </c>
      <c r="K7800" s="3" t="s">
        <v>23</v>
      </c>
    </row>
    <row r="7801" spans="1:11" ht="42" customHeight="1">
      <c r="A7801" s="2" t="s">
        <v>15421</v>
      </c>
      <c r="B7801" s="2" t="s">
        <v>15422</v>
      </c>
      <c r="C7801" s="2" t="s">
        <v>17</v>
      </c>
      <c r="D7801" s="2" t="s">
        <v>18</v>
      </c>
      <c r="E7801" s="5">
        <v>-27910</v>
      </c>
      <c r="F7801" s="3" t="s">
        <v>38</v>
      </c>
      <c r="G7801" s="3" t="s">
        <v>39</v>
      </c>
      <c r="H7801" s="2" t="s">
        <v>21</v>
      </c>
      <c r="I7801" s="2" t="s">
        <v>15423</v>
      </c>
      <c r="J7801" s="3" t="str">
        <f>HYPERLINK("https://www.boe.es/gazeta/dias/1823/08/01/pdfs/GES-1823-113.pdf#page=1","Abrir facsímil")</f>
        <v>Abrir facsímil</v>
      </c>
      <c r="K7801" s="3" t="s">
        <v>23</v>
      </c>
    </row>
    <row r="7802" spans="1:11" ht="42" customHeight="1">
      <c r="A7802" s="2" t="s">
        <v>15424</v>
      </c>
      <c r="B7802" s="2" t="s">
        <v>15425</v>
      </c>
      <c r="C7802" s="2" t="s">
        <v>79</v>
      </c>
      <c r="D7802" s="2" t="s">
        <v>74</v>
      </c>
      <c r="E7802" s="5">
        <v>-27850</v>
      </c>
      <c r="F7802" s="3" t="s">
        <v>910</v>
      </c>
      <c r="G7802" s="3" t="s">
        <v>20</v>
      </c>
      <c r="H7802" s="2" t="s">
        <v>21</v>
      </c>
      <c r="I7802" s="2" t="s">
        <v>15426</v>
      </c>
      <c r="J7802" s="3" t="str">
        <f>HYPERLINK("https://www.boe.es/gazeta/dias/1823/09/30/pdfs/GMD-1823-873.pdf#page=4","Abrir facsímil")</f>
        <v>Abrir facsímil</v>
      </c>
      <c r="K7802" s="3" t="s">
        <v>23</v>
      </c>
    </row>
    <row r="7803" spans="1:11" ht="42" customHeight="1">
      <c r="A7803" s="2" t="s">
        <v>15427</v>
      </c>
      <c r="B7803" s="2" t="s">
        <v>15428</v>
      </c>
      <c r="C7803" s="2" t="s">
        <v>56</v>
      </c>
      <c r="D7803" s="2" t="s">
        <v>57</v>
      </c>
      <c r="E7803" s="5">
        <v>-28078</v>
      </c>
      <c r="F7803" s="3" t="s">
        <v>508</v>
      </c>
      <c r="G7803" s="3" t="s">
        <v>59</v>
      </c>
      <c r="H7803" s="2" t="s">
        <v>28</v>
      </c>
      <c r="I7803" s="2" t="s">
        <v>15429</v>
      </c>
      <c r="J7803" s="3" t="str">
        <f>HYPERLINK("https://www.boe.es/gazeta/dias/1823/02/14/pdfs/GMD-1823-48.pdf#page=6","Abrir facsímil")</f>
        <v>Abrir facsímil</v>
      </c>
      <c r="K7803" s="3" t="s">
        <v>30</v>
      </c>
    </row>
    <row r="7804" spans="1:11" ht="42" customHeight="1">
      <c r="A7804" s="2" t="s">
        <v>15430</v>
      </c>
      <c r="B7804" s="2" t="s">
        <v>15430</v>
      </c>
      <c r="C7804" s="2" t="s">
        <v>56</v>
      </c>
      <c r="D7804" s="2" t="s">
        <v>57</v>
      </c>
      <c r="E7804" s="5">
        <v>-28073</v>
      </c>
      <c r="F7804" s="3" t="s">
        <v>204</v>
      </c>
      <c r="G7804" s="3" t="s">
        <v>27</v>
      </c>
      <c r="H7804" s="2" t="s">
        <v>21</v>
      </c>
      <c r="I7804" s="2" t="s">
        <v>15431</v>
      </c>
      <c r="J7804" s="3" t="str">
        <f>HYPERLINK("https://www.boe.es/gazeta/dias/1823/02/19/pdfs/GMD-1823-53.pdf#page=2","Abrir facsímil")</f>
        <v>Abrir facsímil</v>
      </c>
      <c r="K7804" s="3" t="s">
        <v>23</v>
      </c>
    </row>
    <row r="7805" spans="1:11" ht="42" customHeight="1">
      <c r="A7805" s="2" t="s">
        <v>15432</v>
      </c>
      <c r="B7805" s="2" t="s">
        <v>15432</v>
      </c>
      <c r="C7805" s="2" t="s">
        <v>109</v>
      </c>
      <c r="D7805" s="2" t="s">
        <v>74</v>
      </c>
      <c r="E7805" s="5">
        <v>-28078</v>
      </c>
      <c r="F7805" s="3" t="s">
        <v>508</v>
      </c>
      <c r="G7805" s="3" t="s">
        <v>27</v>
      </c>
      <c r="H7805" s="2" t="s">
        <v>21</v>
      </c>
      <c r="I7805" s="2" t="s">
        <v>15433</v>
      </c>
      <c r="J7805" s="3" t="str">
        <f>HYPERLINK("https://www.boe.es/gazeta/dias/1823/02/14/pdfs/GMD-1823-48.pdf#page=2","Abrir facsímil")</f>
        <v>Abrir facsímil</v>
      </c>
      <c r="K7805" s="3" t="s">
        <v>23</v>
      </c>
    </row>
    <row r="7806" spans="1:11" ht="42" customHeight="1">
      <c r="A7806" s="2" t="s">
        <v>15434</v>
      </c>
      <c r="B7806" s="2" t="s">
        <v>15435</v>
      </c>
      <c r="C7806" s="2" t="s">
        <v>79</v>
      </c>
      <c r="D7806" s="2" t="s">
        <v>74</v>
      </c>
      <c r="E7806" s="5">
        <v>-28037</v>
      </c>
      <c r="F7806" s="3" t="s">
        <v>192</v>
      </c>
      <c r="G7806" s="3" t="s">
        <v>48</v>
      </c>
      <c r="H7806" s="2" t="s">
        <v>21</v>
      </c>
      <c r="I7806" s="2" t="s">
        <v>15436</v>
      </c>
      <c r="J7806" s="3" t="str">
        <f>HYPERLINK("https://www.boe.es/gazeta/dias/1823/03/27/pdfs/GMD-1823-90.pdf#page=3","Abrir facsímil")</f>
        <v>Abrir facsímil</v>
      </c>
      <c r="K7806" s="3" t="s">
        <v>23</v>
      </c>
    </row>
    <row r="7807" spans="1:11" ht="42" customHeight="1">
      <c r="A7807" s="2" t="s">
        <v>15437</v>
      </c>
      <c r="B7807" s="2" t="s">
        <v>15437</v>
      </c>
      <c r="C7807" s="2" t="s">
        <v>17</v>
      </c>
      <c r="D7807" s="2" t="s">
        <v>18</v>
      </c>
      <c r="E7807" s="5">
        <v>-27960</v>
      </c>
      <c r="F7807" s="3" t="s">
        <v>682</v>
      </c>
      <c r="G7807" s="3" t="s">
        <v>3173</v>
      </c>
      <c r="H7807" s="2" t="s">
        <v>21</v>
      </c>
      <c r="I7807" s="2" t="s">
        <v>15438</v>
      </c>
      <c r="J7807" s="3" t="str">
        <f>HYPERLINK("https://www.boe.es/gazeta/dias/1823/06/12/pdfs/GMD-1823-123.pdf#page=4","Abrir facsímil")</f>
        <v>Abrir facsímil</v>
      </c>
      <c r="K7807" s="3" t="s">
        <v>23</v>
      </c>
    </row>
    <row r="7808" spans="1:11" ht="42" customHeight="1">
      <c r="A7808" s="2" t="s">
        <v>15439</v>
      </c>
      <c r="B7808" s="2" t="s">
        <v>15439</v>
      </c>
      <c r="C7808" s="2" t="s">
        <v>17</v>
      </c>
      <c r="D7808" s="2" t="s">
        <v>18</v>
      </c>
      <c r="E7808" s="5">
        <v>-27931</v>
      </c>
      <c r="F7808" s="3" t="s">
        <v>1833</v>
      </c>
      <c r="G7808" s="3" t="s">
        <v>48</v>
      </c>
      <c r="H7808" s="2" t="s">
        <v>21</v>
      </c>
      <c r="I7808" s="2" t="s">
        <v>15440</v>
      </c>
      <c r="J7808" s="3" t="str">
        <f>HYPERLINK("https://www.boe.es/gazeta/dias/1823/07/11/pdfs/GES-1823-91.pdf#page=3","Abrir facsímil")</f>
        <v>Abrir facsímil</v>
      </c>
      <c r="K7808" s="3" t="s">
        <v>23</v>
      </c>
    </row>
    <row r="7809" spans="1:11" ht="42" customHeight="1">
      <c r="A7809" s="2" t="s">
        <v>15441</v>
      </c>
      <c r="B7809" s="2" t="s">
        <v>15442</v>
      </c>
      <c r="C7809" s="2" t="s">
        <v>79</v>
      </c>
      <c r="D7809" s="2" t="s">
        <v>74</v>
      </c>
      <c r="E7809" s="5">
        <v>-28077</v>
      </c>
      <c r="F7809" s="3" t="s">
        <v>536</v>
      </c>
      <c r="G7809" s="3" t="s">
        <v>59</v>
      </c>
      <c r="H7809" s="2" t="s">
        <v>21</v>
      </c>
      <c r="I7809" s="2" t="s">
        <v>15443</v>
      </c>
      <c r="J7809" s="3" t="str">
        <f>HYPERLINK("https://www.boe.es/gazeta/dias/1823/02/15/pdfs/GMD-1823-49.pdf#page=6","Abrir facsímil")</f>
        <v>Abrir facsímil</v>
      </c>
      <c r="K7809" s="3" t="s">
        <v>23</v>
      </c>
    </row>
    <row r="7810" spans="1:11" ht="42" customHeight="1">
      <c r="A7810" s="2" t="s">
        <v>15444</v>
      </c>
      <c r="B7810" s="2" t="s">
        <v>15444</v>
      </c>
      <c r="C7810" s="2" t="s">
        <v>17</v>
      </c>
      <c r="D7810" s="2" t="s">
        <v>18</v>
      </c>
      <c r="E7810" s="5">
        <v>-27867</v>
      </c>
      <c r="F7810" s="3" t="s">
        <v>1585</v>
      </c>
      <c r="G7810" s="3" t="s">
        <v>27</v>
      </c>
      <c r="H7810" s="2" t="s">
        <v>21</v>
      </c>
      <c r="I7810" s="2" t="s">
        <v>15445</v>
      </c>
      <c r="J7810" s="3" t="str">
        <f>HYPERLINK("https://www.boe.es/gazeta/dias/1823/09/13/pdfs/GMD-1823-773.pdf#page=2","Abrir facsímil")</f>
        <v>Abrir facsímil</v>
      </c>
      <c r="K7810" s="3" t="s">
        <v>23</v>
      </c>
    </row>
    <row r="7811" spans="1:11" ht="42" customHeight="1">
      <c r="A7811" s="2" t="s">
        <v>15446</v>
      </c>
      <c r="B7811" s="2" t="s">
        <v>15446</v>
      </c>
      <c r="C7811" s="2" t="s">
        <v>79</v>
      </c>
      <c r="D7811" s="2" t="s">
        <v>74</v>
      </c>
      <c r="E7811" s="5">
        <v>-27913</v>
      </c>
      <c r="F7811" s="3" t="s">
        <v>829</v>
      </c>
      <c r="G7811" s="3" t="s">
        <v>59</v>
      </c>
      <c r="H7811" s="2" t="s">
        <v>21</v>
      </c>
      <c r="I7811" s="2" t="s">
        <v>15447</v>
      </c>
      <c r="J7811" s="3" t="str">
        <f>HYPERLINK("https://www.boe.es/gazeta/dias/1823/07/29/pdfs/GMD-1823-483.pdf#page=6","Abrir facsímil")</f>
        <v>Abrir facsímil</v>
      </c>
      <c r="K7811" s="3" t="s">
        <v>23</v>
      </c>
    </row>
    <row r="7812" spans="1:11" ht="42" customHeight="1">
      <c r="A7812" s="2" t="s">
        <v>15446</v>
      </c>
      <c r="B7812" s="2" t="s">
        <v>15446</v>
      </c>
      <c r="C7812" s="2" t="s">
        <v>79</v>
      </c>
      <c r="D7812" s="2" t="s">
        <v>74</v>
      </c>
      <c r="E7812" s="5">
        <v>-27913</v>
      </c>
      <c r="F7812" s="3" t="s">
        <v>829</v>
      </c>
      <c r="G7812" s="3" t="s">
        <v>276</v>
      </c>
      <c r="H7812" s="2" t="s">
        <v>21</v>
      </c>
      <c r="I7812" s="2" t="s">
        <v>15448</v>
      </c>
      <c r="J7812" s="3" t="str">
        <f>HYPERLINK("https://www.boe.es/gazeta/dias/1823/07/29/pdfs/GMD-1823-483.pdf#page=7","Abrir facsímil")</f>
        <v>Abrir facsímil</v>
      </c>
      <c r="K7812" s="3" t="s">
        <v>23</v>
      </c>
    </row>
    <row r="7813" spans="1:11" ht="42" customHeight="1">
      <c r="A7813" s="2" t="s">
        <v>15446</v>
      </c>
      <c r="B7813" s="2" t="s">
        <v>15446</v>
      </c>
      <c r="C7813" s="2" t="s">
        <v>17</v>
      </c>
      <c r="D7813" s="2" t="s">
        <v>18</v>
      </c>
      <c r="E7813" s="5">
        <v>-27867</v>
      </c>
      <c r="F7813" s="3" t="s">
        <v>1585</v>
      </c>
      <c r="G7813" s="3" t="s">
        <v>48</v>
      </c>
      <c r="H7813" s="2" t="s">
        <v>21</v>
      </c>
      <c r="I7813" s="2" t="s">
        <v>15449</v>
      </c>
      <c r="J7813" s="3" t="str">
        <f>HYPERLINK("https://www.boe.es/gazeta/dias/1823/09/13/pdfs/GMD-1823-773.pdf#page=3","Abrir facsímil")</f>
        <v>Abrir facsímil</v>
      </c>
      <c r="K7813" s="3" t="s">
        <v>23</v>
      </c>
    </row>
    <row r="7814" spans="1:11" ht="42" customHeight="1">
      <c r="A7814" s="2" t="s">
        <v>15450</v>
      </c>
      <c r="B7814" s="2" t="s">
        <v>15450</v>
      </c>
      <c r="C7814" s="2" t="s">
        <v>17</v>
      </c>
      <c r="D7814" s="2" t="s">
        <v>18</v>
      </c>
      <c r="E7814" s="5">
        <v>-28001</v>
      </c>
      <c r="F7814" s="3" t="s">
        <v>768</v>
      </c>
      <c r="G7814" s="3" t="s">
        <v>34</v>
      </c>
      <c r="H7814" s="2" t="s">
        <v>21</v>
      </c>
      <c r="I7814" s="2" t="s">
        <v>15451</v>
      </c>
      <c r="J7814" s="3" t="str">
        <f>HYPERLINK("https://www.boe.es/gazeta/dias/1823/05/02/pdfs/GES-1823-22.pdf#page=5","Abrir facsímil")</f>
        <v>Abrir facsímil</v>
      </c>
      <c r="K7814" s="3" t="s">
        <v>23</v>
      </c>
    </row>
    <row r="7815" spans="1:11" ht="42" customHeight="1">
      <c r="A7815" s="2" t="s">
        <v>15452</v>
      </c>
      <c r="B7815" s="2" t="s">
        <v>15452</v>
      </c>
      <c r="C7815" s="2" t="s">
        <v>17</v>
      </c>
      <c r="D7815" s="2" t="s">
        <v>18</v>
      </c>
      <c r="E7815" s="5">
        <v>-28103</v>
      </c>
      <c r="F7815" s="3" t="s">
        <v>285</v>
      </c>
      <c r="G7815" s="3" t="s">
        <v>27</v>
      </c>
      <c r="H7815" s="2" t="s">
        <v>21</v>
      </c>
      <c r="I7815" s="2" t="s">
        <v>15453</v>
      </c>
      <c r="J7815" s="3" t="str">
        <f>HYPERLINK("https://www.boe.es/gazeta/dias/1823/01/20/pdfs/GMD-1823-20.pdf#page=2","Abrir facsímil")</f>
        <v>Abrir facsímil</v>
      </c>
      <c r="K7815" s="3" t="s">
        <v>23</v>
      </c>
    </row>
    <row r="7816" spans="1:11" ht="42" customHeight="1">
      <c r="A7816" s="2" t="s">
        <v>15452</v>
      </c>
      <c r="B7816" s="2" t="s">
        <v>15452</v>
      </c>
      <c r="C7816" s="2" t="s">
        <v>79</v>
      </c>
      <c r="D7816" s="2" t="s">
        <v>74</v>
      </c>
      <c r="E7816" s="5">
        <v>-28094</v>
      </c>
      <c r="F7816" s="3" t="s">
        <v>93</v>
      </c>
      <c r="G7816" s="3" t="s">
        <v>27</v>
      </c>
      <c r="H7816" s="2" t="s">
        <v>21</v>
      </c>
      <c r="I7816" s="2" t="s">
        <v>15454</v>
      </c>
      <c r="J7816" s="3" t="str">
        <f>HYPERLINK("https://www.boe.es/gazeta/dias/1823/01/29/pdfs/GMD-1823-30.pdf#page=2","Abrir facsímil")</f>
        <v>Abrir facsímil</v>
      </c>
      <c r="K7816" s="3" t="s">
        <v>23</v>
      </c>
    </row>
    <row r="7817" spans="1:11" ht="42" customHeight="1">
      <c r="A7817" s="2" t="s">
        <v>15452</v>
      </c>
      <c r="B7817" s="2" t="s">
        <v>15452</v>
      </c>
      <c r="C7817" s="2" t="s">
        <v>17</v>
      </c>
      <c r="D7817" s="2" t="s">
        <v>18</v>
      </c>
      <c r="E7817" s="5">
        <v>-28057</v>
      </c>
      <c r="F7817" s="3" t="s">
        <v>301</v>
      </c>
      <c r="G7817" s="3" t="s">
        <v>20</v>
      </c>
      <c r="H7817" s="2" t="s">
        <v>21</v>
      </c>
      <c r="I7817" s="2" t="s">
        <v>15455</v>
      </c>
      <c r="J7817" s="3" t="str">
        <f>HYPERLINK("https://www.boe.es/gazeta/dias/1823/03/07/pdfs/GMD-1823-70.pdf#page=4","Abrir facsímil")</f>
        <v>Abrir facsímil</v>
      </c>
      <c r="K7817" s="3" t="s">
        <v>23</v>
      </c>
    </row>
    <row r="7818" spans="1:11" ht="42" customHeight="1">
      <c r="A7818" s="2" t="s">
        <v>15452</v>
      </c>
      <c r="B7818" s="2" t="s">
        <v>15452</v>
      </c>
      <c r="C7818" s="2" t="s">
        <v>79</v>
      </c>
      <c r="D7818" s="2" t="s">
        <v>74</v>
      </c>
      <c r="E7818" s="5">
        <v>-27970</v>
      </c>
      <c r="F7818" s="3" t="s">
        <v>1030</v>
      </c>
      <c r="G7818" s="3" t="s">
        <v>27</v>
      </c>
      <c r="H7818" s="2" t="s">
        <v>21</v>
      </c>
      <c r="I7818" s="2" t="s">
        <v>15456</v>
      </c>
      <c r="J7818" s="3" t="str">
        <f>HYPERLINK("https://www.boe.es/gazeta/dias/1823/06/02/pdfs/GES-1823-56.pdf#page=2","Abrir facsímil")</f>
        <v>Abrir facsímil</v>
      </c>
      <c r="K7818" s="3" t="s">
        <v>23</v>
      </c>
    </row>
    <row r="7819" spans="1:11" ht="42" customHeight="1">
      <c r="A7819" s="2" t="s">
        <v>15452</v>
      </c>
      <c r="B7819" s="2" t="s">
        <v>15452</v>
      </c>
      <c r="C7819" s="2" t="s">
        <v>79</v>
      </c>
      <c r="D7819" s="2" t="s">
        <v>74</v>
      </c>
      <c r="E7819" s="5">
        <v>-27970</v>
      </c>
      <c r="F7819" s="3" t="s">
        <v>1030</v>
      </c>
      <c r="G7819" s="3" t="s">
        <v>48</v>
      </c>
      <c r="H7819" s="2" t="s">
        <v>21</v>
      </c>
      <c r="I7819" s="2" t="s">
        <v>15457</v>
      </c>
      <c r="J7819" s="3" t="str">
        <f>HYPERLINK("https://www.boe.es/gazeta/dias/1823/06/02/pdfs/GES-1823-56.pdf#page=3","Abrir facsímil")</f>
        <v>Abrir facsímil</v>
      </c>
      <c r="K7819" s="3" t="s">
        <v>23</v>
      </c>
    </row>
    <row r="7820" spans="1:11" ht="42" customHeight="1">
      <c r="A7820" s="2" t="s">
        <v>15458</v>
      </c>
      <c r="B7820" s="2" t="s">
        <v>15459</v>
      </c>
      <c r="C7820" s="2" t="s">
        <v>17</v>
      </c>
      <c r="D7820" s="2" t="s">
        <v>18</v>
      </c>
      <c r="E7820" s="5">
        <v>-27992</v>
      </c>
      <c r="F7820" s="3" t="s">
        <v>565</v>
      </c>
      <c r="G7820" s="3" t="s">
        <v>20</v>
      </c>
      <c r="H7820" s="2" t="s">
        <v>21</v>
      </c>
      <c r="I7820" s="2" t="s">
        <v>15460</v>
      </c>
      <c r="J7820" s="3" t="str">
        <f>HYPERLINK("https://www.boe.es/gazeta/dias/1823/05/11/pdfs/GES-1823-31.pdf#page=4","Abrir facsímil")</f>
        <v>Abrir facsímil</v>
      </c>
      <c r="K7820" s="3" t="s">
        <v>23</v>
      </c>
    </row>
    <row r="7821" spans="1:11" ht="42" customHeight="1">
      <c r="A7821" s="2" t="s">
        <v>15458</v>
      </c>
      <c r="B7821" s="2" t="s">
        <v>15459</v>
      </c>
      <c r="C7821" s="2" t="s">
        <v>56</v>
      </c>
      <c r="D7821" s="2" t="s">
        <v>57</v>
      </c>
      <c r="E7821" s="5">
        <v>-27971</v>
      </c>
      <c r="F7821" s="3" t="s">
        <v>4211</v>
      </c>
      <c r="G7821" s="3" t="s">
        <v>20</v>
      </c>
      <c r="H7821" s="2" t="s">
        <v>21</v>
      </c>
      <c r="I7821" s="2" t="s">
        <v>15461</v>
      </c>
      <c r="J7821" s="3" t="str">
        <f>HYPERLINK("https://www.boe.es/gazeta/dias/1823/06/01/pdfs/GES-1823-55.pdf#page=4","Abrir facsímil")</f>
        <v>Abrir facsímil</v>
      </c>
      <c r="K7821" s="3" t="s">
        <v>23</v>
      </c>
    </row>
    <row r="7822" spans="1:11" ht="42" customHeight="1">
      <c r="A7822" s="2" t="s">
        <v>15458</v>
      </c>
      <c r="B7822" s="2" t="s">
        <v>15459</v>
      </c>
      <c r="C7822" s="2" t="s">
        <v>17</v>
      </c>
      <c r="D7822" s="2" t="s">
        <v>18</v>
      </c>
      <c r="E7822" s="5">
        <v>-27964</v>
      </c>
      <c r="F7822" s="3" t="s">
        <v>58</v>
      </c>
      <c r="G7822" s="3" t="s">
        <v>48</v>
      </c>
      <c r="H7822" s="2" t="s">
        <v>21</v>
      </c>
      <c r="I7822" s="2" t="s">
        <v>15462</v>
      </c>
      <c r="J7822" s="3" t="str">
        <f>HYPERLINK("https://www.boe.es/gazeta/dias/1823/06/08/pdfs/GES-1823-62.pdf#page=3","Abrir facsímil")</f>
        <v>Abrir facsímil</v>
      </c>
      <c r="K7822" s="3" t="s">
        <v>23</v>
      </c>
    </row>
    <row r="7823" spans="1:11" ht="42" customHeight="1">
      <c r="A7823" s="2" t="s">
        <v>15463</v>
      </c>
      <c r="B7823" s="2" t="s">
        <v>15464</v>
      </c>
      <c r="C7823" s="2" t="s">
        <v>17</v>
      </c>
      <c r="D7823" s="2" t="s">
        <v>117</v>
      </c>
      <c r="E7823" s="5">
        <v>-27925</v>
      </c>
      <c r="F7823" s="3" t="s">
        <v>3911</v>
      </c>
      <c r="G7823" s="3" t="s">
        <v>39</v>
      </c>
      <c r="H7823" s="2" t="s">
        <v>28</v>
      </c>
      <c r="I7823" s="2" t="s">
        <v>15465</v>
      </c>
      <c r="J7823" s="3" t="str">
        <f>HYPERLINK("https://www.boe.es/gazeta/dias/1823/07/17/pdfs/GES-1823-98E.pdf#page=1","Abrir facsímil")</f>
        <v>Abrir facsímil</v>
      </c>
      <c r="K7823" s="3" t="s">
        <v>30</v>
      </c>
    </row>
    <row r="7824" spans="1:11" ht="42" customHeight="1">
      <c r="A7824" s="2" t="s">
        <v>15466</v>
      </c>
      <c r="B7824" s="2" t="s">
        <v>15467</v>
      </c>
      <c r="C7824" s="2" t="s">
        <v>293</v>
      </c>
      <c r="D7824" s="2" t="s">
        <v>74</v>
      </c>
      <c r="E7824" s="5">
        <v>-28013</v>
      </c>
      <c r="F7824" s="3" t="s">
        <v>105</v>
      </c>
      <c r="G7824" s="3" t="s">
        <v>20</v>
      </c>
      <c r="H7824" s="2" t="s">
        <v>28</v>
      </c>
      <c r="I7824" s="2" t="s">
        <v>15468</v>
      </c>
      <c r="J7824" s="3" t="str">
        <f>HYPERLINK("https://www.boe.es/gazeta/dias/1823/04/20/pdfs/GMD-1823-32.pdf#page=4","Abrir facsímil")</f>
        <v>Abrir facsímil</v>
      </c>
      <c r="K7824" s="3" t="s">
        <v>30</v>
      </c>
    </row>
    <row r="7825" spans="1:11" ht="42" customHeight="1">
      <c r="A7825" s="2" t="s">
        <v>15469</v>
      </c>
      <c r="B7825" s="2" t="s">
        <v>15470</v>
      </c>
      <c r="C7825" s="2" t="s">
        <v>109</v>
      </c>
      <c r="D7825" s="2" t="s">
        <v>74</v>
      </c>
      <c r="E7825" s="5">
        <v>-27920</v>
      </c>
      <c r="F7825" s="3" t="s">
        <v>1334</v>
      </c>
      <c r="G7825" s="3" t="s">
        <v>715</v>
      </c>
      <c r="H7825" s="2" t="s">
        <v>28</v>
      </c>
      <c r="I7825" s="2" t="s">
        <v>15471</v>
      </c>
      <c r="J7825" s="3" t="str">
        <f>HYPERLINK("https://www.boe.es/gazeta/dias/1823/07/22/pdfs/GMD-1823-443.pdf#page=8","Abrir facsímil")</f>
        <v>Abrir facsímil</v>
      </c>
      <c r="K7825" s="3" t="s">
        <v>30</v>
      </c>
    </row>
    <row r="7826" spans="1:11" ht="42" customHeight="1">
      <c r="A7826" s="2" t="s">
        <v>15472</v>
      </c>
      <c r="B7826" s="2" t="s">
        <v>15473</v>
      </c>
      <c r="C7826" s="2" t="s">
        <v>17</v>
      </c>
      <c r="D7826" s="2" t="s">
        <v>18</v>
      </c>
      <c r="E7826" s="5">
        <v>-27889</v>
      </c>
      <c r="F7826" s="3" t="s">
        <v>1306</v>
      </c>
      <c r="G7826" s="3" t="s">
        <v>20</v>
      </c>
      <c r="H7826" s="2" t="s">
        <v>28</v>
      </c>
      <c r="I7826" s="2" t="s">
        <v>15474</v>
      </c>
      <c r="J7826" s="3" t="str">
        <f>HYPERLINK("https://www.boe.es/gazeta/dias/1823/08/22/pdfs/GES-1823-135.pdf#page=4","Abrir facsímil")</f>
        <v>Abrir facsímil</v>
      </c>
      <c r="K7826" s="3" t="s">
        <v>30</v>
      </c>
    </row>
    <row r="7827" spans="1:11" ht="42" customHeight="1">
      <c r="A7827" s="2" t="s">
        <v>15475</v>
      </c>
      <c r="B7827" s="2" t="s">
        <v>15476</v>
      </c>
      <c r="C7827" s="2" t="s">
        <v>17</v>
      </c>
      <c r="D7827" s="2" t="s">
        <v>18</v>
      </c>
      <c r="E7827" s="5">
        <v>-27975</v>
      </c>
      <c r="F7827" s="3" t="s">
        <v>47</v>
      </c>
      <c r="G7827" s="3" t="s">
        <v>48</v>
      </c>
      <c r="H7827" s="2" t="s">
        <v>21</v>
      </c>
      <c r="I7827" s="2" t="s">
        <v>15477</v>
      </c>
      <c r="J7827" s="3" t="str">
        <f>HYPERLINK("https://www.boe.es/gazeta/dias/1823/05/28/pdfs/GES-1823-50.pdf#page=3","Abrir facsímil")</f>
        <v>Abrir facsímil</v>
      </c>
      <c r="K7827" s="3" t="s">
        <v>23</v>
      </c>
    </row>
    <row r="7828" spans="1:11" ht="42" customHeight="1">
      <c r="A7828" s="2" t="s">
        <v>15478</v>
      </c>
      <c r="B7828" s="2" t="s">
        <v>15479</v>
      </c>
      <c r="C7828" s="2" t="s">
        <v>17</v>
      </c>
      <c r="D7828" s="2" t="s">
        <v>18</v>
      </c>
      <c r="E7828" s="5">
        <v>-28007</v>
      </c>
      <c r="F7828" s="3" t="s">
        <v>1190</v>
      </c>
      <c r="G7828" s="3" t="s">
        <v>20</v>
      </c>
      <c r="H7828" s="2" t="s">
        <v>21</v>
      </c>
      <c r="I7828" s="2" t="s">
        <v>15480</v>
      </c>
      <c r="J7828" s="3" t="str">
        <f>HYPERLINK("https://www.boe.es/gazeta/dias/1823/04/26/pdfs/GMD-1823-62.pdf#page=4","Abrir facsímil")</f>
        <v>Abrir facsímil</v>
      </c>
      <c r="K7828" s="3" t="s">
        <v>23</v>
      </c>
    </row>
    <row r="7829" spans="1:11" ht="42" customHeight="1">
      <c r="A7829" s="2" t="s">
        <v>15481</v>
      </c>
      <c r="B7829" s="2" t="s">
        <v>15481</v>
      </c>
      <c r="C7829" s="2" t="s">
        <v>17</v>
      </c>
      <c r="D7829" s="2" t="s">
        <v>18</v>
      </c>
      <c r="E7829" s="5">
        <v>-28091</v>
      </c>
      <c r="F7829" s="3" t="s">
        <v>1047</v>
      </c>
      <c r="G7829" s="3" t="s">
        <v>34</v>
      </c>
      <c r="H7829" s="2" t="s">
        <v>21</v>
      </c>
      <c r="I7829" s="2" t="s">
        <v>15482</v>
      </c>
      <c r="J7829" s="3" t="str">
        <f>HYPERLINK("https://www.boe.es/gazeta/dias/1823/02/01/pdfs/GMD-1823-34.pdf#page=5","Abrir facsímil")</f>
        <v>Abrir facsímil</v>
      </c>
      <c r="K7829" s="3" t="s">
        <v>23</v>
      </c>
    </row>
    <row r="7830" spans="1:11" ht="42" customHeight="1">
      <c r="A7830" s="2" t="s">
        <v>15483</v>
      </c>
      <c r="B7830" s="2" t="s">
        <v>15483</v>
      </c>
      <c r="C7830" s="2" t="s">
        <v>17</v>
      </c>
      <c r="D7830" s="2" t="s">
        <v>18</v>
      </c>
      <c r="E7830" s="5">
        <v>-28093</v>
      </c>
      <c r="F7830" s="3" t="s">
        <v>1044</v>
      </c>
      <c r="G7830" s="3" t="s">
        <v>59</v>
      </c>
      <c r="H7830" s="2" t="s">
        <v>21</v>
      </c>
      <c r="I7830" s="2" t="s">
        <v>15484</v>
      </c>
      <c r="J7830" s="3" t="str">
        <f>HYPERLINK("https://www.boe.es/gazeta/dias/1823/01/30/pdfs/GMD-1823-31.pdf#page=6","Abrir facsímil")</f>
        <v>Abrir facsímil</v>
      </c>
      <c r="K7830" s="3" t="s">
        <v>23</v>
      </c>
    </row>
    <row r="7831" spans="1:11" ht="42" customHeight="1">
      <c r="A7831" s="2" t="s">
        <v>15485</v>
      </c>
      <c r="B7831" s="2" t="s">
        <v>15485</v>
      </c>
      <c r="C7831" s="2" t="s">
        <v>17</v>
      </c>
      <c r="D7831" s="2" t="s">
        <v>18</v>
      </c>
      <c r="E7831" s="5">
        <v>-28071</v>
      </c>
      <c r="F7831" s="3" t="s">
        <v>587</v>
      </c>
      <c r="G7831" s="3" t="s">
        <v>20</v>
      </c>
      <c r="H7831" s="2" t="s">
        <v>21</v>
      </c>
      <c r="I7831" s="2" t="s">
        <v>15486</v>
      </c>
      <c r="J7831" s="3" t="str">
        <f>HYPERLINK("https://www.boe.es/gazeta/dias/1823/02/21/pdfs/GMD-1823-55.pdf#page=4","Abrir facsímil")</f>
        <v>Abrir facsímil</v>
      </c>
      <c r="K7831" s="3" t="s">
        <v>23</v>
      </c>
    </row>
    <row r="7832" spans="1:11" ht="42" customHeight="1">
      <c r="A7832" s="2" t="s">
        <v>15485</v>
      </c>
      <c r="B7832" s="2" t="s">
        <v>15485</v>
      </c>
      <c r="C7832" s="2" t="s">
        <v>17</v>
      </c>
      <c r="D7832" s="2" t="s">
        <v>18</v>
      </c>
      <c r="E7832" s="5">
        <v>-28068</v>
      </c>
      <c r="F7832" s="3" t="s">
        <v>1325</v>
      </c>
      <c r="G7832" s="3" t="s">
        <v>20</v>
      </c>
      <c r="H7832" s="2" t="s">
        <v>21</v>
      </c>
      <c r="I7832" s="2" t="s">
        <v>15487</v>
      </c>
      <c r="J7832" s="3" t="str">
        <f>HYPERLINK("https://www.boe.es/gazeta/dias/1823/02/24/pdfs/GMD-1823-58.pdf#page=4","Abrir facsímil")</f>
        <v>Abrir facsímil</v>
      </c>
      <c r="K7832" s="3" t="s">
        <v>23</v>
      </c>
    </row>
    <row r="7833" spans="1:11" ht="42" customHeight="1">
      <c r="A7833" s="2" t="s">
        <v>15485</v>
      </c>
      <c r="B7833" s="2" t="s">
        <v>15485</v>
      </c>
      <c r="C7833" s="2" t="s">
        <v>17</v>
      </c>
      <c r="D7833" s="2" t="s">
        <v>18</v>
      </c>
      <c r="E7833" s="5">
        <v>-27969</v>
      </c>
      <c r="F7833" s="3" t="s">
        <v>855</v>
      </c>
      <c r="G7833" s="3" t="s">
        <v>48</v>
      </c>
      <c r="H7833" s="2" t="s">
        <v>21</v>
      </c>
      <c r="I7833" s="2" t="s">
        <v>15488</v>
      </c>
      <c r="J7833" s="3" t="str">
        <f>HYPERLINK("https://www.boe.es/gazeta/dias/1823/06/03/pdfs/GES-1823-57.pdf#page=3","Abrir facsímil")</f>
        <v>Abrir facsímil</v>
      </c>
      <c r="K7833" s="3" t="s">
        <v>23</v>
      </c>
    </row>
    <row r="7834" spans="1:11" ht="42" customHeight="1">
      <c r="A7834" s="2" t="s">
        <v>15489</v>
      </c>
      <c r="B7834" s="2" t="s">
        <v>15490</v>
      </c>
      <c r="C7834" s="2" t="s">
        <v>84</v>
      </c>
      <c r="D7834" s="2" t="s">
        <v>74</v>
      </c>
      <c r="E7834" s="5">
        <v>-28093</v>
      </c>
      <c r="F7834" s="3" t="s">
        <v>1044</v>
      </c>
      <c r="G7834" s="3" t="s">
        <v>59</v>
      </c>
      <c r="H7834" s="2" t="s">
        <v>21</v>
      </c>
      <c r="I7834" s="2" t="s">
        <v>15491</v>
      </c>
      <c r="J7834" s="3" t="str">
        <f>HYPERLINK("https://www.boe.es/gazeta/dias/1823/01/30/pdfs/GMD-1823-31.pdf#page=6","Abrir facsímil")</f>
        <v>Abrir facsímil</v>
      </c>
      <c r="K7834" s="3" t="s">
        <v>23</v>
      </c>
    </row>
    <row r="7835" spans="1:11" ht="42" customHeight="1">
      <c r="A7835" s="2" t="s">
        <v>15492</v>
      </c>
      <c r="B7835" s="2" t="s">
        <v>15492</v>
      </c>
      <c r="C7835" s="2" t="s">
        <v>17</v>
      </c>
      <c r="D7835" s="2" t="s">
        <v>117</v>
      </c>
      <c r="E7835" s="5">
        <v>-28092</v>
      </c>
      <c r="F7835" s="3" t="s">
        <v>156</v>
      </c>
      <c r="G7835" s="3" t="s">
        <v>39</v>
      </c>
      <c r="H7835" s="2" t="s">
        <v>21</v>
      </c>
      <c r="I7835" s="2" t="s">
        <v>15493</v>
      </c>
      <c r="J7835" s="3" t="str">
        <f>HYPERLINK("https://www.boe.es/gazeta/dias/1823/01/31/pdfs/GMD-1823-33E.pdf#page=1","Abrir facsímil")</f>
        <v>Abrir facsímil</v>
      </c>
      <c r="K7835" s="3" t="s">
        <v>23</v>
      </c>
    </row>
    <row r="7836" spans="1:11" ht="42" customHeight="1">
      <c r="A7836" s="2" t="s">
        <v>15492</v>
      </c>
      <c r="B7836" s="2" t="s">
        <v>15492</v>
      </c>
      <c r="C7836" s="2" t="s">
        <v>17</v>
      </c>
      <c r="D7836" s="2" t="s">
        <v>18</v>
      </c>
      <c r="E7836" s="5">
        <v>-28076</v>
      </c>
      <c r="F7836" s="3" t="s">
        <v>1638</v>
      </c>
      <c r="G7836" s="3" t="s">
        <v>34</v>
      </c>
      <c r="H7836" s="2" t="s">
        <v>21</v>
      </c>
      <c r="I7836" s="2" t="s">
        <v>15494</v>
      </c>
      <c r="J7836" s="3" t="str">
        <f>HYPERLINK("https://www.boe.es/gazeta/dias/1823/02/16/pdfs/GMD-1823-50.pdf#page=5","Abrir facsímil")</f>
        <v>Abrir facsímil</v>
      </c>
      <c r="K7836" s="3" t="s">
        <v>23</v>
      </c>
    </row>
    <row r="7837" spans="1:11" ht="42" customHeight="1">
      <c r="A7837" s="2" t="s">
        <v>15495</v>
      </c>
      <c r="B7837" s="2" t="s">
        <v>15496</v>
      </c>
      <c r="C7837" s="2" t="s">
        <v>17</v>
      </c>
      <c r="D7837" s="2" t="s">
        <v>18</v>
      </c>
      <c r="E7837" s="5">
        <v>-28003</v>
      </c>
      <c r="F7837" s="3" t="s">
        <v>26</v>
      </c>
      <c r="G7837" s="3" t="s">
        <v>27</v>
      </c>
      <c r="H7837" s="2" t="s">
        <v>21</v>
      </c>
      <c r="I7837" s="2" t="s">
        <v>15497</v>
      </c>
      <c r="J7837" s="3" t="str">
        <f>HYPERLINK("https://www.boe.es/gazeta/dias/1823/04/30/pdfs/GES-1823-20.pdf#page=2","Abrir facsímil")</f>
        <v>Abrir facsímil</v>
      </c>
      <c r="K7837" s="3" t="s">
        <v>23</v>
      </c>
    </row>
    <row r="7838" spans="1:11" ht="42" customHeight="1">
      <c r="A7838" s="2" t="s">
        <v>15495</v>
      </c>
      <c r="B7838" s="2" t="s">
        <v>15496</v>
      </c>
      <c r="C7838" s="2" t="s">
        <v>17</v>
      </c>
      <c r="D7838" s="2" t="s">
        <v>18</v>
      </c>
      <c r="E7838" s="5">
        <v>-27906</v>
      </c>
      <c r="F7838" s="3" t="s">
        <v>241</v>
      </c>
      <c r="G7838" s="3" t="s">
        <v>48</v>
      </c>
      <c r="H7838" s="2" t="s">
        <v>21</v>
      </c>
      <c r="I7838" s="2" t="s">
        <v>15498</v>
      </c>
      <c r="J7838" s="3" t="str">
        <f>HYPERLINK("https://www.boe.es/gazeta/dias/1823/08/05/pdfs/GES-1823-117.pdf#page=3","Abrir facsímil")</f>
        <v>Abrir facsímil</v>
      </c>
      <c r="K7838" s="3" t="s">
        <v>23</v>
      </c>
    </row>
    <row r="7839" spans="1:11" ht="42" customHeight="1">
      <c r="A7839" s="2" t="s">
        <v>15499</v>
      </c>
      <c r="B7839" s="2" t="s">
        <v>15499</v>
      </c>
      <c r="C7839" s="2" t="s">
        <v>17</v>
      </c>
      <c r="D7839" s="2" t="s">
        <v>18</v>
      </c>
      <c r="E7839" s="5">
        <v>-28080</v>
      </c>
      <c r="F7839" s="3" t="s">
        <v>1010</v>
      </c>
      <c r="G7839" s="3" t="s">
        <v>1382</v>
      </c>
      <c r="H7839" s="2" t="s">
        <v>21</v>
      </c>
      <c r="I7839" s="2" t="s">
        <v>15500</v>
      </c>
      <c r="J7839" s="3" t="str">
        <f>HYPERLINK("https://www.boe.es/gazeta/dias/1823/02/12/pdfs/GMD-1823-46.pdf#page=4","Abrir facsímil")</f>
        <v>Abrir facsímil</v>
      </c>
      <c r="K7839" s="3" t="s">
        <v>23</v>
      </c>
    </row>
    <row r="7840" spans="1:11" ht="42" customHeight="1">
      <c r="A7840" s="2" t="s">
        <v>15501</v>
      </c>
      <c r="B7840" s="2" t="s">
        <v>15501</v>
      </c>
      <c r="C7840" s="2" t="s">
        <v>17</v>
      </c>
      <c r="D7840" s="2" t="s">
        <v>18</v>
      </c>
      <c r="E7840" s="5">
        <v>-28043</v>
      </c>
      <c r="F7840" s="3" t="s">
        <v>69</v>
      </c>
      <c r="G7840" s="3" t="s">
        <v>27</v>
      </c>
      <c r="H7840" s="2" t="s">
        <v>21</v>
      </c>
      <c r="I7840" s="2" t="s">
        <v>15502</v>
      </c>
      <c r="J7840" s="3" t="str">
        <f>HYPERLINK("https://www.boe.es/gazeta/dias/1823/03/21/pdfs/GMD-1823-84.pdf#page=2","Abrir facsímil")</f>
        <v>Abrir facsímil</v>
      </c>
      <c r="K7840" s="3" t="s">
        <v>23</v>
      </c>
    </row>
    <row r="7841" spans="1:11" ht="42" customHeight="1">
      <c r="A7841" s="2" t="s">
        <v>15503</v>
      </c>
      <c r="B7841" s="2" t="s">
        <v>15504</v>
      </c>
      <c r="C7841" s="2" t="s">
        <v>17</v>
      </c>
      <c r="D7841" s="2" t="s">
        <v>18</v>
      </c>
      <c r="E7841" s="5">
        <v>-27910</v>
      </c>
      <c r="F7841" s="3" t="s">
        <v>38</v>
      </c>
      <c r="G7841" s="3" t="s">
        <v>39</v>
      </c>
      <c r="H7841" s="2" t="s">
        <v>21</v>
      </c>
      <c r="I7841" s="2" t="s">
        <v>15505</v>
      </c>
      <c r="J7841" s="3" t="str">
        <f>HYPERLINK("https://www.boe.es/gazeta/dias/1823/08/01/pdfs/GES-1823-113.pdf#page=1","Abrir facsímil")</f>
        <v>Abrir facsímil</v>
      </c>
      <c r="K7841" s="3" t="s">
        <v>23</v>
      </c>
    </row>
    <row r="7842" spans="1:11" ht="42" customHeight="1">
      <c r="A7842" s="2" t="s">
        <v>15506</v>
      </c>
      <c r="B7842" s="2" t="s">
        <v>15507</v>
      </c>
      <c r="C7842" s="2" t="s">
        <v>17</v>
      </c>
      <c r="D7842" s="2" t="s">
        <v>18</v>
      </c>
      <c r="E7842" s="5">
        <v>-27839</v>
      </c>
      <c r="F7842" s="3" t="s">
        <v>263</v>
      </c>
      <c r="G7842" s="3" t="s">
        <v>48</v>
      </c>
      <c r="H7842" s="2" t="s">
        <v>21</v>
      </c>
      <c r="I7842" s="2" t="s">
        <v>15508</v>
      </c>
      <c r="J7842" s="3" t="str">
        <f>HYPERLINK("https://www.boe.es/gazeta/dias/1823/10/11/pdfs/GMD-1823-963.pdf#page=3","Abrir facsímil")</f>
        <v>Abrir facsímil</v>
      </c>
      <c r="K7842" s="3" t="s">
        <v>23</v>
      </c>
    </row>
    <row r="7843" spans="1:11" ht="42" customHeight="1">
      <c r="A7843" s="2" t="s">
        <v>15509</v>
      </c>
      <c r="B7843" s="2" t="s">
        <v>15510</v>
      </c>
      <c r="C7843" s="2" t="s">
        <v>17</v>
      </c>
      <c r="D7843" s="2" t="s">
        <v>18</v>
      </c>
      <c r="E7843" s="5">
        <v>-28007</v>
      </c>
      <c r="F7843" s="3" t="s">
        <v>1190</v>
      </c>
      <c r="G7843" s="3" t="s">
        <v>48</v>
      </c>
      <c r="H7843" s="2" t="s">
        <v>21</v>
      </c>
      <c r="I7843" s="2" t="s">
        <v>15511</v>
      </c>
      <c r="J7843" s="3" t="str">
        <f>HYPERLINK("https://www.boe.es/gazeta/dias/1823/04/26/pdfs/GMD-1823-62.pdf#page=3","Abrir facsímil")</f>
        <v>Abrir facsímil</v>
      </c>
      <c r="K7843" s="3" t="s">
        <v>23</v>
      </c>
    </row>
    <row r="7844" spans="1:11" ht="42" customHeight="1">
      <c r="A7844" s="2" t="s">
        <v>15512</v>
      </c>
      <c r="B7844" s="2" t="s">
        <v>15512</v>
      </c>
      <c r="C7844" s="2" t="s">
        <v>17</v>
      </c>
      <c r="D7844" s="2" t="s">
        <v>18</v>
      </c>
      <c r="E7844" s="5">
        <v>-27934</v>
      </c>
      <c r="F7844" s="3" t="s">
        <v>634</v>
      </c>
      <c r="G7844" s="3" t="s">
        <v>20</v>
      </c>
      <c r="H7844" s="2" t="s">
        <v>21</v>
      </c>
      <c r="I7844" s="2" t="s">
        <v>15513</v>
      </c>
      <c r="J7844" s="3" t="str">
        <f>HYPERLINK("https://www.boe.es/gazeta/dias/1823/07/08/pdfs/GMD-1823-353.pdf#page=4","Abrir facsímil")</f>
        <v>Abrir facsímil</v>
      </c>
      <c r="K7844" s="3" t="s">
        <v>23</v>
      </c>
    </row>
    <row r="7845" spans="1:11" ht="42" customHeight="1">
      <c r="A7845" s="2" t="s">
        <v>15512</v>
      </c>
      <c r="B7845" s="2" t="s">
        <v>15512</v>
      </c>
      <c r="C7845" s="2" t="s">
        <v>17</v>
      </c>
      <c r="D7845" s="2" t="s">
        <v>18</v>
      </c>
      <c r="E7845" s="5">
        <v>-27832</v>
      </c>
      <c r="F7845" s="3" t="s">
        <v>1815</v>
      </c>
      <c r="G7845" s="3" t="s">
        <v>27</v>
      </c>
      <c r="H7845" s="2" t="s">
        <v>21</v>
      </c>
      <c r="I7845" s="2" t="s">
        <v>15514</v>
      </c>
      <c r="J7845" s="3" t="str">
        <f>HYPERLINK("https://www.boe.es/gazeta/dias/1823/10/18/pdfs/GMD-1823-993.pdf#page=2","Abrir facsímil")</f>
        <v>Abrir facsímil</v>
      </c>
      <c r="K7845" s="3" t="s">
        <v>23</v>
      </c>
    </row>
    <row r="7846" spans="1:11" ht="42" customHeight="1">
      <c r="A7846" s="2" t="s">
        <v>15515</v>
      </c>
      <c r="B7846" s="2" t="s">
        <v>15516</v>
      </c>
      <c r="C7846" s="2" t="s">
        <v>17</v>
      </c>
      <c r="D7846" s="2" t="s">
        <v>18</v>
      </c>
      <c r="E7846" s="5">
        <v>-28099</v>
      </c>
      <c r="F7846" s="3" t="s">
        <v>1689</v>
      </c>
      <c r="G7846" s="3" t="s">
        <v>20</v>
      </c>
      <c r="H7846" s="2" t="s">
        <v>21</v>
      </c>
      <c r="I7846" s="2" t="s">
        <v>15517</v>
      </c>
      <c r="J7846" s="3" t="str">
        <f>HYPERLINK("https://www.boe.es/gazeta/dias/1823/01/24/pdfs/GMD-1823-25.pdf#page=4","Abrir facsímil")</f>
        <v>Abrir facsímil</v>
      </c>
      <c r="K7846" s="3" t="s">
        <v>23</v>
      </c>
    </row>
    <row r="7847" spans="1:11" ht="42" customHeight="1">
      <c r="A7847" s="2" t="s">
        <v>15518</v>
      </c>
      <c r="B7847" s="2" t="s">
        <v>15519</v>
      </c>
      <c r="C7847" s="2" t="s">
        <v>17</v>
      </c>
      <c r="D7847" s="2" t="s">
        <v>18</v>
      </c>
      <c r="E7847" s="5">
        <v>-27925</v>
      </c>
      <c r="F7847" s="3" t="s">
        <v>1744</v>
      </c>
      <c r="G7847" s="3" t="s">
        <v>27</v>
      </c>
      <c r="H7847" s="2" t="s">
        <v>21</v>
      </c>
      <c r="I7847" s="2" t="s">
        <v>15520</v>
      </c>
      <c r="J7847" s="3" t="str">
        <f>HYPERLINK("https://www.boe.es/gazeta/dias/1823/07/17/pdfs/GMD-1823-413.pdf#page=2","Abrir facsímil")</f>
        <v>Abrir facsímil</v>
      </c>
      <c r="K7847" s="3" t="s">
        <v>23</v>
      </c>
    </row>
    <row r="7848" spans="1:11" ht="42" customHeight="1">
      <c r="A7848" s="2" t="s">
        <v>15518</v>
      </c>
      <c r="B7848" s="2" t="s">
        <v>15519</v>
      </c>
      <c r="C7848" s="2" t="s">
        <v>17</v>
      </c>
      <c r="D7848" s="2" t="s">
        <v>18</v>
      </c>
      <c r="E7848" s="5">
        <v>-27829</v>
      </c>
      <c r="F7848" s="3" t="s">
        <v>228</v>
      </c>
      <c r="G7848" s="3" t="s">
        <v>39</v>
      </c>
      <c r="H7848" s="2" t="s">
        <v>21</v>
      </c>
      <c r="I7848" s="2" t="s">
        <v>15521</v>
      </c>
      <c r="J7848" s="3" t="str">
        <f>HYPERLINK("https://www.boe.es/gazeta/dias/1823/10/21/pdfs/GMD-1823-1003.pdf#page=1","Abrir facsímil")</f>
        <v>Abrir facsímil</v>
      </c>
      <c r="K7848" s="3" t="s">
        <v>23</v>
      </c>
    </row>
    <row r="7849" spans="1:11" ht="42" customHeight="1">
      <c r="A7849" s="2" t="s">
        <v>15522</v>
      </c>
      <c r="B7849" s="2" t="s">
        <v>15523</v>
      </c>
      <c r="C7849" s="2" t="s">
        <v>17</v>
      </c>
      <c r="D7849" s="2" t="s">
        <v>18</v>
      </c>
      <c r="E7849" s="5">
        <v>-28010</v>
      </c>
      <c r="F7849" s="3" t="s">
        <v>808</v>
      </c>
      <c r="G7849" s="3" t="s">
        <v>48</v>
      </c>
      <c r="H7849" s="2" t="s">
        <v>21</v>
      </c>
      <c r="I7849" s="2" t="s">
        <v>15524</v>
      </c>
      <c r="J7849" s="3" t="str">
        <f>HYPERLINK("https://www.boe.es/gazeta/dias/1823/04/23/pdfs/GES-1823-13.pdf#page=3","Abrir facsímil")</f>
        <v>Abrir facsímil</v>
      </c>
      <c r="K7849" s="3" t="s">
        <v>23</v>
      </c>
    </row>
    <row r="7850" spans="1:11" ht="42" customHeight="1">
      <c r="A7850" s="2" t="s">
        <v>15522</v>
      </c>
      <c r="B7850" s="2" t="s">
        <v>15523</v>
      </c>
      <c r="C7850" s="2" t="s">
        <v>17</v>
      </c>
      <c r="D7850" s="2" t="s">
        <v>18</v>
      </c>
      <c r="E7850" s="5">
        <v>-28006</v>
      </c>
      <c r="F7850" s="3" t="s">
        <v>183</v>
      </c>
      <c r="G7850" s="3" t="s">
        <v>27</v>
      </c>
      <c r="H7850" s="2" t="s">
        <v>21</v>
      </c>
      <c r="I7850" s="2" t="s">
        <v>15525</v>
      </c>
      <c r="J7850" s="3" t="str">
        <f>HYPERLINK("https://www.boe.es/gazeta/dias/1823/04/27/pdfs/GES-1823-17.pdf#page=2","Abrir facsímil")</f>
        <v>Abrir facsímil</v>
      </c>
      <c r="K7850" s="3" t="s">
        <v>23</v>
      </c>
    </row>
    <row r="7851" spans="1:11" ht="42" customHeight="1">
      <c r="A7851" s="2" t="s">
        <v>15526</v>
      </c>
      <c r="B7851" s="2" t="s">
        <v>15527</v>
      </c>
      <c r="C7851" s="2" t="s">
        <v>17</v>
      </c>
      <c r="D7851" s="2" t="s">
        <v>18</v>
      </c>
      <c r="E7851" s="5">
        <v>-28003</v>
      </c>
      <c r="F7851" s="3" t="s">
        <v>26</v>
      </c>
      <c r="G7851" s="3" t="s">
        <v>39</v>
      </c>
      <c r="H7851" s="2" t="s">
        <v>21</v>
      </c>
      <c r="I7851" s="2" t="s">
        <v>15528</v>
      </c>
      <c r="J7851" s="3" t="str">
        <f>HYPERLINK("https://www.boe.es/gazeta/dias/1823/04/30/pdfs/GES-1823-20.pdf#page=1","Abrir facsímil")</f>
        <v>Abrir facsímil</v>
      </c>
      <c r="K7851" s="3" t="s">
        <v>23</v>
      </c>
    </row>
    <row r="7852" spans="1:11" ht="42" customHeight="1">
      <c r="A7852" s="2" t="s">
        <v>15526</v>
      </c>
      <c r="B7852" s="2" t="s">
        <v>15527</v>
      </c>
      <c r="C7852" s="2" t="s">
        <v>17</v>
      </c>
      <c r="D7852" s="2" t="s">
        <v>18</v>
      </c>
      <c r="E7852" s="5">
        <v>-27986</v>
      </c>
      <c r="F7852" s="3" t="s">
        <v>607</v>
      </c>
      <c r="G7852" s="3" t="s">
        <v>20</v>
      </c>
      <c r="H7852" s="2" t="s">
        <v>21</v>
      </c>
      <c r="I7852" s="2" t="s">
        <v>15529</v>
      </c>
      <c r="J7852" s="3" t="str">
        <f>HYPERLINK("https://www.boe.es/gazeta/dias/1823/05/17/pdfs/GMD-1823-152.pdf#page=4","Abrir facsímil")</f>
        <v>Abrir facsímil</v>
      </c>
      <c r="K7852" s="3" t="s">
        <v>23</v>
      </c>
    </row>
    <row r="7853" spans="1:11" ht="42" customHeight="1">
      <c r="A7853" s="2" t="s">
        <v>15530</v>
      </c>
      <c r="B7853" s="2" t="s">
        <v>15531</v>
      </c>
      <c r="C7853" s="2" t="s">
        <v>17</v>
      </c>
      <c r="D7853" s="2" t="s">
        <v>18</v>
      </c>
      <c r="E7853" s="5">
        <v>-27864</v>
      </c>
      <c r="F7853" s="3" t="s">
        <v>395</v>
      </c>
      <c r="G7853" s="3" t="s">
        <v>20</v>
      </c>
      <c r="H7853" s="2" t="s">
        <v>21</v>
      </c>
      <c r="I7853" s="2" t="s">
        <v>15532</v>
      </c>
      <c r="J7853" s="3" t="str">
        <f>HYPERLINK("https://www.boe.es/gazeta/dias/1823/09/16/pdfs/GMD-1823-783.pdf#page=4","Abrir facsímil")</f>
        <v>Abrir facsímil</v>
      </c>
      <c r="K7853" s="3" t="s">
        <v>23</v>
      </c>
    </row>
    <row r="7854" spans="1:11" ht="42" customHeight="1">
      <c r="A7854" s="2" t="s">
        <v>15533</v>
      </c>
      <c r="B7854" s="2" t="s">
        <v>15534</v>
      </c>
      <c r="C7854" s="2" t="s">
        <v>17</v>
      </c>
      <c r="D7854" s="2" t="s">
        <v>18</v>
      </c>
      <c r="E7854" s="5">
        <v>-27923</v>
      </c>
      <c r="F7854" s="3" t="s">
        <v>1225</v>
      </c>
      <c r="G7854" s="3" t="s">
        <v>20</v>
      </c>
      <c r="H7854" s="2" t="s">
        <v>21</v>
      </c>
      <c r="I7854" s="2" t="s">
        <v>15535</v>
      </c>
      <c r="J7854" s="3" t="str">
        <f>HYPERLINK("https://www.boe.es/gazeta/dias/1823/07/19/pdfs/GMD-1823-433.pdf#page=4","Abrir facsímil")</f>
        <v>Abrir facsímil</v>
      </c>
      <c r="K7854" s="3" t="s">
        <v>23</v>
      </c>
    </row>
    <row r="7855" spans="1:11" ht="42" customHeight="1">
      <c r="A7855" s="2" t="s">
        <v>15536</v>
      </c>
      <c r="B7855" s="2" t="s">
        <v>15537</v>
      </c>
      <c r="C7855" s="2" t="s">
        <v>84</v>
      </c>
      <c r="D7855" s="2" t="s">
        <v>74</v>
      </c>
      <c r="E7855" s="5">
        <v>-28023</v>
      </c>
      <c r="F7855" s="3" t="s">
        <v>384</v>
      </c>
      <c r="G7855" s="3" t="s">
        <v>20</v>
      </c>
      <c r="H7855" s="2" t="s">
        <v>21</v>
      </c>
      <c r="I7855" s="2" t="s">
        <v>15538</v>
      </c>
      <c r="J7855" s="3" t="str">
        <f>HYPERLINK("https://www.boe.es/gazeta/dias/1823/04/10/pdfs/GMD-1823-105.pdf#page=4","Abrir facsímil")</f>
        <v>Abrir facsímil</v>
      </c>
      <c r="K7855" s="3" t="s">
        <v>23</v>
      </c>
    </row>
    <row r="7856" spans="1:11" ht="42" customHeight="1">
      <c r="A7856" s="2" t="s">
        <v>15539</v>
      </c>
      <c r="B7856" s="2" t="s">
        <v>15539</v>
      </c>
      <c r="C7856" s="2" t="s">
        <v>17</v>
      </c>
      <c r="D7856" s="2" t="s">
        <v>18</v>
      </c>
      <c r="E7856" s="5">
        <v>-28045</v>
      </c>
      <c r="F7856" s="3" t="s">
        <v>245</v>
      </c>
      <c r="G7856" s="3" t="s">
        <v>39</v>
      </c>
      <c r="H7856" s="2" t="s">
        <v>21</v>
      </c>
      <c r="I7856" s="2" t="s">
        <v>15540</v>
      </c>
      <c r="J7856" s="3" t="str">
        <f>HYPERLINK("https://www.boe.es/gazeta/dias/1823/03/19/pdfs/GMD-1823-82.pdf#page=1","Abrir facsímil")</f>
        <v>Abrir facsímil</v>
      </c>
      <c r="K7856" s="3" t="s">
        <v>23</v>
      </c>
    </row>
    <row r="7857" spans="1:11" ht="42" customHeight="1">
      <c r="A7857" s="2" t="s">
        <v>15541</v>
      </c>
      <c r="B7857" s="2" t="s">
        <v>15541</v>
      </c>
      <c r="C7857" s="2" t="s">
        <v>17</v>
      </c>
      <c r="D7857" s="2" t="s">
        <v>18</v>
      </c>
      <c r="E7857" s="5">
        <v>-27780</v>
      </c>
      <c r="F7857" s="3" t="s">
        <v>1609</v>
      </c>
      <c r="G7857" s="3" t="s">
        <v>48</v>
      </c>
      <c r="H7857" s="2" t="s">
        <v>21</v>
      </c>
      <c r="I7857" s="2" t="s">
        <v>15542</v>
      </c>
      <c r="J7857" s="3" t="str">
        <f>HYPERLINK("https://www.boe.es/gazeta/dias/1823/12/09/pdfs/GMD-1823-1223.pdf#page=3","Abrir facsímil")</f>
        <v>Abrir facsímil</v>
      </c>
      <c r="K7857" s="3" t="s">
        <v>23</v>
      </c>
    </row>
    <row r="7858" spans="1:11" ht="42" customHeight="1">
      <c r="A7858" s="2" t="s">
        <v>15543</v>
      </c>
      <c r="B7858" s="2" t="s">
        <v>15543</v>
      </c>
      <c r="C7858" s="2" t="s">
        <v>56</v>
      </c>
      <c r="D7858" s="2" t="s">
        <v>57</v>
      </c>
      <c r="E7858" s="5">
        <v>-27946</v>
      </c>
      <c r="F7858" s="3" t="s">
        <v>2146</v>
      </c>
      <c r="G7858" s="3" t="s">
        <v>39</v>
      </c>
      <c r="H7858" s="2" t="s">
        <v>21</v>
      </c>
      <c r="I7858" s="2" t="s">
        <v>15544</v>
      </c>
      <c r="J7858" s="3" t="str">
        <f>HYPERLINK("https://www.boe.es/gazeta/dias/1823/06/26/pdfs/GES-1823-76.pdf#page=1","Abrir facsímil")</f>
        <v>Abrir facsímil</v>
      </c>
      <c r="K7858" s="3" t="s">
        <v>23</v>
      </c>
    </row>
    <row r="7859" spans="1:11" ht="42" customHeight="1">
      <c r="A7859" s="2" t="s">
        <v>15545</v>
      </c>
      <c r="B7859" s="2" t="s">
        <v>15545</v>
      </c>
      <c r="C7859" s="2" t="s">
        <v>17</v>
      </c>
      <c r="D7859" s="2" t="s">
        <v>18</v>
      </c>
      <c r="E7859" s="5">
        <v>-28074</v>
      </c>
      <c r="F7859" s="3" t="s">
        <v>212</v>
      </c>
      <c r="G7859" s="3" t="s">
        <v>39</v>
      </c>
      <c r="H7859" s="2" t="s">
        <v>21</v>
      </c>
      <c r="I7859" s="2" t="s">
        <v>15546</v>
      </c>
      <c r="J7859" s="3" t="str">
        <f>HYPERLINK("https://www.boe.es/gazeta/dias/1823/02/18/pdfs/GMD-1823-52.pdf#page=1","Abrir facsímil")</f>
        <v>Abrir facsímil</v>
      </c>
      <c r="K7859" s="3" t="s">
        <v>23</v>
      </c>
    </row>
    <row r="7860" spans="1:11" ht="42" customHeight="1">
      <c r="A7860" s="2" t="s">
        <v>15545</v>
      </c>
      <c r="B7860" s="2" t="s">
        <v>15545</v>
      </c>
      <c r="C7860" s="2" t="s">
        <v>17</v>
      </c>
      <c r="D7860" s="2" t="s">
        <v>18</v>
      </c>
      <c r="E7860" s="5">
        <v>-27918</v>
      </c>
      <c r="F7860" s="3" t="s">
        <v>218</v>
      </c>
      <c r="G7860" s="3" t="s">
        <v>48</v>
      </c>
      <c r="H7860" s="2" t="s">
        <v>21</v>
      </c>
      <c r="I7860" s="2" t="s">
        <v>15547</v>
      </c>
      <c r="J7860" s="3" t="str">
        <f>HYPERLINK("https://www.boe.es/gazeta/dias/1823/07/24/pdfs/GMD-1823-463.pdf#page=3","Abrir facsímil")</f>
        <v>Abrir facsímil</v>
      </c>
      <c r="K7860" s="3" t="s">
        <v>23</v>
      </c>
    </row>
    <row r="7861" spans="1:11" ht="42" customHeight="1">
      <c r="A7861" s="2" t="s">
        <v>15548</v>
      </c>
      <c r="B7861" s="2" t="s">
        <v>15548</v>
      </c>
      <c r="C7861" s="2" t="s">
        <v>56</v>
      </c>
      <c r="D7861" s="2" t="s">
        <v>57</v>
      </c>
      <c r="E7861" s="5">
        <v>-28077</v>
      </c>
      <c r="F7861" s="3" t="s">
        <v>536</v>
      </c>
      <c r="G7861" s="3" t="s">
        <v>59</v>
      </c>
      <c r="H7861" s="2" t="s">
        <v>21</v>
      </c>
      <c r="I7861" s="2" t="s">
        <v>15549</v>
      </c>
      <c r="J7861" s="3" t="str">
        <f>HYPERLINK("https://www.boe.es/gazeta/dias/1823/02/15/pdfs/GMD-1823-49.pdf#page=6","Abrir facsímil")</f>
        <v>Abrir facsímil</v>
      </c>
      <c r="K7861" s="3" t="s">
        <v>23</v>
      </c>
    </row>
    <row r="7862" spans="1:11" ht="42" customHeight="1">
      <c r="A7862" s="2" t="s">
        <v>15550</v>
      </c>
      <c r="B7862" s="2" t="s">
        <v>15550</v>
      </c>
      <c r="C7862" s="2" t="s">
        <v>17</v>
      </c>
      <c r="D7862" s="2" t="s">
        <v>18</v>
      </c>
      <c r="E7862" s="5">
        <v>-27846</v>
      </c>
      <c r="F7862" s="3" t="s">
        <v>2535</v>
      </c>
      <c r="G7862" s="3" t="s">
        <v>39</v>
      </c>
      <c r="H7862" s="2" t="s">
        <v>21</v>
      </c>
      <c r="I7862" s="2" t="s">
        <v>15551</v>
      </c>
      <c r="J7862" s="3" t="str">
        <f>HYPERLINK("https://www.boe.es/gazeta/dias/1823/10/04/pdfs/GMD-1823-913.pdf#page=1","Abrir facsímil")</f>
        <v>Abrir facsímil</v>
      </c>
      <c r="K7862" s="3" t="s">
        <v>23</v>
      </c>
    </row>
    <row r="7863" spans="1:11" ht="42" customHeight="1">
      <c r="A7863" s="2" t="s">
        <v>15550</v>
      </c>
      <c r="B7863" s="2" t="s">
        <v>15550</v>
      </c>
      <c r="C7863" s="2" t="s">
        <v>79</v>
      </c>
      <c r="D7863" s="2" t="s">
        <v>74</v>
      </c>
      <c r="E7863" s="5">
        <v>-27797</v>
      </c>
      <c r="F7863" s="3" t="s">
        <v>3409</v>
      </c>
      <c r="G7863" s="3" t="s">
        <v>48</v>
      </c>
      <c r="H7863" s="2" t="s">
        <v>21</v>
      </c>
      <c r="I7863" s="2" t="s">
        <v>15552</v>
      </c>
      <c r="J7863" s="3" t="str">
        <f>HYPERLINK("https://www.boe.es/gazeta/dias/1823/11/22/pdfs/GMD-1823-1153.pdf#page=3","Abrir facsímil")</f>
        <v>Abrir facsímil</v>
      </c>
      <c r="K7863" s="3" t="s">
        <v>23</v>
      </c>
    </row>
    <row r="7864" spans="1:11" ht="42" customHeight="1">
      <c r="A7864" s="2" t="s">
        <v>15553</v>
      </c>
      <c r="B7864" s="2" t="s">
        <v>15554</v>
      </c>
      <c r="C7864" s="2" t="s">
        <v>79</v>
      </c>
      <c r="D7864" s="2" t="s">
        <v>74</v>
      </c>
      <c r="E7864" s="5">
        <v>-28119</v>
      </c>
      <c r="F7864" s="3" t="s">
        <v>545</v>
      </c>
      <c r="G7864" s="3" t="s">
        <v>59</v>
      </c>
      <c r="H7864" s="2" t="s">
        <v>21</v>
      </c>
      <c r="I7864" s="2" t="s">
        <v>15555</v>
      </c>
      <c r="J7864" s="3" t="str">
        <f>HYPERLINK("https://www.boe.es/gazeta/dias/1823/01/04/pdfs/GMD-1823-4.pdf#page=6","Abrir facsímil")</f>
        <v>Abrir facsímil</v>
      </c>
      <c r="K7864" s="3" t="s">
        <v>23</v>
      </c>
    </row>
    <row r="7865" spans="1:11" ht="42" customHeight="1">
      <c r="A7865" s="2" t="s">
        <v>15556</v>
      </c>
      <c r="B7865" s="2" t="s">
        <v>15557</v>
      </c>
      <c r="C7865" s="2" t="s">
        <v>293</v>
      </c>
      <c r="D7865" s="2" t="s">
        <v>74</v>
      </c>
      <c r="E7865" s="5">
        <v>-28109</v>
      </c>
      <c r="F7865" s="3" t="s">
        <v>889</v>
      </c>
      <c r="G7865" s="3" t="s">
        <v>48</v>
      </c>
      <c r="H7865" s="2" t="s">
        <v>21</v>
      </c>
      <c r="I7865" s="2" t="s">
        <v>15558</v>
      </c>
      <c r="J7865" s="3" t="str">
        <f>HYPERLINK("https://www.boe.es/gazeta/dias/1823/01/14/pdfs/GMD-1823-14.pdf#page=3","Abrir facsímil")</f>
        <v>Abrir facsímil</v>
      </c>
      <c r="K7865" s="3" t="s">
        <v>23</v>
      </c>
    </row>
    <row r="7866" spans="1:11" ht="42" customHeight="1">
      <c r="A7866" s="2" t="s">
        <v>15559</v>
      </c>
      <c r="B7866" s="2" t="s">
        <v>15559</v>
      </c>
      <c r="C7866" s="2" t="s">
        <v>17</v>
      </c>
      <c r="D7866" s="2" t="s">
        <v>18</v>
      </c>
      <c r="E7866" s="5">
        <v>-28081</v>
      </c>
      <c r="F7866" s="3" t="s">
        <v>170</v>
      </c>
      <c r="G7866" s="3" t="s">
        <v>48</v>
      </c>
      <c r="H7866" s="2" t="s">
        <v>21</v>
      </c>
      <c r="I7866" s="2" t="s">
        <v>15560</v>
      </c>
      <c r="J7866" s="3" t="str">
        <f>HYPERLINK("https://www.boe.es/gazeta/dias/1823/02/11/pdfs/GMD-1823-45.pdf#page=3","Abrir facsímil")</f>
        <v>Abrir facsímil</v>
      </c>
      <c r="K7866" s="3" t="s">
        <v>23</v>
      </c>
    </row>
    <row r="7867" spans="1:11" ht="42" customHeight="1">
      <c r="A7867" s="2" t="s">
        <v>15561</v>
      </c>
      <c r="B7867" s="2" t="s">
        <v>15562</v>
      </c>
      <c r="C7867" s="2" t="s">
        <v>17</v>
      </c>
      <c r="D7867" s="2" t="s">
        <v>18</v>
      </c>
      <c r="E7867" s="5">
        <v>-28119</v>
      </c>
      <c r="F7867" s="3" t="s">
        <v>545</v>
      </c>
      <c r="G7867" s="3" t="s">
        <v>59</v>
      </c>
      <c r="H7867" s="2" t="s">
        <v>21</v>
      </c>
      <c r="I7867" s="2" t="s">
        <v>15563</v>
      </c>
      <c r="J7867" s="3" t="str">
        <f>HYPERLINK("https://www.boe.es/gazeta/dias/1823/01/04/pdfs/GMD-1823-4.pdf#page=6","Abrir facsímil")</f>
        <v>Abrir facsímil</v>
      </c>
      <c r="K7867" s="3" t="s">
        <v>23</v>
      </c>
    </row>
    <row r="7868" spans="1:11" ht="42" customHeight="1">
      <c r="A7868" s="2" t="s">
        <v>15564</v>
      </c>
      <c r="B7868" s="2" t="s">
        <v>15565</v>
      </c>
      <c r="C7868" s="2" t="s">
        <v>17</v>
      </c>
      <c r="D7868" s="2" t="s">
        <v>18</v>
      </c>
      <c r="E7868" s="5">
        <v>-28119</v>
      </c>
      <c r="F7868" s="3" t="s">
        <v>545</v>
      </c>
      <c r="G7868" s="3" t="s">
        <v>59</v>
      </c>
      <c r="H7868" s="2" t="s">
        <v>21</v>
      </c>
      <c r="I7868" s="2" t="s">
        <v>15566</v>
      </c>
      <c r="J7868" s="3" t="str">
        <f>HYPERLINK("https://www.boe.es/gazeta/dias/1823/01/04/pdfs/GMD-1823-4.pdf#page=6","Abrir facsímil")</f>
        <v>Abrir facsímil</v>
      </c>
      <c r="K7868" s="3" t="s">
        <v>23</v>
      </c>
    </row>
    <row r="7869" spans="1:11" ht="42" customHeight="1">
      <c r="A7869" s="2" t="s">
        <v>15564</v>
      </c>
      <c r="B7869" s="2" t="s">
        <v>15565</v>
      </c>
      <c r="C7869" s="2" t="s">
        <v>56</v>
      </c>
      <c r="D7869" s="2" t="s">
        <v>57</v>
      </c>
      <c r="E7869" s="5">
        <v>-28091</v>
      </c>
      <c r="F7869" s="3" t="s">
        <v>1047</v>
      </c>
      <c r="G7869" s="3" t="s">
        <v>59</v>
      </c>
      <c r="H7869" s="2" t="s">
        <v>21</v>
      </c>
      <c r="I7869" s="2" t="s">
        <v>15567</v>
      </c>
      <c r="J7869" s="3" t="str">
        <f>HYPERLINK("https://www.boe.es/gazeta/dias/1823/02/01/pdfs/GMD-1823-34.pdf#page=6","Abrir facsímil")</f>
        <v>Abrir facsímil</v>
      </c>
      <c r="K7869" s="3" t="s">
        <v>23</v>
      </c>
    </row>
    <row r="7870" spans="1:11" ht="42" customHeight="1">
      <c r="A7870" s="2" t="s">
        <v>15568</v>
      </c>
      <c r="B7870" s="2" t="s">
        <v>15569</v>
      </c>
      <c r="C7870" s="2" t="s">
        <v>56</v>
      </c>
      <c r="D7870" s="2" t="s">
        <v>57</v>
      </c>
      <c r="E7870" s="5">
        <v>-27783</v>
      </c>
      <c r="F7870" s="3" t="s">
        <v>941</v>
      </c>
      <c r="G7870" s="3" t="s">
        <v>27</v>
      </c>
      <c r="H7870" s="2" t="s">
        <v>21</v>
      </c>
      <c r="I7870" s="2" t="s">
        <v>15570</v>
      </c>
      <c r="J7870" s="3" t="str">
        <f>HYPERLINK("https://www.boe.es/gazeta/dias/1823/12/06/pdfs/GMD-1823-1213.pdf#page=2","Abrir facsímil")</f>
        <v>Abrir facsímil</v>
      </c>
      <c r="K7870" s="3" t="s">
        <v>23</v>
      </c>
    </row>
    <row r="7871" spans="1:11" ht="42" customHeight="1">
      <c r="A7871" s="2" t="s">
        <v>15571</v>
      </c>
      <c r="B7871" s="2" t="s">
        <v>15572</v>
      </c>
      <c r="C7871" s="2" t="s">
        <v>17</v>
      </c>
      <c r="D7871" s="2" t="s">
        <v>18</v>
      </c>
      <c r="E7871" s="5">
        <v>-27881</v>
      </c>
      <c r="F7871" s="3" t="s">
        <v>725</v>
      </c>
      <c r="G7871" s="3" t="s">
        <v>39</v>
      </c>
      <c r="H7871" s="2" t="s">
        <v>21</v>
      </c>
      <c r="I7871" s="2" t="s">
        <v>15573</v>
      </c>
      <c r="J7871" s="3" t="str">
        <f>HYPERLINK("https://www.boe.es/gazeta/dias/1823/08/30/pdfs/GMD-1823-673.pdf#page=1","Abrir facsímil")</f>
        <v>Abrir facsímil</v>
      </c>
      <c r="K7871" s="3" t="s">
        <v>23</v>
      </c>
    </row>
    <row r="7872" spans="1:11" ht="42" customHeight="1">
      <c r="A7872" s="2" t="s">
        <v>15574</v>
      </c>
      <c r="B7872" s="2" t="s">
        <v>15575</v>
      </c>
      <c r="C7872" s="2" t="s">
        <v>17</v>
      </c>
      <c r="D7872" s="2" t="s">
        <v>18</v>
      </c>
      <c r="E7872" s="5">
        <v>-28051</v>
      </c>
      <c r="F7872" s="3" t="s">
        <v>305</v>
      </c>
      <c r="G7872" s="3" t="s">
        <v>20</v>
      </c>
      <c r="H7872" s="2" t="s">
        <v>21</v>
      </c>
      <c r="I7872" s="2" t="s">
        <v>15576</v>
      </c>
      <c r="J7872" s="3" t="str">
        <f>HYPERLINK("https://www.boe.es/gazeta/dias/1823/03/13/pdfs/GMD-1823-76.pdf#page=4","Abrir facsímil")</f>
        <v>Abrir facsímil</v>
      </c>
      <c r="K7872" s="3" t="s">
        <v>23</v>
      </c>
    </row>
    <row r="7873" spans="1:11" ht="42" customHeight="1">
      <c r="A7873" s="2" t="s">
        <v>15577</v>
      </c>
      <c r="B7873" s="2" t="s">
        <v>15577</v>
      </c>
      <c r="C7873" s="2" t="s">
        <v>17</v>
      </c>
      <c r="D7873" s="2" t="s">
        <v>18</v>
      </c>
      <c r="E7873" s="5">
        <v>-27992</v>
      </c>
      <c r="F7873" s="3" t="s">
        <v>565</v>
      </c>
      <c r="G7873" s="3" t="s">
        <v>39</v>
      </c>
      <c r="H7873" s="2" t="s">
        <v>21</v>
      </c>
      <c r="I7873" s="2" t="s">
        <v>15578</v>
      </c>
      <c r="J7873" s="3" t="str">
        <f>HYPERLINK("https://www.boe.es/gazeta/dias/1823/05/11/pdfs/GES-1823-31.pdf#page=1","Abrir facsímil")</f>
        <v>Abrir facsímil</v>
      </c>
      <c r="K7873" s="3" t="s">
        <v>23</v>
      </c>
    </row>
    <row r="7874" spans="1:11" ht="42" customHeight="1">
      <c r="A7874" s="2" t="s">
        <v>15579</v>
      </c>
      <c r="B7874" s="2" t="s">
        <v>15580</v>
      </c>
      <c r="C7874" s="2" t="s">
        <v>17</v>
      </c>
      <c r="D7874" s="2" t="s">
        <v>18</v>
      </c>
      <c r="E7874" s="5">
        <v>-28094</v>
      </c>
      <c r="F7874" s="3" t="s">
        <v>93</v>
      </c>
      <c r="G7874" s="3" t="s">
        <v>20</v>
      </c>
      <c r="H7874" s="2" t="s">
        <v>28</v>
      </c>
      <c r="I7874" s="2" t="s">
        <v>15581</v>
      </c>
      <c r="J7874" s="3" t="str">
        <f>HYPERLINK("https://www.boe.es/gazeta/dias/1823/01/29/pdfs/GMD-1823-30.pdf#page=4","Abrir facsímil")</f>
        <v>Abrir facsímil</v>
      </c>
      <c r="K7874" s="3" t="s">
        <v>30</v>
      </c>
    </row>
    <row r="7875" spans="1:11" ht="42" customHeight="1">
      <c r="A7875" s="2" t="s">
        <v>15582</v>
      </c>
      <c r="B7875" s="2" t="s">
        <v>15583</v>
      </c>
      <c r="C7875" s="2" t="s">
        <v>56</v>
      </c>
      <c r="D7875" s="2" t="s">
        <v>57</v>
      </c>
      <c r="E7875" s="5">
        <v>-27906</v>
      </c>
      <c r="F7875" s="3" t="s">
        <v>1527</v>
      </c>
      <c r="G7875" s="3" t="s">
        <v>39</v>
      </c>
      <c r="H7875" s="2" t="s">
        <v>21</v>
      </c>
      <c r="I7875" s="2" t="s">
        <v>15584</v>
      </c>
      <c r="J7875" s="3" t="str">
        <f>HYPERLINK("https://www.boe.es/gazeta/dias/1823/08/05/pdfs/GMD-1823-533.pdf#page=1","Abrir facsímil")</f>
        <v>Abrir facsímil</v>
      </c>
      <c r="K7875" s="3" t="s">
        <v>23</v>
      </c>
    </row>
    <row r="7876" spans="1:11" ht="42" customHeight="1">
      <c r="A7876" s="2" t="s">
        <v>15585</v>
      </c>
      <c r="B7876" s="2" t="s">
        <v>15586</v>
      </c>
      <c r="C7876" s="2" t="s">
        <v>17</v>
      </c>
      <c r="D7876" s="2" t="s">
        <v>18</v>
      </c>
      <c r="E7876" s="5">
        <v>-27919</v>
      </c>
      <c r="F7876" s="3" t="s">
        <v>361</v>
      </c>
      <c r="G7876" s="3" t="s">
        <v>20</v>
      </c>
      <c r="H7876" s="2" t="s">
        <v>21</v>
      </c>
      <c r="I7876" s="2" t="s">
        <v>15587</v>
      </c>
      <c r="J7876" s="3" t="str">
        <f>HYPERLINK("https://www.boe.es/gazeta/dias/1823/07/23/pdfs/GES-1823-104.pdf#page=4","Abrir facsímil")</f>
        <v>Abrir facsímil</v>
      </c>
      <c r="K7876" s="3" t="s">
        <v>23</v>
      </c>
    </row>
    <row r="7877" spans="1:11" ht="42" customHeight="1">
      <c r="A7877" s="2" t="s">
        <v>15588</v>
      </c>
      <c r="B7877" s="2" t="s">
        <v>15589</v>
      </c>
      <c r="C7877" s="2" t="s">
        <v>56</v>
      </c>
      <c r="D7877" s="2" t="s">
        <v>57</v>
      </c>
      <c r="E7877" s="5">
        <v>-27907</v>
      </c>
      <c r="F7877" s="3" t="s">
        <v>370</v>
      </c>
      <c r="G7877" s="3" t="s">
        <v>20</v>
      </c>
      <c r="H7877" s="2" t="s">
        <v>21</v>
      </c>
      <c r="I7877" s="2" t="s">
        <v>15590</v>
      </c>
      <c r="J7877" s="3" t="str">
        <f>HYPERLINK("https://www.boe.es/gazeta/dias/1823/08/04/pdfs/GES-1823-116.pdf#page=4","Abrir facsímil")</f>
        <v>Abrir facsímil</v>
      </c>
      <c r="K7877" s="3" t="s">
        <v>23</v>
      </c>
    </row>
    <row r="7878" spans="1:11" ht="42" customHeight="1">
      <c r="A7878" s="2" t="s">
        <v>15588</v>
      </c>
      <c r="B7878" s="2" t="s">
        <v>15589</v>
      </c>
      <c r="C7878" s="2" t="s">
        <v>17</v>
      </c>
      <c r="D7878" s="2" t="s">
        <v>18</v>
      </c>
      <c r="E7878" s="5">
        <v>-27879</v>
      </c>
      <c r="F7878" s="3" t="s">
        <v>638</v>
      </c>
      <c r="G7878" s="3" t="s">
        <v>20</v>
      </c>
      <c r="H7878" s="2" t="s">
        <v>21</v>
      </c>
      <c r="I7878" s="2" t="s">
        <v>15591</v>
      </c>
      <c r="J7878" s="3" t="str">
        <f>HYPERLINK("https://www.boe.es/gazeta/dias/1823/09/01/pdfs/GES-1823-145.pdf#page=4","Abrir facsímil")</f>
        <v>Abrir facsímil</v>
      </c>
      <c r="K7878" s="3" t="s">
        <v>23</v>
      </c>
    </row>
    <row r="7879" spans="1:11" ht="42" customHeight="1">
      <c r="A7879" s="2" t="s">
        <v>15592</v>
      </c>
      <c r="B7879" s="2" t="s">
        <v>15593</v>
      </c>
      <c r="C7879" s="2" t="s">
        <v>109</v>
      </c>
      <c r="D7879" s="2" t="s">
        <v>74</v>
      </c>
      <c r="E7879" s="5">
        <v>-27981</v>
      </c>
      <c r="F7879" s="3" t="s">
        <v>1521</v>
      </c>
      <c r="G7879" s="3" t="s">
        <v>2395</v>
      </c>
      <c r="H7879" s="2" t="s">
        <v>21</v>
      </c>
      <c r="I7879" s="2" t="s">
        <v>15594</v>
      </c>
      <c r="J7879" s="3" t="str">
        <f>HYPERLINK("https://www.boe.es/gazeta/dias/1823/05/22/pdfs/GES-1823-43.pdf#page=2","Abrir facsímil")</f>
        <v>Abrir facsímil</v>
      </c>
      <c r="K7879" s="3" t="s">
        <v>23</v>
      </c>
    </row>
    <row r="7880" spans="1:11" ht="42" customHeight="1">
      <c r="A7880" s="2" t="s">
        <v>15595</v>
      </c>
      <c r="B7880" s="2" t="s">
        <v>15596</v>
      </c>
      <c r="C7880" s="2" t="s">
        <v>56</v>
      </c>
      <c r="D7880" s="2" t="s">
        <v>57</v>
      </c>
      <c r="E7880" s="5">
        <v>-27995</v>
      </c>
      <c r="F7880" s="3" t="s">
        <v>326</v>
      </c>
      <c r="G7880" s="3" t="s">
        <v>27</v>
      </c>
      <c r="H7880" s="2" t="s">
        <v>21</v>
      </c>
      <c r="I7880" s="2" t="s">
        <v>15597</v>
      </c>
      <c r="J7880" s="3" t="str">
        <f>HYPERLINK("https://www.boe.es/gazeta/dias/1823/05/08/pdfs/GMD-1823-112.pdf#page=2","Abrir facsímil")</f>
        <v>Abrir facsímil</v>
      </c>
      <c r="K7880" s="3" t="s">
        <v>23</v>
      </c>
    </row>
    <row r="7881" spans="1:11" ht="42" customHeight="1">
      <c r="A7881" s="2" t="s">
        <v>15595</v>
      </c>
      <c r="B7881" s="2" t="s">
        <v>15596</v>
      </c>
      <c r="C7881" s="2" t="s">
        <v>17</v>
      </c>
      <c r="D7881" s="2" t="s">
        <v>18</v>
      </c>
      <c r="E7881" s="5">
        <v>-27980</v>
      </c>
      <c r="F7881" s="3" t="s">
        <v>1068</v>
      </c>
      <c r="G7881" s="3" t="s">
        <v>10871</v>
      </c>
      <c r="H7881" s="2" t="s">
        <v>21</v>
      </c>
      <c r="I7881" s="2" t="s">
        <v>15598</v>
      </c>
      <c r="J7881" s="3" t="str">
        <f>HYPERLINK("https://www.boe.es/gazeta/dias/1823/05/23/pdfs/GES-1823-44.pdf#page=2","Abrir facsímil")</f>
        <v>Abrir facsímil</v>
      </c>
      <c r="K7881" s="3" t="s">
        <v>23</v>
      </c>
    </row>
    <row r="7882" spans="1:11" ht="42" customHeight="1">
      <c r="A7882" s="2" t="s">
        <v>15599</v>
      </c>
      <c r="B7882" s="2" t="s">
        <v>15600</v>
      </c>
      <c r="C7882" s="2" t="s">
        <v>17</v>
      </c>
      <c r="D7882" s="2" t="s">
        <v>18</v>
      </c>
      <c r="E7882" s="5">
        <v>-27891</v>
      </c>
      <c r="F7882" s="3" t="s">
        <v>825</v>
      </c>
      <c r="G7882" s="3" t="s">
        <v>20</v>
      </c>
      <c r="H7882" s="2" t="s">
        <v>21</v>
      </c>
      <c r="I7882" s="2" t="s">
        <v>15601</v>
      </c>
      <c r="J7882" s="3" t="str">
        <f>HYPERLINK("https://www.boe.es/gazeta/dias/1823/08/20/pdfs/GES-1823-133.pdf#page=4","Abrir facsímil")</f>
        <v>Abrir facsímil</v>
      </c>
      <c r="K7882" s="3" t="s">
        <v>23</v>
      </c>
    </row>
    <row r="7883" spans="1:11" ht="42" customHeight="1">
      <c r="A7883" s="2" t="s">
        <v>15602</v>
      </c>
      <c r="B7883" s="2" t="s">
        <v>15603</v>
      </c>
      <c r="C7883" s="2" t="s">
        <v>17</v>
      </c>
      <c r="D7883" s="2" t="s">
        <v>18</v>
      </c>
      <c r="E7883" s="5">
        <v>-27988</v>
      </c>
      <c r="F7883" s="3" t="s">
        <v>2022</v>
      </c>
      <c r="G7883" s="3" t="s">
        <v>48</v>
      </c>
      <c r="H7883" s="2" t="s">
        <v>21</v>
      </c>
      <c r="I7883" s="2" t="s">
        <v>15604</v>
      </c>
      <c r="J7883" s="3" t="str">
        <f>HYPERLINK("https://www.boe.es/gazeta/dias/1823/05/15/pdfs/GMD-1823-142.pdf#page=3","Abrir facsímil")</f>
        <v>Abrir facsímil</v>
      </c>
      <c r="K7883" s="3" t="s">
        <v>23</v>
      </c>
    </row>
    <row r="7884" spans="1:11" ht="42" customHeight="1">
      <c r="A7884" s="2" t="s">
        <v>15605</v>
      </c>
      <c r="B7884" s="2" t="s">
        <v>15606</v>
      </c>
      <c r="C7884" s="2" t="s">
        <v>17</v>
      </c>
      <c r="D7884" s="2" t="s">
        <v>18</v>
      </c>
      <c r="E7884" s="5">
        <v>-27953</v>
      </c>
      <c r="F7884" s="3" t="s">
        <v>1783</v>
      </c>
      <c r="G7884" s="3" t="s">
        <v>20</v>
      </c>
      <c r="H7884" s="2" t="s">
        <v>21</v>
      </c>
      <c r="I7884" s="2" t="s">
        <v>15607</v>
      </c>
      <c r="J7884" s="3" t="str">
        <f>HYPERLINK("https://www.boe.es/gazeta/dias/1823/06/19/pdfs/GES-1823-67.pdf#page=4","Abrir facsímil")</f>
        <v>Abrir facsímil</v>
      </c>
      <c r="K7884" s="3" t="s">
        <v>23</v>
      </c>
    </row>
    <row r="7885" spans="1:11" ht="42" customHeight="1">
      <c r="A7885" s="2" t="s">
        <v>15608</v>
      </c>
      <c r="B7885" s="2" t="s">
        <v>15609</v>
      </c>
      <c r="C7885" s="2" t="s">
        <v>84</v>
      </c>
      <c r="D7885" s="2" t="s">
        <v>74</v>
      </c>
      <c r="E7885" s="5">
        <v>-27918</v>
      </c>
      <c r="F7885" s="3" t="s">
        <v>3181</v>
      </c>
      <c r="G7885" s="3" t="s">
        <v>20</v>
      </c>
      <c r="H7885" s="2" t="s">
        <v>21</v>
      </c>
      <c r="I7885" s="2" t="s">
        <v>15610</v>
      </c>
      <c r="J7885" s="3" t="str">
        <f>HYPERLINK("https://www.boe.es/gazeta/dias/1823/07/24/pdfs/GES-1823-105.pdf#page=4","Abrir facsímil")</f>
        <v>Abrir facsímil</v>
      </c>
      <c r="K7885" s="3" t="s">
        <v>23</v>
      </c>
    </row>
    <row r="7886" spans="1:11" ht="42" customHeight="1">
      <c r="A7886" s="2" t="s">
        <v>15611</v>
      </c>
      <c r="B7886" s="2" t="s">
        <v>15612</v>
      </c>
      <c r="C7886" s="2" t="s">
        <v>56</v>
      </c>
      <c r="D7886" s="2" t="s">
        <v>57</v>
      </c>
      <c r="E7886" s="5">
        <v>-28032</v>
      </c>
      <c r="F7886" s="3" t="s">
        <v>668</v>
      </c>
      <c r="G7886" s="3" t="s">
        <v>39</v>
      </c>
      <c r="H7886" s="2" t="s">
        <v>21</v>
      </c>
      <c r="I7886" s="2" t="s">
        <v>15613</v>
      </c>
      <c r="J7886" s="3" t="str">
        <f>HYPERLINK("https://www.boe.es/gazeta/dias/1823/04/01/pdfs/GMD-1823-95.pdf#page=1","Abrir facsímil")</f>
        <v>Abrir facsímil</v>
      </c>
      <c r="K7886" s="3" t="s">
        <v>23</v>
      </c>
    </row>
    <row r="7887" spans="1:11" ht="42" customHeight="1">
      <c r="A7887" s="2" t="s">
        <v>15614</v>
      </c>
      <c r="B7887" s="2" t="s">
        <v>15615</v>
      </c>
      <c r="C7887" s="2" t="s">
        <v>56</v>
      </c>
      <c r="D7887" s="2" t="s">
        <v>57</v>
      </c>
      <c r="E7887" s="5">
        <v>-27879</v>
      </c>
      <c r="F7887" s="3" t="s">
        <v>638</v>
      </c>
      <c r="G7887" s="3" t="s">
        <v>20</v>
      </c>
      <c r="H7887" s="2" t="s">
        <v>21</v>
      </c>
      <c r="I7887" s="2" t="s">
        <v>15616</v>
      </c>
      <c r="J7887" s="3" t="str">
        <f>HYPERLINK("https://www.boe.es/gazeta/dias/1823/09/01/pdfs/GES-1823-145.pdf#page=4","Abrir facsímil")</f>
        <v>Abrir facsímil</v>
      </c>
      <c r="K7887" s="3" t="s">
        <v>23</v>
      </c>
    </row>
    <row r="7888" spans="1:11" ht="42" customHeight="1">
      <c r="A7888" s="2" t="s">
        <v>15617</v>
      </c>
      <c r="B7888" s="2" t="s">
        <v>15618</v>
      </c>
      <c r="C7888" s="2" t="s">
        <v>17</v>
      </c>
      <c r="D7888" s="2" t="s">
        <v>18</v>
      </c>
      <c r="E7888" s="5">
        <v>-28076</v>
      </c>
      <c r="F7888" s="3" t="s">
        <v>1638</v>
      </c>
      <c r="G7888" s="3" t="s">
        <v>34</v>
      </c>
      <c r="H7888" s="2" t="s">
        <v>21</v>
      </c>
      <c r="I7888" s="2" t="s">
        <v>15619</v>
      </c>
      <c r="J7888" s="3" t="str">
        <f>HYPERLINK("https://www.boe.es/gazeta/dias/1823/02/16/pdfs/GMD-1823-50.pdf#page=5","Abrir facsímil")</f>
        <v>Abrir facsímil</v>
      </c>
      <c r="K7888" s="3" t="s">
        <v>23</v>
      </c>
    </row>
    <row r="7889" spans="1:11" ht="42" customHeight="1">
      <c r="A7889" s="2" t="s">
        <v>15620</v>
      </c>
      <c r="B7889" s="2" t="s">
        <v>15621</v>
      </c>
      <c r="C7889" s="2" t="s">
        <v>17</v>
      </c>
      <c r="D7889" s="2" t="s">
        <v>18</v>
      </c>
      <c r="E7889" s="5">
        <v>-27971</v>
      </c>
      <c r="F7889" s="3" t="s">
        <v>4211</v>
      </c>
      <c r="G7889" s="3" t="s">
        <v>20</v>
      </c>
      <c r="H7889" s="2" t="s">
        <v>21</v>
      </c>
      <c r="I7889" s="2" t="s">
        <v>15622</v>
      </c>
      <c r="J7889" s="3" t="str">
        <f>HYPERLINK("https://www.boe.es/gazeta/dias/1823/06/01/pdfs/GES-1823-55.pdf#page=4","Abrir facsímil")</f>
        <v>Abrir facsímil</v>
      </c>
      <c r="K7889" s="3" t="s">
        <v>23</v>
      </c>
    </row>
    <row r="7890" spans="1:11" ht="42" customHeight="1">
      <c r="A7890" s="2" t="s">
        <v>15623</v>
      </c>
      <c r="B7890" s="2" t="s">
        <v>15624</v>
      </c>
      <c r="C7890" s="2" t="s">
        <v>79</v>
      </c>
      <c r="D7890" s="2" t="s">
        <v>74</v>
      </c>
      <c r="E7890" s="5">
        <v>-27917</v>
      </c>
      <c r="F7890" s="3" t="s">
        <v>363</v>
      </c>
      <c r="G7890" s="3" t="s">
        <v>39</v>
      </c>
      <c r="H7890" s="2" t="s">
        <v>21</v>
      </c>
      <c r="I7890" s="2" t="s">
        <v>15625</v>
      </c>
      <c r="J7890" s="3" t="str">
        <f>HYPERLINK("https://www.boe.es/gazeta/dias/1823/07/25/pdfs/GES-1823-106.pdf#page=1","Abrir facsímil")</f>
        <v>Abrir facsímil</v>
      </c>
      <c r="K7890" s="3" t="s">
        <v>23</v>
      </c>
    </row>
    <row r="7891" spans="1:11" ht="42" customHeight="1">
      <c r="A7891" s="2" t="s">
        <v>15626</v>
      </c>
      <c r="B7891" s="2" t="s">
        <v>15626</v>
      </c>
      <c r="C7891" s="2" t="s">
        <v>293</v>
      </c>
      <c r="D7891" s="2" t="s">
        <v>74</v>
      </c>
      <c r="E7891" s="5">
        <v>-27964</v>
      </c>
      <c r="F7891" s="3" t="s">
        <v>58</v>
      </c>
      <c r="G7891" s="3" t="s">
        <v>39</v>
      </c>
      <c r="H7891" s="2" t="s">
        <v>21</v>
      </c>
      <c r="I7891" s="2" t="s">
        <v>15627</v>
      </c>
      <c r="J7891" s="3" t="str">
        <f>HYPERLINK("https://www.boe.es/gazeta/dias/1823/06/08/pdfs/GES-1823-62.pdf#page=1","Abrir facsímil")</f>
        <v>Abrir facsímil</v>
      </c>
      <c r="K7891" s="3" t="s">
        <v>23</v>
      </c>
    </row>
    <row r="7892" spans="1:11" ht="42" customHeight="1">
      <c r="A7892" s="2" t="s">
        <v>15628</v>
      </c>
      <c r="B7892" s="2" t="s">
        <v>15628</v>
      </c>
      <c r="C7892" s="2" t="s">
        <v>17</v>
      </c>
      <c r="D7892" s="2" t="s">
        <v>18</v>
      </c>
      <c r="E7892" s="5">
        <v>-28108</v>
      </c>
      <c r="F7892" s="3" t="s">
        <v>406</v>
      </c>
      <c r="G7892" s="3" t="s">
        <v>27</v>
      </c>
      <c r="H7892" s="2" t="s">
        <v>21</v>
      </c>
      <c r="I7892" s="2" t="s">
        <v>15629</v>
      </c>
      <c r="J7892" s="3" t="str">
        <f>HYPERLINK("https://www.boe.es/gazeta/dias/1823/01/15/pdfs/GMD-1823-15.pdf#page=2","Abrir facsímil")</f>
        <v>Abrir facsímil</v>
      </c>
      <c r="K7892" s="3" t="s">
        <v>23</v>
      </c>
    </row>
    <row r="7893" spans="1:11" ht="42" customHeight="1">
      <c r="A7893" s="2" t="s">
        <v>15628</v>
      </c>
      <c r="B7893" s="2" t="s">
        <v>15628</v>
      </c>
      <c r="C7893" s="2" t="s">
        <v>17</v>
      </c>
      <c r="D7893" s="2" t="s">
        <v>18</v>
      </c>
      <c r="E7893" s="5">
        <v>-28103</v>
      </c>
      <c r="F7893" s="3" t="s">
        <v>285</v>
      </c>
      <c r="G7893" s="3" t="s">
        <v>27</v>
      </c>
      <c r="H7893" s="2" t="s">
        <v>21</v>
      </c>
      <c r="I7893" s="2" t="s">
        <v>15630</v>
      </c>
      <c r="J7893" s="3" t="str">
        <f>HYPERLINK("https://www.boe.es/gazeta/dias/1823/01/20/pdfs/GMD-1823-20.pdf#page=2","Abrir facsímil")</f>
        <v>Abrir facsímil</v>
      </c>
      <c r="K7893" s="3" t="s">
        <v>23</v>
      </c>
    </row>
    <row r="7894" spans="1:11" ht="42" customHeight="1">
      <c r="A7894" s="2" t="s">
        <v>15628</v>
      </c>
      <c r="B7894" s="2" t="s">
        <v>15628</v>
      </c>
      <c r="C7894" s="2" t="s">
        <v>79</v>
      </c>
      <c r="D7894" s="2" t="s">
        <v>74</v>
      </c>
      <c r="E7894" s="5">
        <v>-28087</v>
      </c>
      <c r="F7894" s="3" t="s">
        <v>3125</v>
      </c>
      <c r="G7894" s="3" t="s">
        <v>20</v>
      </c>
      <c r="H7894" s="2" t="s">
        <v>21</v>
      </c>
      <c r="I7894" s="2" t="s">
        <v>15631</v>
      </c>
      <c r="J7894" s="3" t="str">
        <f>HYPERLINK("https://www.boe.es/gazeta/dias/1823/02/05/pdfs/GMD-1823-38.pdf#page=4","Abrir facsímil")</f>
        <v>Abrir facsímil</v>
      </c>
      <c r="K7894" s="3" t="s">
        <v>23</v>
      </c>
    </row>
    <row r="7895" spans="1:11" ht="42" customHeight="1">
      <c r="A7895" s="2" t="s">
        <v>15628</v>
      </c>
      <c r="B7895" s="2" t="s">
        <v>15628</v>
      </c>
      <c r="C7895" s="2" t="s">
        <v>17</v>
      </c>
      <c r="D7895" s="2" t="s">
        <v>18</v>
      </c>
      <c r="E7895" s="5">
        <v>-28080</v>
      </c>
      <c r="F7895" s="3" t="s">
        <v>1010</v>
      </c>
      <c r="G7895" s="3" t="s">
        <v>48</v>
      </c>
      <c r="H7895" s="2" t="s">
        <v>21</v>
      </c>
      <c r="I7895" s="2" t="s">
        <v>15632</v>
      </c>
      <c r="J7895" s="3" t="str">
        <f>HYPERLINK("https://www.boe.es/gazeta/dias/1823/02/12/pdfs/GMD-1823-46.pdf#page=3","Abrir facsímil")</f>
        <v>Abrir facsímil</v>
      </c>
      <c r="K7895" s="3" t="s">
        <v>23</v>
      </c>
    </row>
    <row r="7896" spans="1:11" ht="42" customHeight="1">
      <c r="A7896" s="2" t="s">
        <v>15628</v>
      </c>
      <c r="B7896" s="2" t="s">
        <v>15628</v>
      </c>
      <c r="C7896" s="2" t="s">
        <v>73</v>
      </c>
      <c r="D7896" s="2" t="s">
        <v>74</v>
      </c>
      <c r="E7896" s="5">
        <v>-27970</v>
      </c>
      <c r="F7896" s="3" t="s">
        <v>1030</v>
      </c>
      <c r="G7896" s="3" t="s">
        <v>39</v>
      </c>
      <c r="H7896" s="2" t="s">
        <v>21</v>
      </c>
      <c r="I7896" s="2" t="s">
        <v>15633</v>
      </c>
      <c r="J7896" s="3" t="str">
        <f>HYPERLINK("https://www.boe.es/gazeta/dias/1823/06/02/pdfs/GES-1823-56.pdf#page=1","Abrir facsímil")</f>
        <v>Abrir facsímil</v>
      </c>
      <c r="K7896" s="3" t="s">
        <v>23</v>
      </c>
    </row>
    <row r="7897" spans="1:11" ht="42" customHeight="1">
      <c r="A7897" s="2" t="s">
        <v>15628</v>
      </c>
      <c r="B7897" s="2" t="s">
        <v>15628</v>
      </c>
      <c r="C7897" s="2" t="s">
        <v>109</v>
      </c>
      <c r="D7897" s="2" t="s">
        <v>74</v>
      </c>
      <c r="E7897" s="5">
        <v>-27966</v>
      </c>
      <c r="F7897" s="3" t="s">
        <v>675</v>
      </c>
      <c r="G7897" s="3" t="s">
        <v>48</v>
      </c>
      <c r="H7897" s="2" t="s">
        <v>21</v>
      </c>
      <c r="I7897" s="2" t="s">
        <v>15634</v>
      </c>
      <c r="J7897" s="3" t="str">
        <f>HYPERLINK("https://www.boe.es/gazeta/dias/1823/06/06/pdfs/GES-1823-60.pdf#page=3","Abrir facsímil")</f>
        <v>Abrir facsímil</v>
      </c>
      <c r="K7897" s="3" t="s">
        <v>23</v>
      </c>
    </row>
    <row r="7898" spans="1:11" ht="42" customHeight="1">
      <c r="A7898" s="2" t="s">
        <v>15635</v>
      </c>
      <c r="B7898" s="2" t="s">
        <v>15635</v>
      </c>
      <c r="C7898" s="2" t="s">
        <v>56</v>
      </c>
      <c r="D7898" s="2" t="s">
        <v>57</v>
      </c>
      <c r="E7898" s="5">
        <v>-27914</v>
      </c>
      <c r="F7898" s="3" t="s">
        <v>776</v>
      </c>
      <c r="G7898" s="3" t="s">
        <v>27</v>
      </c>
      <c r="H7898" s="2" t="s">
        <v>21</v>
      </c>
      <c r="I7898" s="2" t="s">
        <v>15636</v>
      </c>
      <c r="J7898" s="3" t="str">
        <f>HYPERLINK("https://www.boe.es/gazeta/dias/1823/07/28/pdfs/GES-1823-109.pdf#page=2","Abrir facsímil")</f>
        <v>Abrir facsímil</v>
      </c>
      <c r="K7898" s="3" t="s">
        <v>23</v>
      </c>
    </row>
    <row r="7899" spans="1:11" ht="42" customHeight="1">
      <c r="A7899" s="2" t="s">
        <v>15637</v>
      </c>
      <c r="B7899" s="2" t="s">
        <v>15637</v>
      </c>
      <c r="C7899" s="2" t="s">
        <v>56</v>
      </c>
      <c r="D7899" s="2" t="s">
        <v>57</v>
      </c>
      <c r="E7899" s="5">
        <v>-27969</v>
      </c>
      <c r="F7899" s="3" t="s">
        <v>855</v>
      </c>
      <c r="G7899" s="3" t="s">
        <v>20</v>
      </c>
      <c r="H7899" s="2" t="s">
        <v>21</v>
      </c>
      <c r="I7899" s="2" t="s">
        <v>15638</v>
      </c>
      <c r="J7899" s="3" t="str">
        <f>HYPERLINK("https://www.boe.es/gazeta/dias/1823/06/03/pdfs/GES-1823-57.pdf#page=4","Abrir facsímil")</f>
        <v>Abrir facsímil</v>
      </c>
      <c r="K7899" s="3" t="s">
        <v>23</v>
      </c>
    </row>
    <row r="7900" spans="1:11" ht="42" customHeight="1">
      <c r="A7900" s="2" t="s">
        <v>15639</v>
      </c>
      <c r="B7900" s="2" t="s">
        <v>15640</v>
      </c>
      <c r="C7900" s="2" t="s">
        <v>79</v>
      </c>
      <c r="D7900" s="2" t="s">
        <v>74</v>
      </c>
      <c r="E7900" s="5">
        <v>-27769</v>
      </c>
      <c r="F7900" s="3" t="s">
        <v>2743</v>
      </c>
      <c r="G7900" s="3" t="s">
        <v>20</v>
      </c>
      <c r="H7900" s="2" t="s">
        <v>21</v>
      </c>
      <c r="I7900" s="2" t="s">
        <v>15641</v>
      </c>
      <c r="J7900" s="3" t="str">
        <f>HYPERLINK("https://www.boe.es/gazeta/dias/1823/12/20/pdfs/GMD-1823-1273.pdf#page=4","Abrir facsímil")</f>
        <v>Abrir facsímil</v>
      </c>
      <c r="K7900" s="3" t="s">
        <v>23</v>
      </c>
    </row>
    <row r="7901" spans="1:11" ht="42" customHeight="1">
      <c r="A7901" s="2" t="s">
        <v>15642</v>
      </c>
      <c r="B7901" s="2" t="s">
        <v>15643</v>
      </c>
      <c r="C7901" s="2" t="s">
        <v>17</v>
      </c>
      <c r="D7901" s="2" t="s">
        <v>18</v>
      </c>
      <c r="E7901" s="5">
        <v>-28115</v>
      </c>
      <c r="F7901" s="3" t="s">
        <v>579</v>
      </c>
      <c r="G7901" s="3" t="s">
        <v>1458</v>
      </c>
      <c r="H7901" s="2" t="s">
        <v>21</v>
      </c>
      <c r="I7901" s="2" t="s">
        <v>15644</v>
      </c>
      <c r="J7901" s="3" t="str">
        <f>HYPERLINK("https://www.boe.es/gazeta/dias/1823/01/08/pdfs/GMD-1823-8.pdf#page=4","Abrir facsímil")</f>
        <v>Abrir facsímil</v>
      </c>
      <c r="K7901" s="3" t="s">
        <v>23</v>
      </c>
    </row>
    <row r="7902" spans="1:11" ht="42" customHeight="1">
      <c r="A7902" s="2" t="s">
        <v>15645</v>
      </c>
      <c r="B7902" s="2" t="s">
        <v>15645</v>
      </c>
      <c r="C7902" s="2" t="s">
        <v>109</v>
      </c>
      <c r="D7902" s="2" t="s">
        <v>74</v>
      </c>
      <c r="E7902" s="5">
        <v>-28119</v>
      </c>
      <c r="F7902" s="3" t="s">
        <v>545</v>
      </c>
      <c r="G7902" s="3" t="s">
        <v>39</v>
      </c>
      <c r="H7902" s="2" t="s">
        <v>21</v>
      </c>
      <c r="I7902" s="2" t="s">
        <v>15646</v>
      </c>
      <c r="J7902" s="3" t="str">
        <f>HYPERLINK("https://www.boe.es/gazeta/dias/1823/01/04/pdfs/GMD-1823-4.pdf#page=1","Abrir facsímil")</f>
        <v>Abrir facsímil</v>
      </c>
      <c r="K7902" s="3" t="s">
        <v>23</v>
      </c>
    </row>
    <row r="7903" spans="1:11" ht="42" customHeight="1">
      <c r="A7903" s="2" t="s">
        <v>15647</v>
      </c>
      <c r="B7903" s="2" t="s">
        <v>15648</v>
      </c>
      <c r="C7903" s="2" t="s">
        <v>56</v>
      </c>
      <c r="D7903" s="2" t="s">
        <v>57</v>
      </c>
      <c r="E7903" s="5">
        <v>-27965</v>
      </c>
      <c r="F7903" s="3" t="s">
        <v>208</v>
      </c>
      <c r="G7903" s="3" t="s">
        <v>39</v>
      </c>
      <c r="H7903" s="2" t="s">
        <v>21</v>
      </c>
      <c r="I7903" s="2" t="s">
        <v>15649</v>
      </c>
      <c r="J7903" s="3" t="str">
        <f>HYPERLINK("https://www.boe.es/gazeta/dias/1823/06/07/pdfs/GES-1823-61.pdf#page=1","Abrir facsímil")</f>
        <v>Abrir facsímil</v>
      </c>
      <c r="K7903" s="3" t="s">
        <v>23</v>
      </c>
    </row>
    <row r="7904" spans="1:11" ht="42" customHeight="1">
      <c r="A7904" s="2" t="s">
        <v>15650</v>
      </c>
      <c r="B7904" s="2" t="s">
        <v>15650</v>
      </c>
      <c r="C7904" s="2" t="s">
        <v>17</v>
      </c>
      <c r="D7904" s="2" t="s">
        <v>18</v>
      </c>
      <c r="E7904" s="5">
        <v>-28106</v>
      </c>
      <c r="F7904" s="3" t="s">
        <v>280</v>
      </c>
      <c r="G7904" s="3" t="s">
        <v>48</v>
      </c>
      <c r="H7904" s="2" t="s">
        <v>21</v>
      </c>
      <c r="I7904" s="2" t="s">
        <v>15651</v>
      </c>
      <c r="J7904" s="3" t="str">
        <f>HYPERLINK("https://www.boe.es/gazeta/dias/1823/01/17/pdfs/GMD-1823-17.pdf#page=3","Abrir facsímil")</f>
        <v>Abrir facsímil</v>
      </c>
      <c r="K7904" s="3" t="s">
        <v>23</v>
      </c>
    </row>
    <row r="7905" spans="1:11" ht="42" customHeight="1">
      <c r="A7905" s="2" t="s">
        <v>15650</v>
      </c>
      <c r="B7905" s="2" t="s">
        <v>15650</v>
      </c>
      <c r="C7905" s="2" t="s">
        <v>73</v>
      </c>
      <c r="D7905" s="2" t="s">
        <v>74</v>
      </c>
      <c r="E7905" s="5">
        <v>-28105</v>
      </c>
      <c r="F7905" s="3" t="s">
        <v>502</v>
      </c>
      <c r="G7905" s="3" t="s">
        <v>48</v>
      </c>
      <c r="H7905" s="2" t="s">
        <v>21</v>
      </c>
      <c r="I7905" s="2" t="s">
        <v>15652</v>
      </c>
      <c r="J7905" s="3" t="str">
        <f>HYPERLINK("https://www.boe.es/gazeta/dias/1823/01/18/pdfs/GMD-1823-18.pdf#page=3","Abrir facsímil")</f>
        <v>Abrir facsímil</v>
      </c>
      <c r="K7905" s="3" t="s">
        <v>23</v>
      </c>
    </row>
    <row r="7906" spans="1:11" ht="42" customHeight="1">
      <c r="A7906" s="2" t="s">
        <v>15653</v>
      </c>
      <c r="B7906" s="2" t="s">
        <v>15653</v>
      </c>
      <c r="C7906" s="2" t="s">
        <v>17</v>
      </c>
      <c r="D7906" s="2" t="s">
        <v>18</v>
      </c>
      <c r="E7906" s="5">
        <v>-28101</v>
      </c>
      <c r="F7906" s="3" t="s">
        <v>1041</v>
      </c>
      <c r="G7906" s="3" t="s">
        <v>48</v>
      </c>
      <c r="H7906" s="2" t="s">
        <v>21</v>
      </c>
      <c r="I7906" s="2" t="s">
        <v>15654</v>
      </c>
      <c r="J7906" s="3" t="str">
        <f>HYPERLINK("https://www.boe.es/gazeta/dias/1823/01/22/pdfs/GMD-1823-23.pdf#page=3","Abrir facsímil")</f>
        <v>Abrir facsímil</v>
      </c>
      <c r="K7906" s="3" t="s">
        <v>23</v>
      </c>
    </row>
    <row r="7907" spans="1:11" ht="42" customHeight="1">
      <c r="A7907" s="2" t="s">
        <v>15653</v>
      </c>
      <c r="B7907" s="2" t="s">
        <v>15653</v>
      </c>
      <c r="C7907" s="2" t="s">
        <v>79</v>
      </c>
      <c r="D7907" s="2" t="s">
        <v>74</v>
      </c>
      <c r="E7907" s="5">
        <v>-28096</v>
      </c>
      <c r="F7907" s="3" t="s">
        <v>534</v>
      </c>
      <c r="G7907" s="3" t="s">
        <v>27</v>
      </c>
      <c r="H7907" s="2" t="s">
        <v>21</v>
      </c>
      <c r="I7907" s="2" t="s">
        <v>15655</v>
      </c>
      <c r="J7907" s="3" t="str">
        <f>HYPERLINK("https://www.boe.es/gazeta/dias/1823/01/27/pdfs/GMD-1823-28.pdf#page=2","Abrir facsímil")</f>
        <v>Abrir facsímil</v>
      </c>
      <c r="K7907" s="3" t="s">
        <v>23</v>
      </c>
    </row>
    <row r="7908" spans="1:11" ht="42" customHeight="1">
      <c r="A7908" s="2" t="s">
        <v>15650</v>
      </c>
      <c r="B7908" s="2" t="s">
        <v>15650</v>
      </c>
      <c r="C7908" s="2" t="s">
        <v>56</v>
      </c>
      <c r="D7908" s="2" t="s">
        <v>57</v>
      </c>
      <c r="E7908" s="5">
        <v>-28094</v>
      </c>
      <c r="F7908" s="3" t="s">
        <v>93</v>
      </c>
      <c r="G7908" s="3" t="s">
        <v>27</v>
      </c>
      <c r="H7908" s="2" t="s">
        <v>21</v>
      </c>
      <c r="I7908" s="2" t="s">
        <v>15656</v>
      </c>
      <c r="J7908" s="3" t="str">
        <f>HYPERLINK("https://www.boe.es/gazeta/dias/1823/01/29/pdfs/GMD-1823-30.pdf#page=2","Abrir facsímil")</f>
        <v>Abrir facsímil</v>
      </c>
      <c r="K7908" s="3" t="s">
        <v>23</v>
      </c>
    </row>
    <row r="7909" spans="1:11" ht="42" customHeight="1">
      <c r="A7909" s="2" t="s">
        <v>15653</v>
      </c>
      <c r="B7909" s="2" t="s">
        <v>15653</v>
      </c>
      <c r="C7909" s="2" t="s">
        <v>56</v>
      </c>
      <c r="D7909" s="2" t="s">
        <v>57</v>
      </c>
      <c r="E7909" s="5">
        <v>-28083</v>
      </c>
      <c r="F7909" s="3" t="s">
        <v>291</v>
      </c>
      <c r="G7909" s="3" t="s">
        <v>39</v>
      </c>
      <c r="H7909" s="2" t="s">
        <v>21</v>
      </c>
      <c r="I7909" s="2" t="s">
        <v>15657</v>
      </c>
      <c r="J7909" s="3" t="str">
        <f>HYPERLINK("https://www.boe.es/gazeta/dias/1823/02/09/pdfs/GMD-1823-43.pdf#page=1","Abrir facsímil")</f>
        <v>Abrir facsímil</v>
      </c>
      <c r="K7909" s="3" t="s">
        <v>23</v>
      </c>
    </row>
    <row r="7910" spans="1:11" ht="42" customHeight="1">
      <c r="A7910" s="2" t="s">
        <v>15653</v>
      </c>
      <c r="B7910" s="2" t="s">
        <v>15653</v>
      </c>
      <c r="C7910" s="2" t="s">
        <v>56</v>
      </c>
      <c r="D7910" s="2" t="s">
        <v>57</v>
      </c>
      <c r="E7910" s="5">
        <v>-28073</v>
      </c>
      <c r="F7910" s="3" t="s">
        <v>204</v>
      </c>
      <c r="G7910" s="3" t="s">
        <v>27</v>
      </c>
      <c r="H7910" s="2" t="s">
        <v>21</v>
      </c>
      <c r="I7910" s="2" t="s">
        <v>15658</v>
      </c>
      <c r="J7910" s="3" t="str">
        <f>HYPERLINK("https://www.boe.es/gazeta/dias/1823/02/19/pdfs/GMD-1823-53.pdf#page=2","Abrir facsímil")</f>
        <v>Abrir facsímil</v>
      </c>
      <c r="K7910" s="3" t="s">
        <v>23</v>
      </c>
    </row>
    <row r="7911" spans="1:11" ht="42" customHeight="1">
      <c r="A7911" s="2" t="s">
        <v>15653</v>
      </c>
      <c r="B7911" s="2" t="s">
        <v>15653</v>
      </c>
      <c r="C7911" s="2" t="s">
        <v>17</v>
      </c>
      <c r="D7911" s="2" t="s">
        <v>18</v>
      </c>
      <c r="E7911" s="5">
        <v>-28008</v>
      </c>
      <c r="F7911" s="3" t="s">
        <v>309</v>
      </c>
      <c r="G7911" s="3" t="s">
        <v>48</v>
      </c>
      <c r="H7911" s="2" t="s">
        <v>21</v>
      </c>
      <c r="I7911" s="2" t="s">
        <v>15659</v>
      </c>
      <c r="J7911" s="3" t="str">
        <f>HYPERLINK("https://www.boe.es/gazeta/dias/1823/04/25/pdfs/GES-1823-15.pdf#page=3","Abrir facsímil")</f>
        <v>Abrir facsímil</v>
      </c>
      <c r="K7911" s="3" t="s">
        <v>23</v>
      </c>
    </row>
    <row r="7912" spans="1:11" ht="42" customHeight="1">
      <c r="A7912" s="2" t="s">
        <v>15653</v>
      </c>
      <c r="B7912" s="2" t="s">
        <v>15653</v>
      </c>
      <c r="C7912" s="2" t="s">
        <v>73</v>
      </c>
      <c r="D7912" s="2" t="s">
        <v>74</v>
      </c>
      <c r="E7912" s="5">
        <v>-27985</v>
      </c>
      <c r="F7912" s="3" t="s">
        <v>951</v>
      </c>
      <c r="G7912" s="3" t="s">
        <v>39</v>
      </c>
      <c r="H7912" s="2" t="s">
        <v>21</v>
      </c>
      <c r="I7912" s="2" t="s">
        <v>15660</v>
      </c>
      <c r="J7912" s="3" t="str">
        <f>HYPERLINK("https://www.boe.es/gazeta/dias/1823/05/18/pdfs/GES-1823-38.pdf#page=1","Abrir facsímil")</f>
        <v>Abrir facsímil</v>
      </c>
      <c r="K7912" s="3" t="s">
        <v>23</v>
      </c>
    </row>
    <row r="7913" spans="1:11" ht="42" customHeight="1">
      <c r="A7913" s="2" t="s">
        <v>15653</v>
      </c>
      <c r="B7913" s="2" t="s">
        <v>15653</v>
      </c>
      <c r="C7913" s="2" t="s">
        <v>109</v>
      </c>
      <c r="D7913" s="2" t="s">
        <v>74</v>
      </c>
      <c r="E7913" s="5">
        <v>-27970</v>
      </c>
      <c r="F7913" s="3" t="s">
        <v>1030</v>
      </c>
      <c r="G7913" s="3" t="s">
        <v>39</v>
      </c>
      <c r="H7913" s="2" t="s">
        <v>21</v>
      </c>
      <c r="I7913" s="2" t="s">
        <v>15661</v>
      </c>
      <c r="J7913" s="3" t="str">
        <f>HYPERLINK("https://www.boe.es/gazeta/dias/1823/06/02/pdfs/GES-1823-56.pdf#page=1","Abrir facsímil")</f>
        <v>Abrir facsímil</v>
      </c>
      <c r="K7913" s="3" t="s">
        <v>23</v>
      </c>
    </row>
    <row r="7914" spans="1:11" ht="42" customHeight="1">
      <c r="A7914" s="2" t="s">
        <v>15653</v>
      </c>
      <c r="B7914" s="2" t="s">
        <v>15653</v>
      </c>
      <c r="C7914" s="2" t="s">
        <v>79</v>
      </c>
      <c r="D7914" s="2" t="s">
        <v>74</v>
      </c>
      <c r="E7914" s="5">
        <v>-27970</v>
      </c>
      <c r="F7914" s="3" t="s">
        <v>1030</v>
      </c>
      <c r="G7914" s="3" t="s">
        <v>27</v>
      </c>
      <c r="H7914" s="2" t="s">
        <v>21</v>
      </c>
      <c r="I7914" s="2" t="s">
        <v>15662</v>
      </c>
      <c r="J7914" s="3" t="str">
        <f>HYPERLINK("https://www.boe.es/gazeta/dias/1823/06/02/pdfs/GES-1823-56.pdf#page=2","Abrir facsímil")</f>
        <v>Abrir facsímil</v>
      </c>
      <c r="K7914" s="3" t="s">
        <v>23</v>
      </c>
    </row>
    <row r="7915" spans="1:11" ht="42" customHeight="1">
      <c r="A7915" s="2" t="s">
        <v>15663</v>
      </c>
      <c r="B7915" s="2" t="s">
        <v>15664</v>
      </c>
      <c r="C7915" s="2" t="s">
        <v>73</v>
      </c>
      <c r="D7915" s="2" t="s">
        <v>74</v>
      </c>
      <c r="E7915" s="5">
        <v>-28042</v>
      </c>
      <c r="F7915" s="3" t="s">
        <v>1218</v>
      </c>
      <c r="G7915" s="3" t="s">
        <v>20</v>
      </c>
      <c r="H7915" s="2" t="s">
        <v>21</v>
      </c>
      <c r="I7915" s="2" t="s">
        <v>15665</v>
      </c>
      <c r="J7915" s="3" t="str">
        <f>HYPERLINK("https://www.boe.es/gazeta/dias/1823/03/22/pdfs/GMD-1823-85.pdf#page=4","Abrir facsímil")</f>
        <v>Abrir facsímil</v>
      </c>
      <c r="K7915" s="3" t="s">
        <v>23</v>
      </c>
    </row>
    <row r="7916" spans="1:11" ht="42" customHeight="1">
      <c r="A7916" s="2" t="s">
        <v>15666</v>
      </c>
      <c r="B7916" s="2" t="s">
        <v>15666</v>
      </c>
      <c r="C7916" s="2" t="s">
        <v>17</v>
      </c>
      <c r="D7916" s="2" t="s">
        <v>18</v>
      </c>
      <c r="E7916" s="5">
        <v>-28101</v>
      </c>
      <c r="F7916" s="3" t="s">
        <v>1041</v>
      </c>
      <c r="G7916" s="3" t="s">
        <v>39</v>
      </c>
      <c r="H7916" s="2" t="s">
        <v>21</v>
      </c>
      <c r="I7916" s="2" t="s">
        <v>15667</v>
      </c>
      <c r="J7916" s="3" t="str">
        <f>HYPERLINK("https://www.boe.es/gazeta/dias/1823/01/22/pdfs/GMD-1823-23.pdf#page=1","Abrir facsímil")</f>
        <v>Abrir facsímil</v>
      </c>
      <c r="K7916" s="3" t="s">
        <v>23</v>
      </c>
    </row>
    <row r="7917" spans="1:11" ht="42" customHeight="1">
      <c r="A7917" s="2" t="s">
        <v>15668</v>
      </c>
      <c r="B7917" s="2" t="s">
        <v>15669</v>
      </c>
      <c r="C7917" s="2" t="s">
        <v>109</v>
      </c>
      <c r="D7917" s="2" t="s">
        <v>74</v>
      </c>
      <c r="E7917" s="5">
        <v>-28122</v>
      </c>
      <c r="F7917" s="3" t="s">
        <v>269</v>
      </c>
      <c r="G7917" s="3" t="s">
        <v>20</v>
      </c>
      <c r="H7917" s="2" t="s">
        <v>21</v>
      </c>
      <c r="I7917" s="2" t="s">
        <v>15670</v>
      </c>
      <c r="J7917" s="3" t="str">
        <f>HYPERLINK("https://www.boe.es/gazeta/dias/1823/01/01/pdfs/GMD-1823-1.pdf#page=4","Abrir facsímil")</f>
        <v>Abrir facsímil</v>
      </c>
      <c r="K7917" s="3" t="s">
        <v>23</v>
      </c>
    </row>
    <row r="7918" spans="1:11" ht="42" customHeight="1">
      <c r="A7918" s="2" t="s">
        <v>15671</v>
      </c>
      <c r="B7918" s="2" t="s">
        <v>15672</v>
      </c>
      <c r="C7918" s="2" t="s">
        <v>79</v>
      </c>
      <c r="D7918" s="2" t="s">
        <v>74</v>
      </c>
      <c r="E7918" s="5">
        <v>-27905</v>
      </c>
      <c r="F7918" s="3" t="s">
        <v>236</v>
      </c>
      <c r="G7918" s="3" t="s">
        <v>237</v>
      </c>
      <c r="H7918" s="2" t="s">
        <v>21</v>
      </c>
      <c r="I7918" s="2" t="s">
        <v>15673</v>
      </c>
      <c r="J7918" s="3" t="str">
        <f>HYPERLINK("https://www.boe.es/gazeta/dias/1823/08/06/pdfs/GES-1823-119.pdf#page=4","Abrir facsímil")</f>
        <v>Abrir facsímil</v>
      </c>
      <c r="K7918" s="3" t="s">
        <v>23</v>
      </c>
    </row>
    <row r="7919" spans="1:11" ht="42" customHeight="1">
      <c r="A7919" s="2" t="s">
        <v>15674</v>
      </c>
      <c r="B7919" s="2" t="s">
        <v>15675</v>
      </c>
      <c r="C7919" s="2" t="s">
        <v>17</v>
      </c>
      <c r="D7919" s="2" t="s">
        <v>18</v>
      </c>
      <c r="E7919" s="5">
        <v>-27834</v>
      </c>
      <c r="F7919" s="3" t="s">
        <v>188</v>
      </c>
      <c r="G7919" s="3" t="s">
        <v>20</v>
      </c>
      <c r="H7919" s="2" t="s">
        <v>21</v>
      </c>
      <c r="I7919" s="2" t="s">
        <v>15676</v>
      </c>
      <c r="J7919" s="3" t="str">
        <f>HYPERLINK("https://www.boe.es/gazeta/dias/1823/10/16/pdfs/GMD-1823-983.pdf#page=4","Abrir facsímil")</f>
        <v>Abrir facsímil</v>
      </c>
      <c r="K7919" s="3" t="s">
        <v>23</v>
      </c>
    </row>
    <row r="7920" spans="1:11" ht="42" customHeight="1">
      <c r="A7920" s="2" t="s">
        <v>15677</v>
      </c>
      <c r="B7920" s="2" t="s">
        <v>15677</v>
      </c>
      <c r="C7920" s="2" t="s">
        <v>56</v>
      </c>
      <c r="D7920" s="2" t="s">
        <v>57</v>
      </c>
      <c r="E7920" s="5">
        <v>-28122</v>
      </c>
      <c r="F7920" s="3" t="s">
        <v>269</v>
      </c>
      <c r="G7920" s="3" t="s">
        <v>27</v>
      </c>
      <c r="H7920" s="2" t="s">
        <v>21</v>
      </c>
      <c r="I7920" s="2" t="s">
        <v>15678</v>
      </c>
      <c r="J7920" s="3" t="str">
        <f>HYPERLINK("https://www.boe.es/gazeta/dias/1823/01/01/pdfs/GMD-1823-1.pdf#page=2","Abrir facsímil")</f>
        <v>Abrir facsímil</v>
      </c>
      <c r="K7920" s="3" t="s">
        <v>23</v>
      </c>
    </row>
    <row r="7921" spans="1:11" ht="42" customHeight="1">
      <c r="A7921" s="2" t="s">
        <v>15677</v>
      </c>
      <c r="B7921" s="2" t="s">
        <v>15677</v>
      </c>
      <c r="C7921" s="2" t="s">
        <v>79</v>
      </c>
      <c r="D7921" s="2" t="s">
        <v>74</v>
      </c>
      <c r="E7921" s="5">
        <v>-28107</v>
      </c>
      <c r="F7921" s="3" t="s">
        <v>278</v>
      </c>
      <c r="G7921" s="3" t="s">
        <v>27</v>
      </c>
      <c r="H7921" s="2" t="s">
        <v>21</v>
      </c>
      <c r="I7921" s="2" t="s">
        <v>15679</v>
      </c>
      <c r="J7921" s="3" t="str">
        <f>HYPERLINK("https://www.boe.es/gazeta/dias/1823/01/16/pdfs/GMD-1823-16.pdf#page=2","Abrir facsímil")</f>
        <v>Abrir facsímil</v>
      </c>
      <c r="K7921" s="3" t="s">
        <v>23</v>
      </c>
    </row>
    <row r="7922" spans="1:11" ht="42" customHeight="1">
      <c r="A7922" s="2" t="s">
        <v>15677</v>
      </c>
      <c r="B7922" s="2" t="s">
        <v>15677</v>
      </c>
      <c r="C7922" s="2" t="s">
        <v>109</v>
      </c>
      <c r="D7922" s="2" t="s">
        <v>74</v>
      </c>
      <c r="E7922" s="5">
        <v>-28007</v>
      </c>
      <c r="F7922" s="3" t="s">
        <v>311</v>
      </c>
      <c r="G7922" s="3" t="s">
        <v>48</v>
      </c>
      <c r="H7922" s="2" t="s">
        <v>21</v>
      </c>
      <c r="I7922" s="2" t="s">
        <v>15680</v>
      </c>
      <c r="J7922" s="3" t="str">
        <f>HYPERLINK("https://www.boe.es/gazeta/dias/1823/04/26/pdfs/GES-1823-16.pdf#page=3","Abrir facsímil")</f>
        <v>Abrir facsímil</v>
      </c>
      <c r="K7922" s="3" t="s">
        <v>23</v>
      </c>
    </row>
    <row r="7923" spans="1:11" ht="42" customHeight="1">
      <c r="A7923" s="2" t="s">
        <v>15677</v>
      </c>
      <c r="B7923" s="2" t="s">
        <v>15677</v>
      </c>
      <c r="C7923" s="2" t="s">
        <v>17</v>
      </c>
      <c r="D7923" s="2" t="s">
        <v>18</v>
      </c>
      <c r="E7923" s="5">
        <v>-27996</v>
      </c>
      <c r="F7923" s="3" t="s">
        <v>695</v>
      </c>
      <c r="G7923" s="3" t="s">
        <v>39</v>
      </c>
      <c r="H7923" s="2" t="s">
        <v>21</v>
      </c>
      <c r="I7923" s="2" t="s">
        <v>15681</v>
      </c>
      <c r="J7923" s="3" t="str">
        <f>HYPERLINK("https://www.boe.es/gazeta/dias/1823/05/07/pdfs/GES-1823-27.pdf#page=1","Abrir facsímil")</f>
        <v>Abrir facsímil</v>
      </c>
      <c r="K7923" s="3" t="s">
        <v>23</v>
      </c>
    </row>
    <row r="7924" spans="1:11" ht="42" customHeight="1">
      <c r="A7924" s="2" t="s">
        <v>15677</v>
      </c>
      <c r="B7924" s="2" t="s">
        <v>15677</v>
      </c>
      <c r="C7924" s="2" t="s">
        <v>293</v>
      </c>
      <c r="D7924" s="2" t="s">
        <v>74</v>
      </c>
      <c r="E7924" s="5">
        <v>-27994</v>
      </c>
      <c r="F7924" s="3" t="s">
        <v>714</v>
      </c>
      <c r="G7924" s="3" t="s">
        <v>34</v>
      </c>
      <c r="H7924" s="2" t="s">
        <v>21</v>
      </c>
      <c r="I7924" s="2" t="s">
        <v>15682</v>
      </c>
      <c r="J7924" s="3" t="str">
        <f>HYPERLINK("https://www.boe.es/gazeta/dias/1823/05/09/pdfs/GES-1823-29.pdf#page=5","Abrir facsímil")</f>
        <v>Abrir facsímil</v>
      </c>
      <c r="K7924" s="3" t="s">
        <v>23</v>
      </c>
    </row>
    <row r="7925" spans="1:11" ht="42" customHeight="1">
      <c r="A7925" s="2" t="s">
        <v>15677</v>
      </c>
      <c r="B7925" s="2" t="s">
        <v>15677</v>
      </c>
      <c r="C7925" s="2" t="s">
        <v>56</v>
      </c>
      <c r="D7925" s="2" t="s">
        <v>57</v>
      </c>
      <c r="E7925" s="5">
        <v>-27940</v>
      </c>
      <c r="F7925" s="3" t="s">
        <v>348</v>
      </c>
      <c r="G7925" s="3" t="s">
        <v>27</v>
      </c>
      <c r="H7925" s="2" t="s">
        <v>21</v>
      </c>
      <c r="I7925" s="2" t="s">
        <v>15683</v>
      </c>
      <c r="J7925" s="3" t="str">
        <f>HYPERLINK("https://www.boe.es/gazeta/dias/1823/07/02/pdfs/GES-1823-82.pdf#page=2","Abrir facsímil")</f>
        <v>Abrir facsímil</v>
      </c>
      <c r="K7925" s="3" t="s">
        <v>23</v>
      </c>
    </row>
    <row r="7926" spans="1:11" ht="42" customHeight="1">
      <c r="A7926" s="2" t="s">
        <v>15684</v>
      </c>
      <c r="B7926" s="2" t="s">
        <v>15685</v>
      </c>
      <c r="C7926" s="2" t="s">
        <v>17</v>
      </c>
      <c r="D7926" s="2" t="s">
        <v>18</v>
      </c>
      <c r="E7926" s="5">
        <v>-27764</v>
      </c>
      <c r="F7926" s="3" t="s">
        <v>3370</v>
      </c>
      <c r="G7926" s="3" t="s">
        <v>20</v>
      </c>
      <c r="H7926" s="2" t="s">
        <v>28</v>
      </c>
      <c r="I7926" s="2" t="s">
        <v>15686</v>
      </c>
      <c r="J7926" s="3" t="str">
        <f>HYPERLINK("https://www.boe.es/gazeta/dias/1823/12/25/pdfs/GMD-1823-1293.pdf#page=4","Abrir facsímil")</f>
        <v>Abrir facsímil</v>
      </c>
      <c r="K7926" s="3" t="s">
        <v>30</v>
      </c>
    </row>
    <row r="7927" spans="1:11" ht="42" customHeight="1">
      <c r="A7927" s="2" t="s">
        <v>15687</v>
      </c>
      <c r="B7927" s="2" t="s">
        <v>15687</v>
      </c>
      <c r="C7927" s="2" t="s">
        <v>17</v>
      </c>
      <c r="D7927" s="2" t="s">
        <v>18</v>
      </c>
      <c r="E7927" s="5">
        <v>-27978</v>
      </c>
      <c r="F7927" s="3" t="s">
        <v>342</v>
      </c>
      <c r="G7927" s="3" t="s">
        <v>27</v>
      </c>
      <c r="H7927" s="2" t="s">
        <v>21</v>
      </c>
      <c r="I7927" s="2" t="s">
        <v>15688</v>
      </c>
      <c r="J7927" s="3" t="str">
        <f>HYPERLINK("https://www.boe.es/gazeta/dias/1823/05/25/pdfs/GES-1823-46.pdf#page=2","Abrir facsímil")</f>
        <v>Abrir facsímil</v>
      </c>
      <c r="K7927" s="3" t="s">
        <v>23</v>
      </c>
    </row>
    <row r="7928" spans="1:11" ht="42" customHeight="1">
      <c r="A7928" s="2" t="s">
        <v>15687</v>
      </c>
      <c r="B7928" s="2" t="s">
        <v>15687</v>
      </c>
      <c r="C7928" s="2" t="s">
        <v>109</v>
      </c>
      <c r="D7928" s="2" t="s">
        <v>74</v>
      </c>
      <c r="E7928" s="5">
        <v>-27970</v>
      </c>
      <c r="F7928" s="3" t="s">
        <v>1030</v>
      </c>
      <c r="G7928" s="3" t="s">
        <v>39</v>
      </c>
      <c r="H7928" s="2" t="s">
        <v>21</v>
      </c>
      <c r="I7928" s="2" t="s">
        <v>15689</v>
      </c>
      <c r="J7928" s="3" t="str">
        <f>HYPERLINK("https://www.boe.es/gazeta/dias/1823/06/02/pdfs/GES-1823-56.pdf#page=1","Abrir facsímil")</f>
        <v>Abrir facsímil</v>
      </c>
      <c r="K7928" s="3" t="s">
        <v>23</v>
      </c>
    </row>
    <row r="7929" spans="1:11" ht="42" customHeight="1">
      <c r="A7929" s="2" t="s">
        <v>15690</v>
      </c>
      <c r="B7929" s="2" t="s">
        <v>15691</v>
      </c>
      <c r="C7929" s="2" t="s">
        <v>17</v>
      </c>
      <c r="D7929" s="2" t="s">
        <v>18</v>
      </c>
      <c r="E7929" s="5">
        <v>-28007</v>
      </c>
      <c r="F7929" s="3" t="s">
        <v>1190</v>
      </c>
      <c r="G7929" s="3" t="s">
        <v>20</v>
      </c>
      <c r="H7929" s="2" t="s">
        <v>21</v>
      </c>
      <c r="I7929" s="2" t="s">
        <v>15692</v>
      </c>
      <c r="J7929" s="3" t="str">
        <f>HYPERLINK("https://www.boe.es/gazeta/dias/1823/04/26/pdfs/GMD-1823-62.pdf#page=4","Abrir facsímil")</f>
        <v>Abrir facsímil</v>
      </c>
      <c r="K7929" s="3" t="s">
        <v>23</v>
      </c>
    </row>
    <row r="7930" spans="1:11" ht="42" customHeight="1">
      <c r="A7930" s="2" t="s">
        <v>15693</v>
      </c>
      <c r="B7930" s="2" t="s">
        <v>15693</v>
      </c>
      <c r="C7930" s="2" t="s">
        <v>17</v>
      </c>
      <c r="D7930" s="2" t="s">
        <v>18</v>
      </c>
      <c r="E7930" s="5">
        <v>-28091</v>
      </c>
      <c r="F7930" s="3" t="s">
        <v>1047</v>
      </c>
      <c r="G7930" s="3" t="s">
        <v>34</v>
      </c>
      <c r="H7930" s="2" t="s">
        <v>21</v>
      </c>
      <c r="I7930" s="2" t="s">
        <v>15694</v>
      </c>
      <c r="J7930" s="3" t="str">
        <f>HYPERLINK("https://www.boe.es/gazeta/dias/1823/02/01/pdfs/GMD-1823-34.pdf#page=5","Abrir facsímil")</f>
        <v>Abrir facsímil</v>
      </c>
      <c r="K7930" s="3" t="s">
        <v>23</v>
      </c>
    </row>
    <row r="7931" spans="1:11" ht="42" customHeight="1">
      <c r="A7931" s="2" t="s">
        <v>15695</v>
      </c>
      <c r="B7931" s="2" t="s">
        <v>15696</v>
      </c>
      <c r="C7931" s="2" t="s">
        <v>79</v>
      </c>
      <c r="D7931" s="2" t="s">
        <v>74</v>
      </c>
      <c r="E7931" s="5">
        <v>-28041</v>
      </c>
      <c r="F7931" s="3" t="s">
        <v>873</v>
      </c>
      <c r="G7931" s="3" t="s">
        <v>366</v>
      </c>
      <c r="H7931" s="2" t="s">
        <v>21</v>
      </c>
      <c r="I7931" s="2" t="s">
        <v>15697</v>
      </c>
      <c r="J7931" s="3" t="str">
        <f>HYPERLINK("https://www.boe.es/gazeta/dias/1823/03/23/pdfs/GMD-1823-86.pdf#page=4","Abrir facsímil")</f>
        <v>Abrir facsímil</v>
      </c>
      <c r="K7931" s="3" t="s">
        <v>23</v>
      </c>
    </row>
    <row r="7932" spans="1:11" ht="42" customHeight="1">
      <c r="A7932" s="2" t="s">
        <v>15698</v>
      </c>
      <c r="B7932" s="2" t="s">
        <v>15699</v>
      </c>
      <c r="C7932" s="2" t="s">
        <v>109</v>
      </c>
      <c r="D7932" s="2" t="s">
        <v>74</v>
      </c>
      <c r="E7932" s="5">
        <v>-28043</v>
      </c>
      <c r="F7932" s="3" t="s">
        <v>69</v>
      </c>
      <c r="G7932" s="3" t="s">
        <v>59</v>
      </c>
      <c r="H7932" s="2" t="s">
        <v>21</v>
      </c>
      <c r="I7932" s="2" t="s">
        <v>15700</v>
      </c>
      <c r="J7932" s="3" t="str">
        <f>HYPERLINK("https://www.boe.es/gazeta/dias/1823/03/21/pdfs/GMD-1823-84.pdf#page=6","Abrir facsímil")</f>
        <v>Abrir facsímil</v>
      </c>
      <c r="K7932" s="3" t="s">
        <v>23</v>
      </c>
    </row>
    <row r="7933" spans="1:11" ht="42" customHeight="1">
      <c r="A7933" s="2" t="s">
        <v>15701</v>
      </c>
      <c r="B7933" s="2" t="s">
        <v>15702</v>
      </c>
      <c r="C7933" s="2" t="s">
        <v>17</v>
      </c>
      <c r="D7933" s="2" t="s">
        <v>18</v>
      </c>
      <c r="E7933" s="5">
        <v>-28015</v>
      </c>
      <c r="F7933" s="3" t="s">
        <v>985</v>
      </c>
      <c r="G7933" s="3" t="s">
        <v>20</v>
      </c>
      <c r="H7933" s="2" t="s">
        <v>21</v>
      </c>
      <c r="I7933" s="2" t="s">
        <v>15703</v>
      </c>
      <c r="J7933" s="3" t="str">
        <f>HYPERLINK("https://www.boe.es/gazeta/dias/1823/04/18/pdfs/GES-1823-8.pdf#page=4","Abrir facsímil")</f>
        <v>Abrir facsímil</v>
      </c>
      <c r="K7933" s="3" t="s">
        <v>23</v>
      </c>
    </row>
    <row r="7934" spans="1:11" ht="42" customHeight="1">
      <c r="A7934" s="2" t="s">
        <v>15704</v>
      </c>
      <c r="B7934" s="2" t="s">
        <v>15705</v>
      </c>
      <c r="C7934" s="2" t="s">
        <v>73</v>
      </c>
      <c r="D7934" s="2" t="s">
        <v>74</v>
      </c>
      <c r="E7934" s="5">
        <v>-27978</v>
      </c>
      <c r="F7934" s="3" t="s">
        <v>342</v>
      </c>
      <c r="G7934" s="3" t="s">
        <v>59</v>
      </c>
      <c r="H7934" s="2" t="s">
        <v>21</v>
      </c>
      <c r="I7934" s="2" t="s">
        <v>15706</v>
      </c>
      <c r="J7934" s="3" t="str">
        <f>HYPERLINK("https://www.boe.es/gazeta/dias/1823/05/25/pdfs/GES-1823-46.pdf#page=6","Abrir facsímil")</f>
        <v>Abrir facsímil</v>
      </c>
      <c r="K7934" s="3" t="s">
        <v>23</v>
      </c>
    </row>
    <row r="7935" spans="1:11" ht="42" customHeight="1">
      <c r="A7935" s="2" t="s">
        <v>15707</v>
      </c>
      <c r="B7935" s="2" t="s">
        <v>15707</v>
      </c>
      <c r="C7935" s="2" t="s">
        <v>109</v>
      </c>
      <c r="D7935" s="2" t="s">
        <v>74</v>
      </c>
      <c r="E7935" s="5">
        <v>-28055</v>
      </c>
      <c r="F7935" s="3" t="s">
        <v>313</v>
      </c>
      <c r="G7935" s="3" t="s">
        <v>48</v>
      </c>
      <c r="H7935" s="2" t="s">
        <v>21</v>
      </c>
      <c r="I7935" s="2" t="s">
        <v>15708</v>
      </c>
      <c r="J7935" s="3" t="str">
        <f>HYPERLINK("https://www.boe.es/gazeta/dias/1823/03/09/pdfs/GMD-1823-72.pdf#page=3","Abrir facsímil")</f>
        <v>Abrir facsímil</v>
      </c>
      <c r="K7935" s="3" t="s">
        <v>23</v>
      </c>
    </row>
    <row r="7936" spans="1:11" ht="42" customHeight="1">
      <c r="A7936" s="2" t="s">
        <v>15707</v>
      </c>
      <c r="B7936" s="2" t="s">
        <v>15707</v>
      </c>
      <c r="C7936" s="2" t="s">
        <v>17</v>
      </c>
      <c r="D7936" s="2" t="s">
        <v>18</v>
      </c>
      <c r="E7936" s="5">
        <v>-27916</v>
      </c>
      <c r="F7936" s="3" t="s">
        <v>772</v>
      </c>
      <c r="G7936" s="3" t="s">
        <v>27</v>
      </c>
      <c r="H7936" s="2" t="s">
        <v>21</v>
      </c>
      <c r="I7936" s="2" t="s">
        <v>15709</v>
      </c>
      <c r="J7936" s="3" t="str">
        <f>HYPERLINK("https://www.boe.es/gazeta/dias/1823/07/26/pdfs/GES-1823-107.pdf#page=2","Abrir facsímil")</f>
        <v>Abrir facsímil</v>
      </c>
      <c r="K7936" s="3" t="s">
        <v>23</v>
      </c>
    </row>
    <row r="7937" spans="1:11" ht="42" customHeight="1">
      <c r="A7937" s="2" t="s">
        <v>15710</v>
      </c>
      <c r="B7937" s="2" t="s">
        <v>15710</v>
      </c>
      <c r="C7937" s="2" t="s">
        <v>17</v>
      </c>
      <c r="D7937" s="2" t="s">
        <v>18</v>
      </c>
      <c r="E7937" s="5">
        <v>-27870</v>
      </c>
      <c r="F7937" s="3" t="s">
        <v>376</v>
      </c>
      <c r="G7937" s="3" t="s">
        <v>27</v>
      </c>
      <c r="H7937" s="2" t="s">
        <v>21</v>
      </c>
      <c r="I7937" s="2" t="s">
        <v>15711</v>
      </c>
      <c r="J7937" s="3" t="str">
        <f>HYPERLINK("https://www.boe.es/gazeta/dias/1823/09/10/pdfs/GES-1823-154.pdf#page=2","Abrir facsímil")</f>
        <v>Abrir facsímil</v>
      </c>
      <c r="K7937" s="3" t="s">
        <v>23</v>
      </c>
    </row>
    <row r="7938" spans="1:11" ht="42" customHeight="1">
      <c r="A7938" s="2" t="s">
        <v>15712</v>
      </c>
      <c r="B7938" s="2" t="s">
        <v>15713</v>
      </c>
      <c r="C7938" s="2" t="s">
        <v>17</v>
      </c>
      <c r="D7938" s="2" t="s">
        <v>18</v>
      </c>
      <c r="E7938" s="5">
        <v>-28057</v>
      </c>
      <c r="F7938" s="3" t="s">
        <v>301</v>
      </c>
      <c r="G7938" s="3" t="s">
        <v>20</v>
      </c>
      <c r="H7938" s="2" t="s">
        <v>28</v>
      </c>
      <c r="I7938" s="2" t="s">
        <v>15714</v>
      </c>
      <c r="J7938" s="3" t="str">
        <f>HYPERLINK("https://www.boe.es/gazeta/dias/1823/03/07/pdfs/GMD-1823-70.pdf#page=4","Abrir facsímil")</f>
        <v>Abrir facsímil</v>
      </c>
      <c r="K7938" s="3" t="s">
        <v>30</v>
      </c>
    </row>
    <row r="7939" spans="1:11" ht="42" customHeight="1">
      <c r="A7939" s="2" t="s">
        <v>15715</v>
      </c>
      <c r="B7939" s="2" t="s">
        <v>15715</v>
      </c>
      <c r="C7939" s="2" t="s">
        <v>17</v>
      </c>
      <c r="D7939" s="2" t="s">
        <v>18</v>
      </c>
      <c r="E7939" s="5">
        <v>-28078</v>
      </c>
      <c r="F7939" s="3" t="s">
        <v>508</v>
      </c>
      <c r="G7939" s="3" t="s">
        <v>27</v>
      </c>
      <c r="H7939" s="2" t="s">
        <v>21</v>
      </c>
      <c r="I7939" s="2" t="s">
        <v>15716</v>
      </c>
      <c r="J7939" s="3" t="str">
        <f>HYPERLINK("https://www.boe.es/gazeta/dias/1823/02/14/pdfs/GMD-1823-48.pdf#page=2","Abrir facsímil")</f>
        <v>Abrir facsímil</v>
      </c>
      <c r="K7939" s="3" t="s">
        <v>23</v>
      </c>
    </row>
    <row r="7940" spans="1:11" ht="42" customHeight="1">
      <c r="A7940" s="2" t="s">
        <v>15717</v>
      </c>
      <c r="B7940" s="2" t="s">
        <v>15717</v>
      </c>
      <c r="C7940" s="2" t="s">
        <v>17</v>
      </c>
      <c r="D7940" s="2" t="s">
        <v>18</v>
      </c>
      <c r="E7940" s="5">
        <v>-28093</v>
      </c>
      <c r="F7940" s="3" t="s">
        <v>1044</v>
      </c>
      <c r="G7940" s="3" t="s">
        <v>48</v>
      </c>
      <c r="H7940" s="2" t="s">
        <v>21</v>
      </c>
      <c r="I7940" s="2" t="s">
        <v>15718</v>
      </c>
      <c r="J7940" s="3" t="str">
        <f>HYPERLINK("https://www.boe.es/gazeta/dias/1823/01/30/pdfs/GMD-1823-31.pdf#page=3","Abrir facsímil")</f>
        <v>Abrir facsímil</v>
      </c>
      <c r="K7940" s="3" t="s">
        <v>23</v>
      </c>
    </row>
    <row r="7941" spans="1:11" ht="42" customHeight="1">
      <c r="A7941" s="2" t="s">
        <v>15717</v>
      </c>
      <c r="B7941" s="2" t="s">
        <v>15717</v>
      </c>
      <c r="C7941" s="2" t="s">
        <v>17</v>
      </c>
      <c r="D7941" s="2" t="s">
        <v>18</v>
      </c>
      <c r="E7941" s="5">
        <v>-28056</v>
      </c>
      <c r="F7941" s="3" t="s">
        <v>572</v>
      </c>
      <c r="G7941" s="3" t="s">
        <v>34</v>
      </c>
      <c r="H7941" s="2" t="s">
        <v>21</v>
      </c>
      <c r="I7941" s="2" t="s">
        <v>15719</v>
      </c>
      <c r="J7941" s="3" t="str">
        <f>HYPERLINK("https://www.boe.es/gazeta/dias/1823/03/08/pdfs/GMD-1823-71.pdf#page=5","Abrir facsímil")</f>
        <v>Abrir facsímil</v>
      </c>
      <c r="K7941" s="3" t="s">
        <v>23</v>
      </c>
    </row>
    <row r="7942" spans="1:11" ht="42" customHeight="1">
      <c r="A7942" s="2" t="s">
        <v>15717</v>
      </c>
      <c r="B7942" s="2" t="s">
        <v>15717</v>
      </c>
      <c r="C7942" s="2" t="s">
        <v>17</v>
      </c>
      <c r="D7942" s="2" t="s">
        <v>18</v>
      </c>
      <c r="E7942" s="5">
        <v>-27980</v>
      </c>
      <c r="F7942" s="3" t="s">
        <v>1068</v>
      </c>
      <c r="G7942" s="3" t="s">
        <v>34</v>
      </c>
      <c r="H7942" s="2" t="s">
        <v>21</v>
      </c>
      <c r="I7942" s="2" t="s">
        <v>15720</v>
      </c>
      <c r="J7942" s="3" t="str">
        <f>HYPERLINK("https://www.boe.es/gazeta/dias/1823/05/23/pdfs/GES-1823-44.pdf#page=5","Abrir facsímil")</f>
        <v>Abrir facsímil</v>
      </c>
      <c r="K7942" s="3" t="s">
        <v>23</v>
      </c>
    </row>
    <row r="7943" spans="1:11" ht="42" customHeight="1">
      <c r="A7943" s="2" t="s">
        <v>15717</v>
      </c>
      <c r="B7943" s="2" t="s">
        <v>15717</v>
      </c>
      <c r="C7943" s="2" t="s">
        <v>79</v>
      </c>
      <c r="D7943" s="2" t="s">
        <v>74</v>
      </c>
      <c r="E7943" s="5">
        <v>-27974</v>
      </c>
      <c r="F7943" s="3" t="s">
        <v>618</v>
      </c>
      <c r="G7943" s="3" t="s">
        <v>27</v>
      </c>
      <c r="H7943" s="2" t="s">
        <v>21</v>
      </c>
      <c r="I7943" s="2" t="s">
        <v>15721</v>
      </c>
      <c r="J7943" s="3" t="str">
        <f>HYPERLINK("https://www.boe.es/gazeta/dias/1823/05/29/pdfs/GES-1823-52.pdf#page=2","Abrir facsímil")</f>
        <v>Abrir facsímil</v>
      </c>
      <c r="K7943" s="3" t="s">
        <v>23</v>
      </c>
    </row>
    <row r="7944" spans="1:11" ht="42" customHeight="1">
      <c r="A7944" s="2" t="s">
        <v>15717</v>
      </c>
      <c r="B7944" s="2" t="s">
        <v>15717</v>
      </c>
      <c r="C7944" s="2" t="s">
        <v>109</v>
      </c>
      <c r="D7944" s="2" t="s">
        <v>74</v>
      </c>
      <c r="E7944" s="5">
        <v>-27964</v>
      </c>
      <c r="F7944" s="3" t="s">
        <v>58</v>
      </c>
      <c r="G7944" s="3" t="s">
        <v>27</v>
      </c>
      <c r="H7944" s="2" t="s">
        <v>21</v>
      </c>
      <c r="I7944" s="2" t="s">
        <v>15722</v>
      </c>
      <c r="J7944" s="3" t="str">
        <f>HYPERLINK("https://www.boe.es/gazeta/dias/1823/06/08/pdfs/GES-1823-62.pdf#page=2","Abrir facsímil")</f>
        <v>Abrir facsímil</v>
      </c>
      <c r="K7944" s="3" t="s">
        <v>23</v>
      </c>
    </row>
    <row r="7945" spans="1:11" ht="42" customHeight="1">
      <c r="A7945" s="2" t="s">
        <v>15717</v>
      </c>
      <c r="B7945" s="2" t="s">
        <v>15717</v>
      </c>
      <c r="C7945" s="2" t="s">
        <v>109</v>
      </c>
      <c r="D7945" s="2" t="s">
        <v>74</v>
      </c>
      <c r="E7945" s="5">
        <v>-27912</v>
      </c>
      <c r="F7945" s="3" t="s">
        <v>365</v>
      </c>
      <c r="G7945" s="3" t="s">
        <v>27</v>
      </c>
      <c r="H7945" s="2" t="s">
        <v>21</v>
      </c>
      <c r="I7945" s="2" t="s">
        <v>15723</v>
      </c>
      <c r="J7945" s="3" t="str">
        <f>HYPERLINK("https://www.boe.es/gazeta/dias/1823/07/30/pdfs/GES-1823-111.pdf#page=2","Abrir facsímil")</f>
        <v>Abrir facsímil</v>
      </c>
      <c r="K7945" s="3" t="s">
        <v>23</v>
      </c>
    </row>
    <row r="7946" spans="1:11" ht="42" customHeight="1">
      <c r="A7946" s="2" t="s">
        <v>15724</v>
      </c>
      <c r="B7946" s="2" t="s">
        <v>15724</v>
      </c>
      <c r="C7946" s="2" t="s">
        <v>79</v>
      </c>
      <c r="D7946" s="2" t="s">
        <v>74</v>
      </c>
      <c r="E7946" s="5">
        <v>-28105</v>
      </c>
      <c r="F7946" s="3" t="s">
        <v>502</v>
      </c>
      <c r="G7946" s="3" t="s">
        <v>48</v>
      </c>
      <c r="H7946" s="2" t="s">
        <v>21</v>
      </c>
      <c r="I7946" s="2" t="s">
        <v>15725</v>
      </c>
      <c r="J7946" s="3" t="str">
        <f>HYPERLINK("https://www.boe.es/gazeta/dias/1823/01/18/pdfs/GMD-1823-18.pdf#page=3","Abrir facsímil")</f>
        <v>Abrir facsímil</v>
      </c>
      <c r="K7946" s="3" t="s">
        <v>23</v>
      </c>
    </row>
    <row r="7947" spans="1:11" ht="42" customHeight="1">
      <c r="A7947" s="2" t="s">
        <v>15726</v>
      </c>
      <c r="B7947" s="2" t="s">
        <v>15726</v>
      </c>
      <c r="C7947" s="2" t="s">
        <v>56</v>
      </c>
      <c r="D7947" s="2" t="s">
        <v>57</v>
      </c>
      <c r="E7947" s="5">
        <v>-27990</v>
      </c>
      <c r="F7947" s="3" t="s">
        <v>1132</v>
      </c>
      <c r="G7947" s="3" t="s">
        <v>27</v>
      </c>
      <c r="H7947" s="2" t="s">
        <v>21</v>
      </c>
      <c r="I7947" s="2" t="s">
        <v>15727</v>
      </c>
      <c r="J7947" s="3" t="str">
        <f>HYPERLINK("https://www.boe.es/gazeta/dias/1823/05/13/pdfs/GES-1823-33.pdf#page=2","Abrir facsímil")</f>
        <v>Abrir facsímil</v>
      </c>
      <c r="K7947" s="3" t="s">
        <v>23</v>
      </c>
    </row>
    <row r="7948" spans="1:11" ht="42" customHeight="1">
      <c r="A7948" s="2" t="s">
        <v>15728</v>
      </c>
      <c r="B7948" s="2" t="s">
        <v>15728</v>
      </c>
      <c r="C7948" s="2" t="s">
        <v>17</v>
      </c>
      <c r="D7948" s="2" t="s">
        <v>18</v>
      </c>
      <c r="E7948" s="5">
        <v>-27986</v>
      </c>
      <c r="F7948" s="3" t="s">
        <v>75</v>
      </c>
      <c r="G7948" s="3" t="s">
        <v>59</v>
      </c>
      <c r="H7948" s="2" t="s">
        <v>21</v>
      </c>
      <c r="I7948" s="2" t="s">
        <v>15729</v>
      </c>
      <c r="J7948" s="3" t="str">
        <f>HYPERLINK("https://www.boe.es/gazeta/dias/1823/05/17/pdfs/GES-1823-37.pdf#page=6","Abrir facsímil")</f>
        <v>Abrir facsímil</v>
      </c>
      <c r="K7948" s="3" t="s">
        <v>23</v>
      </c>
    </row>
    <row r="7949" spans="1:11" ht="42" customHeight="1">
      <c r="A7949" s="2" t="s">
        <v>15730</v>
      </c>
      <c r="B7949" s="2" t="s">
        <v>15730</v>
      </c>
      <c r="C7949" s="2" t="s">
        <v>79</v>
      </c>
      <c r="D7949" s="2" t="s">
        <v>74</v>
      </c>
      <c r="E7949" s="5">
        <v>-28008</v>
      </c>
      <c r="F7949" s="3" t="s">
        <v>309</v>
      </c>
      <c r="G7949" s="3" t="s">
        <v>48</v>
      </c>
      <c r="H7949" s="2" t="s">
        <v>21</v>
      </c>
      <c r="I7949" s="2" t="s">
        <v>15731</v>
      </c>
      <c r="J7949" s="3" t="str">
        <f>HYPERLINK("https://www.boe.es/gazeta/dias/1823/04/25/pdfs/GES-1823-15.pdf#page=3","Abrir facsímil")</f>
        <v>Abrir facsímil</v>
      </c>
      <c r="K7949" s="3" t="s">
        <v>23</v>
      </c>
    </row>
    <row r="7950" spans="1:11" ht="42" customHeight="1">
      <c r="A7950" s="2" t="s">
        <v>15732</v>
      </c>
      <c r="B7950" s="2" t="s">
        <v>15732</v>
      </c>
      <c r="C7950" s="2" t="s">
        <v>17</v>
      </c>
      <c r="D7950" s="2" t="s">
        <v>18</v>
      </c>
      <c r="E7950" s="5">
        <v>-28115</v>
      </c>
      <c r="F7950" s="3" t="s">
        <v>579</v>
      </c>
      <c r="G7950" s="3" t="s">
        <v>27</v>
      </c>
      <c r="H7950" s="2" t="s">
        <v>21</v>
      </c>
      <c r="I7950" s="2" t="s">
        <v>15733</v>
      </c>
      <c r="J7950" s="3" t="str">
        <f>HYPERLINK("https://www.boe.es/gazeta/dias/1823/01/08/pdfs/GMD-1823-8.pdf#page=2","Abrir facsímil")</f>
        <v>Abrir facsímil</v>
      </c>
      <c r="K7950" s="3" t="s">
        <v>23</v>
      </c>
    </row>
    <row r="7951" spans="1:11" ht="42" customHeight="1">
      <c r="A7951" s="2" t="s">
        <v>15732</v>
      </c>
      <c r="B7951" s="2" t="s">
        <v>15732</v>
      </c>
      <c r="C7951" s="2" t="s">
        <v>109</v>
      </c>
      <c r="D7951" s="2" t="s">
        <v>74</v>
      </c>
      <c r="E7951" s="5">
        <v>-28112</v>
      </c>
      <c r="F7951" s="3" t="s">
        <v>43</v>
      </c>
      <c r="G7951" s="3" t="s">
        <v>48</v>
      </c>
      <c r="H7951" s="2" t="s">
        <v>21</v>
      </c>
      <c r="I7951" s="2" t="s">
        <v>15734</v>
      </c>
      <c r="J7951" s="3" t="str">
        <f>HYPERLINK("https://www.boe.es/gazeta/dias/1823/01/11/pdfs/GMD-1823-11.pdf#page=3","Abrir facsímil")</f>
        <v>Abrir facsímil</v>
      </c>
      <c r="K7951" s="3" t="s">
        <v>23</v>
      </c>
    </row>
    <row r="7952" spans="1:11" ht="42" customHeight="1">
      <c r="A7952" s="2" t="s">
        <v>15732</v>
      </c>
      <c r="B7952" s="2" t="s">
        <v>15732</v>
      </c>
      <c r="C7952" s="2" t="s">
        <v>79</v>
      </c>
      <c r="D7952" s="2" t="s">
        <v>74</v>
      </c>
      <c r="E7952" s="5">
        <v>-28110</v>
      </c>
      <c r="F7952" s="3" t="s">
        <v>249</v>
      </c>
      <c r="G7952" s="3" t="s">
        <v>39</v>
      </c>
      <c r="H7952" s="2" t="s">
        <v>21</v>
      </c>
      <c r="I7952" s="2" t="s">
        <v>15735</v>
      </c>
      <c r="J7952" s="3" t="str">
        <f>HYPERLINK("https://www.boe.es/gazeta/dias/1823/01/13/pdfs/GMD-1823-13.pdf#page=1","Abrir facsímil")</f>
        <v>Abrir facsímil</v>
      </c>
      <c r="K7952" s="3" t="s">
        <v>23</v>
      </c>
    </row>
    <row r="7953" spans="1:11" ht="42" customHeight="1">
      <c r="A7953" s="2" t="s">
        <v>15732</v>
      </c>
      <c r="B7953" s="2" t="s">
        <v>15732</v>
      </c>
      <c r="C7953" s="2" t="s">
        <v>17</v>
      </c>
      <c r="D7953" s="2" t="s">
        <v>18</v>
      </c>
      <c r="E7953" s="5">
        <v>-28107</v>
      </c>
      <c r="F7953" s="3" t="s">
        <v>278</v>
      </c>
      <c r="G7953" s="3" t="s">
        <v>27</v>
      </c>
      <c r="H7953" s="2" t="s">
        <v>21</v>
      </c>
      <c r="I7953" s="2" t="s">
        <v>15736</v>
      </c>
      <c r="J7953" s="3" t="str">
        <f>HYPERLINK("https://www.boe.es/gazeta/dias/1823/01/16/pdfs/GMD-1823-16.pdf#page=2","Abrir facsímil")</f>
        <v>Abrir facsímil</v>
      </c>
      <c r="K7953" s="3" t="s">
        <v>23</v>
      </c>
    </row>
    <row r="7954" spans="1:11" ht="42" customHeight="1">
      <c r="A7954" s="2" t="s">
        <v>15732</v>
      </c>
      <c r="B7954" s="2" t="s">
        <v>15732</v>
      </c>
      <c r="C7954" s="2" t="s">
        <v>56</v>
      </c>
      <c r="D7954" s="2" t="s">
        <v>57</v>
      </c>
      <c r="E7954" s="5">
        <v>-28106</v>
      </c>
      <c r="F7954" s="3" t="s">
        <v>280</v>
      </c>
      <c r="G7954" s="3" t="s">
        <v>281</v>
      </c>
      <c r="H7954" s="2" t="s">
        <v>21</v>
      </c>
      <c r="I7954" s="2" t="s">
        <v>15737</v>
      </c>
      <c r="J7954" s="3" t="str">
        <f>HYPERLINK("https://www.boe.es/gazeta/dias/1823/01/17/pdfs/GMD-1823-17.pdf#page=2","Abrir facsímil")</f>
        <v>Abrir facsímil</v>
      </c>
      <c r="K7954" s="3" t="s">
        <v>23</v>
      </c>
    </row>
    <row r="7955" spans="1:11" ht="42" customHeight="1">
      <c r="A7955" s="2" t="s">
        <v>15732</v>
      </c>
      <c r="B7955" s="2" t="s">
        <v>15732</v>
      </c>
      <c r="C7955" s="2" t="s">
        <v>17</v>
      </c>
      <c r="D7955" s="2" t="s">
        <v>18</v>
      </c>
      <c r="E7955" s="5">
        <v>-28105</v>
      </c>
      <c r="F7955" s="3" t="s">
        <v>502</v>
      </c>
      <c r="G7955" s="3" t="s">
        <v>27</v>
      </c>
      <c r="H7955" s="2" t="s">
        <v>21</v>
      </c>
      <c r="I7955" s="2" t="s">
        <v>15738</v>
      </c>
      <c r="J7955" s="3" t="str">
        <f>HYPERLINK("https://www.boe.es/gazeta/dias/1823/01/18/pdfs/GMD-1823-18.pdf#page=2","Abrir facsímil")</f>
        <v>Abrir facsímil</v>
      </c>
      <c r="K7955" s="3" t="s">
        <v>23</v>
      </c>
    </row>
    <row r="7956" spans="1:11" ht="42" customHeight="1">
      <c r="A7956" s="2" t="s">
        <v>15732</v>
      </c>
      <c r="B7956" s="2" t="s">
        <v>15732</v>
      </c>
      <c r="C7956" s="2" t="s">
        <v>17</v>
      </c>
      <c r="D7956" s="2" t="s">
        <v>18</v>
      </c>
      <c r="E7956" s="5">
        <v>-28104</v>
      </c>
      <c r="F7956" s="3" t="s">
        <v>114</v>
      </c>
      <c r="G7956" s="3" t="s">
        <v>27</v>
      </c>
      <c r="H7956" s="2" t="s">
        <v>21</v>
      </c>
      <c r="I7956" s="2" t="s">
        <v>15739</v>
      </c>
      <c r="J7956" s="3" t="str">
        <f>HYPERLINK("https://www.boe.es/gazeta/dias/1823/01/19/pdfs/GMD-1823-19.pdf#page=2","Abrir facsímil")</f>
        <v>Abrir facsímil</v>
      </c>
      <c r="K7956" s="3" t="s">
        <v>23</v>
      </c>
    </row>
    <row r="7957" spans="1:11" ht="42" customHeight="1">
      <c r="A7957" s="2" t="s">
        <v>15732</v>
      </c>
      <c r="B7957" s="2" t="s">
        <v>15732</v>
      </c>
      <c r="C7957" s="2" t="s">
        <v>79</v>
      </c>
      <c r="D7957" s="2" t="s">
        <v>74</v>
      </c>
      <c r="E7957" s="5">
        <v>-28103</v>
      </c>
      <c r="F7957" s="3" t="s">
        <v>285</v>
      </c>
      <c r="G7957" s="3" t="s">
        <v>48</v>
      </c>
      <c r="H7957" s="2" t="s">
        <v>21</v>
      </c>
      <c r="I7957" s="2" t="s">
        <v>15740</v>
      </c>
      <c r="J7957" s="3" t="str">
        <f>HYPERLINK("https://www.boe.es/gazeta/dias/1823/01/20/pdfs/GMD-1823-20.pdf#page=3","Abrir facsímil")</f>
        <v>Abrir facsímil</v>
      </c>
      <c r="K7957" s="3" t="s">
        <v>23</v>
      </c>
    </row>
    <row r="7958" spans="1:11" ht="42" customHeight="1">
      <c r="A7958" s="2" t="s">
        <v>15732</v>
      </c>
      <c r="B7958" s="2" t="s">
        <v>15732</v>
      </c>
      <c r="C7958" s="2" t="s">
        <v>56</v>
      </c>
      <c r="D7958" s="2" t="s">
        <v>57</v>
      </c>
      <c r="E7958" s="5">
        <v>-28102</v>
      </c>
      <c r="F7958" s="3" t="s">
        <v>287</v>
      </c>
      <c r="G7958" s="3" t="s">
        <v>27</v>
      </c>
      <c r="H7958" s="2" t="s">
        <v>21</v>
      </c>
      <c r="I7958" s="2" t="s">
        <v>15741</v>
      </c>
      <c r="J7958" s="3" t="str">
        <f>HYPERLINK("https://www.boe.es/gazeta/dias/1823/01/21/pdfs/GMD-1823-22.pdf#page=2","Abrir facsímil")</f>
        <v>Abrir facsímil</v>
      </c>
      <c r="K7958" s="3" t="s">
        <v>23</v>
      </c>
    </row>
    <row r="7959" spans="1:11" ht="42" customHeight="1">
      <c r="A7959" s="2" t="s">
        <v>15732</v>
      </c>
      <c r="B7959" s="2" t="s">
        <v>15732</v>
      </c>
      <c r="C7959" s="2" t="s">
        <v>79</v>
      </c>
      <c r="D7959" s="2" t="s">
        <v>74</v>
      </c>
      <c r="E7959" s="5">
        <v>-28101</v>
      </c>
      <c r="F7959" s="3" t="s">
        <v>1041</v>
      </c>
      <c r="G7959" s="3" t="s">
        <v>27</v>
      </c>
      <c r="H7959" s="2" t="s">
        <v>21</v>
      </c>
      <c r="I7959" s="2" t="s">
        <v>15742</v>
      </c>
      <c r="J7959" s="3" t="str">
        <f>HYPERLINK("https://www.boe.es/gazeta/dias/1823/01/22/pdfs/GMD-1823-23.pdf#page=2","Abrir facsímil")</f>
        <v>Abrir facsímil</v>
      </c>
      <c r="K7959" s="3" t="s">
        <v>23</v>
      </c>
    </row>
    <row r="7960" spans="1:11" ht="42" customHeight="1">
      <c r="A7960" s="2" t="s">
        <v>15732</v>
      </c>
      <c r="B7960" s="2" t="s">
        <v>15732</v>
      </c>
      <c r="C7960" s="2" t="s">
        <v>79</v>
      </c>
      <c r="D7960" s="2" t="s">
        <v>74</v>
      </c>
      <c r="E7960" s="5">
        <v>-28093</v>
      </c>
      <c r="F7960" s="3" t="s">
        <v>1044</v>
      </c>
      <c r="G7960" s="3" t="s">
        <v>27</v>
      </c>
      <c r="H7960" s="2" t="s">
        <v>21</v>
      </c>
      <c r="I7960" s="2" t="s">
        <v>15743</v>
      </c>
      <c r="J7960" s="3" t="str">
        <f>HYPERLINK("https://www.boe.es/gazeta/dias/1823/01/30/pdfs/GMD-1823-31.pdf#page=2","Abrir facsímil")</f>
        <v>Abrir facsímil</v>
      </c>
      <c r="K7960" s="3" t="s">
        <v>23</v>
      </c>
    </row>
    <row r="7961" spans="1:11" ht="42" customHeight="1">
      <c r="A7961" s="2" t="s">
        <v>15732</v>
      </c>
      <c r="B7961" s="2" t="s">
        <v>15732</v>
      </c>
      <c r="C7961" s="2" t="s">
        <v>79</v>
      </c>
      <c r="D7961" s="2" t="s">
        <v>74</v>
      </c>
      <c r="E7961" s="5">
        <v>-28092</v>
      </c>
      <c r="F7961" s="3" t="s">
        <v>105</v>
      </c>
      <c r="G7961" s="3" t="s">
        <v>27</v>
      </c>
      <c r="H7961" s="2" t="s">
        <v>21</v>
      </c>
      <c r="I7961" s="2" t="s">
        <v>15744</v>
      </c>
      <c r="J7961" s="3" t="str">
        <f>HYPERLINK("https://www.boe.es/gazeta/dias/1823/01/31/pdfs/GMD-1823-32.pdf#page=2","Abrir facsímil")</f>
        <v>Abrir facsímil</v>
      </c>
      <c r="K7961" s="3" t="s">
        <v>23</v>
      </c>
    </row>
    <row r="7962" spans="1:11" ht="42" customHeight="1">
      <c r="A7962" s="2" t="s">
        <v>15732</v>
      </c>
      <c r="B7962" s="2" t="s">
        <v>15732</v>
      </c>
      <c r="C7962" s="2" t="s">
        <v>17</v>
      </c>
      <c r="D7962" s="2" t="s">
        <v>18</v>
      </c>
      <c r="E7962" s="5">
        <v>-28087</v>
      </c>
      <c r="F7962" s="3" t="s">
        <v>3125</v>
      </c>
      <c r="G7962" s="3" t="s">
        <v>34</v>
      </c>
      <c r="H7962" s="2" t="s">
        <v>21</v>
      </c>
      <c r="I7962" s="2" t="s">
        <v>15745</v>
      </c>
      <c r="J7962" s="3" t="str">
        <f>HYPERLINK("https://www.boe.es/gazeta/dias/1823/02/05/pdfs/GMD-1823-38.pdf#page=5","Abrir facsímil")</f>
        <v>Abrir facsímil</v>
      </c>
      <c r="K7962" s="3" t="s">
        <v>23</v>
      </c>
    </row>
    <row r="7963" spans="1:11" ht="42" customHeight="1">
      <c r="A7963" s="2" t="s">
        <v>15732</v>
      </c>
      <c r="B7963" s="2" t="s">
        <v>15732</v>
      </c>
      <c r="C7963" s="2" t="s">
        <v>17</v>
      </c>
      <c r="D7963" s="2" t="s">
        <v>18</v>
      </c>
      <c r="E7963" s="5">
        <v>-28085</v>
      </c>
      <c r="F7963" s="3" t="s">
        <v>458</v>
      </c>
      <c r="G7963" s="3" t="s">
        <v>27</v>
      </c>
      <c r="H7963" s="2" t="s">
        <v>21</v>
      </c>
      <c r="I7963" s="2" t="s">
        <v>15746</v>
      </c>
      <c r="J7963" s="3" t="str">
        <f>HYPERLINK("https://www.boe.es/gazeta/dias/1823/02/07/pdfs/GMD-1823-40.pdf#page=2","Abrir facsímil")</f>
        <v>Abrir facsímil</v>
      </c>
      <c r="K7963" s="3" t="s">
        <v>23</v>
      </c>
    </row>
    <row r="7964" spans="1:11" ht="42" customHeight="1">
      <c r="A7964" s="2" t="s">
        <v>15732</v>
      </c>
      <c r="B7964" s="2" t="s">
        <v>15732</v>
      </c>
      <c r="C7964" s="2" t="s">
        <v>109</v>
      </c>
      <c r="D7964" s="2" t="s">
        <v>74</v>
      </c>
      <c r="E7964" s="5">
        <v>-28083</v>
      </c>
      <c r="F7964" s="3" t="s">
        <v>291</v>
      </c>
      <c r="G7964" s="3" t="s">
        <v>27</v>
      </c>
      <c r="H7964" s="2" t="s">
        <v>21</v>
      </c>
      <c r="I7964" s="2" t="s">
        <v>15747</v>
      </c>
      <c r="J7964" s="3" t="str">
        <f>HYPERLINK("https://www.boe.es/gazeta/dias/1823/02/09/pdfs/GMD-1823-43.pdf#page=2","Abrir facsímil")</f>
        <v>Abrir facsímil</v>
      </c>
      <c r="K7964" s="3" t="s">
        <v>23</v>
      </c>
    </row>
    <row r="7965" spans="1:11" ht="42" customHeight="1">
      <c r="A7965" s="2" t="s">
        <v>15732</v>
      </c>
      <c r="B7965" s="2" t="s">
        <v>15732</v>
      </c>
      <c r="C7965" s="2" t="s">
        <v>109</v>
      </c>
      <c r="D7965" s="2" t="s">
        <v>74</v>
      </c>
      <c r="E7965" s="5">
        <v>-28083</v>
      </c>
      <c r="F7965" s="3" t="s">
        <v>291</v>
      </c>
      <c r="G7965" s="3" t="s">
        <v>20</v>
      </c>
      <c r="H7965" s="2" t="s">
        <v>21</v>
      </c>
      <c r="I7965" s="2" t="s">
        <v>15748</v>
      </c>
      <c r="J7965" s="3" t="str">
        <f>HYPERLINK("https://www.boe.es/gazeta/dias/1823/02/09/pdfs/GMD-1823-43.pdf#page=4","Abrir facsímil")</f>
        <v>Abrir facsímil</v>
      </c>
      <c r="K7965" s="3" t="s">
        <v>23</v>
      </c>
    </row>
    <row r="7966" spans="1:11" ht="42" customHeight="1">
      <c r="A7966" s="2" t="s">
        <v>15732</v>
      </c>
      <c r="B7966" s="2" t="s">
        <v>15732</v>
      </c>
      <c r="C7966" s="2" t="s">
        <v>84</v>
      </c>
      <c r="D7966" s="2" t="s">
        <v>74</v>
      </c>
      <c r="E7966" s="5">
        <v>-28082</v>
      </c>
      <c r="F7966" s="3" t="s">
        <v>468</v>
      </c>
      <c r="G7966" s="3" t="s">
        <v>27</v>
      </c>
      <c r="H7966" s="2" t="s">
        <v>21</v>
      </c>
      <c r="I7966" s="2" t="s">
        <v>15749</v>
      </c>
      <c r="J7966" s="3" t="str">
        <f>HYPERLINK("https://www.boe.es/gazeta/dias/1823/02/10/pdfs/GMD-1823-44.pdf#page=2","Abrir facsímil")</f>
        <v>Abrir facsímil</v>
      </c>
      <c r="K7966" s="3" t="s">
        <v>23</v>
      </c>
    </row>
    <row r="7967" spans="1:11" ht="42" customHeight="1">
      <c r="A7967" s="2" t="s">
        <v>15732</v>
      </c>
      <c r="B7967" s="2" t="s">
        <v>15732</v>
      </c>
      <c r="C7967" s="2" t="s">
        <v>109</v>
      </c>
      <c r="D7967" s="2" t="s">
        <v>74</v>
      </c>
      <c r="E7967" s="5">
        <v>-28082</v>
      </c>
      <c r="F7967" s="3" t="s">
        <v>468</v>
      </c>
      <c r="G7967" s="3" t="s">
        <v>48</v>
      </c>
      <c r="H7967" s="2" t="s">
        <v>21</v>
      </c>
      <c r="I7967" s="2" t="s">
        <v>15750</v>
      </c>
      <c r="J7967" s="3" t="str">
        <f>HYPERLINK("https://www.boe.es/gazeta/dias/1823/02/10/pdfs/GMD-1823-44.pdf#page=3","Abrir facsímil")</f>
        <v>Abrir facsímil</v>
      </c>
      <c r="K7967" s="3" t="s">
        <v>23</v>
      </c>
    </row>
    <row r="7968" spans="1:11" ht="42" customHeight="1">
      <c r="A7968" s="2" t="s">
        <v>15732</v>
      </c>
      <c r="B7968" s="2" t="s">
        <v>15732</v>
      </c>
      <c r="C7968" s="2" t="s">
        <v>109</v>
      </c>
      <c r="D7968" s="2" t="s">
        <v>74</v>
      </c>
      <c r="E7968" s="5">
        <v>-28082</v>
      </c>
      <c r="F7968" s="3" t="s">
        <v>468</v>
      </c>
      <c r="G7968" s="3" t="s">
        <v>20</v>
      </c>
      <c r="H7968" s="2" t="s">
        <v>21</v>
      </c>
      <c r="I7968" s="2" t="s">
        <v>15751</v>
      </c>
      <c r="J7968" s="3" t="str">
        <f>HYPERLINK("https://www.boe.es/gazeta/dias/1823/02/10/pdfs/GMD-1823-44.pdf#page=4","Abrir facsímil")</f>
        <v>Abrir facsímil</v>
      </c>
      <c r="K7968" s="3" t="s">
        <v>23</v>
      </c>
    </row>
    <row r="7969" spans="1:11" ht="42" customHeight="1">
      <c r="A7969" s="2" t="s">
        <v>15732</v>
      </c>
      <c r="B7969" s="2" t="s">
        <v>15732</v>
      </c>
      <c r="C7969" s="2" t="s">
        <v>17</v>
      </c>
      <c r="D7969" s="2" t="s">
        <v>18</v>
      </c>
      <c r="E7969" s="5">
        <v>-28080</v>
      </c>
      <c r="F7969" s="3" t="s">
        <v>1010</v>
      </c>
      <c r="G7969" s="3" t="s">
        <v>27</v>
      </c>
      <c r="H7969" s="2" t="s">
        <v>21</v>
      </c>
      <c r="I7969" s="2" t="s">
        <v>15752</v>
      </c>
      <c r="J7969" s="3" t="str">
        <f>HYPERLINK("https://www.boe.es/gazeta/dias/1823/02/12/pdfs/GMD-1823-46.pdf#page=2","Abrir facsímil")</f>
        <v>Abrir facsímil</v>
      </c>
      <c r="K7969" s="3" t="s">
        <v>23</v>
      </c>
    </row>
    <row r="7970" spans="1:11" ht="42" customHeight="1">
      <c r="A7970" s="2" t="s">
        <v>15732</v>
      </c>
      <c r="B7970" s="2" t="s">
        <v>15732</v>
      </c>
      <c r="C7970" s="2" t="s">
        <v>56</v>
      </c>
      <c r="D7970" s="2" t="s">
        <v>57</v>
      </c>
      <c r="E7970" s="5">
        <v>-28079</v>
      </c>
      <c r="F7970" s="3" t="s">
        <v>178</v>
      </c>
      <c r="G7970" s="3" t="s">
        <v>27</v>
      </c>
      <c r="H7970" s="2" t="s">
        <v>21</v>
      </c>
      <c r="I7970" s="2" t="s">
        <v>15753</v>
      </c>
      <c r="J7970" s="3" t="str">
        <f>HYPERLINK("https://www.boe.es/gazeta/dias/1823/02/13/pdfs/GMD-1823-47.pdf#page=2","Abrir facsímil")</f>
        <v>Abrir facsímil</v>
      </c>
      <c r="K7970" s="3" t="s">
        <v>23</v>
      </c>
    </row>
    <row r="7971" spans="1:11" ht="42" customHeight="1">
      <c r="A7971" s="2" t="s">
        <v>15732</v>
      </c>
      <c r="B7971" s="2" t="s">
        <v>15732</v>
      </c>
      <c r="C7971" s="2" t="s">
        <v>293</v>
      </c>
      <c r="D7971" s="2" t="s">
        <v>74</v>
      </c>
      <c r="E7971" s="5">
        <v>-28073</v>
      </c>
      <c r="F7971" s="3" t="s">
        <v>204</v>
      </c>
      <c r="G7971" s="3" t="s">
        <v>39</v>
      </c>
      <c r="H7971" s="2" t="s">
        <v>21</v>
      </c>
      <c r="I7971" s="2" t="s">
        <v>15754</v>
      </c>
      <c r="J7971" s="3" t="str">
        <f>HYPERLINK("https://www.boe.es/gazeta/dias/1823/02/19/pdfs/GMD-1823-53.pdf#page=1","Abrir facsímil")</f>
        <v>Abrir facsímil</v>
      </c>
      <c r="K7971" s="3" t="s">
        <v>23</v>
      </c>
    </row>
    <row r="7972" spans="1:11" ht="42" customHeight="1">
      <c r="A7972" s="2" t="s">
        <v>15732</v>
      </c>
      <c r="B7972" s="2" t="s">
        <v>15732</v>
      </c>
      <c r="C7972" s="2" t="s">
        <v>79</v>
      </c>
      <c r="D7972" s="2" t="s">
        <v>74</v>
      </c>
      <c r="E7972" s="5">
        <v>-28057</v>
      </c>
      <c r="F7972" s="3" t="s">
        <v>301</v>
      </c>
      <c r="G7972" s="3" t="s">
        <v>20</v>
      </c>
      <c r="H7972" s="2" t="s">
        <v>21</v>
      </c>
      <c r="I7972" s="2" t="s">
        <v>15755</v>
      </c>
      <c r="J7972" s="3" t="str">
        <f>HYPERLINK("https://www.boe.es/gazeta/dias/1823/03/07/pdfs/GMD-1823-70.pdf#page=4","Abrir facsímil")</f>
        <v>Abrir facsímil</v>
      </c>
      <c r="K7972" s="3" t="s">
        <v>23</v>
      </c>
    </row>
    <row r="7973" spans="1:11" ht="42" customHeight="1">
      <c r="A7973" s="2" t="s">
        <v>15732</v>
      </c>
      <c r="B7973" s="2" t="s">
        <v>15732</v>
      </c>
      <c r="C7973" s="2" t="s">
        <v>17</v>
      </c>
      <c r="D7973" s="2" t="s">
        <v>18</v>
      </c>
      <c r="E7973" s="5">
        <v>-28055</v>
      </c>
      <c r="F7973" s="3" t="s">
        <v>313</v>
      </c>
      <c r="G7973" s="3" t="s">
        <v>27</v>
      </c>
      <c r="H7973" s="2" t="s">
        <v>21</v>
      </c>
      <c r="I7973" s="2" t="s">
        <v>15756</v>
      </c>
      <c r="J7973" s="3" t="str">
        <f>HYPERLINK("https://www.boe.es/gazeta/dias/1823/03/09/pdfs/GMD-1823-72.pdf#page=2","Abrir facsímil")</f>
        <v>Abrir facsímil</v>
      </c>
      <c r="K7973" s="3" t="s">
        <v>23</v>
      </c>
    </row>
    <row r="7974" spans="1:11" ht="42" customHeight="1">
      <c r="A7974" s="2" t="s">
        <v>15732</v>
      </c>
      <c r="B7974" s="2" t="s">
        <v>15732</v>
      </c>
      <c r="C7974" s="2" t="s">
        <v>84</v>
      </c>
      <c r="D7974" s="2" t="s">
        <v>74</v>
      </c>
      <c r="E7974" s="5">
        <v>-28052</v>
      </c>
      <c r="F7974" s="3" t="s">
        <v>1025</v>
      </c>
      <c r="G7974" s="3" t="s">
        <v>20</v>
      </c>
      <c r="H7974" s="2" t="s">
        <v>21</v>
      </c>
      <c r="I7974" s="2" t="s">
        <v>15757</v>
      </c>
      <c r="J7974" s="3" t="str">
        <f>HYPERLINK("https://www.boe.es/gazeta/dias/1823/03/12/pdfs/GMD-1823-75.pdf#page=4","Abrir facsímil")</f>
        <v>Abrir facsímil</v>
      </c>
      <c r="K7974" s="3" t="s">
        <v>23</v>
      </c>
    </row>
    <row r="7975" spans="1:11" ht="42" customHeight="1">
      <c r="A7975" s="2" t="s">
        <v>15732</v>
      </c>
      <c r="B7975" s="2" t="s">
        <v>15732</v>
      </c>
      <c r="C7975" s="2" t="s">
        <v>79</v>
      </c>
      <c r="D7975" s="2" t="s">
        <v>74</v>
      </c>
      <c r="E7975" s="5">
        <v>-28004</v>
      </c>
      <c r="F7975" s="3" t="s">
        <v>33</v>
      </c>
      <c r="G7975" s="3" t="s">
        <v>2112</v>
      </c>
      <c r="H7975" s="2" t="s">
        <v>21</v>
      </c>
      <c r="I7975" s="2" t="s">
        <v>15758</v>
      </c>
      <c r="J7975" s="3" t="str">
        <f>HYPERLINK("https://www.boe.es/gazeta/dias/1823/04/29/pdfs/GES-1823-19.pdf#page=4","Abrir facsímil")</f>
        <v>Abrir facsímil</v>
      </c>
      <c r="K7975" s="3" t="s">
        <v>23</v>
      </c>
    </row>
    <row r="7976" spans="1:11" ht="42" customHeight="1">
      <c r="A7976" s="2" t="s">
        <v>15732</v>
      </c>
      <c r="B7976" s="2" t="s">
        <v>15732</v>
      </c>
      <c r="C7976" s="2" t="s">
        <v>109</v>
      </c>
      <c r="D7976" s="2" t="s">
        <v>74</v>
      </c>
      <c r="E7976" s="5">
        <v>-28002</v>
      </c>
      <c r="F7976" s="3" t="s">
        <v>315</v>
      </c>
      <c r="G7976" s="3" t="s">
        <v>1116</v>
      </c>
      <c r="H7976" s="2" t="s">
        <v>21</v>
      </c>
      <c r="I7976" s="2" t="s">
        <v>15759</v>
      </c>
      <c r="J7976" s="3" t="str">
        <f>HYPERLINK("https://www.boe.es/gazeta/dias/1823/05/01/pdfs/GES-1823-21.pdf#page=4","Abrir facsímil")</f>
        <v>Abrir facsímil</v>
      </c>
      <c r="K7976" s="3" t="s">
        <v>23</v>
      </c>
    </row>
    <row r="7977" spans="1:11" ht="42" customHeight="1">
      <c r="A7977" s="2" t="s">
        <v>15732</v>
      </c>
      <c r="B7977" s="2" t="s">
        <v>15732</v>
      </c>
      <c r="C7977" s="2" t="s">
        <v>17</v>
      </c>
      <c r="D7977" s="2" t="s">
        <v>18</v>
      </c>
      <c r="E7977" s="5">
        <v>-28001</v>
      </c>
      <c r="F7977" s="3" t="s">
        <v>768</v>
      </c>
      <c r="G7977" s="3" t="s">
        <v>4465</v>
      </c>
      <c r="H7977" s="2" t="s">
        <v>21</v>
      </c>
      <c r="I7977" s="2" t="s">
        <v>15760</v>
      </c>
      <c r="J7977" s="3" t="str">
        <f>HYPERLINK("https://www.boe.es/gazeta/dias/1823/05/02/pdfs/GES-1823-22.pdf#page=4","Abrir facsímil")</f>
        <v>Abrir facsímil</v>
      </c>
      <c r="K7977" s="3" t="s">
        <v>23</v>
      </c>
    </row>
    <row r="7978" spans="1:11" ht="42" customHeight="1">
      <c r="A7978" s="2" t="s">
        <v>15732</v>
      </c>
      <c r="B7978" s="2" t="s">
        <v>15732</v>
      </c>
      <c r="C7978" s="2" t="s">
        <v>17</v>
      </c>
      <c r="D7978" s="2" t="s">
        <v>18</v>
      </c>
      <c r="E7978" s="5">
        <v>-27997</v>
      </c>
      <c r="F7978" s="3" t="s">
        <v>317</v>
      </c>
      <c r="G7978" s="3" t="s">
        <v>318</v>
      </c>
      <c r="H7978" s="2" t="s">
        <v>21</v>
      </c>
      <c r="I7978" s="2" t="s">
        <v>15761</v>
      </c>
      <c r="J7978" s="3" t="str">
        <f>HYPERLINK("https://www.boe.es/gazeta/dias/1823/05/06/pdfs/GES-1823-26.pdf#page=3","Abrir facsímil")</f>
        <v>Abrir facsímil</v>
      </c>
      <c r="K7978" s="3" t="s">
        <v>23</v>
      </c>
    </row>
    <row r="7979" spans="1:11" ht="42" customHeight="1">
      <c r="A7979" s="2" t="s">
        <v>15732</v>
      </c>
      <c r="B7979" s="2" t="s">
        <v>15732</v>
      </c>
      <c r="C7979" s="2" t="s">
        <v>293</v>
      </c>
      <c r="D7979" s="2" t="s">
        <v>74</v>
      </c>
      <c r="E7979" s="5">
        <v>-27995</v>
      </c>
      <c r="F7979" s="3" t="s">
        <v>326</v>
      </c>
      <c r="G7979" s="3" t="s">
        <v>27</v>
      </c>
      <c r="H7979" s="2" t="s">
        <v>21</v>
      </c>
      <c r="I7979" s="2" t="s">
        <v>15762</v>
      </c>
      <c r="J7979" s="3" t="str">
        <f>HYPERLINK("https://www.boe.es/gazeta/dias/1823/05/08/pdfs/GMD-1823-112.pdf#page=2","Abrir facsímil")</f>
        <v>Abrir facsímil</v>
      </c>
      <c r="K7979" s="3" t="s">
        <v>23</v>
      </c>
    </row>
    <row r="7980" spans="1:11" ht="42" customHeight="1">
      <c r="A7980" s="2" t="s">
        <v>15732</v>
      </c>
      <c r="B7980" s="2" t="s">
        <v>15732</v>
      </c>
      <c r="C7980" s="2" t="s">
        <v>73</v>
      </c>
      <c r="D7980" s="2" t="s">
        <v>74</v>
      </c>
      <c r="E7980" s="5">
        <v>-27993</v>
      </c>
      <c r="F7980" s="3" t="s">
        <v>977</v>
      </c>
      <c r="G7980" s="3" t="s">
        <v>48</v>
      </c>
      <c r="H7980" s="2" t="s">
        <v>21</v>
      </c>
      <c r="I7980" s="2" t="s">
        <v>15763</v>
      </c>
      <c r="J7980" s="3" t="str">
        <f>HYPERLINK("https://www.boe.es/gazeta/dias/1823/05/10/pdfs/GES-1823-30.pdf#page=3","Abrir facsímil")</f>
        <v>Abrir facsímil</v>
      </c>
      <c r="K7980" s="3" t="s">
        <v>23</v>
      </c>
    </row>
    <row r="7981" spans="1:11" ht="42" customHeight="1">
      <c r="A7981" s="2" t="s">
        <v>15764</v>
      </c>
      <c r="B7981" s="2" t="s">
        <v>15764</v>
      </c>
      <c r="C7981" s="2" t="s">
        <v>109</v>
      </c>
      <c r="D7981" s="2" t="s">
        <v>74</v>
      </c>
      <c r="E7981" s="5">
        <v>-27992</v>
      </c>
      <c r="F7981" s="3" t="s">
        <v>565</v>
      </c>
      <c r="G7981" s="3" t="s">
        <v>1279</v>
      </c>
      <c r="H7981" s="2" t="s">
        <v>21</v>
      </c>
      <c r="I7981" s="2" t="s">
        <v>15765</v>
      </c>
      <c r="J7981" s="3" t="str">
        <f>HYPERLINK("https://www.boe.es/gazeta/dias/1823/05/11/pdfs/GES-1823-31.pdf#page=2","Abrir facsímil")</f>
        <v>Abrir facsímil</v>
      </c>
      <c r="K7981" s="3" t="s">
        <v>23</v>
      </c>
    </row>
    <row r="7982" spans="1:11" ht="42" customHeight="1">
      <c r="A7982" s="2" t="s">
        <v>15732</v>
      </c>
      <c r="B7982" s="2" t="s">
        <v>15732</v>
      </c>
      <c r="C7982" s="2" t="s">
        <v>73</v>
      </c>
      <c r="D7982" s="2" t="s">
        <v>74</v>
      </c>
      <c r="E7982" s="5">
        <v>-27991</v>
      </c>
      <c r="F7982" s="3" t="s">
        <v>328</v>
      </c>
      <c r="G7982" s="3" t="s">
        <v>20</v>
      </c>
      <c r="H7982" s="2" t="s">
        <v>21</v>
      </c>
      <c r="I7982" s="2" t="s">
        <v>15766</v>
      </c>
      <c r="J7982" s="3" t="str">
        <f>HYPERLINK("https://www.boe.es/gazeta/dias/1823/05/12/pdfs/GES-1823-32.pdf#page=4","Abrir facsímil")</f>
        <v>Abrir facsímil</v>
      </c>
      <c r="K7982" s="3" t="s">
        <v>23</v>
      </c>
    </row>
    <row r="7983" spans="1:11" ht="42" customHeight="1">
      <c r="A7983" s="2" t="s">
        <v>15732</v>
      </c>
      <c r="B7983" s="2" t="s">
        <v>15732</v>
      </c>
      <c r="C7983" s="2" t="s">
        <v>109</v>
      </c>
      <c r="D7983" s="2" t="s">
        <v>74</v>
      </c>
      <c r="E7983" s="5">
        <v>-27990</v>
      </c>
      <c r="F7983" s="3" t="s">
        <v>1132</v>
      </c>
      <c r="G7983" s="3" t="s">
        <v>27</v>
      </c>
      <c r="H7983" s="2" t="s">
        <v>21</v>
      </c>
      <c r="I7983" s="2" t="s">
        <v>15767</v>
      </c>
      <c r="J7983" s="3" t="str">
        <f>HYPERLINK("https://www.boe.es/gazeta/dias/1823/05/13/pdfs/GES-1823-33.pdf#page=2","Abrir facsímil")</f>
        <v>Abrir facsímil</v>
      </c>
      <c r="K7983" s="3" t="s">
        <v>23</v>
      </c>
    </row>
    <row r="7984" spans="1:11" ht="42" customHeight="1">
      <c r="A7984" s="2" t="s">
        <v>15732</v>
      </c>
      <c r="B7984" s="2" t="s">
        <v>15732</v>
      </c>
      <c r="C7984" s="2" t="s">
        <v>73</v>
      </c>
      <c r="D7984" s="2" t="s">
        <v>74</v>
      </c>
      <c r="E7984" s="5">
        <v>-27990</v>
      </c>
      <c r="F7984" s="3" t="s">
        <v>1132</v>
      </c>
      <c r="G7984" s="3" t="s">
        <v>48</v>
      </c>
      <c r="H7984" s="2" t="s">
        <v>21</v>
      </c>
      <c r="I7984" s="2" t="s">
        <v>15768</v>
      </c>
      <c r="J7984" s="3" t="str">
        <f>HYPERLINK("https://www.boe.es/gazeta/dias/1823/05/13/pdfs/GES-1823-33.pdf#page=3","Abrir facsímil")</f>
        <v>Abrir facsímil</v>
      </c>
      <c r="K7984" s="3" t="s">
        <v>23</v>
      </c>
    </row>
    <row r="7985" spans="1:11" ht="42" customHeight="1">
      <c r="A7985" s="2" t="s">
        <v>15732</v>
      </c>
      <c r="B7985" s="2" t="s">
        <v>15732</v>
      </c>
      <c r="C7985" s="2" t="s">
        <v>79</v>
      </c>
      <c r="D7985" s="2" t="s">
        <v>74</v>
      </c>
      <c r="E7985" s="5">
        <v>-27986</v>
      </c>
      <c r="F7985" s="3" t="s">
        <v>607</v>
      </c>
      <c r="G7985" s="3" t="s">
        <v>48</v>
      </c>
      <c r="H7985" s="2" t="s">
        <v>21</v>
      </c>
      <c r="I7985" s="2" t="s">
        <v>15769</v>
      </c>
      <c r="J7985" s="3" t="str">
        <f>HYPERLINK("https://www.boe.es/gazeta/dias/1823/05/17/pdfs/GMD-1823-152.pdf#page=3","Abrir facsímil")</f>
        <v>Abrir facsímil</v>
      </c>
      <c r="K7985" s="3" t="s">
        <v>23</v>
      </c>
    </row>
    <row r="7986" spans="1:11" ht="42" customHeight="1">
      <c r="A7986" s="2" t="s">
        <v>15732</v>
      </c>
      <c r="B7986" s="2" t="s">
        <v>15732</v>
      </c>
      <c r="C7986" s="2" t="s">
        <v>84</v>
      </c>
      <c r="D7986" s="2" t="s">
        <v>74</v>
      </c>
      <c r="E7986" s="5">
        <v>-27985</v>
      </c>
      <c r="F7986" s="3" t="s">
        <v>951</v>
      </c>
      <c r="G7986" s="3" t="s">
        <v>1140</v>
      </c>
      <c r="H7986" s="2" t="s">
        <v>21</v>
      </c>
      <c r="I7986" s="2" t="s">
        <v>15770</v>
      </c>
      <c r="J7986" s="3" t="str">
        <f>HYPERLINK("https://www.boe.es/gazeta/dias/1823/05/18/pdfs/GES-1823-38.pdf#page=5","Abrir facsímil")</f>
        <v>Abrir facsímil</v>
      </c>
      <c r="K7986" s="3" t="s">
        <v>23</v>
      </c>
    </row>
    <row r="7987" spans="1:11" ht="42" customHeight="1">
      <c r="A7987" s="2" t="s">
        <v>15732</v>
      </c>
      <c r="B7987" s="2" t="s">
        <v>15732</v>
      </c>
      <c r="C7987" s="2" t="s">
        <v>73</v>
      </c>
      <c r="D7987" s="2" t="s">
        <v>74</v>
      </c>
      <c r="E7987" s="5">
        <v>-27985</v>
      </c>
      <c r="F7987" s="3" t="s">
        <v>951</v>
      </c>
      <c r="G7987" s="3" t="s">
        <v>27</v>
      </c>
      <c r="H7987" s="2" t="s">
        <v>21</v>
      </c>
      <c r="I7987" s="2" t="s">
        <v>15771</v>
      </c>
      <c r="J7987" s="3" t="str">
        <f>HYPERLINK("https://www.boe.es/gazeta/dias/1823/05/18/pdfs/GES-1823-38.pdf#page=2","Abrir facsímil")</f>
        <v>Abrir facsímil</v>
      </c>
      <c r="K7987" s="3" t="s">
        <v>23</v>
      </c>
    </row>
    <row r="7988" spans="1:11" ht="42" customHeight="1">
      <c r="A7988" s="2" t="s">
        <v>15732</v>
      </c>
      <c r="B7988" s="2" t="s">
        <v>15732</v>
      </c>
      <c r="C7988" s="2" t="s">
        <v>79</v>
      </c>
      <c r="D7988" s="2" t="s">
        <v>74</v>
      </c>
      <c r="E7988" s="5">
        <v>-27984</v>
      </c>
      <c r="F7988" s="3" t="s">
        <v>335</v>
      </c>
      <c r="G7988" s="3" t="s">
        <v>48</v>
      </c>
      <c r="H7988" s="2" t="s">
        <v>21</v>
      </c>
      <c r="I7988" s="2" t="s">
        <v>15772</v>
      </c>
      <c r="J7988" s="3" t="str">
        <f>HYPERLINK("https://www.boe.es/gazeta/dias/1823/05/19/pdfs/GES-1823-39.pdf#page=3","Abrir facsímil")</f>
        <v>Abrir facsímil</v>
      </c>
      <c r="K7988" s="3" t="s">
        <v>23</v>
      </c>
    </row>
    <row r="7989" spans="1:11" ht="42" customHeight="1">
      <c r="A7989" s="2" t="s">
        <v>15732</v>
      </c>
      <c r="B7989" s="2" t="s">
        <v>15732</v>
      </c>
      <c r="C7989" s="2" t="s">
        <v>73</v>
      </c>
      <c r="D7989" s="2" t="s">
        <v>74</v>
      </c>
      <c r="E7989" s="5">
        <v>-27984</v>
      </c>
      <c r="F7989" s="3" t="s">
        <v>335</v>
      </c>
      <c r="G7989" s="3" t="s">
        <v>20</v>
      </c>
      <c r="H7989" s="2" t="s">
        <v>21</v>
      </c>
      <c r="I7989" s="2" t="s">
        <v>15773</v>
      </c>
      <c r="J7989" s="3" t="str">
        <f>HYPERLINK("https://www.boe.es/gazeta/dias/1823/05/19/pdfs/GES-1823-39.pdf#page=4","Abrir facsímil")</f>
        <v>Abrir facsímil</v>
      </c>
      <c r="K7989" s="3" t="s">
        <v>23</v>
      </c>
    </row>
    <row r="7990" spans="1:11" ht="42" customHeight="1">
      <c r="A7990" s="2" t="s">
        <v>15774</v>
      </c>
      <c r="B7990" s="2" t="s">
        <v>15774</v>
      </c>
      <c r="C7990" s="2" t="s">
        <v>17</v>
      </c>
      <c r="D7990" s="2" t="s">
        <v>18</v>
      </c>
      <c r="E7990" s="5">
        <v>-27978</v>
      </c>
      <c r="F7990" s="3" t="s">
        <v>342</v>
      </c>
      <c r="G7990" s="3" t="s">
        <v>27</v>
      </c>
      <c r="H7990" s="2" t="s">
        <v>21</v>
      </c>
      <c r="I7990" s="2" t="s">
        <v>15775</v>
      </c>
      <c r="J7990" s="3" t="str">
        <f>HYPERLINK("https://www.boe.es/gazeta/dias/1823/05/25/pdfs/GES-1823-46.pdf#page=2","Abrir facsímil")</f>
        <v>Abrir facsímil</v>
      </c>
      <c r="K7990" s="3" t="s">
        <v>23</v>
      </c>
    </row>
    <row r="7991" spans="1:11" ht="42" customHeight="1">
      <c r="A7991" s="2" t="s">
        <v>15732</v>
      </c>
      <c r="B7991" s="2" t="s">
        <v>15732</v>
      </c>
      <c r="C7991" s="2" t="s">
        <v>17</v>
      </c>
      <c r="D7991" s="2" t="s">
        <v>18</v>
      </c>
      <c r="E7991" s="5">
        <v>-27974</v>
      </c>
      <c r="F7991" s="3" t="s">
        <v>618</v>
      </c>
      <c r="G7991" s="3" t="s">
        <v>39</v>
      </c>
      <c r="H7991" s="2" t="s">
        <v>21</v>
      </c>
      <c r="I7991" s="2" t="s">
        <v>15776</v>
      </c>
      <c r="J7991" s="3" t="str">
        <f>HYPERLINK("https://www.boe.es/gazeta/dias/1823/05/29/pdfs/GES-1823-52.pdf#page=1","Abrir facsímil")</f>
        <v>Abrir facsímil</v>
      </c>
      <c r="K7991" s="3" t="s">
        <v>23</v>
      </c>
    </row>
    <row r="7992" spans="1:11" ht="42" customHeight="1">
      <c r="A7992" s="2" t="s">
        <v>15732</v>
      </c>
      <c r="B7992" s="2" t="s">
        <v>15732</v>
      </c>
      <c r="C7992" s="2" t="s">
        <v>293</v>
      </c>
      <c r="D7992" s="2" t="s">
        <v>74</v>
      </c>
      <c r="E7992" s="5">
        <v>-27969</v>
      </c>
      <c r="F7992" s="3" t="s">
        <v>855</v>
      </c>
      <c r="G7992" s="3" t="s">
        <v>48</v>
      </c>
      <c r="H7992" s="2" t="s">
        <v>21</v>
      </c>
      <c r="I7992" s="2" t="s">
        <v>15777</v>
      </c>
      <c r="J7992" s="3" t="str">
        <f>HYPERLINK("https://www.boe.es/gazeta/dias/1823/06/03/pdfs/GES-1823-57.pdf#page=3","Abrir facsímil")</f>
        <v>Abrir facsímil</v>
      </c>
      <c r="K7992" s="3" t="s">
        <v>23</v>
      </c>
    </row>
    <row r="7993" spans="1:11" ht="42" customHeight="1">
      <c r="A7993" s="2" t="s">
        <v>15732</v>
      </c>
      <c r="B7993" s="2" t="s">
        <v>15732</v>
      </c>
      <c r="C7993" s="2" t="s">
        <v>73</v>
      </c>
      <c r="D7993" s="2" t="s">
        <v>74</v>
      </c>
      <c r="E7993" s="5">
        <v>-27968</v>
      </c>
      <c r="F7993" s="3" t="s">
        <v>1160</v>
      </c>
      <c r="G7993" s="3" t="s">
        <v>39</v>
      </c>
      <c r="H7993" s="2" t="s">
        <v>21</v>
      </c>
      <c r="I7993" s="2" t="s">
        <v>15778</v>
      </c>
      <c r="J7993" s="3" t="str">
        <f>HYPERLINK("https://www.boe.es/gazeta/dias/1823/06/04/pdfs/GES-1823-58.pdf#page=1","Abrir facsímil")</f>
        <v>Abrir facsímil</v>
      </c>
      <c r="K7993" s="3" t="s">
        <v>23</v>
      </c>
    </row>
    <row r="7994" spans="1:11" ht="42" customHeight="1">
      <c r="A7994" s="2" t="s">
        <v>15732</v>
      </c>
      <c r="B7994" s="2" t="s">
        <v>15732</v>
      </c>
      <c r="C7994" s="2" t="s">
        <v>109</v>
      </c>
      <c r="D7994" s="2" t="s">
        <v>74</v>
      </c>
      <c r="E7994" s="5">
        <v>-27968</v>
      </c>
      <c r="F7994" s="3" t="s">
        <v>1160</v>
      </c>
      <c r="G7994" s="3" t="s">
        <v>27</v>
      </c>
      <c r="H7994" s="2" t="s">
        <v>21</v>
      </c>
      <c r="I7994" s="2" t="s">
        <v>15779</v>
      </c>
      <c r="J7994" s="3" t="str">
        <f>HYPERLINK("https://www.boe.es/gazeta/dias/1823/06/04/pdfs/GES-1823-58.pdf#page=2","Abrir facsímil")</f>
        <v>Abrir facsímil</v>
      </c>
      <c r="K7994" s="3" t="s">
        <v>23</v>
      </c>
    </row>
    <row r="7995" spans="1:11" ht="42" customHeight="1">
      <c r="A7995" s="2" t="s">
        <v>15732</v>
      </c>
      <c r="B7995" s="2" t="s">
        <v>15732</v>
      </c>
      <c r="C7995" s="2" t="s">
        <v>73</v>
      </c>
      <c r="D7995" s="2" t="s">
        <v>74</v>
      </c>
      <c r="E7995" s="5">
        <v>-27967</v>
      </c>
      <c r="F7995" s="3" t="s">
        <v>412</v>
      </c>
      <c r="G7995" s="3" t="s">
        <v>592</v>
      </c>
      <c r="H7995" s="2" t="s">
        <v>21</v>
      </c>
      <c r="I7995" s="2" t="s">
        <v>15780</v>
      </c>
      <c r="J7995" s="3" t="str">
        <f>HYPERLINK("https://www.boe.es/gazeta/dias/1823/06/05/pdfs/GES-1823-59.pdf#page=3","Abrir facsímil")</f>
        <v>Abrir facsímil</v>
      </c>
      <c r="K7995" s="3" t="s">
        <v>23</v>
      </c>
    </row>
    <row r="7996" spans="1:11" ht="42" customHeight="1">
      <c r="A7996" s="2" t="s">
        <v>15732</v>
      </c>
      <c r="B7996" s="2" t="s">
        <v>15732</v>
      </c>
      <c r="C7996" s="2" t="s">
        <v>73</v>
      </c>
      <c r="D7996" s="2" t="s">
        <v>74</v>
      </c>
      <c r="E7996" s="5">
        <v>-27967</v>
      </c>
      <c r="F7996" s="3" t="s">
        <v>412</v>
      </c>
      <c r="G7996" s="3" t="s">
        <v>20</v>
      </c>
      <c r="H7996" s="2" t="s">
        <v>21</v>
      </c>
      <c r="I7996" s="2" t="s">
        <v>15781</v>
      </c>
      <c r="J7996" s="3" t="str">
        <f>HYPERLINK("https://www.boe.es/gazeta/dias/1823/06/05/pdfs/GES-1823-59.pdf#page=4","Abrir facsímil")</f>
        <v>Abrir facsímil</v>
      </c>
      <c r="K7996" s="3" t="s">
        <v>23</v>
      </c>
    </row>
    <row r="7997" spans="1:11" ht="42" customHeight="1">
      <c r="A7997" s="2" t="s">
        <v>15732</v>
      </c>
      <c r="B7997" s="2" t="s">
        <v>15732</v>
      </c>
      <c r="C7997" s="2" t="s">
        <v>109</v>
      </c>
      <c r="D7997" s="2" t="s">
        <v>74</v>
      </c>
      <c r="E7997" s="5">
        <v>-27963</v>
      </c>
      <c r="F7997" s="3" t="s">
        <v>344</v>
      </c>
      <c r="G7997" s="3" t="s">
        <v>39</v>
      </c>
      <c r="H7997" s="2" t="s">
        <v>21</v>
      </c>
      <c r="I7997" s="2" t="s">
        <v>15782</v>
      </c>
      <c r="J7997" s="3" t="str">
        <f>HYPERLINK("https://www.boe.es/gazeta/dias/1823/06/09/pdfs/GES-1823-63.pdf#page=1","Abrir facsímil")</f>
        <v>Abrir facsímil</v>
      </c>
      <c r="K7997" s="3" t="s">
        <v>23</v>
      </c>
    </row>
    <row r="7998" spans="1:11" ht="42" customHeight="1">
      <c r="A7998" s="2" t="s">
        <v>15732</v>
      </c>
      <c r="B7998" s="2" t="s">
        <v>15732</v>
      </c>
      <c r="C7998" s="2" t="s">
        <v>325</v>
      </c>
      <c r="D7998" s="2" t="s">
        <v>74</v>
      </c>
      <c r="E7998" s="5">
        <v>-27962</v>
      </c>
      <c r="F7998" s="3" t="s">
        <v>594</v>
      </c>
      <c r="G7998" s="3" t="s">
        <v>39</v>
      </c>
      <c r="H7998" s="2" t="s">
        <v>21</v>
      </c>
      <c r="I7998" s="2" t="s">
        <v>15783</v>
      </c>
      <c r="J7998" s="3" t="str">
        <f>HYPERLINK("https://www.boe.es/gazeta/dias/1823/06/10/pdfs/GES-1823-64.pdf#page=1","Abrir facsímil")</f>
        <v>Abrir facsímil</v>
      </c>
      <c r="K7998" s="3" t="s">
        <v>23</v>
      </c>
    </row>
    <row r="7999" spans="1:11" ht="42" customHeight="1">
      <c r="A7999" s="2" t="s">
        <v>15732</v>
      </c>
      <c r="B7999" s="2" t="s">
        <v>15732</v>
      </c>
      <c r="C7999" s="2" t="s">
        <v>79</v>
      </c>
      <c r="D7999" s="2" t="s">
        <v>74</v>
      </c>
      <c r="E7999" s="5">
        <v>-27951</v>
      </c>
      <c r="F7999" s="3" t="s">
        <v>548</v>
      </c>
      <c r="G7999" s="3" t="s">
        <v>27</v>
      </c>
      <c r="H7999" s="2" t="s">
        <v>21</v>
      </c>
      <c r="I7999" s="2" t="s">
        <v>15784</v>
      </c>
      <c r="J7999" s="3" t="str">
        <f>HYPERLINK("https://www.boe.es/gazeta/dias/1823/06/21/pdfs/GES-1823-69.pdf#page=2","Abrir facsímil")</f>
        <v>Abrir facsímil</v>
      </c>
      <c r="K7999" s="3" t="s">
        <v>23</v>
      </c>
    </row>
    <row r="8000" spans="1:11" ht="42" customHeight="1">
      <c r="A8000" s="2" t="s">
        <v>15732</v>
      </c>
      <c r="B8000" s="2" t="s">
        <v>15732</v>
      </c>
      <c r="C8000" s="2" t="s">
        <v>17</v>
      </c>
      <c r="D8000" s="2" t="s">
        <v>18</v>
      </c>
      <c r="E8000" s="5">
        <v>-27938</v>
      </c>
      <c r="F8000" s="3" t="s">
        <v>101</v>
      </c>
      <c r="G8000" s="3" t="s">
        <v>48</v>
      </c>
      <c r="H8000" s="2" t="s">
        <v>21</v>
      </c>
      <c r="I8000" s="2" t="s">
        <v>15785</v>
      </c>
      <c r="J8000" s="3" t="str">
        <f>HYPERLINK("https://www.boe.es/gazeta/dias/1823/07/04/pdfs/GES-1823-84.pdf#page=3","Abrir facsímil")</f>
        <v>Abrir facsímil</v>
      </c>
      <c r="K8000" s="3" t="s">
        <v>23</v>
      </c>
    </row>
    <row r="8001" spans="1:11" ht="42" customHeight="1">
      <c r="A8001" s="2" t="s">
        <v>15732</v>
      </c>
      <c r="B8001" s="2" t="s">
        <v>15732</v>
      </c>
      <c r="C8001" s="2" t="s">
        <v>17</v>
      </c>
      <c r="D8001" s="2" t="s">
        <v>18</v>
      </c>
      <c r="E8001" s="5">
        <v>-27931</v>
      </c>
      <c r="F8001" s="3" t="s">
        <v>1833</v>
      </c>
      <c r="G8001" s="3" t="s">
        <v>27</v>
      </c>
      <c r="H8001" s="2" t="s">
        <v>21</v>
      </c>
      <c r="I8001" s="2" t="s">
        <v>15786</v>
      </c>
      <c r="J8001" s="3" t="str">
        <f>HYPERLINK("https://www.boe.es/gazeta/dias/1823/07/11/pdfs/GES-1823-91.pdf#page=2","Abrir facsímil")</f>
        <v>Abrir facsímil</v>
      </c>
      <c r="K8001" s="3" t="s">
        <v>23</v>
      </c>
    </row>
    <row r="8002" spans="1:11" ht="42" customHeight="1">
      <c r="A8002" s="2" t="s">
        <v>15732</v>
      </c>
      <c r="B8002" s="2" t="s">
        <v>15732</v>
      </c>
      <c r="C8002" s="2" t="s">
        <v>17</v>
      </c>
      <c r="D8002" s="2" t="s">
        <v>18</v>
      </c>
      <c r="E8002" s="5">
        <v>-27928</v>
      </c>
      <c r="F8002" s="3" t="s">
        <v>1316</v>
      </c>
      <c r="G8002" s="3" t="s">
        <v>3173</v>
      </c>
      <c r="H8002" s="2" t="s">
        <v>21</v>
      </c>
      <c r="I8002" s="2" t="s">
        <v>15787</v>
      </c>
      <c r="J8002" s="3" t="str">
        <f>HYPERLINK("https://www.boe.es/gazeta/dias/1823/07/14/pdfs/GES-1823-94.pdf#page=1","Abrir facsímil")</f>
        <v>Abrir facsímil</v>
      </c>
      <c r="K8002" s="3" t="s">
        <v>23</v>
      </c>
    </row>
    <row r="8003" spans="1:11" ht="42" customHeight="1">
      <c r="A8003" s="2" t="s">
        <v>15732</v>
      </c>
      <c r="B8003" s="2" t="s">
        <v>15732</v>
      </c>
      <c r="C8003" s="2" t="s">
        <v>79</v>
      </c>
      <c r="D8003" s="2" t="s">
        <v>74</v>
      </c>
      <c r="E8003" s="5">
        <v>-27925</v>
      </c>
      <c r="F8003" s="3" t="s">
        <v>89</v>
      </c>
      <c r="G8003" s="3" t="s">
        <v>27</v>
      </c>
      <c r="H8003" s="2" t="s">
        <v>21</v>
      </c>
      <c r="I8003" s="2" t="s">
        <v>15788</v>
      </c>
      <c r="J8003" s="3" t="str">
        <f>HYPERLINK("https://www.boe.es/gazeta/dias/1823/07/17/pdfs/GES-1823-97.pdf#page=2","Abrir facsímil")</f>
        <v>Abrir facsímil</v>
      </c>
      <c r="K8003" s="3" t="s">
        <v>23</v>
      </c>
    </row>
    <row r="8004" spans="1:11" ht="42" customHeight="1">
      <c r="A8004" s="2" t="s">
        <v>15732</v>
      </c>
      <c r="B8004" s="2" t="s">
        <v>15732</v>
      </c>
      <c r="C8004" s="2" t="s">
        <v>17</v>
      </c>
      <c r="D8004" s="2" t="s">
        <v>18</v>
      </c>
      <c r="E8004" s="5">
        <v>-27923</v>
      </c>
      <c r="F8004" s="3" t="s">
        <v>354</v>
      </c>
      <c r="G8004" s="3" t="s">
        <v>39</v>
      </c>
      <c r="H8004" s="2" t="s">
        <v>21</v>
      </c>
      <c r="I8004" s="2" t="s">
        <v>15789</v>
      </c>
      <c r="J8004" s="3" t="str">
        <f>HYPERLINK("https://www.boe.es/gazeta/dias/1823/07/19/pdfs/GES-1823-100.pdf#page=1","Abrir facsímil")</f>
        <v>Abrir facsímil</v>
      </c>
      <c r="K8004" s="3" t="s">
        <v>23</v>
      </c>
    </row>
    <row r="8005" spans="1:11" ht="42" customHeight="1">
      <c r="A8005" s="2" t="s">
        <v>15732</v>
      </c>
      <c r="B8005" s="2" t="s">
        <v>15732</v>
      </c>
      <c r="C8005" s="2" t="s">
        <v>109</v>
      </c>
      <c r="D8005" s="2" t="s">
        <v>74</v>
      </c>
      <c r="E8005" s="5">
        <v>-27923</v>
      </c>
      <c r="F8005" s="3" t="s">
        <v>354</v>
      </c>
      <c r="G8005" s="3" t="s">
        <v>27</v>
      </c>
      <c r="H8005" s="2" t="s">
        <v>21</v>
      </c>
      <c r="I8005" s="2" t="s">
        <v>15790</v>
      </c>
      <c r="J8005" s="3" t="str">
        <f>HYPERLINK("https://www.boe.es/gazeta/dias/1823/07/19/pdfs/GES-1823-100.pdf#page=2","Abrir facsímil")</f>
        <v>Abrir facsímil</v>
      </c>
      <c r="K8005" s="3" t="s">
        <v>23</v>
      </c>
    </row>
    <row r="8006" spans="1:11" ht="42" customHeight="1">
      <c r="A8006" s="2" t="s">
        <v>15732</v>
      </c>
      <c r="B8006" s="2" t="s">
        <v>15732</v>
      </c>
      <c r="C8006" s="2" t="s">
        <v>79</v>
      </c>
      <c r="D8006" s="2" t="s">
        <v>74</v>
      </c>
      <c r="E8006" s="5">
        <v>-27922</v>
      </c>
      <c r="F8006" s="3" t="s">
        <v>1959</v>
      </c>
      <c r="G8006" s="3" t="s">
        <v>27</v>
      </c>
      <c r="H8006" s="2" t="s">
        <v>21</v>
      </c>
      <c r="I8006" s="2" t="s">
        <v>15791</v>
      </c>
      <c r="J8006" s="3" t="str">
        <f>HYPERLINK("https://www.boe.es/gazeta/dias/1823/07/20/pdfs/GES-1823-101.pdf#page=2","Abrir facsímil")</f>
        <v>Abrir facsímil</v>
      </c>
      <c r="K8006" s="3" t="s">
        <v>23</v>
      </c>
    </row>
    <row r="8007" spans="1:11" ht="42" customHeight="1">
      <c r="A8007" s="2" t="s">
        <v>15732</v>
      </c>
      <c r="B8007" s="2" t="s">
        <v>15732</v>
      </c>
      <c r="C8007" s="2" t="s">
        <v>79</v>
      </c>
      <c r="D8007" s="2" t="s">
        <v>74</v>
      </c>
      <c r="E8007" s="5">
        <v>-27920</v>
      </c>
      <c r="F8007" s="3" t="s">
        <v>358</v>
      </c>
      <c r="G8007" s="3" t="s">
        <v>39</v>
      </c>
      <c r="H8007" s="2" t="s">
        <v>21</v>
      </c>
      <c r="I8007" s="2" t="s">
        <v>15792</v>
      </c>
      <c r="J8007" s="3" t="str">
        <f>HYPERLINK("https://www.boe.es/gazeta/dias/1823/07/22/pdfs/GES-1823-103.pdf#page=1","Abrir facsímil")</f>
        <v>Abrir facsímil</v>
      </c>
      <c r="K8007" s="3" t="s">
        <v>23</v>
      </c>
    </row>
    <row r="8008" spans="1:11" ht="42" customHeight="1">
      <c r="A8008" s="2" t="s">
        <v>15732</v>
      </c>
      <c r="B8008" s="2" t="s">
        <v>15732</v>
      </c>
      <c r="C8008" s="2" t="s">
        <v>79</v>
      </c>
      <c r="D8008" s="2" t="s">
        <v>74</v>
      </c>
      <c r="E8008" s="5">
        <v>-27920</v>
      </c>
      <c r="F8008" s="3" t="s">
        <v>358</v>
      </c>
      <c r="G8008" s="3" t="s">
        <v>27</v>
      </c>
      <c r="H8008" s="2" t="s">
        <v>21</v>
      </c>
      <c r="I8008" s="2" t="s">
        <v>15793</v>
      </c>
      <c r="J8008" s="3" t="str">
        <f>HYPERLINK("https://www.boe.es/gazeta/dias/1823/07/22/pdfs/GES-1823-103.pdf#page=2","Abrir facsímil")</f>
        <v>Abrir facsímil</v>
      </c>
      <c r="K8008" s="3" t="s">
        <v>23</v>
      </c>
    </row>
    <row r="8009" spans="1:11" ht="42" customHeight="1">
      <c r="A8009" s="2" t="s">
        <v>15732</v>
      </c>
      <c r="B8009" s="2" t="s">
        <v>15732</v>
      </c>
      <c r="C8009" s="2" t="s">
        <v>109</v>
      </c>
      <c r="D8009" s="2" t="s">
        <v>74</v>
      </c>
      <c r="E8009" s="5">
        <v>-27919</v>
      </c>
      <c r="F8009" s="3" t="s">
        <v>361</v>
      </c>
      <c r="G8009" s="3" t="s">
        <v>39</v>
      </c>
      <c r="H8009" s="2" t="s">
        <v>21</v>
      </c>
      <c r="I8009" s="2" t="s">
        <v>15794</v>
      </c>
      <c r="J8009" s="3" t="str">
        <f>HYPERLINK("https://www.boe.es/gazeta/dias/1823/07/23/pdfs/GES-1823-104.pdf#page=1","Abrir facsímil")</f>
        <v>Abrir facsímil</v>
      </c>
      <c r="K8009" s="3" t="s">
        <v>23</v>
      </c>
    </row>
    <row r="8010" spans="1:11" ht="42" customHeight="1">
      <c r="A8010" s="2" t="s">
        <v>15732</v>
      </c>
      <c r="B8010" s="2" t="s">
        <v>15732</v>
      </c>
      <c r="C8010" s="2" t="s">
        <v>56</v>
      </c>
      <c r="D8010" s="2" t="s">
        <v>57</v>
      </c>
      <c r="E8010" s="5">
        <v>-27918</v>
      </c>
      <c r="F8010" s="3" t="s">
        <v>3181</v>
      </c>
      <c r="G8010" s="3" t="s">
        <v>39</v>
      </c>
      <c r="H8010" s="2" t="s">
        <v>21</v>
      </c>
      <c r="I8010" s="2" t="s">
        <v>15795</v>
      </c>
      <c r="J8010" s="3" t="str">
        <f>HYPERLINK("https://www.boe.es/gazeta/dias/1823/07/24/pdfs/GES-1823-105.pdf#page=1","Abrir facsímil")</f>
        <v>Abrir facsímil</v>
      </c>
      <c r="K8010" s="3" t="s">
        <v>23</v>
      </c>
    </row>
    <row r="8011" spans="1:11" ht="42" customHeight="1">
      <c r="A8011" s="2" t="s">
        <v>15732</v>
      </c>
      <c r="B8011" s="2" t="s">
        <v>15732</v>
      </c>
      <c r="C8011" s="2" t="s">
        <v>56</v>
      </c>
      <c r="D8011" s="2" t="s">
        <v>57</v>
      </c>
      <c r="E8011" s="5">
        <v>-27918</v>
      </c>
      <c r="F8011" s="3" t="s">
        <v>3181</v>
      </c>
      <c r="G8011" s="3" t="s">
        <v>27</v>
      </c>
      <c r="H8011" s="2" t="s">
        <v>21</v>
      </c>
      <c r="I8011" s="2" t="s">
        <v>15796</v>
      </c>
      <c r="J8011" s="3" t="str">
        <f>HYPERLINK("https://www.boe.es/gazeta/dias/1823/07/24/pdfs/GES-1823-105.pdf#page=2","Abrir facsímil")</f>
        <v>Abrir facsímil</v>
      </c>
      <c r="K8011" s="3" t="s">
        <v>23</v>
      </c>
    </row>
    <row r="8012" spans="1:11" ht="42" customHeight="1">
      <c r="A8012" s="2" t="s">
        <v>15732</v>
      </c>
      <c r="B8012" s="2" t="s">
        <v>15732</v>
      </c>
      <c r="C8012" s="2" t="s">
        <v>109</v>
      </c>
      <c r="D8012" s="2" t="s">
        <v>74</v>
      </c>
      <c r="E8012" s="5">
        <v>-27917</v>
      </c>
      <c r="F8012" s="3" t="s">
        <v>363</v>
      </c>
      <c r="G8012" s="3" t="s">
        <v>27</v>
      </c>
      <c r="H8012" s="2" t="s">
        <v>21</v>
      </c>
      <c r="I8012" s="2" t="s">
        <v>15797</v>
      </c>
      <c r="J8012" s="3" t="str">
        <f>HYPERLINK("https://www.boe.es/gazeta/dias/1823/07/25/pdfs/GES-1823-106.pdf#page=2","Abrir facsímil")</f>
        <v>Abrir facsímil</v>
      </c>
      <c r="K8012" s="3" t="s">
        <v>23</v>
      </c>
    </row>
    <row r="8013" spans="1:11" ht="42" customHeight="1">
      <c r="A8013" s="2" t="s">
        <v>15732</v>
      </c>
      <c r="B8013" s="2" t="s">
        <v>15732</v>
      </c>
      <c r="C8013" s="2" t="s">
        <v>56</v>
      </c>
      <c r="D8013" s="2" t="s">
        <v>57</v>
      </c>
      <c r="E8013" s="5">
        <v>-27916</v>
      </c>
      <c r="F8013" s="3" t="s">
        <v>772</v>
      </c>
      <c r="G8013" s="3" t="s">
        <v>39</v>
      </c>
      <c r="H8013" s="2" t="s">
        <v>21</v>
      </c>
      <c r="I8013" s="2" t="s">
        <v>15798</v>
      </c>
      <c r="J8013" s="3" t="str">
        <f>HYPERLINK("https://www.boe.es/gazeta/dias/1823/07/26/pdfs/GES-1823-107.pdf#page=1","Abrir facsímil")</f>
        <v>Abrir facsímil</v>
      </c>
      <c r="K8013" s="3" t="s">
        <v>23</v>
      </c>
    </row>
    <row r="8014" spans="1:11" ht="42" customHeight="1">
      <c r="A8014" s="2" t="s">
        <v>15732</v>
      </c>
      <c r="B8014" s="2" t="s">
        <v>15732</v>
      </c>
      <c r="C8014" s="2" t="s">
        <v>293</v>
      </c>
      <c r="D8014" s="2" t="s">
        <v>74</v>
      </c>
      <c r="E8014" s="5">
        <v>-27915</v>
      </c>
      <c r="F8014" s="3" t="s">
        <v>524</v>
      </c>
      <c r="G8014" s="3" t="s">
        <v>39</v>
      </c>
      <c r="H8014" s="2" t="s">
        <v>21</v>
      </c>
      <c r="I8014" s="2" t="s">
        <v>15799</v>
      </c>
      <c r="J8014" s="3" t="str">
        <f>HYPERLINK("https://www.boe.es/gazeta/dias/1823/07/27/pdfs/GES-1823-108.pdf#page=1","Abrir facsímil")</f>
        <v>Abrir facsímil</v>
      </c>
      <c r="K8014" s="3" t="s">
        <v>23</v>
      </c>
    </row>
    <row r="8015" spans="1:11" ht="42" customHeight="1">
      <c r="A8015" s="2" t="s">
        <v>15732</v>
      </c>
      <c r="B8015" s="2" t="s">
        <v>15732</v>
      </c>
      <c r="C8015" s="2" t="s">
        <v>17</v>
      </c>
      <c r="D8015" s="2" t="s">
        <v>18</v>
      </c>
      <c r="E8015" s="5">
        <v>-27913</v>
      </c>
      <c r="F8015" s="3" t="s">
        <v>821</v>
      </c>
      <c r="G8015" s="3" t="s">
        <v>1204</v>
      </c>
      <c r="H8015" s="2" t="s">
        <v>21</v>
      </c>
      <c r="I8015" s="2" t="s">
        <v>15800</v>
      </c>
      <c r="J8015" s="3" t="str">
        <f>HYPERLINK("https://www.boe.es/gazeta/dias/1823/07/29/pdfs/GES-1823-110.pdf#page=2","Abrir facsímil")</f>
        <v>Abrir facsímil</v>
      </c>
      <c r="K8015" s="3" t="s">
        <v>23</v>
      </c>
    </row>
    <row r="8016" spans="1:11" ht="42" customHeight="1">
      <c r="A8016" s="2" t="s">
        <v>15764</v>
      </c>
      <c r="B8016" s="2" t="s">
        <v>15764</v>
      </c>
      <c r="C8016" s="2" t="s">
        <v>79</v>
      </c>
      <c r="D8016" s="2" t="s">
        <v>74</v>
      </c>
      <c r="E8016" s="5">
        <v>-27911</v>
      </c>
      <c r="F8016" s="3" t="s">
        <v>368</v>
      </c>
      <c r="G8016" s="3" t="s">
        <v>48</v>
      </c>
      <c r="H8016" s="2" t="s">
        <v>21</v>
      </c>
      <c r="I8016" s="2" t="s">
        <v>15801</v>
      </c>
      <c r="J8016" s="3" t="str">
        <f>HYPERLINK("https://www.boe.es/gazeta/dias/1823/07/31/pdfs/GES-1823-112.pdf#page=3","Abrir facsímil")</f>
        <v>Abrir facsímil</v>
      </c>
      <c r="K8016" s="3" t="s">
        <v>23</v>
      </c>
    </row>
    <row r="8017" spans="1:11" ht="42" customHeight="1">
      <c r="A8017" s="2" t="s">
        <v>15732</v>
      </c>
      <c r="B8017" s="2" t="s">
        <v>15732</v>
      </c>
      <c r="C8017" s="2" t="s">
        <v>79</v>
      </c>
      <c r="D8017" s="2" t="s">
        <v>74</v>
      </c>
      <c r="E8017" s="5">
        <v>-27911</v>
      </c>
      <c r="F8017" s="3" t="s">
        <v>368</v>
      </c>
      <c r="G8017" s="3" t="s">
        <v>20</v>
      </c>
      <c r="H8017" s="2" t="s">
        <v>21</v>
      </c>
      <c r="I8017" s="2" t="s">
        <v>15802</v>
      </c>
      <c r="J8017" s="3" t="str">
        <f>HYPERLINK("https://www.boe.es/gazeta/dias/1823/07/31/pdfs/GES-1823-112.pdf#page=4","Abrir facsímil")</f>
        <v>Abrir facsímil</v>
      </c>
      <c r="K8017" s="3" t="s">
        <v>23</v>
      </c>
    </row>
    <row r="8018" spans="1:11" ht="42" customHeight="1">
      <c r="A8018" s="2" t="s">
        <v>15732</v>
      </c>
      <c r="B8018" s="2" t="s">
        <v>15732</v>
      </c>
      <c r="C8018" s="2" t="s">
        <v>109</v>
      </c>
      <c r="D8018" s="2" t="s">
        <v>74</v>
      </c>
      <c r="E8018" s="5">
        <v>-27910</v>
      </c>
      <c r="F8018" s="3" t="s">
        <v>38</v>
      </c>
      <c r="G8018" s="3" t="s">
        <v>27</v>
      </c>
      <c r="H8018" s="2" t="s">
        <v>21</v>
      </c>
      <c r="I8018" s="2" t="s">
        <v>15803</v>
      </c>
      <c r="J8018" s="3" t="str">
        <f>HYPERLINK("https://www.boe.es/gazeta/dias/1823/08/01/pdfs/GES-1823-113.pdf#page=2","Abrir facsímil")</f>
        <v>Abrir facsímil</v>
      </c>
      <c r="K8018" s="3" t="s">
        <v>23</v>
      </c>
    </row>
    <row r="8019" spans="1:11" ht="42" customHeight="1">
      <c r="A8019" s="2" t="s">
        <v>15732</v>
      </c>
      <c r="B8019" s="2" t="s">
        <v>15732</v>
      </c>
      <c r="C8019" s="2" t="s">
        <v>73</v>
      </c>
      <c r="D8019" s="2" t="s">
        <v>74</v>
      </c>
      <c r="E8019" s="5">
        <v>-27910</v>
      </c>
      <c r="F8019" s="3" t="s">
        <v>38</v>
      </c>
      <c r="G8019" s="3" t="s">
        <v>48</v>
      </c>
      <c r="H8019" s="2" t="s">
        <v>21</v>
      </c>
      <c r="I8019" s="2" t="s">
        <v>15804</v>
      </c>
      <c r="J8019" s="3" t="str">
        <f>HYPERLINK("https://www.boe.es/gazeta/dias/1823/08/01/pdfs/GES-1823-113.pdf#page=3","Abrir facsímil")</f>
        <v>Abrir facsímil</v>
      </c>
      <c r="K8019" s="3" t="s">
        <v>23</v>
      </c>
    </row>
    <row r="8020" spans="1:11" ht="42" customHeight="1">
      <c r="A8020" s="2" t="s">
        <v>15732</v>
      </c>
      <c r="B8020" s="2" t="s">
        <v>15732</v>
      </c>
      <c r="C8020" s="2" t="s">
        <v>17</v>
      </c>
      <c r="D8020" s="2" t="s">
        <v>18</v>
      </c>
      <c r="E8020" s="5">
        <v>-27871</v>
      </c>
      <c r="F8020" s="3" t="s">
        <v>782</v>
      </c>
      <c r="G8020" s="3" t="s">
        <v>48</v>
      </c>
      <c r="H8020" s="2" t="s">
        <v>21</v>
      </c>
      <c r="I8020" s="2" t="s">
        <v>15805</v>
      </c>
      <c r="J8020" s="3" t="str">
        <f>HYPERLINK("https://www.boe.es/gazeta/dias/1823/09/09/pdfs/GES-1823-153.pdf#page=3","Abrir facsímil")</f>
        <v>Abrir facsímil</v>
      </c>
      <c r="K8020" s="3" t="s">
        <v>23</v>
      </c>
    </row>
    <row r="8021" spans="1:11" ht="42" customHeight="1">
      <c r="A8021" s="2" t="s">
        <v>15732</v>
      </c>
      <c r="B8021" s="2" t="s">
        <v>15732</v>
      </c>
      <c r="C8021" s="2" t="s">
        <v>109</v>
      </c>
      <c r="D8021" s="2" t="s">
        <v>74</v>
      </c>
      <c r="E8021" s="5">
        <v>-27870</v>
      </c>
      <c r="F8021" s="3" t="s">
        <v>376</v>
      </c>
      <c r="G8021" s="3" t="s">
        <v>27</v>
      </c>
      <c r="H8021" s="2" t="s">
        <v>21</v>
      </c>
      <c r="I8021" s="2" t="s">
        <v>15806</v>
      </c>
      <c r="J8021" s="3" t="str">
        <f>HYPERLINK("https://www.boe.es/gazeta/dias/1823/09/10/pdfs/GES-1823-154.pdf#page=2","Abrir facsímil")</f>
        <v>Abrir facsímil</v>
      </c>
      <c r="K8021" s="3" t="s">
        <v>23</v>
      </c>
    </row>
    <row r="8022" spans="1:11" ht="42" customHeight="1">
      <c r="A8022" s="2" t="s">
        <v>15807</v>
      </c>
      <c r="B8022" s="2" t="s">
        <v>15807</v>
      </c>
      <c r="C8022" s="2" t="s">
        <v>293</v>
      </c>
      <c r="D8022" s="2" t="s">
        <v>74</v>
      </c>
      <c r="E8022" s="5">
        <v>-27916</v>
      </c>
      <c r="F8022" s="3" t="s">
        <v>772</v>
      </c>
      <c r="G8022" s="3" t="s">
        <v>39</v>
      </c>
      <c r="H8022" s="2" t="s">
        <v>21</v>
      </c>
      <c r="I8022" s="2" t="s">
        <v>15808</v>
      </c>
      <c r="J8022" s="3" t="str">
        <f>HYPERLINK("https://www.boe.es/gazeta/dias/1823/07/26/pdfs/GES-1823-107.pdf#page=1","Abrir facsímil")</f>
        <v>Abrir facsímil</v>
      </c>
      <c r="K8022" s="3" t="s">
        <v>23</v>
      </c>
    </row>
    <row r="8023" spans="1:11" ht="42" customHeight="1">
      <c r="A8023" s="2" t="s">
        <v>15809</v>
      </c>
      <c r="B8023" s="2" t="s">
        <v>15809</v>
      </c>
      <c r="C8023" s="2" t="s">
        <v>79</v>
      </c>
      <c r="D8023" s="2" t="s">
        <v>74</v>
      </c>
      <c r="E8023" s="5">
        <v>-28023</v>
      </c>
      <c r="F8023" s="3" t="s">
        <v>384</v>
      </c>
      <c r="G8023" s="3" t="s">
        <v>39</v>
      </c>
      <c r="H8023" s="2" t="s">
        <v>21</v>
      </c>
      <c r="I8023" s="2" t="s">
        <v>15810</v>
      </c>
      <c r="J8023" s="3" t="str">
        <f>HYPERLINK("https://www.boe.es/gazeta/dias/1823/04/10/pdfs/GMD-1823-105.pdf#page=1","Abrir facsímil")</f>
        <v>Abrir facsímil</v>
      </c>
      <c r="K8023" s="3" t="s">
        <v>23</v>
      </c>
    </row>
    <row r="8024" spans="1:11" ht="42" customHeight="1">
      <c r="A8024" s="2" t="s">
        <v>15811</v>
      </c>
      <c r="B8024" s="2" t="s">
        <v>15811</v>
      </c>
      <c r="C8024" s="2" t="s">
        <v>109</v>
      </c>
      <c r="D8024" s="2" t="s">
        <v>74</v>
      </c>
      <c r="E8024" s="5">
        <v>-27921</v>
      </c>
      <c r="F8024" s="3" t="s">
        <v>356</v>
      </c>
      <c r="G8024" s="3" t="s">
        <v>48</v>
      </c>
      <c r="H8024" s="2" t="s">
        <v>21</v>
      </c>
      <c r="I8024" s="2" t="s">
        <v>15812</v>
      </c>
      <c r="J8024" s="3" t="str">
        <f>HYPERLINK("https://www.boe.es/gazeta/dias/1823/07/21/pdfs/GES-1823-102.pdf#page=3","Abrir facsímil")</f>
        <v>Abrir facsímil</v>
      </c>
      <c r="K8024" s="3" t="s">
        <v>23</v>
      </c>
    </row>
    <row r="8025" spans="1:11" ht="42" customHeight="1">
      <c r="A8025" s="2" t="s">
        <v>15813</v>
      </c>
      <c r="B8025" s="2" t="s">
        <v>15813</v>
      </c>
      <c r="C8025" s="2" t="s">
        <v>79</v>
      </c>
      <c r="D8025" s="2" t="s">
        <v>74</v>
      </c>
      <c r="E8025" s="5">
        <v>-28085</v>
      </c>
      <c r="F8025" s="3" t="s">
        <v>458</v>
      </c>
      <c r="G8025" s="3" t="s">
        <v>34</v>
      </c>
      <c r="H8025" s="2" t="s">
        <v>21</v>
      </c>
      <c r="I8025" s="2" t="s">
        <v>15814</v>
      </c>
      <c r="J8025" s="3" t="str">
        <f>HYPERLINK("https://www.boe.es/gazeta/dias/1823/02/07/pdfs/GMD-1823-40.pdf#page=5","Abrir facsímil")</f>
        <v>Abrir facsímil</v>
      </c>
      <c r="K8025" s="3" t="s">
        <v>23</v>
      </c>
    </row>
    <row r="8026" spans="1:11" ht="42" customHeight="1">
      <c r="A8026" s="2" t="s">
        <v>15815</v>
      </c>
      <c r="B8026" s="2" t="s">
        <v>15815</v>
      </c>
      <c r="C8026" s="2" t="s">
        <v>17</v>
      </c>
      <c r="D8026" s="2" t="s">
        <v>18</v>
      </c>
      <c r="E8026" s="5">
        <v>-27904</v>
      </c>
      <c r="F8026" s="3" t="s">
        <v>1227</v>
      </c>
      <c r="G8026" s="3" t="s">
        <v>27</v>
      </c>
      <c r="H8026" s="2" t="s">
        <v>21</v>
      </c>
      <c r="I8026" s="2" t="s">
        <v>15816</v>
      </c>
      <c r="J8026" s="3" t="str">
        <f>HYPERLINK("https://www.boe.es/gazeta/dias/1823/08/07/pdfs/GMD-1823-543.pdf#page=2","Abrir facsímil")</f>
        <v>Abrir facsímil</v>
      </c>
      <c r="K8026" s="3" t="s">
        <v>23</v>
      </c>
    </row>
    <row r="8027" spans="1:11" ht="42" customHeight="1">
      <c r="A8027" s="2" t="s">
        <v>15817</v>
      </c>
      <c r="B8027" s="2" t="s">
        <v>15817</v>
      </c>
      <c r="C8027" s="2" t="s">
        <v>109</v>
      </c>
      <c r="D8027" s="2" t="s">
        <v>74</v>
      </c>
      <c r="E8027" s="5">
        <v>-27914</v>
      </c>
      <c r="F8027" s="3" t="s">
        <v>776</v>
      </c>
      <c r="G8027" s="3" t="s">
        <v>39</v>
      </c>
      <c r="H8027" s="2" t="s">
        <v>21</v>
      </c>
      <c r="I8027" s="2" t="s">
        <v>15818</v>
      </c>
      <c r="J8027" s="3" t="str">
        <f>HYPERLINK("https://www.boe.es/gazeta/dias/1823/07/28/pdfs/GES-1823-109.pdf#page=1","Abrir facsímil")</f>
        <v>Abrir facsímil</v>
      </c>
      <c r="K8027" s="3" t="s">
        <v>23</v>
      </c>
    </row>
    <row r="8028" spans="1:11" ht="42" customHeight="1">
      <c r="A8028" s="2" t="s">
        <v>15819</v>
      </c>
      <c r="B8028" s="2" t="s">
        <v>15820</v>
      </c>
      <c r="C8028" s="2" t="s">
        <v>84</v>
      </c>
      <c r="D8028" s="2" t="s">
        <v>74</v>
      </c>
      <c r="E8028" s="5">
        <v>-27857</v>
      </c>
      <c r="F8028" s="3" t="s">
        <v>378</v>
      </c>
      <c r="G8028" s="3" t="s">
        <v>59</v>
      </c>
      <c r="H8028" s="2" t="s">
        <v>28</v>
      </c>
      <c r="I8028" s="2" t="s">
        <v>15821</v>
      </c>
      <c r="J8028" s="3" t="str">
        <f>HYPERLINK("https://www.boe.es/gazeta/dias/1823/09/23/pdfs/GMD-1823-833.pdf#page=6","Abrir facsímil")</f>
        <v>Abrir facsímil</v>
      </c>
      <c r="K8028" s="3" t="s">
        <v>30</v>
      </c>
    </row>
    <row r="8029" spans="1:11" ht="42" customHeight="1">
      <c r="A8029" s="2" t="s">
        <v>15822</v>
      </c>
      <c r="B8029" s="2" t="s">
        <v>15823</v>
      </c>
      <c r="C8029" s="2" t="s">
        <v>17</v>
      </c>
      <c r="D8029" s="2" t="s">
        <v>18</v>
      </c>
      <c r="E8029" s="5">
        <v>-28037</v>
      </c>
      <c r="F8029" s="3" t="s">
        <v>192</v>
      </c>
      <c r="G8029" s="3" t="s">
        <v>48</v>
      </c>
      <c r="H8029" s="2" t="s">
        <v>21</v>
      </c>
      <c r="I8029" s="2" t="s">
        <v>15824</v>
      </c>
      <c r="J8029" s="3" t="str">
        <f>HYPERLINK("https://www.boe.es/gazeta/dias/1823/03/27/pdfs/GMD-1823-90.pdf#page=3","Abrir facsímil")</f>
        <v>Abrir facsímil</v>
      </c>
      <c r="K8029" s="3" t="s">
        <v>23</v>
      </c>
    </row>
    <row r="8030" spans="1:11" ht="42" customHeight="1">
      <c r="A8030" s="2" t="s">
        <v>15825</v>
      </c>
      <c r="B8030" s="2" t="s">
        <v>15826</v>
      </c>
      <c r="C8030" s="2" t="s">
        <v>79</v>
      </c>
      <c r="D8030" s="2" t="s">
        <v>74</v>
      </c>
      <c r="E8030" s="5">
        <v>-28069</v>
      </c>
      <c r="F8030" s="3" t="s">
        <v>2006</v>
      </c>
      <c r="G8030" s="3" t="s">
        <v>20</v>
      </c>
      <c r="H8030" s="2" t="s">
        <v>21</v>
      </c>
      <c r="I8030" s="2" t="s">
        <v>15827</v>
      </c>
      <c r="J8030" s="3" t="str">
        <f>HYPERLINK("https://www.boe.es/gazeta/dias/1823/02/23/pdfs/GMD-1823-57.pdf#page=4","Abrir facsímil")</f>
        <v>Abrir facsímil</v>
      </c>
      <c r="K8030" s="3" t="s">
        <v>23</v>
      </c>
    </row>
    <row r="8031" spans="1:11" ht="42" customHeight="1">
      <c r="A8031" s="2" t="s">
        <v>15828</v>
      </c>
      <c r="B8031" s="2" t="s">
        <v>15828</v>
      </c>
      <c r="C8031" s="2" t="s">
        <v>17</v>
      </c>
      <c r="D8031" s="2" t="s">
        <v>18</v>
      </c>
      <c r="E8031" s="5">
        <v>-28008</v>
      </c>
      <c r="F8031" s="3" t="s">
        <v>309</v>
      </c>
      <c r="G8031" s="3" t="s">
        <v>39</v>
      </c>
      <c r="H8031" s="2" t="s">
        <v>21</v>
      </c>
      <c r="I8031" s="2" t="s">
        <v>15829</v>
      </c>
      <c r="J8031" s="3" t="str">
        <f>HYPERLINK("https://www.boe.es/gazeta/dias/1823/04/25/pdfs/GES-1823-15.pdf#page=1","Abrir facsímil")</f>
        <v>Abrir facsímil</v>
      </c>
      <c r="K8031" s="3" t="s">
        <v>23</v>
      </c>
    </row>
    <row r="8032" spans="1:11" ht="42" customHeight="1">
      <c r="A8032" s="2" t="s">
        <v>15830</v>
      </c>
      <c r="B8032" s="2" t="s">
        <v>15830</v>
      </c>
      <c r="C8032" s="2" t="s">
        <v>17</v>
      </c>
      <c r="D8032" s="2" t="s">
        <v>18</v>
      </c>
      <c r="E8032" s="5">
        <v>-27997</v>
      </c>
      <c r="F8032" s="3" t="s">
        <v>937</v>
      </c>
      <c r="G8032" s="3" t="s">
        <v>27</v>
      </c>
      <c r="H8032" s="2" t="s">
        <v>21</v>
      </c>
      <c r="I8032" s="2" t="s">
        <v>15831</v>
      </c>
      <c r="J8032" s="3" t="str">
        <f>HYPERLINK("https://www.boe.es/gazeta/dias/1823/05/06/pdfs/GMD-1823-102.pdf#page=2","Abrir facsímil")</f>
        <v>Abrir facsímil</v>
      </c>
      <c r="K8032" s="3" t="s">
        <v>23</v>
      </c>
    </row>
    <row r="8033" spans="1:11" ht="42" customHeight="1">
      <c r="A8033" s="2" t="s">
        <v>15832</v>
      </c>
      <c r="B8033" s="2" t="s">
        <v>15832</v>
      </c>
      <c r="C8033" s="2" t="s">
        <v>17</v>
      </c>
      <c r="D8033" s="2" t="s">
        <v>18</v>
      </c>
      <c r="E8033" s="5">
        <v>-28087</v>
      </c>
      <c r="F8033" s="3" t="s">
        <v>3125</v>
      </c>
      <c r="G8033" s="3" t="s">
        <v>34</v>
      </c>
      <c r="H8033" s="2" t="s">
        <v>21</v>
      </c>
      <c r="I8033" s="2" t="s">
        <v>15833</v>
      </c>
      <c r="J8033" s="3" t="str">
        <f>HYPERLINK("https://www.boe.es/gazeta/dias/1823/02/05/pdfs/GMD-1823-38.pdf#page=5","Abrir facsímil")</f>
        <v>Abrir facsímil</v>
      </c>
      <c r="K8033" s="3" t="s">
        <v>23</v>
      </c>
    </row>
    <row r="8034" spans="1:11" ht="42" customHeight="1">
      <c r="A8034" s="2" t="s">
        <v>15834</v>
      </c>
      <c r="B8034" s="2" t="s">
        <v>15835</v>
      </c>
      <c r="C8034" s="2" t="s">
        <v>17</v>
      </c>
      <c r="D8034" s="2" t="s">
        <v>18</v>
      </c>
      <c r="E8034" s="5">
        <v>-27790</v>
      </c>
      <c r="F8034" s="3" t="s">
        <v>4187</v>
      </c>
      <c r="G8034" s="3" t="s">
        <v>48</v>
      </c>
      <c r="H8034" s="2" t="s">
        <v>21</v>
      </c>
      <c r="I8034" s="2" t="s">
        <v>15836</v>
      </c>
      <c r="J8034" s="3" t="str">
        <f>HYPERLINK("https://www.boe.es/gazeta/dias/1823/11/29/pdfs/GMD-1823-1183.pdf#page=3","Abrir facsímil")</f>
        <v>Abrir facsímil</v>
      </c>
      <c r="K8034" s="3" t="s">
        <v>23</v>
      </c>
    </row>
    <row r="8035" spans="1:11" ht="42" customHeight="1">
      <c r="A8035" s="2" t="s">
        <v>15837</v>
      </c>
      <c r="B8035" s="2" t="s">
        <v>15837</v>
      </c>
      <c r="C8035" s="2" t="s">
        <v>73</v>
      </c>
      <c r="D8035" s="2" t="s">
        <v>74</v>
      </c>
      <c r="E8035" s="5">
        <v>-28032</v>
      </c>
      <c r="F8035" s="3" t="s">
        <v>668</v>
      </c>
      <c r="G8035" s="3" t="s">
        <v>48</v>
      </c>
      <c r="H8035" s="2" t="s">
        <v>21</v>
      </c>
      <c r="I8035" s="2" t="s">
        <v>15838</v>
      </c>
      <c r="J8035" s="3" t="str">
        <f>HYPERLINK("https://www.boe.es/gazeta/dias/1823/04/01/pdfs/GMD-1823-95.pdf#page=3","Abrir facsímil")</f>
        <v>Abrir facsímil</v>
      </c>
      <c r="K8035" s="3" t="s">
        <v>23</v>
      </c>
    </row>
    <row r="8036" spans="1:11" ht="42" customHeight="1">
      <c r="A8036" s="2" t="s">
        <v>15839</v>
      </c>
      <c r="B8036" s="2" t="s">
        <v>15840</v>
      </c>
      <c r="C8036" s="2" t="s">
        <v>17</v>
      </c>
      <c r="D8036" s="2" t="s">
        <v>18</v>
      </c>
      <c r="E8036" s="5">
        <v>-28053</v>
      </c>
      <c r="F8036" s="3" t="s">
        <v>303</v>
      </c>
      <c r="G8036" s="3" t="s">
        <v>20</v>
      </c>
      <c r="H8036" s="2" t="s">
        <v>21</v>
      </c>
      <c r="I8036" s="2" t="s">
        <v>15841</v>
      </c>
      <c r="J8036" s="3" t="str">
        <f>HYPERLINK("https://www.boe.es/gazeta/dias/1823/03/11/pdfs/GMD-1823-74.pdf#page=4","Abrir facsímil")</f>
        <v>Abrir facsímil</v>
      </c>
      <c r="K8036" s="3" t="s">
        <v>23</v>
      </c>
    </row>
    <row r="8037" spans="1:11" ht="42" customHeight="1">
      <c r="A8037" s="2" t="s">
        <v>15842</v>
      </c>
      <c r="B8037" s="2" t="s">
        <v>15843</v>
      </c>
      <c r="C8037" s="2" t="s">
        <v>56</v>
      </c>
      <c r="D8037" s="2" t="s">
        <v>57</v>
      </c>
      <c r="E8037" s="5">
        <v>-27864</v>
      </c>
      <c r="F8037" s="3" t="s">
        <v>1301</v>
      </c>
      <c r="G8037" s="3" t="s">
        <v>48</v>
      </c>
      <c r="H8037" s="2" t="s">
        <v>21</v>
      </c>
      <c r="I8037" s="2" t="s">
        <v>15844</v>
      </c>
      <c r="J8037" s="3" t="str">
        <f>HYPERLINK("https://www.boe.es/gazeta/dias/1823/09/16/pdfs/GES-1823-160.pdf#page=3","Abrir facsímil")</f>
        <v>Abrir facsímil</v>
      </c>
      <c r="K8037" s="3" t="s">
        <v>23</v>
      </c>
    </row>
    <row r="8038" spans="1:11" ht="42" customHeight="1">
      <c r="A8038" s="2" t="s">
        <v>15845</v>
      </c>
      <c r="B8038" s="2" t="s">
        <v>15846</v>
      </c>
      <c r="C8038" s="2" t="s">
        <v>73</v>
      </c>
      <c r="D8038" s="2" t="s">
        <v>74</v>
      </c>
      <c r="E8038" s="5">
        <v>-28078</v>
      </c>
      <c r="F8038" s="3" t="s">
        <v>508</v>
      </c>
      <c r="G8038" s="3" t="s">
        <v>59</v>
      </c>
      <c r="H8038" s="2" t="s">
        <v>21</v>
      </c>
      <c r="I8038" s="2" t="s">
        <v>15847</v>
      </c>
      <c r="J8038" s="3" t="str">
        <f>HYPERLINK("https://www.boe.es/gazeta/dias/1823/02/14/pdfs/GMD-1823-48.pdf#page=6","Abrir facsímil")</f>
        <v>Abrir facsímil</v>
      </c>
      <c r="K8038" s="3" t="s">
        <v>23</v>
      </c>
    </row>
    <row r="8039" spans="1:11" ht="42" customHeight="1">
      <c r="A8039" s="2" t="s">
        <v>15848</v>
      </c>
      <c r="B8039" s="2" t="s">
        <v>15848</v>
      </c>
      <c r="C8039" s="2" t="s">
        <v>17</v>
      </c>
      <c r="D8039" s="2" t="s">
        <v>18</v>
      </c>
      <c r="E8039" s="5">
        <v>-27944</v>
      </c>
      <c r="F8039" s="3" t="s">
        <v>658</v>
      </c>
      <c r="G8039" s="3" t="s">
        <v>34</v>
      </c>
      <c r="H8039" s="2" t="s">
        <v>21</v>
      </c>
      <c r="I8039" s="2" t="s">
        <v>15849</v>
      </c>
      <c r="J8039" s="3" t="str">
        <f>HYPERLINK("https://www.boe.es/gazeta/dias/1823/06/28/pdfs/GMD-1823-303.pdf#page=5","Abrir facsímil")</f>
        <v>Abrir facsímil</v>
      </c>
      <c r="K8039" s="3" t="s">
        <v>23</v>
      </c>
    </row>
    <row r="8040" spans="1:11" ht="42" customHeight="1">
      <c r="A8040" s="2" t="s">
        <v>15850</v>
      </c>
      <c r="B8040" s="2" t="s">
        <v>15850</v>
      </c>
      <c r="C8040" s="2" t="s">
        <v>17</v>
      </c>
      <c r="D8040" s="2" t="s">
        <v>18</v>
      </c>
      <c r="E8040" s="5">
        <v>-27932</v>
      </c>
      <c r="F8040" s="3" t="s">
        <v>786</v>
      </c>
      <c r="G8040" s="3" t="s">
        <v>34</v>
      </c>
      <c r="H8040" s="2" t="s">
        <v>21</v>
      </c>
      <c r="I8040" s="2" t="s">
        <v>15851</v>
      </c>
      <c r="J8040" s="3" t="str">
        <f>HYPERLINK("https://www.boe.es/gazeta/dias/1823/07/10/pdfs/GMD-1823-363.pdf#page=5","Abrir facsímil")</f>
        <v>Abrir facsímil</v>
      </c>
      <c r="K8040" s="3" t="s">
        <v>23</v>
      </c>
    </row>
    <row r="8041" spans="1:11" ht="42" customHeight="1">
      <c r="A8041" s="2" t="s">
        <v>15852</v>
      </c>
      <c r="B8041" s="2" t="s">
        <v>15853</v>
      </c>
      <c r="C8041" s="2" t="s">
        <v>17</v>
      </c>
      <c r="D8041" s="2" t="s">
        <v>18</v>
      </c>
      <c r="E8041" s="5">
        <v>-28056</v>
      </c>
      <c r="F8041" s="3" t="s">
        <v>572</v>
      </c>
      <c r="G8041" s="3" t="s">
        <v>59</v>
      </c>
      <c r="H8041" s="2" t="s">
        <v>21</v>
      </c>
      <c r="I8041" s="2" t="s">
        <v>15854</v>
      </c>
      <c r="J8041" s="3" t="str">
        <f>HYPERLINK("https://www.boe.es/gazeta/dias/1823/03/08/pdfs/GMD-1823-71.pdf#page=6","Abrir facsímil")</f>
        <v>Abrir facsímil</v>
      </c>
      <c r="K8041" s="3" t="s">
        <v>23</v>
      </c>
    </row>
    <row r="8042" spans="1:11" ht="42" customHeight="1">
      <c r="A8042" s="2" t="s">
        <v>15852</v>
      </c>
      <c r="B8042" s="2" t="s">
        <v>15853</v>
      </c>
      <c r="C8042" s="2" t="s">
        <v>293</v>
      </c>
      <c r="D8042" s="2" t="s">
        <v>74</v>
      </c>
      <c r="E8042" s="5">
        <v>-27895</v>
      </c>
      <c r="F8042" s="3" t="s">
        <v>5642</v>
      </c>
      <c r="G8042" s="3" t="s">
        <v>20</v>
      </c>
      <c r="H8042" s="2" t="s">
        <v>21</v>
      </c>
      <c r="I8042" s="2" t="s">
        <v>15855</v>
      </c>
      <c r="J8042" s="3" t="str">
        <f>HYPERLINK("https://www.boe.es/gazeta/dias/1823/08/16/pdfs/GMD-1823-603.pdf#page=4","Abrir facsímil")</f>
        <v>Abrir facsímil</v>
      </c>
      <c r="K8042" s="3" t="s">
        <v>23</v>
      </c>
    </row>
    <row r="8043" spans="1:11" ht="42" customHeight="1">
      <c r="A8043" s="2" t="s">
        <v>15856</v>
      </c>
      <c r="B8043" s="2" t="s">
        <v>15857</v>
      </c>
      <c r="C8043" s="2" t="s">
        <v>56</v>
      </c>
      <c r="D8043" s="2" t="s">
        <v>57</v>
      </c>
      <c r="E8043" s="5">
        <v>-27975</v>
      </c>
      <c r="F8043" s="3" t="s">
        <v>47</v>
      </c>
      <c r="G8043" s="3" t="s">
        <v>27</v>
      </c>
      <c r="H8043" s="2" t="s">
        <v>21</v>
      </c>
      <c r="I8043" s="2" t="s">
        <v>15858</v>
      </c>
      <c r="J8043" s="3" t="str">
        <f>HYPERLINK("https://www.boe.es/gazeta/dias/1823/05/28/pdfs/GES-1823-50.pdf#page=2","Abrir facsímil")</f>
        <v>Abrir facsímil</v>
      </c>
      <c r="K8043" s="3" t="s">
        <v>23</v>
      </c>
    </row>
    <row r="8044" spans="1:11" ht="42" customHeight="1">
      <c r="A8044" s="2" t="s">
        <v>15859</v>
      </c>
      <c r="B8044" s="2" t="s">
        <v>15859</v>
      </c>
      <c r="C8044" s="2" t="s">
        <v>79</v>
      </c>
      <c r="D8044" s="2" t="s">
        <v>74</v>
      </c>
      <c r="E8044" s="5">
        <v>-27964</v>
      </c>
      <c r="F8044" s="3" t="s">
        <v>58</v>
      </c>
      <c r="G8044" s="3" t="s">
        <v>39</v>
      </c>
      <c r="H8044" s="2" t="s">
        <v>21</v>
      </c>
      <c r="I8044" s="2" t="s">
        <v>15860</v>
      </c>
      <c r="J8044" s="3" t="str">
        <f>HYPERLINK("https://www.boe.es/gazeta/dias/1823/06/08/pdfs/GES-1823-62.pdf#page=1","Abrir facsímil")</f>
        <v>Abrir facsímil</v>
      </c>
      <c r="K8044" s="3" t="s">
        <v>23</v>
      </c>
    </row>
    <row r="8045" spans="1:11" ht="42" customHeight="1">
      <c r="A8045" s="2" t="s">
        <v>15861</v>
      </c>
      <c r="B8045" s="2" t="s">
        <v>15862</v>
      </c>
      <c r="C8045" s="2" t="s">
        <v>79</v>
      </c>
      <c r="D8045" s="2" t="s">
        <v>74</v>
      </c>
      <c r="E8045" s="5">
        <v>-28030</v>
      </c>
      <c r="F8045" s="3" t="s">
        <v>145</v>
      </c>
      <c r="G8045" s="3" t="s">
        <v>20</v>
      </c>
      <c r="H8045" s="2" t="s">
        <v>21</v>
      </c>
      <c r="I8045" s="2" t="s">
        <v>15863</v>
      </c>
      <c r="J8045" s="3" t="str">
        <f>HYPERLINK("https://www.boe.es/gazeta/dias/1823/04/03/pdfs/GMD-1823-97.pdf#page=4","Abrir facsímil")</f>
        <v>Abrir facsímil</v>
      </c>
      <c r="K8045" s="3" t="s">
        <v>23</v>
      </c>
    </row>
    <row r="8046" spans="1:11" ht="42" customHeight="1">
      <c r="A8046" s="2" t="s">
        <v>15864</v>
      </c>
      <c r="B8046" s="2" t="s">
        <v>15865</v>
      </c>
      <c r="C8046" s="2" t="s">
        <v>109</v>
      </c>
      <c r="D8046" s="2" t="s">
        <v>74</v>
      </c>
      <c r="E8046" s="5">
        <v>-28069</v>
      </c>
      <c r="F8046" s="3" t="s">
        <v>2006</v>
      </c>
      <c r="G8046" s="3" t="s">
        <v>48</v>
      </c>
      <c r="H8046" s="2" t="s">
        <v>21</v>
      </c>
      <c r="I8046" s="2" t="s">
        <v>15866</v>
      </c>
      <c r="J8046" s="3" t="str">
        <f>HYPERLINK("https://www.boe.es/gazeta/dias/1823/02/23/pdfs/GMD-1823-57.pdf#page=3","Abrir facsímil")</f>
        <v>Abrir facsímil</v>
      </c>
      <c r="K8046" s="3" t="s">
        <v>23</v>
      </c>
    </row>
    <row r="8047" spans="1:11" ht="42" customHeight="1">
      <c r="A8047" s="2" t="s">
        <v>15867</v>
      </c>
      <c r="B8047" s="2" t="s">
        <v>15868</v>
      </c>
      <c r="C8047" s="2" t="s">
        <v>56</v>
      </c>
      <c r="D8047" s="2" t="s">
        <v>57</v>
      </c>
      <c r="E8047" s="5">
        <v>-27920</v>
      </c>
      <c r="F8047" s="3" t="s">
        <v>1334</v>
      </c>
      <c r="G8047" s="3" t="s">
        <v>715</v>
      </c>
      <c r="H8047" s="2" t="s">
        <v>21</v>
      </c>
      <c r="I8047" s="2" t="s">
        <v>15869</v>
      </c>
      <c r="J8047" s="3" t="str">
        <f>HYPERLINK("https://www.boe.es/gazeta/dias/1823/07/22/pdfs/GMD-1823-443.pdf#page=8","Abrir facsímil")</f>
        <v>Abrir facsímil</v>
      </c>
      <c r="K8047" s="3" t="s">
        <v>23</v>
      </c>
    </row>
    <row r="8048" spans="1:11" ht="42" customHeight="1">
      <c r="A8048" s="2" t="s">
        <v>15870</v>
      </c>
      <c r="B8048" s="2" t="s">
        <v>15871</v>
      </c>
      <c r="C8048" s="2" t="s">
        <v>109</v>
      </c>
      <c r="D8048" s="2" t="s">
        <v>74</v>
      </c>
      <c r="E8048" s="5">
        <v>-28102</v>
      </c>
      <c r="F8048" s="3" t="s">
        <v>287</v>
      </c>
      <c r="G8048" s="3" t="s">
        <v>20</v>
      </c>
      <c r="H8048" s="2" t="s">
        <v>28</v>
      </c>
      <c r="I8048" s="2" t="s">
        <v>15872</v>
      </c>
      <c r="J8048" s="3" t="str">
        <f>HYPERLINK("https://www.boe.es/gazeta/dias/1823/01/21/pdfs/GMD-1823-22.pdf#page=4","Abrir facsímil")</f>
        <v>Abrir facsímil</v>
      </c>
      <c r="K8048" s="3" t="s">
        <v>30</v>
      </c>
    </row>
    <row r="8049" spans="1:11" ht="42" customHeight="1">
      <c r="A8049" s="2" t="s">
        <v>15873</v>
      </c>
      <c r="B8049" s="2" t="s">
        <v>15874</v>
      </c>
      <c r="C8049" s="2" t="s">
        <v>17</v>
      </c>
      <c r="D8049" s="2" t="s">
        <v>18</v>
      </c>
      <c r="E8049" s="5">
        <v>-28037</v>
      </c>
      <c r="F8049" s="3" t="s">
        <v>192</v>
      </c>
      <c r="G8049" s="3" t="s">
        <v>39</v>
      </c>
      <c r="H8049" s="2" t="s">
        <v>21</v>
      </c>
      <c r="I8049" s="2" t="s">
        <v>15875</v>
      </c>
      <c r="J8049" s="3" t="str">
        <f>HYPERLINK("https://www.boe.es/gazeta/dias/1823/03/27/pdfs/GMD-1823-90.pdf#page=1","Abrir facsímil")</f>
        <v>Abrir facsímil</v>
      </c>
      <c r="K8049" s="3" t="s">
        <v>23</v>
      </c>
    </row>
    <row r="8050" spans="1:11" ht="42" customHeight="1">
      <c r="A8050" s="2" t="s">
        <v>15876</v>
      </c>
      <c r="B8050" s="2" t="s">
        <v>15877</v>
      </c>
      <c r="C8050" s="2" t="s">
        <v>79</v>
      </c>
      <c r="D8050" s="2" t="s">
        <v>74</v>
      </c>
      <c r="E8050" s="5">
        <v>-28032</v>
      </c>
      <c r="F8050" s="3" t="s">
        <v>668</v>
      </c>
      <c r="G8050" s="3" t="s">
        <v>39</v>
      </c>
      <c r="H8050" s="2" t="s">
        <v>21</v>
      </c>
      <c r="I8050" s="2" t="s">
        <v>15878</v>
      </c>
      <c r="J8050" s="3" t="str">
        <f>HYPERLINK("https://www.boe.es/gazeta/dias/1823/04/01/pdfs/GMD-1823-95.pdf#page=1","Abrir facsímil")</f>
        <v>Abrir facsímil</v>
      </c>
      <c r="K8050" s="3" t="s">
        <v>23</v>
      </c>
    </row>
    <row r="8051" spans="1:11" ht="42" customHeight="1">
      <c r="A8051" s="2" t="s">
        <v>15879</v>
      </c>
      <c r="B8051" s="2" t="s">
        <v>15880</v>
      </c>
      <c r="C8051" s="2" t="s">
        <v>17</v>
      </c>
      <c r="D8051" s="2" t="s">
        <v>18</v>
      </c>
      <c r="E8051" s="5">
        <v>-27962</v>
      </c>
      <c r="F8051" s="3" t="s">
        <v>594</v>
      </c>
      <c r="G8051" s="3" t="s">
        <v>27</v>
      </c>
      <c r="H8051" s="2" t="s">
        <v>21</v>
      </c>
      <c r="I8051" s="2" t="s">
        <v>15881</v>
      </c>
      <c r="J8051" s="3" t="str">
        <f>HYPERLINK("https://www.boe.es/gazeta/dias/1823/06/10/pdfs/GES-1823-64.pdf#page=2","Abrir facsímil")</f>
        <v>Abrir facsímil</v>
      </c>
      <c r="K8051" s="3" t="s">
        <v>23</v>
      </c>
    </row>
    <row r="8052" spans="1:11" ht="42" customHeight="1">
      <c r="A8052" s="2" t="s">
        <v>15882</v>
      </c>
      <c r="B8052" s="2" t="s">
        <v>15882</v>
      </c>
      <c r="C8052" s="2" t="s">
        <v>79</v>
      </c>
      <c r="D8052" s="2" t="s">
        <v>74</v>
      </c>
      <c r="E8052" s="5">
        <v>-27951</v>
      </c>
      <c r="F8052" s="3" t="s">
        <v>548</v>
      </c>
      <c r="G8052" s="3" t="s">
        <v>27</v>
      </c>
      <c r="H8052" s="2" t="s">
        <v>21</v>
      </c>
      <c r="I8052" s="2" t="s">
        <v>15883</v>
      </c>
      <c r="J8052" s="3" t="str">
        <f>HYPERLINK("https://www.boe.es/gazeta/dias/1823/06/21/pdfs/GES-1823-69.pdf#page=2","Abrir facsímil")</f>
        <v>Abrir facsímil</v>
      </c>
      <c r="K8052" s="3" t="s">
        <v>23</v>
      </c>
    </row>
    <row r="8053" spans="1:11" ht="42" customHeight="1">
      <c r="A8053" s="2" t="s">
        <v>15884</v>
      </c>
      <c r="B8053" s="2" t="s">
        <v>15885</v>
      </c>
      <c r="C8053" s="2" t="s">
        <v>17</v>
      </c>
      <c r="D8053" s="2" t="s">
        <v>18</v>
      </c>
      <c r="E8053" s="5">
        <v>-28033</v>
      </c>
      <c r="F8053" s="3" t="s">
        <v>1372</v>
      </c>
      <c r="G8053" s="3" t="s">
        <v>20</v>
      </c>
      <c r="H8053" s="2" t="s">
        <v>21</v>
      </c>
      <c r="I8053" s="2" t="s">
        <v>15886</v>
      </c>
      <c r="J8053" s="3" t="str">
        <f>HYPERLINK("https://www.boe.es/gazeta/dias/1823/03/31/pdfs/GMD-1823-94.pdf#page=4","Abrir facsímil")</f>
        <v>Abrir facsímil</v>
      </c>
      <c r="K8053" s="3" t="s">
        <v>23</v>
      </c>
    </row>
    <row r="8054" spans="1:11" ht="42" customHeight="1">
      <c r="A8054" s="2" t="s">
        <v>15887</v>
      </c>
      <c r="B8054" s="2" t="s">
        <v>15887</v>
      </c>
      <c r="C8054" s="2" t="s">
        <v>17</v>
      </c>
      <c r="D8054" s="2" t="s">
        <v>18</v>
      </c>
      <c r="E8054" s="5">
        <v>-27920</v>
      </c>
      <c r="F8054" s="3" t="s">
        <v>1334</v>
      </c>
      <c r="G8054" s="3" t="s">
        <v>276</v>
      </c>
      <c r="H8054" s="2" t="s">
        <v>21</v>
      </c>
      <c r="I8054" s="2" t="s">
        <v>15888</v>
      </c>
      <c r="J8054" s="3" t="str">
        <f>HYPERLINK("https://www.boe.es/gazeta/dias/1823/07/22/pdfs/GMD-1823-443.pdf#page=7","Abrir facsímil")</f>
        <v>Abrir facsímil</v>
      </c>
      <c r="K8054" s="3" t="s">
        <v>23</v>
      </c>
    </row>
    <row r="8055" spans="1:11" ht="42" customHeight="1">
      <c r="A8055" s="2" t="s">
        <v>15889</v>
      </c>
      <c r="B8055" s="2" t="s">
        <v>15889</v>
      </c>
      <c r="C8055" s="2" t="s">
        <v>17</v>
      </c>
      <c r="D8055" s="2" t="s">
        <v>117</v>
      </c>
      <c r="E8055" s="5">
        <v>-27869</v>
      </c>
      <c r="F8055" s="3" t="s">
        <v>2363</v>
      </c>
      <c r="G8055" s="3" t="s">
        <v>39</v>
      </c>
      <c r="H8055" s="2" t="s">
        <v>21</v>
      </c>
      <c r="I8055" s="2" t="s">
        <v>15890</v>
      </c>
      <c r="J8055" s="3" t="str">
        <f>HYPERLINK("https://www.boe.es/gazeta/dias/1823/09/11/pdfs/GMD-1823-763E.pdf#page=1","Abrir facsímil")</f>
        <v>Abrir facsímil</v>
      </c>
      <c r="K8055" s="3" t="s">
        <v>23</v>
      </c>
    </row>
    <row r="8056" spans="1:11" ht="42" customHeight="1">
      <c r="A8056" s="2" t="s">
        <v>15891</v>
      </c>
      <c r="B8056" s="2" t="s">
        <v>15892</v>
      </c>
      <c r="C8056" s="2" t="s">
        <v>56</v>
      </c>
      <c r="D8056" s="2" t="s">
        <v>57</v>
      </c>
      <c r="E8056" s="5">
        <v>-28038</v>
      </c>
      <c r="F8056" s="3" t="s">
        <v>2379</v>
      </c>
      <c r="G8056" s="3" t="s">
        <v>20</v>
      </c>
      <c r="H8056" s="2" t="s">
        <v>21</v>
      </c>
      <c r="I8056" s="2" t="s">
        <v>15893</v>
      </c>
      <c r="J8056" s="3" t="str">
        <f>HYPERLINK("https://www.boe.es/gazeta/dias/1823/03/26/pdfs/GMD-1823-89.pdf#page=4","Abrir facsímil")</f>
        <v>Abrir facsímil</v>
      </c>
      <c r="K8056" s="3" t="s">
        <v>23</v>
      </c>
    </row>
    <row r="8057" spans="1:11" ht="42" customHeight="1">
      <c r="A8057" s="2" t="s">
        <v>15891</v>
      </c>
      <c r="B8057" s="2" t="s">
        <v>15892</v>
      </c>
      <c r="C8057" s="2" t="s">
        <v>17</v>
      </c>
      <c r="D8057" s="2" t="s">
        <v>18</v>
      </c>
      <c r="E8057" s="5">
        <v>-27979</v>
      </c>
      <c r="F8057" s="3" t="s">
        <v>1071</v>
      </c>
      <c r="G8057" s="3" t="s">
        <v>39</v>
      </c>
      <c r="H8057" s="2" t="s">
        <v>21</v>
      </c>
      <c r="I8057" s="2" t="s">
        <v>15894</v>
      </c>
      <c r="J8057" s="3" t="str">
        <f>HYPERLINK("https://www.boe.es/gazeta/dias/1823/05/24/pdfs/GES-1823-45.pdf#page=1","Abrir facsímil")</f>
        <v>Abrir facsímil</v>
      </c>
      <c r="K8057" s="3" t="s">
        <v>23</v>
      </c>
    </row>
    <row r="8058" spans="1:11" ht="42" customHeight="1">
      <c r="A8058" s="2" t="s">
        <v>15895</v>
      </c>
      <c r="B8058" s="2" t="s">
        <v>15895</v>
      </c>
      <c r="C8058" s="2" t="s">
        <v>17</v>
      </c>
      <c r="D8058" s="2" t="s">
        <v>18</v>
      </c>
      <c r="E8058" s="5">
        <v>-28077</v>
      </c>
      <c r="F8058" s="3" t="s">
        <v>536</v>
      </c>
      <c r="G8058" s="3" t="s">
        <v>59</v>
      </c>
      <c r="H8058" s="2" t="s">
        <v>21</v>
      </c>
      <c r="I8058" s="2" t="s">
        <v>15896</v>
      </c>
      <c r="J8058" s="3" t="str">
        <f>HYPERLINK("https://www.boe.es/gazeta/dias/1823/02/15/pdfs/GMD-1823-49.pdf#page=6","Abrir facsímil")</f>
        <v>Abrir facsímil</v>
      </c>
      <c r="K8058" s="3" t="s">
        <v>23</v>
      </c>
    </row>
    <row r="8059" spans="1:11" ht="42" customHeight="1">
      <c r="A8059" s="2" t="s">
        <v>15897</v>
      </c>
      <c r="B8059" s="2" t="s">
        <v>15898</v>
      </c>
      <c r="C8059" s="2" t="s">
        <v>109</v>
      </c>
      <c r="D8059" s="2" t="s">
        <v>74</v>
      </c>
      <c r="E8059" s="5">
        <v>-28091</v>
      </c>
      <c r="F8059" s="3" t="s">
        <v>1047</v>
      </c>
      <c r="G8059" s="3" t="s">
        <v>27</v>
      </c>
      <c r="H8059" s="2" t="s">
        <v>21</v>
      </c>
      <c r="I8059" s="2" t="s">
        <v>15899</v>
      </c>
      <c r="J8059" s="3" t="str">
        <f>HYPERLINK("https://www.boe.es/gazeta/dias/1823/02/01/pdfs/GMD-1823-34.pdf#page=2","Abrir facsímil")</f>
        <v>Abrir facsímil</v>
      </c>
      <c r="K8059" s="3" t="s">
        <v>23</v>
      </c>
    </row>
    <row r="8060" spans="1:11" ht="42" customHeight="1">
      <c r="A8060" s="2" t="s">
        <v>15897</v>
      </c>
      <c r="B8060" s="2" t="s">
        <v>15898</v>
      </c>
      <c r="C8060" s="2" t="s">
        <v>56</v>
      </c>
      <c r="D8060" s="2" t="s">
        <v>57</v>
      </c>
      <c r="E8060" s="5">
        <v>-28072</v>
      </c>
      <c r="F8060" s="3" t="s">
        <v>4439</v>
      </c>
      <c r="G8060" s="3" t="s">
        <v>39</v>
      </c>
      <c r="H8060" s="2" t="s">
        <v>21</v>
      </c>
      <c r="I8060" s="2" t="s">
        <v>15900</v>
      </c>
      <c r="J8060" s="3" t="str">
        <f>HYPERLINK("https://www.boe.es/gazeta/dias/1823/02/20/pdfs/GMD-1823-54.pdf#page=1","Abrir facsímil")</f>
        <v>Abrir facsímil</v>
      </c>
      <c r="K8060" s="3" t="s">
        <v>23</v>
      </c>
    </row>
    <row r="8061" spans="1:11" ht="42" customHeight="1">
      <c r="A8061" s="2" t="s">
        <v>15897</v>
      </c>
      <c r="B8061" s="2" t="s">
        <v>15898</v>
      </c>
      <c r="C8061" s="2" t="s">
        <v>109</v>
      </c>
      <c r="D8061" s="2" t="s">
        <v>74</v>
      </c>
      <c r="E8061" s="5">
        <v>-27917</v>
      </c>
      <c r="F8061" s="3" t="s">
        <v>363</v>
      </c>
      <c r="G8061" s="3" t="s">
        <v>27</v>
      </c>
      <c r="H8061" s="2" t="s">
        <v>21</v>
      </c>
      <c r="I8061" s="2" t="s">
        <v>15901</v>
      </c>
      <c r="J8061" s="3" t="str">
        <f>HYPERLINK("https://www.boe.es/gazeta/dias/1823/07/25/pdfs/GES-1823-106.pdf#page=2","Abrir facsímil")</f>
        <v>Abrir facsímil</v>
      </c>
      <c r="K8061" s="3" t="s">
        <v>23</v>
      </c>
    </row>
    <row r="8062" spans="1:11" ht="42" customHeight="1">
      <c r="A8062" s="2" t="s">
        <v>15902</v>
      </c>
      <c r="B8062" s="2" t="s">
        <v>15902</v>
      </c>
      <c r="C8062" s="2" t="s">
        <v>17</v>
      </c>
      <c r="D8062" s="2" t="s">
        <v>117</v>
      </c>
      <c r="E8062" s="5">
        <v>-27951</v>
      </c>
      <c r="F8062" s="3" t="s">
        <v>14464</v>
      </c>
      <c r="G8062" s="3" t="s">
        <v>39</v>
      </c>
      <c r="H8062" s="2" t="s">
        <v>21</v>
      </c>
      <c r="I8062" s="2" t="s">
        <v>15903</v>
      </c>
      <c r="J8062" s="3" t="str">
        <f>HYPERLINK("https://www.boe.es/gazeta/dias/1823/06/21/pdfs/GMD-1823-233E.pdf#page=1","Abrir facsímil")</f>
        <v>Abrir facsímil</v>
      </c>
      <c r="K8062" s="3" t="s">
        <v>23</v>
      </c>
    </row>
    <row r="8063" spans="1:11" ht="42" customHeight="1">
      <c r="A8063" s="2" t="s">
        <v>15902</v>
      </c>
      <c r="B8063" s="2" t="s">
        <v>15902</v>
      </c>
      <c r="C8063" s="2" t="s">
        <v>17</v>
      </c>
      <c r="D8063" s="2" t="s">
        <v>18</v>
      </c>
      <c r="E8063" s="5">
        <v>-27944</v>
      </c>
      <c r="F8063" s="3" t="s">
        <v>658</v>
      </c>
      <c r="G8063" s="3" t="s">
        <v>59</v>
      </c>
      <c r="H8063" s="2" t="s">
        <v>21</v>
      </c>
      <c r="I8063" s="2" t="s">
        <v>15904</v>
      </c>
      <c r="J8063" s="3" t="str">
        <f>HYPERLINK("https://www.boe.es/gazeta/dias/1823/06/28/pdfs/GMD-1823-303.pdf#page=6","Abrir facsímil")</f>
        <v>Abrir facsímil</v>
      </c>
      <c r="K8063" s="3" t="s">
        <v>23</v>
      </c>
    </row>
    <row r="8064" spans="1:11" ht="42" customHeight="1">
      <c r="A8064" s="2" t="s">
        <v>15905</v>
      </c>
      <c r="B8064" s="2" t="s">
        <v>15906</v>
      </c>
      <c r="C8064" s="2" t="s">
        <v>17</v>
      </c>
      <c r="D8064" s="2" t="s">
        <v>18</v>
      </c>
      <c r="E8064" s="5">
        <v>-27825</v>
      </c>
      <c r="F8064" s="3" t="s">
        <v>2503</v>
      </c>
      <c r="G8064" s="3" t="s">
        <v>48</v>
      </c>
      <c r="H8064" s="2" t="s">
        <v>21</v>
      </c>
      <c r="I8064" s="2" t="s">
        <v>15907</v>
      </c>
      <c r="J8064" s="3" t="str">
        <f>HYPERLINK("https://www.boe.es/gazeta/dias/1823/10/25/pdfs/GMD-1823-1023.pdf#page=3","Abrir facsímil")</f>
        <v>Abrir facsímil</v>
      </c>
      <c r="K8064" s="3" t="s">
        <v>23</v>
      </c>
    </row>
    <row r="8065" spans="1:11" ht="42" customHeight="1">
      <c r="A8065" s="2" t="s">
        <v>15908</v>
      </c>
      <c r="B8065" s="2" t="s">
        <v>15909</v>
      </c>
      <c r="C8065" s="2" t="s">
        <v>56</v>
      </c>
      <c r="D8065" s="2" t="s">
        <v>57</v>
      </c>
      <c r="E8065" s="5">
        <v>-28043</v>
      </c>
      <c r="F8065" s="3" t="s">
        <v>69</v>
      </c>
      <c r="G8065" s="3" t="s">
        <v>59</v>
      </c>
      <c r="H8065" s="2" t="s">
        <v>21</v>
      </c>
      <c r="I8065" s="2" t="s">
        <v>15910</v>
      </c>
      <c r="J8065" s="3" t="str">
        <f>HYPERLINK("https://www.boe.es/gazeta/dias/1823/03/21/pdfs/GMD-1823-84.pdf#page=6","Abrir facsímil")</f>
        <v>Abrir facsímil</v>
      </c>
      <c r="K8065" s="3" t="s">
        <v>23</v>
      </c>
    </row>
    <row r="8066" spans="1:11" ht="42" customHeight="1">
      <c r="A8066" s="2" t="s">
        <v>15911</v>
      </c>
      <c r="B8066" s="2" t="s">
        <v>15912</v>
      </c>
      <c r="C8066" s="2" t="s">
        <v>17</v>
      </c>
      <c r="D8066" s="2" t="s">
        <v>18</v>
      </c>
      <c r="E8066" s="5">
        <v>-27889</v>
      </c>
      <c r="F8066" s="3" t="s">
        <v>1306</v>
      </c>
      <c r="G8066" s="3" t="s">
        <v>20</v>
      </c>
      <c r="H8066" s="2" t="s">
        <v>21</v>
      </c>
      <c r="I8066" s="2" t="s">
        <v>15913</v>
      </c>
      <c r="J8066" s="3" t="str">
        <f>HYPERLINK("https://www.boe.es/gazeta/dias/1823/08/22/pdfs/GES-1823-135.pdf#page=4","Abrir facsímil")</f>
        <v>Abrir facsímil</v>
      </c>
      <c r="K8066" s="3" t="s">
        <v>23</v>
      </c>
    </row>
    <row r="8067" spans="1:11" ht="42" customHeight="1">
      <c r="A8067" s="2" t="s">
        <v>15914</v>
      </c>
      <c r="B8067" s="2" t="s">
        <v>15914</v>
      </c>
      <c r="C8067" s="2" t="s">
        <v>73</v>
      </c>
      <c r="D8067" s="2" t="s">
        <v>74</v>
      </c>
      <c r="E8067" s="5">
        <v>-27860</v>
      </c>
      <c r="F8067" s="3" t="s">
        <v>744</v>
      </c>
      <c r="G8067" s="3" t="s">
        <v>48</v>
      </c>
      <c r="H8067" s="2" t="s">
        <v>21</v>
      </c>
      <c r="I8067" s="2" t="s">
        <v>15915</v>
      </c>
      <c r="J8067" s="3" t="str">
        <f>HYPERLINK("https://www.boe.es/gazeta/dias/1823/09/20/pdfs/GES-1823-164.pdf#page=3","Abrir facsímil")</f>
        <v>Abrir facsímil</v>
      </c>
      <c r="K8067" s="3" t="s">
        <v>23</v>
      </c>
    </row>
    <row r="8068" spans="1:11" ht="42" customHeight="1">
      <c r="A8068" s="2" t="s">
        <v>15916</v>
      </c>
      <c r="B8068" s="2" t="s">
        <v>15916</v>
      </c>
      <c r="C8068" s="2" t="s">
        <v>17</v>
      </c>
      <c r="D8068" s="2" t="s">
        <v>18</v>
      </c>
      <c r="E8068" s="5">
        <v>-27859</v>
      </c>
      <c r="F8068" s="3" t="s">
        <v>2722</v>
      </c>
      <c r="G8068" s="3" t="s">
        <v>20</v>
      </c>
      <c r="H8068" s="2" t="s">
        <v>21</v>
      </c>
      <c r="I8068" s="2" t="s">
        <v>15917</v>
      </c>
      <c r="J8068" s="3" t="str">
        <f>HYPERLINK("https://www.boe.es/gazeta/dias/1823/09/21/pdfs/GES-1823-165.pdf#page=4","Abrir facsímil")</f>
        <v>Abrir facsímil</v>
      </c>
      <c r="K8068" s="3" t="s">
        <v>23</v>
      </c>
    </row>
    <row r="8069" spans="1:11" ht="42" customHeight="1">
      <c r="A8069" s="2" t="s">
        <v>15918</v>
      </c>
      <c r="B8069" s="2" t="s">
        <v>15919</v>
      </c>
      <c r="C8069" s="2" t="s">
        <v>79</v>
      </c>
      <c r="D8069" s="2" t="s">
        <v>74</v>
      </c>
      <c r="E8069" s="5">
        <v>-28117</v>
      </c>
      <c r="F8069" s="3" t="s">
        <v>271</v>
      </c>
      <c r="G8069" s="3" t="s">
        <v>34</v>
      </c>
      <c r="H8069" s="2" t="s">
        <v>21</v>
      </c>
      <c r="I8069" s="2" t="s">
        <v>15920</v>
      </c>
      <c r="J8069" s="3" t="str">
        <f>HYPERLINK("https://www.boe.es/gazeta/dias/1823/01/06/pdfs/GMD-1823-6.pdf#page=5","Abrir facsímil")</f>
        <v>Abrir facsímil</v>
      </c>
      <c r="K8069" s="3" t="s">
        <v>23</v>
      </c>
    </row>
    <row r="8070" spans="1:11" ht="42" customHeight="1">
      <c r="A8070" s="2" t="s">
        <v>15921</v>
      </c>
      <c r="B8070" s="2" t="s">
        <v>15921</v>
      </c>
      <c r="C8070" s="2" t="s">
        <v>17</v>
      </c>
      <c r="D8070" s="2" t="s">
        <v>18</v>
      </c>
      <c r="E8070" s="5">
        <v>-27862</v>
      </c>
      <c r="F8070" s="3" t="s">
        <v>5328</v>
      </c>
      <c r="G8070" s="3" t="s">
        <v>48</v>
      </c>
      <c r="H8070" s="2" t="s">
        <v>21</v>
      </c>
      <c r="I8070" s="2" t="s">
        <v>15922</v>
      </c>
      <c r="J8070" s="3" t="str">
        <f>HYPERLINK("https://www.boe.es/gazeta/dias/1823/09/18/pdfs/GES-1823-162.pdf#page=3","Abrir facsímil")</f>
        <v>Abrir facsímil</v>
      </c>
      <c r="K8070" s="3" t="s">
        <v>23</v>
      </c>
    </row>
    <row r="8071" spans="1:11" ht="42" customHeight="1">
      <c r="A8071" s="2" t="s">
        <v>15921</v>
      </c>
      <c r="B8071" s="2" t="s">
        <v>15921</v>
      </c>
      <c r="C8071" s="2" t="s">
        <v>79</v>
      </c>
      <c r="D8071" s="2" t="s">
        <v>74</v>
      </c>
      <c r="E8071" s="5">
        <v>-27860</v>
      </c>
      <c r="F8071" s="3" t="s">
        <v>744</v>
      </c>
      <c r="G8071" s="3" t="s">
        <v>48</v>
      </c>
      <c r="H8071" s="2" t="s">
        <v>21</v>
      </c>
      <c r="I8071" s="2" t="s">
        <v>15923</v>
      </c>
      <c r="J8071" s="3" t="str">
        <f>HYPERLINK("https://www.boe.es/gazeta/dias/1823/09/20/pdfs/GES-1823-164.pdf#page=3","Abrir facsímil")</f>
        <v>Abrir facsímil</v>
      </c>
      <c r="K8071" s="3" t="s">
        <v>23</v>
      </c>
    </row>
    <row r="8072" spans="1:11" ht="42" customHeight="1">
      <c r="A8072" s="2" t="s">
        <v>15921</v>
      </c>
      <c r="B8072" s="2" t="s">
        <v>15921</v>
      </c>
      <c r="C8072" s="2" t="s">
        <v>17</v>
      </c>
      <c r="D8072" s="2" t="s">
        <v>18</v>
      </c>
      <c r="E8072" s="5">
        <v>-27859</v>
      </c>
      <c r="F8072" s="3" t="s">
        <v>2722</v>
      </c>
      <c r="G8072" s="3" t="s">
        <v>20</v>
      </c>
      <c r="H8072" s="2" t="s">
        <v>21</v>
      </c>
      <c r="I8072" s="2" t="s">
        <v>15924</v>
      </c>
      <c r="J8072" s="3" t="str">
        <f>HYPERLINK("https://www.boe.es/gazeta/dias/1823/09/21/pdfs/GES-1823-165.pdf#page=4","Abrir facsímil")</f>
        <v>Abrir facsímil</v>
      </c>
      <c r="K8072" s="3" t="s">
        <v>23</v>
      </c>
    </row>
    <row r="8073" spans="1:11" ht="42" customHeight="1">
      <c r="A8073" s="2" t="s">
        <v>15925</v>
      </c>
      <c r="B8073" s="2" t="s">
        <v>15926</v>
      </c>
      <c r="C8073" s="2" t="s">
        <v>17</v>
      </c>
      <c r="D8073" s="2" t="s">
        <v>18</v>
      </c>
      <c r="E8073" s="5">
        <v>-27877</v>
      </c>
      <c r="F8073" s="3" t="s">
        <v>844</v>
      </c>
      <c r="G8073" s="3" t="s">
        <v>27</v>
      </c>
      <c r="H8073" s="2" t="s">
        <v>21</v>
      </c>
      <c r="I8073" s="2" t="s">
        <v>15927</v>
      </c>
      <c r="J8073" s="3" t="str">
        <f>HYPERLINK("https://www.boe.es/gazeta/dias/1823/09/03/pdfs/GES-1823-147.pdf#page=2","Abrir facsímil")</f>
        <v>Abrir facsímil</v>
      </c>
      <c r="K8073" s="3" t="s">
        <v>23</v>
      </c>
    </row>
    <row r="8074" spans="1:11" ht="42" customHeight="1">
      <c r="A8074" s="2" t="s">
        <v>15928</v>
      </c>
      <c r="B8074" s="2" t="s">
        <v>15928</v>
      </c>
      <c r="C8074" s="2" t="s">
        <v>79</v>
      </c>
      <c r="D8074" s="2" t="s">
        <v>74</v>
      </c>
      <c r="E8074" s="5">
        <v>-28025</v>
      </c>
      <c r="F8074" s="3" t="s">
        <v>477</v>
      </c>
      <c r="G8074" s="3" t="s">
        <v>27</v>
      </c>
      <c r="H8074" s="2" t="s">
        <v>21</v>
      </c>
      <c r="I8074" s="2" t="s">
        <v>15929</v>
      </c>
      <c r="J8074" s="3" t="str">
        <f>HYPERLINK("https://www.boe.es/gazeta/dias/1823/04/08/pdfs/GMD-1823-103.pdf#page=2","Abrir facsímil")</f>
        <v>Abrir facsímil</v>
      </c>
      <c r="K8074" s="3" t="s">
        <v>23</v>
      </c>
    </row>
    <row r="8075" spans="1:11" ht="42" customHeight="1">
      <c r="A8075" s="2" t="s">
        <v>15930</v>
      </c>
      <c r="B8075" s="2" t="s">
        <v>15931</v>
      </c>
      <c r="C8075" s="2" t="s">
        <v>17</v>
      </c>
      <c r="D8075" s="2" t="s">
        <v>18</v>
      </c>
      <c r="E8075" s="5">
        <v>-28099</v>
      </c>
      <c r="F8075" s="3" t="s">
        <v>1689</v>
      </c>
      <c r="G8075" s="3" t="s">
        <v>20</v>
      </c>
      <c r="H8075" s="2" t="s">
        <v>21</v>
      </c>
      <c r="I8075" s="2" t="s">
        <v>15932</v>
      </c>
      <c r="J8075" s="3" t="str">
        <f>HYPERLINK("https://www.boe.es/gazeta/dias/1823/01/24/pdfs/GMD-1823-25.pdf#page=4","Abrir facsímil")</f>
        <v>Abrir facsímil</v>
      </c>
      <c r="K8075" s="3" t="s">
        <v>23</v>
      </c>
    </row>
    <row r="8076" spans="1:11" ht="42" customHeight="1">
      <c r="A8076" s="2" t="s">
        <v>15933</v>
      </c>
      <c r="B8076" s="2" t="s">
        <v>15934</v>
      </c>
      <c r="C8076" s="2" t="s">
        <v>17</v>
      </c>
      <c r="D8076" s="2" t="s">
        <v>18</v>
      </c>
      <c r="E8076" s="5">
        <v>-27978</v>
      </c>
      <c r="F8076" s="3" t="s">
        <v>342</v>
      </c>
      <c r="G8076" s="3" t="s">
        <v>39</v>
      </c>
      <c r="H8076" s="2" t="s">
        <v>21</v>
      </c>
      <c r="I8076" s="2" t="s">
        <v>15935</v>
      </c>
      <c r="J8076" s="3" t="str">
        <f>HYPERLINK("https://www.boe.es/gazeta/dias/1823/05/25/pdfs/GES-1823-46.pdf#page=1","Abrir facsímil")</f>
        <v>Abrir facsímil</v>
      </c>
      <c r="K8076" s="3" t="s">
        <v>23</v>
      </c>
    </row>
    <row r="8077" spans="1:11" ht="42" customHeight="1">
      <c r="A8077" s="2" t="s">
        <v>15936</v>
      </c>
      <c r="B8077" s="2" t="s">
        <v>15936</v>
      </c>
      <c r="C8077" s="2" t="s">
        <v>73</v>
      </c>
      <c r="D8077" s="2" t="s">
        <v>74</v>
      </c>
      <c r="E8077" s="5">
        <v>-27892</v>
      </c>
      <c r="F8077" s="3" t="s">
        <v>1571</v>
      </c>
      <c r="G8077" s="3" t="s">
        <v>20</v>
      </c>
      <c r="H8077" s="2" t="s">
        <v>21</v>
      </c>
      <c r="I8077" s="2" t="s">
        <v>15937</v>
      </c>
      <c r="J8077" s="3" t="str">
        <f>HYPERLINK("https://www.boe.es/gazeta/dias/1823/08/19/pdfs/GMD-1823-613.pdf#page=4","Abrir facsímil")</f>
        <v>Abrir facsímil</v>
      </c>
      <c r="K8077" s="3" t="s">
        <v>23</v>
      </c>
    </row>
    <row r="8078" spans="1:11" ht="42" customHeight="1">
      <c r="A8078" s="2" t="s">
        <v>15938</v>
      </c>
      <c r="B8078" s="2" t="s">
        <v>15939</v>
      </c>
      <c r="C8078" s="2" t="s">
        <v>73</v>
      </c>
      <c r="D8078" s="2" t="s">
        <v>74</v>
      </c>
      <c r="E8078" s="5">
        <v>-27927</v>
      </c>
      <c r="F8078" s="3" t="s">
        <v>1426</v>
      </c>
      <c r="G8078" s="3" t="s">
        <v>20</v>
      </c>
      <c r="H8078" s="2" t="s">
        <v>21</v>
      </c>
      <c r="I8078" s="2" t="s">
        <v>15940</v>
      </c>
      <c r="J8078" s="3" t="str">
        <f>HYPERLINK("https://www.boe.es/gazeta/dias/1823/07/15/pdfs/GES-1823-95.pdf#page=4","Abrir facsímil")</f>
        <v>Abrir facsímil</v>
      </c>
      <c r="K8078" s="3" t="s">
        <v>23</v>
      </c>
    </row>
    <row r="8079" spans="1:11" ht="42" customHeight="1">
      <c r="A8079" s="2" t="s">
        <v>15941</v>
      </c>
      <c r="B8079" s="2" t="s">
        <v>15941</v>
      </c>
      <c r="C8079" s="2" t="s">
        <v>17</v>
      </c>
      <c r="D8079" s="2" t="s">
        <v>18</v>
      </c>
      <c r="E8079" s="5">
        <v>-28101</v>
      </c>
      <c r="F8079" s="3" t="s">
        <v>1041</v>
      </c>
      <c r="G8079" s="3" t="s">
        <v>39</v>
      </c>
      <c r="H8079" s="2" t="s">
        <v>21</v>
      </c>
      <c r="I8079" s="2" t="s">
        <v>15942</v>
      </c>
      <c r="J8079" s="3" t="str">
        <f>HYPERLINK("https://www.boe.es/gazeta/dias/1823/01/22/pdfs/GMD-1823-23.pdf#page=1","Abrir facsímil")</f>
        <v>Abrir facsímil</v>
      </c>
      <c r="K8079" s="3" t="s">
        <v>23</v>
      </c>
    </row>
    <row r="8080" spans="1:11" ht="42" customHeight="1">
      <c r="A8080" s="2" t="s">
        <v>15943</v>
      </c>
      <c r="B8080" s="2" t="s">
        <v>15944</v>
      </c>
      <c r="C8080" s="2" t="s">
        <v>17</v>
      </c>
      <c r="D8080" s="2" t="s">
        <v>18</v>
      </c>
      <c r="E8080" s="5">
        <v>-28092</v>
      </c>
      <c r="F8080" s="3" t="s">
        <v>105</v>
      </c>
      <c r="G8080" s="3" t="s">
        <v>59</v>
      </c>
      <c r="H8080" s="2" t="s">
        <v>21</v>
      </c>
      <c r="I8080" s="2" t="s">
        <v>15945</v>
      </c>
      <c r="J8080" s="3" t="str">
        <f>HYPERLINK("https://www.boe.es/gazeta/dias/1823/01/31/pdfs/GMD-1823-32.pdf#page=6","Abrir facsímil")</f>
        <v>Abrir facsímil</v>
      </c>
      <c r="K8080" s="3" t="s">
        <v>23</v>
      </c>
    </row>
    <row r="8081" spans="1:11" ht="42" customHeight="1">
      <c r="A8081" s="2" t="s">
        <v>15946</v>
      </c>
      <c r="B8081" s="2" t="s">
        <v>15947</v>
      </c>
      <c r="C8081" s="2" t="s">
        <v>17</v>
      </c>
      <c r="D8081" s="2" t="s">
        <v>18</v>
      </c>
      <c r="E8081" s="5">
        <v>-27858</v>
      </c>
      <c r="F8081" s="3" t="s">
        <v>4263</v>
      </c>
      <c r="G8081" s="3" t="s">
        <v>20</v>
      </c>
      <c r="H8081" s="2" t="s">
        <v>21</v>
      </c>
      <c r="I8081" s="2" t="s">
        <v>15948</v>
      </c>
      <c r="J8081" s="3" t="str">
        <f>HYPERLINK("https://www.boe.es/gazeta/dias/1823/09/22/pdfs/GES-1823-166.pdf#page=4","Abrir facsímil")</f>
        <v>Abrir facsímil</v>
      </c>
      <c r="K8081" s="3" t="s">
        <v>23</v>
      </c>
    </row>
    <row r="8082" spans="1:11" ht="42" customHeight="1">
      <c r="A8082" s="2" t="s">
        <v>15949</v>
      </c>
      <c r="B8082" s="2" t="s">
        <v>15950</v>
      </c>
      <c r="C8082" s="2" t="s">
        <v>17</v>
      </c>
      <c r="D8082" s="2" t="s">
        <v>18</v>
      </c>
      <c r="E8082" s="5">
        <v>-27861</v>
      </c>
      <c r="F8082" s="3" t="s">
        <v>425</v>
      </c>
      <c r="G8082" s="3" t="s">
        <v>39</v>
      </c>
      <c r="H8082" s="2" t="s">
        <v>21</v>
      </c>
      <c r="I8082" s="2" t="s">
        <v>15951</v>
      </c>
      <c r="J8082" s="3" t="str">
        <f>HYPERLINK("https://www.boe.es/gazeta/dias/1823/09/19/pdfs/GES-1823-163.pdf#page=1","Abrir facsímil")</f>
        <v>Abrir facsímil</v>
      </c>
      <c r="K8082" s="3" t="s">
        <v>23</v>
      </c>
    </row>
    <row r="8083" spans="1:11" ht="42" customHeight="1">
      <c r="A8083" s="2" t="s">
        <v>15952</v>
      </c>
      <c r="B8083" s="2" t="s">
        <v>15953</v>
      </c>
      <c r="C8083" s="2" t="s">
        <v>17</v>
      </c>
      <c r="D8083" s="2" t="s">
        <v>18</v>
      </c>
      <c r="E8083" s="5">
        <v>-27910</v>
      </c>
      <c r="F8083" s="3" t="s">
        <v>38</v>
      </c>
      <c r="G8083" s="3" t="s">
        <v>20</v>
      </c>
      <c r="H8083" s="2" t="s">
        <v>21</v>
      </c>
      <c r="I8083" s="2" t="s">
        <v>15954</v>
      </c>
      <c r="J8083" s="3" t="str">
        <f>HYPERLINK("https://www.boe.es/gazeta/dias/1823/08/01/pdfs/GES-1823-113.pdf#page=4","Abrir facsímil")</f>
        <v>Abrir facsímil</v>
      </c>
      <c r="K8083" s="3" t="s">
        <v>23</v>
      </c>
    </row>
    <row r="8084" spans="1:11" ht="42" customHeight="1">
      <c r="A8084" s="2" t="s">
        <v>15955</v>
      </c>
      <c r="B8084" s="2" t="s">
        <v>15956</v>
      </c>
      <c r="C8084" s="2" t="s">
        <v>79</v>
      </c>
      <c r="D8084" s="2" t="s">
        <v>74</v>
      </c>
      <c r="E8084" s="5">
        <v>-28061</v>
      </c>
      <c r="F8084" s="3" t="s">
        <v>704</v>
      </c>
      <c r="G8084" s="3" t="s">
        <v>59</v>
      </c>
      <c r="H8084" s="2" t="s">
        <v>21</v>
      </c>
      <c r="I8084" s="2" t="s">
        <v>15957</v>
      </c>
      <c r="J8084" s="3" t="str">
        <f>HYPERLINK("https://www.boe.es/gazeta/dias/1823/03/03/pdfs/GMD-1823-66.pdf#page=6","Abrir facsímil")</f>
        <v>Abrir facsímil</v>
      </c>
      <c r="K8084" s="3" t="s">
        <v>23</v>
      </c>
    </row>
    <row r="8085" spans="1:11" ht="42" customHeight="1">
      <c r="A8085" s="2" t="s">
        <v>15958</v>
      </c>
      <c r="B8085" s="2" t="s">
        <v>15958</v>
      </c>
      <c r="C8085" s="2" t="s">
        <v>293</v>
      </c>
      <c r="D8085" s="2" t="s">
        <v>74</v>
      </c>
      <c r="E8085" s="5">
        <v>-28013</v>
      </c>
      <c r="F8085" s="3" t="s">
        <v>105</v>
      </c>
      <c r="G8085" s="3" t="s">
        <v>20</v>
      </c>
      <c r="H8085" s="2" t="s">
        <v>21</v>
      </c>
      <c r="I8085" s="2" t="s">
        <v>15959</v>
      </c>
      <c r="J8085" s="3" t="str">
        <f>HYPERLINK("https://www.boe.es/gazeta/dias/1823/04/20/pdfs/GMD-1823-32.pdf#page=4","Abrir facsímil")</f>
        <v>Abrir facsímil</v>
      </c>
      <c r="K8085" s="3" t="s">
        <v>23</v>
      </c>
    </row>
    <row r="8086" spans="1:11" ht="42" customHeight="1">
      <c r="A8086" s="2" t="s">
        <v>15960</v>
      </c>
      <c r="B8086" s="2" t="s">
        <v>15961</v>
      </c>
      <c r="C8086" s="2" t="s">
        <v>17</v>
      </c>
      <c r="D8086" s="2" t="s">
        <v>18</v>
      </c>
      <c r="E8086" s="5">
        <v>-27999</v>
      </c>
      <c r="F8086" s="3" t="s">
        <v>97</v>
      </c>
      <c r="G8086" s="3" t="s">
        <v>1257</v>
      </c>
      <c r="H8086" s="2" t="s">
        <v>21</v>
      </c>
      <c r="I8086" s="2" t="s">
        <v>15962</v>
      </c>
      <c r="J8086" s="3" t="str">
        <f>HYPERLINK("https://www.boe.es/gazeta/dias/1823/05/04/pdfs/GES-1823-24.pdf#page=2","Abrir facsímil")</f>
        <v>Abrir facsímil</v>
      </c>
      <c r="K8086" s="3" t="s">
        <v>23</v>
      </c>
    </row>
    <row r="8087" spans="1:11" ht="42" customHeight="1">
      <c r="A8087" s="2" t="s">
        <v>15963</v>
      </c>
      <c r="B8087" s="2" t="s">
        <v>15964</v>
      </c>
      <c r="C8087" s="2" t="s">
        <v>56</v>
      </c>
      <c r="D8087" s="2" t="s">
        <v>57</v>
      </c>
      <c r="E8087" s="5">
        <v>-28044</v>
      </c>
      <c r="F8087" s="3" t="s">
        <v>1930</v>
      </c>
      <c r="G8087" s="3" t="s">
        <v>20</v>
      </c>
      <c r="H8087" s="2" t="s">
        <v>21</v>
      </c>
      <c r="I8087" s="2" t="s">
        <v>15965</v>
      </c>
      <c r="J8087" s="3" t="str">
        <f>HYPERLINK("https://www.boe.es/gazeta/dias/1823/03/20/pdfs/GMD-1823-83.pdf#page=4","Abrir facsímil")</f>
        <v>Abrir facsímil</v>
      </c>
      <c r="K8087" s="3" t="s">
        <v>23</v>
      </c>
    </row>
    <row r="8088" spans="1:11" ht="42" customHeight="1">
      <c r="A8088" s="2" t="s">
        <v>15966</v>
      </c>
      <c r="B8088" s="2" t="s">
        <v>15967</v>
      </c>
      <c r="C8088" s="2" t="s">
        <v>79</v>
      </c>
      <c r="D8088" s="2" t="s">
        <v>74</v>
      </c>
      <c r="E8088" s="5">
        <v>-27967</v>
      </c>
      <c r="F8088" s="3" t="s">
        <v>412</v>
      </c>
      <c r="G8088" s="3" t="s">
        <v>592</v>
      </c>
      <c r="H8088" s="2" t="s">
        <v>21</v>
      </c>
      <c r="I8088" s="2" t="s">
        <v>15968</v>
      </c>
      <c r="J8088" s="3" t="str">
        <f>HYPERLINK("https://www.boe.es/gazeta/dias/1823/06/05/pdfs/GES-1823-59.pdf#page=3","Abrir facsímil")</f>
        <v>Abrir facsímil</v>
      </c>
      <c r="K8088" s="3" t="s">
        <v>23</v>
      </c>
    </row>
    <row r="8089" spans="1:11" ht="42" customHeight="1">
      <c r="A8089" s="2" t="s">
        <v>15969</v>
      </c>
      <c r="B8089" s="2" t="s">
        <v>15970</v>
      </c>
      <c r="C8089" s="2" t="s">
        <v>17</v>
      </c>
      <c r="D8089" s="2" t="s">
        <v>18</v>
      </c>
      <c r="E8089" s="5">
        <v>-27764</v>
      </c>
      <c r="F8089" s="3" t="s">
        <v>3370</v>
      </c>
      <c r="G8089" s="3" t="s">
        <v>20</v>
      </c>
      <c r="H8089" s="2" t="s">
        <v>21</v>
      </c>
      <c r="I8089" s="2" t="s">
        <v>15971</v>
      </c>
      <c r="J8089" s="3" t="str">
        <f>HYPERLINK("https://www.boe.es/gazeta/dias/1823/12/25/pdfs/GMD-1823-1293.pdf#page=4","Abrir facsímil")</f>
        <v>Abrir facsímil</v>
      </c>
      <c r="K8089" s="3" t="s">
        <v>23</v>
      </c>
    </row>
    <row r="8090" spans="1:11" ht="42" customHeight="1">
      <c r="A8090" s="2" t="s">
        <v>15972</v>
      </c>
      <c r="B8090" s="2" t="s">
        <v>15973</v>
      </c>
      <c r="C8090" s="2" t="s">
        <v>79</v>
      </c>
      <c r="D8090" s="2" t="s">
        <v>74</v>
      </c>
      <c r="E8090" s="5">
        <v>-27978</v>
      </c>
      <c r="F8090" s="3" t="s">
        <v>342</v>
      </c>
      <c r="G8090" s="3" t="s">
        <v>59</v>
      </c>
      <c r="H8090" s="2" t="s">
        <v>21</v>
      </c>
      <c r="I8090" s="2" t="s">
        <v>15974</v>
      </c>
      <c r="J8090" s="3" t="str">
        <f>HYPERLINK("https://www.boe.es/gazeta/dias/1823/05/25/pdfs/GES-1823-46.pdf#page=6","Abrir facsímil")</f>
        <v>Abrir facsímil</v>
      </c>
      <c r="K8090" s="3" t="s">
        <v>23</v>
      </c>
    </row>
    <row r="8091" spans="1:11" ht="42" customHeight="1">
      <c r="A8091" s="2" t="s">
        <v>15975</v>
      </c>
      <c r="B8091" s="2" t="s">
        <v>15976</v>
      </c>
      <c r="C8091" s="2" t="s">
        <v>293</v>
      </c>
      <c r="D8091" s="2" t="s">
        <v>74</v>
      </c>
      <c r="E8091" s="5">
        <v>-27920</v>
      </c>
      <c r="F8091" s="3" t="s">
        <v>1334</v>
      </c>
      <c r="G8091" s="3" t="s">
        <v>715</v>
      </c>
      <c r="H8091" s="2" t="s">
        <v>21</v>
      </c>
      <c r="I8091" s="2" t="s">
        <v>15977</v>
      </c>
      <c r="J8091" s="3" t="str">
        <f>HYPERLINK("https://www.boe.es/gazeta/dias/1823/07/22/pdfs/GMD-1823-443.pdf#page=8","Abrir facsímil")</f>
        <v>Abrir facsímil</v>
      </c>
      <c r="K8091" s="3" t="s">
        <v>23</v>
      </c>
    </row>
    <row r="8092" spans="1:11" ht="42" customHeight="1">
      <c r="A8092" s="2" t="s">
        <v>15978</v>
      </c>
      <c r="B8092" s="2" t="s">
        <v>15979</v>
      </c>
      <c r="C8092" s="2" t="s">
        <v>17</v>
      </c>
      <c r="D8092" s="2" t="s">
        <v>18</v>
      </c>
      <c r="E8092" s="5">
        <v>-27897</v>
      </c>
      <c r="F8092" s="3" t="s">
        <v>1569</v>
      </c>
      <c r="G8092" s="3" t="s">
        <v>20</v>
      </c>
      <c r="H8092" s="2" t="s">
        <v>21</v>
      </c>
      <c r="I8092" s="2" t="s">
        <v>15980</v>
      </c>
      <c r="J8092" s="3" t="str">
        <f>HYPERLINK("https://www.boe.es/gazeta/dias/1823/08/14/pdfs/GMD-1823-593.pdf#page=4","Abrir facsímil")</f>
        <v>Abrir facsímil</v>
      </c>
      <c r="K8092" s="3" t="s">
        <v>23</v>
      </c>
    </row>
    <row r="8093" spans="1:11" ht="42" customHeight="1">
      <c r="A8093" s="2" t="s">
        <v>15981</v>
      </c>
      <c r="B8093" s="2" t="s">
        <v>15982</v>
      </c>
      <c r="C8093" s="2" t="s">
        <v>17</v>
      </c>
      <c r="D8093" s="2" t="s">
        <v>18</v>
      </c>
      <c r="E8093" s="5">
        <v>-27905</v>
      </c>
      <c r="F8093" s="3" t="s">
        <v>236</v>
      </c>
      <c r="G8093" s="3" t="s">
        <v>237</v>
      </c>
      <c r="H8093" s="2" t="s">
        <v>21</v>
      </c>
      <c r="I8093" s="2" t="s">
        <v>15983</v>
      </c>
      <c r="J8093" s="3" t="str">
        <f>HYPERLINK("https://www.boe.es/gazeta/dias/1823/08/06/pdfs/GES-1823-119.pdf#page=4","Abrir facsímil")</f>
        <v>Abrir facsímil</v>
      </c>
      <c r="K8093" s="3" t="s">
        <v>23</v>
      </c>
    </row>
    <row r="8094" spans="1:11" ht="42" customHeight="1">
      <c r="A8094" s="2" t="s">
        <v>15984</v>
      </c>
      <c r="B8094" s="2" t="s">
        <v>15985</v>
      </c>
      <c r="C8094" s="2" t="s">
        <v>17</v>
      </c>
      <c r="D8094" s="2" t="s">
        <v>18</v>
      </c>
      <c r="E8094" s="5">
        <v>-27934</v>
      </c>
      <c r="F8094" s="3" t="s">
        <v>2155</v>
      </c>
      <c r="G8094" s="3" t="s">
        <v>5827</v>
      </c>
      <c r="H8094" s="2" t="s">
        <v>21</v>
      </c>
      <c r="I8094" s="2" t="s">
        <v>15986</v>
      </c>
      <c r="J8094" s="3" t="str">
        <f>HYPERLINK("https://www.boe.es/gazeta/dias/1823/07/08/pdfs/GES-1823-88.pdf#page=4","Abrir facsímil")</f>
        <v>Abrir facsímil</v>
      </c>
      <c r="K8094" s="3" t="s">
        <v>23</v>
      </c>
    </row>
    <row r="8095" spans="1:11" ht="42" customHeight="1">
      <c r="A8095" s="2" t="s">
        <v>15987</v>
      </c>
      <c r="B8095" s="2" t="s">
        <v>15988</v>
      </c>
      <c r="C8095" s="2" t="s">
        <v>17</v>
      </c>
      <c r="D8095" s="2" t="s">
        <v>18</v>
      </c>
      <c r="E8095" s="5">
        <v>-27910</v>
      </c>
      <c r="F8095" s="3" t="s">
        <v>38</v>
      </c>
      <c r="G8095" s="3" t="s">
        <v>39</v>
      </c>
      <c r="H8095" s="2" t="s">
        <v>21</v>
      </c>
      <c r="I8095" s="2" t="s">
        <v>15989</v>
      </c>
      <c r="J8095" s="3" t="str">
        <f>HYPERLINK("https://www.boe.es/gazeta/dias/1823/08/01/pdfs/GES-1823-113.pdf#page=1","Abrir facsímil")</f>
        <v>Abrir facsímil</v>
      </c>
      <c r="K8095" s="3" t="s">
        <v>23</v>
      </c>
    </row>
    <row r="8096" spans="1:11" ht="42" customHeight="1">
      <c r="A8096" s="2" t="s">
        <v>15990</v>
      </c>
      <c r="B8096" s="2" t="s">
        <v>15991</v>
      </c>
      <c r="C8096" s="2" t="s">
        <v>17</v>
      </c>
      <c r="D8096" s="2" t="s">
        <v>18</v>
      </c>
      <c r="E8096" s="5">
        <v>-28012</v>
      </c>
      <c r="F8096" s="3" t="s">
        <v>4707</v>
      </c>
      <c r="G8096" s="3" t="s">
        <v>27</v>
      </c>
      <c r="H8096" s="2" t="s">
        <v>21</v>
      </c>
      <c r="I8096" s="2" t="s">
        <v>15992</v>
      </c>
      <c r="J8096" s="3" t="str">
        <f>HYPERLINK("https://www.boe.es/gazeta/dias/1823/04/21/pdfs/GES-1823-11.pdf#page=2","Abrir facsímil")</f>
        <v>Abrir facsímil</v>
      </c>
      <c r="K8096" s="3" t="s">
        <v>23</v>
      </c>
    </row>
    <row r="8097" spans="1:11" ht="42" customHeight="1">
      <c r="A8097" s="2" t="s">
        <v>15993</v>
      </c>
      <c r="B8097" s="2" t="s">
        <v>15994</v>
      </c>
      <c r="C8097" s="2" t="s">
        <v>56</v>
      </c>
      <c r="D8097" s="2" t="s">
        <v>57</v>
      </c>
      <c r="E8097" s="5">
        <v>-27771</v>
      </c>
      <c r="F8097" s="3" t="s">
        <v>1611</v>
      </c>
      <c r="G8097" s="3" t="s">
        <v>20</v>
      </c>
      <c r="H8097" s="2" t="s">
        <v>21</v>
      </c>
      <c r="I8097" s="2" t="s">
        <v>15995</v>
      </c>
      <c r="J8097" s="3" t="str">
        <f>HYPERLINK("https://www.boe.es/gazeta/dias/1823/12/18/pdfs/GMD-1823-1263.pdf#page=4","Abrir facsímil")</f>
        <v>Abrir facsímil</v>
      </c>
      <c r="K8097" s="3" t="s">
        <v>23</v>
      </c>
    </row>
    <row r="8098" spans="1:11" ht="42" customHeight="1">
      <c r="A8098" s="2" t="s">
        <v>15996</v>
      </c>
      <c r="B8098" s="2" t="s">
        <v>15997</v>
      </c>
      <c r="C8098" s="2" t="s">
        <v>17</v>
      </c>
      <c r="D8098" s="2" t="s">
        <v>18</v>
      </c>
      <c r="E8098" s="5">
        <v>-27984</v>
      </c>
      <c r="F8098" s="3" t="s">
        <v>335</v>
      </c>
      <c r="G8098" s="3" t="s">
        <v>59</v>
      </c>
      <c r="H8098" s="2" t="s">
        <v>21</v>
      </c>
      <c r="I8098" s="2" t="s">
        <v>15998</v>
      </c>
      <c r="J8098" s="3" t="str">
        <f>HYPERLINK("https://www.boe.es/gazeta/dias/1823/05/19/pdfs/GES-1823-39.pdf#page=6","Abrir facsímil")</f>
        <v>Abrir facsímil</v>
      </c>
      <c r="K8098" s="3" t="s">
        <v>23</v>
      </c>
    </row>
    <row r="8099" spans="1:11" ht="42" customHeight="1">
      <c r="A8099" s="2" t="s">
        <v>15999</v>
      </c>
      <c r="B8099" s="2" t="s">
        <v>16000</v>
      </c>
      <c r="C8099" s="2" t="s">
        <v>17</v>
      </c>
      <c r="D8099" s="2" t="s">
        <v>18</v>
      </c>
      <c r="E8099" s="5">
        <v>-28086</v>
      </c>
      <c r="F8099" s="3" t="s">
        <v>289</v>
      </c>
      <c r="G8099" s="3" t="s">
        <v>20</v>
      </c>
      <c r="H8099" s="2" t="s">
        <v>21</v>
      </c>
      <c r="I8099" s="2" t="s">
        <v>16001</v>
      </c>
      <c r="J8099" s="3" t="str">
        <f>HYPERLINK("https://www.boe.es/gazeta/dias/1823/02/06/pdfs/GMD-1823-39.pdf#page=4","Abrir facsímil")</f>
        <v>Abrir facsímil</v>
      </c>
      <c r="K8099" s="3" t="s">
        <v>23</v>
      </c>
    </row>
    <row r="8100" spans="1:11" ht="42" customHeight="1">
      <c r="A8100" s="2" t="s">
        <v>16002</v>
      </c>
      <c r="B8100" s="2" t="s">
        <v>16003</v>
      </c>
      <c r="C8100" s="2" t="s">
        <v>17</v>
      </c>
      <c r="D8100" s="2" t="s">
        <v>18</v>
      </c>
      <c r="E8100" s="5">
        <v>-28086</v>
      </c>
      <c r="F8100" s="3" t="s">
        <v>289</v>
      </c>
      <c r="G8100" s="3" t="s">
        <v>20</v>
      </c>
      <c r="H8100" s="2" t="s">
        <v>21</v>
      </c>
      <c r="I8100" s="2" t="s">
        <v>16004</v>
      </c>
      <c r="J8100" s="3" t="str">
        <f>HYPERLINK("https://www.boe.es/gazeta/dias/1823/02/06/pdfs/GMD-1823-39.pdf#page=4","Abrir facsímil")</f>
        <v>Abrir facsímil</v>
      </c>
      <c r="K8100" s="3" t="s">
        <v>23</v>
      </c>
    </row>
    <row r="8101" spans="1:11" ht="42" customHeight="1">
      <c r="A8101" s="2" t="s">
        <v>16005</v>
      </c>
      <c r="B8101" s="2" t="s">
        <v>16006</v>
      </c>
      <c r="C8101" s="2" t="s">
        <v>79</v>
      </c>
      <c r="D8101" s="2" t="s">
        <v>74</v>
      </c>
      <c r="E8101" s="5">
        <v>-27848</v>
      </c>
      <c r="F8101" s="3" t="s">
        <v>1083</v>
      </c>
      <c r="G8101" s="3" t="s">
        <v>27</v>
      </c>
      <c r="H8101" s="2" t="s">
        <v>21</v>
      </c>
      <c r="I8101" s="2" t="s">
        <v>16007</v>
      </c>
      <c r="J8101" s="3" t="str">
        <f>HYPERLINK("https://www.boe.es/gazeta/dias/1823/10/02/pdfs/GES-1823-176.pdf#page=2","Abrir facsímil")</f>
        <v>Abrir facsímil</v>
      </c>
      <c r="K8101" s="3" t="s">
        <v>23</v>
      </c>
    </row>
    <row r="8102" spans="1:11" ht="42" customHeight="1">
      <c r="A8102" s="2" t="s">
        <v>16008</v>
      </c>
      <c r="B8102" s="2" t="s">
        <v>16009</v>
      </c>
      <c r="C8102" s="2" t="s">
        <v>109</v>
      </c>
      <c r="D8102" s="2" t="s">
        <v>74</v>
      </c>
      <c r="E8102" s="5">
        <v>-27906</v>
      </c>
      <c r="F8102" s="3" t="s">
        <v>241</v>
      </c>
      <c r="G8102" s="3" t="s">
        <v>2212</v>
      </c>
      <c r="H8102" s="2" t="s">
        <v>21</v>
      </c>
      <c r="I8102" s="2" t="s">
        <v>16010</v>
      </c>
      <c r="J8102" s="3" t="str">
        <f>HYPERLINK("https://www.boe.es/gazeta/dias/1823/08/05/pdfs/GES-1823-117.pdf#page=2","Abrir facsímil")</f>
        <v>Abrir facsímil</v>
      </c>
      <c r="K8102" s="3" t="s">
        <v>23</v>
      </c>
    </row>
    <row r="8103" spans="1:11" ht="42" customHeight="1">
      <c r="A8103" s="2" t="s">
        <v>16011</v>
      </c>
      <c r="B8103" s="2" t="s">
        <v>16012</v>
      </c>
      <c r="C8103" s="2" t="s">
        <v>79</v>
      </c>
      <c r="D8103" s="2" t="s">
        <v>74</v>
      </c>
      <c r="E8103" s="5">
        <v>-27984</v>
      </c>
      <c r="F8103" s="3" t="s">
        <v>335</v>
      </c>
      <c r="G8103" s="3" t="s">
        <v>27</v>
      </c>
      <c r="H8103" s="2" t="s">
        <v>21</v>
      </c>
      <c r="I8103" s="2" t="s">
        <v>16013</v>
      </c>
      <c r="J8103" s="3" t="str">
        <f>HYPERLINK("https://www.boe.es/gazeta/dias/1823/05/19/pdfs/GES-1823-39.pdf#page=2","Abrir facsímil")</f>
        <v>Abrir facsímil</v>
      </c>
      <c r="K8103" s="3" t="s">
        <v>23</v>
      </c>
    </row>
    <row r="8104" spans="1:11" ht="42" customHeight="1">
      <c r="A8104" s="2" t="s">
        <v>16014</v>
      </c>
      <c r="B8104" s="2" t="s">
        <v>16014</v>
      </c>
      <c r="C8104" s="2" t="s">
        <v>79</v>
      </c>
      <c r="D8104" s="2" t="s">
        <v>74</v>
      </c>
      <c r="E8104" s="5">
        <v>-27932</v>
      </c>
      <c r="F8104" s="3" t="s">
        <v>707</v>
      </c>
      <c r="G8104" s="3" t="s">
        <v>39</v>
      </c>
      <c r="H8104" s="2" t="s">
        <v>21</v>
      </c>
      <c r="I8104" s="2" t="s">
        <v>16015</v>
      </c>
      <c r="J8104" s="3" t="str">
        <f>HYPERLINK("https://www.boe.es/gazeta/dias/1823/07/10/pdfs/GES-1823-90.pdf#page=1","Abrir facsímil")</f>
        <v>Abrir facsímil</v>
      </c>
      <c r="K8104" s="3" t="s">
        <v>23</v>
      </c>
    </row>
    <row r="8105" spans="1:11" ht="42" customHeight="1">
      <c r="A8105" s="2" t="s">
        <v>16016</v>
      </c>
      <c r="B8105" s="2" t="s">
        <v>16017</v>
      </c>
      <c r="C8105" s="2" t="s">
        <v>17</v>
      </c>
      <c r="D8105" s="2" t="s">
        <v>18</v>
      </c>
      <c r="E8105" s="5">
        <v>-27881</v>
      </c>
      <c r="F8105" s="3" t="s">
        <v>485</v>
      </c>
      <c r="G8105" s="3" t="s">
        <v>4956</v>
      </c>
      <c r="H8105" s="2" t="s">
        <v>21</v>
      </c>
      <c r="I8105" s="2" t="s">
        <v>16018</v>
      </c>
      <c r="J8105" s="3" t="str">
        <f>HYPERLINK("https://www.boe.es/gazeta/dias/1823/08/30/pdfs/GES-1823-143.pdf#page=1","Abrir facsímil")</f>
        <v>Abrir facsímil</v>
      </c>
      <c r="K8105" s="3" t="s">
        <v>23</v>
      </c>
    </row>
    <row r="8106" spans="1:11" ht="42" customHeight="1">
      <c r="A8106" s="2" t="s">
        <v>16019</v>
      </c>
      <c r="B8106" s="2" t="s">
        <v>16020</v>
      </c>
      <c r="C8106" s="2" t="s">
        <v>56</v>
      </c>
      <c r="D8106" s="2" t="s">
        <v>57</v>
      </c>
      <c r="E8106" s="5">
        <v>-27933</v>
      </c>
      <c r="F8106" s="3" t="s">
        <v>1079</v>
      </c>
      <c r="G8106" s="3" t="s">
        <v>39</v>
      </c>
      <c r="H8106" s="2" t="s">
        <v>21</v>
      </c>
      <c r="I8106" s="2" t="s">
        <v>16021</v>
      </c>
      <c r="J8106" s="3" t="str">
        <f>HYPERLINK("https://www.boe.es/gazeta/dias/1823/07/09/pdfs/GES-1823-89.pdf#page=1","Abrir facsímil")</f>
        <v>Abrir facsímil</v>
      </c>
      <c r="K8106" s="3" t="s">
        <v>23</v>
      </c>
    </row>
    <row r="8107" spans="1:11" ht="42" customHeight="1">
      <c r="A8107" s="2" t="s">
        <v>16022</v>
      </c>
      <c r="B8107" s="2" t="s">
        <v>16023</v>
      </c>
      <c r="C8107" s="2" t="s">
        <v>293</v>
      </c>
      <c r="D8107" s="2" t="s">
        <v>74</v>
      </c>
      <c r="E8107" s="5">
        <v>-28022</v>
      </c>
      <c r="F8107" s="3" t="s">
        <v>439</v>
      </c>
      <c r="G8107" s="3" t="s">
        <v>20</v>
      </c>
      <c r="H8107" s="2" t="s">
        <v>21</v>
      </c>
      <c r="I8107" s="2" t="s">
        <v>16024</v>
      </c>
      <c r="J8107" s="3" t="str">
        <f>HYPERLINK("https://www.boe.es/gazeta/dias/1823/04/11/pdfs/GMD-1823-106.pdf#page=4","Abrir facsímil")</f>
        <v>Abrir facsímil</v>
      </c>
      <c r="K8107" s="3" t="s">
        <v>23</v>
      </c>
    </row>
    <row r="8108" spans="1:11" ht="42" customHeight="1">
      <c r="A8108" s="2" t="s">
        <v>16022</v>
      </c>
      <c r="B8108" s="2" t="s">
        <v>16023</v>
      </c>
      <c r="C8108" s="2" t="s">
        <v>17</v>
      </c>
      <c r="D8108" s="2" t="s">
        <v>18</v>
      </c>
      <c r="E8108" s="5">
        <v>-28020</v>
      </c>
      <c r="F8108" s="3" t="s">
        <v>448</v>
      </c>
      <c r="G8108" s="3" t="s">
        <v>20</v>
      </c>
      <c r="H8108" s="2" t="s">
        <v>21</v>
      </c>
      <c r="I8108" s="2" t="s">
        <v>16025</v>
      </c>
      <c r="J8108" s="3" t="str">
        <f>HYPERLINK("https://www.boe.es/gazeta/dias/1823/04/13/pdfs/GES-1823-3.pdf#page=4","Abrir facsímil")</f>
        <v>Abrir facsímil</v>
      </c>
      <c r="K8108" s="3" t="s">
        <v>23</v>
      </c>
    </row>
    <row r="8109" spans="1:11" ht="42" customHeight="1">
      <c r="A8109" s="2" t="s">
        <v>16026</v>
      </c>
      <c r="B8109" s="2" t="s">
        <v>16026</v>
      </c>
      <c r="C8109" s="2" t="s">
        <v>17</v>
      </c>
      <c r="D8109" s="2" t="s">
        <v>18</v>
      </c>
      <c r="E8109" s="5">
        <v>-28040</v>
      </c>
      <c r="F8109" s="3" t="s">
        <v>2971</v>
      </c>
      <c r="G8109" s="3" t="s">
        <v>39</v>
      </c>
      <c r="H8109" s="2" t="s">
        <v>21</v>
      </c>
      <c r="I8109" s="2" t="s">
        <v>16027</v>
      </c>
      <c r="J8109" s="3" t="str">
        <f>HYPERLINK("https://www.boe.es/gazeta/dias/1823/03/24/pdfs/GMD-1823-87.pdf#page=1","Abrir facsímil")</f>
        <v>Abrir facsímil</v>
      </c>
      <c r="K8109" s="3" t="s">
        <v>23</v>
      </c>
    </row>
    <row r="8110" spans="1:11" ht="42" customHeight="1">
      <c r="A8110" s="2" t="s">
        <v>16028</v>
      </c>
      <c r="B8110" s="2" t="s">
        <v>16028</v>
      </c>
      <c r="C8110" s="2" t="s">
        <v>17</v>
      </c>
      <c r="D8110" s="2" t="s">
        <v>18</v>
      </c>
      <c r="E8110" s="5">
        <v>-28025</v>
      </c>
      <c r="F8110" s="3" t="s">
        <v>477</v>
      </c>
      <c r="G8110" s="3" t="s">
        <v>48</v>
      </c>
      <c r="H8110" s="2" t="s">
        <v>21</v>
      </c>
      <c r="I8110" s="2" t="s">
        <v>16029</v>
      </c>
      <c r="J8110" s="3" t="str">
        <f>HYPERLINK("https://www.boe.es/gazeta/dias/1823/04/08/pdfs/GMD-1823-103.pdf#page=3","Abrir facsímil")</f>
        <v>Abrir facsímil</v>
      </c>
      <c r="K8110" s="3" t="s">
        <v>23</v>
      </c>
    </row>
    <row r="8111" spans="1:11" ht="42" customHeight="1">
      <c r="A8111" s="2" t="s">
        <v>16030</v>
      </c>
      <c r="B8111" s="2" t="s">
        <v>16030</v>
      </c>
      <c r="C8111" s="2" t="s">
        <v>84</v>
      </c>
      <c r="D8111" s="2" t="s">
        <v>74</v>
      </c>
      <c r="E8111" s="5">
        <v>-28034</v>
      </c>
      <c r="F8111" s="3" t="s">
        <v>6937</v>
      </c>
      <c r="G8111" s="3" t="s">
        <v>48</v>
      </c>
      <c r="H8111" s="2" t="s">
        <v>21</v>
      </c>
      <c r="I8111" s="2" t="s">
        <v>16031</v>
      </c>
      <c r="J8111" s="3" t="str">
        <f>HYPERLINK("https://www.boe.es/gazeta/dias/1823/03/30/pdfs/GMD-1823-93.pdf#page=3","Abrir facsímil")</f>
        <v>Abrir facsímil</v>
      </c>
      <c r="K8111" s="3" t="s">
        <v>23</v>
      </c>
    </row>
    <row r="8112" spans="1:11" ht="42" customHeight="1">
      <c r="A8112" s="2" t="s">
        <v>16032</v>
      </c>
      <c r="B8112" s="2" t="s">
        <v>16032</v>
      </c>
      <c r="C8112" s="2" t="s">
        <v>17</v>
      </c>
      <c r="D8112" s="2" t="s">
        <v>18</v>
      </c>
      <c r="E8112" s="5">
        <v>-27892</v>
      </c>
      <c r="F8112" s="3" t="s">
        <v>1571</v>
      </c>
      <c r="G8112" s="3" t="s">
        <v>20</v>
      </c>
      <c r="H8112" s="2" t="s">
        <v>21</v>
      </c>
      <c r="I8112" s="2" t="s">
        <v>16033</v>
      </c>
      <c r="J8112" s="3" t="str">
        <f>HYPERLINK("https://www.boe.es/gazeta/dias/1823/08/19/pdfs/GMD-1823-613.pdf#page=4","Abrir facsímil")</f>
        <v>Abrir facsímil</v>
      </c>
      <c r="K8112" s="3" t="s">
        <v>23</v>
      </c>
    </row>
    <row r="8113" spans="1:11" ht="42" customHeight="1">
      <c r="A8113" s="2" t="s">
        <v>16034</v>
      </c>
      <c r="B8113" s="2" t="s">
        <v>16035</v>
      </c>
      <c r="C8113" s="2" t="s">
        <v>17</v>
      </c>
      <c r="D8113" s="2" t="s">
        <v>18</v>
      </c>
      <c r="E8113" s="5">
        <v>-28037</v>
      </c>
      <c r="F8113" s="3" t="s">
        <v>192</v>
      </c>
      <c r="G8113" s="3" t="s">
        <v>48</v>
      </c>
      <c r="H8113" s="2" t="s">
        <v>21</v>
      </c>
      <c r="I8113" s="2" t="s">
        <v>16036</v>
      </c>
      <c r="J8113" s="3" t="str">
        <f>HYPERLINK("https://www.boe.es/gazeta/dias/1823/03/27/pdfs/GMD-1823-90.pdf#page=3","Abrir facsímil")</f>
        <v>Abrir facsímil</v>
      </c>
      <c r="K8113" s="3" t="s">
        <v>23</v>
      </c>
    </row>
    <row r="8114" spans="1:11" ht="42" customHeight="1">
      <c r="A8114" s="2" t="s">
        <v>16037</v>
      </c>
      <c r="B8114" s="2" t="s">
        <v>16037</v>
      </c>
      <c r="C8114" s="2" t="s">
        <v>17</v>
      </c>
      <c r="D8114" s="2" t="s">
        <v>18</v>
      </c>
      <c r="E8114" s="5">
        <v>-27935</v>
      </c>
      <c r="F8114" s="3" t="s">
        <v>350</v>
      </c>
      <c r="G8114" s="3" t="s">
        <v>27</v>
      </c>
      <c r="H8114" s="2" t="s">
        <v>21</v>
      </c>
      <c r="I8114" s="2" t="s">
        <v>16038</v>
      </c>
      <c r="J8114" s="3" t="str">
        <f>HYPERLINK("https://www.boe.es/gazeta/dias/1823/07/07/pdfs/GES-1823-87.pdf#page=2","Abrir facsímil")</f>
        <v>Abrir facsímil</v>
      </c>
      <c r="K8114" s="3" t="s">
        <v>23</v>
      </c>
    </row>
    <row r="8115" spans="1:11" ht="42" customHeight="1">
      <c r="A8115" s="2" t="s">
        <v>16039</v>
      </c>
      <c r="B8115" s="2" t="s">
        <v>16040</v>
      </c>
      <c r="C8115" s="2" t="s">
        <v>17</v>
      </c>
      <c r="D8115" s="2" t="s">
        <v>18</v>
      </c>
      <c r="E8115" s="5">
        <v>-27922</v>
      </c>
      <c r="F8115" s="3" t="s">
        <v>1959</v>
      </c>
      <c r="G8115" s="3" t="s">
        <v>20</v>
      </c>
      <c r="H8115" s="2" t="s">
        <v>21</v>
      </c>
      <c r="I8115" s="2" t="s">
        <v>16041</v>
      </c>
      <c r="J8115" s="3" t="str">
        <f>HYPERLINK("https://www.boe.es/gazeta/dias/1823/07/20/pdfs/GES-1823-101.pdf#page=4","Abrir facsímil")</f>
        <v>Abrir facsímil</v>
      </c>
      <c r="K8115" s="3" t="s">
        <v>23</v>
      </c>
    </row>
    <row r="8116" spans="1:11" ht="42" customHeight="1">
      <c r="A8116" s="2" t="s">
        <v>16042</v>
      </c>
      <c r="B8116" s="2" t="s">
        <v>16043</v>
      </c>
      <c r="C8116" s="2" t="s">
        <v>17</v>
      </c>
      <c r="D8116" s="2" t="s">
        <v>18</v>
      </c>
      <c r="E8116" s="5">
        <v>-28025</v>
      </c>
      <c r="F8116" s="3" t="s">
        <v>477</v>
      </c>
      <c r="G8116" s="3" t="s">
        <v>48</v>
      </c>
      <c r="H8116" s="2" t="s">
        <v>21</v>
      </c>
      <c r="I8116" s="2" t="s">
        <v>16044</v>
      </c>
      <c r="J8116" s="3" t="str">
        <f>HYPERLINK("https://www.boe.es/gazeta/dias/1823/04/08/pdfs/GMD-1823-103.pdf#page=3","Abrir facsímil")</f>
        <v>Abrir facsímil</v>
      </c>
      <c r="K8116" s="3" t="s">
        <v>23</v>
      </c>
    </row>
    <row r="8117" spans="1:11" ht="42" customHeight="1">
      <c r="A8117" s="2" t="s">
        <v>16045</v>
      </c>
      <c r="B8117" s="2" t="s">
        <v>16045</v>
      </c>
      <c r="C8117" s="2" t="s">
        <v>79</v>
      </c>
      <c r="D8117" s="2" t="s">
        <v>74</v>
      </c>
      <c r="E8117" s="5">
        <v>-27913</v>
      </c>
      <c r="F8117" s="3" t="s">
        <v>821</v>
      </c>
      <c r="G8117" s="3" t="s">
        <v>39</v>
      </c>
      <c r="H8117" s="2" t="s">
        <v>21</v>
      </c>
      <c r="I8117" s="2" t="s">
        <v>16046</v>
      </c>
      <c r="J8117" s="3" t="str">
        <f>HYPERLINK("https://www.boe.es/gazeta/dias/1823/07/29/pdfs/GES-1823-110.pdf#page=1","Abrir facsímil")</f>
        <v>Abrir facsímil</v>
      </c>
      <c r="K8117" s="3" t="s">
        <v>23</v>
      </c>
    </row>
    <row r="8118" spans="1:11" ht="42" customHeight="1">
      <c r="A8118" s="2" t="s">
        <v>16047</v>
      </c>
      <c r="B8118" s="2" t="s">
        <v>16047</v>
      </c>
      <c r="C8118" s="2" t="s">
        <v>17</v>
      </c>
      <c r="D8118" s="2" t="s">
        <v>18</v>
      </c>
      <c r="E8118" s="5">
        <v>-27995</v>
      </c>
      <c r="F8118" s="3" t="s">
        <v>320</v>
      </c>
      <c r="G8118" s="3" t="s">
        <v>39</v>
      </c>
      <c r="H8118" s="2" t="s">
        <v>21</v>
      </c>
      <c r="I8118" s="2" t="s">
        <v>16048</v>
      </c>
      <c r="J8118" s="3" t="str">
        <f>HYPERLINK("https://www.boe.es/gazeta/dias/1823/05/08/pdfs/GES-1823-28.pdf#page=1","Abrir facsímil")</f>
        <v>Abrir facsímil</v>
      </c>
      <c r="K8118" s="3" t="s">
        <v>23</v>
      </c>
    </row>
    <row r="8119" spans="1:11" ht="42" customHeight="1">
      <c r="A8119" s="2" t="s">
        <v>16049</v>
      </c>
      <c r="B8119" s="2" t="s">
        <v>16050</v>
      </c>
      <c r="C8119" s="2" t="s">
        <v>17</v>
      </c>
      <c r="D8119" s="2" t="s">
        <v>18</v>
      </c>
      <c r="E8119" s="5">
        <v>-28014</v>
      </c>
      <c r="F8119" s="3" t="s">
        <v>2805</v>
      </c>
      <c r="G8119" s="3" t="s">
        <v>48</v>
      </c>
      <c r="H8119" s="2" t="s">
        <v>21</v>
      </c>
      <c r="I8119" s="2" t="s">
        <v>16051</v>
      </c>
      <c r="J8119" s="3" t="str">
        <f>HYPERLINK("https://www.boe.es/gazeta/dias/1823/04/19/pdfs/GES-1823-9.pdf#page=3","Abrir facsímil")</f>
        <v>Abrir facsímil</v>
      </c>
      <c r="K8119" s="3" t="s">
        <v>23</v>
      </c>
    </row>
    <row r="8120" spans="1:11" ht="42" customHeight="1">
      <c r="A8120" s="2" t="s">
        <v>16049</v>
      </c>
      <c r="B8120" s="2" t="s">
        <v>16050</v>
      </c>
      <c r="C8120" s="2" t="s">
        <v>17</v>
      </c>
      <c r="D8120" s="2" t="s">
        <v>18</v>
      </c>
      <c r="E8120" s="5">
        <v>-27998</v>
      </c>
      <c r="F8120" s="3" t="s">
        <v>1058</v>
      </c>
      <c r="G8120" s="3" t="s">
        <v>59</v>
      </c>
      <c r="H8120" s="2" t="s">
        <v>21</v>
      </c>
      <c r="I8120" s="2" t="s">
        <v>16052</v>
      </c>
      <c r="J8120" s="3" t="str">
        <f>HYPERLINK("https://www.boe.es/gazeta/dias/1823/05/05/pdfs/GES-1823-25.pdf#page=6","Abrir facsímil")</f>
        <v>Abrir facsímil</v>
      </c>
      <c r="K8120" s="3" t="s">
        <v>23</v>
      </c>
    </row>
    <row r="8121" spans="1:11" ht="42" customHeight="1">
      <c r="A8121" s="2" t="s">
        <v>16053</v>
      </c>
      <c r="B8121" s="2" t="s">
        <v>16054</v>
      </c>
      <c r="C8121" s="2" t="s">
        <v>325</v>
      </c>
      <c r="D8121" s="2" t="s">
        <v>74</v>
      </c>
      <c r="E8121" s="5">
        <v>-27920</v>
      </c>
      <c r="F8121" s="3" t="s">
        <v>1334</v>
      </c>
      <c r="G8121" s="3" t="s">
        <v>715</v>
      </c>
      <c r="H8121" s="2" t="s">
        <v>21</v>
      </c>
      <c r="I8121" s="2" t="s">
        <v>16055</v>
      </c>
      <c r="J8121" s="3" t="str">
        <f>HYPERLINK("https://www.boe.es/gazeta/dias/1823/07/22/pdfs/GMD-1823-443.pdf#page=8","Abrir facsímil")</f>
        <v>Abrir facsímil</v>
      </c>
      <c r="K8121" s="3" t="s">
        <v>23</v>
      </c>
    </row>
    <row r="8122" spans="1:11" ht="42" customHeight="1">
      <c r="A8122" s="2" t="s">
        <v>16056</v>
      </c>
      <c r="B8122" s="2" t="s">
        <v>16057</v>
      </c>
      <c r="C8122" s="2" t="s">
        <v>17</v>
      </c>
      <c r="D8122" s="2" t="s">
        <v>18</v>
      </c>
      <c r="E8122" s="5">
        <v>-27951</v>
      </c>
      <c r="F8122" s="3" t="s">
        <v>4670</v>
      </c>
      <c r="G8122" s="3" t="s">
        <v>39</v>
      </c>
      <c r="H8122" s="2" t="s">
        <v>21</v>
      </c>
      <c r="I8122" s="2" t="s">
        <v>16058</v>
      </c>
      <c r="J8122" s="3" t="str">
        <f>HYPERLINK("https://www.boe.es/gazeta/dias/1823/06/21/pdfs/GMD-1823-223.pdf#page=1","Abrir facsímil")</f>
        <v>Abrir facsímil</v>
      </c>
      <c r="K8122" s="3" t="s">
        <v>23</v>
      </c>
    </row>
    <row r="8123" spans="1:11" ht="42" customHeight="1">
      <c r="A8123" s="2" t="s">
        <v>16059</v>
      </c>
      <c r="B8123" s="2" t="s">
        <v>16060</v>
      </c>
      <c r="C8123" s="2" t="s">
        <v>17</v>
      </c>
      <c r="D8123" s="2" t="s">
        <v>18</v>
      </c>
      <c r="E8123" s="5">
        <v>-27829</v>
      </c>
      <c r="F8123" s="3" t="s">
        <v>228</v>
      </c>
      <c r="G8123" s="3" t="s">
        <v>20</v>
      </c>
      <c r="H8123" s="2" t="s">
        <v>21</v>
      </c>
      <c r="I8123" s="2" t="s">
        <v>16061</v>
      </c>
      <c r="J8123" s="3" t="str">
        <f>HYPERLINK("https://www.boe.es/gazeta/dias/1823/10/21/pdfs/GMD-1823-1003.pdf#page=4","Abrir facsímil")</f>
        <v>Abrir facsímil</v>
      </c>
      <c r="K8123" s="3" t="s">
        <v>23</v>
      </c>
    </row>
    <row r="8124" spans="1:11" ht="42" customHeight="1">
      <c r="A8124" s="2" t="s">
        <v>16062</v>
      </c>
      <c r="B8124" s="2" t="s">
        <v>16062</v>
      </c>
      <c r="C8124" s="2" t="s">
        <v>109</v>
      </c>
      <c r="D8124" s="2" t="s">
        <v>74</v>
      </c>
      <c r="E8124" s="5">
        <v>-27903</v>
      </c>
      <c r="F8124" s="3" t="s">
        <v>110</v>
      </c>
      <c r="G8124" s="3" t="s">
        <v>39</v>
      </c>
      <c r="H8124" s="2" t="s">
        <v>21</v>
      </c>
      <c r="I8124" s="2" t="s">
        <v>16063</v>
      </c>
      <c r="J8124" s="3" t="str">
        <f>HYPERLINK("https://www.boe.es/gazeta/dias/1823/08/08/pdfs/GES-1823-121.pdf#page=1","Abrir facsímil")</f>
        <v>Abrir facsímil</v>
      </c>
      <c r="K8124" s="3" t="s">
        <v>23</v>
      </c>
    </row>
    <row r="8125" spans="1:11" ht="42" customHeight="1">
      <c r="A8125" s="2" t="s">
        <v>16064</v>
      </c>
      <c r="B8125" s="2" t="s">
        <v>16064</v>
      </c>
      <c r="C8125" s="2" t="s">
        <v>17</v>
      </c>
      <c r="D8125" s="2" t="s">
        <v>18</v>
      </c>
      <c r="E8125" s="5">
        <v>-27918</v>
      </c>
      <c r="F8125" s="3" t="s">
        <v>218</v>
      </c>
      <c r="G8125" s="3" t="s">
        <v>48</v>
      </c>
      <c r="H8125" s="2" t="s">
        <v>21</v>
      </c>
      <c r="I8125" s="2" t="s">
        <v>16065</v>
      </c>
      <c r="J8125" s="3" t="str">
        <f>HYPERLINK("https://www.boe.es/gazeta/dias/1823/07/24/pdfs/GMD-1823-463.pdf#page=3","Abrir facsímil")</f>
        <v>Abrir facsímil</v>
      </c>
      <c r="K8125" s="3" t="s">
        <v>23</v>
      </c>
    </row>
    <row r="8126" spans="1:11" ht="42" customHeight="1">
      <c r="A8126" s="2" t="s">
        <v>16066</v>
      </c>
      <c r="B8126" s="2" t="s">
        <v>16066</v>
      </c>
      <c r="C8126" s="2" t="s">
        <v>73</v>
      </c>
      <c r="D8126" s="2" t="s">
        <v>74</v>
      </c>
      <c r="E8126" s="5">
        <v>-27920</v>
      </c>
      <c r="F8126" s="3" t="s">
        <v>358</v>
      </c>
      <c r="G8126" s="3" t="s">
        <v>20</v>
      </c>
      <c r="H8126" s="2" t="s">
        <v>21</v>
      </c>
      <c r="I8126" s="2" t="s">
        <v>16067</v>
      </c>
      <c r="J8126" s="3" t="str">
        <f>HYPERLINK("https://www.boe.es/gazeta/dias/1823/07/22/pdfs/GES-1823-103.pdf#page=4","Abrir facsímil")</f>
        <v>Abrir facsímil</v>
      </c>
      <c r="K8126" s="3" t="s">
        <v>23</v>
      </c>
    </row>
    <row r="8127" spans="1:11" ht="42" customHeight="1">
      <c r="A8127" s="2" t="s">
        <v>16068</v>
      </c>
      <c r="B8127" s="2" t="s">
        <v>16069</v>
      </c>
      <c r="C8127" s="2" t="s">
        <v>79</v>
      </c>
      <c r="D8127" s="2" t="s">
        <v>74</v>
      </c>
      <c r="E8127" s="5">
        <v>-27913</v>
      </c>
      <c r="F8127" s="3" t="s">
        <v>821</v>
      </c>
      <c r="G8127" s="3" t="s">
        <v>20</v>
      </c>
      <c r="H8127" s="2" t="s">
        <v>28</v>
      </c>
      <c r="I8127" s="2" t="s">
        <v>16070</v>
      </c>
      <c r="J8127" s="3" t="str">
        <f>HYPERLINK("https://www.boe.es/gazeta/dias/1823/07/29/pdfs/GES-1823-110.pdf#page=4","Abrir facsímil")</f>
        <v>Abrir facsímil</v>
      </c>
      <c r="K8127" s="3" t="s">
        <v>30</v>
      </c>
    </row>
    <row r="8128" spans="1:11" ht="42" customHeight="1">
      <c r="A8128" s="2" t="s">
        <v>16071</v>
      </c>
      <c r="B8128" s="2" t="s">
        <v>16072</v>
      </c>
      <c r="C8128" s="2" t="s">
        <v>17</v>
      </c>
      <c r="D8128" s="2" t="s">
        <v>18</v>
      </c>
      <c r="E8128" s="5">
        <v>-27888</v>
      </c>
      <c r="F8128" s="3" t="s">
        <v>232</v>
      </c>
      <c r="G8128" s="3" t="s">
        <v>59</v>
      </c>
      <c r="H8128" s="2" t="s">
        <v>28</v>
      </c>
      <c r="I8128" s="2" t="s">
        <v>16073</v>
      </c>
      <c r="J8128" s="3" t="str">
        <f>HYPERLINK("https://www.boe.es/gazeta/dias/1823/08/23/pdfs/GMD-1823-633.pdf#page=6","Abrir facsímil")</f>
        <v>Abrir facsímil</v>
      </c>
      <c r="K8128" s="3" t="s">
        <v>30</v>
      </c>
    </row>
    <row r="8129" spans="1:11" ht="42" customHeight="1">
      <c r="A8129" s="2" t="s">
        <v>16074</v>
      </c>
      <c r="B8129" s="2" t="s">
        <v>16075</v>
      </c>
      <c r="C8129" s="2" t="s">
        <v>56</v>
      </c>
      <c r="D8129" s="2" t="s">
        <v>57</v>
      </c>
      <c r="E8129" s="5">
        <v>-28061</v>
      </c>
      <c r="F8129" s="3" t="s">
        <v>704</v>
      </c>
      <c r="G8129" s="3" t="s">
        <v>59</v>
      </c>
      <c r="H8129" s="2" t="s">
        <v>28</v>
      </c>
      <c r="I8129" s="2" t="s">
        <v>16076</v>
      </c>
      <c r="J8129" s="3" t="str">
        <f>HYPERLINK("https://www.boe.es/gazeta/dias/1823/03/03/pdfs/GMD-1823-66.pdf#page=6","Abrir facsímil")</f>
        <v>Abrir facsímil</v>
      </c>
      <c r="K8129" s="3" t="s">
        <v>30</v>
      </c>
    </row>
    <row r="8130" spans="1:11" ht="42" customHeight="1">
      <c r="A8130" s="2" t="s">
        <v>16077</v>
      </c>
      <c r="B8130" s="2" t="s">
        <v>16078</v>
      </c>
      <c r="C8130" s="2" t="s">
        <v>79</v>
      </c>
      <c r="D8130" s="2" t="s">
        <v>74</v>
      </c>
      <c r="E8130" s="5">
        <v>-28037</v>
      </c>
      <c r="F8130" s="3" t="s">
        <v>192</v>
      </c>
      <c r="G8130" s="3" t="s">
        <v>48</v>
      </c>
      <c r="H8130" s="2" t="s">
        <v>28</v>
      </c>
      <c r="I8130" s="2" t="s">
        <v>16079</v>
      </c>
      <c r="J8130" s="3" t="str">
        <f>HYPERLINK("https://www.boe.es/gazeta/dias/1823/03/27/pdfs/GMD-1823-90.pdf#page=3","Abrir facsímil")</f>
        <v>Abrir facsímil</v>
      </c>
      <c r="K8130" s="3" t="s">
        <v>30</v>
      </c>
    </row>
    <row r="8131" spans="1:11" ht="42" customHeight="1">
      <c r="A8131" s="2" t="s">
        <v>16080</v>
      </c>
      <c r="B8131" s="2" t="s">
        <v>16081</v>
      </c>
      <c r="C8131" s="2" t="s">
        <v>17</v>
      </c>
      <c r="D8131" s="2" t="s">
        <v>18</v>
      </c>
      <c r="E8131" s="5">
        <v>-28025</v>
      </c>
      <c r="F8131" s="3" t="s">
        <v>477</v>
      </c>
      <c r="G8131" s="3" t="s">
        <v>20</v>
      </c>
      <c r="H8131" s="2" t="s">
        <v>28</v>
      </c>
      <c r="I8131" s="2" t="s">
        <v>16082</v>
      </c>
      <c r="J8131" s="3" t="str">
        <f>HYPERLINK("https://www.boe.es/gazeta/dias/1823/04/08/pdfs/GMD-1823-103.pdf#page=4","Abrir facsímil")</f>
        <v>Abrir facsímil</v>
      </c>
      <c r="K8131" s="3" t="s">
        <v>30</v>
      </c>
    </row>
    <row r="8132" spans="1:11" ht="42" customHeight="1">
      <c r="A8132" s="2" t="s">
        <v>16083</v>
      </c>
      <c r="B8132" s="2" t="s">
        <v>16084</v>
      </c>
      <c r="C8132" s="2" t="s">
        <v>17</v>
      </c>
      <c r="D8132" s="2" t="s">
        <v>18</v>
      </c>
      <c r="E8132" s="5">
        <v>-28058</v>
      </c>
      <c r="F8132" s="3" t="s">
        <v>1282</v>
      </c>
      <c r="G8132" s="3" t="s">
        <v>48</v>
      </c>
      <c r="H8132" s="2" t="s">
        <v>28</v>
      </c>
      <c r="I8132" s="2" t="s">
        <v>16085</v>
      </c>
      <c r="J8132" s="3" t="str">
        <f>HYPERLINK("https://www.boe.es/gazeta/dias/1823/03/06/pdfs/GMD-1823-69.pdf#page=3","Abrir facsímil")</f>
        <v>Abrir facsímil</v>
      </c>
      <c r="K8132" s="3" t="s">
        <v>30</v>
      </c>
    </row>
    <row r="8133" spans="1:11" ht="42" customHeight="1">
      <c r="A8133" s="2" t="s">
        <v>16086</v>
      </c>
      <c r="B8133" s="2" t="s">
        <v>16087</v>
      </c>
      <c r="C8133" s="2" t="s">
        <v>84</v>
      </c>
      <c r="D8133" s="2" t="s">
        <v>74</v>
      </c>
      <c r="E8133" s="5">
        <v>-27820</v>
      </c>
      <c r="F8133" s="3" t="s">
        <v>6283</v>
      </c>
      <c r="G8133" s="3" t="s">
        <v>20</v>
      </c>
      <c r="H8133" s="2" t="s">
        <v>21</v>
      </c>
      <c r="I8133" s="2" t="s">
        <v>16088</v>
      </c>
      <c r="J8133" s="3" t="str">
        <f>HYPERLINK("https://www.boe.es/gazeta/dias/1823/10/30/pdfs/GMD-1823-1043.pdf#page=4","Abrir facsímil")</f>
        <v>Abrir facsímil</v>
      </c>
      <c r="K8133" s="3" t="s">
        <v>23</v>
      </c>
    </row>
    <row r="8134" spans="1:11" ht="42" customHeight="1">
      <c r="A8134" s="2" t="s">
        <v>16089</v>
      </c>
      <c r="B8134" s="2" t="s">
        <v>16090</v>
      </c>
      <c r="C8134" s="2" t="s">
        <v>17</v>
      </c>
      <c r="D8134" s="2" t="s">
        <v>18</v>
      </c>
      <c r="E8134" s="5">
        <v>-28080</v>
      </c>
      <c r="F8134" s="3" t="s">
        <v>1010</v>
      </c>
      <c r="G8134" s="3" t="s">
        <v>1382</v>
      </c>
      <c r="H8134" s="2" t="s">
        <v>21</v>
      </c>
      <c r="I8134" s="2" t="s">
        <v>16091</v>
      </c>
      <c r="J8134" s="3" t="str">
        <f>HYPERLINK("https://www.boe.es/gazeta/dias/1823/02/12/pdfs/GMD-1823-46.pdf#page=4","Abrir facsímil")</f>
        <v>Abrir facsímil</v>
      </c>
      <c r="K8134" s="3" t="s">
        <v>23</v>
      </c>
    </row>
    <row r="8135" spans="1:11" ht="42" customHeight="1">
      <c r="A8135" s="2" t="s">
        <v>16092</v>
      </c>
      <c r="B8135" s="2" t="s">
        <v>16093</v>
      </c>
      <c r="C8135" s="2" t="s">
        <v>73</v>
      </c>
      <c r="D8135" s="2" t="s">
        <v>74</v>
      </c>
      <c r="E8135" s="5">
        <v>-27878</v>
      </c>
      <c r="F8135" s="3" t="s">
        <v>1581</v>
      </c>
      <c r="G8135" s="3" t="s">
        <v>39</v>
      </c>
      <c r="H8135" s="2" t="s">
        <v>21</v>
      </c>
      <c r="I8135" s="2" t="s">
        <v>16094</v>
      </c>
      <c r="J8135" s="3" t="str">
        <f>HYPERLINK("https://www.boe.es/gazeta/dias/1823/09/02/pdfs/GMD-1823-683.pdf#page=1","Abrir facsímil")</f>
        <v>Abrir facsímil</v>
      </c>
      <c r="K8135" s="3" t="s">
        <v>23</v>
      </c>
    </row>
    <row r="8136" spans="1:11" ht="42" customHeight="1">
      <c r="A8136" s="2" t="s">
        <v>16095</v>
      </c>
      <c r="B8136" s="2" t="s">
        <v>16096</v>
      </c>
      <c r="C8136" s="2" t="s">
        <v>56</v>
      </c>
      <c r="D8136" s="2" t="s">
        <v>57</v>
      </c>
      <c r="E8136" s="5">
        <v>-28039</v>
      </c>
      <c r="F8136" s="3" t="s">
        <v>126</v>
      </c>
      <c r="G8136" s="3" t="s">
        <v>20</v>
      </c>
      <c r="H8136" s="2" t="s">
        <v>21</v>
      </c>
      <c r="I8136" s="2" t="s">
        <v>16097</v>
      </c>
      <c r="J8136" s="3" t="str">
        <f>HYPERLINK("https://www.boe.es/gazeta/dias/1823/03/25/pdfs/GMD-1823-88.pdf#page=4","Abrir facsímil")</f>
        <v>Abrir facsímil</v>
      </c>
      <c r="K8136" s="3" t="s">
        <v>23</v>
      </c>
    </row>
    <row r="8137" spans="1:11" ht="42" customHeight="1">
      <c r="A8137" s="2" t="s">
        <v>16098</v>
      </c>
      <c r="B8137" s="2" t="s">
        <v>16098</v>
      </c>
      <c r="C8137" s="2" t="s">
        <v>17</v>
      </c>
      <c r="D8137" s="2" t="s">
        <v>18</v>
      </c>
      <c r="E8137" s="5">
        <v>-28093</v>
      </c>
      <c r="F8137" s="3" t="s">
        <v>1044</v>
      </c>
      <c r="G8137" s="3" t="s">
        <v>59</v>
      </c>
      <c r="H8137" s="2" t="s">
        <v>21</v>
      </c>
      <c r="I8137" s="2" t="s">
        <v>16099</v>
      </c>
      <c r="J8137" s="3" t="str">
        <f>HYPERLINK("https://www.boe.es/gazeta/dias/1823/01/30/pdfs/GMD-1823-31.pdf#page=6","Abrir facsímil")</f>
        <v>Abrir facsímil</v>
      </c>
      <c r="K8137" s="3" t="s">
        <v>23</v>
      </c>
    </row>
    <row r="8138" spans="1:11" ht="42" customHeight="1">
      <c r="A8138" s="2" t="s">
        <v>16100</v>
      </c>
      <c r="B8138" s="2" t="s">
        <v>16100</v>
      </c>
      <c r="C8138" s="2" t="s">
        <v>17</v>
      </c>
      <c r="D8138" s="2" t="s">
        <v>18</v>
      </c>
      <c r="E8138" s="5">
        <v>-28104</v>
      </c>
      <c r="F8138" s="3" t="s">
        <v>114</v>
      </c>
      <c r="G8138" s="3" t="s">
        <v>34</v>
      </c>
      <c r="H8138" s="2" t="s">
        <v>21</v>
      </c>
      <c r="I8138" s="2" t="s">
        <v>16101</v>
      </c>
      <c r="J8138" s="3" t="str">
        <f>HYPERLINK("https://www.boe.es/gazeta/dias/1823/01/19/pdfs/GMD-1823-19.pdf#page=5","Abrir facsímil")</f>
        <v>Abrir facsímil</v>
      </c>
      <c r="K8138" s="3" t="s">
        <v>23</v>
      </c>
    </row>
    <row r="8139" spans="1:11" ht="42" customHeight="1">
      <c r="A8139" s="2" t="s">
        <v>16100</v>
      </c>
      <c r="B8139" s="2" t="s">
        <v>16100</v>
      </c>
      <c r="C8139" s="2" t="s">
        <v>73</v>
      </c>
      <c r="D8139" s="2" t="s">
        <v>74</v>
      </c>
      <c r="E8139" s="5">
        <v>-28058</v>
      </c>
      <c r="F8139" s="3" t="s">
        <v>1282</v>
      </c>
      <c r="G8139" s="3" t="s">
        <v>20</v>
      </c>
      <c r="H8139" s="2" t="s">
        <v>21</v>
      </c>
      <c r="I8139" s="2" t="s">
        <v>16102</v>
      </c>
      <c r="J8139" s="3" t="str">
        <f>HYPERLINK("https://www.boe.es/gazeta/dias/1823/03/06/pdfs/GMD-1823-69.pdf#page=4","Abrir facsímil")</f>
        <v>Abrir facsímil</v>
      </c>
      <c r="K8139" s="3" t="s">
        <v>23</v>
      </c>
    </row>
    <row r="8140" spans="1:11" ht="42" customHeight="1">
      <c r="A8140" s="2" t="s">
        <v>16100</v>
      </c>
      <c r="B8140" s="2" t="s">
        <v>16100</v>
      </c>
      <c r="C8140" s="2" t="s">
        <v>79</v>
      </c>
      <c r="D8140" s="2" t="s">
        <v>74</v>
      </c>
      <c r="E8140" s="5">
        <v>-27978</v>
      </c>
      <c r="F8140" s="3" t="s">
        <v>342</v>
      </c>
      <c r="G8140" s="3" t="s">
        <v>59</v>
      </c>
      <c r="H8140" s="2" t="s">
        <v>21</v>
      </c>
      <c r="I8140" s="2" t="s">
        <v>16103</v>
      </c>
      <c r="J8140" s="3" t="str">
        <f>HYPERLINK("https://www.boe.es/gazeta/dias/1823/05/25/pdfs/GES-1823-46.pdf#page=6","Abrir facsímil")</f>
        <v>Abrir facsímil</v>
      </c>
      <c r="K8140" s="3" t="s">
        <v>23</v>
      </c>
    </row>
    <row r="8141" spans="1:11" ht="42" customHeight="1">
      <c r="A8141" s="2" t="s">
        <v>16104</v>
      </c>
      <c r="B8141" s="2" t="s">
        <v>16105</v>
      </c>
      <c r="C8141" s="2" t="s">
        <v>17</v>
      </c>
      <c r="D8141" s="2" t="s">
        <v>18</v>
      </c>
      <c r="E8141" s="5">
        <v>-28017</v>
      </c>
      <c r="F8141" s="3" t="s">
        <v>2912</v>
      </c>
      <c r="G8141" s="3" t="s">
        <v>39</v>
      </c>
      <c r="H8141" s="2" t="s">
        <v>21</v>
      </c>
      <c r="I8141" s="2" t="s">
        <v>16106</v>
      </c>
      <c r="J8141" s="3" t="str">
        <f>HYPERLINK("https://www.boe.es/gazeta/dias/1823/04/16/pdfs/GES-1823-6.pdf#page=1","Abrir facsímil")</f>
        <v>Abrir facsímil</v>
      </c>
      <c r="K8141" s="3" t="s">
        <v>23</v>
      </c>
    </row>
    <row r="8142" spans="1:11" ht="42" customHeight="1">
      <c r="A8142" s="2" t="s">
        <v>16107</v>
      </c>
      <c r="B8142" s="2" t="s">
        <v>16108</v>
      </c>
      <c r="C8142" s="2" t="s">
        <v>17</v>
      </c>
      <c r="D8142" s="2" t="s">
        <v>18</v>
      </c>
      <c r="E8142" s="5">
        <v>-27841</v>
      </c>
      <c r="F8142" s="3" t="s">
        <v>721</v>
      </c>
      <c r="G8142" s="3" t="s">
        <v>39</v>
      </c>
      <c r="H8142" s="2" t="s">
        <v>21</v>
      </c>
      <c r="I8142" s="2" t="s">
        <v>16109</v>
      </c>
      <c r="J8142" s="3" t="str">
        <f>HYPERLINK("https://www.boe.es/gazeta/dias/1823/10/09/pdfs/GMD-1823-953.pdf#page=1","Abrir facsímil")</f>
        <v>Abrir facsímil</v>
      </c>
      <c r="K8142" s="3" t="s">
        <v>23</v>
      </c>
    </row>
    <row r="8143" spans="1:11" ht="42" customHeight="1">
      <c r="A8143" s="2" t="s">
        <v>16110</v>
      </c>
      <c r="B8143" s="2" t="s">
        <v>16111</v>
      </c>
      <c r="C8143" s="2" t="s">
        <v>17</v>
      </c>
      <c r="D8143" s="2" t="s">
        <v>18</v>
      </c>
      <c r="E8143" s="5">
        <v>-28094</v>
      </c>
      <c r="F8143" s="3" t="s">
        <v>93</v>
      </c>
      <c r="G8143" s="3" t="s">
        <v>20</v>
      </c>
      <c r="H8143" s="2" t="s">
        <v>21</v>
      </c>
      <c r="I8143" s="2" t="s">
        <v>16112</v>
      </c>
      <c r="J8143" s="3" t="str">
        <f>HYPERLINK("https://www.boe.es/gazeta/dias/1823/01/29/pdfs/GMD-1823-30.pdf#page=4","Abrir facsímil")</f>
        <v>Abrir facsímil</v>
      </c>
      <c r="K8143" s="3" t="s">
        <v>23</v>
      </c>
    </row>
    <row r="8144" spans="1:11" ht="42" customHeight="1">
      <c r="A8144" s="2" t="s">
        <v>16110</v>
      </c>
      <c r="B8144" s="2" t="s">
        <v>16111</v>
      </c>
      <c r="C8144" s="2" t="s">
        <v>17</v>
      </c>
      <c r="D8144" s="2" t="s">
        <v>18</v>
      </c>
      <c r="E8144" s="5">
        <v>-28037</v>
      </c>
      <c r="F8144" s="3" t="s">
        <v>192</v>
      </c>
      <c r="G8144" s="3" t="s">
        <v>39</v>
      </c>
      <c r="H8144" s="2" t="s">
        <v>21</v>
      </c>
      <c r="I8144" s="2" t="s">
        <v>16113</v>
      </c>
      <c r="J8144" s="3" t="str">
        <f>HYPERLINK("https://www.boe.es/gazeta/dias/1823/03/27/pdfs/GMD-1823-90.pdf#page=1","Abrir facsímil")</f>
        <v>Abrir facsímil</v>
      </c>
      <c r="K8144" s="3" t="s">
        <v>23</v>
      </c>
    </row>
    <row r="8145" spans="1:11" ht="42" customHeight="1">
      <c r="A8145" s="2" t="s">
        <v>16114</v>
      </c>
      <c r="B8145" s="2" t="s">
        <v>16115</v>
      </c>
      <c r="C8145" s="2" t="s">
        <v>79</v>
      </c>
      <c r="D8145" s="2" t="s">
        <v>74</v>
      </c>
      <c r="E8145" s="5">
        <v>-27848</v>
      </c>
      <c r="F8145" s="3" t="s">
        <v>2665</v>
      </c>
      <c r="G8145" s="3" t="s">
        <v>20</v>
      </c>
      <c r="H8145" s="2" t="s">
        <v>21</v>
      </c>
      <c r="I8145" s="2" t="s">
        <v>16116</v>
      </c>
      <c r="J8145" s="3" t="str">
        <f>HYPERLINK("https://www.boe.es/gazeta/dias/1823/10/02/pdfs/GMD-1823-893.pdf#page=4","Abrir facsímil")</f>
        <v>Abrir facsímil</v>
      </c>
      <c r="K8145" s="3" t="s">
        <v>23</v>
      </c>
    </row>
    <row r="8146" spans="1:11" ht="42" customHeight="1">
      <c r="A8146" s="2" t="s">
        <v>16117</v>
      </c>
      <c r="B8146" s="2" t="s">
        <v>16117</v>
      </c>
      <c r="C8146" s="2" t="s">
        <v>17</v>
      </c>
      <c r="D8146" s="2" t="s">
        <v>18</v>
      </c>
      <c r="E8146" s="5">
        <v>-27902</v>
      </c>
      <c r="F8146" s="3" t="s">
        <v>259</v>
      </c>
      <c r="G8146" s="3" t="s">
        <v>27</v>
      </c>
      <c r="H8146" s="2" t="s">
        <v>21</v>
      </c>
      <c r="I8146" s="2" t="s">
        <v>16118</v>
      </c>
      <c r="J8146" s="3" t="str">
        <f>HYPERLINK("https://www.boe.es/gazeta/dias/1823/08/09/pdfs/GMD-1823-563.pdf#page=2","Abrir facsímil")</f>
        <v>Abrir facsímil</v>
      </c>
      <c r="K8146" s="3" t="s">
        <v>23</v>
      </c>
    </row>
    <row r="8147" spans="1:11" ht="42" customHeight="1">
      <c r="A8147" s="2" t="s">
        <v>16119</v>
      </c>
      <c r="B8147" s="2" t="s">
        <v>16119</v>
      </c>
      <c r="C8147" s="2" t="s">
        <v>79</v>
      </c>
      <c r="D8147" s="2" t="s">
        <v>74</v>
      </c>
      <c r="E8147" s="5">
        <v>-27970</v>
      </c>
      <c r="F8147" s="3" t="s">
        <v>1030</v>
      </c>
      <c r="G8147" s="3" t="s">
        <v>27</v>
      </c>
      <c r="H8147" s="2" t="s">
        <v>21</v>
      </c>
      <c r="I8147" s="2" t="s">
        <v>16120</v>
      </c>
      <c r="J8147" s="3" t="str">
        <f>HYPERLINK("https://www.boe.es/gazeta/dias/1823/06/02/pdfs/GES-1823-56.pdf#page=2","Abrir facsímil")</f>
        <v>Abrir facsímil</v>
      </c>
      <c r="K8147" s="3" t="s">
        <v>23</v>
      </c>
    </row>
    <row r="8148" spans="1:11" ht="42" customHeight="1">
      <c r="A8148" s="2" t="s">
        <v>16121</v>
      </c>
      <c r="B8148" s="2" t="s">
        <v>16121</v>
      </c>
      <c r="C8148" s="2" t="s">
        <v>56</v>
      </c>
      <c r="D8148" s="2" t="s">
        <v>57</v>
      </c>
      <c r="E8148" s="5">
        <v>-28112</v>
      </c>
      <c r="F8148" s="3" t="s">
        <v>43</v>
      </c>
      <c r="G8148" s="3" t="s">
        <v>27</v>
      </c>
      <c r="H8148" s="2" t="s">
        <v>21</v>
      </c>
      <c r="I8148" s="2" t="s">
        <v>16122</v>
      </c>
      <c r="J8148" s="3" t="str">
        <f>HYPERLINK("https://www.boe.es/gazeta/dias/1823/01/11/pdfs/GMD-1823-11.pdf#page=2","Abrir facsímil")</f>
        <v>Abrir facsímil</v>
      </c>
      <c r="K8148" s="3" t="s">
        <v>23</v>
      </c>
    </row>
    <row r="8149" spans="1:11" ht="42" customHeight="1">
      <c r="A8149" s="2" t="s">
        <v>16121</v>
      </c>
      <c r="B8149" s="2" t="s">
        <v>16121</v>
      </c>
      <c r="C8149" s="2" t="s">
        <v>17</v>
      </c>
      <c r="D8149" s="2" t="s">
        <v>18</v>
      </c>
      <c r="E8149" s="5">
        <v>-28076</v>
      </c>
      <c r="F8149" s="3" t="s">
        <v>1638</v>
      </c>
      <c r="G8149" s="3" t="s">
        <v>39</v>
      </c>
      <c r="H8149" s="2" t="s">
        <v>21</v>
      </c>
      <c r="I8149" s="2" t="s">
        <v>16123</v>
      </c>
      <c r="J8149" s="3" t="str">
        <f>HYPERLINK("https://www.boe.es/gazeta/dias/1823/02/16/pdfs/GMD-1823-50.pdf#page=1","Abrir facsímil")</f>
        <v>Abrir facsímil</v>
      </c>
      <c r="K8149" s="3" t="s">
        <v>23</v>
      </c>
    </row>
    <row r="8150" spans="1:11" ht="42" customHeight="1">
      <c r="A8150" s="2" t="s">
        <v>16121</v>
      </c>
      <c r="B8150" s="2" t="s">
        <v>16121</v>
      </c>
      <c r="C8150" s="2" t="s">
        <v>17</v>
      </c>
      <c r="D8150" s="2" t="s">
        <v>18</v>
      </c>
      <c r="E8150" s="5">
        <v>-28071</v>
      </c>
      <c r="F8150" s="3" t="s">
        <v>587</v>
      </c>
      <c r="G8150" s="3" t="s">
        <v>27</v>
      </c>
      <c r="H8150" s="2" t="s">
        <v>21</v>
      </c>
      <c r="I8150" s="2" t="s">
        <v>16124</v>
      </c>
      <c r="J8150" s="3" t="str">
        <f>HYPERLINK("https://www.boe.es/gazeta/dias/1823/02/21/pdfs/GMD-1823-55.pdf#page=2","Abrir facsímil")</f>
        <v>Abrir facsímil</v>
      </c>
      <c r="K8150" s="3" t="s">
        <v>23</v>
      </c>
    </row>
    <row r="8151" spans="1:11" ht="42" customHeight="1">
      <c r="A8151" s="2" t="s">
        <v>16121</v>
      </c>
      <c r="B8151" s="2" t="s">
        <v>16121</v>
      </c>
      <c r="C8151" s="2" t="s">
        <v>17</v>
      </c>
      <c r="D8151" s="2" t="s">
        <v>18</v>
      </c>
      <c r="E8151" s="5">
        <v>-28001</v>
      </c>
      <c r="F8151" s="3" t="s">
        <v>768</v>
      </c>
      <c r="G8151" s="3" t="s">
        <v>27</v>
      </c>
      <c r="H8151" s="2" t="s">
        <v>21</v>
      </c>
      <c r="I8151" s="2" t="s">
        <v>16125</v>
      </c>
      <c r="J8151" s="3" t="str">
        <f>HYPERLINK("https://www.boe.es/gazeta/dias/1823/05/02/pdfs/GES-1823-22.pdf#page=2","Abrir facsímil")</f>
        <v>Abrir facsímil</v>
      </c>
      <c r="K8151" s="3" t="s">
        <v>23</v>
      </c>
    </row>
    <row r="8152" spans="1:11" ht="42" customHeight="1">
      <c r="A8152" s="2" t="s">
        <v>16121</v>
      </c>
      <c r="B8152" s="2" t="s">
        <v>16121</v>
      </c>
      <c r="C8152" s="2" t="s">
        <v>17</v>
      </c>
      <c r="D8152" s="2" t="s">
        <v>18</v>
      </c>
      <c r="E8152" s="5">
        <v>-27995</v>
      </c>
      <c r="F8152" s="3" t="s">
        <v>326</v>
      </c>
      <c r="G8152" s="3" t="s">
        <v>27</v>
      </c>
      <c r="H8152" s="2" t="s">
        <v>21</v>
      </c>
      <c r="I8152" s="2" t="s">
        <v>16126</v>
      </c>
      <c r="J8152" s="3" t="str">
        <f>HYPERLINK("https://www.boe.es/gazeta/dias/1823/05/08/pdfs/GMD-1823-112.pdf#page=2","Abrir facsímil")</f>
        <v>Abrir facsímil</v>
      </c>
      <c r="K8152" s="3" t="s">
        <v>23</v>
      </c>
    </row>
    <row r="8153" spans="1:11" ht="42" customHeight="1">
      <c r="A8153" s="2" t="s">
        <v>16127</v>
      </c>
      <c r="B8153" s="2" t="s">
        <v>16128</v>
      </c>
      <c r="C8153" s="2" t="s">
        <v>17</v>
      </c>
      <c r="D8153" s="2" t="s">
        <v>18</v>
      </c>
      <c r="E8153" s="5">
        <v>-28030</v>
      </c>
      <c r="F8153" s="3" t="s">
        <v>145</v>
      </c>
      <c r="G8153" s="3" t="s">
        <v>20</v>
      </c>
      <c r="H8153" s="2" t="s">
        <v>21</v>
      </c>
      <c r="I8153" s="2" t="s">
        <v>16129</v>
      </c>
      <c r="J8153" s="3" t="str">
        <f>HYPERLINK("https://www.boe.es/gazeta/dias/1823/04/03/pdfs/GMD-1823-97.pdf#page=4","Abrir facsímil")</f>
        <v>Abrir facsímil</v>
      </c>
      <c r="K8153" s="3" t="s">
        <v>23</v>
      </c>
    </row>
    <row r="8154" spans="1:11" ht="42" customHeight="1">
      <c r="A8154" s="2" t="s">
        <v>16130</v>
      </c>
      <c r="B8154" s="2" t="s">
        <v>16130</v>
      </c>
      <c r="C8154" s="2" t="s">
        <v>73</v>
      </c>
      <c r="D8154" s="2" t="s">
        <v>74</v>
      </c>
      <c r="E8154" s="5">
        <v>-28093</v>
      </c>
      <c r="F8154" s="3" t="s">
        <v>1044</v>
      </c>
      <c r="G8154" s="3" t="s">
        <v>34</v>
      </c>
      <c r="H8154" s="2" t="s">
        <v>21</v>
      </c>
      <c r="I8154" s="2" t="s">
        <v>16131</v>
      </c>
      <c r="J8154" s="3" t="str">
        <f>HYPERLINK("https://www.boe.es/gazeta/dias/1823/01/30/pdfs/GMD-1823-31.pdf#page=5","Abrir facsímil")</f>
        <v>Abrir facsímil</v>
      </c>
      <c r="K8154" s="3" t="s">
        <v>23</v>
      </c>
    </row>
    <row r="8155" spans="1:11" ht="42" customHeight="1">
      <c r="A8155" s="2" t="s">
        <v>16132</v>
      </c>
      <c r="B8155" s="2" t="s">
        <v>16133</v>
      </c>
      <c r="C8155" s="2" t="s">
        <v>17</v>
      </c>
      <c r="D8155" s="2" t="s">
        <v>18</v>
      </c>
      <c r="E8155" s="5">
        <v>-28092</v>
      </c>
      <c r="F8155" s="3" t="s">
        <v>105</v>
      </c>
      <c r="G8155" s="3" t="s">
        <v>39</v>
      </c>
      <c r="H8155" s="2" t="s">
        <v>21</v>
      </c>
      <c r="I8155" s="2" t="s">
        <v>16134</v>
      </c>
      <c r="J8155" s="3" t="str">
        <f>HYPERLINK("https://www.boe.es/gazeta/dias/1823/01/31/pdfs/GMD-1823-32.pdf#page=1","Abrir facsímil")</f>
        <v>Abrir facsímil</v>
      </c>
      <c r="K8155" s="3" t="s">
        <v>23</v>
      </c>
    </row>
    <row r="8156" spans="1:11" ht="42" customHeight="1">
      <c r="A8156" s="2" t="s">
        <v>16135</v>
      </c>
      <c r="B8156" s="2" t="s">
        <v>16135</v>
      </c>
      <c r="C8156" s="2" t="s">
        <v>17</v>
      </c>
      <c r="D8156" s="2" t="s">
        <v>18</v>
      </c>
      <c r="E8156" s="5">
        <v>-27878</v>
      </c>
      <c r="F8156" s="3" t="s">
        <v>1581</v>
      </c>
      <c r="G8156" s="3" t="s">
        <v>48</v>
      </c>
      <c r="H8156" s="2" t="s">
        <v>21</v>
      </c>
      <c r="I8156" s="2" t="s">
        <v>16136</v>
      </c>
      <c r="J8156" s="3" t="str">
        <f>HYPERLINK("https://www.boe.es/gazeta/dias/1823/09/02/pdfs/GMD-1823-683.pdf#page=3","Abrir facsímil")</f>
        <v>Abrir facsímil</v>
      </c>
      <c r="K8156" s="3" t="s">
        <v>23</v>
      </c>
    </row>
    <row r="8157" spans="1:11" ht="42" customHeight="1">
      <c r="A8157" s="2" t="s">
        <v>16137</v>
      </c>
      <c r="B8157" s="2" t="s">
        <v>16138</v>
      </c>
      <c r="C8157" s="2" t="s">
        <v>17</v>
      </c>
      <c r="D8157" s="2" t="s">
        <v>117</v>
      </c>
      <c r="E8157" s="5">
        <v>-27975</v>
      </c>
      <c r="F8157" s="3" t="s">
        <v>1922</v>
      </c>
      <c r="G8157" s="3" t="s">
        <v>39</v>
      </c>
      <c r="H8157" s="2" t="s">
        <v>21</v>
      </c>
      <c r="I8157" s="2" t="s">
        <v>16139</v>
      </c>
      <c r="J8157" s="3" t="str">
        <f>HYPERLINK("https://www.boe.es/gazeta/dias/1823/05/28/pdfs/GES-1823-51E.pdf#page=1","Abrir facsímil")</f>
        <v>Abrir facsímil</v>
      </c>
      <c r="K8157" s="3" t="s">
        <v>23</v>
      </c>
    </row>
    <row r="8158" spans="1:11" ht="42" customHeight="1">
      <c r="A8158" s="2" t="s">
        <v>16140</v>
      </c>
      <c r="B8158" s="2" t="s">
        <v>16141</v>
      </c>
      <c r="C8158" s="2" t="s">
        <v>17</v>
      </c>
      <c r="D8158" s="2" t="s">
        <v>18</v>
      </c>
      <c r="E8158" s="5">
        <v>-28019</v>
      </c>
      <c r="F8158" s="3" t="s">
        <v>1663</v>
      </c>
      <c r="G8158" s="3" t="s">
        <v>27</v>
      </c>
      <c r="H8158" s="2" t="s">
        <v>21</v>
      </c>
      <c r="I8158" s="2" t="s">
        <v>16142</v>
      </c>
      <c r="J8158" s="3" t="str">
        <f>HYPERLINK("https://www.boe.es/gazeta/dias/1823/04/14/pdfs/GES-1823-4.pdf#page=2","Abrir facsímil")</f>
        <v>Abrir facsímil</v>
      </c>
      <c r="K8158" s="3" t="s">
        <v>23</v>
      </c>
    </row>
    <row r="8159" spans="1:11" ht="42" customHeight="1">
      <c r="A8159" s="2" t="s">
        <v>16143</v>
      </c>
      <c r="B8159" s="2" t="s">
        <v>16143</v>
      </c>
      <c r="C8159" s="2" t="s">
        <v>17</v>
      </c>
      <c r="D8159" s="2" t="s">
        <v>18</v>
      </c>
      <c r="E8159" s="5">
        <v>-27901</v>
      </c>
      <c r="F8159" s="3" t="s">
        <v>840</v>
      </c>
      <c r="G8159" s="3" t="s">
        <v>27</v>
      </c>
      <c r="H8159" s="2" t="s">
        <v>21</v>
      </c>
      <c r="I8159" s="2" t="s">
        <v>16144</v>
      </c>
      <c r="J8159" s="3" t="str">
        <f>HYPERLINK("https://www.boe.es/gazeta/dias/1823/08/10/pdfs/GES-1823-123.pdf#page=2","Abrir facsímil")</f>
        <v>Abrir facsímil</v>
      </c>
      <c r="K8159" s="3" t="s">
        <v>23</v>
      </c>
    </row>
    <row r="8160" spans="1:11" ht="42" customHeight="1">
      <c r="A8160" s="2" t="s">
        <v>16145</v>
      </c>
      <c r="B8160" s="2" t="s">
        <v>16145</v>
      </c>
      <c r="C8160" s="2" t="s">
        <v>79</v>
      </c>
      <c r="D8160" s="2" t="s">
        <v>74</v>
      </c>
      <c r="E8160" s="5">
        <v>-28047</v>
      </c>
      <c r="F8160" s="3" t="s">
        <v>2269</v>
      </c>
      <c r="G8160" s="3" t="s">
        <v>39</v>
      </c>
      <c r="H8160" s="2" t="s">
        <v>21</v>
      </c>
      <c r="I8160" s="2" t="s">
        <v>16146</v>
      </c>
      <c r="J8160" s="3" t="str">
        <f>HYPERLINK("https://www.boe.es/gazeta/dias/1823/03/17/pdfs/GMD-1823-80.pdf#page=1","Abrir facsímil")</f>
        <v>Abrir facsímil</v>
      </c>
      <c r="K8160" s="3" t="s">
        <v>23</v>
      </c>
    </row>
    <row r="8161" spans="1:11" ht="42" customHeight="1">
      <c r="A8161" s="2" t="s">
        <v>16147</v>
      </c>
      <c r="B8161" s="2" t="s">
        <v>16147</v>
      </c>
      <c r="C8161" s="2" t="s">
        <v>79</v>
      </c>
      <c r="D8161" s="2" t="s">
        <v>74</v>
      </c>
      <c r="E8161" s="5">
        <v>-28047</v>
      </c>
      <c r="F8161" s="3" t="s">
        <v>2269</v>
      </c>
      <c r="G8161" s="3" t="s">
        <v>39</v>
      </c>
      <c r="H8161" s="2" t="s">
        <v>21</v>
      </c>
      <c r="I8161" s="2" t="s">
        <v>16148</v>
      </c>
      <c r="J8161" s="3" t="str">
        <f>HYPERLINK("https://www.boe.es/gazeta/dias/1823/03/17/pdfs/GMD-1823-80.pdf#page=1","Abrir facsímil")</f>
        <v>Abrir facsímil</v>
      </c>
      <c r="K8161" s="3" t="s">
        <v>23</v>
      </c>
    </row>
    <row r="8162" spans="1:11" ht="42" customHeight="1">
      <c r="A8162" s="2" t="s">
        <v>16149</v>
      </c>
      <c r="B8162" s="2" t="s">
        <v>16149</v>
      </c>
      <c r="C8162" s="2" t="s">
        <v>17</v>
      </c>
      <c r="D8162" s="2" t="s">
        <v>18</v>
      </c>
      <c r="E8162" s="5">
        <v>-28092</v>
      </c>
      <c r="F8162" s="3" t="s">
        <v>105</v>
      </c>
      <c r="G8162" s="3" t="s">
        <v>39</v>
      </c>
      <c r="H8162" s="2" t="s">
        <v>21</v>
      </c>
      <c r="I8162" s="2" t="s">
        <v>16150</v>
      </c>
      <c r="J8162" s="3" t="str">
        <f>HYPERLINK("https://www.boe.es/gazeta/dias/1823/01/31/pdfs/GMD-1823-32.pdf#page=1","Abrir facsímil")</f>
        <v>Abrir facsímil</v>
      </c>
      <c r="K8162" s="3" t="s">
        <v>23</v>
      </c>
    </row>
    <row r="8163" spans="1:11" ht="42" customHeight="1">
      <c r="A8163" s="2" t="s">
        <v>16151</v>
      </c>
      <c r="B8163" s="2" t="s">
        <v>16152</v>
      </c>
      <c r="C8163" s="2" t="s">
        <v>109</v>
      </c>
      <c r="D8163" s="2" t="s">
        <v>74</v>
      </c>
      <c r="E8163" s="5">
        <v>-28073</v>
      </c>
      <c r="F8163" s="3" t="s">
        <v>204</v>
      </c>
      <c r="G8163" s="3" t="s">
        <v>27</v>
      </c>
      <c r="H8163" s="2" t="s">
        <v>21</v>
      </c>
      <c r="I8163" s="2" t="s">
        <v>16153</v>
      </c>
      <c r="J8163" s="3" t="str">
        <f>HYPERLINK("https://www.boe.es/gazeta/dias/1823/02/19/pdfs/GMD-1823-53.pdf#page=2","Abrir facsímil")</f>
        <v>Abrir facsímil</v>
      </c>
      <c r="K8163" s="3" t="s">
        <v>23</v>
      </c>
    </row>
    <row r="8164" spans="1:11" ht="42" customHeight="1">
      <c r="A8164" s="2" t="s">
        <v>16154</v>
      </c>
      <c r="B8164" s="2" t="s">
        <v>16155</v>
      </c>
      <c r="C8164" s="2" t="s">
        <v>17</v>
      </c>
      <c r="D8164" s="2" t="s">
        <v>18</v>
      </c>
      <c r="E8164" s="5">
        <v>-27852</v>
      </c>
      <c r="F8164" s="3" t="s">
        <v>2628</v>
      </c>
      <c r="G8164" s="3" t="s">
        <v>7694</v>
      </c>
      <c r="H8164" s="2" t="s">
        <v>21</v>
      </c>
      <c r="I8164" s="2" t="s">
        <v>16156</v>
      </c>
      <c r="J8164" s="3" t="str">
        <f>HYPERLINK("https://www.boe.es/gazeta/dias/1823/09/28/pdfs/GES-1823-172.pdf#page=2","Abrir facsímil")</f>
        <v>Abrir facsímil</v>
      </c>
      <c r="K8164" s="3" t="s">
        <v>23</v>
      </c>
    </row>
    <row r="8165" spans="1:11" ht="42" customHeight="1">
      <c r="A8165" s="2" t="s">
        <v>16157</v>
      </c>
      <c r="B8165" s="2" t="s">
        <v>16158</v>
      </c>
      <c r="C8165" s="2" t="s">
        <v>17</v>
      </c>
      <c r="D8165" s="2" t="s">
        <v>18</v>
      </c>
      <c r="E8165" s="5">
        <v>-28020</v>
      </c>
      <c r="F8165" s="3" t="s">
        <v>448</v>
      </c>
      <c r="G8165" s="3" t="s">
        <v>20</v>
      </c>
      <c r="H8165" s="2" t="s">
        <v>21</v>
      </c>
      <c r="I8165" s="2" t="s">
        <v>16159</v>
      </c>
      <c r="J8165" s="3" t="str">
        <f>HYPERLINK("https://www.boe.es/gazeta/dias/1823/04/13/pdfs/GES-1823-3.pdf#page=4","Abrir facsímil")</f>
        <v>Abrir facsímil</v>
      </c>
      <c r="K8165" s="3" t="s">
        <v>23</v>
      </c>
    </row>
    <row r="8166" spans="1:11" ht="42" customHeight="1">
      <c r="A8166" s="2" t="s">
        <v>16160</v>
      </c>
      <c r="B8166" s="2" t="s">
        <v>16161</v>
      </c>
      <c r="C8166" s="2" t="s">
        <v>17</v>
      </c>
      <c r="D8166" s="2" t="s">
        <v>18</v>
      </c>
      <c r="E8166" s="5">
        <v>-28073</v>
      </c>
      <c r="F8166" s="3" t="s">
        <v>204</v>
      </c>
      <c r="G8166" s="3" t="s">
        <v>27</v>
      </c>
      <c r="H8166" s="2" t="s">
        <v>21</v>
      </c>
      <c r="I8166" s="2" t="s">
        <v>16162</v>
      </c>
      <c r="J8166" s="3" t="str">
        <f>HYPERLINK("https://www.boe.es/gazeta/dias/1823/02/19/pdfs/GMD-1823-53.pdf#page=2","Abrir facsímil")</f>
        <v>Abrir facsímil</v>
      </c>
      <c r="K8166" s="3" t="s">
        <v>23</v>
      </c>
    </row>
    <row r="8167" spans="1:11" ht="42" customHeight="1">
      <c r="A8167" s="2" t="s">
        <v>16163</v>
      </c>
      <c r="B8167" s="2" t="s">
        <v>16164</v>
      </c>
      <c r="C8167" s="2" t="s">
        <v>109</v>
      </c>
      <c r="D8167" s="2" t="s">
        <v>74</v>
      </c>
      <c r="E8167" s="5">
        <v>-28037</v>
      </c>
      <c r="F8167" s="3" t="s">
        <v>192</v>
      </c>
      <c r="G8167" s="3" t="s">
        <v>48</v>
      </c>
      <c r="H8167" s="2" t="s">
        <v>21</v>
      </c>
      <c r="I8167" s="2" t="s">
        <v>16165</v>
      </c>
      <c r="J8167" s="3" t="str">
        <f>HYPERLINK("https://www.boe.es/gazeta/dias/1823/03/27/pdfs/GMD-1823-90.pdf#page=3","Abrir facsímil")</f>
        <v>Abrir facsímil</v>
      </c>
      <c r="K8167" s="3" t="s">
        <v>23</v>
      </c>
    </row>
    <row r="8168" spans="1:11" ht="42" customHeight="1">
      <c r="A8168" s="2" t="s">
        <v>16163</v>
      </c>
      <c r="B8168" s="2" t="s">
        <v>16164</v>
      </c>
      <c r="C8168" s="2" t="s">
        <v>79</v>
      </c>
      <c r="D8168" s="2" t="s">
        <v>74</v>
      </c>
      <c r="E8168" s="5">
        <v>-28000</v>
      </c>
      <c r="F8168" s="3" t="s">
        <v>138</v>
      </c>
      <c r="G8168" s="3" t="s">
        <v>20</v>
      </c>
      <c r="H8168" s="2" t="s">
        <v>21</v>
      </c>
      <c r="I8168" s="2" t="s">
        <v>16166</v>
      </c>
      <c r="J8168" s="3" t="str">
        <f>HYPERLINK("https://www.boe.es/gazeta/dias/1823/05/03/pdfs/GMD-1823-92.pdf#page=4","Abrir facsímil")</f>
        <v>Abrir facsímil</v>
      </c>
      <c r="K8168" s="3" t="s">
        <v>23</v>
      </c>
    </row>
    <row r="8169" spans="1:11" ht="42" customHeight="1">
      <c r="A8169" s="2" t="s">
        <v>16163</v>
      </c>
      <c r="B8169" s="2" t="s">
        <v>16164</v>
      </c>
      <c r="C8169" s="2" t="s">
        <v>17</v>
      </c>
      <c r="D8169" s="2" t="s">
        <v>18</v>
      </c>
      <c r="E8169" s="5">
        <v>-27999</v>
      </c>
      <c r="F8169" s="3" t="s">
        <v>97</v>
      </c>
      <c r="G8169" s="3" t="s">
        <v>1257</v>
      </c>
      <c r="H8169" s="2" t="s">
        <v>21</v>
      </c>
      <c r="I8169" s="2" t="s">
        <v>16167</v>
      </c>
      <c r="J8169" s="3" t="str">
        <f>HYPERLINK("https://www.boe.es/gazeta/dias/1823/05/04/pdfs/GES-1823-24.pdf#page=2","Abrir facsímil")</f>
        <v>Abrir facsímil</v>
      </c>
      <c r="K8169" s="3" t="s">
        <v>23</v>
      </c>
    </row>
    <row r="8170" spans="1:11" ht="42" customHeight="1">
      <c r="A8170" s="2" t="s">
        <v>16168</v>
      </c>
      <c r="B8170" s="2" t="s">
        <v>16169</v>
      </c>
      <c r="C8170" s="2" t="s">
        <v>17</v>
      </c>
      <c r="D8170" s="2" t="s">
        <v>18</v>
      </c>
      <c r="E8170" s="5">
        <v>-27904</v>
      </c>
      <c r="F8170" s="3" t="s">
        <v>1748</v>
      </c>
      <c r="G8170" s="3" t="s">
        <v>39</v>
      </c>
      <c r="H8170" s="2" t="s">
        <v>21</v>
      </c>
      <c r="I8170" s="2" t="s">
        <v>16170</v>
      </c>
      <c r="J8170" s="3" t="str">
        <f>HYPERLINK("https://www.boe.es/gazeta/dias/1823/08/07/pdfs/GES-1823-120.pdf#page=1","Abrir facsímil")</f>
        <v>Abrir facsímil</v>
      </c>
      <c r="K8170" s="3" t="s">
        <v>23</v>
      </c>
    </row>
    <row r="8171" spans="1:11" ht="42" customHeight="1">
      <c r="A8171" s="2" t="s">
        <v>16171</v>
      </c>
      <c r="B8171" s="2" t="s">
        <v>16172</v>
      </c>
      <c r="C8171" s="2" t="s">
        <v>17</v>
      </c>
      <c r="D8171" s="2" t="s">
        <v>18</v>
      </c>
      <c r="E8171" s="5">
        <v>-28013</v>
      </c>
      <c r="F8171" s="3" t="s">
        <v>2466</v>
      </c>
      <c r="G8171" s="3" t="s">
        <v>2467</v>
      </c>
      <c r="H8171" s="2" t="s">
        <v>21</v>
      </c>
      <c r="I8171" s="2" t="s">
        <v>16173</v>
      </c>
      <c r="J8171" s="3" t="str">
        <f>HYPERLINK("https://www.boe.es/gazeta/dias/1823/04/20/pdfs/GES-1823-10.pdf#page=3","Abrir facsímil")</f>
        <v>Abrir facsímil</v>
      </c>
      <c r="K8171" s="3" t="s">
        <v>23</v>
      </c>
    </row>
    <row r="8172" spans="1:11" ht="42" customHeight="1">
      <c r="A8172" s="2" t="s">
        <v>16174</v>
      </c>
      <c r="B8172" s="2" t="s">
        <v>16175</v>
      </c>
      <c r="C8172" s="2" t="s">
        <v>17</v>
      </c>
      <c r="D8172" s="2" t="s">
        <v>18</v>
      </c>
      <c r="E8172" s="5">
        <v>-28045</v>
      </c>
      <c r="F8172" s="3" t="s">
        <v>245</v>
      </c>
      <c r="G8172" s="3" t="s">
        <v>27</v>
      </c>
      <c r="H8172" s="2" t="s">
        <v>21</v>
      </c>
      <c r="I8172" s="2" t="s">
        <v>16176</v>
      </c>
      <c r="J8172" s="3" t="str">
        <f>HYPERLINK("https://www.boe.es/gazeta/dias/1823/03/19/pdfs/GMD-1823-82.pdf#page=2","Abrir facsímil")</f>
        <v>Abrir facsímil</v>
      </c>
      <c r="K8172" s="3" t="s">
        <v>23</v>
      </c>
    </row>
    <row r="8173" spans="1:11" ht="42" customHeight="1">
      <c r="A8173" s="2" t="s">
        <v>16177</v>
      </c>
      <c r="B8173" s="2" t="s">
        <v>16177</v>
      </c>
      <c r="C8173" s="2" t="s">
        <v>17</v>
      </c>
      <c r="D8173" s="2" t="s">
        <v>18</v>
      </c>
      <c r="E8173" s="5">
        <v>-27878</v>
      </c>
      <c r="F8173" s="3" t="s">
        <v>1581</v>
      </c>
      <c r="G8173" s="3" t="s">
        <v>20</v>
      </c>
      <c r="H8173" s="2" t="s">
        <v>21</v>
      </c>
      <c r="I8173" s="2" t="s">
        <v>16178</v>
      </c>
      <c r="J8173" s="3" t="str">
        <f>HYPERLINK("https://www.boe.es/gazeta/dias/1823/09/02/pdfs/GMD-1823-683.pdf#page=4","Abrir facsímil")</f>
        <v>Abrir facsímil</v>
      </c>
      <c r="K8173" s="3" t="s">
        <v>23</v>
      </c>
    </row>
    <row r="8174" spans="1:11" ht="42" customHeight="1">
      <c r="A8174" s="2" t="s">
        <v>16177</v>
      </c>
      <c r="B8174" s="2" t="s">
        <v>16177</v>
      </c>
      <c r="C8174" s="2" t="s">
        <v>17</v>
      </c>
      <c r="D8174" s="2" t="s">
        <v>18</v>
      </c>
      <c r="E8174" s="5">
        <v>-27860</v>
      </c>
      <c r="F8174" s="3" t="s">
        <v>998</v>
      </c>
      <c r="G8174" s="3" t="s">
        <v>34</v>
      </c>
      <c r="H8174" s="2" t="s">
        <v>21</v>
      </c>
      <c r="I8174" s="2" t="s">
        <v>16179</v>
      </c>
      <c r="J8174" s="3" t="str">
        <f>HYPERLINK("https://www.boe.es/gazeta/dias/1823/09/20/pdfs/GMD-1823-813.pdf#page=5","Abrir facsímil")</f>
        <v>Abrir facsímil</v>
      </c>
      <c r="K8174" s="3" t="s">
        <v>23</v>
      </c>
    </row>
    <row r="8175" spans="1:11" ht="42" customHeight="1">
      <c r="A8175" s="2" t="s">
        <v>16180</v>
      </c>
      <c r="B8175" s="2" t="s">
        <v>16180</v>
      </c>
      <c r="C8175" s="2" t="s">
        <v>56</v>
      </c>
      <c r="D8175" s="2" t="s">
        <v>57</v>
      </c>
      <c r="E8175" s="5">
        <v>-27968</v>
      </c>
      <c r="F8175" s="3" t="s">
        <v>1160</v>
      </c>
      <c r="G8175" s="3" t="s">
        <v>20</v>
      </c>
      <c r="H8175" s="2" t="s">
        <v>21</v>
      </c>
      <c r="I8175" s="2" t="s">
        <v>16181</v>
      </c>
      <c r="J8175" s="3" t="str">
        <f>HYPERLINK("https://www.boe.es/gazeta/dias/1823/06/04/pdfs/GES-1823-58.pdf#page=4","Abrir facsímil")</f>
        <v>Abrir facsímil</v>
      </c>
      <c r="K8175" s="3" t="s">
        <v>23</v>
      </c>
    </row>
    <row r="8176" spans="1:11" ht="42" customHeight="1">
      <c r="A8176" s="2" t="s">
        <v>16182</v>
      </c>
      <c r="B8176" s="2" t="s">
        <v>16183</v>
      </c>
      <c r="C8176" s="2" t="s">
        <v>17</v>
      </c>
      <c r="D8176" s="2" t="s">
        <v>18</v>
      </c>
      <c r="E8176" s="5">
        <v>-27764</v>
      </c>
      <c r="F8176" s="3" t="s">
        <v>3370</v>
      </c>
      <c r="G8176" s="3" t="s">
        <v>39</v>
      </c>
      <c r="H8176" s="2" t="s">
        <v>21</v>
      </c>
      <c r="I8176" s="2" t="s">
        <v>16184</v>
      </c>
      <c r="J8176" s="3" t="str">
        <f>HYPERLINK("https://www.boe.es/gazeta/dias/1823/12/25/pdfs/GMD-1823-1293.pdf#page=1","Abrir facsímil")</f>
        <v>Abrir facsímil</v>
      </c>
      <c r="K8176" s="3" t="s">
        <v>23</v>
      </c>
    </row>
    <row r="8177" spans="1:11" ht="42" customHeight="1">
      <c r="A8177" s="2" t="s">
        <v>16185</v>
      </c>
      <c r="B8177" s="2" t="s">
        <v>16186</v>
      </c>
      <c r="C8177" s="2" t="s">
        <v>17</v>
      </c>
      <c r="D8177" s="2" t="s">
        <v>18</v>
      </c>
      <c r="E8177" s="5">
        <v>-28100</v>
      </c>
      <c r="F8177" s="3" t="s">
        <v>737</v>
      </c>
      <c r="G8177" s="3" t="s">
        <v>48</v>
      </c>
      <c r="H8177" s="2" t="s">
        <v>21</v>
      </c>
      <c r="I8177" s="2" t="s">
        <v>16187</v>
      </c>
      <c r="J8177" s="3" t="str">
        <f>HYPERLINK("https://www.boe.es/gazeta/dias/1823/01/23/pdfs/GMD-1823-24.pdf#page=3","Abrir facsímil")</f>
        <v>Abrir facsímil</v>
      </c>
      <c r="K8177" s="3" t="s">
        <v>23</v>
      </c>
    </row>
    <row r="8178" spans="1:11" ht="42" customHeight="1">
      <c r="A8178" s="2" t="s">
        <v>16188</v>
      </c>
      <c r="B8178" s="2" t="s">
        <v>16189</v>
      </c>
      <c r="C8178" s="2" t="s">
        <v>79</v>
      </c>
      <c r="D8178" s="2" t="s">
        <v>74</v>
      </c>
      <c r="E8178" s="5">
        <v>-28094</v>
      </c>
      <c r="F8178" s="3" t="s">
        <v>93</v>
      </c>
      <c r="G8178" s="3" t="s">
        <v>20</v>
      </c>
      <c r="H8178" s="2" t="s">
        <v>21</v>
      </c>
      <c r="I8178" s="2" t="s">
        <v>16190</v>
      </c>
      <c r="J8178" s="3" t="str">
        <f>HYPERLINK("https://www.boe.es/gazeta/dias/1823/01/29/pdfs/GMD-1823-30.pdf#page=4","Abrir facsímil")</f>
        <v>Abrir facsímil</v>
      </c>
      <c r="K8178" s="3" t="s">
        <v>23</v>
      </c>
    </row>
    <row r="8179" spans="1:11" ht="42" customHeight="1">
      <c r="A8179" s="2" t="s">
        <v>16188</v>
      </c>
      <c r="B8179" s="2" t="s">
        <v>16189</v>
      </c>
      <c r="C8179" s="2" t="s">
        <v>109</v>
      </c>
      <c r="D8179" s="2" t="s">
        <v>74</v>
      </c>
      <c r="E8179" s="5">
        <v>-28091</v>
      </c>
      <c r="F8179" s="3" t="s">
        <v>1047</v>
      </c>
      <c r="G8179" s="3" t="s">
        <v>59</v>
      </c>
      <c r="H8179" s="2" t="s">
        <v>21</v>
      </c>
      <c r="I8179" s="2" t="s">
        <v>16191</v>
      </c>
      <c r="J8179" s="3" t="str">
        <f>HYPERLINK("https://www.boe.es/gazeta/dias/1823/02/01/pdfs/GMD-1823-34.pdf#page=6","Abrir facsímil")</f>
        <v>Abrir facsímil</v>
      </c>
      <c r="K8179" s="3" t="s">
        <v>23</v>
      </c>
    </row>
    <row r="8180" spans="1:11" ht="42" customHeight="1">
      <c r="A8180" s="2" t="s">
        <v>16192</v>
      </c>
      <c r="B8180" s="2" t="s">
        <v>16193</v>
      </c>
      <c r="C8180" s="2" t="s">
        <v>56</v>
      </c>
      <c r="D8180" s="2" t="s">
        <v>57</v>
      </c>
      <c r="E8180" s="5">
        <v>-27967</v>
      </c>
      <c r="F8180" s="3" t="s">
        <v>412</v>
      </c>
      <c r="G8180" s="3" t="s">
        <v>27</v>
      </c>
      <c r="H8180" s="2" t="s">
        <v>21</v>
      </c>
      <c r="I8180" s="2" t="s">
        <v>16194</v>
      </c>
      <c r="J8180" s="3" t="str">
        <f>HYPERLINK("https://www.boe.es/gazeta/dias/1823/06/05/pdfs/GES-1823-59.pdf#page=2","Abrir facsímil")</f>
        <v>Abrir facsímil</v>
      </c>
      <c r="K8180" s="3" t="s">
        <v>23</v>
      </c>
    </row>
    <row r="8181" spans="1:11" ht="42" customHeight="1">
      <c r="A8181" s="2" t="s">
        <v>16195</v>
      </c>
      <c r="B8181" s="2" t="s">
        <v>16196</v>
      </c>
      <c r="C8181" s="2" t="s">
        <v>325</v>
      </c>
      <c r="D8181" s="2" t="s">
        <v>74</v>
      </c>
      <c r="E8181" s="5">
        <v>-27967</v>
      </c>
      <c r="F8181" s="3" t="s">
        <v>412</v>
      </c>
      <c r="G8181" s="3" t="s">
        <v>27</v>
      </c>
      <c r="H8181" s="2" t="s">
        <v>21</v>
      </c>
      <c r="I8181" s="2" t="s">
        <v>16197</v>
      </c>
      <c r="J8181" s="3" t="str">
        <f>HYPERLINK("https://www.boe.es/gazeta/dias/1823/06/05/pdfs/GES-1823-59.pdf#page=2","Abrir facsímil")</f>
        <v>Abrir facsímil</v>
      </c>
      <c r="K8181" s="3" t="s">
        <v>23</v>
      </c>
    </row>
    <row r="8182" spans="1:11" ht="42" customHeight="1">
      <c r="A8182" s="2" t="s">
        <v>16198</v>
      </c>
      <c r="B8182" s="2" t="s">
        <v>16199</v>
      </c>
      <c r="C8182" s="2" t="s">
        <v>56</v>
      </c>
      <c r="D8182" s="2" t="s">
        <v>57</v>
      </c>
      <c r="E8182" s="5">
        <v>-28051</v>
      </c>
      <c r="F8182" s="3" t="s">
        <v>305</v>
      </c>
      <c r="G8182" s="3" t="s">
        <v>27</v>
      </c>
      <c r="H8182" s="2" t="s">
        <v>21</v>
      </c>
      <c r="I8182" s="2" t="s">
        <v>16200</v>
      </c>
      <c r="J8182" s="3" t="str">
        <f>HYPERLINK("https://www.boe.es/gazeta/dias/1823/03/13/pdfs/GMD-1823-76.pdf#page=2","Abrir facsímil")</f>
        <v>Abrir facsímil</v>
      </c>
      <c r="K8182" s="3" t="s">
        <v>23</v>
      </c>
    </row>
    <row r="8183" spans="1:11" ht="42" customHeight="1">
      <c r="A8183" s="2" t="s">
        <v>16201</v>
      </c>
      <c r="B8183" s="2" t="s">
        <v>16201</v>
      </c>
      <c r="C8183" s="2" t="s">
        <v>17</v>
      </c>
      <c r="D8183" s="2" t="s">
        <v>18</v>
      </c>
      <c r="E8183" s="5">
        <v>-27895</v>
      </c>
      <c r="F8183" s="3" t="s">
        <v>734</v>
      </c>
      <c r="G8183" s="3" t="s">
        <v>39</v>
      </c>
      <c r="H8183" s="2" t="s">
        <v>21</v>
      </c>
      <c r="I8183" s="2" t="s">
        <v>16202</v>
      </c>
      <c r="J8183" s="3" t="str">
        <f>HYPERLINK("https://www.boe.es/gazeta/dias/1823/08/16/pdfs/GES-1823-129.pdf#page=1","Abrir facsímil")</f>
        <v>Abrir facsímil</v>
      </c>
      <c r="K8183" s="3" t="s">
        <v>23</v>
      </c>
    </row>
    <row r="8184" spans="1:11" ht="42" customHeight="1">
      <c r="A8184" s="2" t="s">
        <v>16203</v>
      </c>
      <c r="B8184" s="2" t="s">
        <v>16203</v>
      </c>
      <c r="C8184" s="2" t="s">
        <v>56</v>
      </c>
      <c r="D8184" s="2" t="s">
        <v>57</v>
      </c>
      <c r="E8184" s="5">
        <v>-27951</v>
      </c>
      <c r="F8184" s="3" t="s">
        <v>4670</v>
      </c>
      <c r="G8184" s="3" t="s">
        <v>7417</v>
      </c>
      <c r="H8184" s="2" t="s">
        <v>21</v>
      </c>
      <c r="I8184" s="2" t="s">
        <v>16204</v>
      </c>
      <c r="J8184" s="3" t="str">
        <f>HYPERLINK("https://www.boe.es/gazeta/dias/1823/06/21/pdfs/GMD-1823-223.pdf#page=2","Abrir facsímil")</f>
        <v>Abrir facsímil</v>
      </c>
      <c r="K8184" s="3" t="s">
        <v>23</v>
      </c>
    </row>
    <row r="8185" spans="1:11" ht="42" customHeight="1">
      <c r="A8185" s="2" t="s">
        <v>16205</v>
      </c>
      <c r="B8185" s="2" t="s">
        <v>16206</v>
      </c>
      <c r="C8185" s="2" t="s">
        <v>17</v>
      </c>
      <c r="D8185" s="2" t="s">
        <v>18</v>
      </c>
      <c r="E8185" s="5">
        <v>-27874</v>
      </c>
      <c r="F8185" s="3" t="s">
        <v>1410</v>
      </c>
      <c r="G8185" s="3" t="s">
        <v>27</v>
      </c>
      <c r="H8185" s="2" t="s">
        <v>21</v>
      </c>
      <c r="I8185" s="2" t="s">
        <v>16207</v>
      </c>
      <c r="J8185" s="3" t="str">
        <f>HYPERLINK("https://www.boe.es/gazeta/dias/1823/09/06/pdfs/GES-1823-150.pdf#page=2","Abrir facsímil")</f>
        <v>Abrir facsímil</v>
      </c>
      <c r="K8185" s="3" t="s">
        <v>23</v>
      </c>
    </row>
    <row r="8186" spans="1:11" ht="42" customHeight="1">
      <c r="A8186" s="2" t="s">
        <v>16208</v>
      </c>
      <c r="B8186" s="2" t="s">
        <v>16209</v>
      </c>
      <c r="C8186" s="2" t="s">
        <v>73</v>
      </c>
      <c r="D8186" s="2" t="s">
        <v>74</v>
      </c>
      <c r="E8186" s="5">
        <v>-27996</v>
      </c>
      <c r="F8186" s="3" t="s">
        <v>695</v>
      </c>
      <c r="G8186" s="3" t="s">
        <v>27</v>
      </c>
      <c r="H8186" s="2" t="s">
        <v>21</v>
      </c>
      <c r="I8186" s="2" t="s">
        <v>16210</v>
      </c>
      <c r="J8186" s="3" t="str">
        <f>HYPERLINK("https://www.boe.es/gazeta/dias/1823/05/07/pdfs/GES-1823-27.pdf#page=2","Abrir facsímil")</f>
        <v>Abrir facsímil</v>
      </c>
      <c r="K8186" s="3" t="s">
        <v>23</v>
      </c>
    </row>
    <row r="8187" spans="1:11" ht="42" customHeight="1">
      <c r="A8187" s="2" t="s">
        <v>16211</v>
      </c>
      <c r="B8187" s="2" t="s">
        <v>16212</v>
      </c>
      <c r="C8187" s="2" t="s">
        <v>109</v>
      </c>
      <c r="D8187" s="2" t="s">
        <v>74</v>
      </c>
      <c r="E8187" s="5">
        <v>-28037</v>
      </c>
      <c r="F8187" s="3" t="s">
        <v>192</v>
      </c>
      <c r="G8187" s="3" t="s">
        <v>48</v>
      </c>
      <c r="H8187" s="2" t="s">
        <v>21</v>
      </c>
      <c r="I8187" s="2" t="s">
        <v>16213</v>
      </c>
      <c r="J8187" s="3" t="str">
        <f>HYPERLINK("https://www.boe.es/gazeta/dias/1823/03/27/pdfs/GMD-1823-90.pdf#page=3","Abrir facsímil")</f>
        <v>Abrir facsímil</v>
      </c>
      <c r="K8187" s="3" t="s">
        <v>23</v>
      </c>
    </row>
    <row r="8188" spans="1:11" ht="42" customHeight="1">
      <c r="A8188" s="2" t="s">
        <v>16211</v>
      </c>
      <c r="B8188" s="2" t="s">
        <v>16212</v>
      </c>
      <c r="C8188" s="2" t="s">
        <v>325</v>
      </c>
      <c r="D8188" s="2" t="s">
        <v>74</v>
      </c>
      <c r="E8188" s="5">
        <v>-28008</v>
      </c>
      <c r="F8188" s="3" t="s">
        <v>309</v>
      </c>
      <c r="G8188" s="3" t="s">
        <v>20</v>
      </c>
      <c r="H8188" s="2" t="s">
        <v>21</v>
      </c>
      <c r="I8188" s="2" t="s">
        <v>16214</v>
      </c>
      <c r="J8188" s="3" t="str">
        <f>HYPERLINK("https://www.boe.es/gazeta/dias/1823/04/25/pdfs/GES-1823-15.pdf#page=4","Abrir facsímil")</f>
        <v>Abrir facsímil</v>
      </c>
      <c r="K8188" s="3" t="s">
        <v>23</v>
      </c>
    </row>
    <row r="8189" spans="1:11" ht="42" customHeight="1">
      <c r="A8189" s="2" t="s">
        <v>16215</v>
      </c>
      <c r="B8189" s="2" t="s">
        <v>16216</v>
      </c>
      <c r="C8189" s="2" t="s">
        <v>17</v>
      </c>
      <c r="D8189" s="2" t="s">
        <v>18</v>
      </c>
      <c r="E8189" s="5">
        <v>-27996</v>
      </c>
      <c r="F8189" s="3" t="s">
        <v>695</v>
      </c>
      <c r="G8189" s="3" t="s">
        <v>39</v>
      </c>
      <c r="H8189" s="2" t="s">
        <v>21</v>
      </c>
      <c r="I8189" s="2" t="s">
        <v>16217</v>
      </c>
      <c r="J8189" s="3" t="str">
        <f>HYPERLINK("https://www.boe.es/gazeta/dias/1823/05/07/pdfs/GES-1823-27.pdf#page=1","Abrir facsímil")</f>
        <v>Abrir facsímil</v>
      </c>
      <c r="K8189" s="3" t="s">
        <v>23</v>
      </c>
    </row>
    <row r="8190" spans="1:11" ht="42" customHeight="1">
      <c r="A8190" s="2" t="s">
        <v>16218</v>
      </c>
      <c r="B8190" s="2" t="s">
        <v>16219</v>
      </c>
      <c r="C8190" s="2" t="s">
        <v>17</v>
      </c>
      <c r="D8190" s="2" t="s">
        <v>18</v>
      </c>
      <c r="E8190" s="5">
        <v>-27797</v>
      </c>
      <c r="F8190" s="3" t="s">
        <v>3409</v>
      </c>
      <c r="G8190" s="3" t="s">
        <v>20</v>
      </c>
      <c r="H8190" s="2" t="s">
        <v>21</v>
      </c>
      <c r="I8190" s="2" t="s">
        <v>16220</v>
      </c>
      <c r="J8190" s="3" t="str">
        <f>HYPERLINK("https://www.boe.es/gazeta/dias/1823/11/22/pdfs/GMD-1823-1153.pdf#page=4","Abrir facsímil")</f>
        <v>Abrir facsímil</v>
      </c>
      <c r="K8190" s="3" t="s">
        <v>23</v>
      </c>
    </row>
    <row r="8191" spans="1:11" ht="42" customHeight="1">
      <c r="A8191" s="2" t="s">
        <v>16221</v>
      </c>
      <c r="B8191" s="2" t="s">
        <v>16221</v>
      </c>
      <c r="C8191" s="2" t="s">
        <v>109</v>
      </c>
      <c r="D8191" s="2" t="s">
        <v>74</v>
      </c>
      <c r="E8191" s="5">
        <v>-28016</v>
      </c>
      <c r="F8191" s="3" t="s">
        <v>2259</v>
      </c>
      <c r="G8191" s="3" t="s">
        <v>27</v>
      </c>
      <c r="H8191" s="2" t="s">
        <v>21</v>
      </c>
      <c r="I8191" s="2" t="s">
        <v>16222</v>
      </c>
      <c r="J8191" s="3" t="str">
        <f>HYPERLINK("https://www.boe.es/gazeta/dias/1823/04/17/pdfs/GES-1823-7.pdf#page=2","Abrir facsímil")</f>
        <v>Abrir facsímil</v>
      </c>
      <c r="K8191" s="3" t="s">
        <v>23</v>
      </c>
    </row>
    <row r="8192" spans="1:11" ht="42" customHeight="1">
      <c r="A8192" s="2" t="s">
        <v>16223</v>
      </c>
      <c r="B8192" s="2" t="s">
        <v>16223</v>
      </c>
      <c r="C8192" s="2" t="s">
        <v>56</v>
      </c>
      <c r="D8192" s="2" t="s">
        <v>57</v>
      </c>
      <c r="E8192" s="5">
        <v>-28077</v>
      </c>
      <c r="F8192" s="3" t="s">
        <v>536</v>
      </c>
      <c r="G8192" s="3" t="s">
        <v>59</v>
      </c>
      <c r="H8192" s="2" t="s">
        <v>21</v>
      </c>
      <c r="I8192" s="2" t="s">
        <v>16224</v>
      </c>
      <c r="J8192" s="3" t="str">
        <f>HYPERLINK("https://www.boe.es/gazeta/dias/1823/02/15/pdfs/GMD-1823-49.pdf#page=6","Abrir facsímil")</f>
        <v>Abrir facsímil</v>
      </c>
      <c r="K8192" s="3" t="s">
        <v>23</v>
      </c>
    </row>
    <row r="8193" spans="1:11" ht="42" customHeight="1">
      <c r="A8193" s="2" t="s">
        <v>16225</v>
      </c>
      <c r="B8193" s="2" t="s">
        <v>16225</v>
      </c>
      <c r="C8193" s="2" t="s">
        <v>17</v>
      </c>
      <c r="D8193" s="2" t="s">
        <v>18</v>
      </c>
      <c r="E8193" s="5">
        <v>-28041</v>
      </c>
      <c r="F8193" s="3" t="s">
        <v>873</v>
      </c>
      <c r="G8193" s="3" t="s">
        <v>27</v>
      </c>
      <c r="H8193" s="2" t="s">
        <v>21</v>
      </c>
      <c r="I8193" s="2" t="s">
        <v>16226</v>
      </c>
      <c r="J8193" s="3" t="str">
        <f>HYPERLINK("https://www.boe.es/gazeta/dias/1823/03/23/pdfs/GMD-1823-86.pdf#page=2","Abrir facsímil")</f>
        <v>Abrir facsímil</v>
      </c>
      <c r="K8193" s="3" t="s">
        <v>23</v>
      </c>
    </row>
    <row r="8194" spans="1:11" ht="42" customHeight="1">
      <c r="A8194" s="2" t="s">
        <v>16225</v>
      </c>
      <c r="B8194" s="2" t="s">
        <v>16225</v>
      </c>
      <c r="C8194" s="2" t="s">
        <v>17</v>
      </c>
      <c r="D8194" s="2" t="s">
        <v>18</v>
      </c>
      <c r="E8194" s="5">
        <v>-28037</v>
      </c>
      <c r="F8194" s="3" t="s">
        <v>192</v>
      </c>
      <c r="G8194" s="3" t="s">
        <v>27</v>
      </c>
      <c r="H8194" s="2" t="s">
        <v>21</v>
      </c>
      <c r="I8194" s="2" t="s">
        <v>16227</v>
      </c>
      <c r="J8194" s="3" t="str">
        <f>HYPERLINK("https://www.boe.es/gazeta/dias/1823/03/27/pdfs/GMD-1823-90.pdf#page=2","Abrir facsímil")</f>
        <v>Abrir facsímil</v>
      </c>
      <c r="K8194" s="3" t="s">
        <v>23</v>
      </c>
    </row>
    <row r="8195" spans="1:11" ht="42" customHeight="1">
      <c r="A8195" s="2" t="s">
        <v>16225</v>
      </c>
      <c r="B8195" s="2" t="s">
        <v>16225</v>
      </c>
      <c r="C8195" s="2" t="s">
        <v>79</v>
      </c>
      <c r="D8195" s="2" t="s">
        <v>74</v>
      </c>
      <c r="E8195" s="5">
        <v>-28021</v>
      </c>
      <c r="F8195" s="3" t="s">
        <v>1054</v>
      </c>
      <c r="G8195" s="3" t="s">
        <v>48</v>
      </c>
      <c r="H8195" s="2" t="s">
        <v>21</v>
      </c>
      <c r="I8195" s="2" t="s">
        <v>16228</v>
      </c>
      <c r="J8195" s="3" t="str">
        <f>HYPERLINK("https://www.boe.es/gazeta/dias/1823/04/12/pdfs/GMD-1823-107.pdf#page=3","Abrir facsímil")</f>
        <v>Abrir facsímil</v>
      </c>
      <c r="K8195" s="3" t="s">
        <v>23</v>
      </c>
    </row>
    <row r="8196" spans="1:11" ht="42" customHeight="1">
      <c r="A8196" s="2" t="s">
        <v>16225</v>
      </c>
      <c r="B8196" s="2" t="s">
        <v>16225</v>
      </c>
      <c r="C8196" s="2" t="s">
        <v>17</v>
      </c>
      <c r="D8196" s="2" t="s">
        <v>18</v>
      </c>
      <c r="E8196" s="5">
        <v>-28020</v>
      </c>
      <c r="F8196" s="3" t="s">
        <v>448</v>
      </c>
      <c r="G8196" s="3" t="s">
        <v>39</v>
      </c>
      <c r="H8196" s="2" t="s">
        <v>21</v>
      </c>
      <c r="I8196" s="2" t="s">
        <v>16229</v>
      </c>
      <c r="J8196" s="3" t="str">
        <f>HYPERLINK("https://www.boe.es/gazeta/dias/1823/04/13/pdfs/GES-1823-3.pdf#page=1","Abrir facsímil")</f>
        <v>Abrir facsímil</v>
      </c>
      <c r="K8196" s="3" t="s">
        <v>23</v>
      </c>
    </row>
    <row r="8197" spans="1:11" ht="42" customHeight="1">
      <c r="A8197" s="2" t="s">
        <v>16225</v>
      </c>
      <c r="B8197" s="2" t="s">
        <v>16225</v>
      </c>
      <c r="C8197" s="2" t="s">
        <v>17</v>
      </c>
      <c r="D8197" s="2" t="s">
        <v>18</v>
      </c>
      <c r="E8197" s="5">
        <v>-28016</v>
      </c>
      <c r="F8197" s="3" t="s">
        <v>287</v>
      </c>
      <c r="G8197" s="3" t="s">
        <v>27</v>
      </c>
      <c r="H8197" s="2" t="s">
        <v>21</v>
      </c>
      <c r="I8197" s="2" t="s">
        <v>16230</v>
      </c>
      <c r="J8197" s="3" t="str">
        <f>HYPERLINK("https://www.boe.es/gazeta/dias/1823/04/17/pdfs/GMD-1823-22.pdf#page=2","Abrir facsímil")</f>
        <v>Abrir facsímil</v>
      </c>
      <c r="K8197" s="3" t="s">
        <v>23</v>
      </c>
    </row>
    <row r="8198" spans="1:11" ht="42" customHeight="1">
      <c r="A8198" s="2" t="s">
        <v>16225</v>
      </c>
      <c r="B8198" s="2" t="s">
        <v>16225</v>
      </c>
      <c r="C8198" s="2" t="s">
        <v>17</v>
      </c>
      <c r="D8198" s="2" t="s">
        <v>18</v>
      </c>
      <c r="E8198" s="5">
        <v>-28011</v>
      </c>
      <c r="F8198" s="3" t="s">
        <v>3326</v>
      </c>
      <c r="G8198" s="3" t="s">
        <v>6440</v>
      </c>
      <c r="H8198" s="2" t="s">
        <v>21</v>
      </c>
      <c r="I8198" s="2" t="s">
        <v>16231</v>
      </c>
      <c r="J8198" s="3" t="str">
        <f>HYPERLINK("https://www.boe.es/gazeta/dias/1823/04/22/pdfs/GES-1823-12.pdf#page=3","Abrir facsímil")</f>
        <v>Abrir facsímil</v>
      </c>
      <c r="K8198" s="3" t="s">
        <v>23</v>
      </c>
    </row>
    <row r="8199" spans="1:11" ht="42" customHeight="1">
      <c r="A8199" s="2" t="s">
        <v>16225</v>
      </c>
      <c r="B8199" s="2" t="s">
        <v>16225</v>
      </c>
      <c r="C8199" s="2" t="s">
        <v>17</v>
      </c>
      <c r="D8199" s="2" t="s">
        <v>18</v>
      </c>
      <c r="E8199" s="5">
        <v>-28011</v>
      </c>
      <c r="F8199" s="3" t="s">
        <v>3326</v>
      </c>
      <c r="G8199" s="3" t="s">
        <v>27</v>
      </c>
      <c r="H8199" s="2" t="s">
        <v>21</v>
      </c>
      <c r="I8199" s="2" t="s">
        <v>16232</v>
      </c>
      <c r="J8199" s="3" t="str">
        <f>HYPERLINK("https://www.boe.es/gazeta/dias/1823/04/22/pdfs/GES-1823-12.pdf#page=2","Abrir facsímil")</f>
        <v>Abrir facsímil</v>
      </c>
      <c r="K8199" s="3" t="s">
        <v>23</v>
      </c>
    </row>
    <row r="8200" spans="1:11" ht="42" customHeight="1">
      <c r="A8200" s="2" t="s">
        <v>16225</v>
      </c>
      <c r="B8200" s="2" t="s">
        <v>16225</v>
      </c>
      <c r="C8200" s="2" t="s">
        <v>17</v>
      </c>
      <c r="D8200" s="2" t="s">
        <v>18</v>
      </c>
      <c r="E8200" s="5">
        <v>-27911</v>
      </c>
      <c r="F8200" s="3" t="s">
        <v>1393</v>
      </c>
      <c r="G8200" s="3" t="s">
        <v>20</v>
      </c>
      <c r="H8200" s="2" t="s">
        <v>21</v>
      </c>
      <c r="I8200" s="2" t="s">
        <v>16233</v>
      </c>
      <c r="J8200" s="3" t="str">
        <f>HYPERLINK("https://www.boe.es/gazeta/dias/1823/07/31/pdfs/GMD-1823-503.pdf#page=4","Abrir facsímil")</f>
        <v>Abrir facsímil</v>
      </c>
      <c r="K8200" s="3" t="s">
        <v>23</v>
      </c>
    </row>
    <row r="8201" spans="1:11" ht="42" customHeight="1">
      <c r="A8201" s="2" t="s">
        <v>16225</v>
      </c>
      <c r="B8201" s="2" t="s">
        <v>16225</v>
      </c>
      <c r="C8201" s="2" t="s">
        <v>79</v>
      </c>
      <c r="D8201" s="2" t="s">
        <v>74</v>
      </c>
      <c r="E8201" s="5">
        <v>-27904</v>
      </c>
      <c r="F8201" s="3" t="s">
        <v>1227</v>
      </c>
      <c r="G8201" s="3" t="s">
        <v>48</v>
      </c>
      <c r="H8201" s="2" t="s">
        <v>21</v>
      </c>
      <c r="I8201" s="2" t="s">
        <v>16234</v>
      </c>
      <c r="J8201" s="3" t="str">
        <f>HYPERLINK("https://www.boe.es/gazeta/dias/1823/08/07/pdfs/GMD-1823-543.pdf#page=3","Abrir facsímil")</f>
        <v>Abrir facsímil</v>
      </c>
      <c r="K8201" s="3" t="s">
        <v>23</v>
      </c>
    </row>
    <row r="8202" spans="1:11" ht="42" customHeight="1">
      <c r="A8202" s="2" t="s">
        <v>16235</v>
      </c>
      <c r="B8202" s="2" t="s">
        <v>16236</v>
      </c>
      <c r="C8202" s="2" t="s">
        <v>17</v>
      </c>
      <c r="D8202" s="2" t="s">
        <v>117</v>
      </c>
      <c r="E8202" s="5">
        <v>-27960</v>
      </c>
      <c r="F8202" s="3" t="s">
        <v>6554</v>
      </c>
      <c r="G8202" s="3" t="s">
        <v>39</v>
      </c>
      <c r="H8202" s="2" t="s">
        <v>21</v>
      </c>
      <c r="I8202" s="2" t="s">
        <v>16237</v>
      </c>
      <c r="J8202" s="3" t="str">
        <f>HYPERLINK("https://www.boe.es/gazeta/dias/1823/06/12/pdfs/GMD-1823-133E.pdf#page=1","Abrir facsímil")</f>
        <v>Abrir facsímil</v>
      </c>
      <c r="K8202" s="3" t="s">
        <v>23</v>
      </c>
    </row>
    <row r="8203" spans="1:11" ht="42" customHeight="1">
      <c r="A8203" s="2" t="s">
        <v>16238</v>
      </c>
      <c r="B8203" s="2" t="s">
        <v>16238</v>
      </c>
      <c r="C8203" s="2" t="s">
        <v>17</v>
      </c>
      <c r="D8203" s="2" t="s">
        <v>18</v>
      </c>
      <c r="E8203" s="5">
        <v>-28016</v>
      </c>
      <c r="F8203" s="3" t="s">
        <v>287</v>
      </c>
      <c r="G8203" s="3" t="s">
        <v>27</v>
      </c>
      <c r="H8203" s="2" t="s">
        <v>21</v>
      </c>
      <c r="I8203" s="2" t="s">
        <v>16239</v>
      </c>
      <c r="J8203" s="3" t="str">
        <f>HYPERLINK("https://www.boe.es/gazeta/dias/1823/04/17/pdfs/GMD-1823-22.pdf#page=2","Abrir facsímil")</f>
        <v>Abrir facsímil</v>
      </c>
      <c r="K8203" s="3" t="s">
        <v>23</v>
      </c>
    </row>
    <row r="8204" spans="1:11" ht="42" customHeight="1">
      <c r="A8204" s="2" t="s">
        <v>16240</v>
      </c>
      <c r="B8204" s="2" t="s">
        <v>16241</v>
      </c>
      <c r="C8204" s="2" t="s">
        <v>17</v>
      </c>
      <c r="D8204" s="2" t="s">
        <v>18</v>
      </c>
      <c r="E8204" s="5">
        <v>-27878</v>
      </c>
      <c r="F8204" s="3" t="s">
        <v>1581</v>
      </c>
      <c r="G8204" s="3" t="s">
        <v>39</v>
      </c>
      <c r="H8204" s="2" t="s">
        <v>21</v>
      </c>
      <c r="I8204" s="2" t="s">
        <v>16242</v>
      </c>
      <c r="J8204" s="3" t="str">
        <f>HYPERLINK("https://www.boe.es/gazeta/dias/1823/09/02/pdfs/GMD-1823-683.pdf#page=1","Abrir facsímil")</f>
        <v>Abrir facsímil</v>
      </c>
      <c r="K8204" s="3" t="s">
        <v>23</v>
      </c>
    </row>
    <row r="8205" spans="1:11" ht="42" customHeight="1">
      <c r="A8205" s="2" t="s">
        <v>16243</v>
      </c>
      <c r="B8205" s="2" t="s">
        <v>16244</v>
      </c>
      <c r="C8205" s="2" t="s">
        <v>56</v>
      </c>
      <c r="D8205" s="2" t="s">
        <v>57</v>
      </c>
      <c r="E8205" s="5">
        <v>-28021</v>
      </c>
      <c r="F8205" s="3" t="s">
        <v>1054</v>
      </c>
      <c r="G8205" s="3" t="s">
        <v>1055</v>
      </c>
      <c r="H8205" s="2" t="s">
        <v>21</v>
      </c>
      <c r="I8205" s="2" t="s">
        <v>16245</v>
      </c>
      <c r="J8205" s="3" t="str">
        <f>HYPERLINK("https://www.boe.es/gazeta/dias/1823/04/12/pdfs/GMD-1823-107.pdf#page=4","Abrir facsímil")</f>
        <v>Abrir facsímil</v>
      </c>
      <c r="K8205" s="3" t="s">
        <v>23</v>
      </c>
    </row>
    <row r="8206" spans="1:11" ht="42" customHeight="1">
      <c r="A8206" s="2" t="s">
        <v>16246</v>
      </c>
      <c r="B8206" s="2" t="s">
        <v>16247</v>
      </c>
      <c r="C8206" s="2" t="s">
        <v>17</v>
      </c>
      <c r="D8206" s="2" t="s">
        <v>18</v>
      </c>
      <c r="E8206" s="5">
        <v>-27987</v>
      </c>
      <c r="F8206" s="3" t="s">
        <v>332</v>
      </c>
      <c r="G8206" s="3" t="s">
        <v>34</v>
      </c>
      <c r="H8206" s="2" t="s">
        <v>21</v>
      </c>
      <c r="I8206" s="2" t="s">
        <v>16248</v>
      </c>
      <c r="J8206" s="3" t="str">
        <f>HYPERLINK("https://www.boe.es/gazeta/dias/1823/05/16/pdfs/GES-1823-36.pdf#page=5","Abrir facsímil")</f>
        <v>Abrir facsímil</v>
      </c>
      <c r="K8206" s="3" t="s">
        <v>23</v>
      </c>
    </row>
    <row r="8207" spans="1:11" ht="42" customHeight="1">
      <c r="A8207" s="2" t="s">
        <v>16249</v>
      </c>
      <c r="B8207" s="2" t="s">
        <v>16250</v>
      </c>
      <c r="C8207" s="2" t="s">
        <v>56</v>
      </c>
      <c r="D8207" s="2" t="s">
        <v>57</v>
      </c>
      <c r="E8207" s="5">
        <v>-27988</v>
      </c>
      <c r="F8207" s="3" t="s">
        <v>692</v>
      </c>
      <c r="G8207" s="3" t="s">
        <v>27</v>
      </c>
      <c r="H8207" s="2" t="s">
        <v>21</v>
      </c>
      <c r="I8207" s="2" t="s">
        <v>16251</v>
      </c>
      <c r="J8207" s="3" t="str">
        <f>HYPERLINK("https://www.boe.es/gazeta/dias/1823/05/15/pdfs/GES-1823-35.pdf#page=2","Abrir facsímil")</f>
        <v>Abrir facsímil</v>
      </c>
      <c r="K8207" s="3" t="s">
        <v>23</v>
      </c>
    </row>
    <row r="8208" spans="1:11" ht="42" customHeight="1">
      <c r="A8208" s="2" t="s">
        <v>16249</v>
      </c>
      <c r="B8208" s="2" t="s">
        <v>16250</v>
      </c>
      <c r="C8208" s="2" t="s">
        <v>17</v>
      </c>
      <c r="D8208" s="2" t="s">
        <v>18</v>
      </c>
      <c r="E8208" s="5">
        <v>-27970</v>
      </c>
      <c r="F8208" s="3" t="s">
        <v>1030</v>
      </c>
      <c r="G8208" s="3" t="s">
        <v>59</v>
      </c>
      <c r="H8208" s="2" t="s">
        <v>21</v>
      </c>
      <c r="I8208" s="2" t="s">
        <v>16252</v>
      </c>
      <c r="J8208" s="3" t="str">
        <f>HYPERLINK("https://www.boe.es/gazeta/dias/1823/06/02/pdfs/GES-1823-56.pdf#page=6","Abrir facsímil")</f>
        <v>Abrir facsímil</v>
      </c>
      <c r="K8208" s="3" t="s">
        <v>23</v>
      </c>
    </row>
    <row r="8209" spans="1:11" ht="42" customHeight="1">
      <c r="A8209" s="2" t="s">
        <v>16253</v>
      </c>
      <c r="B8209" s="2" t="s">
        <v>16254</v>
      </c>
      <c r="C8209" s="2" t="s">
        <v>17</v>
      </c>
      <c r="D8209" s="2" t="s">
        <v>18</v>
      </c>
      <c r="E8209" s="5">
        <v>-27980</v>
      </c>
      <c r="F8209" s="3" t="s">
        <v>1068</v>
      </c>
      <c r="G8209" s="3" t="s">
        <v>39</v>
      </c>
      <c r="H8209" s="2" t="s">
        <v>21</v>
      </c>
      <c r="I8209" s="2" t="s">
        <v>16255</v>
      </c>
      <c r="J8209" s="3" t="str">
        <f>HYPERLINK("https://www.boe.es/gazeta/dias/1823/05/23/pdfs/GES-1823-44.pdf#page=1","Abrir facsímil")</f>
        <v>Abrir facsímil</v>
      </c>
      <c r="K8209" s="3" t="s">
        <v>23</v>
      </c>
    </row>
    <row r="8210" spans="1:11" ht="42" customHeight="1">
      <c r="A8210" s="2" t="s">
        <v>16256</v>
      </c>
      <c r="B8210" s="2" t="s">
        <v>16256</v>
      </c>
      <c r="C8210" s="2" t="s">
        <v>79</v>
      </c>
      <c r="D8210" s="2" t="s">
        <v>74</v>
      </c>
      <c r="E8210" s="5">
        <v>-28040</v>
      </c>
      <c r="F8210" s="3" t="s">
        <v>2971</v>
      </c>
      <c r="G8210" s="3" t="s">
        <v>48</v>
      </c>
      <c r="H8210" s="2" t="s">
        <v>21</v>
      </c>
      <c r="I8210" s="2" t="s">
        <v>16257</v>
      </c>
      <c r="J8210" s="3" t="str">
        <f>HYPERLINK("https://www.boe.es/gazeta/dias/1823/03/24/pdfs/GMD-1823-87.pdf#page=3","Abrir facsímil")</f>
        <v>Abrir facsímil</v>
      </c>
      <c r="K8210" s="3" t="s">
        <v>23</v>
      </c>
    </row>
    <row r="8211" spans="1:11" ht="42" customHeight="1">
      <c r="A8211" s="2" t="s">
        <v>16258</v>
      </c>
      <c r="B8211" s="2" t="s">
        <v>16259</v>
      </c>
      <c r="C8211" s="2" t="s">
        <v>17</v>
      </c>
      <c r="D8211" s="2" t="s">
        <v>18</v>
      </c>
      <c r="E8211" s="5">
        <v>-28113</v>
      </c>
      <c r="F8211" s="3" t="s">
        <v>2088</v>
      </c>
      <c r="G8211" s="3" t="s">
        <v>7708</v>
      </c>
      <c r="H8211" s="2" t="s">
        <v>21</v>
      </c>
      <c r="I8211" s="2" t="s">
        <v>16260</v>
      </c>
      <c r="J8211" s="3" t="str">
        <f>HYPERLINK("https://www.boe.es/gazeta/dias/1823/01/10/pdfs/GMD-1823-10.pdf#page=8","Abrir facsímil")</f>
        <v>Abrir facsímil</v>
      </c>
      <c r="K8211" s="3" t="s">
        <v>23</v>
      </c>
    </row>
    <row r="8212" spans="1:11" ht="42" customHeight="1">
      <c r="A8212" s="2" t="s">
        <v>16261</v>
      </c>
      <c r="B8212" s="2" t="s">
        <v>16261</v>
      </c>
      <c r="C8212" s="2" t="s">
        <v>17</v>
      </c>
      <c r="D8212" s="2" t="s">
        <v>18</v>
      </c>
      <c r="E8212" s="5">
        <v>-27944</v>
      </c>
      <c r="F8212" s="3" t="s">
        <v>658</v>
      </c>
      <c r="G8212" s="3" t="s">
        <v>39</v>
      </c>
      <c r="H8212" s="2" t="s">
        <v>21</v>
      </c>
      <c r="I8212" s="2" t="s">
        <v>16262</v>
      </c>
      <c r="J8212" s="3" t="str">
        <f>HYPERLINK("https://www.boe.es/gazeta/dias/1823/06/28/pdfs/GMD-1823-303.pdf#page=1","Abrir facsímil")</f>
        <v>Abrir facsímil</v>
      </c>
      <c r="K8212" s="3" t="s">
        <v>23</v>
      </c>
    </row>
    <row r="8213" spans="1:11" ht="42" customHeight="1">
      <c r="A8213" s="2" t="s">
        <v>16263</v>
      </c>
      <c r="B8213" s="2" t="s">
        <v>16264</v>
      </c>
      <c r="C8213" s="2" t="s">
        <v>56</v>
      </c>
      <c r="D8213" s="2" t="s">
        <v>57</v>
      </c>
      <c r="E8213" s="5">
        <v>-27759</v>
      </c>
      <c r="F8213" s="3" t="s">
        <v>415</v>
      </c>
      <c r="G8213" s="3" t="s">
        <v>20</v>
      </c>
      <c r="H8213" s="2" t="s">
        <v>21</v>
      </c>
      <c r="I8213" s="2" t="s">
        <v>16265</v>
      </c>
      <c r="J8213" s="3" t="str">
        <f>HYPERLINK("https://www.boe.es/gazeta/dias/1823/12/30/pdfs/GMD-1823-1313.pdf#page=4","Abrir facsímil")</f>
        <v>Abrir facsímil</v>
      </c>
      <c r="K8213" s="3" t="s">
        <v>23</v>
      </c>
    </row>
    <row r="8214" spans="1:11" ht="42" customHeight="1">
      <c r="A8214" s="2" t="s">
        <v>16266</v>
      </c>
      <c r="B8214" s="2" t="s">
        <v>16266</v>
      </c>
      <c r="C8214" s="2" t="s">
        <v>79</v>
      </c>
      <c r="D8214" s="2" t="s">
        <v>74</v>
      </c>
      <c r="E8214" s="5">
        <v>-27897</v>
      </c>
      <c r="F8214" s="3" t="s">
        <v>1569</v>
      </c>
      <c r="G8214" s="3" t="s">
        <v>27</v>
      </c>
      <c r="H8214" s="2" t="s">
        <v>21</v>
      </c>
      <c r="I8214" s="2" t="s">
        <v>16267</v>
      </c>
      <c r="J8214" s="3" t="str">
        <f>HYPERLINK("https://www.boe.es/gazeta/dias/1823/08/14/pdfs/GMD-1823-593.pdf#page=2","Abrir facsímil")</f>
        <v>Abrir facsímil</v>
      </c>
      <c r="K8214" s="3" t="s">
        <v>23</v>
      </c>
    </row>
    <row r="8215" spans="1:11" ht="42" customHeight="1">
      <c r="A8215" s="2" t="s">
        <v>16268</v>
      </c>
      <c r="B8215" s="2" t="s">
        <v>16269</v>
      </c>
      <c r="C8215" s="2" t="s">
        <v>17</v>
      </c>
      <c r="D8215" s="2" t="s">
        <v>117</v>
      </c>
      <c r="E8215" s="5">
        <v>-27869</v>
      </c>
      <c r="F8215" s="3" t="s">
        <v>2363</v>
      </c>
      <c r="G8215" s="3" t="s">
        <v>39</v>
      </c>
      <c r="H8215" s="2" t="s">
        <v>21</v>
      </c>
      <c r="I8215" s="2" t="s">
        <v>16270</v>
      </c>
      <c r="J8215" s="3" t="str">
        <f>HYPERLINK("https://www.boe.es/gazeta/dias/1823/09/11/pdfs/GMD-1823-763E.pdf#page=1","Abrir facsímil")</f>
        <v>Abrir facsímil</v>
      </c>
      <c r="K8215" s="3" t="s">
        <v>23</v>
      </c>
    </row>
    <row r="8216" spans="1:11" ht="42" customHeight="1">
      <c r="A8216" s="2" t="s">
        <v>16271</v>
      </c>
      <c r="B8216" s="2" t="s">
        <v>16272</v>
      </c>
      <c r="C8216" s="2" t="s">
        <v>56</v>
      </c>
      <c r="D8216" s="2" t="s">
        <v>57</v>
      </c>
      <c r="E8216" s="5">
        <v>-27906</v>
      </c>
      <c r="F8216" s="3" t="s">
        <v>1527</v>
      </c>
      <c r="G8216" s="3" t="s">
        <v>39</v>
      </c>
      <c r="H8216" s="2" t="s">
        <v>21</v>
      </c>
      <c r="I8216" s="2" t="s">
        <v>16273</v>
      </c>
      <c r="J8216" s="3" t="str">
        <f>HYPERLINK("https://www.boe.es/gazeta/dias/1823/08/05/pdfs/GMD-1823-533.pdf#page=1","Abrir facsímil")</f>
        <v>Abrir facsímil</v>
      </c>
      <c r="K8216" s="3" t="s">
        <v>23</v>
      </c>
    </row>
    <row r="8217" spans="1:11" ht="42" customHeight="1">
      <c r="A8217" s="2" t="s">
        <v>16274</v>
      </c>
      <c r="B8217" s="2" t="s">
        <v>16274</v>
      </c>
      <c r="C8217" s="2" t="s">
        <v>17</v>
      </c>
      <c r="D8217" s="2" t="s">
        <v>18</v>
      </c>
      <c r="E8217" s="5">
        <v>-27951</v>
      </c>
      <c r="F8217" s="3" t="s">
        <v>4670</v>
      </c>
      <c r="G8217" s="3" t="s">
        <v>48</v>
      </c>
      <c r="H8217" s="2" t="s">
        <v>21</v>
      </c>
      <c r="I8217" s="2" t="s">
        <v>16275</v>
      </c>
      <c r="J8217" s="3" t="str">
        <f>HYPERLINK("https://www.boe.es/gazeta/dias/1823/06/21/pdfs/GMD-1823-223.pdf#page=3","Abrir facsímil")</f>
        <v>Abrir facsímil</v>
      </c>
      <c r="K8217" s="3" t="s">
        <v>23</v>
      </c>
    </row>
    <row r="8218" spans="1:11" ht="42" customHeight="1">
      <c r="A8218" s="2" t="s">
        <v>16276</v>
      </c>
      <c r="B8218" s="2" t="s">
        <v>16277</v>
      </c>
      <c r="C8218" s="2" t="s">
        <v>17</v>
      </c>
      <c r="D8218" s="2" t="s">
        <v>18</v>
      </c>
      <c r="E8218" s="5">
        <v>-27910</v>
      </c>
      <c r="F8218" s="3" t="s">
        <v>38</v>
      </c>
      <c r="G8218" s="3" t="s">
        <v>39</v>
      </c>
      <c r="H8218" s="2" t="s">
        <v>21</v>
      </c>
      <c r="I8218" s="2" t="s">
        <v>16278</v>
      </c>
      <c r="J8218" s="3" t="str">
        <f>HYPERLINK("https://www.boe.es/gazeta/dias/1823/08/01/pdfs/GES-1823-113.pdf#page=1","Abrir facsímil")</f>
        <v>Abrir facsímil</v>
      </c>
      <c r="K8218" s="3" t="s">
        <v>23</v>
      </c>
    </row>
    <row r="8219" spans="1:11" ht="42" customHeight="1">
      <c r="A8219" s="2" t="s">
        <v>16279</v>
      </c>
      <c r="B8219" s="2" t="s">
        <v>16280</v>
      </c>
      <c r="C8219" s="2" t="s">
        <v>79</v>
      </c>
      <c r="D8219" s="2" t="s">
        <v>74</v>
      </c>
      <c r="E8219" s="5">
        <v>-28002</v>
      </c>
      <c r="F8219" s="3" t="s">
        <v>315</v>
      </c>
      <c r="G8219" s="3" t="s">
        <v>3998</v>
      </c>
      <c r="H8219" s="2" t="s">
        <v>21</v>
      </c>
      <c r="I8219" s="2" t="s">
        <v>16281</v>
      </c>
      <c r="J8219" s="3" t="str">
        <f>HYPERLINK("https://www.boe.es/gazeta/dias/1823/05/01/pdfs/GES-1823-21.pdf#page=6","Abrir facsímil")</f>
        <v>Abrir facsímil</v>
      </c>
      <c r="K8219" s="3" t="s">
        <v>23</v>
      </c>
    </row>
    <row r="8220" spans="1:11" ht="42" customHeight="1">
      <c r="A8220" s="2" t="s">
        <v>16282</v>
      </c>
      <c r="B8220" s="2" t="s">
        <v>16283</v>
      </c>
      <c r="C8220" s="2" t="s">
        <v>17</v>
      </c>
      <c r="D8220" s="2" t="s">
        <v>18</v>
      </c>
      <c r="E8220" s="5">
        <v>-27902</v>
      </c>
      <c r="F8220" s="3" t="s">
        <v>259</v>
      </c>
      <c r="G8220" s="3" t="s">
        <v>48</v>
      </c>
      <c r="H8220" s="2" t="s">
        <v>21</v>
      </c>
      <c r="I8220" s="2" t="s">
        <v>16284</v>
      </c>
      <c r="J8220" s="3" t="str">
        <f>HYPERLINK("https://www.boe.es/gazeta/dias/1823/08/09/pdfs/GMD-1823-563.pdf#page=3","Abrir facsímil")</f>
        <v>Abrir facsímil</v>
      </c>
      <c r="K8220" s="3" t="s">
        <v>23</v>
      </c>
    </row>
    <row r="8221" spans="1:11" ht="42" customHeight="1">
      <c r="A8221" s="2" t="s">
        <v>16285</v>
      </c>
      <c r="B8221" s="2" t="s">
        <v>16286</v>
      </c>
      <c r="C8221" s="2" t="s">
        <v>17</v>
      </c>
      <c r="D8221" s="2" t="s">
        <v>18</v>
      </c>
      <c r="E8221" s="5">
        <v>-28033</v>
      </c>
      <c r="F8221" s="3" t="s">
        <v>1372</v>
      </c>
      <c r="G8221" s="3" t="s">
        <v>27</v>
      </c>
      <c r="H8221" s="2" t="s">
        <v>21</v>
      </c>
      <c r="I8221" s="2" t="s">
        <v>16287</v>
      </c>
      <c r="J8221" s="3" t="str">
        <f>HYPERLINK("https://www.boe.es/gazeta/dias/1823/03/31/pdfs/GMD-1823-94.pdf#page=2","Abrir facsímil")</f>
        <v>Abrir facsímil</v>
      </c>
      <c r="K8221" s="3" t="s">
        <v>23</v>
      </c>
    </row>
    <row r="8222" spans="1:11" ht="42" customHeight="1">
      <c r="A8222" s="2" t="s">
        <v>16288</v>
      </c>
      <c r="B8222" s="2" t="s">
        <v>16289</v>
      </c>
      <c r="C8222" s="2" t="s">
        <v>17</v>
      </c>
      <c r="D8222" s="2" t="s">
        <v>18</v>
      </c>
      <c r="E8222" s="5">
        <v>-27861</v>
      </c>
      <c r="F8222" s="3" t="s">
        <v>425</v>
      </c>
      <c r="G8222" s="3" t="s">
        <v>27</v>
      </c>
      <c r="H8222" s="2" t="s">
        <v>21</v>
      </c>
      <c r="I8222" s="2" t="s">
        <v>16290</v>
      </c>
      <c r="J8222" s="3" t="str">
        <f>HYPERLINK("https://www.boe.es/gazeta/dias/1823/09/19/pdfs/GES-1823-163.pdf#page=2","Abrir facsímil")</f>
        <v>Abrir facsímil</v>
      </c>
      <c r="K8222" s="3" t="s">
        <v>23</v>
      </c>
    </row>
    <row r="8223" spans="1:11" ht="42" customHeight="1">
      <c r="A8223" s="2" t="s">
        <v>16291</v>
      </c>
      <c r="B8223" s="2" t="s">
        <v>16292</v>
      </c>
      <c r="C8223" s="2" t="s">
        <v>79</v>
      </c>
      <c r="D8223" s="2" t="s">
        <v>74</v>
      </c>
      <c r="E8223" s="5">
        <v>-28037</v>
      </c>
      <c r="F8223" s="3" t="s">
        <v>192</v>
      </c>
      <c r="G8223" s="3" t="s">
        <v>48</v>
      </c>
      <c r="H8223" s="2" t="s">
        <v>21</v>
      </c>
      <c r="I8223" s="2" t="s">
        <v>16293</v>
      </c>
      <c r="J8223" s="3" t="str">
        <f>HYPERLINK("https://www.boe.es/gazeta/dias/1823/03/27/pdfs/GMD-1823-90.pdf#page=3","Abrir facsímil")</f>
        <v>Abrir facsímil</v>
      </c>
      <c r="K8223" s="3" t="s">
        <v>23</v>
      </c>
    </row>
    <row r="8224" spans="1:11" ht="42" customHeight="1">
      <c r="A8224" s="2" t="s">
        <v>16294</v>
      </c>
      <c r="B8224" s="2" t="s">
        <v>16295</v>
      </c>
      <c r="C8224" s="2" t="s">
        <v>325</v>
      </c>
      <c r="D8224" s="2" t="s">
        <v>74</v>
      </c>
      <c r="E8224" s="5">
        <v>-27904</v>
      </c>
      <c r="F8224" s="3" t="s">
        <v>1748</v>
      </c>
      <c r="G8224" s="3" t="s">
        <v>20</v>
      </c>
      <c r="H8224" s="2" t="s">
        <v>21</v>
      </c>
      <c r="I8224" s="2" t="s">
        <v>16296</v>
      </c>
      <c r="J8224" s="3" t="str">
        <f>HYPERLINK("https://www.boe.es/gazeta/dias/1823/08/07/pdfs/GES-1823-120.pdf#page=4","Abrir facsímil")</f>
        <v>Abrir facsímil</v>
      </c>
      <c r="K8224" s="3" t="s">
        <v>23</v>
      </c>
    </row>
    <row r="8225" spans="1:11" ht="42" customHeight="1">
      <c r="A8225" s="2" t="s">
        <v>16297</v>
      </c>
      <c r="B8225" s="2" t="s">
        <v>16298</v>
      </c>
      <c r="C8225" s="2" t="s">
        <v>17</v>
      </c>
      <c r="D8225" s="2" t="s">
        <v>18</v>
      </c>
      <c r="E8225" s="5">
        <v>-28043</v>
      </c>
      <c r="F8225" s="3" t="s">
        <v>69</v>
      </c>
      <c r="G8225" s="3" t="s">
        <v>34</v>
      </c>
      <c r="H8225" s="2" t="s">
        <v>21</v>
      </c>
      <c r="I8225" s="2" t="s">
        <v>16299</v>
      </c>
      <c r="J8225" s="3" t="str">
        <f>HYPERLINK("https://www.boe.es/gazeta/dias/1823/03/21/pdfs/GMD-1823-84.pdf#page=5","Abrir facsímil")</f>
        <v>Abrir facsímil</v>
      </c>
      <c r="K8225" s="3" t="s">
        <v>23</v>
      </c>
    </row>
    <row r="8226" spans="1:11" ht="42" customHeight="1">
      <c r="A8226" s="2" t="s">
        <v>16300</v>
      </c>
      <c r="B8226" s="2" t="s">
        <v>16301</v>
      </c>
      <c r="C8226" s="2" t="s">
        <v>17</v>
      </c>
      <c r="D8226" s="2" t="s">
        <v>18</v>
      </c>
      <c r="E8226" s="5">
        <v>-28069</v>
      </c>
      <c r="F8226" s="3" t="s">
        <v>2006</v>
      </c>
      <c r="G8226" s="3" t="s">
        <v>48</v>
      </c>
      <c r="H8226" s="2" t="s">
        <v>21</v>
      </c>
      <c r="I8226" s="2" t="s">
        <v>16302</v>
      </c>
      <c r="J8226" s="3" t="str">
        <f>HYPERLINK("https://www.boe.es/gazeta/dias/1823/02/23/pdfs/GMD-1823-57.pdf#page=3","Abrir facsímil")</f>
        <v>Abrir facsímil</v>
      </c>
      <c r="K8226" s="3" t="s">
        <v>23</v>
      </c>
    </row>
    <row r="8227" spans="1:11" ht="42" customHeight="1">
      <c r="A8227" s="2" t="s">
        <v>16303</v>
      </c>
      <c r="B8227" s="2" t="s">
        <v>16304</v>
      </c>
      <c r="C8227" s="2" t="s">
        <v>17</v>
      </c>
      <c r="D8227" s="2" t="s">
        <v>18</v>
      </c>
      <c r="E8227" s="5">
        <v>-27992</v>
      </c>
      <c r="F8227" s="3" t="s">
        <v>565</v>
      </c>
      <c r="G8227" s="3" t="s">
        <v>20</v>
      </c>
      <c r="H8227" s="2" t="s">
        <v>21</v>
      </c>
      <c r="I8227" s="2" t="s">
        <v>16305</v>
      </c>
      <c r="J8227" s="3" t="str">
        <f>HYPERLINK("https://www.boe.es/gazeta/dias/1823/05/11/pdfs/GES-1823-31.pdf#page=4","Abrir facsímil")</f>
        <v>Abrir facsímil</v>
      </c>
      <c r="K8227" s="3" t="s">
        <v>23</v>
      </c>
    </row>
    <row r="8228" spans="1:11" ht="42" customHeight="1">
      <c r="A8228" s="2" t="s">
        <v>16306</v>
      </c>
      <c r="B8228" s="2" t="s">
        <v>16307</v>
      </c>
      <c r="C8228" s="2" t="s">
        <v>17</v>
      </c>
      <c r="D8228" s="2" t="s">
        <v>18</v>
      </c>
      <c r="E8228" s="5">
        <v>-27993</v>
      </c>
      <c r="F8228" s="3" t="s">
        <v>977</v>
      </c>
      <c r="G8228" s="3" t="s">
        <v>978</v>
      </c>
      <c r="H8228" s="2" t="s">
        <v>21</v>
      </c>
      <c r="I8228" s="2" t="s">
        <v>16308</v>
      </c>
      <c r="J8228" s="3" t="str">
        <f>HYPERLINK("https://www.boe.es/gazeta/dias/1823/05/10/pdfs/GES-1823-30.pdf#page=4","Abrir facsímil")</f>
        <v>Abrir facsímil</v>
      </c>
      <c r="K8228" s="3" t="s">
        <v>23</v>
      </c>
    </row>
    <row r="8229" spans="1:11" ht="42" customHeight="1">
      <c r="A8229" s="2" t="s">
        <v>16309</v>
      </c>
      <c r="B8229" s="2" t="s">
        <v>16310</v>
      </c>
      <c r="C8229" s="2" t="s">
        <v>79</v>
      </c>
      <c r="D8229" s="2" t="s">
        <v>74</v>
      </c>
      <c r="E8229" s="5">
        <v>-27972</v>
      </c>
      <c r="F8229" s="3" t="s">
        <v>429</v>
      </c>
      <c r="G8229" s="3" t="s">
        <v>20</v>
      </c>
      <c r="H8229" s="2" t="s">
        <v>21</v>
      </c>
      <c r="I8229" s="2" t="s">
        <v>16311</v>
      </c>
      <c r="J8229" s="3" t="str">
        <f>HYPERLINK("https://www.boe.es/gazeta/dias/1823/05/31/pdfs/GES-1823-54.pdf#page=4","Abrir facsímil")</f>
        <v>Abrir facsímil</v>
      </c>
      <c r="K8229" s="3" t="s">
        <v>23</v>
      </c>
    </row>
    <row r="8230" spans="1:11" ht="42" customHeight="1">
      <c r="A8230" s="2" t="s">
        <v>16312</v>
      </c>
      <c r="B8230" s="2" t="s">
        <v>16313</v>
      </c>
      <c r="C8230" s="2" t="s">
        <v>17</v>
      </c>
      <c r="D8230" s="2" t="s">
        <v>18</v>
      </c>
      <c r="E8230" s="5">
        <v>-28065</v>
      </c>
      <c r="F8230" s="3" t="s">
        <v>686</v>
      </c>
      <c r="G8230" s="3" t="s">
        <v>20</v>
      </c>
      <c r="H8230" s="2" t="s">
        <v>28</v>
      </c>
      <c r="I8230" s="2" t="s">
        <v>16314</v>
      </c>
      <c r="J8230" s="3" t="str">
        <f>HYPERLINK("https://www.boe.es/gazeta/dias/1823/02/27/pdfs/GMD-1823-61.pdf#page=4","Abrir facsímil")</f>
        <v>Abrir facsímil</v>
      </c>
      <c r="K8230" s="3" t="s">
        <v>30</v>
      </c>
    </row>
    <row r="8231" spans="1:11" ht="42" customHeight="1">
      <c r="A8231" s="2" t="s">
        <v>16315</v>
      </c>
      <c r="B8231" s="2" t="s">
        <v>16315</v>
      </c>
      <c r="C8231" s="2" t="s">
        <v>17</v>
      </c>
      <c r="D8231" s="2" t="s">
        <v>18</v>
      </c>
      <c r="E8231" s="5">
        <v>-27854</v>
      </c>
      <c r="F8231" s="3" t="s">
        <v>933</v>
      </c>
      <c r="G8231" s="3" t="s">
        <v>48</v>
      </c>
      <c r="H8231" s="2" t="s">
        <v>21</v>
      </c>
      <c r="I8231" s="2" t="s">
        <v>16316</v>
      </c>
      <c r="J8231" s="3" t="str">
        <f>HYPERLINK("https://www.boe.es/gazeta/dias/1823/09/26/pdfs/GES-1823-170.pdf#page=3","Abrir facsímil")</f>
        <v>Abrir facsímil</v>
      </c>
      <c r="K8231" s="3" t="s">
        <v>23</v>
      </c>
    </row>
    <row r="8232" spans="1:11" ht="42" customHeight="1">
      <c r="A8232" s="2" t="s">
        <v>16317</v>
      </c>
      <c r="B8232" s="2" t="s">
        <v>16318</v>
      </c>
      <c r="C8232" s="2" t="s">
        <v>17</v>
      </c>
      <c r="D8232" s="2" t="s">
        <v>18</v>
      </c>
      <c r="E8232" s="5">
        <v>-28106</v>
      </c>
      <c r="F8232" s="3" t="s">
        <v>280</v>
      </c>
      <c r="G8232" s="3" t="s">
        <v>20</v>
      </c>
      <c r="H8232" s="2" t="s">
        <v>21</v>
      </c>
      <c r="I8232" s="2" t="s">
        <v>16319</v>
      </c>
      <c r="J8232" s="3" t="str">
        <f>HYPERLINK("https://www.boe.es/gazeta/dias/1823/01/17/pdfs/GMD-1823-17.pdf#page=4","Abrir facsímil")</f>
        <v>Abrir facsímil</v>
      </c>
      <c r="K8232" s="3" t="s">
        <v>23</v>
      </c>
    </row>
    <row r="8233" spans="1:11" ht="42" customHeight="1">
      <c r="A8233" s="2" t="s">
        <v>16320</v>
      </c>
      <c r="B8233" s="2" t="s">
        <v>16321</v>
      </c>
      <c r="C8233" s="2" t="s">
        <v>56</v>
      </c>
      <c r="D8233" s="2" t="s">
        <v>57</v>
      </c>
      <c r="E8233" s="5">
        <v>-27822</v>
      </c>
      <c r="F8233" s="3" t="s">
        <v>992</v>
      </c>
      <c r="G8233" s="3" t="s">
        <v>48</v>
      </c>
      <c r="H8233" s="2" t="s">
        <v>21</v>
      </c>
      <c r="I8233" s="2" t="s">
        <v>16322</v>
      </c>
      <c r="J8233" s="3" t="str">
        <f>HYPERLINK("https://www.boe.es/gazeta/dias/1823/10/28/pdfs/GMD-1823-1033.pdf#page=3","Abrir facsímil")</f>
        <v>Abrir facsímil</v>
      </c>
      <c r="K8233" s="3" t="s">
        <v>23</v>
      </c>
    </row>
    <row r="8234" spans="1:11" ht="42" customHeight="1">
      <c r="A8234" s="2" t="s">
        <v>16323</v>
      </c>
      <c r="B8234" s="2" t="s">
        <v>16324</v>
      </c>
      <c r="C8234" s="2" t="s">
        <v>79</v>
      </c>
      <c r="D8234" s="2" t="s">
        <v>74</v>
      </c>
      <c r="E8234" s="5">
        <v>-28119</v>
      </c>
      <c r="F8234" s="3" t="s">
        <v>545</v>
      </c>
      <c r="G8234" s="3" t="s">
        <v>59</v>
      </c>
      <c r="H8234" s="2" t="s">
        <v>21</v>
      </c>
      <c r="I8234" s="2" t="s">
        <v>16325</v>
      </c>
      <c r="J8234" s="3" t="str">
        <f>HYPERLINK("https://www.boe.es/gazeta/dias/1823/01/04/pdfs/GMD-1823-4.pdf#page=6","Abrir facsímil")</f>
        <v>Abrir facsímil</v>
      </c>
      <c r="K8234" s="3" t="s">
        <v>23</v>
      </c>
    </row>
    <row r="8235" spans="1:11" ht="42" customHeight="1">
      <c r="A8235" s="2" t="s">
        <v>16326</v>
      </c>
      <c r="B8235" s="2" t="s">
        <v>16327</v>
      </c>
      <c r="C8235" s="2" t="s">
        <v>17</v>
      </c>
      <c r="D8235" s="2" t="s">
        <v>18</v>
      </c>
      <c r="E8235" s="5">
        <v>-27874</v>
      </c>
      <c r="F8235" s="3" t="s">
        <v>1410</v>
      </c>
      <c r="G8235" s="3" t="s">
        <v>48</v>
      </c>
      <c r="H8235" s="2" t="s">
        <v>21</v>
      </c>
      <c r="I8235" s="2" t="s">
        <v>16328</v>
      </c>
      <c r="J8235" s="3" t="str">
        <f>HYPERLINK("https://www.boe.es/gazeta/dias/1823/09/06/pdfs/GES-1823-150.pdf#page=3","Abrir facsímil")</f>
        <v>Abrir facsímil</v>
      </c>
      <c r="K8235" s="3" t="s">
        <v>23</v>
      </c>
    </row>
    <row r="8236" spans="1:11" ht="42" customHeight="1">
      <c r="A8236" s="2" t="s">
        <v>16329</v>
      </c>
      <c r="B8236" s="2" t="s">
        <v>16330</v>
      </c>
      <c r="C8236" s="2" t="s">
        <v>79</v>
      </c>
      <c r="D8236" s="2" t="s">
        <v>74</v>
      </c>
      <c r="E8236" s="5">
        <v>-28004</v>
      </c>
      <c r="F8236" s="3" t="s">
        <v>313</v>
      </c>
      <c r="G8236" s="3" t="s">
        <v>27</v>
      </c>
      <c r="H8236" s="2" t="s">
        <v>21</v>
      </c>
      <c r="I8236" s="2" t="s">
        <v>16331</v>
      </c>
      <c r="J8236" s="3" t="str">
        <f>HYPERLINK("https://www.boe.es/gazeta/dias/1823/04/29/pdfs/GMD-1823-72.pdf#page=2","Abrir facsímil")</f>
        <v>Abrir facsímil</v>
      </c>
      <c r="K8236" s="3" t="s">
        <v>23</v>
      </c>
    </row>
    <row r="8237" spans="1:11" ht="42" customHeight="1">
      <c r="A8237" s="2" t="s">
        <v>16329</v>
      </c>
      <c r="B8237" s="2" t="s">
        <v>16330</v>
      </c>
      <c r="C8237" s="2" t="s">
        <v>109</v>
      </c>
      <c r="D8237" s="2" t="s">
        <v>74</v>
      </c>
      <c r="E8237" s="5">
        <v>-28001</v>
      </c>
      <c r="F8237" s="3" t="s">
        <v>768</v>
      </c>
      <c r="G8237" s="3" t="s">
        <v>34</v>
      </c>
      <c r="H8237" s="2" t="s">
        <v>21</v>
      </c>
      <c r="I8237" s="2" t="s">
        <v>16332</v>
      </c>
      <c r="J8237" s="3" t="str">
        <f>HYPERLINK("https://www.boe.es/gazeta/dias/1823/05/02/pdfs/GES-1823-22.pdf#page=5","Abrir facsímil")</f>
        <v>Abrir facsímil</v>
      </c>
      <c r="K8237" s="3" t="s">
        <v>23</v>
      </c>
    </row>
    <row r="8238" spans="1:11" ht="42" customHeight="1">
      <c r="A8238" s="2" t="s">
        <v>16333</v>
      </c>
      <c r="B8238" s="2" t="s">
        <v>16333</v>
      </c>
      <c r="C8238" s="2" t="s">
        <v>79</v>
      </c>
      <c r="D8238" s="2" t="s">
        <v>74</v>
      </c>
      <c r="E8238" s="5">
        <v>-28048</v>
      </c>
      <c r="F8238" s="3" t="s">
        <v>399</v>
      </c>
      <c r="G8238" s="3" t="s">
        <v>20</v>
      </c>
      <c r="H8238" s="2" t="s">
        <v>21</v>
      </c>
      <c r="I8238" s="2" t="s">
        <v>16334</v>
      </c>
      <c r="J8238" s="3" t="str">
        <f>HYPERLINK("https://www.boe.es/gazeta/dias/1823/03/16/pdfs/GMD-1823-79.pdf#page=4","Abrir facsímil")</f>
        <v>Abrir facsímil</v>
      </c>
      <c r="K8238" s="3" t="s">
        <v>23</v>
      </c>
    </row>
    <row r="8239" spans="1:11" ht="42" customHeight="1">
      <c r="A8239" s="2" t="s">
        <v>16335</v>
      </c>
      <c r="B8239" s="2" t="s">
        <v>16335</v>
      </c>
      <c r="C8239" s="2" t="s">
        <v>293</v>
      </c>
      <c r="D8239" s="2" t="s">
        <v>74</v>
      </c>
      <c r="E8239" s="5">
        <v>-28047</v>
      </c>
      <c r="F8239" s="3" t="s">
        <v>2269</v>
      </c>
      <c r="G8239" s="3" t="s">
        <v>39</v>
      </c>
      <c r="H8239" s="2" t="s">
        <v>21</v>
      </c>
      <c r="I8239" s="2" t="s">
        <v>16336</v>
      </c>
      <c r="J8239" s="3" t="str">
        <f>HYPERLINK("https://www.boe.es/gazeta/dias/1823/03/17/pdfs/GMD-1823-80.pdf#page=1","Abrir facsímil")</f>
        <v>Abrir facsímil</v>
      </c>
      <c r="K8239" s="3" t="s">
        <v>23</v>
      </c>
    </row>
    <row r="8240" spans="1:11" ht="42" customHeight="1">
      <c r="A8240" s="2" t="s">
        <v>16337</v>
      </c>
      <c r="B8240" s="2" t="s">
        <v>16337</v>
      </c>
      <c r="C8240" s="2" t="s">
        <v>79</v>
      </c>
      <c r="D8240" s="2" t="s">
        <v>74</v>
      </c>
      <c r="E8240" s="5">
        <v>-28047</v>
      </c>
      <c r="F8240" s="3" t="s">
        <v>2269</v>
      </c>
      <c r="G8240" s="3" t="s">
        <v>39</v>
      </c>
      <c r="H8240" s="2" t="s">
        <v>21</v>
      </c>
      <c r="I8240" s="2" t="s">
        <v>16338</v>
      </c>
      <c r="J8240" s="3" t="str">
        <f>HYPERLINK("https://www.boe.es/gazeta/dias/1823/03/17/pdfs/GMD-1823-80.pdf#page=1","Abrir facsímil")</f>
        <v>Abrir facsímil</v>
      </c>
      <c r="K8240" s="3" t="s">
        <v>23</v>
      </c>
    </row>
    <row r="8241" spans="1:11" ht="42" customHeight="1">
      <c r="A8241" s="2" t="s">
        <v>16339</v>
      </c>
      <c r="B8241" s="2" t="s">
        <v>16340</v>
      </c>
      <c r="C8241" s="2" t="s">
        <v>325</v>
      </c>
      <c r="D8241" s="2" t="s">
        <v>74</v>
      </c>
      <c r="E8241" s="5">
        <v>-27920</v>
      </c>
      <c r="F8241" s="3" t="s">
        <v>1334</v>
      </c>
      <c r="G8241" s="3" t="s">
        <v>715</v>
      </c>
      <c r="H8241" s="2" t="s">
        <v>28</v>
      </c>
      <c r="I8241" s="2" t="s">
        <v>16341</v>
      </c>
      <c r="J8241" s="3" t="str">
        <f>HYPERLINK("https://www.boe.es/gazeta/dias/1823/07/22/pdfs/GMD-1823-443.pdf#page=8","Abrir facsímil")</f>
        <v>Abrir facsímil</v>
      </c>
      <c r="K8241" s="3" t="s">
        <v>30</v>
      </c>
    </row>
    <row r="8242" spans="1:11" ht="42" customHeight="1">
      <c r="A8242" s="2" t="s">
        <v>16342</v>
      </c>
      <c r="B8242" s="2" t="s">
        <v>16343</v>
      </c>
      <c r="C8242" s="2" t="s">
        <v>17</v>
      </c>
      <c r="D8242" s="2" t="s">
        <v>18</v>
      </c>
      <c r="E8242" s="5">
        <v>-28000</v>
      </c>
      <c r="F8242" s="3" t="s">
        <v>1118</v>
      </c>
      <c r="G8242" s="3" t="s">
        <v>59</v>
      </c>
      <c r="H8242" s="2" t="s">
        <v>21</v>
      </c>
      <c r="I8242" s="2" t="s">
        <v>16344</v>
      </c>
      <c r="J8242" s="3" t="str">
        <f>HYPERLINK("https://www.boe.es/gazeta/dias/1823/05/03/pdfs/GES-1823-23.pdf#page=6","Abrir facsímil")</f>
        <v>Abrir facsímil</v>
      </c>
      <c r="K8242" s="3" t="s">
        <v>23</v>
      </c>
    </row>
    <row r="8243" spans="1:11" ht="42" customHeight="1">
      <c r="A8243" s="2" t="s">
        <v>16345</v>
      </c>
      <c r="B8243" s="2" t="s">
        <v>16346</v>
      </c>
      <c r="C8243" s="2" t="s">
        <v>56</v>
      </c>
      <c r="D8243" s="2" t="s">
        <v>57</v>
      </c>
      <c r="E8243" s="5">
        <v>-28020</v>
      </c>
      <c r="F8243" s="3" t="s">
        <v>448</v>
      </c>
      <c r="G8243" s="3" t="s">
        <v>20</v>
      </c>
      <c r="H8243" s="2" t="s">
        <v>21</v>
      </c>
      <c r="I8243" s="2" t="s">
        <v>16347</v>
      </c>
      <c r="J8243" s="3" t="str">
        <f>HYPERLINK("https://www.boe.es/gazeta/dias/1823/04/13/pdfs/GES-1823-3.pdf#page=4","Abrir facsímil")</f>
        <v>Abrir facsímil</v>
      </c>
      <c r="K8243" s="3" t="s">
        <v>23</v>
      </c>
    </row>
    <row r="8244" spans="1:11" ht="42" customHeight="1">
      <c r="A8244" s="2" t="s">
        <v>16348</v>
      </c>
      <c r="B8244" s="2" t="s">
        <v>16349</v>
      </c>
      <c r="C8244" s="2" t="s">
        <v>109</v>
      </c>
      <c r="D8244" s="2" t="s">
        <v>74</v>
      </c>
      <c r="E8244" s="5">
        <v>-28046</v>
      </c>
      <c r="F8244" s="3" t="s">
        <v>85</v>
      </c>
      <c r="G8244" s="3" t="s">
        <v>27</v>
      </c>
      <c r="H8244" s="2" t="s">
        <v>21</v>
      </c>
      <c r="I8244" s="2" t="s">
        <v>16350</v>
      </c>
      <c r="J8244" s="3" t="str">
        <f>HYPERLINK("https://www.boe.es/gazeta/dias/1823/03/18/pdfs/GMD-1823-81.pdf#page=2","Abrir facsímil")</f>
        <v>Abrir facsímil</v>
      </c>
      <c r="K8244" s="3" t="s">
        <v>23</v>
      </c>
    </row>
    <row r="8245" spans="1:11" ht="42" customHeight="1">
      <c r="A8245" s="2" t="s">
        <v>16351</v>
      </c>
      <c r="B8245" s="2" t="s">
        <v>16351</v>
      </c>
      <c r="C8245" s="2" t="s">
        <v>17</v>
      </c>
      <c r="D8245" s="2" t="s">
        <v>18</v>
      </c>
      <c r="E8245" s="5">
        <v>-27937</v>
      </c>
      <c r="F8245" s="3" t="s">
        <v>897</v>
      </c>
      <c r="G8245" s="3" t="s">
        <v>48</v>
      </c>
      <c r="H8245" s="2" t="s">
        <v>21</v>
      </c>
      <c r="I8245" s="2" t="s">
        <v>16352</v>
      </c>
      <c r="J8245" s="3" t="str">
        <f>HYPERLINK("https://www.boe.es/gazeta/dias/1823/07/05/pdfs/GMD-1823-343.pdf#page=3","Abrir facsímil")</f>
        <v>Abrir facsímil</v>
      </c>
      <c r="K8245" s="3" t="s">
        <v>23</v>
      </c>
    </row>
    <row r="8246" spans="1:11" ht="42" customHeight="1">
      <c r="A8246" s="2" t="s">
        <v>16353</v>
      </c>
      <c r="B8246" s="2" t="s">
        <v>16354</v>
      </c>
      <c r="C8246" s="2" t="s">
        <v>17</v>
      </c>
      <c r="D8246" s="2" t="s">
        <v>18</v>
      </c>
      <c r="E8246" s="5">
        <v>-28003</v>
      </c>
      <c r="F8246" s="3" t="s">
        <v>26</v>
      </c>
      <c r="G8246" s="3" t="s">
        <v>27</v>
      </c>
      <c r="H8246" s="2" t="s">
        <v>21</v>
      </c>
      <c r="I8246" s="2" t="s">
        <v>16355</v>
      </c>
      <c r="J8246" s="3" t="str">
        <f>HYPERLINK("https://www.boe.es/gazeta/dias/1823/04/30/pdfs/GES-1823-20.pdf#page=2","Abrir facsímil")</f>
        <v>Abrir facsímil</v>
      </c>
      <c r="K8246" s="3" t="s">
        <v>23</v>
      </c>
    </row>
    <row r="8247" spans="1:11" ht="42" customHeight="1">
      <c r="A8247" s="2" t="s">
        <v>16356</v>
      </c>
      <c r="B8247" s="2" t="s">
        <v>16357</v>
      </c>
      <c r="C8247" s="2" t="s">
        <v>17</v>
      </c>
      <c r="D8247" s="2" t="s">
        <v>18</v>
      </c>
      <c r="E8247" s="5">
        <v>-28066</v>
      </c>
      <c r="F8247" s="3" t="s">
        <v>19</v>
      </c>
      <c r="G8247" s="3" t="s">
        <v>20</v>
      </c>
      <c r="H8247" s="2" t="s">
        <v>21</v>
      </c>
      <c r="I8247" s="2" t="s">
        <v>16358</v>
      </c>
      <c r="J8247" s="3" t="str">
        <f>HYPERLINK("https://www.boe.es/gazeta/dias/1823/02/26/pdfs/GMD-1823-60.pdf#page=4","Abrir facsímil")</f>
        <v>Abrir facsímil</v>
      </c>
      <c r="K8247" s="3" t="s">
        <v>23</v>
      </c>
    </row>
    <row r="8248" spans="1:11" ht="42" customHeight="1">
      <c r="A8248" s="2" t="s">
        <v>16359</v>
      </c>
      <c r="B8248" s="2" t="s">
        <v>16360</v>
      </c>
      <c r="C8248" s="2" t="s">
        <v>17</v>
      </c>
      <c r="D8248" s="2" t="s">
        <v>18</v>
      </c>
      <c r="E8248" s="5">
        <v>-28015</v>
      </c>
      <c r="F8248" s="3" t="s">
        <v>985</v>
      </c>
      <c r="G8248" s="3" t="s">
        <v>48</v>
      </c>
      <c r="H8248" s="2" t="s">
        <v>21</v>
      </c>
      <c r="I8248" s="2" t="s">
        <v>16361</v>
      </c>
      <c r="J8248" s="3" t="str">
        <f>HYPERLINK("https://www.boe.es/gazeta/dias/1823/04/18/pdfs/GES-1823-8.pdf#page=3","Abrir facsímil")</f>
        <v>Abrir facsímil</v>
      </c>
      <c r="K8248" s="3" t="s">
        <v>23</v>
      </c>
    </row>
    <row r="8249" spans="1:11" ht="42" customHeight="1">
      <c r="A8249" s="2" t="s">
        <v>16359</v>
      </c>
      <c r="B8249" s="2" t="s">
        <v>16360</v>
      </c>
      <c r="C8249" s="2" t="s">
        <v>17</v>
      </c>
      <c r="D8249" s="2" t="s">
        <v>18</v>
      </c>
      <c r="E8249" s="5">
        <v>-28015</v>
      </c>
      <c r="F8249" s="3" t="s">
        <v>985</v>
      </c>
      <c r="G8249" s="3" t="s">
        <v>20</v>
      </c>
      <c r="H8249" s="2" t="s">
        <v>21</v>
      </c>
      <c r="I8249" s="2" t="s">
        <v>16362</v>
      </c>
      <c r="J8249" s="3" t="str">
        <f>HYPERLINK("https://www.boe.es/gazeta/dias/1823/04/18/pdfs/GES-1823-8.pdf#page=4","Abrir facsímil")</f>
        <v>Abrir facsímil</v>
      </c>
      <c r="K8249" s="3" t="s">
        <v>23</v>
      </c>
    </row>
    <row r="8250" spans="1:11" ht="42" customHeight="1">
      <c r="A8250" s="2" t="s">
        <v>16363</v>
      </c>
      <c r="B8250" s="2" t="s">
        <v>16363</v>
      </c>
      <c r="C8250" s="2" t="s">
        <v>56</v>
      </c>
      <c r="D8250" s="2" t="s">
        <v>57</v>
      </c>
      <c r="E8250" s="5">
        <v>-28115</v>
      </c>
      <c r="F8250" s="3" t="s">
        <v>579</v>
      </c>
      <c r="G8250" s="3" t="s">
        <v>27</v>
      </c>
      <c r="H8250" s="2" t="s">
        <v>21</v>
      </c>
      <c r="I8250" s="2" t="s">
        <v>16364</v>
      </c>
      <c r="J8250" s="3" t="str">
        <f>HYPERLINK("https://www.boe.es/gazeta/dias/1823/01/08/pdfs/GMD-1823-8.pdf#page=2","Abrir facsímil")</f>
        <v>Abrir facsímil</v>
      </c>
      <c r="K8250" s="3" t="s">
        <v>23</v>
      </c>
    </row>
    <row r="8251" spans="1:11" ht="42" customHeight="1">
      <c r="A8251" s="2" t="s">
        <v>16363</v>
      </c>
      <c r="B8251" s="2" t="s">
        <v>16363</v>
      </c>
      <c r="C8251" s="2" t="s">
        <v>17</v>
      </c>
      <c r="D8251" s="2" t="s">
        <v>18</v>
      </c>
      <c r="E8251" s="5">
        <v>-27933</v>
      </c>
      <c r="F8251" s="3" t="s">
        <v>1079</v>
      </c>
      <c r="G8251" s="3" t="s">
        <v>48</v>
      </c>
      <c r="H8251" s="2" t="s">
        <v>21</v>
      </c>
      <c r="I8251" s="2" t="s">
        <v>16365</v>
      </c>
      <c r="J8251" s="3" t="str">
        <f>HYPERLINK("https://www.boe.es/gazeta/dias/1823/07/09/pdfs/GES-1823-89.pdf#page=3","Abrir facsímil")</f>
        <v>Abrir facsímil</v>
      </c>
      <c r="K8251" s="3" t="s">
        <v>23</v>
      </c>
    </row>
    <row r="8252" spans="1:11" ht="42" customHeight="1">
      <c r="A8252" s="2" t="s">
        <v>16363</v>
      </c>
      <c r="B8252" s="2" t="s">
        <v>16363</v>
      </c>
      <c r="C8252" s="2" t="s">
        <v>56</v>
      </c>
      <c r="D8252" s="2" t="s">
        <v>57</v>
      </c>
      <c r="E8252" s="5">
        <v>-27917</v>
      </c>
      <c r="F8252" s="3" t="s">
        <v>363</v>
      </c>
      <c r="G8252" s="3" t="s">
        <v>48</v>
      </c>
      <c r="H8252" s="2" t="s">
        <v>21</v>
      </c>
      <c r="I8252" s="2" t="s">
        <v>16366</v>
      </c>
      <c r="J8252" s="3" t="str">
        <f>HYPERLINK("https://www.boe.es/gazeta/dias/1823/07/25/pdfs/GES-1823-106.pdf#page=3","Abrir facsímil")</f>
        <v>Abrir facsímil</v>
      </c>
      <c r="K8252" s="3" t="s">
        <v>23</v>
      </c>
    </row>
    <row r="8253" spans="1:11" ht="42" customHeight="1">
      <c r="A8253" s="2" t="s">
        <v>16363</v>
      </c>
      <c r="B8253" s="2" t="s">
        <v>16363</v>
      </c>
      <c r="C8253" s="2" t="s">
        <v>17</v>
      </c>
      <c r="D8253" s="2" t="s">
        <v>18</v>
      </c>
      <c r="E8253" s="5">
        <v>-27916</v>
      </c>
      <c r="F8253" s="3" t="s">
        <v>772</v>
      </c>
      <c r="G8253" s="3" t="s">
        <v>27</v>
      </c>
      <c r="H8253" s="2" t="s">
        <v>21</v>
      </c>
      <c r="I8253" s="2" t="s">
        <v>16367</v>
      </c>
      <c r="J8253" s="3" t="str">
        <f>HYPERLINK("https://www.boe.es/gazeta/dias/1823/07/26/pdfs/GES-1823-107.pdf#page=2","Abrir facsímil")</f>
        <v>Abrir facsímil</v>
      </c>
      <c r="K8253" s="3" t="s">
        <v>23</v>
      </c>
    </row>
    <row r="8254" spans="1:11" ht="42" customHeight="1">
      <c r="A8254" s="2" t="s">
        <v>16368</v>
      </c>
      <c r="B8254" s="2" t="s">
        <v>16369</v>
      </c>
      <c r="C8254" s="2" t="s">
        <v>17</v>
      </c>
      <c r="D8254" s="2" t="s">
        <v>18</v>
      </c>
      <c r="E8254" s="5">
        <v>-28101</v>
      </c>
      <c r="F8254" s="3" t="s">
        <v>1041</v>
      </c>
      <c r="G8254" s="3" t="s">
        <v>27</v>
      </c>
      <c r="H8254" s="2" t="s">
        <v>21</v>
      </c>
      <c r="I8254" s="2" t="s">
        <v>16370</v>
      </c>
      <c r="J8254" s="3" t="str">
        <f>HYPERLINK("https://www.boe.es/gazeta/dias/1823/01/22/pdfs/GMD-1823-23.pdf#page=2","Abrir facsímil")</f>
        <v>Abrir facsímil</v>
      </c>
      <c r="K8254" s="3" t="s">
        <v>23</v>
      </c>
    </row>
    <row r="8255" spans="1:11" ht="42" customHeight="1">
      <c r="A8255" s="2" t="s">
        <v>16368</v>
      </c>
      <c r="B8255" s="2" t="s">
        <v>16369</v>
      </c>
      <c r="C8255" s="2" t="s">
        <v>17</v>
      </c>
      <c r="D8255" s="2" t="s">
        <v>18</v>
      </c>
      <c r="E8255" s="5">
        <v>-28084</v>
      </c>
      <c r="F8255" s="3" t="s">
        <v>1049</v>
      </c>
      <c r="G8255" s="3" t="s">
        <v>3129</v>
      </c>
      <c r="H8255" s="2" t="s">
        <v>21</v>
      </c>
      <c r="I8255" s="2" t="s">
        <v>16371</v>
      </c>
      <c r="J8255" s="3" t="str">
        <f>HYPERLINK("https://www.boe.es/gazeta/dias/1823/02/08/pdfs/GMD-1823-41.pdf#page=2","Abrir facsímil")</f>
        <v>Abrir facsímil</v>
      </c>
      <c r="K8255" s="3" t="s">
        <v>23</v>
      </c>
    </row>
    <row r="8256" spans="1:11" ht="42" customHeight="1">
      <c r="A8256" s="2" t="s">
        <v>16368</v>
      </c>
      <c r="B8256" s="2" t="s">
        <v>16369</v>
      </c>
      <c r="C8256" s="2" t="s">
        <v>17</v>
      </c>
      <c r="D8256" s="2" t="s">
        <v>18</v>
      </c>
      <c r="E8256" s="5">
        <v>-27933</v>
      </c>
      <c r="F8256" s="3" t="s">
        <v>1079</v>
      </c>
      <c r="G8256" s="3" t="s">
        <v>48</v>
      </c>
      <c r="H8256" s="2" t="s">
        <v>21</v>
      </c>
      <c r="I8256" s="2" t="s">
        <v>16372</v>
      </c>
      <c r="J8256" s="3" t="str">
        <f>HYPERLINK("https://www.boe.es/gazeta/dias/1823/07/09/pdfs/GES-1823-89.pdf#page=3","Abrir facsímil")</f>
        <v>Abrir facsímil</v>
      </c>
      <c r="K8256" s="3" t="s">
        <v>23</v>
      </c>
    </row>
    <row r="8257" spans="1:11" ht="42" customHeight="1">
      <c r="A8257" s="2" t="s">
        <v>16368</v>
      </c>
      <c r="B8257" s="2" t="s">
        <v>16369</v>
      </c>
      <c r="C8257" s="2" t="s">
        <v>109</v>
      </c>
      <c r="D8257" s="2" t="s">
        <v>74</v>
      </c>
      <c r="E8257" s="5">
        <v>-27931</v>
      </c>
      <c r="F8257" s="3" t="s">
        <v>1833</v>
      </c>
      <c r="G8257" s="3" t="s">
        <v>39</v>
      </c>
      <c r="H8257" s="2" t="s">
        <v>21</v>
      </c>
      <c r="I8257" s="2" t="s">
        <v>16373</v>
      </c>
      <c r="J8257" s="3" t="str">
        <f>HYPERLINK("https://www.boe.es/gazeta/dias/1823/07/11/pdfs/GES-1823-91.pdf#page=1","Abrir facsímil")</f>
        <v>Abrir facsímil</v>
      </c>
      <c r="K8257" s="3" t="s">
        <v>23</v>
      </c>
    </row>
    <row r="8258" spans="1:11" ht="42" customHeight="1">
      <c r="A8258" s="2" t="s">
        <v>16374</v>
      </c>
      <c r="B8258" s="2" t="s">
        <v>16375</v>
      </c>
      <c r="C8258" s="2" t="s">
        <v>56</v>
      </c>
      <c r="D8258" s="2" t="s">
        <v>57</v>
      </c>
      <c r="E8258" s="5">
        <v>-27917</v>
      </c>
      <c r="F8258" s="3" t="s">
        <v>363</v>
      </c>
      <c r="G8258" s="3" t="s">
        <v>48</v>
      </c>
      <c r="H8258" s="2" t="s">
        <v>21</v>
      </c>
      <c r="I8258" s="2" t="s">
        <v>16376</v>
      </c>
      <c r="J8258" s="3" t="str">
        <f>HYPERLINK("https://www.boe.es/gazeta/dias/1823/07/25/pdfs/GES-1823-106.pdf#page=3","Abrir facsímil")</f>
        <v>Abrir facsímil</v>
      </c>
      <c r="K8258" s="3" t="s">
        <v>23</v>
      </c>
    </row>
    <row r="8259" spans="1:11" ht="42" customHeight="1">
      <c r="A8259" s="2" t="s">
        <v>16368</v>
      </c>
      <c r="B8259" s="2" t="s">
        <v>16369</v>
      </c>
      <c r="C8259" s="2" t="s">
        <v>109</v>
      </c>
      <c r="D8259" s="2" t="s">
        <v>74</v>
      </c>
      <c r="E8259" s="5">
        <v>-27916</v>
      </c>
      <c r="F8259" s="3" t="s">
        <v>772</v>
      </c>
      <c r="G8259" s="3" t="s">
        <v>27</v>
      </c>
      <c r="H8259" s="2" t="s">
        <v>21</v>
      </c>
      <c r="I8259" s="2" t="s">
        <v>16377</v>
      </c>
      <c r="J8259" s="3" t="str">
        <f>HYPERLINK("https://www.boe.es/gazeta/dias/1823/07/26/pdfs/GES-1823-107.pdf#page=2","Abrir facsímil")</f>
        <v>Abrir facsímil</v>
      </c>
      <c r="K8259" s="3" t="s">
        <v>23</v>
      </c>
    </row>
    <row r="8260" spans="1:11" ht="42" customHeight="1">
      <c r="A8260" s="2" t="s">
        <v>16378</v>
      </c>
      <c r="B8260" s="2" t="s">
        <v>16379</v>
      </c>
      <c r="C8260" s="2" t="s">
        <v>17</v>
      </c>
      <c r="D8260" s="2" t="s">
        <v>18</v>
      </c>
      <c r="E8260" s="5">
        <v>-28114</v>
      </c>
      <c r="F8260" s="3" t="s">
        <v>153</v>
      </c>
      <c r="G8260" s="3" t="s">
        <v>27</v>
      </c>
      <c r="H8260" s="2" t="s">
        <v>28</v>
      </c>
      <c r="I8260" s="2" t="s">
        <v>16380</v>
      </c>
      <c r="J8260" s="3" t="str">
        <f>HYPERLINK("https://www.boe.es/gazeta/dias/1823/01/09/pdfs/GMD-1823-9.pdf#page=2","Abrir facsímil")</f>
        <v>Abrir facsímil</v>
      </c>
      <c r="K8260" s="3" t="s">
        <v>30</v>
      </c>
    </row>
    <row r="8261" spans="1:11" ht="42" customHeight="1">
      <c r="A8261" s="2" t="s">
        <v>16381</v>
      </c>
      <c r="B8261" s="2" t="s">
        <v>16382</v>
      </c>
      <c r="C8261" s="2" t="s">
        <v>56</v>
      </c>
      <c r="D8261" s="2" t="s">
        <v>57</v>
      </c>
      <c r="E8261" s="5">
        <v>-28110</v>
      </c>
      <c r="F8261" s="3" t="s">
        <v>249</v>
      </c>
      <c r="G8261" s="3" t="s">
        <v>39</v>
      </c>
      <c r="H8261" s="2" t="s">
        <v>21</v>
      </c>
      <c r="I8261" s="2" t="s">
        <v>16383</v>
      </c>
      <c r="J8261" s="3" t="str">
        <f>HYPERLINK("https://www.boe.es/gazeta/dias/1823/01/13/pdfs/GMD-1823-13.pdf#page=1","Abrir facsímil")</f>
        <v>Abrir facsímil</v>
      </c>
      <c r="K8261" s="3" t="s">
        <v>23</v>
      </c>
    </row>
    <row r="8262" spans="1:11" ht="42" customHeight="1">
      <c r="A8262" s="2" t="s">
        <v>16384</v>
      </c>
      <c r="B8262" s="2" t="s">
        <v>16385</v>
      </c>
      <c r="C8262" s="2" t="s">
        <v>17</v>
      </c>
      <c r="D8262" s="2" t="s">
        <v>18</v>
      </c>
      <c r="E8262" s="5">
        <v>-28027</v>
      </c>
      <c r="F8262" s="3" t="s">
        <v>4234</v>
      </c>
      <c r="G8262" s="3" t="s">
        <v>27</v>
      </c>
      <c r="H8262" s="2" t="s">
        <v>21</v>
      </c>
      <c r="I8262" s="2" t="s">
        <v>16386</v>
      </c>
      <c r="J8262" s="3" t="str">
        <f>HYPERLINK("https://www.boe.es/gazeta/dias/1823/04/06/pdfs/GMD-1823-101.pdf#page=2","Abrir facsímil")</f>
        <v>Abrir facsímil</v>
      </c>
      <c r="K8262" s="3" t="s">
        <v>23</v>
      </c>
    </row>
    <row r="8263" spans="1:11" ht="42" customHeight="1">
      <c r="A8263" s="2" t="s">
        <v>16387</v>
      </c>
      <c r="B8263" s="2" t="s">
        <v>16387</v>
      </c>
      <c r="C8263" s="2" t="s">
        <v>17</v>
      </c>
      <c r="D8263" s="2" t="s">
        <v>18</v>
      </c>
      <c r="E8263" s="5">
        <v>-28011</v>
      </c>
      <c r="F8263" s="3" t="s">
        <v>3326</v>
      </c>
      <c r="G8263" s="3" t="s">
        <v>6440</v>
      </c>
      <c r="H8263" s="2" t="s">
        <v>21</v>
      </c>
      <c r="I8263" s="2" t="s">
        <v>16388</v>
      </c>
      <c r="J8263" s="3" t="str">
        <f>HYPERLINK("https://www.boe.es/gazeta/dias/1823/04/22/pdfs/GES-1823-12.pdf#page=3","Abrir facsímil")</f>
        <v>Abrir facsímil</v>
      </c>
      <c r="K8263" s="3" t="s">
        <v>23</v>
      </c>
    </row>
    <row r="8264" spans="1:11" ht="42" customHeight="1">
      <c r="A8264" s="2" t="s">
        <v>16389</v>
      </c>
      <c r="B8264" s="2" t="s">
        <v>16389</v>
      </c>
      <c r="C8264" s="2" t="s">
        <v>56</v>
      </c>
      <c r="D8264" s="2" t="s">
        <v>57</v>
      </c>
      <c r="E8264" s="5">
        <v>-27771</v>
      </c>
      <c r="F8264" s="3" t="s">
        <v>1611</v>
      </c>
      <c r="G8264" s="3" t="s">
        <v>27</v>
      </c>
      <c r="H8264" s="2" t="s">
        <v>21</v>
      </c>
      <c r="I8264" s="2" t="s">
        <v>16390</v>
      </c>
      <c r="J8264" s="3" t="str">
        <f>HYPERLINK("https://www.boe.es/gazeta/dias/1823/12/18/pdfs/GMD-1823-1263.pdf#page=2","Abrir facsímil")</f>
        <v>Abrir facsímil</v>
      </c>
      <c r="K8264" s="3" t="s">
        <v>23</v>
      </c>
    </row>
    <row r="8265" spans="1:11" ht="42" customHeight="1">
      <c r="A8265" s="2" t="s">
        <v>16391</v>
      </c>
      <c r="B8265" s="2" t="s">
        <v>16392</v>
      </c>
      <c r="C8265" s="2" t="s">
        <v>293</v>
      </c>
      <c r="D8265" s="2" t="s">
        <v>74</v>
      </c>
      <c r="E8265" s="5">
        <v>-28048</v>
      </c>
      <c r="F8265" s="3" t="s">
        <v>399</v>
      </c>
      <c r="G8265" s="3" t="s">
        <v>59</v>
      </c>
      <c r="H8265" s="2" t="s">
        <v>21</v>
      </c>
      <c r="I8265" s="2" t="s">
        <v>16393</v>
      </c>
      <c r="J8265" s="3" t="str">
        <f>HYPERLINK("https://www.boe.es/gazeta/dias/1823/03/16/pdfs/GMD-1823-79.pdf#page=6","Abrir facsímil")</f>
        <v>Abrir facsímil</v>
      </c>
      <c r="K8265" s="3" t="s">
        <v>23</v>
      </c>
    </row>
    <row r="8266" spans="1:11" ht="42" customHeight="1">
      <c r="A8266" s="2" t="s">
        <v>16394</v>
      </c>
      <c r="B8266" s="2" t="s">
        <v>16395</v>
      </c>
      <c r="C8266" s="2" t="s">
        <v>73</v>
      </c>
      <c r="D8266" s="2" t="s">
        <v>74</v>
      </c>
      <c r="E8266" s="5">
        <v>-28031</v>
      </c>
      <c r="F8266" s="3" t="s">
        <v>1211</v>
      </c>
      <c r="G8266" s="3" t="s">
        <v>20</v>
      </c>
      <c r="H8266" s="2" t="s">
        <v>21</v>
      </c>
      <c r="I8266" s="2" t="s">
        <v>16396</v>
      </c>
      <c r="J8266" s="3" t="str">
        <f>HYPERLINK("https://www.boe.es/gazeta/dias/1823/04/02/pdfs/GMD-1823-96.pdf#page=4","Abrir facsímil")</f>
        <v>Abrir facsímil</v>
      </c>
      <c r="K8266" s="3" t="s">
        <v>23</v>
      </c>
    </row>
    <row r="8267" spans="1:11" ht="42" customHeight="1">
      <c r="A8267" s="2" t="s">
        <v>16397</v>
      </c>
      <c r="B8267" s="2" t="s">
        <v>16398</v>
      </c>
      <c r="C8267" s="2" t="s">
        <v>109</v>
      </c>
      <c r="D8267" s="2" t="s">
        <v>74</v>
      </c>
      <c r="E8267" s="5">
        <v>-28031</v>
      </c>
      <c r="F8267" s="3" t="s">
        <v>1211</v>
      </c>
      <c r="G8267" s="3" t="s">
        <v>20</v>
      </c>
      <c r="H8267" s="2" t="s">
        <v>21</v>
      </c>
      <c r="I8267" s="2" t="s">
        <v>16399</v>
      </c>
      <c r="J8267" s="3" t="str">
        <f>HYPERLINK("https://www.boe.es/gazeta/dias/1823/04/02/pdfs/GMD-1823-96.pdf#page=4","Abrir facsímil")</f>
        <v>Abrir facsímil</v>
      </c>
      <c r="K8267" s="3" t="s">
        <v>23</v>
      </c>
    </row>
    <row r="8268" spans="1:11" ht="42" customHeight="1">
      <c r="A8268" s="2" t="s">
        <v>16400</v>
      </c>
      <c r="B8268" s="2" t="s">
        <v>16401</v>
      </c>
      <c r="C8268" s="2" t="s">
        <v>73</v>
      </c>
      <c r="D8268" s="2" t="s">
        <v>74</v>
      </c>
      <c r="E8268" s="5">
        <v>-28099</v>
      </c>
      <c r="F8268" s="3" t="s">
        <v>1689</v>
      </c>
      <c r="G8268" s="3" t="s">
        <v>20</v>
      </c>
      <c r="H8268" s="2" t="s">
        <v>21</v>
      </c>
      <c r="I8268" s="2" t="s">
        <v>16402</v>
      </c>
      <c r="J8268" s="3" t="str">
        <f>HYPERLINK("https://www.boe.es/gazeta/dias/1823/01/24/pdfs/GMD-1823-25.pdf#page=4","Abrir facsímil")</f>
        <v>Abrir facsímil</v>
      </c>
      <c r="K8268" s="3" t="s">
        <v>23</v>
      </c>
    </row>
    <row r="8269" spans="1:11" ht="42" customHeight="1">
      <c r="A8269" s="2" t="s">
        <v>16403</v>
      </c>
      <c r="B8269" s="2" t="s">
        <v>16404</v>
      </c>
      <c r="C8269" s="2" t="s">
        <v>17</v>
      </c>
      <c r="D8269" s="2" t="s">
        <v>18</v>
      </c>
      <c r="E8269" s="5">
        <v>-28000</v>
      </c>
      <c r="F8269" s="3" t="s">
        <v>138</v>
      </c>
      <c r="G8269" s="3" t="s">
        <v>39</v>
      </c>
      <c r="H8269" s="2" t="s">
        <v>21</v>
      </c>
      <c r="I8269" s="2" t="s">
        <v>16405</v>
      </c>
      <c r="J8269" s="3" t="str">
        <f>HYPERLINK("https://www.boe.es/gazeta/dias/1823/05/03/pdfs/GMD-1823-92.pdf#page=1","Abrir facsímil")</f>
        <v>Abrir facsímil</v>
      </c>
      <c r="K8269" s="3" t="s">
        <v>23</v>
      </c>
    </row>
    <row r="8270" spans="1:11" ht="42" customHeight="1">
      <c r="A8270" s="2" t="s">
        <v>16406</v>
      </c>
      <c r="B8270" s="2" t="s">
        <v>16407</v>
      </c>
      <c r="C8270" s="2" t="s">
        <v>17</v>
      </c>
      <c r="D8270" s="2" t="s">
        <v>18</v>
      </c>
      <c r="E8270" s="5">
        <v>-28066</v>
      </c>
      <c r="F8270" s="3" t="s">
        <v>19</v>
      </c>
      <c r="G8270" s="3" t="s">
        <v>20</v>
      </c>
      <c r="H8270" s="2" t="s">
        <v>21</v>
      </c>
      <c r="I8270" s="2" t="s">
        <v>16408</v>
      </c>
      <c r="J8270" s="3" t="str">
        <f>HYPERLINK("https://www.boe.es/gazeta/dias/1823/02/26/pdfs/GMD-1823-60.pdf#page=4","Abrir facsímil")</f>
        <v>Abrir facsímil</v>
      </c>
      <c r="K8270" s="3" t="s">
        <v>23</v>
      </c>
    </row>
    <row r="8271" spans="1:11" ht="42" customHeight="1">
      <c r="A8271" s="2" t="s">
        <v>16406</v>
      </c>
      <c r="B8271" s="2" t="s">
        <v>16407</v>
      </c>
      <c r="C8271" s="2" t="s">
        <v>56</v>
      </c>
      <c r="D8271" s="2" t="s">
        <v>57</v>
      </c>
      <c r="E8271" s="5">
        <v>-28012</v>
      </c>
      <c r="F8271" s="3" t="s">
        <v>4707</v>
      </c>
      <c r="G8271" s="3" t="s">
        <v>20</v>
      </c>
      <c r="H8271" s="2" t="s">
        <v>21</v>
      </c>
      <c r="I8271" s="2" t="s">
        <v>16409</v>
      </c>
      <c r="J8271" s="3" t="str">
        <f>HYPERLINK("https://www.boe.es/gazeta/dias/1823/04/21/pdfs/GES-1823-11.pdf#page=4","Abrir facsímil")</f>
        <v>Abrir facsímil</v>
      </c>
      <c r="K8271" s="3" t="s">
        <v>23</v>
      </c>
    </row>
    <row r="8272" spans="1:11" ht="42" customHeight="1">
      <c r="A8272" s="2" t="s">
        <v>16406</v>
      </c>
      <c r="B8272" s="2" t="s">
        <v>16407</v>
      </c>
      <c r="C8272" s="2" t="s">
        <v>17</v>
      </c>
      <c r="D8272" s="2" t="s">
        <v>18</v>
      </c>
      <c r="E8272" s="5">
        <v>-27999</v>
      </c>
      <c r="F8272" s="3" t="s">
        <v>97</v>
      </c>
      <c r="G8272" s="3" t="s">
        <v>1257</v>
      </c>
      <c r="H8272" s="2" t="s">
        <v>21</v>
      </c>
      <c r="I8272" s="2" t="s">
        <v>16410</v>
      </c>
      <c r="J8272" s="3" t="str">
        <f>HYPERLINK("https://www.boe.es/gazeta/dias/1823/05/04/pdfs/GES-1823-24.pdf#page=2","Abrir facsímil")</f>
        <v>Abrir facsímil</v>
      </c>
      <c r="K8272" s="3" t="s">
        <v>23</v>
      </c>
    </row>
    <row r="8273" spans="1:11" ht="42" customHeight="1">
      <c r="A8273" s="2" t="s">
        <v>16406</v>
      </c>
      <c r="B8273" s="2" t="s">
        <v>16407</v>
      </c>
      <c r="C8273" s="2" t="s">
        <v>17</v>
      </c>
      <c r="D8273" s="2" t="s">
        <v>18</v>
      </c>
      <c r="E8273" s="5">
        <v>-27993</v>
      </c>
      <c r="F8273" s="3" t="s">
        <v>1062</v>
      </c>
      <c r="G8273" s="3" t="s">
        <v>34</v>
      </c>
      <c r="H8273" s="2" t="s">
        <v>21</v>
      </c>
      <c r="I8273" s="2" t="s">
        <v>16411</v>
      </c>
      <c r="J8273" s="3" t="str">
        <f>HYPERLINK("https://www.boe.es/gazeta/dias/1823/05/10/pdfs/GMD-1823-122.pdf#page=5","Abrir facsímil")</f>
        <v>Abrir facsímil</v>
      </c>
      <c r="K8273" s="3" t="s">
        <v>23</v>
      </c>
    </row>
    <row r="8274" spans="1:11" ht="42" customHeight="1">
      <c r="A8274" s="2" t="s">
        <v>16406</v>
      </c>
      <c r="B8274" s="2" t="s">
        <v>16407</v>
      </c>
      <c r="C8274" s="2" t="s">
        <v>109</v>
      </c>
      <c r="D8274" s="2" t="s">
        <v>74</v>
      </c>
      <c r="E8274" s="5">
        <v>-27982</v>
      </c>
      <c r="F8274" s="3" t="s">
        <v>340</v>
      </c>
      <c r="G8274" s="3" t="s">
        <v>39</v>
      </c>
      <c r="H8274" s="2" t="s">
        <v>21</v>
      </c>
      <c r="I8274" s="2" t="s">
        <v>16412</v>
      </c>
      <c r="J8274" s="3" t="str">
        <f>HYPERLINK("https://www.boe.es/gazeta/dias/1823/05/21/pdfs/GES-1823-42.pdf#page=1","Abrir facsímil")</f>
        <v>Abrir facsímil</v>
      </c>
      <c r="K8274" s="3" t="s">
        <v>23</v>
      </c>
    </row>
    <row r="8275" spans="1:11" ht="42" customHeight="1">
      <c r="A8275" s="2" t="s">
        <v>16406</v>
      </c>
      <c r="B8275" s="2" t="s">
        <v>16407</v>
      </c>
      <c r="C8275" s="2" t="s">
        <v>17</v>
      </c>
      <c r="D8275" s="2" t="s">
        <v>18</v>
      </c>
      <c r="E8275" s="5">
        <v>-27918</v>
      </c>
      <c r="F8275" s="3" t="s">
        <v>218</v>
      </c>
      <c r="G8275" s="3" t="s">
        <v>39</v>
      </c>
      <c r="H8275" s="2" t="s">
        <v>21</v>
      </c>
      <c r="I8275" s="2" t="s">
        <v>16413</v>
      </c>
      <c r="J8275" s="3" t="str">
        <f>HYPERLINK("https://www.boe.es/gazeta/dias/1823/07/24/pdfs/GMD-1823-463.pdf#page=1","Abrir facsímil")</f>
        <v>Abrir facsímil</v>
      </c>
      <c r="K8275" s="3" t="s">
        <v>23</v>
      </c>
    </row>
    <row r="8276" spans="1:11" ht="42" customHeight="1">
      <c r="A8276" s="2" t="s">
        <v>16414</v>
      </c>
      <c r="B8276" s="2" t="s">
        <v>16415</v>
      </c>
      <c r="C8276" s="2" t="s">
        <v>17</v>
      </c>
      <c r="D8276" s="2" t="s">
        <v>18</v>
      </c>
      <c r="E8276" s="5">
        <v>-28032</v>
      </c>
      <c r="F8276" s="3" t="s">
        <v>668</v>
      </c>
      <c r="G8276" s="3" t="s">
        <v>39</v>
      </c>
      <c r="H8276" s="2" t="s">
        <v>21</v>
      </c>
      <c r="I8276" s="2" t="s">
        <v>16416</v>
      </c>
      <c r="J8276" s="3" t="str">
        <f>HYPERLINK("https://www.boe.es/gazeta/dias/1823/04/01/pdfs/GMD-1823-95.pdf#page=1","Abrir facsímil")</f>
        <v>Abrir facsímil</v>
      </c>
      <c r="K8276" s="3" t="s">
        <v>23</v>
      </c>
    </row>
    <row r="8277" spans="1:11" ht="42" customHeight="1">
      <c r="A8277" s="2" t="s">
        <v>16417</v>
      </c>
      <c r="B8277" s="2" t="s">
        <v>16418</v>
      </c>
      <c r="C8277" s="2" t="s">
        <v>17</v>
      </c>
      <c r="D8277" s="2" t="s">
        <v>18</v>
      </c>
      <c r="E8277" s="5">
        <v>-27984</v>
      </c>
      <c r="F8277" s="3" t="s">
        <v>335</v>
      </c>
      <c r="G8277" s="3" t="s">
        <v>27</v>
      </c>
      <c r="H8277" s="2" t="s">
        <v>21</v>
      </c>
      <c r="I8277" s="2" t="s">
        <v>16419</v>
      </c>
      <c r="J8277" s="3" t="str">
        <f>HYPERLINK("https://www.boe.es/gazeta/dias/1823/05/19/pdfs/GES-1823-39.pdf#page=2","Abrir facsímil")</f>
        <v>Abrir facsímil</v>
      </c>
      <c r="K8277" s="3" t="s">
        <v>23</v>
      </c>
    </row>
    <row r="8278" spans="1:11" ht="42" customHeight="1">
      <c r="A8278" s="2" t="s">
        <v>16420</v>
      </c>
      <c r="B8278" s="2" t="s">
        <v>16421</v>
      </c>
      <c r="C8278" s="2" t="s">
        <v>79</v>
      </c>
      <c r="D8278" s="2" t="s">
        <v>74</v>
      </c>
      <c r="E8278" s="5">
        <v>-27904</v>
      </c>
      <c r="F8278" s="3" t="s">
        <v>1227</v>
      </c>
      <c r="G8278" s="3" t="s">
        <v>48</v>
      </c>
      <c r="H8278" s="2" t="s">
        <v>28</v>
      </c>
      <c r="I8278" s="2" t="s">
        <v>16422</v>
      </c>
      <c r="J8278" s="3" t="str">
        <f>HYPERLINK("https://www.boe.es/gazeta/dias/1823/08/07/pdfs/GMD-1823-543.pdf#page=3","Abrir facsímil")</f>
        <v>Abrir facsímil</v>
      </c>
      <c r="K8278" s="3" t="s">
        <v>30</v>
      </c>
    </row>
    <row r="8279" spans="1:11" ht="42" customHeight="1">
      <c r="A8279" s="2" t="s">
        <v>16423</v>
      </c>
      <c r="B8279" s="2" t="s">
        <v>16424</v>
      </c>
      <c r="C8279" s="2" t="s">
        <v>17</v>
      </c>
      <c r="D8279" s="2" t="s">
        <v>18</v>
      </c>
      <c r="E8279" s="5">
        <v>-27827</v>
      </c>
      <c r="F8279" s="3" t="s">
        <v>531</v>
      </c>
      <c r="G8279" s="3" t="s">
        <v>20</v>
      </c>
      <c r="H8279" s="2" t="s">
        <v>21</v>
      </c>
      <c r="I8279" s="2" t="s">
        <v>16425</v>
      </c>
      <c r="J8279" s="3" t="str">
        <f>HYPERLINK("https://www.boe.es/gazeta/dias/1823/10/23/pdfs/GMD-1823-1013.pdf#page=4","Abrir facsímil")</f>
        <v>Abrir facsímil</v>
      </c>
      <c r="K8279" s="3" t="s">
        <v>23</v>
      </c>
    </row>
    <row r="8280" spans="1:11" ht="42" customHeight="1">
      <c r="A8280" s="2" t="s">
        <v>16423</v>
      </c>
      <c r="B8280" s="2" t="s">
        <v>16424</v>
      </c>
      <c r="C8280" s="2" t="s">
        <v>17</v>
      </c>
      <c r="D8280" s="2" t="s">
        <v>18</v>
      </c>
      <c r="E8280" s="5">
        <v>-27806</v>
      </c>
      <c r="F8280" s="3" t="s">
        <v>11268</v>
      </c>
      <c r="G8280" s="3" t="s">
        <v>20</v>
      </c>
      <c r="H8280" s="2" t="s">
        <v>21</v>
      </c>
      <c r="I8280" s="2" t="s">
        <v>16426</v>
      </c>
      <c r="J8280" s="3" t="str">
        <f>HYPERLINK("https://www.boe.es/gazeta/dias/1823/11/13/pdfs/GMD-1823-1113.pdf#page=4","Abrir facsímil")</f>
        <v>Abrir facsímil</v>
      </c>
      <c r="K8280" s="3" t="s">
        <v>23</v>
      </c>
    </row>
    <row r="8281" spans="1:11" ht="42" customHeight="1">
      <c r="A8281" s="2" t="s">
        <v>16427</v>
      </c>
      <c r="B8281" s="2" t="s">
        <v>16428</v>
      </c>
      <c r="C8281" s="2" t="s">
        <v>79</v>
      </c>
      <c r="D8281" s="2" t="s">
        <v>74</v>
      </c>
      <c r="E8281" s="5">
        <v>-28057</v>
      </c>
      <c r="F8281" s="3" t="s">
        <v>301</v>
      </c>
      <c r="G8281" s="3" t="s">
        <v>20</v>
      </c>
      <c r="H8281" s="2" t="s">
        <v>21</v>
      </c>
      <c r="I8281" s="2" t="s">
        <v>16429</v>
      </c>
      <c r="J8281" s="3" t="str">
        <f>HYPERLINK("https://www.boe.es/gazeta/dias/1823/03/07/pdfs/GMD-1823-70.pdf#page=4","Abrir facsímil")</f>
        <v>Abrir facsímil</v>
      </c>
      <c r="K8281" s="3" t="s">
        <v>23</v>
      </c>
    </row>
    <row r="8282" spans="1:11" ht="42" customHeight="1">
      <c r="A8282" s="2" t="s">
        <v>16427</v>
      </c>
      <c r="B8282" s="2" t="s">
        <v>16428</v>
      </c>
      <c r="C8282" s="2" t="s">
        <v>79</v>
      </c>
      <c r="D8282" s="2" t="s">
        <v>74</v>
      </c>
      <c r="E8282" s="5">
        <v>-28037</v>
      </c>
      <c r="F8282" s="3" t="s">
        <v>192</v>
      </c>
      <c r="G8282" s="3" t="s">
        <v>48</v>
      </c>
      <c r="H8282" s="2" t="s">
        <v>21</v>
      </c>
      <c r="I8282" s="2" t="s">
        <v>16430</v>
      </c>
      <c r="J8282" s="3" t="str">
        <f>HYPERLINK("https://www.boe.es/gazeta/dias/1823/03/27/pdfs/GMD-1823-90.pdf#page=3","Abrir facsímil")</f>
        <v>Abrir facsímil</v>
      </c>
      <c r="K8282" s="3" t="s">
        <v>23</v>
      </c>
    </row>
    <row r="8283" spans="1:11" ht="42" customHeight="1">
      <c r="A8283" s="2" t="s">
        <v>16427</v>
      </c>
      <c r="B8283" s="2" t="s">
        <v>16428</v>
      </c>
      <c r="C8283" s="2" t="s">
        <v>325</v>
      </c>
      <c r="D8283" s="2" t="s">
        <v>74</v>
      </c>
      <c r="E8283" s="5">
        <v>-28037</v>
      </c>
      <c r="F8283" s="3" t="s">
        <v>192</v>
      </c>
      <c r="G8283" s="3" t="s">
        <v>20</v>
      </c>
      <c r="H8283" s="2" t="s">
        <v>21</v>
      </c>
      <c r="I8283" s="2" t="s">
        <v>16431</v>
      </c>
      <c r="J8283" s="3" t="str">
        <f>HYPERLINK("https://www.boe.es/gazeta/dias/1823/03/27/pdfs/GMD-1823-90.pdf#page=4","Abrir facsímil")</f>
        <v>Abrir facsímil</v>
      </c>
      <c r="K8283" s="3" t="s">
        <v>23</v>
      </c>
    </row>
    <row r="8284" spans="1:11" ht="42" customHeight="1">
      <c r="A8284" s="2" t="s">
        <v>16432</v>
      </c>
      <c r="B8284" s="2" t="s">
        <v>16432</v>
      </c>
      <c r="C8284" s="2" t="s">
        <v>109</v>
      </c>
      <c r="D8284" s="2" t="s">
        <v>74</v>
      </c>
      <c r="E8284" s="5">
        <v>-27938</v>
      </c>
      <c r="F8284" s="3" t="s">
        <v>101</v>
      </c>
      <c r="G8284" s="3" t="s">
        <v>27</v>
      </c>
      <c r="H8284" s="2" t="s">
        <v>21</v>
      </c>
      <c r="I8284" s="2" t="s">
        <v>16433</v>
      </c>
      <c r="J8284" s="3" t="str">
        <f>HYPERLINK("https://www.boe.es/gazeta/dias/1823/07/04/pdfs/GES-1823-84.pdf#page=2","Abrir facsímil")</f>
        <v>Abrir facsímil</v>
      </c>
      <c r="K8284" s="3" t="s">
        <v>23</v>
      </c>
    </row>
    <row r="8285" spans="1:11" ht="42" customHeight="1">
      <c r="A8285" s="2" t="s">
        <v>16434</v>
      </c>
      <c r="B8285" s="2" t="s">
        <v>16434</v>
      </c>
      <c r="C8285" s="2" t="s">
        <v>17</v>
      </c>
      <c r="D8285" s="2" t="s">
        <v>18</v>
      </c>
      <c r="E8285" s="5">
        <v>-27908</v>
      </c>
      <c r="F8285" s="3" t="s">
        <v>80</v>
      </c>
      <c r="G8285" s="3" t="s">
        <v>27</v>
      </c>
      <c r="H8285" s="2" t="s">
        <v>21</v>
      </c>
      <c r="I8285" s="2" t="s">
        <v>16435</v>
      </c>
      <c r="J8285" s="3" t="str">
        <f>HYPERLINK("https://www.boe.es/gazeta/dias/1823/08/03/pdfs/GES-1823-115.pdf#page=2","Abrir facsímil")</f>
        <v>Abrir facsímil</v>
      </c>
      <c r="K8285" s="3" t="s">
        <v>23</v>
      </c>
    </row>
    <row r="8286" spans="1:11" ht="42" customHeight="1">
      <c r="A8286" s="2" t="s">
        <v>16436</v>
      </c>
      <c r="B8286" s="2" t="s">
        <v>16436</v>
      </c>
      <c r="C8286" s="2" t="s">
        <v>79</v>
      </c>
      <c r="D8286" s="2" t="s">
        <v>74</v>
      </c>
      <c r="E8286" s="5">
        <v>-27985</v>
      </c>
      <c r="F8286" s="3" t="s">
        <v>951</v>
      </c>
      <c r="G8286" s="3" t="s">
        <v>48</v>
      </c>
      <c r="H8286" s="2" t="s">
        <v>21</v>
      </c>
      <c r="I8286" s="2" t="s">
        <v>16437</v>
      </c>
      <c r="J8286" s="3" t="str">
        <f>HYPERLINK("https://www.boe.es/gazeta/dias/1823/05/18/pdfs/GES-1823-38.pdf#page=3","Abrir facsímil")</f>
        <v>Abrir facsímil</v>
      </c>
      <c r="K8286" s="3" t="s">
        <v>23</v>
      </c>
    </row>
    <row r="8287" spans="1:11" ht="42" customHeight="1">
      <c r="A8287" s="2" t="s">
        <v>16438</v>
      </c>
      <c r="B8287" s="2" t="s">
        <v>16438</v>
      </c>
      <c r="C8287" s="2" t="s">
        <v>79</v>
      </c>
      <c r="D8287" s="2" t="s">
        <v>74</v>
      </c>
      <c r="E8287" s="5">
        <v>-28117</v>
      </c>
      <c r="F8287" s="3" t="s">
        <v>271</v>
      </c>
      <c r="G8287" s="3" t="s">
        <v>39</v>
      </c>
      <c r="H8287" s="2" t="s">
        <v>21</v>
      </c>
      <c r="I8287" s="2" t="s">
        <v>16439</v>
      </c>
      <c r="J8287" s="3" t="str">
        <f>HYPERLINK("https://www.boe.es/gazeta/dias/1823/01/06/pdfs/GMD-1823-6.pdf#page=1","Abrir facsímil")</f>
        <v>Abrir facsímil</v>
      </c>
      <c r="K8287" s="3" t="s">
        <v>23</v>
      </c>
    </row>
    <row r="8288" spans="1:11" ht="42" customHeight="1">
      <c r="A8288" s="2" t="s">
        <v>16440</v>
      </c>
      <c r="B8288" s="2" t="s">
        <v>16441</v>
      </c>
      <c r="C8288" s="2" t="s">
        <v>56</v>
      </c>
      <c r="D8288" s="2" t="s">
        <v>57</v>
      </c>
      <c r="E8288" s="5">
        <v>-27766</v>
      </c>
      <c r="F8288" s="3" t="s">
        <v>3450</v>
      </c>
      <c r="G8288" s="3" t="s">
        <v>20</v>
      </c>
      <c r="H8288" s="2" t="s">
        <v>28</v>
      </c>
      <c r="I8288" s="2" t="s">
        <v>16442</v>
      </c>
      <c r="J8288" s="3" t="str">
        <f>HYPERLINK("https://www.boe.es/gazeta/dias/1823/12/23/pdfs/GMD-1823-1283.pdf#page=4","Abrir facsímil")</f>
        <v>Abrir facsímil</v>
      </c>
      <c r="K8288" s="3" t="s">
        <v>30</v>
      </c>
    </row>
    <row r="8289" spans="1:11" ht="42" customHeight="1">
      <c r="A8289" s="2" t="s">
        <v>16443</v>
      </c>
      <c r="B8289" s="2" t="s">
        <v>16444</v>
      </c>
      <c r="C8289" s="2" t="s">
        <v>17</v>
      </c>
      <c r="D8289" s="2" t="s">
        <v>18</v>
      </c>
      <c r="E8289" s="5">
        <v>-28055</v>
      </c>
      <c r="F8289" s="3" t="s">
        <v>313</v>
      </c>
      <c r="G8289" s="3" t="s">
        <v>20</v>
      </c>
      <c r="H8289" s="2" t="s">
        <v>21</v>
      </c>
      <c r="I8289" s="2" t="s">
        <v>16445</v>
      </c>
      <c r="J8289" s="3" t="str">
        <f>HYPERLINK("https://www.boe.es/gazeta/dias/1823/03/09/pdfs/GMD-1823-72.pdf#page=4","Abrir facsímil")</f>
        <v>Abrir facsímil</v>
      </c>
      <c r="K8289" s="3" t="s">
        <v>23</v>
      </c>
    </row>
    <row r="8290" spans="1:11" ht="42" customHeight="1">
      <c r="A8290" s="2" t="s">
        <v>16446</v>
      </c>
      <c r="B8290" s="2" t="s">
        <v>16447</v>
      </c>
      <c r="C8290" s="2" t="s">
        <v>17</v>
      </c>
      <c r="D8290" s="2" t="s">
        <v>18</v>
      </c>
      <c r="E8290" s="5">
        <v>-27895</v>
      </c>
      <c r="F8290" s="3" t="s">
        <v>734</v>
      </c>
      <c r="G8290" s="3" t="s">
        <v>20</v>
      </c>
      <c r="H8290" s="2" t="s">
        <v>28</v>
      </c>
      <c r="I8290" s="2" t="s">
        <v>16448</v>
      </c>
      <c r="J8290" s="3" t="str">
        <f>HYPERLINK("https://www.boe.es/gazeta/dias/1823/08/16/pdfs/GES-1823-129.pdf#page=4","Abrir facsímil")</f>
        <v>Abrir facsímil</v>
      </c>
      <c r="K8290" s="3" t="s">
        <v>30</v>
      </c>
    </row>
    <row r="8291" spans="1:11" ht="42" customHeight="1">
      <c r="A8291" s="2" t="s">
        <v>16449</v>
      </c>
      <c r="B8291" s="2" t="s">
        <v>16449</v>
      </c>
      <c r="C8291" s="2" t="s">
        <v>17</v>
      </c>
      <c r="D8291" s="2" t="s">
        <v>18</v>
      </c>
      <c r="E8291" s="5">
        <v>-28043</v>
      </c>
      <c r="F8291" s="3" t="s">
        <v>69</v>
      </c>
      <c r="G8291" s="3" t="s">
        <v>27</v>
      </c>
      <c r="H8291" s="2" t="s">
        <v>21</v>
      </c>
      <c r="I8291" s="2" t="s">
        <v>16450</v>
      </c>
      <c r="J8291" s="3" t="str">
        <f>HYPERLINK("https://www.boe.es/gazeta/dias/1823/03/21/pdfs/GMD-1823-84.pdf#page=2","Abrir facsímil")</f>
        <v>Abrir facsímil</v>
      </c>
      <c r="K8291" s="3" t="s">
        <v>23</v>
      </c>
    </row>
    <row r="8292" spans="1:11" ht="42" customHeight="1">
      <c r="A8292" s="2" t="s">
        <v>16449</v>
      </c>
      <c r="B8292" s="2" t="s">
        <v>16449</v>
      </c>
      <c r="C8292" s="2" t="s">
        <v>17</v>
      </c>
      <c r="D8292" s="2" t="s">
        <v>18</v>
      </c>
      <c r="E8292" s="5">
        <v>-28018</v>
      </c>
      <c r="F8292" s="3" t="s">
        <v>275</v>
      </c>
      <c r="G8292" s="3" t="s">
        <v>48</v>
      </c>
      <c r="H8292" s="2" t="s">
        <v>21</v>
      </c>
      <c r="I8292" s="2" t="s">
        <v>16451</v>
      </c>
      <c r="J8292" s="3" t="str">
        <f>HYPERLINK("https://www.boe.es/gazeta/dias/1823/04/15/pdfs/GMD-1823-12.pdf#page=3","Abrir facsímil")</f>
        <v>Abrir facsímil</v>
      </c>
      <c r="K8292" s="3" t="s">
        <v>23</v>
      </c>
    </row>
    <row r="8293" spans="1:11" ht="42" customHeight="1">
      <c r="A8293" s="2" t="s">
        <v>16449</v>
      </c>
      <c r="B8293" s="2" t="s">
        <v>16449</v>
      </c>
      <c r="C8293" s="2" t="s">
        <v>17</v>
      </c>
      <c r="D8293" s="2" t="s">
        <v>18</v>
      </c>
      <c r="E8293" s="5">
        <v>-27993</v>
      </c>
      <c r="F8293" s="3" t="s">
        <v>977</v>
      </c>
      <c r="G8293" s="3" t="s">
        <v>978</v>
      </c>
      <c r="H8293" s="2" t="s">
        <v>21</v>
      </c>
      <c r="I8293" s="2" t="s">
        <v>16452</v>
      </c>
      <c r="J8293" s="3" t="str">
        <f>HYPERLINK("https://www.boe.es/gazeta/dias/1823/05/10/pdfs/GES-1823-30.pdf#page=4","Abrir facsímil")</f>
        <v>Abrir facsímil</v>
      </c>
      <c r="K8293" s="3" t="s">
        <v>23</v>
      </c>
    </row>
    <row r="8294" spans="1:11" ht="42" customHeight="1">
      <c r="A8294" s="2" t="s">
        <v>16449</v>
      </c>
      <c r="B8294" s="2" t="s">
        <v>16449</v>
      </c>
      <c r="C8294" s="2" t="s">
        <v>17</v>
      </c>
      <c r="D8294" s="2" t="s">
        <v>18</v>
      </c>
      <c r="E8294" s="5">
        <v>-27991</v>
      </c>
      <c r="F8294" s="3" t="s">
        <v>328</v>
      </c>
      <c r="G8294" s="3" t="s">
        <v>34</v>
      </c>
      <c r="H8294" s="2" t="s">
        <v>21</v>
      </c>
      <c r="I8294" s="2" t="s">
        <v>16453</v>
      </c>
      <c r="J8294" s="3" t="str">
        <f>HYPERLINK("https://www.boe.es/gazeta/dias/1823/05/12/pdfs/GES-1823-32.pdf#page=5","Abrir facsímil")</f>
        <v>Abrir facsímil</v>
      </c>
      <c r="K8294" s="3" t="s">
        <v>23</v>
      </c>
    </row>
    <row r="8295" spans="1:11" ht="42" customHeight="1">
      <c r="A8295" s="2" t="s">
        <v>16449</v>
      </c>
      <c r="B8295" s="2" t="s">
        <v>16449</v>
      </c>
      <c r="C8295" s="2" t="s">
        <v>17</v>
      </c>
      <c r="D8295" s="2" t="s">
        <v>18</v>
      </c>
      <c r="E8295" s="5">
        <v>-27978</v>
      </c>
      <c r="F8295" s="3" t="s">
        <v>342</v>
      </c>
      <c r="G8295" s="3" t="s">
        <v>34</v>
      </c>
      <c r="H8295" s="2" t="s">
        <v>21</v>
      </c>
      <c r="I8295" s="2" t="s">
        <v>16454</v>
      </c>
      <c r="J8295" s="3" t="str">
        <f>HYPERLINK("https://www.boe.es/gazeta/dias/1823/05/25/pdfs/GES-1823-46.pdf#page=5","Abrir facsímil")</f>
        <v>Abrir facsímil</v>
      </c>
      <c r="K8295" s="3" t="s">
        <v>23</v>
      </c>
    </row>
    <row r="8296" spans="1:11" ht="42" customHeight="1">
      <c r="A8296" s="2" t="s">
        <v>16449</v>
      </c>
      <c r="B8296" s="2" t="s">
        <v>16449</v>
      </c>
      <c r="C8296" s="2" t="s">
        <v>56</v>
      </c>
      <c r="D8296" s="2" t="s">
        <v>57</v>
      </c>
      <c r="E8296" s="5">
        <v>-27969</v>
      </c>
      <c r="F8296" s="3" t="s">
        <v>855</v>
      </c>
      <c r="G8296" s="3" t="s">
        <v>1158</v>
      </c>
      <c r="H8296" s="2" t="s">
        <v>21</v>
      </c>
      <c r="I8296" s="2" t="s">
        <v>16455</v>
      </c>
      <c r="J8296" s="3" t="str">
        <f>HYPERLINK("https://www.boe.es/gazeta/dias/1823/06/03/pdfs/GES-1823-57.pdf#page=2","Abrir facsímil")</f>
        <v>Abrir facsímil</v>
      </c>
      <c r="K8296" s="3" t="s">
        <v>23</v>
      </c>
    </row>
    <row r="8297" spans="1:11" ht="42" customHeight="1">
      <c r="A8297" s="2" t="s">
        <v>16449</v>
      </c>
      <c r="B8297" s="2" t="s">
        <v>16449</v>
      </c>
      <c r="C8297" s="2" t="s">
        <v>17</v>
      </c>
      <c r="D8297" s="2" t="s">
        <v>18</v>
      </c>
      <c r="E8297" s="5">
        <v>-27938</v>
      </c>
      <c r="F8297" s="3" t="s">
        <v>101</v>
      </c>
      <c r="G8297" s="3" t="s">
        <v>48</v>
      </c>
      <c r="H8297" s="2" t="s">
        <v>21</v>
      </c>
      <c r="I8297" s="2" t="s">
        <v>16456</v>
      </c>
      <c r="J8297" s="3" t="str">
        <f>HYPERLINK("https://www.boe.es/gazeta/dias/1823/07/04/pdfs/GES-1823-84.pdf#page=3","Abrir facsímil")</f>
        <v>Abrir facsímil</v>
      </c>
      <c r="K8297" s="3" t="s">
        <v>23</v>
      </c>
    </row>
    <row r="8298" spans="1:11" ht="42" customHeight="1">
      <c r="A8298" s="2" t="s">
        <v>16457</v>
      </c>
      <c r="B8298" s="2" t="s">
        <v>16458</v>
      </c>
      <c r="C8298" s="2" t="s">
        <v>56</v>
      </c>
      <c r="D8298" s="2" t="s">
        <v>57</v>
      </c>
      <c r="E8298" s="5">
        <v>-27910</v>
      </c>
      <c r="F8298" s="3" t="s">
        <v>38</v>
      </c>
      <c r="G8298" s="3" t="s">
        <v>39</v>
      </c>
      <c r="H8298" s="2" t="s">
        <v>21</v>
      </c>
      <c r="I8298" s="2" t="s">
        <v>16459</v>
      </c>
      <c r="J8298" s="3" t="str">
        <f>HYPERLINK("https://www.boe.es/gazeta/dias/1823/08/01/pdfs/GES-1823-113.pdf#page=1","Abrir facsímil")</f>
        <v>Abrir facsímil</v>
      </c>
      <c r="K8298" s="3" t="s">
        <v>23</v>
      </c>
    </row>
    <row r="8299" spans="1:11" ht="42" customHeight="1">
      <c r="A8299" s="2" t="s">
        <v>16460</v>
      </c>
      <c r="B8299" s="2" t="s">
        <v>16461</v>
      </c>
      <c r="C8299" s="2" t="s">
        <v>17</v>
      </c>
      <c r="D8299" s="2" t="s">
        <v>18</v>
      </c>
      <c r="E8299" s="5">
        <v>-27962</v>
      </c>
      <c r="F8299" s="3" t="s">
        <v>594</v>
      </c>
      <c r="G8299" s="3" t="s">
        <v>27</v>
      </c>
      <c r="H8299" s="2" t="s">
        <v>21</v>
      </c>
      <c r="I8299" s="2" t="s">
        <v>16462</v>
      </c>
      <c r="J8299" s="3" t="str">
        <f>HYPERLINK("https://www.boe.es/gazeta/dias/1823/06/10/pdfs/GES-1823-64.pdf#page=2","Abrir facsímil")</f>
        <v>Abrir facsímil</v>
      </c>
      <c r="K8299" s="3" t="s">
        <v>23</v>
      </c>
    </row>
    <row r="8300" spans="1:11" ht="42" customHeight="1">
      <c r="A8300" s="2" t="s">
        <v>16463</v>
      </c>
      <c r="B8300" s="2" t="s">
        <v>16464</v>
      </c>
      <c r="C8300" s="2" t="s">
        <v>17</v>
      </c>
      <c r="D8300" s="2" t="s">
        <v>18</v>
      </c>
      <c r="E8300" s="5">
        <v>-27888</v>
      </c>
      <c r="F8300" s="3" t="s">
        <v>232</v>
      </c>
      <c r="G8300" s="3" t="s">
        <v>59</v>
      </c>
      <c r="H8300" s="2" t="s">
        <v>21</v>
      </c>
      <c r="I8300" s="2" t="s">
        <v>16465</v>
      </c>
      <c r="J8300" s="3" t="str">
        <f>HYPERLINK("https://www.boe.es/gazeta/dias/1823/08/23/pdfs/GMD-1823-633.pdf#page=6","Abrir facsímil")</f>
        <v>Abrir facsímil</v>
      </c>
      <c r="K8300" s="3" t="s">
        <v>23</v>
      </c>
    </row>
    <row r="8301" spans="1:11" ht="42" customHeight="1">
      <c r="A8301" s="2" t="s">
        <v>16466</v>
      </c>
      <c r="B8301" s="2" t="s">
        <v>16467</v>
      </c>
      <c r="C8301" s="2" t="s">
        <v>17</v>
      </c>
      <c r="D8301" s="2" t="s">
        <v>18</v>
      </c>
      <c r="E8301" s="5">
        <v>-28041</v>
      </c>
      <c r="F8301" s="3" t="s">
        <v>873</v>
      </c>
      <c r="G8301" s="3" t="s">
        <v>366</v>
      </c>
      <c r="H8301" s="2" t="s">
        <v>21</v>
      </c>
      <c r="I8301" s="2" t="s">
        <v>16468</v>
      </c>
      <c r="J8301" s="3" t="str">
        <f>HYPERLINK("https://www.boe.es/gazeta/dias/1823/03/23/pdfs/GMD-1823-86.pdf#page=4","Abrir facsímil")</f>
        <v>Abrir facsímil</v>
      </c>
      <c r="K8301" s="3" t="s">
        <v>23</v>
      </c>
    </row>
    <row r="8302" spans="1:11" ht="42" customHeight="1">
      <c r="A8302" s="2" t="s">
        <v>16469</v>
      </c>
      <c r="B8302" s="2" t="s">
        <v>16470</v>
      </c>
      <c r="C8302" s="2" t="s">
        <v>17</v>
      </c>
      <c r="D8302" s="2" t="s">
        <v>18</v>
      </c>
      <c r="E8302" s="5">
        <v>-28035</v>
      </c>
      <c r="F8302" s="3" t="s">
        <v>138</v>
      </c>
      <c r="G8302" s="3" t="s">
        <v>48</v>
      </c>
      <c r="H8302" s="2" t="s">
        <v>21</v>
      </c>
      <c r="I8302" s="2" t="s">
        <v>16471</v>
      </c>
      <c r="J8302" s="3" t="str">
        <f>HYPERLINK("https://www.boe.es/gazeta/dias/1823/03/29/pdfs/GMD-1823-92.pdf#page=3","Abrir facsímil")</f>
        <v>Abrir facsímil</v>
      </c>
      <c r="K8302" s="3" t="s">
        <v>23</v>
      </c>
    </row>
    <row r="8303" spans="1:11" ht="42" customHeight="1">
      <c r="A8303" s="2" t="s">
        <v>16472</v>
      </c>
      <c r="B8303" s="2" t="s">
        <v>16473</v>
      </c>
      <c r="C8303" s="2" t="s">
        <v>79</v>
      </c>
      <c r="D8303" s="2" t="s">
        <v>74</v>
      </c>
      <c r="E8303" s="5">
        <v>-27865</v>
      </c>
      <c r="F8303" s="3" t="s">
        <v>9815</v>
      </c>
      <c r="G8303" s="3" t="s">
        <v>48</v>
      </c>
      <c r="H8303" s="2" t="s">
        <v>21</v>
      </c>
      <c r="I8303" s="2" t="s">
        <v>16474</v>
      </c>
      <c r="J8303" s="3" t="str">
        <f>HYPERLINK("https://www.boe.es/gazeta/dias/1823/09/15/pdfs/GES-1823-159.pdf#page=3","Abrir facsímil")</f>
        <v>Abrir facsímil</v>
      </c>
      <c r="K8303" s="3" t="s">
        <v>23</v>
      </c>
    </row>
    <row r="8304" spans="1:11" ht="42" customHeight="1">
      <c r="A8304" s="2" t="s">
        <v>16475</v>
      </c>
      <c r="B8304" s="2" t="s">
        <v>16476</v>
      </c>
      <c r="C8304" s="2" t="s">
        <v>17</v>
      </c>
      <c r="D8304" s="2" t="s">
        <v>18</v>
      </c>
      <c r="E8304" s="5">
        <v>-27906</v>
      </c>
      <c r="F8304" s="3" t="s">
        <v>1527</v>
      </c>
      <c r="G8304" s="3" t="s">
        <v>39</v>
      </c>
      <c r="H8304" s="2" t="s">
        <v>21</v>
      </c>
      <c r="I8304" s="2" t="s">
        <v>16477</v>
      </c>
      <c r="J8304" s="3" t="str">
        <f>HYPERLINK("https://www.boe.es/gazeta/dias/1823/08/05/pdfs/GMD-1823-533.pdf#page=1","Abrir facsímil")</f>
        <v>Abrir facsímil</v>
      </c>
      <c r="K8304" s="3" t="s">
        <v>23</v>
      </c>
    </row>
    <row r="8305" spans="1:11" ht="42" customHeight="1">
      <c r="A8305" s="2" t="s">
        <v>16478</v>
      </c>
      <c r="B8305" s="2" t="s">
        <v>16478</v>
      </c>
      <c r="C8305" s="2" t="s">
        <v>17</v>
      </c>
      <c r="D8305" s="2" t="s">
        <v>18</v>
      </c>
      <c r="E8305" s="5">
        <v>-28006</v>
      </c>
      <c r="F8305" s="3" t="s">
        <v>183</v>
      </c>
      <c r="G8305" s="3" t="s">
        <v>39</v>
      </c>
      <c r="H8305" s="2" t="s">
        <v>21</v>
      </c>
      <c r="I8305" s="2" t="s">
        <v>16479</v>
      </c>
      <c r="J8305" s="3" t="str">
        <f>HYPERLINK("https://www.boe.es/gazeta/dias/1823/04/27/pdfs/GES-1823-17.pdf#page=1","Abrir facsímil")</f>
        <v>Abrir facsímil</v>
      </c>
      <c r="K8305" s="3" t="s">
        <v>23</v>
      </c>
    </row>
    <row r="8306" spans="1:11" ht="42" customHeight="1">
      <c r="A8306" s="2" t="s">
        <v>16480</v>
      </c>
      <c r="B8306" s="2" t="s">
        <v>16480</v>
      </c>
      <c r="C8306" s="2" t="s">
        <v>17</v>
      </c>
      <c r="D8306" s="2" t="s">
        <v>18</v>
      </c>
      <c r="E8306" s="5">
        <v>-27860</v>
      </c>
      <c r="F8306" s="3" t="s">
        <v>998</v>
      </c>
      <c r="G8306" s="3" t="s">
        <v>59</v>
      </c>
      <c r="H8306" s="2" t="s">
        <v>21</v>
      </c>
      <c r="I8306" s="2" t="s">
        <v>16481</v>
      </c>
      <c r="J8306" s="3" t="str">
        <f>HYPERLINK("https://www.boe.es/gazeta/dias/1823/09/20/pdfs/GMD-1823-813.pdf#page=6","Abrir facsímil")</f>
        <v>Abrir facsímil</v>
      </c>
      <c r="K8306" s="3" t="s">
        <v>23</v>
      </c>
    </row>
    <row r="8307" spans="1:11" ht="42" customHeight="1">
      <c r="A8307" s="2" t="s">
        <v>16482</v>
      </c>
      <c r="B8307" s="2" t="s">
        <v>16482</v>
      </c>
      <c r="C8307" s="2" t="s">
        <v>325</v>
      </c>
      <c r="D8307" s="2" t="s">
        <v>74</v>
      </c>
      <c r="E8307" s="5">
        <v>-27920</v>
      </c>
      <c r="F8307" s="3" t="s">
        <v>1334</v>
      </c>
      <c r="G8307" s="3" t="s">
        <v>715</v>
      </c>
      <c r="H8307" s="2" t="s">
        <v>21</v>
      </c>
      <c r="I8307" s="2" t="s">
        <v>16483</v>
      </c>
      <c r="J8307" s="3" t="str">
        <f>HYPERLINK("https://www.boe.es/gazeta/dias/1823/07/22/pdfs/GMD-1823-443.pdf#page=8","Abrir facsímil")</f>
        <v>Abrir facsímil</v>
      </c>
      <c r="K8307" s="3" t="s">
        <v>23</v>
      </c>
    </row>
    <row r="8308" spans="1:11" ht="42" customHeight="1">
      <c r="A8308" s="2" t="s">
        <v>16484</v>
      </c>
      <c r="B8308" s="2" t="s">
        <v>16484</v>
      </c>
      <c r="C8308" s="2" t="s">
        <v>325</v>
      </c>
      <c r="D8308" s="2" t="s">
        <v>74</v>
      </c>
      <c r="E8308" s="5">
        <v>-28077</v>
      </c>
      <c r="F8308" s="3" t="s">
        <v>536</v>
      </c>
      <c r="G8308" s="3" t="s">
        <v>59</v>
      </c>
      <c r="H8308" s="2" t="s">
        <v>21</v>
      </c>
      <c r="I8308" s="2" t="s">
        <v>16485</v>
      </c>
      <c r="J8308" s="3" t="str">
        <f>HYPERLINK("https://www.boe.es/gazeta/dias/1823/02/15/pdfs/GMD-1823-49.pdf#page=6","Abrir facsímil")</f>
        <v>Abrir facsímil</v>
      </c>
      <c r="K8308" s="3" t="s">
        <v>23</v>
      </c>
    </row>
    <row r="8309" spans="1:11" ht="42" customHeight="1">
      <c r="A8309" s="2" t="s">
        <v>16486</v>
      </c>
      <c r="B8309" s="2" t="s">
        <v>16486</v>
      </c>
      <c r="C8309" s="2" t="s">
        <v>17</v>
      </c>
      <c r="D8309" s="2" t="s">
        <v>18</v>
      </c>
      <c r="E8309" s="5">
        <v>-27904</v>
      </c>
      <c r="F8309" s="3" t="s">
        <v>1227</v>
      </c>
      <c r="G8309" s="3" t="s">
        <v>20</v>
      </c>
      <c r="H8309" s="2" t="s">
        <v>21</v>
      </c>
      <c r="I8309" s="2" t="s">
        <v>16487</v>
      </c>
      <c r="J8309" s="3" t="str">
        <f>HYPERLINK("https://www.boe.es/gazeta/dias/1823/08/07/pdfs/GMD-1823-543.pdf#page=4","Abrir facsímil")</f>
        <v>Abrir facsímil</v>
      </c>
      <c r="K8309" s="3" t="s">
        <v>23</v>
      </c>
    </row>
    <row r="8310" spans="1:11" ht="42" customHeight="1">
      <c r="A8310" s="2" t="s">
        <v>16488</v>
      </c>
      <c r="B8310" s="2" t="s">
        <v>16488</v>
      </c>
      <c r="C8310" s="2" t="s">
        <v>17</v>
      </c>
      <c r="D8310" s="2" t="s">
        <v>18</v>
      </c>
      <c r="E8310" s="5">
        <v>-28076</v>
      </c>
      <c r="F8310" s="3" t="s">
        <v>1638</v>
      </c>
      <c r="G8310" s="3" t="s">
        <v>34</v>
      </c>
      <c r="H8310" s="2" t="s">
        <v>21</v>
      </c>
      <c r="I8310" s="2" t="s">
        <v>16489</v>
      </c>
      <c r="J8310" s="3" t="str">
        <f>HYPERLINK("https://www.boe.es/gazeta/dias/1823/02/16/pdfs/GMD-1823-50.pdf#page=5","Abrir facsímil")</f>
        <v>Abrir facsímil</v>
      </c>
      <c r="K8310" s="3" t="s">
        <v>23</v>
      </c>
    </row>
    <row r="8311" spans="1:11" ht="42" customHeight="1">
      <c r="A8311" s="2" t="s">
        <v>16488</v>
      </c>
      <c r="B8311" s="2" t="s">
        <v>16488</v>
      </c>
      <c r="C8311" s="2" t="s">
        <v>79</v>
      </c>
      <c r="D8311" s="2" t="s">
        <v>74</v>
      </c>
      <c r="E8311" s="5">
        <v>-28021</v>
      </c>
      <c r="F8311" s="3" t="s">
        <v>1054</v>
      </c>
      <c r="G8311" s="3" t="s">
        <v>48</v>
      </c>
      <c r="H8311" s="2" t="s">
        <v>21</v>
      </c>
      <c r="I8311" s="2" t="s">
        <v>16490</v>
      </c>
      <c r="J8311" s="3" t="str">
        <f>HYPERLINK("https://www.boe.es/gazeta/dias/1823/04/12/pdfs/GMD-1823-107.pdf#page=3","Abrir facsímil")</f>
        <v>Abrir facsímil</v>
      </c>
      <c r="K8311" s="3" t="s">
        <v>23</v>
      </c>
    </row>
    <row r="8312" spans="1:11" ht="42" customHeight="1">
      <c r="A8312" s="2" t="s">
        <v>16488</v>
      </c>
      <c r="B8312" s="2" t="s">
        <v>16488</v>
      </c>
      <c r="C8312" s="2" t="s">
        <v>109</v>
      </c>
      <c r="D8312" s="2" t="s">
        <v>74</v>
      </c>
      <c r="E8312" s="5">
        <v>-27952</v>
      </c>
      <c r="F8312" s="3" t="s">
        <v>929</v>
      </c>
      <c r="G8312" s="3" t="s">
        <v>27</v>
      </c>
      <c r="H8312" s="2" t="s">
        <v>21</v>
      </c>
      <c r="I8312" s="2" t="s">
        <v>16491</v>
      </c>
      <c r="J8312" s="3" t="str">
        <f>HYPERLINK("https://www.boe.es/gazeta/dias/1823/06/20/pdfs/GES-1823-68.pdf#page=2","Abrir facsímil")</f>
        <v>Abrir facsímil</v>
      </c>
      <c r="K8312" s="3" t="s">
        <v>23</v>
      </c>
    </row>
    <row r="8313" spans="1:11" ht="42" customHeight="1">
      <c r="A8313" s="2" t="s">
        <v>16488</v>
      </c>
      <c r="B8313" s="2" t="s">
        <v>16488</v>
      </c>
      <c r="C8313" s="2" t="s">
        <v>17</v>
      </c>
      <c r="D8313" s="2" t="s">
        <v>18</v>
      </c>
      <c r="E8313" s="5">
        <v>-27818</v>
      </c>
      <c r="F8313" s="3" t="s">
        <v>1597</v>
      </c>
      <c r="G8313" s="3" t="s">
        <v>20</v>
      </c>
      <c r="H8313" s="2" t="s">
        <v>21</v>
      </c>
      <c r="I8313" s="2" t="s">
        <v>16492</v>
      </c>
      <c r="J8313" s="3" t="str">
        <f>HYPERLINK("https://www.boe.es/gazeta/dias/1823/11/01/pdfs/GMD-1823-1053.pdf#page=4","Abrir facsímil")</f>
        <v>Abrir facsímil</v>
      </c>
      <c r="K8313" s="3" t="s">
        <v>23</v>
      </c>
    </row>
    <row r="8314" spans="1:11" ht="42" customHeight="1">
      <c r="A8314" s="2" t="s">
        <v>16493</v>
      </c>
      <c r="B8314" s="2" t="s">
        <v>16493</v>
      </c>
      <c r="C8314" s="2" t="s">
        <v>17</v>
      </c>
      <c r="D8314" s="2" t="s">
        <v>18</v>
      </c>
      <c r="E8314" s="5">
        <v>-27906</v>
      </c>
      <c r="F8314" s="3" t="s">
        <v>241</v>
      </c>
      <c r="G8314" s="3" t="s">
        <v>20</v>
      </c>
      <c r="H8314" s="2" t="s">
        <v>21</v>
      </c>
      <c r="I8314" s="2" t="s">
        <v>16494</v>
      </c>
      <c r="J8314" s="3" t="str">
        <f>HYPERLINK("https://www.boe.es/gazeta/dias/1823/08/05/pdfs/GES-1823-117.pdf#page=4","Abrir facsímil")</f>
        <v>Abrir facsímil</v>
      </c>
      <c r="K8314" s="3" t="s">
        <v>23</v>
      </c>
    </row>
    <row r="8315" spans="1:11" ht="42" customHeight="1">
      <c r="A8315" s="2" t="s">
        <v>16495</v>
      </c>
      <c r="B8315" s="2" t="s">
        <v>16495</v>
      </c>
      <c r="C8315" s="2" t="s">
        <v>109</v>
      </c>
      <c r="D8315" s="2" t="s">
        <v>74</v>
      </c>
      <c r="E8315" s="5">
        <v>-28066</v>
      </c>
      <c r="F8315" s="3" t="s">
        <v>19</v>
      </c>
      <c r="G8315" s="3" t="s">
        <v>48</v>
      </c>
      <c r="H8315" s="2" t="s">
        <v>21</v>
      </c>
      <c r="I8315" s="2" t="s">
        <v>16496</v>
      </c>
      <c r="J8315" s="3" t="str">
        <f>HYPERLINK("https://www.boe.es/gazeta/dias/1823/02/26/pdfs/GMD-1823-60.pdf#page=3","Abrir facsímil")</f>
        <v>Abrir facsímil</v>
      </c>
      <c r="K8315" s="3" t="s">
        <v>23</v>
      </c>
    </row>
    <row r="8316" spans="1:11" ht="42" customHeight="1">
      <c r="A8316" s="2" t="s">
        <v>16497</v>
      </c>
      <c r="B8316" s="2" t="s">
        <v>16497</v>
      </c>
      <c r="C8316" s="2" t="s">
        <v>17</v>
      </c>
      <c r="D8316" s="2" t="s">
        <v>18</v>
      </c>
      <c r="E8316" s="5">
        <v>-28098</v>
      </c>
      <c r="F8316" s="3" t="s">
        <v>1101</v>
      </c>
      <c r="G8316" s="3" t="s">
        <v>48</v>
      </c>
      <c r="H8316" s="2" t="s">
        <v>21</v>
      </c>
      <c r="I8316" s="2" t="s">
        <v>16498</v>
      </c>
      <c r="J8316" s="3" t="str">
        <f>HYPERLINK("https://www.boe.es/gazeta/dias/1823/01/25/pdfs/GMD-1823-26.pdf#page=3","Abrir facsímil")</f>
        <v>Abrir facsímil</v>
      </c>
      <c r="K8316" s="3" t="s">
        <v>23</v>
      </c>
    </row>
    <row r="8317" spans="1:11" ht="42" customHeight="1">
      <c r="A8317" s="2" t="s">
        <v>16497</v>
      </c>
      <c r="B8317" s="2" t="s">
        <v>16497</v>
      </c>
      <c r="C8317" s="2" t="s">
        <v>109</v>
      </c>
      <c r="D8317" s="2" t="s">
        <v>74</v>
      </c>
      <c r="E8317" s="5">
        <v>-28076</v>
      </c>
      <c r="F8317" s="3" t="s">
        <v>1638</v>
      </c>
      <c r="G8317" s="3" t="s">
        <v>20</v>
      </c>
      <c r="H8317" s="2" t="s">
        <v>21</v>
      </c>
      <c r="I8317" s="2" t="s">
        <v>16499</v>
      </c>
      <c r="J8317" s="3" t="str">
        <f>HYPERLINK("https://www.boe.es/gazeta/dias/1823/02/16/pdfs/GMD-1823-50.pdf#page=4","Abrir facsímil")</f>
        <v>Abrir facsímil</v>
      </c>
      <c r="K8317" s="3" t="s">
        <v>23</v>
      </c>
    </row>
    <row r="8318" spans="1:11" ht="42" customHeight="1">
      <c r="A8318" s="2" t="s">
        <v>16497</v>
      </c>
      <c r="B8318" s="2" t="s">
        <v>16497</v>
      </c>
      <c r="C8318" s="2" t="s">
        <v>56</v>
      </c>
      <c r="D8318" s="2" t="s">
        <v>57</v>
      </c>
      <c r="E8318" s="5">
        <v>-28051</v>
      </c>
      <c r="F8318" s="3" t="s">
        <v>305</v>
      </c>
      <c r="G8318" s="3" t="s">
        <v>48</v>
      </c>
      <c r="H8318" s="2" t="s">
        <v>21</v>
      </c>
      <c r="I8318" s="2" t="s">
        <v>16500</v>
      </c>
      <c r="J8318" s="3" t="str">
        <f>HYPERLINK("https://www.boe.es/gazeta/dias/1823/03/13/pdfs/GMD-1823-76.pdf#page=3","Abrir facsímil")</f>
        <v>Abrir facsímil</v>
      </c>
      <c r="K8318" s="3" t="s">
        <v>23</v>
      </c>
    </row>
    <row r="8319" spans="1:11" ht="42" customHeight="1">
      <c r="A8319" s="2" t="s">
        <v>16497</v>
      </c>
      <c r="B8319" s="2" t="s">
        <v>16497</v>
      </c>
      <c r="C8319" s="2" t="s">
        <v>109</v>
      </c>
      <c r="D8319" s="2" t="s">
        <v>74</v>
      </c>
      <c r="E8319" s="5">
        <v>-27940</v>
      </c>
      <c r="F8319" s="3" t="s">
        <v>348</v>
      </c>
      <c r="G8319" s="3" t="s">
        <v>27</v>
      </c>
      <c r="H8319" s="2" t="s">
        <v>21</v>
      </c>
      <c r="I8319" s="2" t="s">
        <v>16501</v>
      </c>
      <c r="J8319" s="3" t="str">
        <f>HYPERLINK("https://www.boe.es/gazeta/dias/1823/07/02/pdfs/GES-1823-82.pdf#page=2","Abrir facsímil")</f>
        <v>Abrir facsímil</v>
      </c>
      <c r="K8319" s="3" t="s">
        <v>23</v>
      </c>
    </row>
    <row r="8320" spans="1:11" ht="42" customHeight="1">
      <c r="A8320" s="2" t="s">
        <v>16502</v>
      </c>
      <c r="B8320" s="2" t="s">
        <v>16502</v>
      </c>
      <c r="C8320" s="2" t="s">
        <v>17</v>
      </c>
      <c r="D8320" s="2" t="s">
        <v>18</v>
      </c>
      <c r="E8320" s="5">
        <v>-28051</v>
      </c>
      <c r="F8320" s="3" t="s">
        <v>305</v>
      </c>
      <c r="G8320" s="3" t="s">
        <v>48</v>
      </c>
      <c r="H8320" s="2" t="s">
        <v>21</v>
      </c>
      <c r="I8320" s="2" t="s">
        <v>16503</v>
      </c>
      <c r="J8320" s="3" t="str">
        <f>HYPERLINK("https://www.boe.es/gazeta/dias/1823/03/13/pdfs/GMD-1823-76.pdf#page=3","Abrir facsímil")</f>
        <v>Abrir facsímil</v>
      </c>
      <c r="K8320" s="3" t="s">
        <v>23</v>
      </c>
    </row>
    <row r="8321" spans="1:11" ht="42" customHeight="1">
      <c r="A8321" s="2" t="s">
        <v>16502</v>
      </c>
      <c r="B8321" s="2" t="s">
        <v>16502</v>
      </c>
      <c r="C8321" s="2" t="s">
        <v>56</v>
      </c>
      <c r="D8321" s="2" t="s">
        <v>57</v>
      </c>
      <c r="E8321" s="5">
        <v>-27932</v>
      </c>
      <c r="F8321" s="3" t="s">
        <v>707</v>
      </c>
      <c r="G8321" s="3" t="s">
        <v>39</v>
      </c>
      <c r="H8321" s="2" t="s">
        <v>21</v>
      </c>
      <c r="I8321" s="2" t="s">
        <v>16504</v>
      </c>
      <c r="J8321" s="3" t="str">
        <f>HYPERLINK("https://www.boe.es/gazeta/dias/1823/07/10/pdfs/GES-1823-90.pdf#page=1","Abrir facsímil")</f>
        <v>Abrir facsímil</v>
      </c>
      <c r="K8321" s="3" t="s">
        <v>23</v>
      </c>
    </row>
    <row r="8322" spans="1:11" ht="42" customHeight="1">
      <c r="A8322" s="2" t="s">
        <v>16505</v>
      </c>
      <c r="B8322" s="2" t="s">
        <v>16505</v>
      </c>
      <c r="C8322" s="2" t="s">
        <v>17</v>
      </c>
      <c r="D8322" s="2" t="s">
        <v>18</v>
      </c>
      <c r="E8322" s="5">
        <v>-27967</v>
      </c>
      <c r="F8322" s="3" t="s">
        <v>412</v>
      </c>
      <c r="G8322" s="3" t="s">
        <v>592</v>
      </c>
      <c r="H8322" s="2" t="s">
        <v>21</v>
      </c>
      <c r="I8322" s="2" t="s">
        <v>16506</v>
      </c>
      <c r="J8322" s="3" t="str">
        <f>HYPERLINK("https://www.boe.es/gazeta/dias/1823/06/05/pdfs/GES-1823-59.pdf#page=3","Abrir facsímil")</f>
        <v>Abrir facsímil</v>
      </c>
      <c r="K8322" s="3" t="s">
        <v>23</v>
      </c>
    </row>
    <row r="8323" spans="1:11" ht="42" customHeight="1">
      <c r="A8323" s="2" t="s">
        <v>16507</v>
      </c>
      <c r="B8323" s="2" t="s">
        <v>16507</v>
      </c>
      <c r="C8323" s="2" t="s">
        <v>73</v>
      </c>
      <c r="D8323" s="2" t="s">
        <v>74</v>
      </c>
      <c r="E8323" s="5">
        <v>-28004</v>
      </c>
      <c r="F8323" s="3" t="s">
        <v>33</v>
      </c>
      <c r="G8323" s="3" t="s">
        <v>2112</v>
      </c>
      <c r="H8323" s="2" t="s">
        <v>21</v>
      </c>
      <c r="I8323" s="2" t="s">
        <v>16508</v>
      </c>
      <c r="J8323" s="3" t="str">
        <f>HYPERLINK("https://www.boe.es/gazeta/dias/1823/04/29/pdfs/GES-1823-19.pdf#page=4","Abrir facsímil")</f>
        <v>Abrir facsímil</v>
      </c>
      <c r="K8323" s="3" t="s">
        <v>23</v>
      </c>
    </row>
    <row r="8324" spans="1:11" ht="42" customHeight="1">
      <c r="A8324" s="2" t="s">
        <v>16507</v>
      </c>
      <c r="B8324" s="2" t="s">
        <v>16507</v>
      </c>
      <c r="C8324" s="2" t="s">
        <v>17</v>
      </c>
      <c r="D8324" s="2" t="s">
        <v>18</v>
      </c>
      <c r="E8324" s="5">
        <v>-27908</v>
      </c>
      <c r="F8324" s="3" t="s">
        <v>80</v>
      </c>
      <c r="G8324" s="3" t="s">
        <v>27</v>
      </c>
      <c r="H8324" s="2" t="s">
        <v>21</v>
      </c>
      <c r="I8324" s="2" t="s">
        <v>16509</v>
      </c>
      <c r="J8324" s="3" t="str">
        <f>HYPERLINK("https://www.boe.es/gazeta/dias/1823/08/03/pdfs/GES-1823-115.pdf#page=2","Abrir facsímil")</f>
        <v>Abrir facsímil</v>
      </c>
      <c r="K8324" s="3" t="s">
        <v>23</v>
      </c>
    </row>
    <row r="8325" spans="1:11" ht="42" customHeight="1">
      <c r="A8325" s="2" t="s">
        <v>16510</v>
      </c>
      <c r="B8325" s="2" t="s">
        <v>16510</v>
      </c>
      <c r="C8325" s="2" t="s">
        <v>79</v>
      </c>
      <c r="D8325" s="2" t="s">
        <v>74</v>
      </c>
      <c r="E8325" s="5">
        <v>-28107</v>
      </c>
      <c r="F8325" s="3" t="s">
        <v>278</v>
      </c>
      <c r="G8325" s="3" t="s">
        <v>48</v>
      </c>
      <c r="H8325" s="2" t="s">
        <v>21</v>
      </c>
      <c r="I8325" s="2" t="s">
        <v>16511</v>
      </c>
      <c r="J8325" s="3" t="str">
        <f>HYPERLINK("https://www.boe.es/gazeta/dias/1823/01/16/pdfs/GMD-1823-16.pdf#page=3","Abrir facsímil")</f>
        <v>Abrir facsímil</v>
      </c>
      <c r="K8325" s="3" t="s">
        <v>23</v>
      </c>
    </row>
    <row r="8326" spans="1:11" ht="42" customHeight="1">
      <c r="A8326" s="2" t="s">
        <v>16510</v>
      </c>
      <c r="B8326" s="2" t="s">
        <v>16510</v>
      </c>
      <c r="C8326" s="2" t="s">
        <v>56</v>
      </c>
      <c r="D8326" s="2" t="s">
        <v>57</v>
      </c>
      <c r="E8326" s="5">
        <v>-28107</v>
      </c>
      <c r="F8326" s="3" t="s">
        <v>278</v>
      </c>
      <c r="G8326" s="3" t="s">
        <v>20</v>
      </c>
      <c r="H8326" s="2" t="s">
        <v>21</v>
      </c>
      <c r="I8326" s="2" t="s">
        <v>16512</v>
      </c>
      <c r="J8326" s="3" t="str">
        <f>HYPERLINK("https://www.boe.es/gazeta/dias/1823/01/16/pdfs/GMD-1823-16.pdf#page=4","Abrir facsímil")</f>
        <v>Abrir facsímil</v>
      </c>
      <c r="K8326" s="3" t="s">
        <v>23</v>
      </c>
    </row>
    <row r="8327" spans="1:11" ht="42" customHeight="1">
      <c r="A8327" s="2" t="s">
        <v>16510</v>
      </c>
      <c r="B8327" s="2" t="s">
        <v>16510</v>
      </c>
      <c r="C8327" s="2" t="s">
        <v>79</v>
      </c>
      <c r="D8327" s="2" t="s">
        <v>74</v>
      </c>
      <c r="E8327" s="5">
        <v>-28104</v>
      </c>
      <c r="F8327" s="3" t="s">
        <v>114</v>
      </c>
      <c r="G8327" s="3" t="s">
        <v>27</v>
      </c>
      <c r="H8327" s="2" t="s">
        <v>21</v>
      </c>
      <c r="I8327" s="2" t="s">
        <v>16513</v>
      </c>
      <c r="J8327" s="3" t="str">
        <f>HYPERLINK("https://www.boe.es/gazeta/dias/1823/01/19/pdfs/GMD-1823-19.pdf#page=2","Abrir facsímil")</f>
        <v>Abrir facsímil</v>
      </c>
      <c r="K8327" s="3" t="s">
        <v>23</v>
      </c>
    </row>
    <row r="8328" spans="1:11" ht="42" customHeight="1">
      <c r="A8328" s="2" t="s">
        <v>16510</v>
      </c>
      <c r="B8328" s="2" t="s">
        <v>16510</v>
      </c>
      <c r="C8328" s="2" t="s">
        <v>17</v>
      </c>
      <c r="D8328" s="2" t="s">
        <v>18</v>
      </c>
      <c r="E8328" s="5">
        <v>-28094</v>
      </c>
      <c r="F8328" s="3" t="s">
        <v>93</v>
      </c>
      <c r="G8328" s="3" t="s">
        <v>20</v>
      </c>
      <c r="H8328" s="2" t="s">
        <v>21</v>
      </c>
      <c r="I8328" s="2" t="s">
        <v>16514</v>
      </c>
      <c r="J8328" s="3" t="str">
        <f>HYPERLINK("https://www.boe.es/gazeta/dias/1823/01/29/pdfs/GMD-1823-30.pdf#page=4","Abrir facsímil")</f>
        <v>Abrir facsímil</v>
      </c>
      <c r="K8328" s="3" t="s">
        <v>23</v>
      </c>
    </row>
    <row r="8329" spans="1:11" ht="42" customHeight="1">
      <c r="A8329" s="2" t="s">
        <v>16510</v>
      </c>
      <c r="B8329" s="2" t="s">
        <v>16510</v>
      </c>
      <c r="C8329" s="2" t="s">
        <v>109</v>
      </c>
      <c r="D8329" s="2" t="s">
        <v>74</v>
      </c>
      <c r="E8329" s="5">
        <v>-28076</v>
      </c>
      <c r="F8329" s="3" t="s">
        <v>1638</v>
      </c>
      <c r="G8329" s="3" t="s">
        <v>48</v>
      </c>
      <c r="H8329" s="2" t="s">
        <v>21</v>
      </c>
      <c r="I8329" s="2" t="s">
        <v>16515</v>
      </c>
      <c r="J8329" s="3" t="str">
        <f>HYPERLINK("https://www.boe.es/gazeta/dias/1823/02/16/pdfs/GMD-1823-50.pdf#page=3","Abrir facsímil")</f>
        <v>Abrir facsímil</v>
      </c>
      <c r="K8329" s="3" t="s">
        <v>23</v>
      </c>
    </row>
    <row r="8330" spans="1:11" ht="42" customHeight="1">
      <c r="A8330" s="2" t="s">
        <v>16510</v>
      </c>
      <c r="B8330" s="2" t="s">
        <v>16510</v>
      </c>
      <c r="C8330" s="2" t="s">
        <v>17</v>
      </c>
      <c r="D8330" s="2" t="s">
        <v>18</v>
      </c>
      <c r="E8330" s="5">
        <v>-28047</v>
      </c>
      <c r="F8330" s="3" t="s">
        <v>2269</v>
      </c>
      <c r="G8330" s="3" t="s">
        <v>20</v>
      </c>
      <c r="H8330" s="2" t="s">
        <v>21</v>
      </c>
      <c r="I8330" s="2" t="s">
        <v>16516</v>
      </c>
      <c r="J8330" s="3" t="str">
        <f>HYPERLINK("https://www.boe.es/gazeta/dias/1823/03/17/pdfs/GMD-1823-80.pdf#page=4","Abrir facsímil")</f>
        <v>Abrir facsímil</v>
      </c>
      <c r="K8330" s="3" t="s">
        <v>23</v>
      </c>
    </row>
    <row r="8331" spans="1:11" ht="42" customHeight="1">
      <c r="A8331" s="2" t="s">
        <v>16510</v>
      </c>
      <c r="B8331" s="2" t="s">
        <v>16510</v>
      </c>
      <c r="C8331" s="2" t="s">
        <v>17</v>
      </c>
      <c r="D8331" s="2" t="s">
        <v>18</v>
      </c>
      <c r="E8331" s="5">
        <v>-28003</v>
      </c>
      <c r="F8331" s="3" t="s">
        <v>26</v>
      </c>
      <c r="G8331" s="3" t="s">
        <v>20</v>
      </c>
      <c r="H8331" s="2" t="s">
        <v>21</v>
      </c>
      <c r="I8331" s="2" t="s">
        <v>16517</v>
      </c>
      <c r="J8331" s="3" t="str">
        <f>HYPERLINK("https://www.boe.es/gazeta/dias/1823/04/30/pdfs/GES-1823-20.pdf#page=4","Abrir facsímil")</f>
        <v>Abrir facsímil</v>
      </c>
      <c r="K8331" s="3" t="s">
        <v>23</v>
      </c>
    </row>
    <row r="8332" spans="1:11" ht="42" customHeight="1">
      <c r="A8332" s="2" t="s">
        <v>16510</v>
      </c>
      <c r="B8332" s="2" t="s">
        <v>16510</v>
      </c>
      <c r="C8332" s="2" t="s">
        <v>79</v>
      </c>
      <c r="D8332" s="2" t="s">
        <v>74</v>
      </c>
      <c r="E8332" s="5">
        <v>-27996</v>
      </c>
      <c r="F8332" s="3" t="s">
        <v>695</v>
      </c>
      <c r="G8332" s="3" t="s">
        <v>48</v>
      </c>
      <c r="H8332" s="2" t="s">
        <v>21</v>
      </c>
      <c r="I8332" s="2" t="s">
        <v>16518</v>
      </c>
      <c r="J8332" s="3" t="str">
        <f>HYPERLINK("https://www.boe.es/gazeta/dias/1823/05/07/pdfs/GES-1823-27.pdf#page=3","Abrir facsímil")</f>
        <v>Abrir facsímil</v>
      </c>
      <c r="K8332" s="3" t="s">
        <v>23</v>
      </c>
    </row>
    <row r="8333" spans="1:11" ht="42" customHeight="1">
      <c r="A8333" s="2" t="s">
        <v>16510</v>
      </c>
      <c r="B8333" s="2" t="s">
        <v>16510</v>
      </c>
      <c r="C8333" s="2" t="s">
        <v>79</v>
      </c>
      <c r="D8333" s="2" t="s">
        <v>74</v>
      </c>
      <c r="E8333" s="5">
        <v>-27970</v>
      </c>
      <c r="F8333" s="3" t="s">
        <v>1030</v>
      </c>
      <c r="G8333" s="3" t="s">
        <v>48</v>
      </c>
      <c r="H8333" s="2" t="s">
        <v>21</v>
      </c>
      <c r="I8333" s="2" t="s">
        <v>16519</v>
      </c>
      <c r="J8333" s="3" t="str">
        <f>HYPERLINK("https://www.boe.es/gazeta/dias/1823/06/02/pdfs/GES-1823-56.pdf#page=3","Abrir facsímil")</f>
        <v>Abrir facsímil</v>
      </c>
      <c r="K8333" s="3" t="s">
        <v>23</v>
      </c>
    </row>
    <row r="8334" spans="1:11" ht="42" customHeight="1">
      <c r="A8334" s="2" t="s">
        <v>16510</v>
      </c>
      <c r="B8334" s="2" t="s">
        <v>16510</v>
      </c>
      <c r="C8334" s="2" t="s">
        <v>79</v>
      </c>
      <c r="D8334" s="2" t="s">
        <v>74</v>
      </c>
      <c r="E8334" s="5">
        <v>-27935</v>
      </c>
      <c r="F8334" s="3" t="s">
        <v>350</v>
      </c>
      <c r="G8334" s="3" t="s">
        <v>39</v>
      </c>
      <c r="H8334" s="2" t="s">
        <v>21</v>
      </c>
      <c r="I8334" s="2" t="s">
        <v>16520</v>
      </c>
      <c r="J8334" s="3" t="str">
        <f>HYPERLINK("https://www.boe.es/gazeta/dias/1823/07/07/pdfs/GES-1823-87.pdf#page=1","Abrir facsímil")</f>
        <v>Abrir facsímil</v>
      </c>
      <c r="K8334" s="3" t="s">
        <v>23</v>
      </c>
    </row>
    <row r="8335" spans="1:11" ht="42" customHeight="1">
      <c r="A8335" s="2" t="s">
        <v>16510</v>
      </c>
      <c r="B8335" s="2" t="s">
        <v>16510</v>
      </c>
      <c r="C8335" s="2" t="s">
        <v>79</v>
      </c>
      <c r="D8335" s="2" t="s">
        <v>74</v>
      </c>
      <c r="E8335" s="5">
        <v>-27933</v>
      </c>
      <c r="F8335" s="3" t="s">
        <v>1079</v>
      </c>
      <c r="G8335" s="3" t="s">
        <v>39</v>
      </c>
      <c r="H8335" s="2" t="s">
        <v>21</v>
      </c>
      <c r="I8335" s="2" t="s">
        <v>16521</v>
      </c>
      <c r="J8335" s="3" t="str">
        <f>HYPERLINK("https://www.boe.es/gazeta/dias/1823/07/09/pdfs/GES-1823-89.pdf#page=1","Abrir facsímil")</f>
        <v>Abrir facsímil</v>
      </c>
      <c r="K8335" s="3" t="s">
        <v>23</v>
      </c>
    </row>
    <row r="8336" spans="1:11" ht="42" customHeight="1">
      <c r="A8336" s="2" t="s">
        <v>16510</v>
      </c>
      <c r="B8336" s="2" t="s">
        <v>16510</v>
      </c>
      <c r="C8336" s="2" t="s">
        <v>17</v>
      </c>
      <c r="D8336" s="2" t="s">
        <v>18</v>
      </c>
      <c r="E8336" s="5">
        <v>-27927</v>
      </c>
      <c r="F8336" s="3" t="s">
        <v>1426</v>
      </c>
      <c r="G8336" s="3" t="s">
        <v>39</v>
      </c>
      <c r="H8336" s="2" t="s">
        <v>21</v>
      </c>
      <c r="I8336" s="2" t="s">
        <v>16522</v>
      </c>
      <c r="J8336" s="3" t="str">
        <f>HYPERLINK("https://www.boe.es/gazeta/dias/1823/07/15/pdfs/GES-1823-95.pdf#page=1","Abrir facsímil")</f>
        <v>Abrir facsímil</v>
      </c>
      <c r="K8336" s="3" t="s">
        <v>23</v>
      </c>
    </row>
    <row r="8337" spans="1:11" ht="42" customHeight="1">
      <c r="A8337" s="2" t="s">
        <v>16510</v>
      </c>
      <c r="B8337" s="2" t="s">
        <v>16510</v>
      </c>
      <c r="C8337" s="2" t="s">
        <v>79</v>
      </c>
      <c r="D8337" s="2" t="s">
        <v>74</v>
      </c>
      <c r="E8337" s="5">
        <v>-27925</v>
      </c>
      <c r="F8337" s="3" t="s">
        <v>89</v>
      </c>
      <c r="G8337" s="3" t="s">
        <v>27</v>
      </c>
      <c r="H8337" s="2" t="s">
        <v>21</v>
      </c>
      <c r="I8337" s="2" t="s">
        <v>16523</v>
      </c>
      <c r="J8337" s="3" t="str">
        <f>HYPERLINK("https://www.boe.es/gazeta/dias/1823/07/17/pdfs/GES-1823-97.pdf#page=2","Abrir facsímil")</f>
        <v>Abrir facsímil</v>
      </c>
      <c r="K8337" s="3" t="s">
        <v>23</v>
      </c>
    </row>
    <row r="8338" spans="1:11" ht="42" customHeight="1">
      <c r="A8338" s="2" t="s">
        <v>16524</v>
      </c>
      <c r="B8338" s="2" t="s">
        <v>16524</v>
      </c>
      <c r="C8338" s="2" t="s">
        <v>84</v>
      </c>
      <c r="D8338" s="2" t="s">
        <v>74</v>
      </c>
      <c r="E8338" s="5">
        <v>-28099</v>
      </c>
      <c r="F8338" s="3" t="s">
        <v>1689</v>
      </c>
      <c r="G8338" s="3" t="s">
        <v>27</v>
      </c>
      <c r="H8338" s="2" t="s">
        <v>21</v>
      </c>
      <c r="I8338" s="2" t="s">
        <v>16525</v>
      </c>
      <c r="J8338" s="3" t="str">
        <f>HYPERLINK("https://www.boe.es/gazeta/dias/1823/01/24/pdfs/GMD-1823-25.pdf#page=2","Abrir facsímil")</f>
        <v>Abrir facsímil</v>
      </c>
      <c r="K8338" s="3" t="s">
        <v>23</v>
      </c>
    </row>
    <row r="8339" spans="1:11" ht="42" customHeight="1">
      <c r="A8339" s="2" t="s">
        <v>16526</v>
      </c>
      <c r="B8339" s="2" t="s">
        <v>16526</v>
      </c>
      <c r="C8339" s="2" t="s">
        <v>109</v>
      </c>
      <c r="D8339" s="2" t="s">
        <v>74</v>
      </c>
      <c r="E8339" s="5">
        <v>-28097</v>
      </c>
      <c r="F8339" s="3" t="s">
        <v>1368</v>
      </c>
      <c r="G8339" s="3" t="s">
        <v>20</v>
      </c>
      <c r="H8339" s="2" t="s">
        <v>21</v>
      </c>
      <c r="I8339" s="2" t="s">
        <v>16527</v>
      </c>
      <c r="J8339" s="3" t="str">
        <f>HYPERLINK("https://www.boe.es/gazeta/dias/1823/01/26/pdfs/GMD-1823-27.pdf#page=4","Abrir facsímil")</f>
        <v>Abrir facsímil</v>
      </c>
      <c r="K8339" s="3" t="s">
        <v>23</v>
      </c>
    </row>
    <row r="8340" spans="1:11" ht="42" customHeight="1">
      <c r="A8340" s="2" t="s">
        <v>16526</v>
      </c>
      <c r="B8340" s="2" t="s">
        <v>16526</v>
      </c>
      <c r="C8340" s="2" t="s">
        <v>79</v>
      </c>
      <c r="D8340" s="2" t="s">
        <v>74</v>
      </c>
      <c r="E8340" s="5">
        <v>-28082</v>
      </c>
      <c r="F8340" s="3" t="s">
        <v>468</v>
      </c>
      <c r="G8340" s="3" t="s">
        <v>59</v>
      </c>
      <c r="H8340" s="2" t="s">
        <v>21</v>
      </c>
      <c r="I8340" s="2" t="s">
        <v>16528</v>
      </c>
      <c r="J8340" s="3" t="str">
        <f>HYPERLINK("https://www.boe.es/gazeta/dias/1823/02/10/pdfs/GMD-1823-44.pdf#page=6","Abrir facsímil")</f>
        <v>Abrir facsímil</v>
      </c>
      <c r="K8340" s="3" t="s">
        <v>23</v>
      </c>
    </row>
    <row r="8341" spans="1:11" ht="42" customHeight="1">
      <c r="A8341" s="2" t="s">
        <v>16526</v>
      </c>
      <c r="B8341" s="2" t="s">
        <v>16526</v>
      </c>
      <c r="C8341" s="2" t="s">
        <v>56</v>
      </c>
      <c r="D8341" s="2" t="s">
        <v>57</v>
      </c>
      <c r="E8341" s="5">
        <v>-28034</v>
      </c>
      <c r="F8341" s="3" t="s">
        <v>6937</v>
      </c>
      <c r="G8341" s="3" t="s">
        <v>20</v>
      </c>
      <c r="H8341" s="2" t="s">
        <v>21</v>
      </c>
      <c r="I8341" s="2" t="s">
        <v>16529</v>
      </c>
      <c r="J8341" s="3" t="str">
        <f>HYPERLINK("https://www.boe.es/gazeta/dias/1823/03/30/pdfs/GMD-1823-93.pdf#page=4","Abrir facsímil")</f>
        <v>Abrir facsímil</v>
      </c>
      <c r="K8341" s="3" t="s">
        <v>23</v>
      </c>
    </row>
    <row r="8342" spans="1:11" ht="42" customHeight="1">
      <c r="A8342" s="2" t="s">
        <v>16526</v>
      </c>
      <c r="B8342" s="2" t="s">
        <v>16526</v>
      </c>
      <c r="C8342" s="2" t="s">
        <v>17</v>
      </c>
      <c r="D8342" s="2" t="s">
        <v>18</v>
      </c>
      <c r="E8342" s="5">
        <v>-28002</v>
      </c>
      <c r="F8342" s="3" t="s">
        <v>315</v>
      </c>
      <c r="G8342" s="3" t="s">
        <v>1116</v>
      </c>
      <c r="H8342" s="2" t="s">
        <v>21</v>
      </c>
      <c r="I8342" s="2" t="s">
        <v>16530</v>
      </c>
      <c r="J8342" s="3" t="str">
        <f>HYPERLINK("https://www.boe.es/gazeta/dias/1823/05/01/pdfs/GES-1823-21.pdf#page=4","Abrir facsímil")</f>
        <v>Abrir facsímil</v>
      </c>
      <c r="K8342" s="3" t="s">
        <v>23</v>
      </c>
    </row>
    <row r="8343" spans="1:11" ht="42" customHeight="1">
      <c r="A8343" s="2" t="s">
        <v>16526</v>
      </c>
      <c r="B8343" s="2" t="s">
        <v>16526</v>
      </c>
      <c r="C8343" s="2" t="s">
        <v>56</v>
      </c>
      <c r="D8343" s="2" t="s">
        <v>57</v>
      </c>
      <c r="E8343" s="5">
        <v>-28001</v>
      </c>
      <c r="F8343" s="3" t="s">
        <v>768</v>
      </c>
      <c r="G8343" s="3" t="s">
        <v>48</v>
      </c>
      <c r="H8343" s="2" t="s">
        <v>21</v>
      </c>
      <c r="I8343" s="2" t="s">
        <v>16531</v>
      </c>
      <c r="J8343" s="3" t="str">
        <f>HYPERLINK("https://www.boe.es/gazeta/dias/1823/05/02/pdfs/GES-1823-22.pdf#page=3","Abrir facsímil")</f>
        <v>Abrir facsímil</v>
      </c>
      <c r="K8343" s="3" t="s">
        <v>23</v>
      </c>
    </row>
    <row r="8344" spans="1:11" ht="42" customHeight="1">
      <c r="A8344" s="2" t="s">
        <v>16526</v>
      </c>
      <c r="B8344" s="2" t="s">
        <v>16526</v>
      </c>
      <c r="C8344" s="2" t="s">
        <v>56</v>
      </c>
      <c r="D8344" s="2" t="s">
        <v>57</v>
      </c>
      <c r="E8344" s="5">
        <v>-27999</v>
      </c>
      <c r="F8344" s="3" t="s">
        <v>97</v>
      </c>
      <c r="G8344" s="3" t="s">
        <v>20</v>
      </c>
      <c r="H8344" s="2" t="s">
        <v>21</v>
      </c>
      <c r="I8344" s="2" t="s">
        <v>16532</v>
      </c>
      <c r="J8344" s="3" t="str">
        <f>HYPERLINK("https://www.boe.es/gazeta/dias/1823/05/04/pdfs/GES-1823-24.pdf#page=4","Abrir facsímil")</f>
        <v>Abrir facsímil</v>
      </c>
      <c r="K8344" s="3" t="s">
        <v>23</v>
      </c>
    </row>
    <row r="8345" spans="1:11" ht="42" customHeight="1">
      <c r="A8345" s="2" t="s">
        <v>16526</v>
      </c>
      <c r="B8345" s="2" t="s">
        <v>16526</v>
      </c>
      <c r="C8345" s="2" t="s">
        <v>17</v>
      </c>
      <c r="D8345" s="2" t="s">
        <v>18</v>
      </c>
      <c r="E8345" s="5">
        <v>-27995</v>
      </c>
      <c r="F8345" s="3" t="s">
        <v>326</v>
      </c>
      <c r="G8345" s="3" t="s">
        <v>48</v>
      </c>
      <c r="H8345" s="2" t="s">
        <v>21</v>
      </c>
      <c r="I8345" s="2" t="s">
        <v>16533</v>
      </c>
      <c r="J8345" s="3" t="str">
        <f>HYPERLINK("https://www.boe.es/gazeta/dias/1823/05/08/pdfs/GMD-1823-112.pdf#page=3","Abrir facsímil")</f>
        <v>Abrir facsímil</v>
      </c>
      <c r="K8345" s="3" t="s">
        <v>23</v>
      </c>
    </row>
    <row r="8346" spans="1:11" ht="42" customHeight="1">
      <c r="A8346" s="2" t="s">
        <v>16526</v>
      </c>
      <c r="B8346" s="2" t="s">
        <v>16526</v>
      </c>
      <c r="C8346" s="2" t="s">
        <v>325</v>
      </c>
      <c r="D8346" s="2" t="s">
        <v>74</v>
      </c>
      <c r="E8346" s="5">
        <v>-27993</v>
      </c>
      <c r="F8346" s="3" t="s">
        <v>1062</v>
      </c>
      <c r="G8346" s="3" t="s">
        <v>34</v>
      </c>
      <c r="H8346" s="2" t="s">
        <v>21</v>
      </c>
      <c r="I8346" s="2" t="s">
        <v>16534</v>
      </c>
      <c r="J8346" s="3" t="str">
        <f>HYPERLINK("https://www.boe.es/gazeta/dias/1823/05/10/pdfs/GMD-1823-122.pdf#page=5","Abrir facsímil")</f>
        <v>Abrir facsímil</v>
      </c>
      <c r="K8346" s="3" t="s">
        <v>23</v>
      </c>
    </row>
    <row r="8347" spans="1:11" ht="42" customHeight="1">
      <c r="A8347" s="2" t="s">
        <v>16526</v>
      </c>
      <c r="B8347" s="2" t="s">
        <v>16526</v>
      </c>
      <c r="C8347" s="2" t="s">
        <v>56</v>
      </c>
      <c r="D8347" s="2" t="s">
        <v>57</v>
      </c>
      <c r="E8347" s="5">
        <v>-27992</v>
      </c>
      <c r="F8347" s="3" t="s">
        <v>565</v>
      </c>
      <c r="G8347" s="3" t="s">
        <v>20</v>
      </c>
      <c r="H8347" s="2" t="s">
        <v>21</v>
      </c>
      <c r="I8347" s="2" t="s">
        <v>16535</v>
      </c>
      <c r="J8347" s="3" t="str">
        <f>HYPERLINK("https://www.boe.es/gazeta/dias/1823/05/11/pdfs/GES-1823-31.pdf#page=4","Abrir facsímil")</f>
        <v>Abrir facsímil</v>
      </c>
      <c r="K8347" s="3" t="s">
        <v>23</v>
      </c>
    </row>
    <row r="8348" spans="1:11" ht="42" customHeight="1">
      <c r="A8348" s="2" t="s">
        <v>16526</v>
      </c>
      <c r="B8348" s="2" t="s">
        <v>16526</v>
      </c>
      <c r="C8348" s="2" t="s">
        <v>56</v>
      </c>
      <c r="D8348" s="2" t="s">
        <v>57</v>
      </c>
      <c r="E8348" s="5">
        <v>-27986</v>
      </c>
      <c r="F8348" s="3" t="s">
        <v>75</v>
      </c>
      <c r="G8348" s="3" t="s">
        <v>59</v>
      </c>
      <c r="H8348" s="2" t="s">
        <v>21</v>
      </c>
      <c r="I8348" s="2" t="s">
        <v>16536</v>
      </c>
      <c r="J8348" s="3" t="str">
        <f>HYPERLINK("https://www.boe.es/gazeta/dias/1823/05/17/pdfs/GES-1823-37.pdf#page=6","Abrir facsímil")</f>
        <v>Abrir facsímil</v>
      </c>
      <c r="K8348" s="3" t="s">
        <v>23</v>
      </c>
    </row>
    <row r="8349" spans="1:11" ht="42" customHeight="1">
      <c r="A8349" s="2" t="s">
        <v>16526</v>
      </c>
      <c r="B8349" s="2" t="s">
        <v>16526</v>
      </c>
      <c r="C8349" s="2" t="s">
        <v>17</v>
      </c>
      <c r="D8349" s="2" t="s">
        <v>18</v>
      </c>
      <c r="E8349" s="5">
        <v>-27979</v>
      </c>
      <c r="F8349" s="3" t="s">
        <v>1071</v>
      </c>
      <c r="G8349" s="3" t="s">
        <v>59</v>
      </c>
      <c r="H8349" s="2" t="s">
        <v>21</v>
      </c>
      <c r="I8349" s="2" t="s">
        <v>16537</v>
      </c>
      <c r="J8349" s="3" t="str">
        <f>HYPERLINK("https://www.boe.es/gazeta/dias/1823/05/24/pdfs/GES-1823-45.pdf#page=6","Abrir facsímil")</f>
        <v>Abrir facsímil</v>
      </c>
      <c r="K8349" s="3" t="s">
        <v>23</v>
      </c>
    </row>
    <row r="8350" spans="1:11" ht="42" customHeight="1">
      <c r="A8350" s="2" t="s">
        <v>16526</v>
      </c>
      <c r="B8350" s="2" t="s">
        <v>16526</v>
      </c>
      <c r="C8350" s="2" t="s">
        <v>79</v>
      </c>
      <c r="D8350" s="2" t="s">
        <v>74</v>
      </c>
      <c r="E8350" s="5">
        <v>-27978</v>
      </c>
      <c r="F8350" s="3" t="s">
        <v>342</v>
      </c>
      <c r="G8350" s="3" t="s">
        <v>59</v>
      </c>
      <c r="H8350" s="2" t="s">
        <v>21</v>
      </c>
      <c r="I8350" s="2" t="s">
        <v>16538</v>
      </c>
      <c r="J8350" s="3" t="str">
        <f>HYPERLINK("https://www.boe.es/gazeta/dias/1823/05/25/pdfs/GES-1823-46.pdf#page=6","Abrir facsímil")</f>
        <v>Abrir facsímil</v>
      </c>
      <c r="K8350" s="3" t="s">
        <v>23</v>
      </c>
    </row>
    <row r="8351" spans="1:11" ht="42" customHeight="1">
      <c r="A8351" s="2" t="s">
        <v>16526</v>
      </c>
      <c r="B8351" s="2" t="s">
        <v>16526</v>
      </c>
      <c r="C8351" s="2" t="s">
        <v>17</v>
      </c>
      <c r="D8351" s="2" t="s">
        <v>18</v>
      </c>
      <c r="E8351" s="5">
        <v>-27970</v>
      </c>
      <c r="F8351" s="3" t="s">
        <v>1030</v>
      </c>
      <c r="G8351" s="3" t="s">
        <v>59</v>
      </c>
      <c r="H8351" s="2" t="s">
        <v>21</v>
      </c>
      <c r="I8351" s="2" t="s">
        <v>16539</v>
      </c>
      <c r="J8351" s="3" t="str">
        <f>HYPERLINK("https://www.boe.es/gazeta/dias/1823/06/02/pdfs/GES-1823-56.pdf#page=6","Abrir facsímil")</f>
        <v>Abrir facsímil</v>
      </c>
      <c r="K8351" s="3" t="s">
        <v>23</v>
      </c>
    </row>
    <row r="8352" spans="1:11" ht="42" customHeight="1">
      <c r="A8352" s="2" t="s">
        <v>16526</v>
      </c>
      <c r="B8352" s="2" t="s">
        <v>16526</v>
      </c>
      <c r="C8352" s="2" t="s">
        <v>17</v>
      </c>
      <c r="D8352" s="2" t="s">
        <v>18</v>
      </c>
      <c r="E8352" s="5">
        <v>-27968</v>
      </c>
      <c r="F8352" s="3" t="s">
        <v>1160</v>
      </c>
      <c r="G8352" s="3" t="s">
        <v>1676</v>
      </c>
      <c r="H8352" s="2" t="s">
        <v>21</v>
      </c>
      <c r="I8352" s="2" t="s">
        <v>16540</v>
      </c>
      <c r="J8352" s="3" t="str">
        <f>HYPERLINK("https://www.boe.es/gazeta/dias/1823/06/04/pdfs/GES-1823-58.pdf#page=6","Abrir facsímil")</f>
        <v>Abrir facsímil</v>
      </c>
      <c r="K8352" s="3" t="s">
        <v>23</v>
      </c>
    </row>
    <row r="8353" spans="1:11" ht="42" customHeight="1">
      <c r="A8353" s="2" t="s">
        <v>16526</v>
      </c>
      <c r="B8353" s="2" t="s">
        <v>16526</v>
      </c>
      <c r="C8353" s="2" t="s">
        <v>17</v>
      </c>
      <c r="D8353" s="2" t="s">
        <v>18</v>
      </c>
      <c r="E8353" s="5">
        <v>-27968</v>
      </c>
      <c r="F8353" s="3" t="s">
        <v>1160</v>
      </c>
      <c r="G8353" s="3" t="s">
        <v>39</v>
      </c>
      <c r="H8353" s="2" t="s">
        <v>21</v>
      </c>
      <c r="I8353" s="2" t="s">
        <v>16541</v>
      </c>
      <c r="J8353" s="3" t="str">
        <f>HYPERLINK("https://www.boe.es/gazeta/dias/1823/06/04/pdfs/GES-1823-58.pdf#page=1","Abrir facsímil")</f>
        <v>Abrir facsímil</v>
      </c>
      <c r="K8353" s="3" t="s">
        <v>23</v>
      </c>
    </row>
    <row r="8354" spans="1:11" ht="42" customHeight="1">
      <c r="A8354" s="2" t="s">
        <v>16526</v>
      </c>
      <c r="B8354" s="2" t="s">
        <v>16526</v>
      </c>
      <c r="C8354" s="2" t="s">
        <v>17</v>
      </c>
      <c r="D8354" s="2" t="s">
        <v>18</v>
      </c>
      <c r="E8354" s="5">
        <v>-27968</v>
      </c>
      <c r="F8354" s="3" t="s">
        <v>1160</v>
      </c>
      <c r="G8354" s="3" t="s">
        <v>20</v>
      </c>
      <c r="H8354" s="2" t="s">
        <v>21</v>
      </c>
      <c r="I8354" s="2" t="s">
        <v>16542</v>
      </c>
      <c r="J8354" s="3" t="str">
        <f>HYPERLINK("https://www.boe.es/gazeta/dias/1823/06/04/pdfs/GES-1823-58.pdf#page=4","Abrir facsímil")</f>
        <v>Abrir facsímil</v>
      </c>
      <c r="K8354" s="3" t="s">
        <v>23</v>
      </c>
    </row>
    <row r="8355" spans="1:11" ht="42" customHeight="1">
      <c r="A8355" s="2" t="s">
        <v>16526</v>
      </c>
      <c r="B8355" s="2" t="s">
        <v>16526</v>
      </c>
      <c r="C8355" s="2" t="s">
        <v>17</v>
      </c>
      <c r="D8355" s="2" t="s">
        <v>18</v>
      </c>
      <c r="E8355" s="5">
        <v>-27965</v>
      </c>
      <c r="F8355" s="3" t="s">
        <v>208</v>
      </c>
      <c r="G8355" s="3" t="s">
        <v>59</v>
      </c>
      <c r="H8355" s="2" t="s">
        <v>21</v>
      </c>
      <c r="I8355" s="2" t="s">
        <v>16543</v>
      </c>
      <c r="J8355" s="3" t="str">
        <f>HYPERLINK("https://www.boe.es/gazeta/dias/1823/06/07/pdfs/GES-1823-61.pdf#page=6","Abrir facsímil")</f>
        <v>Abrir facsímil</v>
      </c>
      <c r="K8355" s="3" t="s">
        <v>23</v>
      </c>
    </row>
    <row r="8356" spans="1:11" ht="42" customHeight="1">
      <c r="A8356" s="2" t="s">
        <v>16526</v>
      </c>
      <c r="B8356" s="2" t="s">
        <v>16526</v>
      </c>
      <c r="C8356" s="2" t="s">
        <v>84</v>
      </c>
      <c r="D8356" s="2" t="s">
        <v>74</v>
      </c>
      <c r="E8356" s="5">
        <v>-27952</v>
      </c>
      <c r="F8356" s="3" t="s">
        <v>929</v>
      </c>
      <c r="G8356" s="3" t="s">
        <v>27</v>
      </c>
      <c r="H8356" s="2" t="s">
        <v>21</v>
      </c>
      <c r="I8356" s="2" t="s">
        <v>16544</v>
      </c>
      <c r="J8356" s="3" t="str">
        <f>HYPERLINK("https://www.boe.es/gazeta/dias/1823/06/20/pdfs/GES-1823-68.pdf#page=2","Abrir facsímil")</f>
        <v>Abrir facsímil</v>
      </c>
      <c r="K8356" s="3" t="s">
        <v>23</v>
      </c>
    </row>
    <row r="8357" spans="1:11" ht="42" customHeight="1">
      <c r="A8357" s="2" t="s">
        <v>16526</v>
      </c>
      <c r="B8357" s="2" t="s">
        <v>16526</v>
      </c>
      <c r="C8357" s="2" t="s">
        <v>17</v>
      </c>
      <c r="D8357" s="2" t="s">
        <v>18</v>
      </c>
      <c r="E8357" s="5">
        <v>-27906</v>
      </c>
      <c r="F8357" s="3" t="s">
        <v>1527</v>
      </c>
      <c r="G8357" s="3" t="s">
        <v>39</v>
      </c>
      <c r="H8357" s="2" t="s">
        <v>21</v>
      </c>
      <c r="I8357" s="2" t="s">
        <v>16545</v>
      </c>
      <c r="J8357" s="3" t="str">
        <f>HYPERLINK("https://www.boe.es/gazeta/dias/1823/08/05/pdfs/GMD-1823-533.pdf#page=1","Abrir facsímil")</f>
        <v>Abrir facsímil</v>
      </c>
      <c r="K8357" s="3" t="s">
        <v>23</v>
      </c>
    </row>
    <row r="8358" spans="1:11" ht="42" customHeight="1">
      <c r="A8358" s="2" t="s">
        <v>16526</v>
      </c>
      <c r="B8358" s="2" t="s">
        <v>16526</v>
      </c>
      <c r="C8358" s="2" t="s">
        <v>17</v>
      </c>
      <c r="D8358" s="2" t="s">
        <v>18</v>
      </c>
      <c r="E8358" s="5">
        <v>-27897</v>
      </c>
      <c r="F8358" s="3" t="s">
        <v>1569</v>
      </c>
      <c r="G8358" s="3" t="s">
        <v>20</v>
      </c>
      <c r="H8358" s="2" t="s">
        <v>21</v>
      </c>
      <c r="I8358" s="2" t="s">
        <v>16546</v>
      </c>
      <c r="J8358" s="3" t="str">
        <f>HYPERLINK("https://www.boe.es/gazeta/dias/1823/08/14/pdfs/GMD-1823-593.pdf#page=4","Abrir facsímil")</f>
        <v>Abrir facsímil</v>
      </c>
      <c r="K8358" s="3" t="s">
        <v>23</v>
      </c>
    </row>
    <row r="8359" spans="1:11" ht="42" customHeight="1">
      <c r="A8359" s="2" t="s">
        <v>16526</v>
      </c>
      <c r="B8359" s="2" t="s">
        <v>16526</v>
      </c>
      <c r="C8359" s="2" t="s">
        <v>79</v>
      </c>
      <c r="D8359" s="2" t="s">
        <v>74</v>
      </c>
      <c r="E8359" s="5">
        <v>-27890</v>
      </c>
      <c r="F8359" s="3" t="s">
        <v>1573</v>
      </c>
      <c r="G8359" s="3" t="s">
        <v>1574</v>
      </c>
      <c r="H8359" s="2" t="s">
        <v>21</v>
      </c>
      <c r="I8359" s="2" t="s">
        <v>16547</v>
      </c>
      <c r="J8359" s="3" t="str">
        <f>HYPERLINK("https://www.boe.es/gazeta/dias/1823/08/21/pdfs/GMD-1823-623.pdf#page=2","Abrir facsímil")</f>
        <v>Abrir facsímil</v>
      </c>
      <c r="K8359" s="3" t="s">
        <v>23</v>
      </c>
    </row>
    <row r="8360" spans="1:11" ht="42" customHeight="1">
      <c r="A8360" s="2" t="s">
        <v>16526</v>
      </c>
      <c r="B8360" s="2" t="s">
        <v>16526</v>
      </c>
      <c r="C8360" s="2" t="s">
        <v>56</v>
      </c>
      <c r="D8360" s="2" t="s">
        <v>57</v>
      </c>
      <c r="E8360" s="5">
        <v>-27878</v>
      </c>
      <c r="F8360" s="3" t="s">
        <v>1581</v>
      </c>
      <c r="G8360" s="3" t="s">
        <v>39</v>
      </c>
      <c r="H8360" s="2" t="s">
        <v>21</v>
      </c>
      <c r="I8360" s="2" t="s">
        <v>16548</v>
      </c>
      <c r="J8360" s="3" t="str">
        <f>HYPERLINK("https://www.boe.es/gazeta/dias/1823/09/02/pdfs/GMD-1823-683.pdf#page=1","Abrir facsímil")</f>
        <v>Abrir facsímil</v>
      </c>
      <c r="K8360" s="3" t="s">
        <v>23</v>
      </c>
    </row>
    <row r="8361" spans="1:11" ht="42" customHeight="1">
      <c r="A8361" s="2" t="s">
        <v>16526</v>
      </c>
      <c r="B8361" s="2" t="s">
        <v>16526</v>
      </c>
      <c r="C8361" s="2" t="s">
        <v>56</v>
      </c>
      <c r="D8361" s="2" t="s">
        <v>57</v>
      </c>
      <c r="E8361" s="5">
        <v>-27848</v>
      </c>
      <c r="F8361" s="3" t="s">
        <v>1083</v>
      </c>
      <c r="G8361" s="3" t="s">
        <v>39</v>
      </c>
      <c r="H8361" s="2" t="s">
        <v>21</v>
      </c>
      <c r="I8361" s="2" t="s">
        <v>16549</v>
      </c>
      <c r="J8361" s="3" t="str">
        <f>HYPERLINK("https://www.boe.es/gazeta/dias/1823/10/02/pdfs/GES-1823-176.pdf#page=1","Abrir facsímil")</f>
        <v>Abrir facsímil</v>
      </c>
      <c r="K8361" s="3" t="s">
        <v>23</v>
      </c>
    </row>
    <row r="8362" spans="1:11" ht="42" customHeight="1">
      <c r="A8362" s="2" t="s">
        <v>16526</v>
      </c>
      <c r="B8362" s="2" t="s">
        <v>16526</v>
      </c>
      <c r="C8362" s="2" t="s">
        <v>17</v>
      </c>
      <c r="D8362" s="2" t="s">
        <v>18</v>
      </c>
      <c r="E8362" s="5">
        <v>-27829</v>
      </c>
      <c r="F8362" s="3" t="s">
        <v>228</v>
      </c>
      <c r="G8362" s="3" t="s">
        <v>20</v>
      </c>
      <c r="H8362" s="2" t="s">
        <v>21</v>
      </c>
      <c r="I8362" s="2" t="s">
        <v>16550</v>
      </c>
      <c r="J8362" s="3" t="str">
        <f>HYPERLINK("https://www.boe.es/gazeta/dias/1823/10/21/pdfs/GMD-1823-1003.pdf#page=4","Abrir facsímil")</f>
        <v>Abrir facsímil</v>
      </c>
      <c r="K8362" s="3" t="s">
        <v>23</v>
      </c>
    </row>
    <row r="8363" spans="1:11" ht="42" customHeight="1">
      <c r="A8363" s="2" t="s">
        <v>16526</v>
      </c>
      <c r="B8363" s="2" t="s">
        <v>16526</v>
      </c>
      <c r="C8363" s="2" t="s">
        <v>17</v>
      </c>
      <c r="D8363" s="2" t="s">
        <v>18</v>
      </c>
      <c r="E8363" s="5">
        <v>-27801</v>
      </c>
      <c r="F8363" s="3" t="s">
        <v>800</v>
      </c>
      <c r="G8363" s="3" t="s">
        <v>48</v>
      </c>
      <c r="H8363" s="2" t="s">
        <v>21</v>
      </c>
      <c r="I8363" s="2" t="s">
        <v>16551</v>
      </c>
      <c r="J8363" s="3" t="str">
        <f>HYPERLINK("https://www.boe.es/gazeta/dias/1823/11/18/pdfs/GMD-1823-1133.pdf#page=3","Abrir facsímil")</f>
        <v>Abrir facsímil</v>
      </c>
      <c r="K8363" s="3" t="s">
        <v>23</v>
      </c>
    </row>
    <row r="8364" spans="1:11" ht="42" customHeight="1">
      <c r="A8364" s="2" t="s">
        <v>16526</v>
      </c>
      <c r="B8364" s="2" t="s">
        <v>16526</v>
      </c>
      <c r="C8364" s="2" t="s">
        <v>56</v>
      </c>
      <c r="D8364" s="2" t="s">
        <v>57</v>
      </c>
      <c r="E8364" s="5">
        <v>-27783</v>
      </c>
      <c r="F8364" s="3" t="s">
        <v>941</v>
      </c>
      <c r="G8364" s="3" t="s">
        <v>20</v>
      </c>
      <c r="H8364" s="2" t="s">
        <v>21</v>
      </c>
      <c r="I8364" s="2" t="s">
        <v>16552</v>
      </c>
      <c r="J8364" s="3" t="str">
        <f>HYPERLINK("https://www.boe.es/gazeta/dias/1823/12/06/pdfs/GMD-1823-1213.pdf#page=4","Abrir facsímil")</f>
        <v>Abrir facsímil</v>
      </c>
      <c r="K8364" s="3" t="s">
        <v>23</v>
      </c>
    </row>
    <row r="8365" spans="1:11" ht="42" customHeight="1">
      <c r="A8365" s="2" t="s">
        <v>16526</v>
      </c>
      <c r="B8365" s="2" t="s">
        <v>16526</v>
      </c>
      <c r="C8365" s="2" t="s">
        <v>17</v>
      </c>
      <c r="D8365" s="2" t="s">
        <v>18</v>
      </c>
      <c r="E8365" s="5">
        <v>-27766</v>
      </c>
      <c r="F8365" s="3" t="s">
        <v>3450</v>
      </c>
      <c r="G8365" s="3" t="s">
        <v>39</v>
      </c>
      <c r="H8365" s="2" t="s">
        <v>21</v>
      </c>
      <c r="I8365" s="2" t="s">
        <v>16553</v>
      </c>
      <c r="J8365" s="3" t="str">
        <f>HYPERLINK("https://www.boe.es/gazeta/dias/1823/12/23/pdfs/GMD-1823-1283.pdf#page=1","Abrir facsímil")</f>
        <v>Abrir facsímil</v>
      </c>
      <c r="K8365" s="3" t="s">
        <v>23</v>
      </c>
    </row>
    <row r="8366" spans="1:11" ht="42" customHeight="1">
      <c r="A8366" s="2" t="s">
        <v>16526</v>
      </c>
      <c r="B8366" s="2" t="s">
        <v>16526</v>
      </c>
      <c r="C8366" s="2" t="s">
        <v>17</v>
      </c>
      <c r="D8366" s="2" t="s">
        <v>18</v>
      </c>
      <c r="E8366" s="5">
        <v>-27764</v>
      </c>
      <c r="F8366" s="3" t="s">
        <v>3370</v>
      </c>
      <c r="G8366" s="3" t="s">
        <v>20</v>
      </c>
      <c r="H8366" s="2" t="s">
        <v>21</v>
      </c>
      <c r="I8366" s="2" t="s">
        <v>16554</v>
      </c>
      <c r="J8366" s="3" t="str">
        <f>HYPERLINK("https://www.boe.es/gazeta/dias/1823/12/25/pdfs/GMD-1823-1293.pdf#page=4","Abrir facsímil")</f>
        <v>Abrir facsímil</v>
      </c>
      <c r="K8366" s="3" t="s">
        <v>23</v>
      </c>
    </row>
    <row r="8367" spans="1:11" ht="42" customHeight="1">
      <c r="A8367" s="2" t="s">
        <v>16555</v>
      </c>
      <c r="B8367" s="2" t="s">
        <v>16556</v>
      </c>
      <c r="C8367" s="2" t="s">
        <v>109</v>
      </c>
      <c r="D8367" s="2" t="s">
        <v>74</v>
      </c>
      <c r="E8367" s="5">
        <v>-28042</v>
      </c>
      <c r="F8367" s="3" t="s">
        <v>1218</v>
      </c>
      <c r="G8367" s="3" t="s">
        <v>48</v>
      </c>
      <c r="H8367" s="2" t="s">
        <v>21</v>
      </c>
      <c r="I8367" s="2" t="s">
        <v>16557</v>
      </c>
      <c r="J8367" s="3" t="str">
        <f>HYPERLINK("https://www.boe.es/gazeta/dias/1823/03/22/pdfs/GMD-1823-85.pdf#page=3","Abrir facsímil")</f>
        <v>Abrir facsímil</v>
      </c>
      <c r="K8367" s="3" t="s">
        <v>23</v>
      </c>
    </row>
    <row r="8368" spans="1:11" ht="42" customHeight="1">
      <c r="A8368" s="2" t="s">
        <v>16558</v>
      </c>
      <c r="B8368" s="2" t="s">
        <v>16559</v>
      </c>
      <c r="C8368" s="2" t="s">
        <v>109</v>
      </c>
      <c r="D8368" s="2" t="s">
        <v>74</v>
      </c>
      <c r="E8368" s="5">
        <v>-28060</v>
      </c>
      <c r="F8368" s="3" t="s">
        <v>180</v>
      </c>
      <c r="G8368" s="3" t="s">
        <v>48</v>
      </c>
      <c r="H8368" s="2" t="s">
        <v>21</v>
      </c>
      <c r="I8368" s="2" t="s">
        <v>16560</v>
      </c>
      <c r="J8368" s="3" t="str">
        <f>HYPERLINK("https://www.boe.es/gazeta/dias/1823/03/04/pdfs/GMD-1823-67.pdf#page=3","Abrir facsímil")</f>
        <v>Abrir facsímil</v>
      </c>
      <c r="K8368" s="3" t="s">
        <v>23</v>
      </c>
    </row>
    <row r="8369" spans="1:11" ht="42" customHeight="1">
      <c r="A8369" s="2" t="s">
        <v>16561</v>
      </c>
      <c r="B8369" s="2" t="s">
        <v>16561</v>
      </c>
      <c r="C8369" s="2" t="s">
        <v>56</v>
      </c>
      <c r="D8369" s="2" t="s">
        <v>57</v>
      </c>
      <c r="E8369" s="5">
        <v>-28044</v>
      </c>
      <c r="F8369" s="3" t="s">
        <v>1930</v>
      </c>
      <c r="G8369" s="3" t="s">
        <v>27</v>
      </c>
      <c r="H8369" s="2" t="s">
        <v>21</v>
      </c>
      <c r="I8369" s="2" t="s">
        <v>16562</v>
      </c>
      <c r="J8369" s="3" t="str">
        <f>HYPERLINK("https://www.boe.es/gazeta/dias/1823/03/20/pdfs/GMD-1823-83.pdf#page=2","Abrir facsímil")</f>
        <v>Abrir facsímil</v>
      </c>
      <c r="K8369" s="3" t="s">
        <v>23</v>
      </c>
    </row>
    <row r="8370" spans="1:11" ht="42" customHeight="1">
      <c r="A8370" s="2" t="s">
        <v>16563</v>
      </c>
      <c r="B8370" s="2" t="s">
        <v>16563</v>
      </c>
      <c r="C8370" s="2" t="s">
        <v>79</v>
      </c>
      <c r="D8370" s="2" t="s">
        <v>74</v>
      </c>
      <c r="E8370" s="5">
        <v>-27964</v>
      </c>
      <c r="F8370" s="3" t="s">
        <v>58</v>
      </c>
      <c r="G8370" s="3" t="s">
        <v>39</v>
      </c>
      <c r="H8370" s="2" t="s">
        <v>21</v>
      </c>
      <c r="I8370" s="2" t="s">
        <v>16564</v>
      </c>
      <c r="J8370" s="3" t="str">
        <f>HYPERLINK("https://www.boe.es/gazeta/dias/1823/06/08/pdfs/GES-1823-62.pdf#page=1","Abrir facsímil")</f>
        <v>Abrir facsímil</v>
      </c>
      <c r="K8370" s="3" t="s">
        <v>23</v>
      </c>
    </row>
    <row r="8371" spans="1:11" ht="42" customHeight="1">
      <c r="A8371" s="2" t="s">
        <v>16565</v>
      </c>
      <c r="B8371" s="2" t="s">
        <v>16565</v>
      </c>
      <c r="C8371" s="2" t="s">
        <v>17</v>
      </c>
      <c r="D8371" s="2" t="s">
        <v>18</v>
      </c>
      <c r="E8371" s="5">
        <v>-28018</v>
      </c>
      <c r="F8371" s="3" t="s">
        <v>2613</v>
      </c>
      <c r="G8371" s="3" t="s">
        <v>27</v>
      </c>
      <c r="H8371" s="2" t="s">
        <v>21</v>
      </c>
      <c r="I8371" s="2" t="s">
        <v>16566</v>
      </c>
      <c r="J8371" s="3" t="str">
        <f>HYPERLINK("https://www.boe.es/gazeta/dias/1823/04/15/pdfs/GES-1823-5.pdf#page=2","Abrir facsímil")</f>
        <v>Abrir facsímil</v>
      </c>
      <c r="K8371" s="3" t="s">
        <v>23</v>
      </c>
    </row>
    <row r="8372" spans="1:11" ht="42" customHeight="1">
      <c r="A8372" s="2" t="s">
        <v>16565</v>
      </c>
      <c r="B8372" s="2" t="s">
        <v>16565</v>
      </c>
      <c r="C8372" s="2" t="s">
        <v>17</v>
      </c>
      <c r="D8372" s="2" t="s">
        <v>18</v>
      </c>
      <c r="E8372" s="5">
        <v>-27987</v>
      </c>
      <c r="F8372" s="3" t="s">
        <v>332</v>
      </c>
      <c r="G8372" s="3" t="s">
        <v>34</v>
      </c>
      <c r="H8372" s="2" t="s">
        <v>21</v>
      </c>
      <c r="I8372" s="2" t="s">
        <v>16567</v>
      </c>
      <c r="J8372" s="3" t="str">
        <f>HYPERLINK("https://www.boe.es/gazeta/dias/1823/05/16/pdfs/GES-1823-36.pdf#page=5","Abrir facsímil")</f>
        <v>Abrir facsímil</v>
      </c>
      <c r="K8372" s="3" t="s">
        <v>23</v>
      </c>
    </row>
    <row r="8373" spans="1:11" ht="42" customHeight="1">
      <c r="A8373" s="2" t="s">
        <v>16565</v>
      </c>
      <c r="B8373" s="2" t="s">
        <v>16565</v>
      </c>
      <c r="C8373" s="2" t="s">
        <v>17</v>
      </c>
      <c r="D8373" s="2" t="s">
        <v>18</v>
      </c>
      <c r="E8373" s="5">
        <v>-27977</v>
      </c>
      <c r="F8373" s="3" t="s">
        <v>1489</v>
      </c>
      <c r="G8373" s="3" t="s">
        <v>27</v>
      </c>
      <c r="H8373" s="2" t="s">
        <v>21</v>
      </c>
      <c r="I8373" s="2" t="s">
        <v>16568</v>
      </c>
      <c r="J8373" s="3" t="str">
        <f>HYPERLINK("https://www.boe.es/gazeta/dias/1823/05/26/pdfs/GES-1823-47.pdf#page=2","Abrir facsímil")</f>
        <v>Abrir facsímil</v>
      </c>
      <c r="K8373" s="3" t="s">
        <v>23</v>
      </c>
    </row>
    <row r="8374" spans="1:11" ht="42" customHeight="1">
      <c r="A8374" s="2" t="s">
        <v>16565</v>
      </c>
      <c r="B8374" s="2" t="s">
        <v>16565</v>
      </c>
      <c r="C8374" s="2" t="s">
        <v>17</v>
      </c>
      <c r="D8374" s="2" t="s">
        <v>18</v>
      </c>
      <c r="E8374" s="5">
        <v>-27970</v>
      </c>
      <c r="F8374" s="3" t="s">
        <v>1030</v>
      </c>
      <c r="G8374" s="3" t="s">
        <v>20</v>
      </c>
      <c r="H8374" s="2" t="s">
        <v>21</v>
      </c>
      <c r="I8374" s="2" t="s">
        <v>16569</v>
      </c>
      <c r="J8374" s="3" t="str">
        <f>HYPERLINK("https://www.boe.es/gazeta/dias/1823/06/02/pdfs/GES-1823-56.pdf#page=4","Abrir facsímil")</f>
        <v>Abrir facsímil</v>
      </c>
      <c r="K8374" s="3" t="s">
        <v>23</v>
      </c>
    </row>
    <row r="8375" spans="1:11" ht="42" customHeight="1">
      <c r="A8375" s="2" t="s">
        <v>16570</v>
      </c>
      <c r="B8375" s="2" t="s">
        <v>16571</v>
      </c>
      <c r="C8375" s="2" t="s">
        <v>17</v>
      </c>
      <c r="D8375" s="2" t="s">
        <v>18</v>
      </c>
      <c r="E8375" s="5">
        <v>-27907</v>
      </c>
      <c r="F8375" s="3" t="s">
        <v>370</v>
      </c>
      <c r="G8375" s="3" t="s">
        <v>20</v>
      </c>
      <c r="H8375" s="2" t="s">
        <v>21</v>
      </c>
      <c r="I8375" s="2" t="s">
        <v>16572</v>
      </c>
      <c r="J8375" s="3" t="str">
        <f>HYPERLINK("https://www.boe.es/gazeta/dias/1823/08/04/pdfs/GES-1823-116.pdf#page=4","Abrir facsímil")</f>
        <v>Abrir facsímil</v>
      </c>
      <c r="K8375" s="3" t="s">
        <v>23</v>
      </c>
    </row>
    <row r="8376" spans="1:11" ht="42" customHeight="1">
      <c r="A8376" s="2" t="s">
        <v>16573</v>
      </c>
      <c r="B8376" s="2" t="s">
        <v>16573</v>
      </c>
      <c r="C8376" s="2" t="s">
        <v>17</v>
      </c>
      <c r="D8376" s="2" t="s">
        <v>18</v>
      </c>
      <c r="E8376" s="5">
        <v>-28016</v>
      </c>
      <c r="F8376" s="3" t="s">
        <v>287</v>
      </c>
      <c r="G8376" s="3" t="s">
        <v>27</v>
      </c>
      <c r="H8376" s="2" t="s">
        <v>21</v>
      </c>
      <c r="I8376" s="2" t="s">
        <v>16574</v>
      </c>
      <c r="J8376" s="3" t="str">
        <f>HYPERLINK("https://www.boe.es/gazeta/dias/1823/04/17/pdfs/GMD-1823-22.pdf#page=2","Abrir facsímil")</f>
        <v>Abrir facsímil</v>
      </c>
      <c r="K8376" s="3" t="s">
        <v>23</v>
      </c>
    </row>
    <row r="8377" spans="1:11" ht="42" customHeight="1">
      <c r="A8377" s="2" t="s">
        <v>16575</v>
      </c>
      <c r="B8377" s="2" t="s">
        <v>16576</v>
      </c>
      <c r="C8377" s="2" t="s">
        <v>17</v>
      </c>
      <c r="D8377" s="2" t="s">
        <v>18</v>
      </c>
      <c r="E8377" s="5">
        <v>-28065</v>
      </c>
      <c r="F8377" s="3" t="s">
        <v>686</v>
      </c>
      <c r="G8377" s="3" t="s">
        <v>20</v>
      </c>
      <c r="H8377" s="2" t="s">
        <v>28</v>
      </c>
      <c r="I8377" s="2" t="s">
        <v>16577</v>
      </c>
      <c r="J8377" s="3" t="str">
        <f>HYPERLINK("https://www.boe.es/gazeta/dias/1823/02/27/pdfs/GMD-1823-61.pdf#page=4","Abrir facsímil")</f>
        <v>Abrir facsímil</v>
      </c>
      <c r="K8377" s="3" t="s">
        <v>30</v>
      </c>
    </row>
    <row r="8378" spans="1:11" ht="42" customHeight="1">
      <c r="A8378" s="2" t="s">
        <v>16578</v>
      </c>
      <c r="B8378" s="2" t="s">
        <v>16579</v>
      </c>
      <c r="C8378" s="2" t="s">
        <v>17</v>
      </c>
      <c r="D8378" s="2" t="s">
        <v>18</v>
      </c>
      <c r="E8378" s="5">
        <v>-28013</v>
      </c>
      <c r="F8378" s="3" t="s">
        <v>2466</v>
      </c>
      <c r="G8378" s="3" t="s">
        <v>2467</v>
      </c>
      <c r="H8378" s="2" t="s">
        <v>21</v>
      </c>
      <c r="I8378" s="2" t="s">
        <v>16580</v>
      </c>
      <c r="J8378" s="3" t="str">
        <f>HYPERLINK("https://www.boe.es/gazeta/dias/1823/04/20/pdfs/GES-1823-10.pdf#page=3","Abrir facsímil")</f>
        <v>Abrir facsímil</v>
      </c>
      <c r="K8378" s="3" t="s">
        <v>23</v>
      </c>
    </row>
    <row r="8379" spans="1:11" ht="42" customHeight="1">
      <c r="A8379" s="2" t="s">
        <v>16578</v>
      </c>
      <c r="B8379" s="2" t="s">
        <v>16579</v>
      </c>
      <c r="C8379" s="2" t="s">
        <v>79</v>
      </c>
      <c r="D8379" s="2" t="s">
        <v>74</v>
      </c>
      <c r="E8379" s="5">
        <v>-28013</v>
      </c>
      <c r="F8379" s="3" t="s">
        <v>105</v>
      </c>
      <c r="G8379" s="3" t="s">
        <v>27</v>
      </c>
      <c r="H8379" s="2" t="s">
        <v>21</v>
      </c>
      <c r="I8379" s="2" t="s">
        <v>16581</v>
      </c>
      <c r="J8379" s="3" t="str">
        <f>HYPERLINK("https://www.boe.es/gazeta/dias/1823/04/20/pdfs/GMD-1823-32.pdf#page=2","Abrir facsímil")</f>
        <v>Abrir facsímil</v>
      </c>
      <c r="K8379" s="3" t="s">
        <v>23</v>
      </c>
    </row>
    <row r="8380" spans="1:11" ht="42" customHeight="1">
      <c r="A8380" s="2" t="s">
        <v>16578</v>
      </c>
      <c r="B8380" s="2" t="s">
        <v>16579</v>
      </c>
      <c r="C8380" s="2" t="s">
        <v>17</v>
      </c>
      <c r="D8380" s="2" t="s">
        <v>18</v>
      </c>
      <c r="E8380" s="5">
        <v>-28009</v>
      </c>
      <c r="F8380" s="3" t="s">
        <v>307</v>
      </c>
      <c r="G8380" s="3" t="s">
        <v>39</v>
      </c>
      <c r="H8380" s="2" t="s">
        <v>21</v>
      </c>
      <c r="I8380" s="2" t="s">
        <v>16582</v>
      </c>
      <c r="J8380" s="3" t="str">
        <f>HYPERLINK("https://www.boe.es/gazeta/dias/1823/04/24/pdfs/GES-1823-14.pdf#page=1","Abrir facsímil")</f>
        <v>Abrir facsímil</v>
      </c>
      <c r="K8380" s="3" t="s">
        <v>23</v>
      </c>
    </row>
    <row r="8381" spans="1:11" ht="42" customHeight="1">
      <c r="A8381" s="2" t="s">
        <v>16578</v>
      </c>
      <c r="B8381" s="2" t="s">
        <v>16579</v>
      </c>
      <c r="C8381" s="2" t="s">
        <v>79</v>
      </c>
      <c r="D8381" s="2" t="s">
        <v>74</v>
      </c>
      <c r="E8381" s="5">
        <v>-28002</v>
      </c>
      <c r="F8381" s="3" t="s">
        <v>245</v>
      </c>
      <c r="G8381" s="3" t="s">
        <v>39</v>
      </c>
      <c r="H8381" s="2" t="s">
        <v>21</v>
      </c>
      <c r="I8381" s="2" t="s">
        <v>16583</v>
      </c>
      <c r="J8381" s="3" t="str">
        <f>HYPERLINK("https://www.boe.es/gazeta/dias/1823/05/01/pdfs/GMD-1823-82.pdf#page=1","Abrir facsímil")</f>
        <v>Abrir facsímil</v>
      </c>
      <c r="K8381" s="3" t="s">
        <v>23</v>
      </c>
    </row>
    <row r="8382" spans="1:11" ht="42" customHeight="1">
      <c r="A8382" s="2" t="s">
        <v>16584</v>
      </c>
      <c r="B8382" s="2" t="s">
        <v>16585</v>
      </c>
      <c r="C8382" s="2" t="s">
        <v>109</v>
      </c>
      <c r="D8382" s="2" t="s">
        <v>74</v>
      </c>
      <c r="E8382" s="5">
        <v>-28056</v>
      </c>
      <c r="F8382" s="3" t="s">
        <v>572</v>
      </c>
      <c r="G8382" s="3" t="s">
        <v>59</v>
      </c>
      <c r="H8382" s="2" t="s">
        <v>21</v>
      </c>
      <c r="I8382" s="2" t="s">
        <v>16586</v>
      </c>
      <c r="J8382" s="3" t="str">
        <f>HYPERLINK("https://www.boe.es/gazeta/dias/1823/03/08/pdfs/GMD-1823-71.pdf#page=6","Abrir facsímil")</f>
        <v>Abrir facsímil</v>
      </c>
      <c r="K8382" s="3" t="s">
        <v>23</v>
      </c>
    </row>
    <row r="8383" spans="1:11" ht="42" customHeight="1">
      <c r="A8383" s="2" t="s">
        <v>16587</v>
      </c>
      <c r="B8383" s="2" t="s">
        <v>16587</v>
      </c>
      <c r="C8383" s="2" t="s">
        <v>17</v>
      </c>
      <c r="D8383" s="2" t="s">
        <v>18</v>
      </c>
      <c r="E8383" s="5">
        <v>-27938</v>
      </c>
      <c r="F8383" s="3" t="s">
        <v>101</v>
      </c>
      <c r="G8383" s="3" t="s">
        <v>27</v>
      </c>
      <c r="H8383" s="2" t="s">
        <v>21</v>
      </c>
      <c r="I8383" s="2" t="s">
        <v>16588</v>
      </c>
      <c r="J8383" s="3" t="str">
        <f>HYPERLINK("https://www.boe.es/gazeta/dias/1823/07/04/pdfs/GES-1823-84.pdf#page=2","Abrir facsímil")</f>
        <v>Abrir facsímil</v>
      </c>
      <c r="K8383" s="3" t="s">
        <v>23</v>
      </c>
    </row>
    <row r="8384" spans="1:11" ht="42" customHeight="1">
      <c r="A8384" s="2" t="s">
        <v>16589</v>
      </c>
      <c r="B8384" s="2" t="s">
        <v>16589</v>
      </c>
      <c r="C8384" s="2" t="s">
        <v>17</v>
      </c>
      <c r="D8384" s="2" t="s">
        <v>18</v>
      </c>
      <c r="E8384" s="5">
        <v>-27904</v>
      </c>
      <c r="F8384" s="3" t="s">
        <v>1227</v>
      </c>
      <c r="G8384" s="3" t="s">
        <v>20</v>
      </c>
      <c r="H8384" s="2" t="s">
        <v>21</v>
      </c>
      <c r="I8384" s="2" t="s">
        <v>16590</v>
      </c>
      <c r="J8384" s="3" t="str">
        <f>HYPERLINK("https://www.boe.es/gazeta/dias/1823/08/07/pdfs/GMD-1823-543.pdf#page=4","Abrir facsímil")</f>
        <v>Abrir facsímil</v>
      </c>
      <c r="K8384" s="3" t="s">
        <v>23</v>
      </c>
    </row>
    <row r="8385" spans="1:11" ht="42" customHeight="1">
      <c r="A8385" s="2" t="s">
        <v>16591</v>
      </c>
      <c r="B8385" s="2" t="s">
        <v>16592</v>
      </c>
      <c r="C8385" s="2" t="s">
        <v>79</v>
      </c>
      <c r="D8385" s="2" t="s">
        <v>74</v>
      </c>
      <c r="E8385" s="5">
        <v>-28048</v>
      </c>
      <c r="F8385" s="3" t="s">
        <v>399</v>
      </c>
      <c r="G8385" s="3" t="s">
        <v>20</v>
      </c>
      <c r="H8385" s="2" t="s">
        <v>21</v>
      </c>
      <c r="I8385" s="2" t="s">
        <v>16593</v>
      </c>
      <c r="J8385" s="3" t="str">
        <f>HYPERLINK("https://www.boe.es/gazeta/dias/1823/03/16/pdfs/GMD-1823-79.pdf#page=4","Abrir facsímil")</f>
        <v>Abrir facsímil</v>
      </c>
      <c r="K8385" s="3" t="s">
        <v>23</v>
      </c>
    </row>
    <row r="8386" spans="1:11" ht="42" customHeight="1">
      <c r="A8386" s="2" t="s">
        <v>16594</v>
      </c>
      <c r="B8386" s="2" t="s">
        <v>16595</v>
      </c>
      <c r="C8386" s="2" t="s">
        <v>73</v>
      </c>
      <c r="D8386" s="2" t="s">
        <v>74</v>
      </c>
      <c r="E8386" s="5">
        <v>-27808</v>
      </c>
      <c r="F8386" s="3" t="s">
        <v>1602</v>
      </c>
      <c r="G8386" s="3" t="s">
        <v>39</v>
      </c>
      <c r="H8386" s="2" t="s">
        <v>21</v>
      </c>
      <c r="I8386" s="2" t="s">
        <v>16596</v>
      </c>
      <c r="J8386" s="3" t="str">
        <f>HYPERLINK("https://www.boe.es/gazeta/dias/1823/11/11/pdfs/GMD-1823-1103.pdf#page=1","Abrir facsímil")</f>
        <v>Abrir facsímil</v>
      </c>
      <c r="K8386" s="3" t="s">
        <v>23</v>
      </c>
    </row>
    <row r="8387" spans="1:11" ht="42" customHeight="1">
      <c r="A8387" s="2" t="s">
        <v>16597</v>
      </c>
      <c r="B8387" s="2" t="s">
        <v>16598</v>
      </c>
      <c r="C8387" s="2" t="s">
        <v>17</v>
      </c>
      <c r="D8387" s="2" t="s">
        <v>18</v>
      </c>
      <c r="E8387" s="5">
        <v>-28076</v>
      </c>
      <c r="F8387" s="3" t="s">
        <v>1638</v>
      </c>
      <c r="G8387" s="3" t="s">
        <v>59</v>
      </c>
      <c r="H8387" s="2" t="s">
        <v>21</v>
      </c>
      <c r="I8387" s="2" t="s">
        <v>16599</v>
      </c>
      <c r="J8387" s="3" t="str">
        <f>HYPERLINK("https://www.boe.es/gazeta/dias/1823/02/16/pdfs/GMD-1823-50.pdf#page=6","Abrir facsímil")</f>
        <v>Abrir facsímil</v>
      </c>
      <c r="K8387" s="3" t="s">
        <v>23</v>
      </c>
    </row>
    <row r="8388" spans="1:11" ht="42" customHeight="1">
      <c r="A8388" s="2" t="s">
        <v>16600</v>
      </c>
      <c r="B8388" s="2" t="s">
        <v>16601</v>
      </c>
      <c r="C8388" s="2" t="s">
        <v>17</v>
      </c>
      <c r="D8388" s="2" t="s">
        <v>18</v>
      </c>
      <c r="E8388" s="5">
        <v>-27766</v>
      </c>
      <c r="F8388" s="3" t="s">
        <v>3450</v>
      </c>
      <c r="G8388" s="3" t="s">
        <v>20</v>
      </c>
      <c r="H8388" s="2" t="s">
        <v>21</v>
      </c>
      <c r="I8388" s="2" t="s">
        <v>16602</v>
      </c>
      <c r="J8388" s="3" t="str">
        <f>HYPERLINK("https://www.boe.es/gazeta/dias/1823/12/23/pdfs/GMD-1823-1283.pdf#page=4","Abrir facsímil")</f>
        <v>Abrir facsímil</v>
      </c>
      <c r="K8388" s="3" t="s">
        <v>23</v>
      </c>
    </row>
    <row r="8389" spans="1:11" ht="42" customHeight="1">
      <c r="A8389" s="2" t="s">
        <v>16603</v>
      </c>
      <c r="B8389" s="2" t="s">
        <v>16604</v>
      </c>
      <c r="C8389" s="2" t="s">
        <v>79</v>
      </c>
      <c r="D8389" s="2" t="s">
        <v>74</v>
      </c>
      <c r="E8389" s="5">
        <v>-28082</v>
      </c>
      <c r="F8389" s="3" t="s">
        <v>468</v>
      </c>
      <c r="G8389" s="3" t="s">
        <v>59</v>
      </c>
      <c r="H8389" s="2" t="s">
        <v>21</v>
      </c>
      <c r="I8389" s="2" t="s">
        <v>16605</v>
      </c>
      <c r="J8389" s="3" t="str">
        <f>HYPERLINK("https://www.boe.es/gazeta/dias/1823/02/10/pdfs/GMD-1823-44.pdf#page=6","Abrir facsímil")</f>
        <v>Abrir facsímil</v>
      </c>
      <c r="K8389" s="3" t="s">
        <v>23</v>
      </c>
    </row>
    <row r="8390" spans="1:11" ht="42" customHeight="1">
      <c r="A8390" s="2" t="s">
        <v>16606</v>
      </c>
      <c r="B8390" s="2" t="s">
        <v>16607</v>
      </c>
      <c r="C8390" s="2" t="s">
        <v>84</v>
      </c>
      <c r="D8390" s="2" t="s">
        <v>74</v>
      </c>
      <c r="E8390" s="5">
        <v>-28115</v>
      </c>
      <c r="F8390" s="3" t="s">
        <v>579</v>
      </c>
      <c r="G8390" s="3" t="s">
        <v>1458</v>
      </c>
      <c r="H8390" s="2" t="s">
        <v>21</v>
      </c>
      <c r="I8390" s="2" t="s">
        <v>16608</v>
      </c>
      <c r="J8390" s="3" t="str">
        <f>HYPERLINK("https://www.boe.es/gazeta/dias/1823/01/08/pdfs/GMD-1823-8.pdf#page=4","Abrir facsímil")</f>
        <v>Abrir facsímil</v>
      </c>
      <c r="K8390" s="3" t="s">
        <v>23</v>
      </c>
    </row>
    <row r="8391" spans="1:11" ht="42" customHeight="1">
      <c r="A8391" s="2" t="s">
        <v>16609</v>
      </c>
      <c r="B8391" s="2" t="s">
        <v>16610</v>
      </c>
      <c r="C8391" s="2" t="s">
        <v>17</v>
      </c>
      <c r="D8391" s="2" t="s">
        <v>18</v>
      </c>
      <c r="E8391" s="5">
        <v>-27995</v>
      </c>
      <c r="F8391" s="3" t="s">
        <v>326</v>
      </c>
      <c r="G8391" s="3" t="s">
        <v>39</v>
      </c>
      <c r="H8391" s="2" t="s">
        <v>21</v>
      </c>
      <c r="I8391" s="2" t="s">
        <v>16611</v>
      </c>
      <c r="J8391" s="3" t="str">
        <f>HYPERLINK("https://www.boe.es/gazeta/dias/1823/05/08/pdfs/GMD-1823-112.pdf#page=1","Abrir facsímil")</f>
        <v>Abrir facsímil</v>
      </c>
      <c r="K8391" s="3" t="s">
        <v>23</v>
      </c>
    </row>
    <row r="8392" spans="1:11" ht="42" customHeight="1">
      <c r="A8392" s="2" t="s">
        <v>16612</v>
      </c>
      <c r="B8392" s="2" t="s">
        <v>16612</v>
      </c>
      <c r="C8392" s="2" t="s">
        <v>17</v>
      </c>
      <c r="D8392" s="2" t="s">
        <v>18</v>
      </c>
      <c r="E8392" s="5">
        <v>-28012</v>
      </c>
      <c r="F8392" s="3" t="s">
        <v>4707</v>
      </c>
      <c r="G8392" s="3" t="s">
        <v>27</v>
      </c>
      <c r="H8392" s="2" t="s">
        <v>21</v>
      </c>
      <c r="I8392" s="2" t="s">
        <v>16613</v>
      </c>
      <c r="J8392" s="3" t="str">
        <f>HYPERLINK("https://www.boe.es/gazeta/dias/1823/04/21/pdfs/GES-1823-11.pdf#page=2","Abrir facsímil")</f>
        <v>Abrir facsímil</v>
      </c>
      <c r="K8392" s="3" t="s">
        <v>23</v>
      </c>
    </row>
    <row r="8393" spans="1:11" ht="42" customHeight="1">
      <c r="A8393" s="2" t="s">
        <v>16614</v>
      </c>
      <c r="B8393" s="2" t="s">
        <v>16615</v>
      </c>
      <c r="C8393" s="2" t="s">
        <v>17</v>
      </c>
      <c r="D8393" s="2" t="s">
        <v>18</v>
      </c>
      <c r="E8393" s="5">
        <v>-27877</v>
      </c>
      <c r="F8393" s="3" t="s">
        <v>844</v>
      </c>
      <c r="G8393" s="3" t="s">
        <v>20</v>
      </c>
      <c r="H8393" s="2" t="s">
        <v>21</v>
      </c>
      <c r="I8393" s="2" t="s">
        <v>16616</v>
      </c>
      <c r="J8393" s="3" t="str">
        <f>HYPERLINK("https://www.boe.es/gazeta/dias/1823/09/03/pdfs/GES-1823-147.pdf#page=4","Abrir facsímil")</f>
        <v>Abrir facsímil</v>
      </c>
      <c r="K8393" s="3" t="s">
        <v>23</v>
      </c>
    </row>
    <row r="8394" spans="1:11" ht="42" customHeight="1">
      <c r="A8394" s="2" t="s">
        <v>16617</v>
      </c>
      <c r="B8394" s="2" t="s">
        <v>16618</v>
      </c>
      <c r="C8394" s="2" t="s">
        <v>17</v>
      </c>
      <c r="D8394" s="2" t="s">
        <v>18</v>
      </c>
      <c r="E8394" s="5">
        <v>-27829</v>
      </c>
      <c r="F8394" s="3" t="s">
        <v>228</v>
      </c>
      <c r="G8394" s="3" t="s">
        <v>20</v>
      </c>
      <c r="H8394" s="2" t="s">
        <v>21</v>
      </c>
      <c r="I8394" s="2" t="s">
        <v>16619</v>
      </c>
      <c r="J8394" s="3" t="str">
        <f>HYPERLINK("https://www.boe.es/gazeta/dias/1823/10/21/pdfs/GMD-1823-1003.pdf#page=4","Abrir facsímil")</f>
        <v>Abrir facsímil</v>
      </c>
      <c r="K8394" s="3" t="s">
        <v>23</v>
      </c>
    </row>
    <row r="8395" spans="1:11" ht="42" customHeight="1">
      <c r="A8395" s="2" t="s">
        <v>16620</v>
      </c>
      <c r="B8395" s="2" t="s">
        <v>16620</v>
      </c>
      <c r="C8395" s="2" t="s">
        <v>17</v>
      </c>
      <c r="D8395" s="2" t="s">
        <v>18</v>
      </c>
      <c r="E8395" s="5">
        <v>-27878</v>
      </c>
      <c r="F8395" s="3" t="s">
        <v>130</v>
      </c>
      <c r="G8395" s="3" t="s">
        <v>48</v>
      </c>
      <c r="H8395" s="2" t="s">
        <v>21</v>
      </c>
      <c r="I8395" s="2" t="s">
        <v>16621</v>
      </c>
      <c r="J8395" s="3" t="str">
        <f>HYPERLINK("https://www.boe.es/gazeta/dias/1823/09/02/pdfs/GES-1823-146.pdf#page=3","Abrir facsímil")</f>
        <v>Abrir facsímil</v>
      </c>
      <c r="K8395" s="3" t="s">
        <v>23</v>
      </c>
    </row>
    <row r="8396" spans="1:11" ht="42" customHeight="1">
      <c r="A8396" s="2" t="s">
        <v>16622</v>
      </c>
      <c r="B8396" s="2" t="s">
        <v>16623</v>
      </c>
      <c r="C8396" s="2" t="s">
        <v>17</v>
      </c>
      <c r="D8396" s="2" t="s">
        <v>18</v>
      </c>
      <c r="E8396" s="5">
        <v>-28013</v>
      </c>
      <c r="F8396" s="3" t="s">
        <v>2466</v>
      </c>
      <c r="G8396" s="3" t="s">
        <v>2467</v>
      </c>
      <c r="H8396" s="2" t="s">
        <v>21</v>
      </c>
      <c r="I8396" s="2" t="s">
        <v>16624</v>
      </c>
      <c r="J8396" s="3" t="str">
        <f>HYPERLINK("https://www.boe.es/gazeta/dias/1823/04/20/pdfs/GES-1823-10.pdf#page=3","Abrir facsímil")</f>
        <v>Abrir facsímil</v>
      </c>
      <c r="K8396" s="3" t="s">
        <v>23</v>
      </c>
    </row>
    <row r="8397" spans="1:11" ht="42" customHeight="1">
      <c r="A8397" s="2" t="s">
        <v>16625</v>
      </c>
      <c r="B8397" s="2" t="s">
        <v>16626</v>
      </c>
      <c r="C8397" s="2" t="s">
        <v>17</v>
      </c>
      <c r="D8397" s="2" t="s">
        <v>18</v>
      </c>
      <c r="E8397" s="5">
        <v>-28102</v>
      </c>
      <c r="F8397" s="3" t="s">
        <v>287</v>
      </c>
      <c r="G8397" s="3" t="s">
        <v>27</v>
      </c>
      <c r="H8397" s="2" t="s">
        <v>28</v>
      </c>
      <c r="I8397" s="2" t="s">
        <v>16627</v>
      </c>
      <c r="J8397" s="3" t="str">
        <f>HYPERLINK("https://www.boe.es/gazeta/dias/1823/01/21/pdfs/GMD-1823-22.pdf#page=2","Abrir facsímil")</f>
        <v>Abrir facsímil</v>
      </c>
      <c r="K8397" s="3" t="s">
        <v>30</v>
      </c>
    </row>
    <row r="8398" spans="1:11" ht="42" customHeight="1">
      <c r="A8398" s="2" t="s">
        <v>16628</v>
      </c>
      <c r="B8398" s="2" t="s">
        <v>16629</v>
      </c>
      <c r="C8398" s="2" t="s">
        <v>73</v>
      </c>
      <c r="D8398" s="2" t="s">
        <v>74</v>
      </c>
      <c r="E8398" s="5">
        <v>-28013</v>
      </c>
      <c r="F8398" s="3" t="s">
        <v>105</v>
      </c>
      <c r="G8398" s="3" t="s">
        <v>27</v>
      </c>
      <c r="H8398" s="2" t="s">
        <v>21</v>
      </c>
      <c r="I8398" s="2" t="s">
        <v>16630</v>
      </c>
      <c r="J8398" s="3" t="str">
        <f>HYPERLINK("https://www.boe.es/gazeta/dias/1823/04/20/pdfs/GMD-1823-32.pdf#page=2","Abrir facsímil")</f>
        <v>Abrir facsímil</v>
      </c>
      <c r="K8398" s="3" t="s">
        <v>23</v>
      </c>
    </row>
    <row r="8399" spans="1:11" ht="42" customHeight="1">
      <c r="A8399" s="2" t="s">
        <v>16631</v>
      </c>
      <c r="B8399" s="2" t="s">
        <v>16632</v>
      </c>
      <c r="C8399" s="2" t="s">
        <v>17</v>
      </c>
      <c r="D8399" s="2" t="s">
        <v>18</v>
      </c>
      <c r="E8399" s="5">
        <v>-28063</v>
      </c>
      <c r="F8399" s="3" t="s">
        <v>2493</v>
      </c>
      <c r="G8399" s="3" t="s">
        <v>20</v>
      </c>
      <c r="H8399" s="2" t="s">
        <v>21</v>
      </c>
      <c r="I8399" s="2" t="s">
        <v>16633</v>
      </c>
      <c r="J8399" s="3" t="str">
        <f>HYPERLINK("https://www.boe.es/gazeta/dias/1823/03/01/pdfs/GMD-1823-63.pdf#page=4","Abrir facsímil")</f>
        <v>Abrir facsímil</v>
      </c>
      <c r="K8399" s="3" t="s">
        <v>23</v>
      </c>
    </row>
    <row r="8400" spans="1:11" ht="42" customHeight="1">
      <c r="A8400" s="2" t="s">
        <v>16634</v>
      </c>
      <c r="B8400" s="2" t="s">
        <v>16634</v>
      </c>
      <c r="C8400" s="2" t="s">
        <v>17</v>
      </c>
      <c r="D8400" s="2" t="s">
        <v>18</v>
      </c>
      <c r="E8400" s="5">
        <v>-28027</v>
      </c>
      <c r="F8400" s="3" t="s">
        <v>4234</v>
      </c>
      <c r="G8400" s="3" t="s">
        <v>48</v>
      </c>
      <c r="H8400" s="2" t="s">
        <v>21</v>
      </c>
      <c r="I8400" s="2" t="s">
        <v>16635</v>
      </c>
      <c r="J8400" s="3" t="str">
        <f>HYPERLINK("https://www.boe.es/gazeta/dias/1823/04/06/pdfs/GMD-1823-101.pdf#page=3","Abrir facsímil")</f>
        <v>Abrir facsímil</v>
      </c>
      <c r="K8400" s="3" t="s">
        <v>23</v>
      </c>
    </row>
    <row r="8401" spans="1:11" ht="42" customHeight="1">
      <c r="A8401" s="2" t="s">
        <v>16634</v>
      </c>
      <c r="B8401" s="2" t="s">
        <v>16634</v>
      </c>
      <c r="C8401" s="2" t="s">
        <v>79</v>
      </c>
      <c r="D8401" s="2" t="s">
        <v>74</v>
      </c>
      <c r="E8401" s="5">
        <v>-27953</v>
      </c>
      <c r="F8401" s="3" t="s">
        <v>1783</v>
      </c>
      <c r="G8401" s="3" t="s">
        <v>20</v>
      </c>
      <c r="H8401" s="2" t="s">
        <v>21</v>
      </c>
      <c r="I8401" s="2" t="s">
        <v>16636</v>
      </c>
      <c r="J8401" s="3" t="str">
        <f>HYPERLINK("https://www.boe.es/gazeta/dias/1823/06/19/pdfs/GES-1823-67.pdf#page=4","Abrir facsímil")</f>
        <v>Abrir facsímil</v>
      </c>
      <c r="K8401" s="3" t="s">
        <v>23</v>
      </c>
    </row>
    <row r="8402" spans="1:11" ht="42" customHeight="1">
      <c r="A8402" s="2" t="s">
        <v>16637</v>
      </c>
      <c r="B8402" s="2" t="s">
        <v>16637</v>
      </c>
      <c r="C8402" s="2" t="s">
        <v>17</v>
      </c>
      <c r="D8402" s="2" t="s">
        <v>18</v>
      </c>
      <c r="E8402" s="5">
        <v>-27906</v>
      </c>
      <c r="F8402" s="3" t="s">
        <v>241</v>
      </c>
      <c r="G8402" s="3" t="s">
        <v>20</v>
      </c>
      <c r="H8402" s="2" t="s">
        <v>21</v>
      </c>
      <c r="I8402" s="2" t="s">
        <v>16638</v>
      </c>
      <c r="J8402" s="3" t="str">
        <f>HYPERLINK("https://www.boe.es/gazeta/dias/1823/08/05/pdfs/GES-1823-117.pdf#page=4","Abrir facsímil")</f>
        <v>Abrir facsímil</v>
      </c>
      <c r="K8402" s="3" t="s">
        <v>23</v>
      </c>
    </row>
    <row r="8403" spans="1:11" ht="42" customHeight="1">
      <c r="A8403" s="2" t="s">
        <v>16639</v>
      </c>
      <c r="B8403" s="2" t="s">
        <v>16640</v>
      </c>
      <c r="C8403" s="2" t="s">
        <v>79</v>
      </c>
      <c r="D8403" s="2" t="s">
        <v>74</v>
      </c>
      <c r="E8403" s="5">
        <v>-27953</v>
      </c>
      <c r="F8403" s="3" t="s">
        <v>1543</v>
      </c>
      <c r="G8403" s="3" t="s">
        <v>39</v>
      </c>
      <c r="H8403" s="2" t="s">
        <v>21</v>
      </c>
      <c r="I8403" s="2" t="s">
        <v>16641</v>
      </c>
      <c r="J8403" s="3" t="str">
        <f>HYPERLINK("https://www.boe.es/gazeta/dias/1823/06/19/pdfs/GMD-1823-193.pdf#page=1","Abrir facsímil")</f>
        <v>Abrir facsímil</v>
      </c>
      <c r="K8403" s="3" t="s">
        <v>23</v>
      </c>
    </row>
    <row r="8404" spans="1:11" ht="42" customHeight="1">
      <c r="A8404" s="2" t="s">
        <v>16642</v>
      </c>
      <c r="B8404" s="2" t="s">
        <v>16643</v>
      </c>
      <c r="C8404" s="2" t="s">
        <v>17</v>
      </c>
      <c r="D8404" s="2" t="s">
        <v>18</v>
      </c>
      <c r="E8404" s="5">
        <v>-28116</v>
      </c>
      <c r="F8404" s="3" t="s">
        <v>134</v>
      </c>
      <c r="G8404" s="3" t="s">
        <v>59</v>
      </c>
      <c r="H8404" s="2" t="s">
        <v>21</v>
      </c>
      <c r="I8404" s="2" t="s">
        <v>16644</v>
      </c>
      <c r="J8404" s="3" t="str">
        <f>HYPERLINK("https://www.boe.es/gazeta/dias/1823/01/07/pdfs/GMD-1823-7.pdf#page=6","Abrir facsímil")</f>
        <v>Abrir facsímil</v>
      </c>
      <c r="K8404" s="3" t="s">
        <v>23</v>
      </c>
    </row>
    <row r="8405" spans="1:11" ht="42" customHeight="1">
      <c r="A8405" s="2" t="s">
        <v>16645</v>
      </c>
      <c r="B8405" s="2" t="s">
        <v>16646</v>
      </c>
      <c r="C8405" s="2" t="s">
        <v>17</v>
      </c>
      <c r="D8405" s="2" t="s">
        <v>18</v>
      </c>
      <c r="E8405" s="5">
        <v>-28037</v>
      </c>
      <c r="F8405" s="3" t="s">
        <v>192</v>
      </c>
      <c r="G8405" s="3" t="s">
        <v>48</v>
      </c>
      <c r="H8405" s="2" t="s">
        <v>21</v>
      </c>
      <c r="I8405" s="2" t="s">
        <v>16647</v>
      </c>
      <c r="J8405" s="3" t="str">
        <f>HYPERLINK("https://www.boe.es/gazeta/dias/1823/03/27/pdfs/GMD-1823-90.pdf#page=3","Abrir facsímil")</f>
        <v>Abrir facsímil</v>
      </c>
      <c r="K8405" s="3" t="s">
        <v>23</v>
      </c>
    </row>
    <row r="8406" spans="1:11" ht="42" customHeight="1">
      <c r="A8406" s="2" t="s">
        <v>16648</v>
      </c>
      <c r="B8406" s="2" t="s">
        <v>16649</v>
      </c>
      <c r="C8406" s="2" t="s">
        <v>17</v>
      </c>
      <c r="D8406" s="2" t="s">
        <v>18</v>
      </c>
      <c r="E8406" s="5">
        <v>-28079</v>
      </c>
      <c r="F8406" s="3" t="s">
        <v>178</v>
      </c>
      <c r="G8406" s="3" t="s">
        <v>27</v>
      </c>
      <c r="H8406" s="2" t="s">
        <v>21</v>
      </c>
      <c r="I8406" s="2" t="s">
        <v>16650</v>
      </c>
      <c r="J8406" s="3" t="str">
        <f>HYPERLINK("https://www.boe.es/gazeta/dias/1823/02/13/pdfs/GMD-1823-47.pdf#page=2","Abrir facsímil")</f>
        <v>Abrir facsímil</v>
      </c>
      <c r="K8406" s="3" t="s">
        <v>23</v>
      </c>
    </row>
    <row r="8407" spans="1:11" ht="42" customHeight="1">
      <c r="A8407" s="2" t="s">
        <v>16651</v>
      </c>
      <c r="B8407" s="2" t="s">
        <v>16652</v>
      </c>
      <c r="C8407" s="2" t="s">
        <v>17</v>
      </c>
      <c r="D8407" s="2" t="s">
        <v>18</v>
      </c>
      <c r="E8407" s="5">
        <v>-27804</v>
      </c>
      <c r="F8407" s="3" t="s">
        <v>836</v>
      </c>
      <c r="G8407" s="3" t="s">
        <v>20</v>
      </c>
      <c r="H8407" s="2" t="s">
        <v>21</v>
      </c>
      <c r="I8407" s="2" t="s">
        <v>16653</v>
      </c>
      <c r="J8407" s="3" t="str">
        <f>HYPERLINK("https://www.boe.es/gazeta/dias/1823/11/15/pdfs/GMD-1823-1123.pdf#page=4","Abrir facsímil")</f>
        <v>Abrir facsímil</v>
      </c>
      <c r="K8407" s="3" t="s">
        <v>23</v>
      </c>
    </row>
    <row r="8408" spans="1:11" ht="42" customHeight="1">
      <c r="A8408" s="2" t="s">
        <v>16654</v>
      </c>
      <c r="B8408" s="2" t="s">
        <v>16655</v>
      </c>
      <c r="C8408" s="2" t="s">
        <v>17</v>
      </c>
      <c r="D8408" s="2" t="s">
        <v>18</v>
      </c>
      <c r="E8408" s="5">
        <v>-27967</v>
      </c>
      <c r="F8408" s="3" t="s">
        <v>412</v>
      </c>
      <c r="G8408" s="3" t="s">
        <v>27</v>
      </c>
      <c r="H8408" s="2" t="s">
        <v>21</v>
      </c>
      <c r="I8408" s="2" t="s">
        <v>16656</v>
      </c>
      <c r="J8408" s="3" t="str">
        <f>HYPERLINK("https://www.boe.es/gazeta/dias/1823/06/05/pdfs/GES-1823-59.pdf#page=2","Abrir facsímil")</f>
        <v>Abrir facsímil</v>
      </c>
      <c r="K8408" s="3" t="s">
        <v>23</v>
      </c>
    </row>
    <row r="8409" spans="1:11" ht="42" customHeight="1">
      <c r="A8409" s="2" t="s">
        <v>16657</v>
      </c>
      <c r="B8409" s="2" t="s">
        <v>16658</v>
      </c>
      <c r="C8409" s="2" t="s">
        <v>17</v>
      </c>
      <c r="D8409" s="2" t="s">
        <v>18</v>
      </c>
      <c r="E8409" s="5">
        <v>-28042</v>
      </c>
      <c r="F8409" s="3" t="s">
        <v>1218</v>
      </c>
      <c r="G8409" s="3" t="s">
        <v>20</v>
      </c>
      <c r="H8409" s="2" t="s">
        <v>21</v>
      </c>
      <c r="I8409" s="2" t="s">
        <v>16659</v>
      </c>
      <c r="J8409" s="3" t="str">
        <f>HYPERLINK("https://www.boe.es/gazeta/dias/1823/03/22/pdfs/GMD-1823-85.pdf#page=4","Abrir facsímil")</f>
        <v>Abrir facsímil</v>
      </c>
      <c r="K8409" s="3" t="s">
        <v>23</v>
      </c>
    </row>
    <row r="8410" spans="1:11" ht="42" customHeight="1">
      <c r="A8410" s="2" t="s">
        <v>16657</v>
      </c>
      <c r="B8410" s="2" t="s">
        <v>16658</v>
      </c>
      <c r="C8410" s="2" t="s">
        <v>17</v>
      </c>
      <c r="D8410" s="2" t="s">
        <v>18</v>
      </c>
      <c r="E8410" s="5">
        <v>-28041</v>
      </c>
      <c r="F8410" s="3" t="s">
        <v>873</v>
      </c>
      <c r="G8410" s="3" t="s">
        <v>366</v>
      </c>
      <c r="H8410" s="2" t="s">
        <v>21</v>
      </c>
      <c r="I8410" s="2" t="s">
        <v>16660</v>
      </c>
      <c r="J8410" s="3" t="str">
        <f>HYPERLINK("https://www.boe.es/gazeta/dias/1823/03/23/pdfs/GMD-1823-86.pdf#page=4","Abrir facsímil")</f>
        <v>Abrir facsímil</v>
      </c>
      <c r="K8410" s="3" t="s">
        <v>23</v>
      </c>
    </row>
    <row r="8411" spans="1:11" ht="42" customHeight="1">
      <c r="A8411" s="2" t="s">
        <v>16661</v>
      </c>
      <c r="B8411" s="2" t="s">
        <v>16662</v>
      </c>
      <c r="C8411" s="2" t="s">
        <v>79</v>
      </c>
      <c r="D8411" s="2" t="s">
        <v>74</v>
      </c>
      <c r="E8411" s="5">
        <v>-28098</v>
      </c>
      <c r="F8411" s="3" t="s">
        <v>1101</v>
      </c>
      <c r="G8411" s="3" t="s">
        <v>20</v>
      </c>
      <c r="H8411" s="2" t="s">
        <v>21</v>
      </c>
      <c r="I8411" s="2" t="s">
        <v>16663</v>
      </c>
      <c r="J8411" s="3" t="str">
        <f>HYPERLINK("https://www.boe.es/gazeta/dias/1823/01/25/pdfs/GMD-1823-26.pdf#page=4","Abrir facsímil")</f>
        <v>Abrir facsímil</v>
      </c>
      <c r="K8411" s="3" t="s">
        <v>23</v>
      </c>
    </row>
    <row r="8412" spans="1:11" ht="42" customHeight="1">
      <c r="A8412" s="2" t="s">
        <v>16661</v>
      </c>
      <c r="B8412" s="2" t="s">
        <v>16662</v>
      </c>
      <c r="C8412" s="2" t="s">
        <v>325</v>
      </c>
      <c r="D8412" s="2" t="s">
        <v>74</v>
      </c>
      <c r="E8412" s="5">
        <v>-28061</v>
      </c>
      <c r="F8412" s="3" t="s">
        <v>704</v>
      </c>
      <c r="G8412" s="3" t="s">
        <v>59</v>
      </c>
      <c r="H8412" s="2" t="s">
        <v>21</v>
      </c>
      <c r="I8412" s="2" t="s">
        <v>16664</v>
      </c>
      <c r="J8412" s="3" t="str">
        <f>HYPERLINK("https://www.boe.es/gazeta/dias/1823/03/03/pdfs/GMD-1823-66.pdf#page=6","Abrir facsímil")</f>
        <v>Abrir facsímil</v>
      </c>
      <c r="K8412" s="3" t="s">
        <v>23</v>
      </c>
    </row>
    <row r="8413" spans="1:11" ht="42" customHeight="1">
      <c r="A8413" s="2" t="s">
        <v>16661</v>
      </c>
      <c r="B8413" s="2" t="s">
        <v>16662</v>
      </c>
      <c r="C8413" s="2" t="s">
        <v>84</v>
      </c>
      <c r="D8413" s="2" t="s">
        <v>74</v>
      </c>
      <c r="E8413" s="5">
        <v>-28037</v>
      </c>
      <c r="F8413" s="3" t="s">
        <v>192</v>
      </c>
      <c r="G8413" s="3" t="s">
        <v>20</v>
      </c>
      <c r="H8413" s="2" t="s">
        <v>21</v>
      </c>
      <c r="I8413" s="2" t="s">
        <v>16665</v>
      </c>
      <c r="J8413" s="3" t="str">
        <f>HYPERLINK("https://www.boe.es/gazeta/dias/1823/03/27/pdfs/GMD-1823-90.pdf#page=4","Abrir facsímil")</f>
        <v>Abrir facsímil</v>
      </c>
      <c r="K8413" s="3" t="s">
        <v>23</v>
      </c>
    </row>
    <row r="8414" spans="1:11" ht="42" customHeight="1">
      <c r="A8414" s="2" t="s">
        <v>16666</v>
      </c>
      <c r="B8414" s="2" t="s">
        <v>16667</v>
      </c>
      <c r="C8414" s="2" t="s">
        <v>17</v>
      </c>
      <c r="D8414" s="2" t="s">
        <v>18</v>
      </c>
      <c r="E8414" s="5">
        <v>-27787</v>
      </c>
      <c r="F8414" s="3" t="s">
        <v>865</v>
      </c>
      <c r="G8414" s="3" t="s">
        <v>39</v>
      </c>
      <c r="H8414" s="2" t="s">
        <v>21</v>
      </c>
      <c r="I8414" s="2" t="s">
        <v>16668</v>
      </c>
      <c r="J8414" s="3" t="str">
        <f>HYPERLINK("https://www.boe.es/gazeta/dias/1823/12/02/pdfs/GMD-1823-1193.pdf#page=1","Abrir facsímil")</f>
        <v>Abrir facsímil</v>
      </c>
      <c r="K8414" s="3" t="s">
        <v>23</v>
      </c>
    </row>
    <row r="8415" spans="1:11" ht="42" customHeight="1">
      <c r="A8415" s="2" t="s">
        <v>16669</v>
      </c>
      <c r="B8415" s="2" t="s">
        <v>16670</v>
      </c>
      <c r="C8415" s="2" t="s">
        <v>17</v>
      </c>
      <c r="D8415" s="2" t="s">
        <v>18</v>
      </c>
      <c r="E8415" s="5">
        <v>-28025</v>
      </c>
      <c r="F8415" s="3" t="s">
        <v>477</v>
      </c>
      <c r="G8415" s="3" t="s">
        <v>20</v>
      </c>
      <c r="H8415" s="2" t="s">
        <v>21</v>
      </c>
      <c r="I8415" s="2" t="s">
        <v>16671</v>
      </c>
      <c r="J8415" s="3" t="str">
        <f>HYPERLINK("https://www.boe.es/gazeta/dias/1823/04/08/pdfs/GMD-1823-103.pdf#page=4","Abrir facsímil")</f>
        <v>Abrir facsímil</v>
      </c>
      <c r="K8415" s="3" t="s">
        <v>23</v>
      </c>
    </row>
    <row r="8416" spans="1:11" ht="42" customHeight="1">
      <c r="A8416" s="2" t="s">
        <v>16672</v>
      </c>
      <c r="B8416" s="2" t="s">
        <v>16673</v>
      </c>
      <c r="C8416" s="2" t="s">
        <v>79</v>
      </c>
      <c r="D8416" s="2" t="s">
        <v>74</v>
      </c>
      <c r="E8416" s="5">
        <v>-27906</v>
      </c>
      <c r="F8416" s="3" t="s">
        <v>241</v>
      </c>
      <c r="G8416" s="3" t="s">
        <v>2212</v>
      </c>
      <c r="H8416" s="2" t="s">
        <v>21</v>
      </c>
      <c r="I8416" s="2" t="s">
        <v>16674</v>
      </c>
      <c r="J8416" s="3" t="str">
        <f>HYPERLINK("https://www.boe.es/gazeta/dias/1823/08/05/pdfs/GES-1823-117.pdf#page=2","Abrir facsímil")</f>
        <v>Abrir facsímil</v>
      </c>
      <c r="K8416" s="3" t="s">
        <v>23</v>
      </c>
    </row>
    <row r="8417" spans="1:11" ht="42" customHeight="1">
      <c r="A8417" s="2" t="s">
        <v>16675</v>
      </c>
      <c r="B8417" s="2" t="s">
        <v>16676</v>
      </c>
      <c r="C8417" s="2" t="s">
        <v>17</v>
      </c>
      <c r="D8417" s="2" t="s">
        <v>117</v>
      </c>
      <c r="E8417" s="5">
        <v>-28092</v>
      </c>
      <c r="F8417" s="3" t="s">
        <v>156</v>
      </c>
      <c r="G8417" s="3" t="s">
        <v>39</v>
      </c>
      <c r="H8417" s="2" t="s">
        <v>21</v>
      </c>
      <c r="I8417" s="2" t="s">
        <v>16677</v>
      </c>
      <c r="J8417" s="3" t="str">
        <f>HYPERLINK("https://www.boe.es/gazeta/dias/1823/01/31/pdfs/GMD-1823-33E.pdf#page=1","Abrir facsímil")</f>
        <v>Abrir facsímil</v>
      </c>
      <c r="K8417" s="3" t="s">
        <v>23</v>
      </c>
    </row>
    <row r="8418" spans="1:11" ht="42" customHeight="1">
      <c r="A8418" s="2" t="s">
        <v>16678</v>
      </c>
      <c r="B8418" s="2" t="s">
        <v>16679</v>
      </c>
      <c r="C8418" s="2" t="s">
        <v>17</v>
      </c>
      <c r="D8418" s="2" t="s">
        <v>18</v>
      </c>
      <c r="E8418" s="5">
        <v>-28087</v>
      </c>
      <c r="F8418" s="3" t="s">
        <v>3125</v>
      </c>
      <c r="G8418" s="3" t="s">
        <v>34</v>
      </c>
      <c r="H8418" s="2" t="s">
        <v>21</v>
      </c>
      <c r="I8418" s="2" t="s">
        <v>16680</v>
      </c>
      <c r="J8418" s="3" t="str">
        <f>HYPERLINK("https://www.boe.es/gazeta/dias/1823/02/05/pdfs/GMD-1823-38.pdf#page=5","Abrir facsímil")</f>
        <v>Abrir facsímil</v>
      </c>
      <c r="K8418" s="3" t="s">
        <v>23</v>
      </c>
    </row>
    <row r="8419" spans="1:11" ht="42" customHeight="1">
      <c r="A8419" s="2" t="s">
        <v>16675</v>
      </c>
      <c r="B8419" s="2" t="s">
        <v>16676</v>
      </c>
      <c r="C8419" s="2" t="s">
        <v>17</v>
      </c>
      <c r="D8419" s="2" t="s">
        <v>18</v>
      </c>
      <c r="E8419" s="5">
        <v>-28003</v>
      </c>
      <c r="F8419" s="3" t="s">
        <v>26</v>
      </c>
      <c r="G8419" s="3" t="s">
        <v>27</v>
      </c>
      <c r="H8419" s="2" t="s">
        <v>21</v>
      </c>
      <c r="I8419" s="2" t="s">
        <v>16681</v>
      </c>
      <c r="J8419" s="3" t="str">
        <f>HYPERLINK("https://www.boe.es/gazeta/dias/1823/04/30/pdfs/GES-1823-20.pdf#page=2","Abrir facsímil")</f>
        <v>Abrir facsímil</v>
      </c>
      <c r="K8419" s="3" t="s">
        <v>23</v>
      </c>
    </row>
    <row r="8420" spans="1:11" ht="42" customHeight="1">
      <c r="A8420" s="2" t="s">
        <v>16682</v>
      </c>
      <c r="B8420" s="2" t="s">
        <v>16683</v>
      </c>
      <c r="C8420" s="2" t="s">
        <v>56</v>
      </c>
      <c r="D8420" s="2" t="s">
        <v>57</v>
      </c>
      <c r="E8420" s="5">
        <v>-27992</v>
      </c>
      <c r="F8420" s="3" t="s">
        <v>565</v>
      </c>
      <c r="G8420" s="3" t="s">
        <v>1279</v>
      </c>
      <c r="H8420" s="2" t="s">
        <v>21</v>
      </c>
      <c r="I8420" s="2" t="s">
        <v>16684</v>
      </c>
      <c r="J8420" s="3" t="str">
        <f>HYPERLINK("https://www.boe.es/gazeta/dias/1823/05/11/pdfs/GES-1823-31.pdf#page=2","Abrir facsímil")</f>
        <v>Abrir facsímil</v>
      </c>
      <c r="K8420" s="3" t="s">
        <v>23</v>
      </c>
    </row>
    <row r="8421" spans="1:11" ht="42" customHeight="1">
      <c r="A8421" s="2" t="s">
        <v>16682</v>
      </c>
      <c r="B8421" s="2" t="s">
        <v>16683</v>
      </c>
      <c r="C8421" s="2" t="s">
        <v>17</v>
      </c>
      <c r="D8421" s="2" t="s">
        <v>18</v>
      </c>
      <c r="E8421" s="5">
        <v>-27986</v>
      </c>
      <c r="F8421" s="3" t="s">
        <v>75</v>
      </c>
      <c r="G8421" s="3" t="s">
        <v>27</v>
      </c>
      <c r="H8421" s="2" t="s">
        <v>21</v>
      </c>
      <c r="I8421" s="2" t="s">
        <v>16685</v>
      </c>
      <c r="J8421" s="3" t="str">
        <f>HYPERLINK("https://www.boe.es/gazeta/dias/1823/05/17/pdfs/GES-1823-37.pdf#page=2","Abrir facsímil")</f>
        <v>Abrir facsímil</v>
      </c>
      <c r="K8421" s="3" t="s">
        <v>23</v>
      </c>
    </row>
    <row r="8422" spans="1:11" ht="42" customHeight="1">
      <c r="A8422" s="2" t="s">
        <v>16686</v>
      </c>
      <c r="B8422" s="2" t="s">
        <v>16687</v>
      </c>
      <c r="C8422" s="2" t="s">
        <v>73</v>
      </c>
      <c r="D8422" s="2" t="s">
        <v>74</v>
      </c>
      <c r="E8422" s="5">
        <v>-27974</v>
      </c>
      <c r="F8422" s="3" t="s">
        <v>618</v>
      </c>
      <c r="G8422" s="3" t="s">
        <v>39</v>
      </c>
      <c r="H8422" s="2" t="s">
        <v>21</v>
      </c>
      <c r="I8422" s="2" t="s">
        <v>16688</v>
      </c>
      <c r="J8422" s="3" t="str">
        <f>HYPERLINK("https://www.boe.es/gazeta/dias/1823/05/29/pdfs/GES-1823-52.pdf#page=1","Abrir facsímil")</f>
        <v>Abrir facsímil</v>
      </c>
      <c r="K8422" s="3" t="s">
        <v>23</v>
      </c>
    </row>
    <row r="8423" spans="1:11" ht="42" customHeight="1">
      <c r="A8423" s="2" t="s">
        <v>16689</v>
      </c>
      <c r="B8423" s="2" t="s">
        <v>16690</v>
      </c>
      <c r="C8423" s="2" t="s">
        <v>56</v>
      </c>
      <c r="D8423" s="2" t="s">
        <v>57</v>
      </c>
      <c r="E8423" s="5">
        <v>-28048</v>
      </c>
      <c r="F8423" s="3" t="s">
        <v>399</v>
      </c>
      <c r="G8423" s="3" t="s">
        <v>59</v>
      </c>
      <c r="H8423" s="2" t="s">
        <v>21</v>
      </c>
      <c r="I8423" s="2" t="s">
        <v>16691</v>
      </c>
      <c r="J8423" s="3" t="str">
        <f>HYPERLINK("https://www.boe.es/gazeta/dias/1823/03/16/pdfs/GMD-1823-79.pdf#page=6","Abrir facsímil")</f>
        <v>Abrir facsímil</v>
      </c>
      <c r="K8423" s="3" t="s">
        <v>23</v>
      </c>
    </row>
    <row r="8424" spans="1:11" ht="42" customHeight="1">
      <c r="A8424" s="2" t="s">
        <v>16692</v>
      </c>
      <c r="B8424" s="2" t="s">
        <v>16693</v>
      </c>
      <c r="C8424" s="2" t="s">
        <v>73</v>
      </c>
      <c r="D8424" s="2" t="s">
        <v>74</v>
      </c>
      <c r="E8424" s="5">
        <v>-27961</v>
      </c>
      <c r="F8424" s="3" t="s">
        <v>52</v>
      </c>
      <c r="G8424" s="3" t="s">
        <v>39</v>
      </c>
      <c r="H8424" s="2" t="s">
        <v>21</v>
      </c>
      <c r="I8424" s="2" t="s">
        <v>16694</v>
      </c>
      <c r="J8424" s="3" t="str">
        <f>HYPERLINK("https://www.boe.es/gazeta/dias/1823/06/11/pdfs/GES-1823-65.pdf#page=1","Abrir facsímil")</f>
        <v>Abrir facsímil</v>
      </c>
      <c r="K8424" s="3" t="s">
        <v>23</v>
      </c>
    </row>
    <row r="8425" spans="1:11" ht="42" customHeight="1">
      <c r="A8425" s="2" t="s">
        <v>16695</v>
      </c>
      <c r="B8425" s="2" t="s">
        <v>16696</v>
      </c>
      <c r="C8425" s="2" t="s">
        <v>17</v>
      </c>
      <c r="D8425" s="2" t="s">
        <v>18</v>
      </c>
      <c r="E8425" s="5">
        <v>-28065</v>
      </c>
      <c r="F8425" s="3" t="s">
        <v>686</v>
      </c>
      <c r="G8425" s="3" t="s">
        <v>20</v>
      </c>
      <c r="H8425" s="2" t="s">
        <v>21</v>
      </c>
      <c r="I8425" s="2" t="s">
        <v>16697</v>
      </c>
      <c r="J8425" s="3" t="str">
        <f>HYPERLINK("https://www.boe.es/gazeta/dias/1823/02/27/pdfs/GMD-1823-61.pdf#page=4","Abrir facsímil")</f>
        <v>Abrir facsímil</v>
      </c>
      <c r="K8425" s="3" t="s">
        <v>23</v>
      </c>
    </row>
    <row r="8426" spans="1:11" ht="42" customHeight="1">
      <c r="A8426" s="2" t="s">
        <v>16695</v>
      </c>
      <c r="B8426" s="2" t="s">
        <v>16696</v>
      </c>
      <c r="C8426" s="2" t="s">
        <v>109</v>
      </c>
      <c r="D8426" s="2" t="s">
        <v>74</v>
      </c>
      <c r="E8426" s="5">
        <v>-28047</v>
      </c>
      <c r="F8426" s="3" t="s">
        <v>2269</v>
      </c>
      <c r="G8426" s="3" t="s">
        <v>20</v>
      </c>
      <c r="H8426" s="2" t="s">
        <v>21</v>
      </c>
      <c r="I8426" s="2" t="s">
        <v>16698</v>
      </c>
      <c r="J8426" s="3" t="str">
        <f>HYPERLINK("https://www.boe.es/gazeta/dias/1823/03/17/pdfs/GMD-1823-80.pdf#page=4","Abrir facsímil")</f>
        <v>Abrir facsímil</v>
      </c>
      <c r="K8426" s="3" t="s">
        <v>23</v>
      </c>
    </row>
    <row r="8427" spans="1:11" ht="42" customHeight="1">
      <c r="A8427" s="2" t="s">
        <v>16699</v>
      </c>
      <c r="B8427" s="2" t="s">
        <v>16700</v>
      </c>
      <c r="C8427" s="2" t="s">
        <v>17</v>
      </c>
      <c r="D8427" s="2" t="s">
        <v>18</v>
      </c>
      <c r="E8427" s="5">
        <v>-27804</v>
      </c>
      <c r="F8427" s="3" t="s">
        <v>836</v>
      </c>
      <c r="G8427" s="3" t="s">
        <v>20</v>
      </c>
      <c r="H8427" s="2" t="s">
        <v>21</v>
      </c>
      <c r="I8427" s="2" t="s">
        <v>16701</v>
      </c>
      <c r="J8427" s="3" t="str">
        <f>HYPERLINK("https://www.boe.es/gazeta/dias/1823/11/15/pdfs/GMD-1823-1123.pdf#page=4","Abrir facsímil")</f>
        <v>Abrir facsímil</v>
      </c>
      <c r="K8427" s="3" t="s">
        <v>23</v>
      </c>
    </row>
    <row r="8428" spans="1:11" ht="42" customHeight="1">
      <c r="A8428" s="2" t="s">
        <v>16702</v>
      </c>
      <c r="B8428" s="2" t="s">
        <v>16703</v>
      </c>
      <c r="C8428" s="2" t="s">
        <v>17</v>
      </c>
      <c r="D8428" s="2" t="s">
        <v>18</v>
      </c>
      <c r="E8428" s="5">
        <v>-28021</v>
      </c>
      <c r="F8428" s="3" t="s">
        <v>1054</v>
      </c>
      <c r="G8428" s="3" t="s">
        <v>1055</v>
      </c>
      <c r="H8428" s="2" t="s">
        <v>21</v>
      </c>
      <c r="I8428" s="2" t="s">
        <v>16704</v>
      </c>
      <c r="J8428" s="3" t="str">
        <f>HYPERLINK("https://www.boe.es/gazeta/dias/1823/04/12/pdfs/GMD-1823-107.pdf#page=4","Abrir facsímil")</f>
        <v>Abrir facsímil</v>
      </c>
      <c r="K8428" s="3" t="s">
        <v>23</v>
      </c>
    </row>
    <row r="8429" spans="1:11" ht="42" customHeight="1">
      <c r="A8429" s="2" t="s">
        <v>16705</v>
      </c>
      <c r="B8429" s="2" t="s">
        <v>16706</v>
      </c>
      <c r="C8429" s="2" t="s">
        <v>17</v>
      </c>
      <c r="D8429" s="2" t="s">
        <v>18</v>
      </c>
      <c r="E8429" s="5">
        <v>-27906</v>
      </c>
      <c r="F8429" s="3" t="s">
        <v>241</v>
      </c>
      <c r="G8429" s="3" t="s">
        <v>20</v>
      </c>
      <c r="H8429" s="2" t="s">
        <v>21</v>
      </c>
      <c r="I8429" s="2" t="s">
        <v>16707</v>
      </c>
      <c r="J8429" s="3" t="str">
        <f>HYPERLINK("https://www.boe.es/gazeta/dias/1823/08/05/pdfs/GES-1823-117.pdf#page=4","Abrir facsímil")</f>
        <v>Abrir facsímil</v>
      </c>
      <c r="K8429" s="3" t="s">
        <v>23</v>
      </c>
    </row>
    <row r="8430" spans="1:11" ht="42" customHeight="1">
      <c r="A8430" s="2" t="s">
        <v>16708</v>
      </c>
      <c r="B8430" s="2" t="s">
        <v>16709</v>
      </c>
      <c r="C8430" s="2" t="s">
        <v>17</v>
      </c>
      <c r="D8430" s="2" t="s">
        <v>18</v>
      </c>
      <c r="E8430" s="5">
        <v>-28092</v>
      </c>
      <c r="F8430" s="3" t="s">
        <v>105</v>
      </c>
      <c r="G8430" s="3" t="s">
        <v>59</v>
      </c>
      <c r="H8430" s="2" t="s">
        <v>21</v>
      </c>
      <c r="I8430" s="2" t="s">
        <v>16710</v>
      </c>
      <c r="J8430" s="3" t="str">
        <f>HYPERLINK("https://www.boe.es/gazeta/dias/1823/01/31/pdfs/GMD-1823-32.pdf#page=6","Abrir facsímil")</f>
        <v>Abrir facsímil</v>
      </c>
      <c r="K8430" s="3" t="s">
        <v>23</v>
      </c>
    </row>
    <row r="8431" spans="1:11" ht="42" customHeight="1">
      <c r="A8431" s="2" t="s">
        <v>16711</v>
      </c>
      <c r="B8431" s="2" t="s">
        <v>16711</v>
      </c>
      <c r="C8431" s="2" t="s">
        <v>17</v>
      </c>
      <c r="D8431" s="2" t="s">
        <v>18</v>
      </c>
      <c r="E8431" s="5">
        <v>-27852</v>
      </c>
      <c r="F8431" s="3" t="s">
        <v>2628</v>
      </c>
      <c r="G8431" s="3" t="s">
        <v>7694</v>
      </c>
      <c r="H8431" s="2" t="s">
        <v>21</v>
      </c>
      <c r="I8431" s="2" t="s">
        <v>16712</v>
      </c>
      <c r="J8431" s="3" t="str">
        <f>HYPERLINK("https://www.boe.es/gazeta/dias/1823/09/28/pdfs/GES-1823-172.pdf#page=2","Abrir facsímil")</f>
        <v>Abrir facsímil</v>
      </c>
      <c r="K8431" s="3" t="s">
        <v>23</v>
      </c>
    </row>
    <row r="8432" spans="1:11" ht="42" customHeight="1">
      <c r="A8432" s="2" t="s">
        <v>16713</v>
      </c>
      <c r="B8432" s="2" t="s">
        <v>16714</v>
      </c>
      <c r="C8432" s="2" t="s">
        <v>17</v>
      </c>
      <c r="D8432" s="2" t="s">
        <v>18</v>
      </c>
      <c r="E8432" s="5">
        <v>-28015</v>
      </c>
      <c r="F8432" s="3" t="s">
        <v>985</v>
      </c>
      <c r="G8432" s="3" t="s">
        <v>20</v>
      </c>
      <c r="H8432" s="2" t="s">
        <v>21</v>
      </c>
      <c r="I8432" s="2" t="s">
        <v>16715</v>
      </c>
      <c r="J8432" s="3" t="str">
        <f>HYPERLINK("https://www.boe.es/gazeta/dias/1823/04/18/pdfs/GES-1823-8.pdf#page=4","Abrir facsímil")</f>
        <v>Abrir facsímil</v>
      </c>
      <c r="K8432" s="3" t="s">
        <v>23</v>
      </c>
    </row>
    <row r="8433" spans="1:11" ht="42" customHeight="1">
      <c r="A8433" s="2" t="s">
        <v>16716</v>
      </c>
      <c r="B8433" s="2" t="s">
        <v>16717</v>
      </c>
      <c r="C8433" s="2" t="s">
        <v>79</v>
      </c>
      <c r="D8433" s="2" t="s">
        <v>74</v>
      </c>
      <c r="E8433" s="5">
        <v>-27906</v>
      </c>
      <c r="F8433" s="3" t="s">
        <v>1527</v>
      </c>
      <c r="G8433" s="3" t="s">
        <v>39</v>
      </c>
      <c r="H8433" s="2" t="s">
        <v>21</v>
      </c>
      <c r="I8433" s="2" t="s">
        <v>16718</v>
      </c>
      <c r="J8433" s="3" t="str">
        <f>HYPERLINK("https://www.boe.es/gazeta/dias/1823/08/05/pdfs/GMD-1823-533.pdf#page=1","Abrir facsímil")</f>
        <v>Abrir facsímil</v>
      </c>
      <c r="K8433" s="3" t="s">
        <v>23</v>
      </c>
    </row>
    <row r="8434" spans="1:11" ht="42" customHeight="1">
      <c r="A8434" s="2" t="s">
        <v>16719</v>
      </c>
      <c r="B8434" s="2" t="s">
        <v>16720</v>
      </c>
      <c r="C8434" s="2" t="s">
        <v>56</v>
      </c>
      <c r="D8434" s="2" t="s">
        <v>57</v>
      </c>
      <c r="E8434" s="5">
        <v>-27913</v>
      </c>
      <c r="F8434" s="3" t="s">
        <v>829</v>
      </c>
      <c r="G8434" s="3" t="s">
        <v>48</v>
      </c>
      <c r="H8434" s="2" t="s">
        <v>21</v>
      </c>
      <c r="I8434" s="2" t="s">
        <v>16721</v>
      </c>
      <c r="J8434" s="3" t="str">
        <f>HYPERLINK("https://www.boe.es/gazeta/dias/1823/07/29/pdfs/GMD-1823-483.pdf#page=3","Abrir facsímil")</f>
        <v>Abrir facsímil</v>
      </c>
      <c r="K8434" s="3" t="s">
        <v>23</v>
      </c>
    </row>
    <row r="8435" spans="1:11" ht="42" customHeight="1">
      <c r="A8435" s="2" t="s">
        <v>16722</v>
      </c>
      <c r="B8435" s="2" t="s">
        <v>16723</v>
      </c>
      <c r="C8435" s="2" t="s">
        <v>17</v>
      </c>
      <c r="D8435" s="2" t="s">
        <v>18</v>
      </c>
      <c r="E8435" s="5">
        <v>-28078</v>
      </c>
      <c r="F8435" s="3" t="s">
        <v>508</v>
      </c>
      <c r="G8435" s="3" t="s">
        <v>59</v>
      </c>
      <c r="H8435" s="2" t="s">
        <v>21</v>
      </c>
      <c r="I8435" s="2" t="s">
        <v>16724</v>
      </c>
      <c r="J8435" s="3" t="str">
        <f>HYPERLINK("https://www.boe.es/gazeta/dias/1823/02/14/pdfs/GMD-1823-48.pdf#page=6","Abrir facsímil")</f>
        <v>Abrir facsímil</v>
      </c>
      <c r="K8435" s="3" t="s">
        <v>23</v>
      </c>
    </row>
    <row r="8436" spans="1:11" ht="42" customHeight="1">
      <c r="A8436" s="2" t="s">
        <v>16725</v>
      </c>
      <c r="B8436" s="2" t="s">
        <v>16726</v>
      </c>
      <c r="C8436" s="2" t="s">
        <v>17</v>
      </c>
      <c r="D8436" s="2" t="s">
        <v>18</v>
      </c>
      <c r="E8436" s="5">
        <v>-27891</v>
      </c>
      <c r="F8436" s="3" t="s">
        <v>825</v>
      </c>
      <c r="G8436" s="3" t="s">
        <v>20</v>
      </c>
      <c r="H8436" s="2" t="s">
        <v>21</v>
      </c>
      <c r="I8436" s="2" t="s">
        <v>16727</v>
      </c>
      <c r="J8436" s="3" t="str">
        <f>HYPERLINK("https://www.boe.es/gazeta/dias/1823/08/20/pdfs/GES-1823-133.pdf#page=4","Abrir facsímil")</f>
        <v>Abrir facsímil</v>
      </c>
      <c r="K8436" s="3" t="s">
        <v>23</v>
      </c>
    </row>
    <row r="8437" spans="1:11" ht="42" customHeight="1">
      <c r="A8437" s="2" t="s">
        <v>16728</v>
      </c>
      <c r="B8437" s="2" t="s">
        <v>16728</v>
      </c>
      <c r="C8437" s="2" t="s">
        <v>56</v>
      </c>
      <c r="D8437" s="2" t="s">
        <v>57</v>
      </c>
      <c r="E8437" s="5">
        <v>-27967</v>
      </c>
      <c r="F8437" s="3" t="s">
        <v>412</v>
      </c>
      <c r="G8437" s="3" t="s">
        <v>27</v>
      </c>
      <c r="H8437" s="2" t="s">
        <v>21</v>
      </c>
      <c r="I8437" s="2" t="s">
        <v>16729</v>
      </c>
      <c r="J8437" s="3" t="str">
        <f>HYPERLINK("https://www.boe.es/gazeta/dias/1823/06/05/pdfs/GES-1823-59.pdf#page=2","Abrir facsímil")</f>
        <v>Abrir facsímil</v>
      </c>
      <c r="K8437" s="3" t="s">
        <v>23</v>
      </c>
    </row>
    <row r="8438" spans="1:11" ht="42" customHeight="1">
      <c r="A8438" s="2" t="s">
        <v>16730</v>
      </c>
      <c r="B8438" s="2" t="s">
        <v>16731</v>
      </c>
      <c r="C8438" s="2" t="s">
        <v>17</v>
      </c>
      <c r="D8438" s="2" t="s">
        <v>18</v>
      </c>
      <c r="E8438" s="5">
        <v>-27911</v>
      </c>
      <c r="F8438" s="3" t="s">
        <v>368</v>
      </c>
      <c r="G8438" s="3" t="s">
        <v>39</v>
      </c>
      <c r="H8438" s="2" t="s">
        <v>21</v>
      </c>
      <c r="I8438" s="2" t="s">
        <v>16732</v>
      </c>
      <c r="J8438" s="3" t="str">
        <f>HYPERLINK("https://www.boe.es/gazeta/dias/1823/07/31/pdfs/GES-1823-112.pdf#page=1","Abrir facsímil")</f>
        <v>Abrir facsímil</v>
      </c>
      <c r="K8438" s="3" t="s">
        <v>23</v>
      </c>
    </row>
    <row r="8439" spans="1:11" ht="42" customHeight="1">
      <c r="A8439" s="2" t="s">
        <v>16733</v>
      </c>
      <c r="B8439" s="2" t="s">
        <v>16734</v>
      </c>
      <c r="C8439" s="2" t="s">
        <v>84</v>
      </c>
      <c r="D8439" s="2" t="s">
        <v>74</v>
      </c>
      <c r="E8439" s="5">
        <v>-27922</v>
      </c>
      <c r="F8439" s="3" t="s">
        <v>1959</v>
      </c>
      <c r="G8439" s="3" t="s">
        <v>48</v>
      </c>
      <c r="H8439" s="2" t="s">
        <v>28</v>
      </c>
      <c r="I8439" s="2" t="s">
        <v>16735</v>
      </c>
      <c r="J8439" s="3" t="str">
        <f>HYPERLINK("https://www.boe.es/gazeta/dias/1823/07/20/pdfs/GES-1823-101.pdf#page=3","Abrir facsímil")</f>
        <v>Abrir facsímil</v>
      </c>
      <c r="K8439" s="3" t="s">
        <v>30</v>
      </c>
    </row>
    <row r="8440" spans="1:11" ht="42" customHeight="1">
      <c r="A8440" s="2" t="s">
        <v>16736</v>
      </c>
      <c r="B8440" s="2" t="s">
        <v>16736</v>
      </c>
      <c r="C8440" s="2" t="s">
        <v>109</v>
      </c>
      <c r="D8440" s="2" t="s">
        <v>74</v>
      </c>
      <c r="E8440" s="5">
        <v>-27913</v>
      </c>
      <c r="F8440" s="3" t="s">
        <v>821</v>
      </c>
      <c r="G8440" s="3" t="s">
        <v>1204</v>
      </c>
      <c r="H8440" s="2" t="s">
        <v>21</v>
      </c>
      <c r="I8440" s="2" t="s">
        <v>16737</v>
      </c>
      <c r="J8440" s="3" t="str">
        <f>HYPERLINK("https://www.boe.es/gazeta/dias/1823/07/29/pdfs/GES-1823-110.pdf#page=2","Abrir facsímil")</f>
        <v>Abrir facsímil</v>
      </c>
      <c r="K8440" s="3" t="s">
        <v>23</v>
      </c>
    </row>
    <row r="8441" spans="1:11" ht="42" customHeight="1">
      <c r="A8441" s="2" t="s">
        <v>16738</v>
      </c>
      <c r="B8441" s="2" t="s">
        <v>16738</v>
      </c>
      <c r="C8441" s="2" t="s">
        <v>109</v>
      </c>
      <c r="D8441" s="2" t="s">
        <v>74</v>
      </c>
      <c r="E8441" s="5">
        <v>-28113</v>
      </c>
      <c r="F8441" s="3" t="s">
        <v>2088</v>
      </c>
      <c r="G8441" s="3" t="s">
        <v>48</v>
      </c>
      <c r="H8441" s="2" t="s">
        <v>21</v>
      </c>
      <c r="I8441" s="2" t="s">
        <v>16739</v>
      </c>
      <c r="J8441" s="3" t="str">
        <f>HYPERLINK("https://www.boe.es/gazeta/dias/1823/01/10/pdfs/GMD-1823-10.pdf#page=3","Abrir facsímil")</f>
        <v>Abrir facsímil</v>
      </c>
      <c r="K8441" s="3" t="s">
        <v>23</v>
      </c>
    </row>
    <row r="8442" spans="1:11" ht="42" customHeight="1">
      <c r="A8442" s="2" t="s">
        <v>16740</v>
      </c>
      <c r="B8442" s="2" t="s">
        <v>16740</v>
      </c>
      <c r="C8442" s="2" t="s">
        <v>109</v>
      </c>
      <c r="D8442" s="2" t="s">
        <v>74</v>
      </c>
      <c r="E8442" s="5">
        <v>-27960</v>
      </c>
      <c r="F8442" s="3" t="s">
        <v>741</v>
      </c>
      <c r="G8442" s="3" t="s">
        <v>48</v>
      </c>
      <c r="H8442" s="2" t="s">
        <v>21</v>
      </c>
      <c r="I8442" s="2" t="s">
        <v>16741</v>
      </c>
      <c r="J8442" s="3" t="str">
        <f>HYPERLINK("https://www.boe.es/gazeta/dias/1823/06/12/pdfs/GES-1823-66.pdf#page=3","Abrir facsímil")</f>
        <v>Abrir facsímil</v>
      </c>
      <c r="K8442" s="3" t="s">
        <v>23</v>
      </c>
    </row>
    <row r="8443" spans="1:11" ht="42" customHeight="1">
      <c r="A8443" s="2" t="s">
        <v>16742</v>
      </c>
      <c r="B8443" s="2" t="s">
        <v>16743</v>
      </c>
      <c r="C8443" s="2" t="s">
        <v>17</v>
      </c>
      <c r="D8443" s="2" t="s">
        <v>18</v>
      </c>
      <c r="E8443" s="5">
        <v>-27910</v>
      </c>
      <c r="F8443" s="3" t="s">
        <v>38</v>
      </c>
      <c r="G8443" s="3" t="s">
        <v>20</v>
      </c>
      <c r="H8443" s="2" t="s">
        <v>21</v>
      </c>
      <c r="I8443" s="2" t="s">
        <v>16744</v>
      </c>
      <c r="J8443" s="3" t="str">
        <f>HYPERLINK("https://www.boe.es/gazeta/dias/1823/08/01/pdfs/GES-1823-113.pdf#page=4","Abrir facsímil")</f>
        <v>Abrir facsímil</v>
      </c>
      <c r="K8443" s="3" t="s">
        <v>23</v>
      </c>
    </row>
    <row r="8444" spans="1:11" ht="42" customHeight="1">
      <c r="A8444" s="2" t="s">
        <v>16745</v>
      </c>
      <c r="B8444" s="2" t="s">
        <v>16745</v>
      </c>
      <c r="C8444" s="2" t="s">
        <v>17</v>
      </c>
      <c r="D8444" s="2" t="s">
        <v>18</v>
      </c>
      <c r="E8444" s="5">
        <v>-28025</v>
      </c>
      <c r="F8444" s="3" t="s">
        <v>477</v>
      </c>
      <c r="G8444" s="3" t="s">
        <v>48</v>
      </c>
      <c r="H8444" s="2" t="s">
        <v>21</v>
      </c>
      <c r="I8444" s="2" t="s">
        <v>16746</v>
      </c>
      <c r="J8444" s="3" t="str">
        <f>HYPERLINK("https://www.boe.es/gazeta/dias/1823/04/08/pdfs/GMD-1823-103.pdf#page=3","Abrir facsímil")</f>
        <v>Abrir facsímil</v>
      </c>
      <c r="K8444" s="3" t="s">
        <v>23</v>
      </c>
    </row>
    <row r="8445" spans="1:11" ht="42" customHeight="1">
      <c r="A8445" s="2" t="s">
        <v>16745</v>
      </c>
      <c r="B8445" s="2" t="s">
        <v>16745</v>
      </c>
      <c r="C8445" s="2" t="s">
        <v>17</v>
      </c>
      <c r="D8445" s="2" t="s">
        <v>18</v>
      </c>
      <c r="E8445" s="5">
        <v>-28017</v>
      </c>
      <c r="F8445" s="3" t="s">
        <v>2912</v>
      </c>
      <c r="G8445" s="3" t="s">
        <v>39</v>
      </c>
      <c r="H8445" s="2" t="s">
        <v>21</v>
      </c>
      <c r="I8445" s="2" t="s">
        <v>16747</v>
      </c>
      <c r="J8445" s="3" t="str">
        <f>HYPERLINK("https://www.boe.es/gazeta/dias/1823/04/16/pdfs/GES-1823-6.pdf#page=1","Abrir facsímil")</f>
        <v>Abrir facsímil</v>
      </c>
      <c r="K8445" s="3" t="s">
        <v>23</v>
      </c>
    </row>
    <row r="8446" spans="1:11" ht="42" customHeight="1">
      <c r="A8446" s="2" t="s">
        <v>16748</v>
      </c>
      <c r="B8446" s="2" t="s">
        <v>16749</v>
      </c>
      <c r="C8446" s="2" t="s">
        <v>109</v>
      </c>
      <c r="D8446" s="2" t="s">
        <v>74</v>
      </c>
      <c r="E8446" s="5">
        <v>-28045</v>
      </c>
      <c r="F8446" s="3" t="s">
        <v>245</v>
      </c>
      <c r="G8446" s="3" t="s">
        <v>48</v>
      </c>
      <c r="H8446" s="2" t="s">
        <v>21</v>
      </c>
      <c r="I8446" s="2" t="s">
        <v>16750</v>
      </c>
      <c r="J8446" s="3" t="str">
        <f>HYPERLINK("https://www.boe.es/gazeta/dias/1823/03/19/pdfs/GMD-1823-82.pdf#page=3","Abrir facsímil")</f>
        <v>Abrir facsímil</v>
      </c>
      <c r="K8446" s="3" t="s">
        <v>23</v>
      </c>
    </row>
    <row r="8447" spans="1:11" ht="42" customHeight="1">
      <c r="A8447" s="2" t="s">
        <v>16751</v>
      </c>
      <c r="B8447" s="2" t="s">
        <v>16752</v>
      </c>
      <c r="C8447" s="2" t="s">
        <v>56</v>
      </c>
      <c r="D8447" s="2" t="s">
        <v>57</v>
      </c>
      <c r="E8447" s="5">
        <v>-27925</v>
      </c>
      <c r="F8447" s="3" t="s">
        <v>1744</v>
      </c>
      <c r="G8447" s="3" t="s">
        <v>48</v>
      </c>
      <c r="H8447" s="2" t="s">
        <v>21</v>
      </c>
      <c r="I8447" s="2" t="s">
        <v>16753</v>
      </c>
      <c r="J8447" s="3" t="str">
        <f>HYPERLINK("https://www.boe.es/gazeta/dias/1823/07/17/pdfs/GMD-1823-413.pdf#page=3","Abrir facsímil")</f>
        <v>Abrir facsímil</v>
      </c>
      <c r="K8447" s="3" t="s">
        <v>23</v>
      </c>
    </row>
    <row r="8448" spans="1:11" ht="42" customHeight="1">
      <c r="A8448" s="2" t="s">
        <v>16754</v>
      </c>
      <c r="B8448" s="2" t="s">
        <v>16755</v>
      </c>
      <c r="C8448" s="2" t="s">
        <v>17</v>
      </c>
      <c r="D8448" s="2" t="s">
        <v>18</v>
      </c>
      <c r="E8448" s="5">
        <v>-27968</v>
      </c>
      <c r="F8448" s="3" t="s">
        <v>1160</v>
      </c>
      <c r="G8448" s="3" t="s">
        <v>39</v>
      </c>
      <c r="H8448" s="2" t="s">
        <v>21</v>
      </c>
      <c r="I8448" s="2" t="s">
        <v>16756</v>
      </c>
      <c r="J8448" s="3" t="str">
        <f>HYPERLINK("https://www.boe.es/gazeta/dias/1823/06/04/pdfs/GES-1823-58.pdf#page=1","Abrir facsímil")</f>
        <v>Abrir facsímil</v>
      </c>
      <c r="K8448" s="3" t="s">
        <v>23</v>
      </c>
    </row>
    <row r="8449" spans="1:11" ht="42" customHeight="1">
      <c r="A8449" s="2" t="s">
        <v>16757</v>
      </c>
      <c r="B8449" s="2" t="s">
        <v>16758</v>
      </c>
      <c r="C8449" s="2" t="s">
        <v>17</v>
      </c>
      <c r="D8449" s="2" t="s">
        <v>18</v>
      </c>
      <c r="E8449" s="5">
        <v>-27988</v>
      </c>
      <c r="F8449" s="3" t="s">
        <v>692</v>
      </c>
      <c r="G8449" s="3" t="s">
        <v>27</v>
      </c>
      <c r="H8449" s="2" t="s">
        <v>21</v>
      </c>
      <c r="I8449" s="2" t="s">
        <v>16759</v>
      </c>
      <c r="J8449" s="3" t="str">
        <f>HYPERLINK("https://www.boe.es/gazeta/dias/1823/05/15/pdfs/GES-1823-35.pdf#page=2","Abrir facsímil")</f>
        <v>Abrir facsímil</v>
      </c>
      <c r="K8449" s="3" t="s">
        <v>23</v>
      </c>
    </row>
    <row r="8450" spans="1:11" ht="42" customHeight="1">
      <c r="A8450" s="2" t="s">
        <v>16760</v>
      </c>
      <c r="B8450" s="2" t="s">
        <v>16761</v>
      </c>
      <c r="C8450" s="2" t="s">
        <v>17</v>
      </c>
      <c r="D8450" s="2" t="s">
        <v>18</v>
      </c>
      <c r="E8450" s="5">
        <v>-28048</v>
      </c>
      <c r="F8450" s="3" t="s">
        <v>399</v>
      </c>
      <c r="G8450" s="3" t="s">
        <v>59</v>
      </c>
      <c r="H8450" s="2" t="s">
        <v>21</v>
      </c>
      <c r="I8450" s="2" t="s">
        <v>16762</v>
      </c>
      <c r="J8450" s="3" t="str">
        <f>HYPERLINK("https://www.boe.es/gazeta/dias/1823/03/16/pdfs/GMD-1823-79.pdf#page=6","Abrir facsímil")</f>
        <v>Abrir facsímil</v>
      </c>
      <c r="K8450" s="3" t="s">
        <v>23</v>
      </c>
    </row>
    <row r="8451" spans="1:11" ht="42" customHeight="1">
      <c r="A8451" s="2" t="s">
        <v>16763</v>
      </c>
      <c r="B8451" s="2" t="s">
        <v>16764</v>
      </c>
      <c r="C8451" s="2" t="s">
        <v>109</v>
      </c>
      <c r="D8451" s="2" t="s">
        <v>74</v>
      </c>
      <c r="E8451" s="5">
        <v>-28105</v>
      </c>
      <c r="F8451" s="3" t="s">
        <v>502</v>
      </c>
      <c r="G8451" s="3" t="s">
        <v>20</v>
      </c>
      <c r="H8451" s="2" t="s">
        <v>21</v>
      </c>
      <c r="I8451" s="2" t="s">
        <v>16765</v>
      </c>
      <c r="J8451" s="3" t="str">
        <f>HYPERLINK("https://www.boe.es/gazeta/dias/1823/01/18/pdfs/GMD-1823-18.pdf#page=4","Abrir facsímil")</f>
        <v>Abrir facsímil</v>
      </c>
      <c r="K8451" s="3" t="s">
        <v>23</v>
      </c>
    </row>
    <row r="8452" spans="1:11" ht="42" customHeight="1">
      <c r="A8452" s="2" t="s">
        <v>16766</v>
      </c>
      <c r="B8452" s="2" t="s">
        <v>16766</v>
      </c>
      <c r="C8452" s="2" t="s">
        <v>56</v>
      </c>
      <c r="D8452" s="2" t="s">
        <v>57</v>
      </c>
      <c r="E8452" s="5">
        <v>-28094</v>
      </c>
      <c r="F8452" s="3" t="s">
        <v>93</v>
      </c>
      <c r="G8452" s="3" t="s">
        <v>20</v>
      </c>
      <c r="H8452" s="2" t="s">
        <v>21</v>
      </c>
      <c r="I8452" s="2" t="s">
        <v>16767</v>
      </c>
      <c r="J8452" s="3" t="str">
        <f>HYPERLINK("https://www.boe.es/gazeta/dias/1823/01/29/pdfs/GMD-1823-30.pdf#page=4","Abrir facsímil")</f>
        <v>Abrir facsímil</v>
      </c>
      <c r="K8452" s="3" t="s">
        <v>23</v>
      </c>
    </row>
    <row r="8453" spans="1:11" ht="42" customHeight="1">
      <c r="A8453" s="2" t="s">
        <v>16768</v>
      </c>
      <c r="B8453" s="2" t="s">
        <v>16768</v>
      </c>
      <c r="C8453" s="2" t="s">
        <v>17</v>
      </c>
      <c r="D8453" s="2" t="s">
        <v>18</v>
      </c>
      <c r="E8453" s="5">
        <v>-27946</v>
      </c>
      <c r="F8453" s="3" t="s">
        <v>2146</v>
      </c>
      <c r="G8453" s="3" t="s">
        <v>20</v>
      </c>
      <c r="H8453" s="2" t="s">
        <v>21</v>
      </c>
      <c r="I8453" s="2" t="s">
        <v>16769</v>
      </c>
      <c r="J8453" s="3" t="str">
        <f>HYPERLINK("https://www.boe.es/gazeta/dias/1823/06/26/pdfs/GES-1823-76.pdf#page=4","Abrir facsímil")</f>
        <v>Abrir facsímil</v>
      </c>
      <c r="K8453" s="3" t="s">
        <v>23</v>
      </c>
    </row>
    <row r="8454" spans="1:11" ht="42" customHeight="1">
      <c r="A8454" s="2" t="s">
        <v>16770</v>
      </c>
      <c r="B8454" s="2" t="s">
        <v>16770</v>
      </c>
      <c r="C8454" s="2" t="s">
        <v>56</v>
      </c>
      <c r="D8454" s="2" t="s">
        <v>57</v>
      </c>
      <c r="E8454" s="5">
        <v>-28110</v>
      </c>
      <c r="F8454" s="3" t="s">
        <v>249</v>
      </c>
      <c r="G8454" s="3" t="s">
        <v>48</v>
      </c>
      <c r="H8454" s="2" t="s">
        <v>21</v>
      </c>
      <c r="I8454" s="2" t="s">
        <v>16771</v>
      </c>
      <c r="J8454" s="3" t="str">
        <f>HYPERLINK("https://www.boe.es/gazeta/dias/1823/01/13/pdfs/GMD-1823-13.pdf#page=3","Abrir facsímil")</f>
        <v>Abrir facsímil</v>
      </c>
      <c r="K8454" s="3" t="s">
        <v>23</v>
      </c>
    </row>
    <row r="8455" spans="1:11" ht="42" customHeight="1">
      <c r="A8455" s="2" t="s">
        <v>16772</v>
      </c>
      <c r="B8455" s="2" t="s">
        <v>16773</v>
      </c>
      <c r="C8455" s="2" t="s">
        <v>17</v>
      </c>
      <c r="D8455" s="2" t="s">
        <v>18</v>
      </c>
      <c r="E8455" s="5">
        <v>-27988</v>
      </c>
      <c r="F8455" s="3" t="s">
        <v>692</v>
      </c>
      <c r="G8455" s="3" t="s">
        <v>39</v>
      </c>
      <c r="H8455" s="2" t="s">
        <v>21</v>
      </c>
      <c r="I8455" s="2" t="s">
        <v>16774</v>
      </c>
      <c r="J8455" s="3" t="str">
        <f>HYPERLINK("https://www.boe.es/gazeta/dias/1823/05/15/pdfs/GES-1823-35.pdf#page=1","Abrir facsímil")</f>
        <v>Abrir facsímil</v>
      </c>
      <c r="K8455" s="3" t="s">
        <v>23</v>
      </c>
    </row>
    <row r="8456" spans="1:11" ht="42" customHeight="1">
      <c r="A8456" s="2" t="s">
        <v>16775</v>
      </c>
      <c r="B8456" s="2" t="s">
        <v>16776</v>
      </c>
      <c r="C8456" s="2" t="s">
        <v>17</v>
      </c>
      <c r="D8456" s="2" t="s">
        <v>18</v>
      </c>
      <c r="E8456" s="5">
        <v>-28065</v>
      </c>
      <c r="F8456" s="3" t="s">
        <v>686</v>
      </c>
      <c r="G8456" s="3" t="s">
        <v>20</v>
      </c>
      <c r="H8456" s="2" t="s">
        <v>28</v>
      </c>
      <c r="I8456" s="2" t="s">
        <v>16777</v>
      </c>
      <c r="J8456" s="3" t="str">
        <f>HYPERLINK("https://www.boe.es/gazeta/dias/1823/02/27/pdfs/GMD-1823-61.pdf#page=4","Abrir facsímil")</f>
        <v>Abrir facsímil</v>
      </c>
      <c r="K8456" s="3" t="s">
        <v>30</v>
      </c>
    </row>
    <row r="8457" spans="1:11" ht="42" customHeight="1">
      <c r="A8457" s="2" t="s">
        <v>16778</v>
      </c>
      <c r="B8457" s="2" t="s">
        <v>16779</v>
      </c>
      <c r="C8457" s="2" t="s">
        <v>56</v>
      </c>
      <c r="D8457" s="2" t="s">
        <v>57</v>
      </c>
      <c r="E8457" s="5">
        <v>-28115</v>
      </c>
      <c r="F8457" s="3" t="s">
        <v>579</v>
      </c>
      <c r="G8457" s="3" t="s">
        <v>1458</v>
      </c>
      <c r="H8457" s="2" t="s">
        <v>21</v>
      </c>
      <c r="I8457" s="2" t="s">
        <v>16780</v>
      </c>
      <c r="J8457" s="3" t="str">
        <f>HYPERLINK("https://www.boe.es/gazeta/dias/1823/01/08/pdfs/GMD-1823-8.pdf#page=4","Abrir facsímil")</f>
        <v>Abrir facsímil</v>
      </c>
      <c r="K8457" s="3" t="s">
        <v>23</v>
      </c>
    </row>
    <row r="8458" spans="1:11" ht="42" customHeight="1">
      <c r="A8458" s="2" t="s">
        <v>16778</v>
      </c>
      <c r="B8458" s="2" t="s">
        <v>16779</v>
      </c>
      <c r="C8458" s="2" t="s">
        <v>56</v>
      </c>
      <c r="D8458" s="2" t="s">
        <v>57</v>
      </c>
      <c r="E8458" s="5">
        <v>-28043</v>
      </c>
      <c r="F8458" s="3" t="s">
        <v>69</v>
      </c>
      <c r="G8458" s="3" t="s">
        <v>59</v>
      </c>
      <c r="H8458" s="2" t="s">
        <v>21</v>
      </c>
      <c r="I8458" s="2" t="s">
        <v>16781</v>
      </c>
      <c r="J8458" s="3" t="str">
        <f>HYPERLINK("https://www.boe.es/gazeta/dias/1823/03/21/pdfs/GMD-1823-84.pdf#page=6","Abrir facsímil")</f>
        <v>Abrir facsímil</v>
      </c>
      <c r="K8458" s="3" t="s">
        <v>23</v>
      </c>
    </row>
    <row r="8459" spans="1:11" ht="42" customHeight="1">
      <c r="A8459" s="2" t="s">
        <v>16778</v>
      </c>
      <c r="B8459" s="2" t="s">
        <v>16779</v>
      </c>
      <c r="C8459" s="2" t="s">
        <v>56</v>
      </c>
      <c r="D8459" s="2" t="s">
        <v>57</v>
      </c>
      <c r="E8459" s="5">
        <v>-28028</v>
      </c>
      <c r="F8459" s="3" t="s">
        <v>893</v>
      </c>
      <c r="G8459" s="3" t="s">
        <v>20</v>
      </c>
      <c r="H8459" s="2" t="s">
        <v>21</v>
      </c>
      <c r="I8459" s="2" t="s">
        <v>16782</v>
      </c>
      <c r="J8459" s="3" t="str">
        <f>HYPERLINK("https://www.boe.es/gazeta/dias/1823/04/05/pdfs/GMD-1823-99.pdf#page=4","Abrir facsímil")</f>
        <v>Abrir facsímil</v>
      </c>
      <c r="K8459" s="3" t="s">
        <v>23</v>
      </c>
    </row>
    <row r="8460" spans="1:11" ht="42" customHeight="1">
      <c r="A8460" s="2" t="s">
        <v>16783</v>
      </c>
      <c r="B8460" s="2" t="s">
        <v>16784</v>
      </c>
      <c r="C8460" s="2" t="s">
        <v>17</v>
      </c>
      <c r="D8460" s="2" t="s">
        <v>18</v>
      </c>
      <c r="E8460" s="5">
        <v>-27862</v>
      </c>
      <c r="F8460" s="3" t="s">
        <v>5328</v>
      </c>
      <c r="G8460" s="3" t="s">
        <v>5329</v>
      </c>
      <c r="H8460" s="2" t="s">
        <v>21</v>
      </c>
      <c r="I8460" s="2" t="s">
        <v>16785</v>
      </c>
      <c r="J8460" s="3" t="str">
        <f>HYPERLINK("https://www.boe.es/gazeta/dias/1823/09/18/pdfs/GES-1823-162.pdf#page=1","Abrir facsímil")</f>
        <v>Abrir facsímil</v>
      </c>
      <c r="K8460" s="3" t="s">
        <v>23</v>
      </c>
    </row>
    <row r="8461" spans="1:11" ht="42" customHeight="1">
      <c r="A8461" s="2" t="s">
        <v>16786</v>
      </c>
      <c r="B8461" s="2" t="s">
        <v>16787</v>
      </c>
      <c r="C8461" s="2" t="s">
        <v>79</v>
      </c>
      <c r="D8461" s="2" t="s">
        <v>74</v>
      </c>
      <c r="E8461" s="5">
        <v>-28037</v>
      </c>
      <c r="F8461" s="3" t="s">
        <v>192</v>
      </c>
      <c r="G8461" s="3" t="s">
        <v>48</v>
      </c>
      <c r="H8461" s="2" t="s">
        <v>28</v>
      </c>
      <c r="I8461" s="2" t="s">
        <v>16788</v>
      </c>
      <c r="J8461" s="3" t="str">
        <f>HYPERLINK("https://www.boe.es/gazeta/dias/1823/03/27/pdfs/GMD-1823-90.pdf#page=3","Abrir facsímil")</f>
        <v>Abrir facsímil</v>
      </c>
      <c r="K8461" s="3" t="s">
        <v>30</v>
      </c>
    </row>
    <row r="8462" spans="1:11" ht="42" customHeight="1">
      <c r="A8462" s="2" t="s">
        <v>16789</v>
      </c>
      <c r="B8462" s="2" t="s">
        <v>16790</v>
      </c>
      <c r="C8462" s="2" t="s">
        <v>293</v>
      </c>
      <c r="D8462" s="2" t="s">
        <v>74</v>
      </c>
      <c r="E8462" s="5">
        <v>-28041</v>
      </c>
      <c r="F8462" s="3" t="s">
        <v>873</v>
      </c>
      <c r="G8462" s="3" t="s">
        <v>366</v>
      </c>
      <c r="H8462" s="2" t="s">
        <v>21</v>
      </c>
      <c r="I8462" s="2" t="s">
        <v>16791</v>
      </c>
      <c r="J8462" s="3" t="str">
        <f>HYPERLINK("https://www.boe.es/gazeta/dias/1823/03/23/pdfs/GMD-1823-86.pdf#page=4","Abrir facsímil")</f>
        <v>Abrir facsímil</v>
      </c>
      <c r="K8462" s="3" t="s">
        <v>23</v>
      </c>
    </row>
    <row r="8463" spans="1:11" ht="42" customHeight="1">
      <c r="A8463" s="2" t="s">
        <v>16792</v>
      </c>
      <c r="B8463" s="2" t="s">
        <v>16793</v>
      </c>
      <c r="C8463" s="2" t="s">
        <v>56</v>
      </c>
      <c r="D8463" s="2" t="s">
        <v>57</v>
      </c>
      <c r="E8463" s="5">
        <v>-28013</v>
      </c>
      <c r="F8463" s="3" t="s">
        <v>105</v>
      </c>
      <c r="G8463" s="3" t="s">
        <v>20</v>
      </c>
      <c r="H8463" s="2" t="s">
        <v>21</v>
      </c>
      <c r="I8463" s="2" t="s">
        <v>16794</v>
      </c>
      <c r="J8463" s="3" t="str">
        <f>HYPERLINK("https://www.boe.es/gazeta/dias/1823/04/20/pdfs/GMD-1823-32.pdf#page=4","Abrir facsímil")</f>
        <v>Abrir facsímil</v>
      </c>
      <c r="K8463" s="3" t="s">
        <v>23</v>
      </c>
    </row>
    <row r="8464" spans="1:11" ht="42" customHeight="1">
      <c r="A8464" s="2" t="s">
        <v>16795</v>
      </c>
      <c r="B8464" s="2" t="s">
        <v>16795</v>
      </c>
      <c r="C8464" s="2" t="s">
        <v>79</v>
      </c>
      <c r="D8464" s="2" t="s">
        <v>74</v>
      </c>
      <c r="E8464" s="5">
        <v>-27920</v>
      </c>
      <c r="F8464" s="3" t="s">
        <v>1334</v>
      </c>
      <c r="G8464" s="3" t="s">
        <v>20</v>
      </c>
      <c r="H8464" s="2" t="s">
        <v>21</v>
      </c>
      <c r="I8464" s="2" t="s">
        <v>16796</v>
      </c>
      <c r="J8464" s="3" t="str">
        <f>HYPERLINK("https://www.boe.es/gazeta/dias/1823/07/22/pdfs/GMD-1823-443.pdf#page=4","Abrir facsímil")</f>
        <v>Abrir facsímil</v>
      </c>
      <c r="K8464" s="3" t="s">
        <v>23</v>
      </c>
    </row>
    <row r="8465" spans="1:11" ht="42" customHeight="1">
      <c r="A8465" s="2" t="s">
        <v>16797</v>
      </c>
      <c r="B8465" s="2" t="s">
        <v>16798</v>
      </c>
      <c r="C8465" s="2" t="s">
        <v>17</v>
      </c>
      <c r="D8465" s="2" t="s">
        <v>18</v>
      </c>
      <c r="E8465" s="5">
        <v>-28060</v>
      </c>
      <c r="F8465" s="3" t="s">
        <v>180</v>
      </c>
      <c r="G8465" s="3" t="s">
        <v>181</v>
      </c>
      <c r="H8465" s="2" t="s">
        <v>21</v>
      </c>
      <c r="I8465" s="2" t="s">
        <v>16799</v>
      </c>
      <c r="J8465" s="3" t="str">
        <f>HYPERLINK("https://www.boe.es/gazeta/dias/1823/03/04/pdfs/GMD-1823-67.pdf#page=6","Abrir facsímil")</f>
        <v>Abrir facsímil</v>
      </c>
      <c r="K8465" s="3" t="s">
        <v>23</v>
      </c>
    </row>
    <row r="8466" spans="1:11" ht="42" customHeight="1">
      <c r="A8466" s="2" t="s">
        <v>16800</v>
      </c>
      <c r="B8466" s="2" t="s">
        <v>16801</v>
      </c>
      <c r="C8466" s="2" t="s">
        <v>56</v>
      </c>
      <c r="D8466" s="2" t="s">
        <v>57</v>
      </c>
      <c r="E8466" s="5">
        <v>-27766</v>
      </c>
      <c r="F8466" s="3" t="s">
        <v>3450</v>
      </c>
      <c r="G8466" s="3" t="s">
        <v>20</v>
      </c>
      <c r="H8466" s="2" t="s">
        <v>21</v>
      </c>
      <c r="I8466" s="2" t="s">
        <v>16802</v>
      </c>
      <c r="J8466" s="3" t="str">
        <f>HYPERLINK("https://www.boe.es/gazeta/dias/1823/12/23/pdfs/GMD-1823-1283.pdf#page=4","Abrir facsímil")</f>
        <v>Abrir facsímil</v>
      </c>
      <c r="K8466" s="3" t="s">
        <v>23</v>
      </c>
    </row>
    <row r="8467" spans="1:11" ht="42" customHeight="1">
      <c r="A8467" s="2" t="s">
        <v>16803</v>
      </c>
      <c r="B8467" s="2" t="s">
        <v>16804</v>
      </c>
      <c r="C8467" s="2" t="s">
        <v>17</v>
      </c>
      <c r="D8467" s="2" t="s">
        <v>18</v>
      </c>
      <c r="E8467" s="5">
        <v>-27998</v>
      </c>
      <c r="F8467" s="3" t="s">
        <v>1058</v>
      </c>
      <c r="G8467" s="3" t="s">
        <v>59</v>
      </c>
      <c r="H8467" s="2" t="s">
        <v>21</v>
      </c>
      <c r="I8467" s="2" t="s">
        <v>16805</v>
      </c>
      <c r="J8467" s="3" t="str">
        <f>HYPERLINK("https://www.boe.es/gazeta/dias/1823/05/05/pdfs/GES-1823-25.pdf#page=6","Abrir facsímil")</f>
        <v>Abrir facsímil</v>
      </c>
      <c r="K8467" s="3" t="s">
        <v>23</v>
      </c>
    </row>
    <row r="8468" spans="1:11" ht="42" customHeight="1">
      <c r="A8468" s="2" t="s">
        <v>16803</v>
      </c>
      <c r="B8468" s="2" t="s">
        <v>16804</v>
      </c>
      <c r="C8468" s="2" t="s">
        <v>109</v>
      </c>
      <c r="D8468" s="2" t="s">
        <v>74</v>
      </c>
      <c r="E8468" s="5">
        <v>-27997</v>
      </c>
      <c r="F8468" s="3" t="s">
        <v>317</v>
      </c>
      <c r="G8468" s="3" t="s">
        <v>1124</v>
      </c>
      <c r="H8468" s="2" t="s">
        <v>21</v>
      </c>
      <c r="I8468" s="2" t="s">
        <v>16806</v>
      </c>
      <c r="J8468" s="3" t="str">
        <f>HYPERLINK("https://www.boe.es/gazeta/dias/1823/05/06/pdfs/GES-1823-26.pdf#page=2","Abrir facsímil")</f>
        <v>Abrir facsímil</v>
      </c>
      <c r="K8468" s="3" t="s">
        <v>23</v>
      </c>
    </row>
    <row r="8469" spans="1:11" ht="42" customHeight="1">
      <c r="A8469" s="2" t="s">
        <v>16803</v>
      </c>
      <c r="B8469" s="2" t="s">
        <v>16804</v>
      </c>
      <c r="C8469" s="2" t="s">
        <v>17</v>
      </c>
      <c r="D8469" s="2" t="s">
        <v>18</v>
      </c>
      <c r="E8469" s="5">
        <v>-27996</v>
      </c>
      <c r="F8469" s="3" t="s">
        <v>695</v>
      </c>
      <c r="G8469" s="3" t="s">
        <v>39</v>
      </c>
      <c r="H8469" s="2" t="s">
        <v>21</v>
      </c>
      <c r="I8469" s="2" t="s">
        <v>16807</v>
      </c>
      <c r="J8469" s="3" t="str">
        <f>HYPERLINK("https://www.boe.es/gazeta/dias/1823/05/07/pdfs/GES-1823-27.pdf#page=1","Abrir facsímil")</f>
        <v>Abrir facsímil</v>
      </c>
      <c r="K8469" s="3" t="s">
        <v>23</v>
      </c>
    </row>
    <row r="8470" spans="1:11" ht="42" customHeight="1">
      <c r="A8470" s="2" t="s">
        <v>16803</v>
      </c>
      <c r="B8470" s="2" t="s">
        <v>16804</v>
      </c>
      <c r="C8470" s="2" t="s">
        <v>17</v>
      </c>
      <c r="D8470" s="2" t="s">
        <v>18</v>
      </c>
      <c r="E8470" s="5">
        <v>-27990</v>
      </c>
      <c r="F8470" s="3" t="s">
        <v>330</v>
      </c>
      <c r="G8470" s="3" t="s">
        <v>27</v>
      </c>
      <c r="H8470" s="2" t="s">
        <v>21</v>
      </c>
      <c r="I8470" s="2" t="s">
        <v>16808</v>
      </c>
      <c r="J8470" s="3" t="str">
        <f>HYPERLINK("https://www.boe.es/gazeta/dias/1823/05/13/pdfs/GMD-1823-132.pdf#page=2","Abrir facsímil")</f>
        <v>Abrir facsímil</v>
      </c>
      <c r="K8470" s="3" t="s">
        <v>23</v>
      </c>
    </row>
    <row r="8471" spans="1:11" ht="42" customHeight="1">
      <c r="A8471" s="2" t="s">
        <v>16809</v>
      </c>
      <c r="B8471" s="2" t="s">
        <v>16810</v>
      </c>
      <c r="C8471" s="2" t="s">
        <v>325</v>
      </c>
      <c r="D8471" s="2" t="s">
        <v>74</v>
      </c>
      <c r="E8471" s="5">
        <v>-27766</v>
      </c>
      <c r="F8471" s="3" t="s">
        <v>3450</v>
      </c>
      <c r="G8471" s="3" t="s">
        <v>20</v>
      </c>
      <c r="H8471" s="2" t="s">
        <v>21</v>
      </c>
      <c r="I8471" s="2" t="s">
        <v>16811</v>
      </c>
      <c r="J8471" s="3" t="str">
        <f>HYPERLINK("https://www.boe.es/gazeta/dias/1823/12/23/pdfs/GMD-1823-1283.pdf#page=4","Abrir facsímil")</f>
        <v>Abrir facsímil</v>
      </c>
      <c r="K8471" s="3" t="s">
        <v>23</v>
      </c>
    </row>
    <row r="8472" spans="1:11" ht="42" customHeight="1">
      <c r="A8472" s="2" t="s">
        <v>16812</v>
      </c>
      <c r="B8472" s="2" t="s">
        <v>16813</v>
      </c>
      <c r="C8472" s="2" t="s">
        <v>17</v>
      </c>
      <c r="D8472" s="2" t="s">
        <v>18</v>
      </c>
      <c r="E8472" s="5">
        <v>-28061</v>
      </c>
      <c r="F8472" s="3" t="s">
        <v>704</v>
      </c>
      <c r="G8472" s="3" t="s">
        <v>59</v>
      </c>
      <c r="H8472" s="2" t="s">
        <v>21</v>
      </c>
      <c r="I8472" s="2" t="s">
        <v>16814</v>
      </c>
      <c r="J8472" s="3" t="str">
        <f>HYPERLINK("https://www.boe.es/gazeta/dias/1823/03/03/pdfs/GMD-1823-66.pdf#page=6","Abrir facsímil")</f>
        <v>Abrir facsímil</v>
      </c>
      <c r="K8472" s="3" t="s">
        <v>23</v>
      </c>
    </row>
    <row r="8473" spans="1:11" ht="42" customHeight="1">
      <c r="A8473" s="2" t="s">
        <v>16812</v>
      </c>
      <c r="B8473" s="2" t="s">
        <v>16813</v>
      </c>
      <c r="C8473" s="2" t="s">
        <v>79</v>
      </c>
      <c r="D8473" s="2" t="s">
        <v>74</v>
      </c>
      <c r="E8473" s="5">
        <v>-28018</v>
      </c>
      <c r="F8473" s="3" t="s">
        <v>275</v>
      </c>
      <c r="G8473" s="3" t="s">
        <v>20</v>
      </c>
      <c r="H8473" s="2" t="s">
        <v>21</v>
      </c>
      <c r="I8473" s="2" t="s">
        <v>16815</v>
      </c>
      <c r="J8473" s="3" t="str">
        <f>HYPERLINK("https://www.boe.es/gazeta/dias/1823/04/15/pdfs/GMD-1823-12.pdf#page=4","Abrir facsímil")</f>
        <v>Abrir facsímil</v>
      </c>
      <c r="K8473" s="3" t="s">
        <v>23</v>
      </c>
    </row>
    <row r="8474" spans="1:11" ht="42" customHeight="1">
      <c r="A8474" s="2" t="s">
        <v>16816</v>
      </c>
      <c r="B8474" s="2" t="s">
        <v>16817</v>
      </c>
      <c r="C8474" s="2" t="s">
        <v>17</v>
      </c>
      <c r="D8474" s="2" t="s">
        <v>18</v>
      </c>
      <c r="E8474" s="5">
        <v>-28097</v>
      </c>
      <c r="F8474" s="3" t="s">
        <v>1368</v>
      </c>
      <c r="G8474" s="3" t="s">
        <v>48</v>
      </c>
      <c r="H8474" s="2" t="s">
        <v>21</v>
      </c>
      <c r="I8474" s="2" t="s">
        <v>16818</v>
      </c>
      <c r="J8474" s="3" t="str">
        <f>HYPERLINK("https://www.boe.es/gazeta/dias/1823/01/26/pdfs/GMD-1823-27.pdf#page=3","Abrir facsímil")</f>
        <v>Abrir facsímil</v>
      </c>
      <c r="K8474" s="3" t="s">
        <v>23</v>
      </c>
    </row>
    <row r="8475" spans="1:11" ht="42" customHeight="1">
      <c r="A8475" s="2" t="s">
        <v>16819</v>
      </c>
      <c r="B8475" s="2" t="s">
        <v>16820</v>
      </c>
      <c r="C8475" s="2" t="s">
        <v>79</v>
      </c>
      <c r="D8475" s="2" t="s">
        <v>74</v>
      </c>
      <c r="E8475" s="5">
        <v>-28058</v>
      </c>
      <c r="F8475" s="3" t="s">
        <v>1282</v>
      </c>
      <c r="G8475" s="3" t="s">
        <v>59</v>
      </c>
      <c r="H8475" s="2" t="s">
        <v>21</v>
      </c>
      <c r="I8475" s="2" t="s">
        <v>16821</v>
      </c>
      <c r="J8475" s="3" t="str">
        <f>HYPERLINK("https://www.boe.es/gazeta/dias/1823/03/06/pdfs/GMD-1823-69.pdf#page=6","Abrir facsímil")</f>
        <v>Abrir facsímil</v>
      </c>
      <c r="K8475" s="3" t="s">
        <v>23</v>
      </c>
    </row>
    <row r="8476" spans="1:11" ht="42" customHeight="1">
      <c r="A8476" s="2" t="s">
        <v>16822</v>
      </c>
      <c r="B8476" s="2" t="s">
        <v>16822</v>
      </c>
      <c r="C8476" s="2" t="s">
        <v>17</v>
      </c>
      <c r="D8476" s="2" t="s">
        <v>117</v>
      </c>
      <c r="E8476" s="5">
        <v>-28103</v>
      </c>
      <c r="F8476" s="3" t="s">
        <v>7403</v>
      </c>
      <c r="G8476" s="3" t="s">
        <v>39</v>
      </c>
      <c r="H8476" s="2" t="s">
        <v>21</v>
      </c>
      <c r="I8476" s="2" t="s">
        <v>16823</v>
      </c>
      <c r="J8476" s="3" t="str">
        <f>HYPERLINK("https://www.boe.es/gazeta/dias/1823/01/20/pdfs/GMD-1823-21E.pdf#page=1","Abrir facsímil")</f>
        <v>Abrir facsímil</v>
      </c>
      <c r="K8476" s="3" t="s">
        <v>23</v>
      </c>
    </row>
    <row r="8477" spans="1:11" ht="42" customHeight="1">
      <c r="A8477" s="2" t="s">
        <v>16822</v>
      </c>
      <c r="B8477" s="2" t="s">
        <v>16822</v>
      </c>
      <c r="C8477" s="2" t="s">
        <v>17</v>
      </c>
      <c r="D8477" s="2" t="s">
        <v>18</v>
      </c>
      <c r="E8477" s="5">
        <v>-28090</v>
      </c>
      <c r="F8477" s="3" t="s">
        <v>174</v>
      </c>
      <c r="G8477" s="3" t="s">
        <v>20</v>
      </c>
      <c r="H8477" s="2" t="s">
        <v>21</v>
      </c>
      <c r="I8477" s="2" t="s">
        <v>16824</v>
      </c>
      <c r="J8477" s="3" t="str">
        <f>HYPERLINK("https://www.boe.es/gazeta/dias/1823/02/02/pdfs/GMD-1823-35.pdf#page=4","Abrir facsímil")</f>
        <v>Abrir facsímil</v>
      </c>
      <c r="K8477" s="3" t="s">
        <v>23</v>
      </c>
    </row>
    <row r="8478" spans="1:11" ht="42" customHeight="1">
      <c r="A8478" s="2" t="s">
        <v>16825</v>
      </c>
      <c r="B8478" s="2" t="s">
        <v>16826</v>
      </c>
      <c r="C8478" s="2" t="s">
        <v>17</v>
      </c>
      <c r="D8478" s="2" t="s">
        <v>18</v>
      </c>
      <c r="E8478" s="5">
        <v>-28007</v>
      </c>
      <c r="F8478" s="3" t="s">
        <v>1190</v>
      </c>
      <c r="G8478" s="3" t="s">
        <v>20</v>
      </c>
      <c r="H8478" s="2" t="s">
        <v>21</v>
      </c>
      <c r="I8478" s="2" t="s">
        <v>16827</v>
      </c>
      <c r="J8478" s="3" t="str">
        <f>HYPERLINK("https://www.boe.es/gazeta/dias/1823/04/26/pdfs/GMD-1823-62.pdf#page=4","Abrir facsímil")</f>
        <v>Abrir facsímil</v>
      </c>
      <c r="K8478" s="3" t="s">
        <v>23</v>
      </c>
    </row>
    <row r="8479" spans="1:11" ht="42" customHeight="1">
      <c r="A8479" s="2" t="s">
        <v>16825</v>
      </c>
      <c r="B8479" s="2" t="s">
        <v>16826</v>
      </c>
      <c r="C8479" s="2" t="s">
        <v>17</v>
      </c>
      <c r="D8479" s="2" t="s">
        <v>18</v>
      </c>
      <c r="E8479" s="5">
        <v>-28003</v>
      </c>
      <c r="F8479" s="3" t="s">
        <v>26</v>
      </c>
      <c r="G8479" s="3" t="s">
        <v>27</v>
      </c>
      <c r="H8479" s="2" t="s">
        <v>21</v>
      </c>
      <c r="I8479" s="2" t="s">
        <v>16828</v>
      </c>
      <c r="J8479" s="3" t="str">
        <f>HYPERLINK("https://www.boe.es/gazeta/dias/1823/04/30/pdfs/GES-1823-20.pdf#page=2","Abrir facsímil")</f>
        <v>Abrir facsímil</v>
      </c>
      <c r="K8479" s="3" t="s">
        <v>23</v>
      </c>
    </row>
    <row r="8480" spans="1:11" ht="42" customHeight="1">
      <c r="A8480" s="2" t="s">
        <v>16829</v>
      </c>
      <c r="B8480" s="2" t="s">
        <v>16830</v>
      </c>
      <c r="C8480" s="2" t="s">
        <v>17</v>
      </c>
      <c r="D8480" s="2" t="s">
        <v>18</v>
      </c>
      <c r="E8480" s="5">
        <v>-27906</v>
      </c>
      <c r="F8480" s="3" t="s">
        <v>241</v>
      </c>
      <c r="G8480" s="3" t="s">
        <v>20</v>
      </c>
      <c r="H8480" s="2" t="s">
        <v>21</v>
      </c>
      <c r="I8480" s="2" t="s">
        <v>16831</v>
      </c>
      <c r="J8480" s="3" t="str">
        <f>HYPERLINK("https://www.boe.es/gazeta/dias/1823/08/05/pdfs/GES-1823-117.pdf#page=4","Abrir facsímil")</f>
        <v>Abrir facsímil</v>
      </c>
      <c r="K8480" s="3" t="s">
        <v>23</v>
      </c>
    </row>
    <row r="8481" spans="1:11" ht="42" customHeight="1">
      <c r="A8481" s="2" t="s">
        <v>16832</v>
      </c>
      <c r="B8481" s="2" t="s">
        <v>16832</v>
      </c>
      <c r="C8481" s="2" t="s">
        <v>17</v>
      </c>
      <c r="D8481" s="2" t="s">
        <v>18</v>
      </c>
      <c r="E8481" s="5">
        <v>-28110</v>
      </c>
      <c r="F8481" s="3" t="s">
        <v>249</v>
      </c>
      <c r="G8481" s="3" t="s">
        <v>48</v>
      </c>
      <c r="H8481" s="2" t="s">
        <v>21</v>
      </c>
      <c r="I8481" s="2" t="s">
        <v>16833</v>
      </c>
      <c r="J8481" s="3" t="str">
        <f>HYPERLINK("https://www.boe.es/gazeta/dias/1823/01/13/pdfs/GMD-1823-13.pdf#page=3","Abrir facsímil")</f>
        <v>Abrir facsímil</v>
      </c>
      <c r="K8481" s="3" t="s">
        <v>23</v>
      </c>
    </row>
    <row r="8482" spans="1:11" ht="42" customHeight="1">
      <c r="A8482" s="2" t="s">
        <v>16832</v>
      </c>
      <c r="B8482" s="2" t="s">
        <v>16832</v>
      </c>
      <c r="C8482" s="2" t="s">
        <v>17</v>
      </c>
      <c r="D8482" s="2" t="s">
        <v>18</v>
      </c>
      <c r="E8482" s="5">
        <v>-27970</v>
      </c>
      <c r="F8482" s="3" t="s">
        <v>1030</v>
      </c>
      <c r="G8482" s="3" t="s">
        <v>20</v>
      </c>
      <c r="H8482" s="2" t="s">
        <v>21</v>
      </c>
      <c r="I8482" s="2" t="s">
        <v>16834</v>
      </c>
      <c r="J8482" s="3" t="str">
        <f>HYPERLINK("https://www.boe.es/gazeta/dias/1823/06/02/pdfs/GES-1823-56.pdf#page=4","Abrir facsímil")</f>
        <v>Abrir facsímil</v>
      </c>
      <c r="K8482" s="3" t="s">
        <v>23</v>
      </c>
    </row>
    <row r="8483" spans="1:11" ht="42" customHeight="1">
      <c r="A8483" s="2" t="s">
        <v>16835</v>
      </c>
      <c r="B8483" s="2" t="s">
        <v>16836</v>
      </c>
      <c r="C8483" s="2" t="s">
        <v>17</v>
      </c>
      <c r="D8483" s="2" t="s">
        <v>117</v>
      </c>
      <c r="E8483" s="5">
        <v>-27943</v>
      </c>
      <c r="F8483" s="3" t="s">
        <v>2511</v>
      </c>
      <c r="G8483" s="3" t="s">
        <v>39</v>
      </c>
      <c r="H8483" s="2" t="s">
        <v>21</v>
      </c>
      <c r="I8483" s="2" t="s">
        <v>16837</v>
      </c>
      <c r="J8483" s="3" t="str">
        <f>HYPERLINK("https://www.boe.es/gazeta/dias/1823/06/29/pdfs/GMD-1823-313E.pdf#page=1","Abrir facsímil")</f>
        <v>Abrir facsímil</v>
      </c>
      <c r="K8483" s="3" t="s">
        <v>23</v>
      </c>
    </row>
    <row r="8484" spans="1:11" ht="42" customHeight="1">
      <c r="A8484" s="2" t="s">
        <v>16838</v>
      </c>
      <c r="B8484" s="2" t="s">
        <v>16839</v>
      </c>
      <c r="C8484" s="2" t="s">
        <v>17</v>
      </c>
      <c r="D8484" s="2" t="s">
        <v>117</v>
      </c>
      <c r="E8484" s="5">
        <v>-27943</v>
      </c>
      <c r="F8484" s="3" t="s">
        <v>2511</v>
      </c>
      <c r="G8484" s="3" t="s">
        <v>39</v>
      </c>
      <c r="H8484" s="2" t="s">
        <v>21</v>
      </c>
      <c r="I8484" s="2" t="s">
        <v>16840</v>
      </c>
      <c r="J8484" s="3" t="str">
        <f>HYPERLINK("https://www.boe.es/gazeta/dias/1823/06/29/pdfs/GMD-1823-313E.pdf#page=1","Abrir facsímil")</f>
        <v>Abrir facsímil</v>
      </c>
      <c r="K8484" s="3" t="s">
        <v>23</v>
      </c>
    </row>
    <row r="8485" spans="1:11" ht="42" customHeight="1">
      <c r="A8485" s="2" t="s">
        <v>16841</v>
      </c>
      <c r="B8485" s="2" t="s">
        <v>16842</v>
      </c>
      <c r="C8485" s="2" t="s">
        <v>17</v>
      </c>
      <c r="D8485" s="2" t="s">
        <v>18</v>
      </c>
      <c r="E8485" s="5">
        <v>-27801</v>
      </c>
      <c r="F8485" s="3" t="s">
        <v>800</v>
      </c>
      <c r="G8485" s="3" t="s">
        <v>48</v>
      </c>
      <c r="H8485" s="2" t="s">
        <v>21</v>
      </c>
      <c r="I8485" s="2" t="s">
        <v>16843</v>
      </c>
      <c r="J8485" s="3" t="str">
        <f>HYPERLINK("https://www.boe.es/gazeta/dias/1823/11/18/pdfs/GMD-1823-1133.pdf#page=3","Abrir facsímil")</f>
        <v>Abrir facsímil</v>
      </c>
      <c r="K8485" s="3" t="s">
        <v>23</v>
      </c>
    </row>
    <row r="8486" spans="1:11" ht="42" customHeight="1">
      <c r="A8486" s="2" t="s">
        <v>16844</v>
      </c>
      <c r="B8486" s="2" t="s">
        <v>16845</v>
      </c>
      <c r="C8486" s="2" t="s">
        <v>17</v>
      </c>
      <c r="D8486" s="2" t="s">
        <v>18</v>
      </c>
      <c r="E8486" s="5">
        <v>-27967</v>
      </c>
      <c r="F8486" s="3" t="s">
        <v>412</v>
      </c>
      <c r="G8486" s="3" t="s">
        <v>27</v>
      </c>
      <c r="H8486" s="2" t="s">
        <v>21</v>
      </c>
      <c r="I8486" s="2" t="s">
        <v>16846</v>
      </c>
      <c r="J8486" s="3" t="str">
        <f>HYPERLINK("https://www.boe.es/gazeta/dias/1823/06/05/pdfs/GES-1823-59.pdf#page=2","Abrir facsímil")</f>
        <v>Abrir facsímil</v>
      </c>
      <c r="K8486" s="3" t="s">
        <v>23</v>
      </c>
    </row>
    <row r="8487" spans="1:11" ht="42" customHeight="1">
      <c r="A8487" s="2" t="s">
        <v>16847</v>
      </c>
      <c r="B8487" s="2" t="s">
        <v>16848</v>
      </c>
      <c r="C8487" s="2" t="s">
        <v>109</v>
      </c>
      <c r="D8487" s="2" t="s">
        <v>74</v>
      </c>
      <c r="E8487" s="5">
        <v>-28118</v>
      </c>
      <c r="F8487" s="3" t="s">
        <v>252</v>
      </c>
      <c r="G8487" s="3" t="s">
        <v>253</v>
      </c>
      <c r="H8487" s="2" t="s">
        <v>21</v>
      </c>
      <c r="I8487" s="2" t="s">
        <v>16849</v>
      </c>
      <c r="J8487" s="3" t="str">
        <f>HYPERLINK("https://www.boe.es/gazeta/dias/1823/01/05/pdfs/GMD-1823-5.pdf#page=2","Abrir facsímil")</f>
        <v>Abrir facsímil</v>
      </c>
      <c r="K8487" s="3" t="s">
        <v>23</v>
      </c>
    </row>
    <row r="8488" spans="1:11" ht="42" customHeight="1">
      <c r="A8488" s="2" t="s">
        <v>16847</v>
      </c>
      <c r="B8488" s="2" t="s">
        <v>16848</v>
      </c>
      <c r="C8488" s="2" t="s">
        <v>56</v>
      </c>
      <c r="D8488" s="2" t="s">
        <v>57</v>
      </c>
      <c r="E8488" s="5">
        <v>-28048</v>
      </c>
      <c r="F8488" s="3" t="s">
        <v>399</v>
      </c>
      <c r="G8488" s="3" t="s">
        <v>27</v>
      </c>
      <c r="H8488" s="2" t="s">
        <v>21</v>
      </c>
      <c r="I8488" s="2" t="s">
        <v>16850</v>
      </c>
      <c r="J8488" s="3" t="str">
        <f>HYPERLINK("https://www.boe.es/gazeta/dias/1823/03/16/pdfs/GMD-1823-79.pdf#page=2","Abrir facsímil")</f>
        <v>Abrir facsímil</v>
      </c>
      <c r="K8488" s="3" t="s">
        <v>23</v>
      </c>
    </row>
    <row r="8489" spans="1:11" ht="42" customHeight="1">
      <c r="A8489" s="2" t="s">
        <v>16847</v>
      </c>
      <c r="B8489" s="2" t="s">
        <v>16848</v>
      </c>
      <c r="C8489" s="2" t="s">
        <v>17</v>
      </c>
      <c r="D8489" s="2" t="s">
        <v>18</v>
      </c>
      <c r="E8489" s="5">
        <v>-27965</v>
      </c>
      <c r="F8489" s="3" t="s">
        <v>208</v>
      </c>
      <c r="G8489" s="3" t="s">
        <v>39</v>
      </c>
      <c r="H8489" s="2" t="s">
        <v>21</v>
      </c>
      <c r="I8489" s="2" t="s">
        <v>16851</v>
      </c>
      <c r="J8489" s="3" t="str">
        <f>HYPERLINK("https://www.boe.es/gazeta/dias/1823/06/07/pdfs/GES-1823-61.pdf#page=1","Abrir facsímil")</f>
        <v>Abrir facsímil</v>
      </c>
      <c r="K8489" s="3" t="s">
        <v>23</v>
      </c>
    </row>
    <row r="8490" spans="1:11" ht="42" customHeight="1">
      <c r="A8490" s="2" t="s">
        <v>16852</v>
      </c>
      <c r="B8490" s="2" t="s">
        <v>16853</v>
      </c>
      <c r="C8490" s="2" t="s">
        <v>109</v>
      </c>
      <c r="D8490" s="2" t="s">
        <v>74</v>
      </c>
      <c r="E8490" s="5">
        <v>-27982</v>
      </c>
      <c r="F8490" s="3" t="s">
        <v>340</v>
      </c>
      <c r="G8490" s="3" t="s">
        <v>27</v>
      </c>
      <c r="H8490" s="2" t="s">
        <v>21</v>
      </c>
      <c r="I8490" s="2" t="s">
        <v>16854</v>
      </c>
      <c r="J8490" s="3" t="str">
        <f>HYPERLINK("https://www.boe.es/gazeta/dias/1823/05/21/pdfs/GES-1823-42.pdf#page=2","Abrir facsímil")</f>
        <v>Abrir facsímil</v>
      </c>
      <c r="K8490" s="3" t="s">
        <v>23</v>
      </c>
    </row>
    <row r="8491" spans="1:11" ht="42" customHeight="1">
      <c r="A8491" s="2" t="s">
        <v>16855</v>
      </c>
      <c r="B8491" s="2" t="s">
        <v>16855</v>
      </c>
      <c r="C8491" s="2" t="s">
        <v>17</v>
      </c>
      <c r="D8491" s="2" t="s">
        <v>18</v>
      </c>
      <c r="E8491" s="5">
        <v>-28066</v>
      </c>
      <c r="F8491" s="3" t="s">
        <v>19</v>
      </c>
      <c r="G8491" s="3" t="s">
        <v>20</v>
      </c>
      <c r="H8491" s="2" t="s">
        <v>21</v>
      </c>
      <c r="I8491" s="2" t="s">
        <v>16856</v>
      </c>
      <c r="J8491" s="3" t="str">
        <f>HYPERLINK("https://www.boe.es/gazeta/dias/1823/02/26/pdfs/GMD-1823-60.pdf#page=4","Abrir facsímil")</f>
        <v>Abrir facsímil</v>
      </c>
      <c r="K8491" s="3" t="s">
        <v>23</v>
      </c>
    </row>
    <row r="8492" spans="1:11" ht="42" customHeight="1">
      <c r="A8492" s="2" t="s">
        <v>16857</v>
      </c>
      <c r="B8492" s="2" t="s">
        <v>16858</v>
      </c>
      <c r="C8492" s="2" t="s">
        <v>17</v>
      </c>
      <c r="D8492" s="2" t="s">
        <v>18</v>
      </c>
      <c r="E8492" s="5">
        <v>-27878</v>
      </c>
      <c r="F8492" s="3" t="s">
        <v>1581</v>
      </c>
      <c r="G8492" s="3" t="s">
        <v>48</v>
      </c>
      <c r="H8492" s="2" t="s">
        <v>21</v>
      </c>
      <c r="I8492" s="2" t="s">
        <v>16859</v>
      </c>
      <c r="J8492" s="3" t="str">
        <f>HYPERLINK("https://www.boe.es/gazeta/dias/1823/09/02/pdfs/GMD-1823-683.pdf#page=3","Abrir facsímil")</f>
        <v>Abrir facsímil</v>
      </c>
      <c r="K8492" s="3" t="s">
        <v>23</v>
      </c>
    </row>
    <row r="8493" spans="1:11" ht="42" customHeight="1">
      <c r="A8493" s="2" t="s">
        <v>16860</v>
      </c>
      <c r="B8493" s="2" t="s">
        <v>16861</v>
      </c>
      <c r="C8493" s="2" t="s">
        <v>79</v>
      </c>
      <c r="D8493" s="2" t="s">
        <v>74</v>
      </c>
      <c r="E8493" s="5">
        <v>-27913</v>
      </c>
      <c r="F8493" s="3" t="s">
        <v>821</v>
      </c>
      <c r="G8493" s="3" t="s">
        <v>39</v>
      </c>
      <c r="H8493" s="2" t="s">
        <v>21</v>
      </c>
      <c r="I8493" s="2" t="s">
        <v>16862</v>
      </c>
      <c r="J8493" s="3" t="str">
        <f>HYPERLINK("https://www.boe.es/gazeta/dias/1823/07/29/pdfs/GES-1823-110.pdf#page=1","Abrir facsímil")</f>
        <v>Abrir facsímil</v>
      </c>
      <c r="K8493" s="3" t="s">
        <v>23</v>
      </c>
    </row>
    <row r="8494" spans="1:11" ht="42" customHeight="1">
      <c r="A8494" s="2" t="s">
        <v>16863</v>
      </c>
      <c r="B8494" s="2" t="s">
        <v>16864</v>
      </c>
      <c r="C8494" s="2" t="s">
        <v>56</v>
      </c>
      <c r="D8494" s="2" t="s">
        <v>57</v>
      </c>
      <c r="E8494" s="5">
        <v>-27832</v>
      </c>
      <c r="F8494" s="3" t="s">
        <v>1815</v>
      </c>
      <c r="G8494" s="3" t="s">
        <v>20</v>
      </c>
      <c r="H8494" s="2" t="s">
        <v>21</v>
      </c>
      <c r="I8494" s="2" t="s">
        <v>16865</v>
      </c>
      <c r="J8494" s="3" t="str">
        <f>HYPERLINK("https://www.boe.es/gazeta/dias/1823/10/18/pdfs/GMD-1823-993.pdf#page=4","Abrir facsímil")</f>
        <v>Abrir facsímil</v>
      </c>
      <c r="K8494" s="3" t="s">
        <v>23</v>
      </c>
    </row>
    <row r="8495" spans="1:11" ht="42" customHeight="1">
      <c r="A8495" s="2" t="s">
        <v>16866</v>
      </c>
      <c r="B8495" s="2" t="s">
        <v>16867</v>
      </c>
      <c r="C8495" s="2" t="s">
        <v>17</v>
      </c>
      <c r="D8495" s="2" t="s">
        <v>18</v>
      </c>
      <c r="E8495" s="5">
        <v>-27997</v>
      </c>
      <c r="F8495" s="3" t="s">
        <v>317</v>
      </c>
      <c r="G8495" s="3" t="s">
        <v>1124</v>
      </c>
      <c r="H8495" s="2" t="s">
        <v>21</v>
      </c>
      <c r="I8495" s="2" t="s">
        <v>16868</v>
      </c>
      <c r="J8495" s="3" t="str">
        <f>HYPERLINK("https://www.boe.es/gazeta/dias/1823/05/06/pdfs/GES-1823-26.pdf#page=2","Abrir facsímil")</f>
        <v>Abrir facsímil</v>
      </c>
      <c r="K8495" s="3" t="s">
        <v>23</v>
      </c>
    </row>
    <row r="8496" spans="1:11" ht="42" customHeight="1">
      <c r="A8496" s="2" t="s">
        <v>16869</v>
      </c>
      <c r="B8496" s="2" t="s">
        <v>16870</v>
      </c>
      <c r="C8496" s="2" t="s">
        <v>79</v>
      </c>
      <c r="D8496" s="2" t="s">
        <v>74</v>
      </c>
      <c r="E8496" s="5">
        <v>-28028</v>
      </c>
      <c r="F8496" s="3" t="s">
        <v>893</v>
      </c>
      <c r="G8496" s="3" t="s">
        <v>27</v>
      </c>
      <c r="H8496" s="2" t="s">
        <v>21</v>
      </c>
      <c r="I8496" s="2" t="s">
        <v>16871</v>
      </c>
      <c r="J8496" s="3" t="str">
        <f>HYPERLINK("https://www.boe.es/gazeta/dias/1823/04/05/pdfs/GMD-1823-99.pdf#page=2","Abrir facsímil")</f>
        <v>Abrir facsímil</v>
      </c>
      <c r="K8496" s="3" t="s">
        <v>23</v>
      </c>
    </row>
    <row r="8497" spans="1:11" ht="42" customHeight="1">
      <c r="A8497" s="2" t="s">
        <v>16872</v>
      </c>
      <c r="B8497" s="2" t="s">
        <v>16873</v>
      </c>
      <c r="C8497" s="2" t="s">
        <v>17</v>
      </c>
      <c r="D8497" s="2" t="s">
        <v>18</v>
      </c>
      <c r="E8497" s="5">
        <v>-28007</v>
      </c>
      <c r="F8497" s="3" t="s">
        <v>1190</v>
      </c>
      <c r="G8497" s="3" t="s">
        <v>20</v>
      </c>
      <c r="H8497" s="2" t="s">
        <v>21</v>
      </c>
      <c r="I8497" s="2" t="s">
        <v>16874</v>
      </c>
      <c r="J8497" s="3" t="str">
        <f>HYPERLINK("https://www.boe.es/gazeta/dias/1823/04/26/pdfs/GMD-1823-62.pdf#page=4","Abrir facsímil")</f>
        <v>Abrir facsímil</v>
      </c>
      <c r="K8497" s="3" t="s">
        <v>23</v>
      </c>
    </row>
    <row r="8498" spans="1:11" ht="42" customHeight="1">
      <c r="A8498" s="2" t="s">
        <v>16872</v>
      </c>
      <c r="B8498" s="2" t="s">
        <v>16873</v>
      </c>
      <c r="C8498" s="2" t="s">
        <v>17</v>
      </c>
      <c r="D8498" s="2" t="s">
        <v>18</v>
      </c>
      <c r="E8498" s="5">
        <v>-28003</v>
      </c>
      <c r="F8498" s="3" t="s">
        <v>26</v>
      </c>
      <c r="G8498" s="3" t="s">
        <v>27</v>
      </c>
      <c r="H8498" s="2" t="s">
        <v>21</v>
      </c>
      <c r="I8498" s="2" t="s">
        <v>16875</v>
      </c>
      <c r="J8498" s="3" t="str">
        <f>HYPERLINK("https://www.boe.es/gazeta/dias/1823/04/30/pdfs/GES-1823-20.pdf#page=2","Abrir facsímil")</f>
        <v>Abrir facsímil</v>
      </c>
      <c r="K8498" s="3" t="s">
        <v>23</v>
      </c>
    </row>
    <row r="8499" spans="1:11" ht="42" customHeight="1">
      <c r="A8499" s="2" t="s">
        <v>16876</v>
      </c>
      <c r="B8499" s="2" t="s">
        <v>16877</v>
      </c>
      <c r="C8499" s="2" t="s">
        <v>17</v>
      </c>
      <c r="D8499" s="2" t="s">
        <v>18</v>
      </c>
      <c r="E8499" s="5">
        <v>-27991</v>
      </c>
      <c r="F8499" s="3" t="s">
        <v>328</v>
      </c>
      <c r="G8499" s="3" t="s">
        <v>27</v>
      </c>
      <c r="H8499" s="2" t="s">
        <v>28</v>
      </c>
      <c r="I8499" s="2" t="s">
        <v>16878</v>
      </c>
      <c r="J8499" s="3" t="str">
        <f>HYPERLINK("https://www.boe.es/gazeta/dias/1823/05/12/pdfs/GES-1823-32.pdf#page=2","Abrir facsímil")</f>
        <v>Abrir facsímil</v>
      </c>
      <c r="K8499" s="3" t="s">
        <v>30</v>
      </c>
    </row>
    <row r="8500" spans="1:11" ht="42" customHeight="1">
      <c r="A8500" s="2" t="s">
        <v>16879</v>
      </c>
      <c r="B8500" s="2" t="s">
        <v>16880</v>
      </c>
      <c r="C8500" s="2" t="s">
        <v>56</v>
      </c>
      <c r="D8500" s="2" t="s">
        <v>57</v>
      </c>
      <c r="E8500" s="5">
        <v>-28076</v>
      </c>
      <c r="F8500" s="3" t="s">
        <v>1638</v>
      </c>
      <c r="G8500" s="3" t="s">
        <v>39</v>
      </c>
      <c r="H8500" s="2" t="s">
        <v>21</v>
      </c>
      <c r="I8500" s="2" t="s">
        <v>16881</v>
      </c>
      <c r="J8500" s="3" t="str">
        <f>HYPERLINK("https://www.boe.es/gazeta/dias/1823/02/16/pdfs/GMD-1823-50.pdf#page=1","Abrir facsímil")</f>
        <v>Abrir facsímil</v>
      </c>
      <c r="K8500" s="3" t="s">
        <v>23</v>
      </c>
    </row>
    <row r="8501" spans="1:11" ht="42" customHeight="1">
      <c r="A8501" s="2" t="s">
        <v>16882</v>
      </c>
      <c r="B8501" s="2" t="s">
        <v>16883</v>
      </c>
      <c r="C8501" s="2" t="s">
        <v>17</v>
      </c>
      <c r="D8501" s="2" t="s">
        <v>18</v>
      </c>
      <c r="E8501" s="5">
        <v>-28069</v>
      </c>
      <c r="F8501" s="3" t="s">
        <v>2006</v>
      </c>
      <c r="G8501" s="3" t="s">
        <v>20</v>
      </c>
      <c r="H8501" s="2" t="s">
        <v>21</v>
      </c>
      <c r="I8501" s="2" t="s">
        <v>16884</v>
      </c>
      <c r="J8501" s="3" t="str">
        <f>HYPERLINK("https://www.boe.es/gazeta/dias/1823/02/23/pdfs/GMD-1823-57.pdf#page=4","Abrir facsímil")</f>
        <v>Abrir facsímil</v>
      </c>
      <c r="K8501" s="3" t="s">
        <v>23</v>
      </c>
    </row>
    <row r="8502" spans="1:11" ht="42" customHeight="1">
      <c r="A8502" s="2" t="s">
        <v>16885</v>
      </c>
      <c r="B8502" s="2" t="s">
        <v>16886</v>
      </c>
      <c r="C8502" s="2" t="s">
        <v>17</v>
      </c>
      <c r="D8502" s="2" t="s">
        <v>18</v>
      </c>
      <c r="E8502" s="5">
        <v>-28090</v>
      </c>
      <c r="F8502" s="3" t="s">
        <v>174</v>
      </c>
      <c r="G8502" s="3" t="s">
        <v>20</v>
      </c>
      <c r="H8502" s="2" t="s">
        <v>21</v>
      </c>
      <c r="I8502" s="2" t="s">
        <v>16887</v>
      </c>
      <c r="J8502" s="3" t="str">
        <f>HYPERLINK("https://www.boe.es/gazeta/dias/1823/02/02/pdfs/GMD-1823-35.pdf#page=4","Abrir facsímil")</f>
        <v>Abrir facsímil</v>
      </c>
      <c r="K8502" s="3" t="s">
        <v>23</v>
      </c>
    </row>
    <row r="8503" spans="1:11" ht="42" customHeight="1">
      <c r="A8503" s="2" t="s">
        <v>16888</v>
      </c>
      <c r="B8503" s="2" t="s">
        <v>16889</v>
      </c>
      <c r="C8503" s="2" t="s">
        <v>17</v>
      </c>
      <c r="D8503" s="2" t="s">
        <v>18</v>
      </c>
      <c r="E8503" s="5">
        <v>-28076</v>
      </c>
      <c r="F8503" s="3" t="s">
        <v>1638</v>
      </c>
      <c r="G8503" s="3" t="s">
        <v>59</v>
      </c>
      <c r="H8503" s="2" t="s">
        <v>21</v>
      </c>
      <c r="I8503" s="2" t="s">
        <v>16890</v>
      </c>
      <c r="J8503" s="3" t="str">
        <f>HYPERLINK("https://www.boe.es/gazeta/dias/1823/02/16/pdfs/GMD-1823-50.pdf#page=6","Abrir facsímil")</f>
        <v>Abrir facsímil</v>
      </c>
      <c r="K8503" s="3" t="s">
        <v>23</v>
      </c>
    </row>
    <row r="8504" spans="1:11" ht="42" customHeight="1">
      <c r="A8504" s="2" t="s">
        <v>16891</v>
      </c>
      <c r="B8504" s="2" t="s">
        <v>16892</v>
      </c>
      <c r="C8504" s="2" t="s">
        <v>17</v>
      </c>
      <c r="D8504" s="2" t="s">
        <v>18</v>
      </c>
      <c r="E8504" s="5">
        <v>-28110</v>
      </c>
      <c r="F8504" s="3" t="s">
        <v>249</v>
      </c>
      <c r="G8504" s="3" t="s">
        <v>48</v>
      </c>
      <c r="H8504" s="2" t="s">
        <v>21</v>
      </c>
      <c r="I8504" s="2" t="s">
        <v>16893</v>
      </c>
      <c r="J8504" s="3" t="str">
        <f>HYPERLINK("https://www.boe.es/gazeta/dias/1823/01/13/pdfs/GMD-1823-13.pdf#page=3","Abrir facsímil")</f>
        <v>Abrir facsímil</v>
      </c>
      <c r="K8504" s="3" t="s">
        <v>23</v>
      </c>
    </row>
    <row r="8505" spans="1:11" ht="42" customHeight="1">
      <c r="A8505" s="2" t="s">
        <v>16894</v>
      </c>
      <c r="B8505" s="2" t="s">
        <v>16895</v>
      </c>
      <c r="C8505" s="2" t="s">
        <v>109</v>
      </c>
      <c r="D8505" s="2" t="s">
        <v>74</v>
      </c>
      <c r="E8505" s="5">
        <v>-28089</v>
      </c>
      <c r="F8505" s="3" t="s">
        <v>1979</v>
      </c>
      <c r="G8505" s="3" t="s">
        <v>34</v>
      </c>
      <c r="H8505" s="2" t="s">
        <v>21</v>
      </c>
      <c r="I8505" s="2" t="s">
        <v>16896</v>
      </c>
      <c r="J8505" s="3" t="str">
        <f>HYPERLINK("https://www.boe.es/gazeta/dias/1823/02/03/pdfs/GMD-1823-36.pdf#page=5","Abrir facsímil")</f>
        <v>Abrir facsímil</v>
      </c>
      <c r="K8505" s="3" t="s">
        <v>23</v>
      </c>
    </row>
    <row r="8506" spans="1:11" ht="42" customHeight="1">
      <c r="A8506" s="2" t="s">
        <v>16897</v>
      </c>
      <c r="B8506" s="2" t="s">
        <v>16898</v>
      </c>
      <c r="C8506" s="2" t="s">
        <v>17</v>
      </c>
      <c r="D8506" s="2" t="s">
        <v>18</v>
      </c>
      <c r="E8506" s="5">
        <v>-27993</v>
      </c>
      <c r="F8506" s="3" t="s">
        <v>977</v>
      </c>
      <c r="G8506" s="3" t="s">
        <v>978</v>
      </c>
      <c r="H8506" s="2" t="s">
        <v>21</v>
      </c>
      <c r="I8506" s="2" t="s">
        <v>16899</v>
      </c>
      <c r="J8506" s="3" t="str">
        <f>HYPERLINK("https://www.boe.es/gazeta/dias/1823/05/10/pdfs/GES-1823-30.pdf#page=4","Abrir facsímil")</f>
        <v>Abrir facsímil</v>
      </c>
      <c r="K8506" s="3" t="s">
        <v>23</v>
      </c>
    </row>
    <row r="8507" spans="1:11" ht="42" customHeight="1">
      <c r="A8507" s="2" t="s">
        <v>16900</v>
      </c>
      <c r="B8507" s="2" t="s">
        <v>16900</v>
      </c>
      <c r="C8507" s="2" t="s">
        <v>17</v>
      </c>
      <c r="D8507" s="2" t="s">
        <v>18</v>
      </c>
      <c r="E8507" s="5">
        <v>-28118</v>
      </c>
      <c r="F8507" s="3" t="s">
        <v>252</v>
      </c>
      <c r="G8507" s="3" t="s">
        <v>39</v>
      </c>
      <c r="H8507" s="2" t="s">
        <v>21</v>
      </c>
      <c r="I8507" s="2" t="s">
        <v>16901</v>
      </c>
      <c r="J8507" s="3" t="str">
        <f>HYPERLINK("https://www.boe.es/gazeta/dias/1823/01/05/pdfs/GMD-1823-5.pdf#page=1","Abrir facsímil")</f>
        <v>Abrir facsímil</v>
      </c>
      <c r="K8507" s="3" t="s">
        <v>23</v>
      </c>
    </row>
    <row r="8508" spans="1:11" ht="42" customHeight="1">
      <c r="A8508" s="2" t="s">
        <v>16902</v>
      </c>
      <c r="B8508" s="2" t="s">
        <v>16902</v>
      </c>
      <c r="C8508" s="2" t="s">
        <v>109</v>
      </c>
      <c r="D8508" s="2" t="s">
        <v>74</v>
      </c>
      <c r="E8508" s="5">
        <v>-27960</v>
      </c>
      <c r="F8508" s="3" t="s">
        <v>741</v>
      </c>
      <c r="G8508" s="3" t="s">
        <v>27</v>
      </c>
      <c r="H8508" s="2" t="s">
        <v>21</v>
      </c>
      <c r="I8508" s="2" t="s">
        <v>16903</v>
      </c>
      <c r="J8508" s="3" t="str">
        <f>HYPERLINK("https://www.boe.es/gazeta/dias/1823/06/12/pdfs/GES-1823-66.pdf#page=2","Abrir facsímil")</f>
        <v>Abrir facsímil</v>
      </c>
      <c r="K8508" s="3" t="s">
        <v>23</v>
      </c>
    </row>
    <row r="8509" spans="1:11" ht="42" customHeight="1">
      <c r="A8509" s="2" t="s">
        <v>16904</v>
      </c>
      <c r="B8509" s="2" t="s">
        <v>16904</v>
      </c>
      <c r="C8509" s="2" t="s">
        <v>17</v>
      </c>
      <c r="D8509" s="2" t="s">
        <v>117</v>
      </c>
      <c r="E8509" s="5">
        <v>-27962</v>
      </c>
      <c r="F8509" s="3" t="s">
        <v>16905</v>
      </c>
      <c r="G8509" s="3" t="s">
        <v>39</v>
      </c>
      <c r="H8509" s="2" t="s">
        <v>21</v>
      </c>
      <c r="I8509" s="2" t="s">
        <v>16906</v>
      </c>
      <c r="J8509" s="3" t="str">
        <f>HYPERLINK("https://www.boe.es/gazeta/dias/1823/06/10/pdfs/GMD-1823-113E.pdf#page=1","Abrir facsímil")</f>
        <v>Abrir facsímil</v>
      </c>
      <c r="K8509" s="3" t="s">
        <v>23</v>
      </c>
    </row>
    <row r="8510" spans="1:11" ht="42" customHeight="1">
      <c r="A8510" s="2" t="s">
        <v>16904</v>
      </c>
      <c r="B8510" s="2" t="s">
        <v>16904</v>
      </c>
      <c r="C8510" s="2" t="s">
        <v>17</v>
      </c>
      <c r="D8510" s="2" t="s">
        <v>18</v>
      </c>
      <c r="E8510" s="5">
        <v>-27960</v>
      </c>
      <c r="F8510" s="3" t="s">
        <v>741</v>
      </c>
      <c r="G8510" s="3" t="s">
        <v>48</v>
      </c>
      <c r="H8510" s="2" t="s">
        <v>21</v>
      </c>
      <c r="I8510" s="2" t="s">
        <v>16907</v>
      </c>
      <c r="J8510" s="3" t="str">
        <f>HYPERLINK("https://www.boe.es/gazeta/dias/1823/06/12/pdfs/GES-1823-66.pdf#page=3","Abrir facsímil")</f>
        <v>Abrir facsímil</v>
      </c>
      <c r="K8510" s="3" t="s">
        <v>23</v>
      </c>
    </row>
    <row r="8511" spans="1:11" ht="42" customHeight="1">
      <c r="A8511" s="2" t="s">
        <v>16904</v>
      </c>
      <c r="B8511" s="2" t="s">
        <v>16904</v>
      </c>
      <c r="C8511" s="2" t="s">
        <v>17</v>
      </c>
      <c r="D8511" s="2" t="s">
        <v>18</v>
      </c>
      <c r="E8511" s="5">
        <v>-27960</v>
      </c>
      <c r="F8511" s="3" t="s">
        <v>682</v>
      </c>
      <c r="G8511" s="3" t="s">
        <v>34</v>
      </c>
      <c r="H8511" s="2" t="s">
        <v>21</v>
      </c>
      <c r="I8511" s="2" t="s">
        <v>16908</v>
      </c>
      <c r="J8511" s="3" t="str">
        <f>HYPERLINK("https://www.boe.es/gazeta/dias/1823/06/12/pdfs/GMD-1823-123.pdf#page=5","Abrir facsímil")</f>
        <v>Abrir facsímil</v>
      </c>
      <c r="K8511" s="3" t="s">
        <v>23</v>
      </c>
    </row>
    <row r="8512" spans="1:11" ht="42" customHeight="1">
      <c r="A8512" s="2" t="s">
        <v>16904</v>
      </c>
      <c r="B8512" s="2" t="s">
        <v>16904</v>
      </c>
      <c r="C8512" s="2" t="s">
        <v>73</v>
      </c>
      <c r="D8512" s="2" t="s">
        <v>117</v>
      </c>
      <c r="E8512" s="5">
        <v>-27957</v>
      </c>
      <c r="F8512" s="3" t="s">
        <v>16909</v>
      </c>
      <c r="G8512" s="3" t="s">
        <v>39</v>
      </c>
      <c r="H8512" s="2" t="s">
        <v>21</v>
      </c>
      <c r="I8512" s="2" t="s">
        <v>16910</v>
      </c>
      <c r="J8512" s="3" t="str">
        <f>HYPERLINK("https://www.boe.es/gazeta/dias/1823/06/15/pdfs/GMD-1823-173E.pdf#page=1","Abrir facsímil")</f>
        <v>Abrir facsímil</v>
      </c>
      <c r="K8512" s="3" t="s">
        <v>23</v>
      </c>
    </row>
    <row r="8513" spans="1:11" ht="42" customHeight="1">
      <c r="A8513" s="2" t="s">
        <v>16904</v>
      </c>
      <c r="B8513" s="2" t="s">
        <v>16904</v>
      </c>
      <c r="C8513" s="2" t="s">
        <v>17</v>
      </c>
      <c r="D8513" s="2" t="s">
        <v>18</v>
      </c>
      <c r="E8513" s="5">
        <v>-27946</v>
      </c>
      <c r="F8513" s="3" t="s">
        <v>1547</v>
      </c>
      <c r="G8513" s="3" t="s">
        <v>48</v>
      </c>
      <c r="H8513" s="2" t="s">
        <v>21</v>
      </c>
      <c r="I8513" s="2" t="s">
        <v>16911</v>
      </c>
      <c r="J8513" s="3" t="str">
        <f>HYPERLINK("https://www.boe.es/gazeta/dias/1823/06/26/pdfs/GMD-1823-283.pdf#page=3","Abrir facsímil")</f>
        <v>Abrir facsímil</v>
      </c>
      <c r="K8513" s="3" t="s">
        <v>23</v>
      </c>
    </row>
    <row r="8514" spans="1:11" ht="42" customHeight="1">
      <c r="A8514" s="2" t="s">
        <v>16912</v>
      </c>
      <c r="B8514" s="2" t="s">
        <v>16913</v>
      </c>
      <c r="C8514" s="2" t="s">
        <v>17</v>
      </c>
      <c r="D8514" s="2" t="s">
        <v>18</v>
      </c>
      <c r="E8514" s="5">
        <v>-28008</v>
      </c>
      <c r="F8514" s="3" t="s">
        <v>309</v>
      </c>
      <c r="G8514" s="3" t="s">
        <v>39</v>
      </c>
      <c r="H8514" s="2" t="s">
        <v>21</v>
      </c>
      <c r="I8514" s="2" t="s">
        <v>16914</v>
      </c>
      <c r="J8514" s="3" t="str">
        <f>HYPERLINK("https://www.boe.es/gazeta/dias/1823/04/25/pdfs/GES-1823-15.pdf#page=1","Abrir facsímil")</f>
        <v>Abrir facsímil</v>
      </c>
      <c r="K8514" s="3" t="s">
        <v>23</v>
      </c>
    </row>
    <row r="8515" spans="1:11" ht="42" customHeight="1">
      <c r="A8515" s="2" t="s">
        <v>16912</v>
      </c>
      <c r="B8515" s="2" t="s">
        <v>16913</v>
      </c>
      <c r="C8515" s="2" t="s">
        <v>17</v>
      </c>
      <c r="D8515" s="2" t="s">
        <v>18</v>
      </c>
      <c r="E8515" s="5">
        <v>-27895</v>
      </c>
      <c r="F8515" s="3" t="s">
        <v>734</v>
      </c>
      <c r="G8515" s="3" t="s">
        <v>20</v>
      </c>
      <c r="H8515" s="2" t="s">
        <v>21</v>
      </c>
      <c r="I8515" s="2" t="s">
        <v>16915</v>
      </c>
      <c r="J8515" s="3" t="str">
        <f>HYPERLINK("https://www.boe.es/gazeta/dias/1823/08/16/pdfs/GES-1823-129.pdf#page=4","Abrir facsímil")</f>
        <v>Abrir facsímil</v>
      </c>
      <c r="K8515" s="3" t="s">
        <v>23</v>
      </c>
    </row>
    <row r="8516" spans="1:11" ht="42" customHeight="1">
      <c r="A8516" s="2" t="s">
        <v>16912</v>
      </c>
      <c r="B8516" s="2" t="s">
        <v>16913</v>
      </c>
      <c r="C8516" s="2" t="s">
        <v>17</v>
      </c>
      <c r="D8516" s="2" t="s">
        <v>18</v>
      </c>
      <c r="E8516" s="5">
        <v>-27818</v>
      </c>
      <c r="F8516" s="3" t="s">
        <v>1597</v>
      </c>
      <c r="G8516" s="3" t="s">
        <v>20</v>
      </c>
      <c r="H8516" s="2" t="s">
        <v>21</v>
      </c>
      <c r="I8516" s="2" t="s">
        <v>16916</v>
      </c>
      <c r="J8516" s="3" t="str">
        <f>HYPERLINK("https://www.boe.es/gazeta/dias/1823/11/01/pdfs/GMD-1823-1053.pdf#page=4","Abrir facsímil")</f>
        <v>Abrir facsímil</v>
      </c>
      <c r="K8516" s="3" t="s">
        <v>23</v>
      </c>
    </row>
    <row r="8517" spans="1:11" ht="42" customHeight="1">
      <c r="A8517" s="2" t="s">
        <v>16917</v>
      </c>
      <c r="B8517" s="2" t="s">
        <v>16917</v>
      </c>
      <c r="C8517" s="2" t="s">
        <v>79</v>
      </c>
      <c r="D8517" s="2" t="s">
        <v>74</v>
      </c>
      <c r="E8517" s="5">
        <v>-27949</v>
      </c>
      <c r="F8517" s="3" t="s">
        <v>1162</v>
      </c>
      <c r="G8517" s="3" t="s">
        <v>39</v>
      </c>
      <c r="H8517" s="2" t="s">
        <v>21</v>
      </c>
      <c r="I8517" s="2" t="s">
        <v>16918</v>
      </c>
      <c r="J8517" s="3" t="str">
        <f>HYPERLINK("https://www.boe.es/gazeta/dias/1823/06/23/pdfs/GES-1823-71.pdf#page=1","Abrir facsímil")</f>
        <v>Abrir facsímil</v>
      </c>
      <c r="K8517" s="3" t="s">
        <v>23</v>
      </c>
    </row>
    <row r="8518" spans="1:11" ht="42" customHeight="1">
      <c r="A8518" s="2" t="s">
        <v>16919</v>
      </c>
      <c r="B8518" s="2" t="s">
        <v>16919</v>
      </c>
      <c r="C8518" s="2" t="s">
        <v>17</v>
      </c>
      <c r="D8518" s="2" t="s">
        <v>18</v>
      </c>
      <c r="E8518" s="5">
        <v>-27946</v>
      </c>
      <c r="F8518" s="3" t="s">
        <v>1547</v>
      </c>
      <c r="G8518" s="3" t="s">
        <v>48</v>
      </c>
      <c r="H8518" s="2" t="s">
        <v>21</v>
      </c>
      <c r="I8518" s="2" t="s">
        <v>16920</v>
      </c>
      <c r="J8518" s="3" t="str">
        <f>HYPERLINK("https://www.boe.es/gazeta/dias/1823/06/26/pdfs/GMD-1823-283.pdf#page=3","Abrir facsímil")</f>
        <v>Abrir facsímil</v>
      </c>
      <c r="K8518" s="3" t="s">
        <v>23</v>
      </c>
    </row>
    <row r="8519" spans="1:11" ht="42" customHeight="1">
      <c r="A8519" s="2" t="s">
        <v>16921</v>
      </c>
      <c r="B8519" s="2" t="s">
        <v>16922</v>
      </c>
      <c r="C8519" s="2" t="s">
        <v>17</v>
      </c>
      <c r="D8519" s="2" t="s">
        <v>18</v>
      </c>
      <c r="E8519" s="5">
        <v>-28037</v>
      </c>
      <c r="F8519" s="3" t="s">
        <v>192</v>
      </c>
      <c r="G8519" s="3" t="s">
        <v>48</v>
      </c>
      <c r="H8519" s="2" t="s">
        <v>21</v>
      </c>
      <c r="I8519" s="2" t="s">
        <v>16923</v>
      </c>
      <c r="J8519" s="3" t="str">
        <f>HYPERLINK("https://www.boe.es/gazeta/dias/1823/03/27/pdfs/GMD-1823-90.pdf#page=3","Abrir facsímil")</f>
        <v>Abrir facsímil</v>
      </c>
      <c r="K8519" s="3" t="s">
        <v>23</v>
      </c>
    </row>
    <row r="8520" spans="1:11" ht="42" customHeight="1">
      <c r="A8520" s="2" t="s">
        <v>16924</v>
      </c>
      <c r="B8520" s="2" t="s">
        <v>16925</v>
      </c>
      <c r="C8520" s="2" t="s">
        <v>17</v>
      </c>
      <c r="D8520" s="2" t="s">
        <v>18</v>
      </c>
      <c r="E8520" s="5">
        <v>-28051</v>
      </c>
      <c r="F8520" s="3" t="s">
        <v>305</v>
      </c>
      <c r="G8520" s="3" t="s">
        <v>48</v>
      </c>
      <c r="H8520" s="2" t="s">
        <v>21</v>
      </c>
      <c r="I8520" s="2" t="s">
        <v>16926</v>
      </c>
      <c r="J8520" s="3" t="str">
        <f>HYPERLINK("https://www.boe.es/gazeta/dias/1823/03/13/pdfs/GMD-1823-76.pdf#page=3","Abrir facsímil")</f>
        <v>Abrir facsímil</v>
      </c>
      <c r="K8520" s="3" t="s">
        <v>23</v>
      </c>
    </row>
    <row r="8521" spans="1:11" ht="42" customHeight="1">
      <c r="A8521" s="2" t="s">
        <v>16927</v>
      </c>
      <c r="B8521" s="2" t="s">
        <v>16928</v>
      </c>
      <c r="C8521" s="2" t="s">
        <v>109</v>
      </c>
      <c r="D8521" s="2" t="s">
        <v>74</v>
      </c>
      <c r="E8521" s="5">
        <v>-28073</v>
      </c>
      <c r="F8521" s="3" t="s">
        <v>204</v>
      </c>
      <c r="G8521" s="3" t="s">
        <v>27</v>
      </c>
      <c r="H8521" s="2" t="s">
        <v>21</v>
      </c>
      <c r="I8521" s="2" t="s">
        <v>16929</v>
      </c>
      <c r="J8521" s="3" t="str">
        <f>HYPERLINK("https://www.boe.es/gazeta/dias/1823/02/19/pdfs/GMD-1823-53.pdf#page=2","Abrir facsímil")</f>
        <v>Abrir facsímil</v>
      </c>
      <c r="K8521" s="3" t="s">
        <v>23</v>
      </c>
    </row>
    <row r="8522" spans="1:11" ht="42" customHeight="1">
      <c r="A8522" s="2" t="s">
        <v>16930</v>
      </c>
      <c r="B8522" s="2" t="s">
        <v>16931</v>
      </c>
      <c r="C8522" s="2" t="s">
        <v>56</v>
      </c>
      <c r="D8522" s="2" t="s">
        <v>57</v>
      </c>
      <c r="E8522" s="5">
        <v>-27925</v>
      </c>
      <c r="F8522" s="3" t="s">
        <v>89</v>
      </c>
      <c r="G8522" s="3" t="s">
        <v>39</v>
      </c>
      <c r="H8522" s="2" t="s">
        <v>21</v>
      </c>
      <c r="I8522" s="2" t="s">
        <v>16932</v>
      </c>
      <c r="J8522" s="3" t="str">
        <f>HYPERLINK("https://www.boe.es/gazeta/dias/1823/07/17/pdfs/GES-1823-97.pdf#page=1","Abrir facsímil")</f>
        <v>Abrir facsímil</v>
      </c>
      <c r="K8522" s="3" t="s">
        <v>23</v>
      </c>
    </row>
    <row r="8523" spans="1:11" ht="42" customHeight="1">
      <c r="A8523" s="2" t="s">
        <v>16933</v>
      </c>
      <c r="B8523" s="2" t="s">
        <v>16933</v>
      </c>
      <c r="C8523" s="2" t="s">
        <v>56</v>
      </c>
      <c r="D8523" s="2" t="s">
        <v>57</v>
      </c>
      <c r="E8523" s="5">
        <v>-27899</v>
      </c>
      <c r="F8523" s="3" t="s">
        <v>2172</v>
      </c>
      <c r="G8523" s="3" t="s">
        <v>39</v>
      </c>
      <c r="H8523" s="2" t="s">
        <v>21</v>
      </c>
      <c r="I8523" s="2" t="s">
        <v>16934</v>
      </c>
      <c r="J8523" s="3" t="str">
        <f>HYPERLINK("https://www.boe.es/gazeta/dias/1823/08/12/pdfs/GES-1823-125.pdf#page=1","Abrir facsímil")</f>
        <v>Abrir facsímil</v>
      </c>
      <c r="K8523" s="3" t="s">
        <v>23</v>
      </c>
    </row>
    <row r="8524" spans="1:11" ht="42" customHeight="1">
      <c r="A8524" s="2" t="s">
        <v>16935</v>
      </c>
      <c r="B8524" s="2" t="s">
        <v>16936</v>
      </c>
      <c r="C8524" s="2" t="s">
        <v>17</v>
      </c>
      <c r="D8524" s="2" t="s">
        <v>18</v>
      </c>
      <c r="E8524" s="5">
        <v>-27881</v>
      </c>
      <c r="F8524" s="3" t="s">
        <v>725</v>
      </c>
      <c r="G8524" s="3" t="s">
        <v>321</v>
      </c>
      <c r="H8524" s="2" t="s">
        <v>21</v>
      </c>
      <c r="I8524" s="2" t="s">
        <v>16937</v>
      </c>
      <c r="J8524" s="3" t="str">
        <f>HYPERLINK("https://www.boe.es/gazeta/dias/1823/08/30/pdfs/GMD-1823-673.pdf#page=2","Abrir facsímil")</f>
        <v>Abrir facsímil</v>
      </c>
      <c r="K8524" s="3" t="s">
        <v>23</v>
      </c>
    </row>
    <row r="8525" spans="1:11" ht="42" customHeight="1">
      <c r="A8525" s="2" t="s">
        <v>16938</v>
      </c>
      <c r="B8525" s="2" t="s">
        <v>16938</v>
      </c>
      <c r="C8525" s="2" t="s">
        <v>79</v>
      </c>
      <c r="D8525" s="2" t="s">
        <v>74</v>
      </c>
      <c r="E8525" s="5">
        <v>-27849</v>
      </c>
      <c r="F8525" s="3" t="s">
        <v>7011</v>
      </c>
      <c r="G8525" s="3" t="s">
        <v>20</v>
      </c>
      <c r="H8525" s="2" t="s">
        <v>21</v>
      </c>
      <c r="I8525" s="2" t="s">
        <v>16939</v>
      </c>
      <c r="J8525" s="3" t="str">
        <f>HYPERLINK("https://www.boe.es/gazeta/dias/1823/10/01/pdfs/GES-1823-175.pdf#page=4","Abrir facsímil")</f>
        <v>Abrir facsímil</v>
      </c>
      <c r="K8525" s="3" t="s">
        <v>23</v>
      </c>
    </row>
    <row r="8526" spans="1:11" ht="42" customHeight="1">
      <c r="A8526" s="2" t="s">
        <v>16940</v>
      </c>
      <c r="B8526" s="2" t="s">
        <v>16941</v>
      </c>
      <c r="C8526" s="2" t="s">
        <v>56</v>
      </c>
      <c r="D8526" s="2" t="s">
        <v>57</v>
      </c>
      <c r="E8526" s="5">
        <v>-27977</v>
      </c>
      <c r="F8526" s="3" t="s">
        <v>1489</v>
      </c>
      <c r="G8526" s="3" t="s">
        <v>39</v>
      </c>
      <c r="H8526" s="2" t="s">
        <v>21</v>
      </c>
      <c r="I8526" s="2" t="s">
        <v>16942</v>
      </c>
      <c r="J8526" s="3" t="str">
        <f>HYPERLINK("https://www.boe.es/gazeta/dias/1823/05/26/pdfs/GES-1823-47.pdf#page=1","Abrir facsímil")</f>
        <v>Abrir facsímil</v>
      </c>
      <c r="K8526" s="3" t="s">
        <v>23</v>
      </c>
    </row>
    <row r="8527" spans="1:11" ht="42" customHeight="1">
      <c r="A8527" s="2" t="s">
        <v>16940</v>
      </c>
      <c r="B8527" s="2" t="s">
        <v>16941</v>
      </c>
      <c r="C8527" s="2" t="s">
        <v>17</v>
      </c>
      <c r="D8527" s="2" t="s">
        <v>18</v>
      </c>
      <c r="E8527" s="5">
        <v>-27946</v>
      </c>
      <c r="F8527" s="3" t="s">
        <v>2146</v>
      </c>
      <c r="G8527" s="3" t="s">
        <v>27</v>
      </c>
      <c r="H8527" s="2" t="s">
        <v>21</v>
      </c>
      <c r="I8527" s="2" t="s">
        <v>16943</v>
      </c>
      <c r="J8527" s="3" t="str">
        <f>HYPERLINK("https://www.boe.es/gazeta/dias/1823/06/26/pdfs/GES-1823-76.pdf#page=2","Abrir facsímil")</f>
        <v>Abrir facsímil</v>
      </c>
      <c r="K8527" s="3" t="s">
        <v>23</v>
      </c>
    </row>
    <row r="8528" spans="1:11" ht="42" customHeight="1">
      <c r="A8528" s="2" t="s">
        <v>16944</v>
      </c>
      <c r="B8528" s="2" t="s">
        <v>16945</v>
      </c>
      <c r="C8528" s="2" t="s">
        <v>17</v>
      </c>
      <c r="D8528" s="2" t="s">
        <v>18</v>
      </c>
      <c r="E8528" s="5">
        <v>-27997</v>
      </c>
      <c r="F8528" s="3" t="s">
        <v>317</v>
      </c>
      <c r="G8528" s="3" t="s">
        <v>1124</v>
      </c>
      <c r="H8528" s="2" t="s">
        <v>21</v>
      </c>
      <c r="I8528" s="2" t="s">
        <v>16946</v>
      </c>
      <c r="J8528" s="3" t="str">
        <f>HYPERLINK("https://www.boe.es/gazeta/dias/1823/05/06/pdfs/GES-1823-26.pdf#page=2","Abrir facsímil")</f>
        <v>Abrir facsímil</v>
      </c>
      <c r="K8528" s="3" t="s">
        <v>23</v>
      </c>
    </row>
    <row r="8529" spans="1:11" ht="42" customHeight="1">
      <c r="A8529" s="2" t="s">
        <v>16947</v>
      </c>
      <c r="B8529" s="2" t="s">
        <v>16948</v>
      </c>
      <c r="C8529" s="2" t="s">
        <v>79</v>
      </c>
      <c r="D8529" s="2" t="s">
        <v>74</v>
      </c>
      <c r="E8529" s="5">
        <v>-28037</v>
      </c>
      <c r="F8529" s="3" t="s">
        <v>192</v>
      </c>
      <c r="G8529" s="3" t="s">
        <v>48</v>
      </c>
      <c r="H8529" s="2" t="s">
        <v>21</v>
      </c>
      <c r="I8529" s="2" t="s">
        <v>16949</v>
      </c>
      <c r="J8529" s="3" t="str">
        <f>HYPERLINK("https://www.boe.es/gazeta/dias/1823/03/27/pdfs/GMD-1823-90.pdf#page=3","Abrir facsímil")</f>
        <v>Abrir facsímil</v>
      </c>
      <c r="K8529" s="3" t="s">
        <v>23</v>
      </c>
    </row>
    <row r="8530" spans="1:11" ht="42" customHeight="1">
      <c r="A8530" s="2" t="s">
        <v>16950</v>
      </c>
      <c r="B8530" s="2" t="s">
        <v>16951</v>
      </c>
      <c r="C8530" s="2" t="s">
        <v>17</v>
      </c>
      <c r="D8530" s="2" t="s">
        <v>18</v>
      </c>
      <c r="E8530" s="5">
        <v>-28049</v>
      </c>
      <c r="F8530" s="3" t="s">
        <v>198</v>
      </c>
      <c r="G8530" s="3" t="s">
        <v>39</v>
      </c>
      <c r="H8530" s="2" t="s">
        <v>21</v>
      </c>
      <c r="I8530" s="2" t="s">
        <v>16952</v>
      </c>
      <c r="J8530" s="3" t="str">
        <f>HYPERLINK("https://www.boe.es/gazeta/dias/1823/03/15/pdfs/GMD-1823-78.pdf#page=1","Abrir facsímil")</f>
        <v>Abrir facsímil</v>
      </c>
      <c r="K8530" s="3" t="s">
        <v>23</v>
      </c>
    </row>
    <row r="8531" spans="1:11" ht="42" customHeight="1">
      <c r="A8531" s="2" t="s">
        <v>16953</v>
      </c>
      <c r="B8531" s="2" t="s">
        <v>16953</v>
      </c>
      <c r="C8531" s="2" t="s">
        <v>79</v>
      </c>
      <c r="D8531" s="2" t="s">
        <v>74</v>
      </c>
      <c r="E8531" s="5">
        <v>-27944</v>
      </c>
      <c r="F8531" s="3" t="s">
        <v>2823</v>
      </c>
      <c r="G8531" s="3" t="s">
        <v>20</v>
      </c>
      <c r="H8531" s="2" t="s">
        <v>21</v>
      </c>
      <c r="I8531" s="2" t="s">
        <v>16954</v>
      </c>
      <c r="J8531" s="3" t="str">
        <f>HYPERLINK("https://www.boe.es/gazeta/dias/1823/06/28/pdfs/GES-1823-78.pdf#page=4","Abrir facsímil")</f>
        <v>Abrir facsímil</v>
      </c>
      <c r="K8531" s="3" t="s">
        <v>23</v>
      </c>
    </row>
    <row r="8532" spans="1:11" ht="42" customHeight="1">
      <c r="A8532" s="2" t="s">
        <v>16955</v>
      </c>
      <c r="B8532" s="2" t="s">
        <v>16956</v>
      </c>
      <c r="C8532" s="2" t="s">
        <v>293</v>
      </c>
      <c r="D8532" s="2" t="s">
        <v>74</v>
      </c>
      <c r="E8532" s="5">
        <v>-28019</v>
      </c>
      <c r="F8532" s="3" t="s">
        <v>1663</v>
      </c>
      <c r="G8532" s="3" t="s">
        <v>1966</v>
      </c>
      <c r="H8532" s="2" t="s">
        <v>21</v>
      </c>
      <c r="I8532" s="2" t="s">
        <v>16957</v>
      </c>
      <c r="J8532" s="3" t="str">
        <f>HYPERLINK("https://www.boe.es/gazeta/dias/1823/04/14/pdfs/GES-1823-4.pdf#page=4","Abrir facsímil")</f>
        <v>Abrir facsímil</v>
      </c>
      <c r="K8532" s="3" t="s">
        <v>23</v>
      </c>
    </row>
    <row r="8533" spans="1:11" ht="42" customHeight="1">
      <c r="A8533" s="2" t="s">
        <v>16958</v>
      </c>
      <c r="B8533" s="2" t="s">
        <v>16959</v>
      </c>
      <c r="C8533" s="2" t="s">
        <v>17</v>
      </c>
      <c r="D8533" s="2" t="s">
        <v>18</v>
      </c>
      <c r="E8533" s="5">
        <v>-28076</v>
      </c>
      <c r="F8533" s="3" t="s">
        <v>1638</v>
      </c>
      <c r="G8533" s="3" t="s">
        <v>59</v>
      </c>
      <c r="H8533" s="2" t="s">
        <v>28</v>
      </c>
      <c r="I8533" s="2" t="s">
        <v>16960</v>
      </c>
      <c r="J8533" s="3" t="str">
        <f>HYPERLINK("https://www.boe.es/gazeta/dias/1823/02/16/pdfs/GMD-1823-50.pdf#page=6","Abrir facsímil")</f>
        <v>Abrir facsímil</v>
      </c>
      <c r="K8533" s="3" t="s">
        <v>30</v>
      </c>
    </row>
    <row r="8534" spans="1:11" ht="42" customHeight="1">
      <c r="A8534" s="2" t="s">
        <v>16961</v>
      </c>
      <c r="B8534" s="2" t="s">
        <v>16961</v>
      </c>
      <c r="C8534" s="2" t="s">
        <v>17</v>
      </c>
      <c r="D8534" s="2" t="s">
        <v>18</v>
      </c>
      <c r="E8534" s="5">
        <v>-27904</v>
      </c>
      <c r="F8534" s="3" t="s">
        <v>1227</v>
      </c>
      <c r="G8534" s="3" t="s">
        <v>48</v>
      </c>
      <c r="H8534" s="2" t="s">
        <v>21</v>
      </c>
      <c r="I8534" s="2" t="s">
        <v>16962</v>
      </c>
      <c r="J8534" s="3" t="str">
        <f>HYPERLINK("https://www.boe.es/gazeta/dias/1823/08/07/pdfs/GMD-1823-543.pdf#page=3","Abrir facsímil")</f>
        <v>Abrir facsímil</v>
      </c>
      <c r="K8534" s="3" t="s">
        <v>23</v>
      </c>
    </row>
    <row r="8535" spans="1:11" ht="42" customHeight="1">
      <c r="A8535" s="2" t="s">
        <v>16963</v>
      </c>
      <c r="B8535" s="2" t="s">
        <v>16964</v>
      </c>
      <c r="C8535" s="2" t="s">
        <v>17</v>
      </c>
      <c r="D8535" s="2" t="s">
        <v>18</v>
      </c>
      <c r="E8535" s="5">
        <v>-27892</v>
      </c>
      <c r="F8535" s="3" t="s">
        <v>1571</v>
      </c>
      <c r="G8535" s="3" t="s">
        <v>39</v>
      </c>
      <c r="H8535" s="2" t="s">
        <v>21</v>
      </c>
      <c r="I8535" s="2" t="s">
        <v>16965</v>
      </c>
      <c r="J8535" s="3" t="str">
        <f>HYPERLINK("https://www.boe.es/gazeta/dias/1823/08/19/pdfs/GMD-1823-613.pdf#page=1","Abrir facsímil")</f>
        <v>Abrir facsímil</v>
      </c>
      <c r="K8535" s="3" t="s">
        <v>23</v>
      </c>
    </row>
    <row r="8536" spans="1:11" ht="42" customHeight="1">
      <c r="A8536" s="2" t="s">
        <v>16966</v>
      </c>
      <c r="B8536" s="2" t="s">
        <v>16967</v>
      </c>
      <c r="C8536" s="2" t="s">
        <v>17</v>
      </c>
      <c r="D8536" s="2" t="s">
        <v>18</v>
      </c>
      <c r="E8536" s="5">
        <v>-27878</v>
      </c>
      <c r="F8536" s="3" t="s">
        <v>1581</v>
      </c>
      <c r="G8536" s="3" t="s">
        <v>34</v>
      </c>
      <c r="H8536" s="2" t="s">
        <v>21</v>
      </c>
      <c r="I8536" s="2" t="s">
        <v>16968</v>
      </c>
      <c r="J8536" s="3" t="str">
        <f>HYPERLINK("https://www.boe.es/gazeta/dias/1823/09/02/pdfs/GMD-1823-683.pdf#page=5","Abrir facsímil")</f>
        <v>Abrir facsímil</v>
      </c>
      <c r="K8536" s="3" t="s">
        <v>23</v>
      </c>
    </row>
    <row r="8537" spans="1:11" ht="42" customHeight="1">
      <c r="A8537" s="2" t="s">
        <v>16969</v>
      </c>
      <c r="B8537" s="2" t="s">
        <v>16970</v>
      </c>
      <c r="C8537" s="2" t="s">
        <v>17</v>
      </c>
      <c r="D8537" s="2" t="s">
        <v>18</v>
      </c>
      <c r="E8537" s="5">
        <v>-28057</v>
      </c>
      <c r="F8537" s="3" t="s">
        <v>301</v>
      </c>
      <c r="G8537" s="3" t="s">
        <v>27</v>
      </c>
      <c r="H8537" s="2" t="s">
        <v>21</v>
      </c>
      <c r="I8537" s="2" t="s">
        <v>16971</v>
      </c>
      <c r="J8537" s="3" t="str">
        <f>HYPERLINK("https://www.boe.es/gazeta/dias/1823/03/07/pdfs/GMD-1823-70.pdf#page=2","Abrir facsímil")</f>
        <v>Abrir facsímil</v>
      </c>
      <c r="K8537" s="3" t="s">
        <v>23</v>
      </c>
    </row>
    <row r="8538" spans="1:11" ht="42" customHeight="1">
      <c r="A8538" s="2" t="s">
        <v>16972</v>
      </c>
      <c r="B8538" s="2" t="s">
        <v>16972</v>
      </c>
      <c r="C8538" s="2" t="s">
        <v>73</v>
      </c>
      <c r="D8538" s="2" t="s">
        <v>74</v>
      </c>
      <c r="E8538" s="5">
        <v>-27986</v>
      </c>
      <c r="F8538" s="3" t="s">
        <v>607</v>
      </c>
      <c r="G8538" s="3" t="s">
        <v>39</v>
      </c>
      <c r="H8538" s="2" t="s">
        <v>21</v>
      </c>
      <c r="I8538" s="2" t="s">
        <v>16973</v>
      </c>
      <c r="J8538" s="3" t="str">
        <f>HYPERLINK("https://www.boe.es/gazeta/dias/1823/05/17/pdfs/GMD-1823-152.pdf#page=1","Abrir facsímil")</f>
        <v>Abrir facsímil</v>
      </c>
      <c r="K8538" s="3" t="s">
        <v>23</v>
      </c>
    </row>
    <row r="8539" spans="1:11" ht="42" customHeight="1">
      <c r="A8539" s="2" t="s">
        <v>16974</v>
      </c>
      <c r="B8539" s="2" t="s">
        <v>16975</v>
      </c>
      <c r="C8539" s="2" t="s">
        <v>56</v>
      </c>
      <c r="D8539" s="2" t="s">
        <v>57</v>
      </c>
      <c r="E8539" s="5">
        <v>-28078</v>
      </c>
      <c r="F8539" s="3" t="s">
        <v>508</v>
      </c>
      <c r="G8539" s="3" t="s">
        <v>59</v>
      </c>
      <c r="H8539" s="2" t="s">
        <v>21</v>
      </c>
      <c r="I8539" s="2" t="s">
        <v>16976</v>
      </c>
      <c r="J8539" s="3" t="str">
        <f>HYPERLINK("https://www.boe.es/gazeta/dias/1823/02/14/pdfs/GMD-1823-48.pdf#page=6","Abrir facsímil")</f>
        <v>Abrir facsímil</v>
      </c>
      <c r="K8539" s="3" t="s">
        <v>23</v>
      </c>
    </row>
    <row r="8540" spans="1:11" ht="42" customHeight="1">
      <c r="A8540" s="2" t="s">
        <v>16974</v>
      </c>
      <c r="B8540" s="2" t="s">
        <v>16975</v>
      </c>
      <c r="C8540" s="2" t="s">
        <v>17</v>
      </c>
      <c r="D8540" s="2" t="s">
        <v>18</v>
      </c>
      <c r="E8540" s="5">
        <v>-28068</v>
      </c>
      <c r="F8540" s="3" t="s">
        <v>1325</v>
      </c>
      <c r="G8540" s="3" t="s">
        <v>20</v>
      </c>
      <c r="H8540" s="2" t="s">
        <v>21</v>
      </c>
      <c r="I8540" s="2" t="s">
        <v>16977</v>
      </c>
      <c r="J8540" s="3" t="str">
        <f>HYPERLINK("https://www.boe.es/gazeta/dias/1823/02/24/pdfs/GMD-1823-58.pdf#page=4","Abrir facsímil")</f>
        <v>Abrir facsímil</v>
      </c>
      <c r="K8540" s="3" t="s">
        <v>23</v>
      </c>
    </row>
    <row r="8541" spans="1:11" ht="42" customHeight="1">
      <c r="A8541" s="2" t="s">
        <v>16974</v>
      </c>
      <c r="B8541" s="2" t="s">
        <v>16975</v>
      </c>
      <c r="C8541" s="2" t="s">
        <v>325</v>
      </c>
      <c r="D8541" s="2" t="s">
        <v>74</v>
      </c>
      <c r="E8541" s="5">
        <v>-28061</v>
      </c>
      <c r="F8541" s="3" t="s">
        <v>704</v>
      </c>
      <c r="G8541" s="3" t="s">
        <v>59</v>
      </c>
      <c r="H8541" s="2" t="s">
        <v>21</v>
      </c>
      <c r="I8541" s="2" t="s">
        <v>16978</v>
      </c>
      <c r="J8541" s="3" t="str">
        <f>HYPERLINK("https://www.boe.es/gazeta/dias/1823/03/03/pdfs/GMD-1823-66.pdf#page=6","Abrir facsímil")</f>
        <v>Abrir facsímil</v>
      </c>
      <c r="K8541" s="3" t="s">
        <v>23</v>
      </c>
    </row>
    <row r="8542" spans="1:11" ht="42" customHeight="1">
      <c r="A8542" s="2" t="s">
        <v>16974</v>
      </c>
      <c r="B8542" s="2" t="s">
        <v>16975</v>
      </c>
      <c r="C8542" s="2" t="s">
        <v>56</v>
      </c>
      <c r="D8542" s="2" t="s">
        <v>57</v>
      </c>
      <c r="E8542" s="5">
        <v>-28043</v>
      </c>
      <c r="F8542" s="3" t="s">
        <v>69</v>
      </c>
      <c r="G8542" s="3" t="s">
        <v>59</v>
      </c>
      <c r="H8542" s="2" t="s">
        <v>21</v>
      </c>
      <c r="I8542" s="2" t="s">
        <v>16979</v>
      </c>
      <c r="J8542" s="3" t="str">
        <f>HYPERLINK("https://www.boe.es/gazeta/dias/1823/03/21/pdfs/GMD-1823-84.pdf#page=6","Abrir facsímil")</f>
        <v>Abrir facsímil</v>
      </c>
      <c r="K8542" s="3" t="s">
        <v>23</v>
      </c>
    </row>
    <row r="8543" spans="1:11" ht="42" customHeight="1">
      <c r="A8543" s="2" t="s">
        <v>16980</v>
      </c>
      <c r="B8543" s="2" t="s">
        <v>16981</v>
      </c>
      <c r="C8543" s="2" t="s">
        <v>56</v>
      </c>
      <c r="D8543" s="2" t="s">
        <v>57</v>
      </c>
      <c r="E8543" s="5">
        <v>-28016</v>
      </c>
      <c r="F8543" s="3" t="s">
        <v>287</v>
      </c>
      <c r="G8543" s="3" t="s">
        <v>3416</v>
      </c>
      <c r="H8543" s="2" t="s">
        <v>21</v>
      </c>
      <c r="I8543" s="2" t="s">
        <v>16982</v>
      </c>
      <c r="J8543" s="3" t="str">
        <f>HYPERLINK("https://www.boe.es/gazeta/dias/1823/04/17/pdfs/GMD-1823-22.pdf#page=4","Abrir facsímil")</f>
        <v>Abrir facsímil</v>
      </c>
      <c r="K8543" s="3" t="s">
        <v>23</v>
      </c>
    </row>
    <row r="8544" spans="1:11" ht="42" customHeight="1">
      <c r="A8544" s="2" t="s">
        <v>16983</v>
      </c>
      <c r="B8544" s="2" t="s">
        <v>16984</v>
      </c>
      <c r="C8544" s="2" t="s">
        <v>79</v>
      </c>
      <c r="D8544" s="2" t="s">
        <v>74</v>
      </c>
      <c r="E8544" s="5">
        <v>-28037</v>
      </c>
      <c r="F8544" s="3" t="s">
        <v>192</v>
      </c>
      <c r="G8544" s="3" t="s">
        <v>48</v>
      </c>
      <c r="H8544" s="2" t="s">
        <v>28</v>
      </c>
      <c r="I8544" s="2" t="s">
        <v>16985</v>
      </c>
      <c r="J8544" s="3" t="str">
        <f>HYPERLINK("https://www.boe.es/gazeta/dias/1823/03/27/pdfs/GMD-1823-90.pdf#page=3","Abrir facsímil")</f>
        <v>Abrir facsímil</v>
      </c>
      <c r="K8544" s="3" t="s">
        <v>30</v>
      </c>
    </row>
    <row r="8545" spans="1:11" ht="42" customHeight="1">
      <c r="A8545" s="2" t="s">
        <v>16986</v>
      </c>
      <c r="B8545" s="2" t="s">
        <v>16986</v>
      </c>
      <c r="C8545" s="2" t="s">
        <v>17</v>
      </c>
      <c r="D8545" s="2" t="s">
        <v>18</v>
      </c>
      <c r="E8545" s="5">
        <v>-27860</v>
      </c>
      <c r="F8545" s="3" t="s">
        <v>998</v>
      </c>
      <c r="G8545" s="3" t="s">
        <v>59</v>
      </c>
      <c r="H8545" s="2" t="s">
        <v>21</v>
      </c>
      <c r="I8545" s="2" t="s">
        <v>16987</v>
      </c>
      <c r="J8545" s="3" t="str">
        <f>HYPERLINK("https://www.boe.es/gazeta/dias/1823/09/20/pdfs/GMD-1823-813.pdf#page=6","Abrir facsímil")</f>
        <v>Abrir facsímil</v>
      </c>
      <c r="K8545" s="3" t="s">
        <v>23</v>
      </c>
    </row>
    <row r="8546" spans="1:11" ht="42" customHeight="1">
      <c r="A8546" s="2" t="s">
        <v>16988</v>
      </c>
      <c r="B8546" s="2" t="s">
        <v>16989</v>
      </c>
      <c r="C8546" s="2" t="s">
        <v>79</v>
      </c>
      <c r="D8546" s="2" t="s">
        <v>74</v>
      </c>
      <c r="E8546" s="5">
        <v>-28024</v>
      </c>
      <c r="F8546" s="3" t="s">
        <v>1659</v>
      </c>
      <c r="G8546" s="3" t="s">
        <v>27</v>
      </c>
      <c r="H8546" s="2" t="s">
        <v>21</v>
      </c>
      <c r="I8546" s="2" t="s">
        <v>16990</v>
      </c>
      <c r="J8546" s="3" t="str">
        <f>HYPERLINK("https://www.boe.es/gazeta/dias/1823/04/09/pdfs/GMD-1823-104.pdf#page=2","Abrir facsímil")</f>
        <v>Abrir facsímil</v>
      </c>
      <c r="K8546" s="3" t="s">
        <v>23</v>
      </c>
    </row>
    <row r="8547" spans="1:11" ht="42" customHeight="1">
      <c r="A8547" s="2" t="s">
        <v>16988</v>
      </c>
      <c r="B8547" s="2" t="s">
        <v>16989</v>
      </c>
      <c r="C8547" s="2" t="s">
        <v>79</v>
      </c>
      <c r="D8547" s="2" t="s">
        <v>74</v>
      </c>
      <c r="E8547" s="5">
        <v>-27943</v>
      </c>
      <c r="F8547" s="3" t="s">
        <v>346</v>
      </c>
      <c r="G8547" s="3" t="s">
        <v>20</v>
      </c>
      <c r="H8547" s="2" t="s">
        <v>21</v>
      </c>
      <c r="I8547" s="2" t="s">
        <v>16991</v>
      </c>
      <c r="J8547" s="3" t="str">
        <f>HYPERLINK("https://www.boe.es/gazeta/dias/1823/06/29/pdfs/GES-1823-79.pdf#page=4","Abrir facsímil")</f>
        <v>Abrir facsímil</v>
      </c>
      <c r="K8547" s="3" t="s">
        <v>23</v>
      </c>
    </row>
    <row r="8548" spans="1:11" ht="42" customHeight="1">
      <c r="A8548" s="2" t="s">
        <v>16992</v>
      </c>
      <c r="B8548" s="2" t="s">
        <v>16993</v>
      </c>
      <c r="C8548" s="2" t="s">
        <v>17</v>
      </c>
      <c r="D8548" s="2" t="s">
        <v>117</v>
      </c>
      <c r="E8548" s="5">
        <v>-27869</v>
      </c>
      <c r="F8548" s="3" t="s">
        <v>2363</v>
      </c>
      <c r="G8548" s="3" t="s">
        <v>39</v>
      </c>
      <c r="H8548" s="2" t="s">
        <v>21</v>
      </c>
      <c r="I8548" s="2" t="s">
        <v>16994</v>
      </c>
      <c r="J8548" s="3" t="str">
        <f>HYPERLINK("https://www.boe.es/gazeta/dias/1823/09/11/pdfs/GMD-1823-763E.pdf#page=1","Abrir facsímil")</f>
        <v>Abrir facsímil</v>
      </c>
      <c r="K8548" s="3" t="s">
        <v>23</v>
      </c>
    </row>
    <row r="8549" spans="1:11" ht="42" customHeight="1">
      <c r="A8549" s="2" t="s">
        <v>16995</v>
      </c>
      <c r="B8549" s="2" t="s">
        <v>16996</v>
      </c>
      <c r="C8549" s="2" t="s">
        <v>79</v>
      </c>
      <c r="D8549" s="2" t="s">
        <v>74</v>
      </c>
      <c r="E8549" s="5">
        <v>-27943</v>
      </c>
      <c r="F8549" s="3" t="s">
        <v>346</v>
      </c>
      <c r="G8549" s="3" t="s">
        <v>39</v>
      </c>
      <c r="H8549" s="2" t="s">
        <v>21</v>
      </c>
      <c r="I8549" s="2" t="s">
        <v>16997</v>
      </c>
      <c r="J8549" s="3" t="str">
        <f>HYPERLINK("https://www.boe.es/gazeta/dias/1823/06/29/pdfs/GES-1823-79.pdf#page=1","Abrir facsímil")</f>
        <v>Abrir facsímil</v>
      </c>
      <c r="K8549" s="3" t="s">
        <v>23</v>
      </c>
    </row>
    <row r="8550" spans="1:11" ht="42" customHeight="1">
      <c r="A8550" s="2" t="s">
        <v>16998</v>
      </c>
      <c r="B8550" s="2" t="s">
        <v>16999</v>
      </c>
      <c r="C8550" s="2" t="s">
        <v>17</v>
      </c>
      <c r="D8550" s="2" t="s">
        <v>18</v>
      </c>
      <c r="E8550" s="5">
        <v>-28082</v>
      </c>
      <c r="F8550" s="3" t="s">
        <v>468</v>
      </c>
      <c r="G8550" s="3" t="s">
        <v>34</v>
      </c>
      <c r="H8550" s="2" t="s">
        <v>21</v>
      </c>
      <c r="I8550" s="2" t="s">
        <v>17000</v>
      </c>
      <c r="J8550" s="3" t="str">
        <f>HYPERLINK("https://www.boe.es/gazeta/dias/1823/02/10/pdfs/GMD-1823-44.pdf#page=5","Abrir facsímil")</f>
        <v>Abrir facsímil</v>
      </c>
      <c r="K8550" s="3" t="s">
        <v>23</v>
      </c>
    </row>
    <row r="8551" spans="1:11" ht="42" customHeight="1">
      <c r="A8551" s="2" t="s">
        <v>17001</v>
      </c>
      <c r="B8551" s="2" t="s">
        <v>17002</v>
      </c>
      <c r="C8551" s="2" t="s">
        <v>17</v>
      </c>
      <c r="D8551" s="2" t="s">
        <v>18</v>
      </c>
      <c r="E8551" s="5">
        <v>-28025</v>
      </c>
      <c r="F8551" s="3" t="s">
        <v>477</v>
      </c>
      <c r="G8551" s="3" t="s">
        <v>48</v>
      </c>
      <c r="H8551" s="2" t="s">
        <v>21</v>
      </c>
      <c r="I8551" s="2" t="s">
        <v>17003</v>
      </c>
      <c r="J8551" s="3" t="str">
        <f>HYPERLINK("https://www.boe.es/gazeta/dias/1823/04/08/pdfs/GMD-1823-103.pdf#page=3","Abrir facsímil")</f>
        <v>Abrir facsímil</v>
      </c>
      <c r="K8551" s="3" t="s">
        <v>23</v>
      </c>
    </row>
    <row r="8552" spans="1:11" ht="42" customHeight="1">
      <c r="A8552" s="2" t="s">
        <v>17004</v>
      </c>
      <c r="B8552" s="2" t="s">
        <v>17005</v>
      </c>
      <c r="C8552" s="2" t="s">
        <v>17</v>
      </c>
      <c r="D8552" s="2" t="s">
        <v>18</v>
      </c>
      <c r="E8552" s="5">
        <v>-28013</v>
      </c>
      <c r="F8552" s="3" t="s">
        <v>2466</v>
      </c>
      <c r="G8552" s="3" t="s">
        <v>2467</v>
      </c>
      <c r="H8552" s="2" t="s">
        <v>21</v>
      </c>
      <c r="I8552" s="2" t="s">
        <v>17006</v>
      </c>
      <c r="J8552" s="3" t="str">
        <f>HYPERLINK("https://www.boe.es/gazeta/dias/1823/04/20/pdfs/GES-1823-10.pdf#page=3","Abrir facsímil")</f>
        <v>Abrir facsímil</v>
      </c>
      <c r="K8552" s="3" t="s">
        <v>23</v>
      </c>
    </row>
    <row r="8553" spans="1:11" ht="42" customHeight="1">
      <c r="A8553" s="2" t="s">
        <v>17007</v>
      </c>
      <c r="B8553" s="2" t="s">
        <v>17008</v>
      </c>
      <c r="C8553" s="2" t="s">
        <v>17</v>
      </c>
      <c r="D8553" s="2" t="s">
        <v>18</v>
      </c>
      <c r="E8553" s="5">
        <v>-27911</v>
      </c>
      <c r="F8553" s="3" t="s">
        <v>368</v>
      </c>
      <c r="G8553" s="3" t="s">
        <v>39</v>
      </c>
      <c r="H8553" s="2" t="s">
        <v>21</v>
      </c>
      <c r="I8553" s="2" t="s">
        <v>17009</v>
      </c>
      <c r="J8553" s="3" t="str">
        <f>HYPERLINK("https://www.boe.es/gazeta/dias/1823/07/31/pdfs/GES-1823-112.pdf#page=1","Abrir facsímil")</f>
        <v>Abrir facsímil</v>
      </c>
      <c r="K8553" s="3" t="s">
        <v>23</v>
      </c>
    </row>
    <row r="8554" spans="1:11" ht="42" customHeight="1">
      <c r="A8554" s="2" t="s">
        <v>17010</v>
      </c>
      <c r="B8554" s="2" t="s">
        <v>17010</v>
      </c>
      <c r="C8554" s="2" t="s">
        <v>73</v>
      </c>
      <c r="D8554" s="2" t="s">
        <v>74</v>
      </c>
      <c r="E8554" s="5">
        <v>-27891</v>
      </c>
      <c r="F8554" s="3" t="s">
        <v>825</v>
      </c>
      <c r="G8554" s="3" t="s">
        <v>39</v>
      </c>
      <c r="H8554" s="2" t="s">
        <v>21</v>
      </c>
      <c r="I8554" s="2" t="s">
        <v>17011</v>
      </c>
      <c r="J8554" s="3" t="str">
        <f>HYPERLINK("https://www.boe.es/gazeta/dias/1823/08/20/pdfs/GES-1823-133.pdf#page=1","Abrir facsímil")</f>
        <v>Abrir facsímil</v>
      </c>
      <c r="K8554" s="3" t="s">
        <v>23</v>
      </c>
    </row>
    <row r="8555" spans="1:11" ht="42" customHeight="1">
      <c r="A8555" s="2" t="s">
        <v>17012</v>
      </c>
      <c r="B8555" s="2" t="s">
        <v>17013</v>
      </c>
      <c r="C8555" s="2" t="s">
        <v>84</v>
      </c>
      <c r="D8555" s="2" t="s">
        <v>74</v>
      </c>
      <c r="E8555" s="5">
        <v>-28112</v>
      </c>
      <c r="F8555" s="3" t="s">
        <v>43</v>
      </c>
      <c r="G8555" s="3" t="s">
        <v>20</v>
      </c>
      <c r="H8555" s="2" t="s">
        <v>21</v>
      </c>
      <c r="I8555" s="2" t="s">
        <v>17014</v>
      </c>
      <c r="J8555" s="3" t="str">
        <f>HYPERLINK("https://www.boe.es/gazeta/dias/1823/01/11/pdfs/GMD-1823-11.pdf#page=4","Abrir facsímil")</f>
        <v>Abrir facsímil</v>
      </c>
      <c r="K8555" s="3" t="s">
        <v>23</v>
      </c>
    </row>
    <row r="8556" spans="1:11" ht="42" customHeight="1">
      <c r="A8556" s="2" t="s">
        <v>17015</v>
      </c>
      <c r="B8556" s="2" t="s">
        <v>17015</v>
      </c>
      <c r="C8556" s="2" t="s">
        <v>79</v>
      </c>
      <c r="D8556" s="2" t="s">
        <v>74</v>
      </c>
      <c r="E8556" s="5">
        <v>-28030</v>
      </c>
      <c r="F8556" s="3" t="s">
        <v>145</v>
      </c>
      <c r="G8556" s="3" t="s">
        <v>27</v>
      </c>
      <c r="H8556" s="2" t="s">
        <v>21</v>
      </c>
      <c r="I8556" s="2" t="s">
        <v>17016</v>
      </c>
      <c r="J8556" s="3" t="str">
        <f>HYPERLINK("https://www.boe.es/gazeta/dias/1823/04/03/pdfs/GMD-1823-97.pdf#page=2","Abrir facsímil")</f>
        <v>Abrir facsímil</v>
      </c>
      <c r="K8556" s="3" t="s">
        <v>23</v>
      </c>
    </row>
    <row r="8557" spans="1:11" ht="42" customHeight="1">
      <c r="A8557" s="2" t="s">
        <v>17017</v>
      </c>
      <c r="B8557" s="2" t="s">
        <v>17018</v>
      </c>
      <c r="C8557" s="2" t="s">
        <v>79</v>
      </c>
      <c r="D8557" s="2" t="s">
        <v>74</v>
      </c>
      <c r="E8557" s="5">
        <v>-28030</v>
      </c>
      <c r="F8557" s="3" t="s">
        <v>145</v>
      </c>
      <c r="G8557" s="3" t="s">
        <v>27</v>
      </c>
      <c r="H8557" s="2" t="s">
        <v>21</v>
      </c>
      <c r="I8557" s="2" t="s">
        <v>17019</v>
      </c>
      <c r="J8557" s="3" t="str">
        <f>HYPERLINK("https://www.boe.es/gazeta/dias/1823/04/03/pdfs/GMD-1823-97.pdf#page=2","Abrir facsímil")</f>
        <v>Abrir facsímil</v>
      </c>
      <c r="K8557" s="3" t="s">
        <v>23</v>
      </c>
    </row>
    <row r="8558" spans="1:11" ht="42" customHeight="1">
      <c r="A8558" s="2" t="s">
        <v>17020</v>
      </c>
      <c r="B8558" s="2" t="s">
        <v>17021</v>
      </c>
      <c r="C8558" s="2" t="s">
        <v>56</v>
      </c>
      <c r="D8558" s="2" t="s">
        <v>57</v>
      </c>
      <c r="E8558" s="5">
        <v>-28101</v>
      </c>
      <c r="F8558" s="3" t="s">
        <v>1041</v>
      </c>
      <c r="G8558" s="3" t="s">
        <v>20</v>
      </c>
      <c r="H8558" s="2" t="s">
        <v>21</v>
      </c>
      <c r="I8558" s="2" t="s">
        <v>17022</v>
      </c>
      <c r="J8558" s="3" t="str">
        <f>HYPERLINK("https://www.boe.es/gazeta/dias/1823/01/22/pdfs/GMD-1823-23.pdf#page=4","Abrir facsímil")</f>
        <v>Abrir facsímil</v>
      </c>
      <c r="K8558" s="3" t="s">
        <v>23</v>
      </c>
    </row>
    <row r="8559" spans="1:11" ht="42" customHeight="1">
      <c r="A8559" s="2" t="s">
        <v>17023</v>
      </c>
      <c r="B8559" s="2" t="s">
        <v>17024</v>
      </c>
      <c r="C8559" s="2" t="s">
        <v>17</v>
      </c>
      <c r="D8559" s="2" t="s">
        <v>18</v>
      </c>
      <c r="E8559" s="5">
        <v>-27916</v>
      </c>
      <c r="F8559" s="3" t="s">
        <v>1558</v>
      </c>
      <c r="G8559" s="3" t="s">
        <v>20</v>
      </c>
      <c r="H8559" s="2" t="s">
        <v>21</v>
      </c>
      <c r="I8559" s="2" t="s">
        <v>17025</v>
      </c>
      <c r="J8559" s="3" t="str">
        <f>HYPERLINK("https://www.boe.es/gazeta/dias/1823/07/26/pdfs/GMD-1823-473.pdf#page=4","Abrir facsímil")</f>
        <v>Abrir facsímil</v>
      </c>
      <c r="K8559" s="3" t="s">
        <v>23</v>
      </c>
    </row>
    <row r="8560" spans="1:11" ht="42" customHeight="1">
      <c r="A8560" s="2" t="s">
        <v>17026</v>
      </c>
      <c r="B8560" s="2" t="s">
        <v>17026</v>
      </c>
      <c r="C8560" s="2" t="s">
        <v>17</v>
      </c>
      <c r="D8560" s="2" t="s">
        <v>18</v>
      </c>
      <c r="E8560" s="5">
        <v>-28056</v>
      </c>
      <c r="F8560" s="3" t="s">
        <v>572</v>
      </c>
      <c r="G8560" s="3" t="s">
        <v>34</v>
      </c>
      <c r="H8560" s="2" t="s">
        <v>21</v>
      </c>
      <c r="I8560" s="2" t="s">
        <v>17027</v>
      </c>
      <c r="J8560" s="3" t="str">
        <f>HYPERLINK("https://www.boe.es/gazeta/dias/1823/03/08/pdfs/GMD-1823-71.pdf#page=5","Abrir facsímil")</f>
        <v>Abrir facsímil</v>
      </c>
      <c r="K8560" s="3" t="s">
        <v>23</v>
      </c>
    </row>
    <row r="8561" spans="1:11" ht="42" customHeight="1">
      <c r="A8561" s="2" t="s">
        <v>17026</v>
      </c>
      <c r="B8561" s="2" t="s">
        <v>17026</v>
      </c>
      <c r="C8561" s="2" t="s">
        <v>79</v>
      </c>
      <c r="D8561" s="2" t="s">
        <v>74</v>
      </c>
      <c r="E8561" s="5">
        <v>-27913</v>
      </c>
      <c r="F8561" s="3" t="s">
        <v>821</v>
      </c>
      <c r="G8561" s="3" t="s">
        <v>1204</v>
      </c>
      <c r="H8561" s="2" t="s">
        <v>21</v>
      </c>
      <c r="I8561" s="2" t="s">
        <v>17028</v>
      </c>
      <c r="J8561" s="3" t="str">
        <f>HYPERLINK("https://www.boe.es/gazeta/dias/1823/07/29/pdfs/GES-1823-110.pdf#page=2","Abrir facsímil")</f>
        <v>Abrir facsímil</v>
      </c>
      <c r="K8561" s="3" t="s">
        <v>23</v>
      </c>
    </row>
    <row r="8562" spans="1:11" ht="42" customHeight="1">
      <c r="A8562" s="2" t="s">
        <v>17029</v>
      </c>
      <c r="B8562" s="2" t="s">
        <v>17029</v>
      </c>
      <c r="C8562" s="2" t="s">
        <v>79</v>
      </c>
      <c r="D8562" s="2" t="s">
        <v>74</v>
      </c>
      <c r="E8562" s="5">
        <v>-27913</v>
      </c>
      <c r="F8562" s="3" t="s">
        <v>821</v>
      </c>
      <c r="G8562" s="3" t="s">
        <v>39</v>
      </c>
      <c r="H8562" s="2" t="s">
        <v>21</v>
      </c>
      <c r="I8562" s="2" t="s">
        <v>17030</v>
      </c>
      <c r="J8562" s="3" t="str">
        <f>HYPERLINK("https://www.boe.es/gazeta/dias/1823/07/29/pdfs/GES-1823-110.pdf#page=1","Abrir facsímil")</f>
        <v>Abrir facsímil</v>
      </c>
      <c r="K8562" s="3" t="s">
        <v>23</v>
      </c>
    </row>
    <row r="8563" spans="1:11" ht="42" customHeight="1">
      <c r="A8563" s="2" t="s">
        <v>17031</v>
      </c>
      <c r="B8563" s="2" t="s">
        <v>17032</v>
      </c>
      <c r="C8563" s="2" t="s">
        <v>109</v>
      </c>
      <c r="D8563" s="2" t="s">
        <v>74</v>
      </c>
      <c r="E8563" s="5">
        <v>-27992</v>
      </c>
      <c r="F8563" s="3" t="s">
        <v>565</v>
      </c>
      <c r="G8563" s="3" t="s">
        <v>1279</v>
      </c>
      <c r="H8563" s="2" t="s">
        <v>21</v>
      </c>
      <c r="I8563" s="2" t="s">
        <v>17033</v>
      </c>
      <c r="J8563" s="3" t="str">
        <f>HYPERLINK("https://www.boe.es/gazeta/dias/1823/05/11/pdfs/GES-1823-31.pdf#page=2","Abrir facsímil")</f>
        <v>Abrir facsímil</v>
      </c>
      <c r="K8563" s="3" t="s">
        <v>23</v>
      </c>
    </row>
    <row r="8564" spans="1:11" ht="42" customHeight="1">
      <c r="A8564" s="2" t="s">
        <v>17034</v>
      </c>
      <c r="B8564" s="2" t="s">
        <v>17034</v>
      </c>
      <c r="C8564" s="2" t="s">
        <v>17</v>
      </c>
      <c r="D8564" s="2" t="s">
        <v>117</v>
      </c>
      <c r="E8564" s="5">
        <v>-27932</v>
      </c>
      <c r="F8564" s="3" t="s">
        <v>1947</v>
      </c>
      <c r="G8564" s="3" t="s">
        <v>39</v>
      </c>
      <c r="H8564" s="2" t="s">
        <v>21</v>
      </c>
      <c r="I8564" s="2" t="s">
        <v>17035</v>
      </c>
      <c r="J8564" s="3" t="str">
        <f>HYPERLINK("https://www.boe.es/gazeta/dias/1823/07/10/pdfs/GMD-1823-373E.pdf#page=1","Abrir facsímil")</f>
        <v>Abrir facsímil</v>
      </c>
      <c r="K8564" s="3" t="s">
        <v>23</v>
      </c>
    </row>
    <row r="8565" spans="1:11" ht="42" customHeight="1">
      <c r="A8565" s="2" t="s">
        <v>17036</v>
      </c>
      <c r="B8565" s="2" t="s">
        <v>17037</v>
      </c>
      <c r="C8565" s="2" t="s">
        <v>17</v>
      </c>
      <c r="D8565" s="2" t="s">
        <v>18</v>
      </c>
      <c r="E8565" s="5">
        <v>-28002</v>
      </c>
      <c r="F8565" s="3" t="s">
        <v>315</v>
      </c>
      <c r="G8565" s="3" t="s">
        <v>34</v>
      </c>
      <c r="H8565" s="2" t="s">
        <v>21</v>
      </c>
      <c r="I8565" s="2" t="s">
        <v>17038</v>
      </c>
      <c r="J8565" s="3" t="str">
        <f>HYPERLINK("https://www.boe.es/gazeta/dias/1823/05/01/pdfs/GES-1823-21.pdf#page=5","Abrir facsímil")</f>
        <v>Abrir facsímil</v>
      </c>
      <c r="K8565" s="3" t="s">
        <v>23</v>
      </c>
    </row>
    <row r="8566" spans="1:11" ht="42" customHeight="1">
      <c r="A8566" s="2" t="s">
        <v>17039</v>
      </c>
      <c r="B8566" s="2" t="s">
        <v>17040</v>
      </c>
      <c r="C8566" s="2" t="s">
        <v>17</v>
      </c>
      <c r="D8566" s="2" t="s">
        <v>18</v>
      </c>
      <c r="E8566" s="5">
        <v>-28008</v>
      </c>
      <c r="F8566" s="3" t="s">
        <v>309</v>
      </c>
      <c r="G8566" s="3" t="s">
        <v>20</v>
      </c>
      <c r="H8566" s="2" t="s">
        <v>21</v>
      </c>
      <c r="I8566" s="2" t="s">
        <v>17041</v>
      </c>
      <c r="J8566" s="3" t="str">
        <f>HYPERLINK("https://www.boe.es/gazeta/dias/1823/04/25/pdfs/GES-1823-15.pdf#page=4","Abrir facsímil")</f>
        <v>Abrir facsímil</v>
      </c>
      <c r="K8566" s="3" t="s">
        <v>23</v>
      </c>
    </row>
    <row r="8567" spans="1:11" ht="42" customHeight="1">
      <c r="A8567" s="2" t="s">
        <v>17042</v>
      </c>
      <c r="B8567" s="2" t="s">
        <v>17043</v>
      </c>
      <c r="C8567" s="2" t="s">
        <v>17</v>
      </c>
      <c r="D8567" s="2" t="s">
        <v>18</v>
      </c>
      <c r="E8567" s="5">
        <v>-27964</v>
      </c>
      <c r="F8567" s="3" t="s">
        <v>58</v>
      </c>
      <c r="G8567" s="3" t="s">
        <v>34</v>
      </c>
      <c r="H8567" s="2" t="s">
        <v>21</v>
      </c>
      <c r="I8567" s="2" t="s">
        <v>17044</v>
      </c>
      <c r="J8567" s="3" t="str">
        <f>HYPERLINK("https://www.boe.es/gazeta/dias/1823/06/08/pdfs/GES-1823-62.pdf#page=5","Abrir facsímil")</f>
        <v>Abrir facsímil</v>
      </c>
      <c r="K8567" s="3" t="s">
        <v>23</v>
      </c>
    </row>
    <row r="8568" spans="1:11" ht="42" customHeight="1">
      <c r="A8568" s="2" t="s">
        <v>17045</v>
      </c>
      <c r="B8568" s="2" t="s">
        <v>17046</v>
      </c>
      <c r="C8568" s="2" t="s">
        <v>79</v>
      </c>
      <c r="D8568" s="2" t="s">
        <v>74</v>
      </c>
      <c r="E8568" s="5">
        <v>-27953</v>
      </c>
      <c r="F8568" s="3" t="s">
        <v>1543</v>
      </c>
      <c r="G8568" s="3" t="s">
        <v>39</v>
      </c>
      <c r="H8568" s="2" t="s">
        <v>21</v>
      </c>
      <c r="I8568" s="2" t="s">
        <v>17047</v>
      </c>
      <c r="J8568" s="3" t="str">
        <f>HYPERLINK("https://www.boe.es/gazeta/dias/1823/06/19/pdfs/GMD-1823-193.pdf#page=1","Abrir facsímil")</f>
        <v>Abrir facsímil</v>
      </c>
      <c r="K8568" s="3" t="s">
        <v>23</v>
      </c>
    </row>
    <row r="8569" spans="1:11" ht="42" customHeight="1">
      <c r="A8569" s="2" t="s">
        <v>17048</v>
      </c>
      <c r="B8569" s="2" t="s">
        <v>17048</v>
      </c>
      <c r="C8569" s="2" t="s">
        <v>109</v>
      </c>
      <c r="D8569" s="2" t="s">
        <v>74</v>
      </c>
      <c r="E8569" s="5">
        <v>-28062</v>
      </c>
      <c r="F8569" s="3" t="s">
        <v>1357</v>
      </c>
      <c r="G8569" s="3" t="s">
        <v>39</v>
      </c>
      <c r="H8569" s="2" t="s">
        <v>21</v>
      </c>
      <c r="I8569" s="2" t="s">
        <v>17049</v>
      </c>
      <c r="J8569" s="3" t="str">
        <f>HYPERLINK("https://www.boe.es/gazeta/dias/1823/03/02/pdfs/GMD-1823-65.pdf#page=1","Abrir facsímil")</f>
        <v>Abrir facsímil</v>
      </c>
      <c r="K8569" s="3" t="s">
        <v>23</v>
      </c>
    </row>
    <row r="8570" spans="1:11" ht="42" customHeight="1">
      <c r="A8570" s="2" t="s">
        <v>17050</v>
      </c>
      <c r="B8570" s="2" t="s">
        <v>17050</v>
      </c>
      <c r="C8570" s="2" t="s">
        <v>109</v>
      </c>
      <c r="D8570" s="2" t="s">
        <v>74</v>
      </c>
      <c r="E8570" s="5">
        <v>-28062</v>
      </c>
      <c r="F8570" s="3" t="s">
        <v>1357</v>
      </c>
      <c r="G8570" s="3" t="s">
        <v>48</v>
      </c>
      <c r="H8570" s="2" t="s">
        <v>21</v>
      </c>
      <c r="I8570" s="2" t="s">
        <v>17051</v>
      </c>
      <c r="J8570" s="3" t="str">
        <f>HYPERLINK("https://www.boe.es/gazeta/dias/1823/03/02/pdfs/GMD-1823-65.pdf#page=3","Abrir facsímil")</f>
        <v>Abrir facsímil</v>
      </c>
      <c r="K8570" s="3" t="s">
        <v>23</v>
      </c>
    </row>
    <row r="8571" spans="1:11" ht="42" customHeight="1">
      <c r="A8571" s="2" t="s">
        <v>17052</v>
      </c>
      <c r="B8571" s="2" t="s">
        <v>17052</v>
      </c>
      <c r="C8571" s="2" t="s">
        <v>1477</v>
      </c>
      <c r="D8571" s="2" t="s">
        <v>57</v>
      </c>
      <c r="E8571" s="5">
        <v>-28052</v>
      </c>
      <c r="F8571" s="3" t="s">
        <v>1025</v>
      </c>
      <c r="G8571" s="3" t="s">
        <v>20</v>
      </c>
      <c r="H8571" s="2" t="s">
        <v>21</v>
      </c>
      <c r="I8571" s="2" t="s">
        <v>17053</v>
      </c>
      <c r="J8571" s="3" t="str">
        <f>HYPERLINK("https://www.boe.es/gazeta/dias/1823/03/12/pdfs/GMD-1823-75.pdf#page=4","Abrir facsímil")</f>
        <v>Abrir facsímil</v>
      </c>
      <c r="K8571" s="3" t="s">
        <v>23</v>
      </c>
    </row>
    <row r="8572" spans="1:11" ht="42" customHeight="1">
      <c r="A8572" s="2" t="s">
        <v>17054</v>
      </c>
      <c r="B8572" s="2" t="s">
        <v>17054</v>
      </c>
      <c r="C8572" s="2" t="s">
        <v>79</v>
      </c>
      <c r="D8572" s="2" t="s">
        <v>74</v>
      </c>
      <c r="E8572" s="5">
        <v>-28118</v>
      </c>
      <c r="F8572" s="3" t="s">
        <v>252</v>
      </c>
      <c r="G8572" s="3" t="s">
        <v>48</v>
      </c>
      <c r="H8572" s="2" t="s">
        <v>21</v>
      </c>
      <c r="I8572" s="2" t="s">
        <v>17055</v>
      </c>
      <c r="J8572" s="3" t="str">
        <f>HYPERLINK("https://www.boe.es/gazeta/dias/1823/01/05/pdfs/GMD-1823-5.pdf#page=3","Abrir facsímil")</f>
        <v>Abrir facsímil</v>
      </c>
      <c r="K8572" s="3" t="s">
        <v>23</v>
      </c>
    </row>
    <row r="8573" spans="1:11" ht="42" customHeight="1">
      <c r="A8573" s="2" t="s">
        <v>17054</v>
      </c>
      <c r="B8573" s="2" t="s">
        <v>17054</v>
      </c>
      <c r="C8573" s="2" t="s">
        <v>56</v>
      </c>
      <c r="D8573" s="2" t="s">
        <v>57</v>
      </c>
      <c r="E8573" s="5">
        <v>-28116</v>
      </c>
      <c r="F8573" s="3" t="s">
        <v>134</v>
      </c>
      <c r="G8573" s="3" t="s">
        <v>27</v>
      </c>
      <c r="H8573" s="2" t="s">
        <v>21</v>
      </c>
      <c r="I8573" s="2" t="s">
        <v>17056</v>
      </c>
      <c r="J8573" s="3" t="str">
        <f>HYPERLINK("https://www.boe.es/gazeta/dias/1823/01/07/pdfs/GMD-1823-7.pdf#page=2","Abrir facsímil")</f>
        <v>Abrir facsímil</v>
      </c>
      <c r="K8573" s="3" t="s">
        <v>23</v>
      </c>
    </row>
    <row r="8574" spans="1:11" ht="42" customHeight="1">
      <c r="A8574" s="2" t="s">
        <v>17054</v>
      </c>
      <c r="B8574" s="2" t="s">
        <v>17054</v>
      </c>
      <c r="C8574" s="2" t="s">
        <v>73</v>
      </c>
      <c r="D8574" s="2" t="s">
        <v>74</v>
      </c>
      <c r="E8574" s="5">
        <v>-28114</v>
      </c>
      <c r="F8574" s="3" t="s">
        <v>153</v>
      </c>
      <c r="G8574" s="3" t="s">
        <v>48</v>
      </c>
      <c r="H8574" s="2" t="s">
        <v>21</v>
      </c>
      <c r="I8574" s="2" t="s">
        <v>17057</v>
      </c>
      <c r="J8574" s="3" t="str">
        <f>HYPERLINK("https://www.boe.es/gazeta/dias/1823/01/09/pdfs/GMD-1823-9.pdf#page=3","Abrir facsímil")</f>
        <v>Abrir facsímil</v>
      </c>
      <c r="K8574" s="3" t="s">
        <v>23</v>
      </c>
    </row>
    <row r="8575" spans="1:11" ht="42" customHeight="1">
      <c r="A8575" s="2" t="s">
        <v>17054</v>
      </c>
      <c r="B8575" s="2" t="s">
        <v>17054</v>
      </c>
      <c r="C8575" s="2" t="s">
        <v>109</v>
      </c>
      <c r="D8575" s="2" t="s">
        <v>74</v>
      </c>
      <c r="E8575" s="5">
        <v>-28114</v>
      </c>
      <c r="F8575" s="3" t="s">
        <v>153</v>
      </c>
      <c r="G8575" s="3" t="s">
        <v>20</v>
      </c>
      <c r="H8575" s="2" t="s">
        <v>21</v>
      </c>
      <c r="I8575" s="2" t="s">
        <v>17058</v>
      </c>
      <c r="J8575" s="3" t="str">
        <f>HYPERLINK("https://www.boe.es/gazeta/dias/1823/01/09/pdfs/GMD-1823-9.pdf#page=4","Abrir facsímil")</f>
        <v>Abrir facsímil</v>
      </c>
      <c r="K8575" s="3" t="s">
        <v>23</v>
      </c>
    </row>
    <row r="8576" spans="1:11" ht="42" customHeight="1">
      <c r="A8576" s="2" t="s">
        <v>17054</v>
      </c>
      <c r="B8576" s="2" t="s">
        <v>17054</v>
      </c>
      <c r="C8576" s="2" t="s">
        <v>109</v>
      </c>
      <c r="D8576" s="2" t="s">
        <v>74</v>
      </c>
      <c r="E8576" s="5">
        <v>-28113</v>
      </c>
      <c r="F8576" s="3" t="s">
        <v>2088</v>
      </c>
      <c r="G8576" s="3" t="s">
        <v>48</v>
      </c>
      <c r="H8576" s="2" t="s">
        <v>21</v>
      </c>
      <c r="I8576" s="2" t="s">
        <v>17059</v>
      </c>
      <c r="J8576" s="3" t="str">
        <f>HYPERLINK("https://www.boe.es/gazeta/dias/1823/01/10/pdfs/GMD-1823-10.pdf#page=3","Abrir facsímil")</f>
        <v>Abrir facsímil</v>
      </c>
      <c r="K8576" s="3" t="s">
        <v>23</v>
      </c>
    </row>
    <row r="8577" spans="1:11" ht="42" customHeight="1">
      <c r="A8577" s="2" t="s">
        <v>17054</v>
      </c>
      <c r="B8577" s="2" t="s">
        <v>17054</v>
      </c>
      <c r="C8577" s="2" t="s">
        <v>56</v>
      </c>
      <c r="D8577" s="2" t="s">
        <v>57</v>
      </c>
      <c r="E8577" s="5">
        <v>-28113</v>
      </c>
      <c r="F8577" s="3" t="s">
        <v>2088</v>
      </c>
      <c r="G8577" s="3" t="s">
        <v>276</v>
      </c>
      <c r="H8577" s="2" t="s">
        <v>21</v>
      </c>
      <c r="I8577" s="2" t="s">
        <v>17060</v>
      </c>
      <c r="J8577" s="3" t="str">
        <f>HYPERLINK("https://www.boe.es/gazeta/dias/1823/01/10/pdfs/GMD-1823-10.pdf#page=7","Abrir facsímil")</f>
        <v>Abrir facsímil</v>
      </c>
      <c r="K8577" s="3" t="s">
        <v>23</v>
      </c>
    </row>
    <row r="8578" spans="1:11" ht="42" customHeight="1">
      <c r="A8578" s="2" t="s">
        <v>17054</v>
      </c>
      <c r="B8578" s="2" t="s">
        <v>17054</v>
      </c>
      <c r="C8578" s="2" t="s">
        <v>79</v>
      </c>
      <c r="D8578" s="2" t="s">
        <v>74</v>
      </c>
      <c r="E8578" s="5">
        <v>-28091</v>
      </c>
      <c r="F8578" s="3" t="s">
        <v>1047</v>
      </c>
      <c r="G8578" s="3" t="s">
        <v>48</v>
      </c>
      <c r="H8578" s="2" t="s">
        <v>21</v>
      </c>
      <c r="I8578" s="2" t="s">
        <v>17061</v>
      </c>
      <c r="J8578" s="3" t="str">
        <f>HYPERLINK("https://www.boe.es/gazeta/dias/1823/02/01/pdfs/GMD-1823-34.pdf#page=3","Abrir facsímil")</f>
        <v>Abrir facsímil</v>
      </c>
      <c r="K8578" s="3" t="s">
        <v>23</v>
      </c>
    </row>
    <row r="8579" spans="1:11" ht="42" customHeight="1">
      <c r="A8579" s="2" t="s">
        <v>17054</v>
      </c>
      <c r="B8579" s="2" t="s">
        <v>17054</v>
      </c>
      <c r="C8579" s="2" t="s">
        <v>84</v>
      </c>
      <c r="D8579" s="2" t="s">
        <v>74</v>
      </c>
      <c r="E8579" s="5">
        <v>-28091</v>
      </c>
      <c r="F8579" s="3" t="s">
        <v>1047</v>
      </c>
      <c r="G8579" s="3" t="s">
        <v>20</v>
      </c>
      <c r="H8579" s="2" t="s">
        <v>21</v>
      </c>
      <c r="I8579" s="2" t="s">
        <v>17062</v>
      </c>
      <c r="J8579" s="3" t="str">
        <f>HYPERLINK("https://www.boe.es/gazeta/dias/1823/02/01/pdfs/GMD-1823-34.pdf#page=4","Abrir facsímil")</f>
        <v>Abrir facsímil</v>
      </c>
      <c r="K8579" s="3" t="s">
        <v>23</v>
      </c>
    </row>
    <row r="8580" spans="1:11" ht="42" customHeight="1">
      <c r="A8580" s="2" t="s">
        <v>17054</v>
      </c>
      <c r="B8580" s="2" t="s">
        <v>17054</v>
      </c>
      <c r="C8580" s="2" t="s">
        <v>17</v>
      </c>
      <c r="D8580" s="2" t="s">
        <v>18</v>
      </c>
      <c r="E8580" s="5">
        <v>-28073</v>
      </c>
      <c r="F8580" s="3" t="s">
        <v>204</v>
      </c>
      <c r="G8580" s="3" t="s">
        <v>27</v>
      </c>
      <c r="H8580" s="2" t="s">
        <v>21</v>
      </c>
      <c r="I8580" s="2" t="s">
        <v>17063</v>
      </c>
      <c r="J8580" s="3" t="str">
        <f>HYPERLINK("https://www.boe.es/gazeta/dias/1823/02/19/pdfs/GMD-1823-53.pdf#page=2","Abrir facsímil")</f>
        <v>Abrir facsímil</v>
      </c>
      <c r="K8580" s="3" t="s">
        <v>23</v>
      </c>
    </row>
    <row r="8581" spans="1:11" ht="42" customHeight="1">
      <c r="A8581" s="2" t="s">
        <v>17054</v>
      </c>
      <c r="B8581" s="2" t="s">
        <v>17054</v>
      </c>
      <c r="C8581" s="2" t="s">
        <v>84</v>
      </c>
      <c r="D8581" s="2" t="s">
        <v>74</v>
      </c>
      <c r="E8581" s="5">
        <v>-28072</v>
      </c>
      <c r="F8581" s="3" t="s">
        <v>4439</v>
      </c>
      <c r="G8581" s="3" t="s">
        <v>20</v>
      </c>
      <c r="H8581" s="2" t="s">
        <v>21</v>
      </c>
      <c r="I8581" s="2" t="s">
        <v>17064</v>
      </c>
      <c r="J8581" s="3" t="str">
        <f>HYPERLINK("https://www.boe.es/gazeta/dias/1823/02/20/pdfs/GMD-1823-54.pdf#page=4","Abrir facsímil")</f>
        <v>Abrir facsímil</v>
      </c>
      <c r="K8581" s="3" t="s">
        <v>23</v>
      </c>
    </row>
    <row r="8582" spans="1:11" ht="42" customHeight="1">
      <c r="A8582" s="2" t="s">
        <v>17054</v>
      </c>
      <c r="B8582" s="2" t="s">
        <v>17054</v>
      </c>
      <c r="C8582" s="2" t="s">
        <v>79</v>
      </c>
      <c r="D8582" s="2" t="s">
        <v>74</v>
      </c>
      <c r="E8582" s="5">
        <v>-28052</v>
      </c>
      <c r="F8582" s="3" t="s">
        <v>1025</v>
      </c>
      <c r="G8582" s="3" t="s">
        <v>48</v>
      </c>
      <c r="H8582" s="2" t="s">
        <v>21</v>
      </c>
      <c r="I8582" s="2" t="s">
        <v>17065</v>
      </c>
      <c r="J8582" s="3" t="str">
        <f>HYPERLINK("https://www.boe.es/gazeta/dias/1823/03/12/pdfs/GMD-1823-75.pdf#page=3","Abrir facsímil")</f>
        <v>Abrir facsímil</v>
      </c>
      <c r="K8582" s="3" t="s">
        <v>23</v>
      </c>
    </row>
    <row r="8583" spans="1:11" ht="42" customHeight="1">
      <c r="A8583" s="2" t="s">
        <v>17054</v>
      </c>
      <c r="B8583" s="2" t="s">
        <v>17054</v>
      </c>
      <c r="C8583" s="2" t="s">
        <v>84</v>
      </c>
      <c r="D8583" s="2" t="s">
        <v>74</v>
      </c>
      <c r="E8583" s="5">
        <v>-28052</v>
      </c>
      <c r="F8583" s="3" t="s">
        <v>1025</v>
      </c>
      <c r="G8583" s="3" t="s">
        <v>20</v>
      </c>
      <c r="H8583" s="2" t="s">
        <v>21</v>
      </c>
      <c r="I8583" s="2" t="s">
        <v>17066</v>
      </c>
      <c r="J8583" s="3" t="str">
        <f>HYPERLINK("https://www.boe.es/gazeta/dias/1823/03/12/pdfs/GMD-1823-75.pdf#page=4","Abrir facsímil")</f>
        <v>Abrir facsímil</v>
      </c>
      <c r="K8583" s="3" t="s">
        <v>23</v>
      </c>
    </row>
    <row r="8584" spans="1:11" ht="42" customHeight="1">
      <c r="A8584" s="2" t="s">
        <v>17054</v>
      </c>
      <c r="B8584" s="2" t="s">
        <v>17054</v>
      </c>
      <c r="C8584" s="2" t="s">
        <v>17</v>
      </c>
      <c r="D8584" s="2" t="s">
        <v>18</v>
      </c>
      <c r="E8584" s="5">
        <v>-28041</v>
      </c>
      <c r="F8584" s="3" t="s">
        <v>873</v>
      </c>
      <c r="G8584" s="3" t="s">
        <v>48</v>
      </c>
      <c r="H8584" s="2" t="s">
        <v>21</v>
      </c>
      <c r="I8584" s="2" t="s">
        <v>17067</v>
      </c>
      <c r="J8584" s="3" t="str">
        <f>HYPERLINK("https://www.boe.es/gazeta/dias/1823/03/23/pdfs/GMD-1823-86.pdf#page=3","Abrir facsímil")</f>
        <v>Abrir facsímil</v>
      </c>
      <c r="K8584" s="3" t="s">
        <v>23</v>
      </c>
    </row>
    <row r="8585" spans="1:11" ht="42" customHeight="1">
      <c r="A8585" s="2" t="s">
        <v>17054</v>
      </c>
      <c r="B8585" s="2" t="s">
        <v>17054</v>
      </c>
      <c r="C8585" s="2" t="s">
        <v>79</v>
      </c>
      <c r="D8585" s="2" t="s">
        <v>74</v>
      </c>
      <c r="E8585" s="5">
        <v>-28006</v>
      </c>
      <c r="F8585" s="3" t="s">
        <v>183</v>
      </c>
      <c r="G8585" s="3" t="s">
        <v>48</v>
      </c>
      <c r="H8585" s="2" t="s">
        <v>21</v>
      </c>
      <c r="I8585" s="2" t="s">
        <v>17068</v>
      </c>
      <c r="J8585" s="3" t="str">
        <f>HYPERLINK("https://www.boe.es/gazeta/dias/1823/04/27/pdfs/GES-1823-17.pdf#page=3","Abrir facsímil")</f>
        <v>Abrir facsímil</v>
      </c>
      <c r="K8585" s="3" t="s">
        <v>23</v>
      </c>
    </row>
    <row r="8586" spans="1:11" ht="42" customHeight="1">
      <c r="A8586" s="2" t="s">
        <v>17054</v>
      </c>
      <c r="B8586" s="2" t="s">
        <v>17054</v>
      </c>
      <c r="C8586" s="2" t="s">
        <v>109</v>
      </c>
      <c r="D8586" s="2" t="s">
        <v>74</v>
      </c>
      <c r="E8586" s="5">
        <v>-28006</v>
      </c>
      <c r="F8586" s="3" t="s">
        <v>183</v>
      </c>
      <c r="G8586" s="3" t="s">
        <v>20</v>
      </c>
      <c r="H8586" s="2" t="s">
        <v>21</v>
      </c>
      <c r="I8586" s="2" t="s">
        <v>17069</v>
      </c>
      <c r="J8586" s="3" t="str">
        <f>HYPERLINK("https://www.boe.es/gazeta/dias/1823/04/27/pdfs/GES-1823-17.pdf#page=4","Abrir facsímil")</f>
        <v>Abrir facsímil</v>
      </c>
      <c r="K8586" s="3" t="s">
        <v>23</v>
      </c>
    </row>
    <row r="8587" spans="1:11" ht="42" customHeight="1">
      <c r="A8587" s="2" t="s">
        <v>17054</v>
      </c>
      <c r="B8587" s="2" t="s">
        <v>17054</v>
      </c>
      <c r="C8587" s="2" t="s">
        <v>56</v>
      </c>
      <c r="D8587" s="2" t="s">
        <v>57</v>
      </c>
      <c r="E8587" s="5">
        <v>-28005</v>
      </c>
      <c r="F8587" s="3" t="s">
        <v>1648</v>
      </c>
      <c r="G8587" s="3" t="s">
        <v>7662</v>
      </c>
      <c r="H8587" s="2" t="s">
        <v>21</v>
      </c>
      <c r="I8587" s="2" t="s">
        <v>17070</v>
      </c>
      <c r="J8587" s="3" t="str">
        <f>HYPERLINK("https://www.boe.es/gazeta/dias/1823/04/28/pdfs/GES-1823-18.pdf#page=1","Abrir facsímil")</f>
        <v>Abrir facsímil</v>
      </c>
      <c r="K8587" s="3" t="s">
        <v>23</v>
      </c>
    </row>
    <row r="8588" spans="1:11" ht="42" customHeight="1">
      <c r="A8588" s="2" t="s">
        <v>17054</v>
      </c>
      <c r="B8588" s="2" t="s">
        <v>17054</v>
      </c>
      <c r="C8588" s="2" t="s">
        <v>79</v>
      </c>
      <c r="D8588" s="2" t="s">
        <v>74</v>
      </c>
      <c r="E8588" s="5">
        <v>-28005</v>
      </c>
      <c r="F8588" s="3" t="s">
        <v>1648</v>
      </c>
      <c r="G8588" s="3" t="s">
        <v>27</v>
      </c>
      <c r="H8588" s="2" t="s">
        <v>21</v>
      </c>
      <c r="I8588" s="2" t="s">
        <v>17071</v>
      </c>
      <c r="J8588" s="3" t="str">
        <f>HYPERLINK("https://www.boe.es/gazeta/dias/1823/04/28/pdfs/GES-1823-18.pdf#page=2","Abrir facsímil")</f>
        <v>Abrir facsímil</v>
      </c>
      <c r="K8588" s="3" t="s">
        <v>23</v>
      </c>
    </row>
    <row r="8589" spans="1:11" ht="42" customHeight="1">
      <c r="A8589" s="2" t="s">
        <v>17054</v>
      </c>
      <c r="B8589" s="2" t="s">
        <v>17054</v>
      </c>
      <c r="C8589" s="2" t="s">
        <v>109</v>
      </c>
      <c r="D8589" s="2" t="s">
        <v>74</v>
      </c>
      <c r="E8589" s="5">
        <v>-28005</v>
      </c>
      <c r="F8589" s="3" t="s">
        <v>1648</v>
      </c>
      <c r="G8589" s="3" t="s">
        <v>48</v>
      </c>
      <c r="H8589" s="2" t="s">
        <v>21</v>
      </c>
      <c r="I8589" s="2" t="s">
        <v>17072</v>
      </c>
      <c r="J8589" s="3" t="str">
        <f>HYPERLINK("https://www.boe.es/gazeta/dias/1823/04/28/pdfs/GES-1823-18.pdf#page=3","Abrir facsímil")</f>
        <v>Abrir facsímil</v>
      </c>
      <c r="K8589" s="3" t="s">
        <v>23</v>
      </c>
    </row>
    <row r="8590" spans="1:11" ht="42" customHeight="1">
      <c r="A8590" s="2" t="s">
        <v>17054</v>
      </c>
      <c r="B8590" s="2" t="s">
        <v>17054</v>
      </c>
      <c r="C8590" s="2" t="s">
        <v>17</v>
      </c>
      <c r="D8590" s="2" t="s">
        <v>18</v>
      </c>
      <c r="E8590" s="5">
        <v>-27996</v>
      </c>
      <c r="F8590" s="3" t="s">
        <v>695</v>
      </c>
      <c r="G8590" s="3" t="s">
        <v>27</v>
      </c>
      <c r="H8590" s="2" t="s">
        <v>21</v>
      </c>
      <c r="I8590" s="2" t="s">
        <v>17073</v>
      </c>
      <c r="J8590" s="3" t="str">
        <f>HYPERLINK("https://www.boe.es/gazeta/dias/1823/05/07/pdfs/GES-1823-27.pdf#page=2","Abrir facsímil")</f>
        <v>Abrir facsímil</v>
      </c>
      <c r="K8590" s="3" t="s">
        <v>23</v>
      </c>
    </row>
    <row r="8591" spans="1:11" ht="42" customHeight="1">
      <c r="A8591" s="2" t="s">
        <v>17054</v>
      </c>
      <c r="B8591" s="2" t="s">
        <v>17054</v>
      </c>
      <c r="C8591" s="2" t="s">
        <v>56</v>
      </c>
      <c r="D8591" s="2" t="s">
        <v>57</v>
      </c>
      <c r="E8591" s="5">
        <v>-27995</v>
      </c>
      <c r="F8591" s="3" t="s">
        <v>320</v>
      </c>
      <c r="G8591" s="3" t="s">
        <v>321</v>
      </c>
      <c r="H8591" s="2" t="s">
        <v>21</v>
      </c>
      <c r="I8591" s="2" t="s">
        <v>17074</v>
      </c>
      <c r="J8591" s="3" t="str">
        <f>HYPERLINK("https://www.boe.es/gazeta/dias/1823/05/08/pdfs/GES-1823-28.pdf#page=3","Abrir facsímil")</f>
        <v>Abrir facsímil</v>
      </c>
      <c r="K8591" s="3" t="s">
        <v>23</v>
      </c>
    </row>
    <row r="8592" spans="1:11" ht="42" customHeight="1">
      <c r="A8592" s="2" t="s">
        <v>17054</v>
      </c>
      <c r="B8592" s="2" t="s">
        <v>17054</v>
      </c>
      <c r="C8592" s="2" t="s">
        <v>73</v>
      </c>
      <c r="D8592" s="2" t="s">
        <v>74</v>
      </c>
      <c r="E8592" s="5">
        <v>-27992</v>
      </c>
      <c r="F8592" s="3" t="s">
        <v>565</v>
      </c>
      <c r="G8592" s="3" t="s">
        <v>48</v>
      </c>
      <c r="H8592" s="2" t="s">
        <v>21</v>
      </c>
      <c r="I8592" s="2" t="s">
        <v>17075</v>
      </c>
      <c r="J8592" s="3" t="str">
        <f>HYPERLINK("https://www.boe.es/gazeta/dias/1823/05/11/pdfs/GES-1823-31.pdf#page=3","Abrir facsímil")</f>
        <v>Abrir facsímil</v>
      </c>
      <c r="K8592" s="3" t="s">
        <v>23</v>
      </c>
    </row>
    <row r="8593" spans="1:11" ht="42" customHeight="1">
      <c r="A8593" s="2" t="s">
        <v>17054</v>
      </c>
      <c r="B8593" s="2" t="s">
        <v>17054</v>
      </c>
      <c r="C8593" s="2" t="s">
        <v>79</v>
      </c>
      <c r="D8593" s="2" t="s">
        <v>74</v>
      </c>
      <c r="E8593" s="5">
        <v>-27991</v>
      </c>
      <c r="F8593" s="3" t="s">
        <v>328</v>
      </c>
      <c r="G8593" s="3" t="s">
        <v>48</v>
      </c>
      <c r="H8593" s="2" t="s">
        <v>21</v>
      </c>
      <c r="I8593" s="2" t="s">
        <v>17076</v>
      </c>
      <c r="J8593" s="3" t="str">
        <f>HYPERLINK("https://www.boe.es/gazeta/dias/1823/05/12/pdfs/GES-1823-32.pdf#page=3","Abrir facsímil")</f>
        <v>Abrir facsímil</v>
      </c>
      <c r="K8593" s="3" t="s">
        <v>23</v>
      </c>
    </row>
    <row r="8594" spans="1:11" ht="42" customHeight="1">
      <c r="A8594" s="2" t="s">
        <v>17054</v>
      </c>
      <c r="B8594" s="2" t="s">
        <v>17054</v>
      </c>
      <c r="C8594" s="2" t="s">
        <v>79</v>
      </c>
      <c r="D8594" s="2" t="s">
        <v>74</v>
      </c>
      <c r="E8594" s="5">
        <v>-27991</v>
      </c>
      <c r="F8594" s="3" t="s">
        <v>328</v>
      </c>
      <c r="G8594" s="3" t="s">
        <v>20</v>
      </c>
      <c r="H8594" s="2" t="s">
        <v>21</v>
      </c>
      <c r="I8594" s="2" t="s">
        <v>17077</v>
      </c>
      <c r="J8594" s="3" t="str">
        <f>HYPERLINK("https://www.boe.es/gazeta/dias/1823/05/12/pdfs/GES-1823-32.pdf#page=4","Abrir facsímil")</f>
        <v>Abrir facsímil</v>
      </c>
      <c r="K8594" s="3" t="s">
        <v>23</v>
      </c>
    </row>
    <row r="8595" spans="1:11" ht="42" customHeight="1">
      <c r="A8595" s="2" t="s">
        <v>17054</v>
      </c>
      <c r="B8595" s="2" t="s">
        <v>17054</v>
      </c>
      <c r="C8595" s="2" t="s">
        <v>79</v>
      </c>
      <c r="D8595" s="2" t="s">
        <v>74</v>
      </c>
      <c r="E8595" s="5">
        <v>-27990</v>
      </c>
      <c r="F8595" s="3" t="s">
        <v>1132</v>
      </c>
      <c r="G8595" s="3" t="s">
        <v>27</v>
      </c>
      <c r="H8595" s="2" t="s">
        <v>21</v>
      </c>
      <c r="I8595" s="2" t="s">
        <v>17078</v>
      </c>
      <c r="J8595" s="3" t="str">
        <f>HYPERLINK("https://www.boe.es/gazeta/dias/1823/05/13/pdfs/GES-1823-33.pdf#page=2","Abrir facsímil")</f>
        <v>Abrir facsímil</v>
      </c>
      <c r="K8595" s="3" t="s">
        <v>23</v>
      </c>
    </row>
    <row r="8596" spans="1:11" ht="42" customHeight="1">
      <c r="A8596" s="2" t="s">
        <v>17054</v>
      </c>
      <c r="B8596" s="2" t="s">
        <v>17054</v>
      </c>
      <c r="C8596" s="2" t="s">
        <v>109</v>
      </c>
      <c r="D8596" s="2" t="s">
        <v>74</v>
      </c>
      <c r="E8596" s="5">
        <v>-27990</v>
      </c>
      <c r="F8596" s="3" t="s">
        <v>1132</v>
      </c>
      <c r="G8596" s="3" t="s">
        <v>48</v>
      </c>
      <c r="H8596" s="2" t="s">
        <v>21</v>
      </c>
      <c r="I8596" s="2" t="s">
        <v>17079</v>
      </c>
      <c r="J8596" s="3" t="str">
        <f>HYPERLINK("https://www.boe.es/gazeta/dias/1823/05/13/pdfs/GES-1823-33.pdf#page=3","Abrir facsímil")</f>
        <v>Abrir facsímil</v>
      </c>
      <c r="K8596" s="3" t="s">
        <v>23</v>
      </c>
    </row>
    <row r="8597" spans="1:11" ht="42" customHeight="1">
      <c r="A8597" s="2" t="s">
        <v>17054</v>
      </c>
      <c r="B8597" s="2" t="s">
        <v>17054</v>
      </c>
      <c r="C8597" s="2" t="s">
        <v>17</v>
      </c>
      <c r="D8597" s="2" t="s">
        <v>18</v>
      </c>
      <c r="E8597" s="5">
        <v>-27990</v>
      </c>
      <c r="F8597" s="3" t="s">
        <v>1132</v>
      </c>
      <c r="G8597" s="3" t="s">
        <v>20</v>
      </c>
      <c r="H8597" s="2" t="s">
        <v>21</v>
      </c>
      <c r="I8597" s="2" t="s">
        <v>17080</v>
      </c>
      <c r="J8597" s="3" t="str">
        <f>HYPERLINK("https://www.boe.es/gazeta/dias/1823/05/13/pdfs/GES-1823-33.pdf#page=4","Abrir facsímil")</f>
        <v>Abrir facsímil</v>
      </c>
      <c r="K8597" s="3" t="s">
        <v>23</v>
      </c>
    </row>
    <row r="8598" spans="1:11" ht="42" customHeight="1">
      <c r="A8598" s="2" t="s">
        <v>17054</v>
      </c>
      <c r="B8598" s="2" t="s">
        <v>17054</v>
      </c>
      <c r="C8598" s="2" t="s">
        <v>325</v>
      </c>
      <c r="D8598" s="2" t="s">
        <v>74</v>
      </c>
      <c r="E8598" s="5">
        <v>-27988</v>
      </c>
      <c r="F8598" s="3" t="s">
        <v>692</v>
      </c>
      <c r="G8598" s="3" t="s">
        <v>48</v>
      </c>
      <c r="H8598" s="2" t="s">
        <v>21</v>
      </c>
      <c r="I8598" s="2" t="s">
        <v>17081</v>
      </c>
      <c r="J8598" s="3" t="str">
        <f>HYPERLINK("https://www.boe.es/gazeta/dias/1823/05/15/pdfs/GES-1823-35.pdf#page=3","Abrir facsímil")</f>
        <v>Abrir facsímil</v>
      </c>
      <c r="K8598" s="3" t="s">
        <v>23</v>
      </c>
    </row>
    <row r="8599" spans="1:11" ht="42" customHeight="1">
      <c r="A8599" s="2" t="s">
        <v>17054</v>
      </c>
      <c r="B8599" s="2" t="s">
        <v>17054</v>
      </c>
      <c r="C8599" s="2" t="s">
        <v>109</v>
      </c>
      <c r="D8599" s="2" t="s">
        <v>74</v>
      </c>
      <c r="E8599" s="5">
        <v>-27986</v>
      </c>
      <c r="F8599" s="3" t="s">
        <v>75</v>
      </c>
      <c r="G8599" s="3" t="s">
        <v>20</v>
      </c>
      <c r="H8599" s="2" t="s">
        <v>21</v>
      </c>
      <c r="I8599" s="2" t="s">
        <v>17082</v>
      </c>
      <c r="J8599" s="3" t="str">
        <f>HYPERLINK("https://www.boe.es/gazeta/dias/1823/05/17/pdfs/GES-1823-37.pdf#page=4","Abrir facsímil")</f>
        <v>Abrir facsímil</v>
      </c>
      <c r="K8599" s="3" t="s">
        <v>23</v>
      </c>
    </row>
    <row r="8600" spans="1:11" ht="42" customHeight="1">
      <c r="A8600" s="2" t="s">
        <v>17054</v>
      </c>
      <c r="B8600" s="2" t="s">
        <v>17054</v>
      </c>
      <c r="C8600" s="2" t="s">
        <v>79</v>
      </c>
      <c r="D8600" s="2" t="s">
        <v>74</v>
      </c>
      <c r="E8600" s="5">
        <v>-27986</v>
      </c>
      <c r="F8600" s="3" t="s">
        <v>607</v>
      </c>
      <c r="G8600" s="3" t="s">
        <v>20</v>
      </c>
      <c r="H8600" s="2" t="s">
        <v>21</v>
      </c>
      <c r="I8600" s="2" t="s">
        <v>17083</v>
      </c>
      <c r="J8600" s="3" t="str">
        <f>HYPERLINK("https://www.boe.es/gazeta/dias/1823/05/17/pdfs/GMD-1823-152.pdf#page=4","Abrir facsímil")</f>
        <v>Abrir facsímil</v>
      </c>
      <c r="K8600" s="3" t="s">
        <v>23</v>
      </c>
    </row>
    <row r="8601" spans="1:11" ht="42" customHeight="1">
      <c r="A8601" s="2" t="s">
        <v>17054</v>
      </c>
      <c r="B8601" s="2" t="s">
        <v>17054</v>
      </c>
      <c r="C8601" s="2" t="s">
        <v>17</v>
      </c>
      <c r="D8601" s="2" t="s">
        <v>18</v>
      </c>
      <c r="E8601" s="5">
        <v>-27984</v>
      </c>
      <c r="F8601" s="3" t="s">
        <v>335</v>
      </c>
      <c r="G8601" s="3" t="s">
        <v>48</v>
      </c>
      <c r="H8601" s="2" t="s">
        <v>21</v>
      </c>
      <c r="I8601" s="2" t="s">
        <v>17084</v>
      </c>
      <c r="J8601" s="3" t="str">
        <f>HYPERLINK("https://www.boe.es/gazeta/dias/1823/05/19/pdfs/GES-1823-39.pdf#page=3","Abrir facsímil")</f>
        <v>Abrir facsímil</v>
      </c>
      <c r="K8601" s="3" t="s">
        <v>23</v>
      </c>
    </row>
    <row r="8602" spans="1:11" ht="42" customHeight="1">
      <c r="A8602" s="2" t="s">
        <v>17054</v>
      </c>
      <c r="B8602" s="2" t="s">
        <v>17054</v>
      </c>
      <c r="C8602" s="2" t="s">
        <v>17</v>
      </c>
      <c r="D8602" s="2" t="s">
        <v>18</v>
      </c>
      <c r="E8602" s="5">
        <v>-27984</v>
      </c>
      <c r="F8602" s="3" t="s">
        <v>335</v>
      </c>
      <c r="G8602" s="3" t="s">
        <v>20</v>
      </c>
      <c r="H8602" s="2" t="s">
        <v>21</v>
      </c>
      <c r="I8602" s="2" t="s">
        <v>17085</v>
      </c>
      <c r="J8602" s="3" t="str">
        <f>HYPERLINK("https://www.boe.es/gazeta/dias/1823/05/19/pdfs/GES-1823-39.pdf#page=4","Abrir facsímil")</f>
        <v>Abrir facsímil</v>
      </c>
      <c r="K8602" s="3" t="s">
        <v>23</v>
      </c>
    </row>
    <row r="8603" spans="1:11" ht="42" customHeight="1">
      <c r="A8603" s="2" t="s">
        <v>17054</v>
      </c>
      <c r="B8603" s="2" t="s">
        <v>17054</v>
      </c>
      <c r="C8603" s="2" t="s">
        <v>56</v>
      </c>
      <c r="D8603" s="2" t="s">
        <v>57</v>
      </c>
      <c r="E8603" s="5">
        <v>-27983</v>
      </c>
      <c r="F8603" s="3" t="s">
        <v>337</v>
      </c>
      <c r="G8603" s="3" t="s">
        <v>48</v>
      </c>
      <c r="H8603" s="2" t="s">
        <v>21</v>
      </c>
      <c r="I8603" s="2" t="s">
        <v>17086</v>
      </c>
      <c r="J8603" s="3" t="str">
        <f>HYPERLINK("https://www.boe.es/gazeta/dias/1823/05/20/pdfs/GES-1823-40.pdf#page=3","Abrir facsímil")</f>
        <v>Abrir facsímil</v>
      </c>
      <c r="K8603" s="3" t="s">
        <v>23</v>
      </c>
    </row>
    <row r="8604" spans="1:11" ht="42" customHeight="1">
      <c r="A8604" s="2" t="s">
        <v>17054</v>
      </c>
      <c r="B8604" s="2" t="s">
        <v>17054</v>
      </c>
      <c r="C8604" s="2" t="s">
        <v>17</v>
      </c>
      <c r="D8604" s="2" t="s">
        <v>18</v>
      </c>
      <c r="E8604" s="5">
        <v>-27983</v>
      </c>
      <c r="F8604" s="3" t="s">
        <v>337</v>
      </c>
      <c r="G8604" s="3" t="s">
        <v>20</v>
      </c>
      <c r="H8604" s="2" t="s">
        <v>21</v>
      </c>
      <c r="I8604" s="2" t="s">
        <v>17087</v>
      </c>
      <c r="J8604" s="3" t="str">
        <f>HYPERLINK("https://www.boe.es/gazeta/dias/1823/05/20/pdfs/GES-1823-40.pdf#page=4","Abrir facsímil")</f>
        <v>Abrir facsímil</v>
      </c>
      <c r="K8604" s="3" t="s">
        <v>23</v>
      </c>
    </row>
    <row r="8605" spans="1:11" ht="42" customHeight="1">
      <c r="A8605" s="2" t="s">
        <v>17054</v>
      </c>
      <c r="B8605" s="2" t="s">
        <v>17054</v>
      </c>
      <c r="C8605" s="2" t="s">
        <v>73</v>
      </c>
      <c r="D8605" s="2" t="s">
        <v>74</v>
      </c>
      <c r="E8605" s="5">
        <v>-27980</v>
      </c>
      <c r="F8605" s="3" t="s">
        <v>1068</v>
      </c>
      <c r="G8605" s="3" t="s">
        <v>34</v>
      </c>
      <c r="H8605" s="2" t="s">
        <v>21</v>
      </c>
      <c r="I8605" s="2" t="s">
        <v>17088</v>
      </c>
      <c r="J8605" s="3" t="str">
        <f>HYPERLINK("https://www.boe.es/gazeta/dias/1823/05/23/pdfs/GES-1823-44.pdf#page=5","Abrir facsímil")</f>
        <v>Abrir facsímil</v>
      </c>
      <c r="K8605" s="3" t="s">
        <v>23</v>
      </c>
    </row>
    <row r="8606" spans="1:11" ht="42" customHeight="1">
      <c r="A8606" s="2" t="s">
        <v>17054</v>
      </c>
      <c r="B8606" s="2" t="s">
        <v>17054</v>
      </c>
      <c r="C8606" s="2" t="s">
        <v>79</v>
      </c>
      <c r="D8606" s="2" t="s">
        <v>74</v>
      </c>
      <c r="E8606" s="5">
        <v>-27968</v>
      </c>
      <c r="F8606" s="3" t="s">
        <v>1160</v>
      </c>
      <c r="G8606" s="3" t="s">
        <v>48</v>
      </c>
      <c r="H8606" s="2" t="s">
        <v>21</v>
      </c>
      <c r="I8606" s="2" t="s">
        <v>17089</v>
      </c>
      <c r="J8606" s="3" t="str">
        <f>HYPERLINK("https://www.boe.es/gazeta/dias/1823/06/04/pdfs/GES-1823-58.pdf#page=3","Abrir facsímil")</f>
        <v>Abrir facsímil</v>
      </c>
      <c r="K8606" s="3" t="s">
        <v>23</v>
      </c>
    </row>
    <row r="8607" spans="1:11" ht="42" customHeight="1">
      <c r="A8607" s="2" t="s">
        <v>17054</v>
      </c>
      <c r="B8607" s="2" t="s">
        <v>17054</v>
      </c>
      <c r="C8607" s="2" t="s">
        <v>17</v>
      </c>
      <c r="D8607" s="2" t="s">
        <v>18</v>
      </c>
      <c r="E8607" s="5">
        <v>-27963</v>
      </c>
      <c r="F8607" s="3" t="s">
        <v>344</v>
      </c>
      <c r="G8607" s="3" t="s">
        <v>27</v>
      </c>
      <c r="H8607" s="2" t="s">
        <v>21</v>
      </c>
      <c r="I8607" s="2" t="s">
        <v>17090</v>
      </c>
      <c r="J8607" s="3" t="str">
        <f>HYPERLINK("https://www.boe.es/gazeta/dias/1823/06/09/pdfs/GES-1823-63.pdf#page=2","Abrir facsímil")</f>
        <v>Abrir facsímil</v>
      </c>
      <c r="K8607" s="3" t="s">
        <v>23</v>
      </c>
    </row>
    <row r="8608" spans="1:11" ht="42" customHeight="1">
      <c r="A8608" s="2" t="s">
        <v>17054</v>
      </c>
      <c r="B8608" s="2" t="s">
        <v>17054</v>
      </c>
      <c r="C8608" s="2" t="s">
        <v>79</v>
      </c>
      <c r="D8608" s="2" t="s">
        <v>74</v>
      </c>
      <c r="E8608" s="5">
        <v>-27961</v>
      </c>
      <c r="F8608" s="3" t="s">
        <v>52</v>
      </c>
      <c r="G8608" s="3" t="s">
        <v>39</v>
      </c>
      <c r="H8608" s="2" t="s">
        <v>21</v>
      </c>
      <c r="I8608" s="2" t="s">
        <v>17091</v>
      </c>
      <c r="J8608" s="3" t="str">
        <f>HYPERLINK("https://www.boe.es/gazeta/dias/1823/06/11/pdfs/GES-1823-65.pdf#page=1","Abrir facsímil")</f>
        <v>Abrir facsímil</v>
      </c>
      <c r="K8608" s="3" t="s">
        <v>23</v>
      </c>
    </row>
    <row r="8609" spans="1:11" ht="42" customHeight="1">
      <c r="A8609" s="2" t="s">
        <v>17092</v>
      </c>
      <c r="B8609" s="2" t="s">
        <v>17093</v>
      </c>
      <c r="C8609" s="2" t="s">
        <v>79</v>
      </c>
      <c r="D8609" s="2" t="s">
        <v>74</v>
      </c>
      <c r="E8609" s="5">
        <v>-27906</v>
      </c>
      <c r="F8609" s="3" t="s">
        <v>241</v>
      </c>
      <c r="G8609" s="3" t="s">
        <v>34</v>
      </c>
      <c r="H8609" s="2" t="s">
        <v>21</v>
      </c>
      <c r="I8609" s="2" t="s">
        <v>17094</v>
      </c>
      <c r="J8609" s="3" t="str">
        <f>HYPERLINK("https://www.boe.es/gazeta/dias/1823/08/05/pdfs/GES-1823-117.pdf#page=5","Abrir facsímil")</f>
        <v>Abrir facsímil</v>
      </c>
      <c r="K8609" s="3" t="s">
        <v>23</v>
      </c>
    </row>
    <row r="8610" spans="1:11" ht="42" customHeight="1">
      <c r="A8610" s="2" t="s">
        <v>17095</v>
      </c>
      <c r="B8610" s="2" t="s">
        <v>17096</v>
      </c>
      <c r="C8610" s="2" t="s">
        <v>17</v>
      </c>
      <c r="D8610" s="2" t="s">
        <v>18</v>
      </c>
      <c r="E8610" s="5">
        <v>-27982</v>
      </c>
      <c r="F8610" s="3" t="s">
        <v>340</v>
      </c>
      <c r="G8610" s="3" t="s">
        <v>59</v>
      </c>
      <c r="H8610" s="2" t="s">
        <v>21</v>
      </c>
      <c r="I8610" s="2" t="s">
        <v>17097</v>
      </c>
      <c r="J8610" s="3" t="str">
        <f>HYPERLINK("https://www.boe.es/gazeta/dias/1823/05/21/pdfs/GES-1823-42.pdf#page=6","Abrir facsímil")</f>
        <v>Abrir facsímil</v>
      </c>
      <c r="K8610" s="3" t="s">
        <v>23</v>
      </c>
    </row>
    <row r="8611" spans="1:11" ht="42" customHeight="1">
      <c r="A8611" s="2" t="s">
        <v>17098</v>
      </c>
      <c r="B8611" s="2" t="s">
        <v>17099</v>
      </c>
      <c r="C8611" s="2" t="s">
        <v>109</v>
      </c>
      <c r="D8611" s="2" t="s">
        <v>74</v>
      </c>
      <c r="E8611" s="5">
        <v>-27901</v>
      </c>
      <c r="F8611" s="3" t="s">
        <v>840</v>
      </c>
      <c r="G8611" s="3" t="s">
        <v>20</v>
      </c>
      <c r="H8611" s="2" t="s">
        <v>21</v>
      </c>
      <c r="I8611" s="2" t="s">
        <v>17100</v>
      </c>
      <c r="J8611" s="3" t="str">
        <f>HYPERLINK("https://www.boe.es/gazeta/dias/1823/08/10/pdfs/GES-1823-123.pdf#page=4","Abrir facsímil")</f>
        <v>Abrir facsímil</v>
      </c>
      <c r="K8611" s="3" t="s">
        <v>23</v>
      </c>
    </row>
    <row r="8612" spans="1:11" ht="42" customHeight="1">
      <c r="A8612" s="2" t="s">
        <v>17098</v>
      </c>
      <c r="B8612" s="2" t="s">
        <v>17099</v>
      </c>
      <c r="C8612" s="2" t="s">
        <v>17</v>
      </c>
      <c r="D8612" s="2" t="s">
        <v>18</v>
      </c>
      <c r="E8612" s="5">
        <v>-27891</v>
      </c>
      <c r="F8612" s="3" t="s">
        <v>825</v>
      </c>
      <c r="G8612" s="3" t="s">
        <v>20</v>
      </c>
      <c r="H8612" s="2" t="s">
        <v>21</v>
      </c>
      <c r="I8612" s="2" t="s">
        <v>17101</v>
      </c>
      <c r="J8612" s="3" t="str">
        <f>HYPERLINK("https://www.boe.es/gazeta/dias/1823/08/20/pdfs/GES-1823-133.pdf#page=4","Abrir facsímil")</f>
        <v>Abrir facsímil</v>
      </c>
      <c r="K8612" s="3" t="s">
        <v>23</v>
      </c>
    </row>
    <row r="8613" spans="1:11" ht="42" customHeight="1">
      <c r="A8613" s="2" t="s">
        <v>17098</v>
      </c>
      <c r="B8613" s="2" t="s">
        <v>17099</v>
      </c>
      <c r="C8613" s="2" t="s">
        <v>56</v>
      </c>
      <c r="D8613" s="2" t="s">
        <v>57</v>
      </c>
      <c r="E8613" s="5">
        <v>-27879</v>
      </c>
      <c r="F8613" s="3" t="s">
        <v>638</v>
      </c>
      <c r="G8613" s="3" t="s">
        <v>20</v>
      </c>
      <c r="H8613" s="2" t="s">
        <v>21</v>
      </c>
      <c r="I8613" s="2" t="s">
        <v>17102</v>
      </c>
      <c r="J8613" s="3" t="str">
        <f>HYPERLINK("https://www.boe.es/gazeta/dias/1823/09/01/pdfs/GES-1823-145.pdf#page=4","Abrir facsímil")</f>
        <v>Abrir facsímil</v>
      </c>
      <c r="K8613" s="3" t="s">
        <v>23</v>
      </c>
    </row>
    <row r="8614" spans="1:11" ht="42" customHeight="1">
      <c r="A8614" s="2" t="s">
        <v>17103</v>
      </c>
      <c r="B8614" s="2" t="s">
        <v>17103</v>
      </c>
      <c r="C8614" s="2" t="s">
        <v>17</v>
      </c>
      <c r="D8614" s="2" t="s">
        <v>18</v>
      </c>
      <c r="E8614" s="5">
        <v>-28091</v>
      </c>
      <c r="F8614" s="3" t="s">
        <v>1047</v>
      </c>
      <c r="G8614" s="3" t="s">
        <v>27</v>
      </c>
      <c r="H8614" s="2" t="s">
        <v>21</v>
      </c>
      <c r="I8614" s="2" t="s">
        <v>17104</v>
      </c>
      <c r="J8614" s="3" t="str">
        <f>HYPERLINK("https://www.boe.es/gazeta/dias/1823/02/01/pdfs/GMD-1823-34.pdf#page=2","Abrir facsímil")</f>
        <v>Abrir facsímil</v>
      </c>
      <c r="K8614" s="3" t="s">
        <v>23</v>
      </c>
    </row>
    <row r="8615" spans="1:11" ht="42" customHeight="1">
      <c r="A8615" s="2" t="s">
        <v>17105</v>
      </c>
      <c r="B8615" s="2" t="s">
        <v>17105</v>
      </c>
      <c r="C8615" s="2" t="s">
        <v>109</v>
      </c>
      <c r="D8615" s="2" t="s">
        <v>74</v>
      </c>
      <c r="E8615" s="5">
        <v>-28116</v>
      </c>
      <c r="F8615" s="3" t="s">
        <v>134</v>
      </c>
      <c r="G8615" s="3" t="s">
        <v>39</v>
      </c>
      <c r="H8615" s="2" t="s">
        <v>21</v>
      </c>
      <c r="I8615" s="2" t="s">
        <v>17106</v>
      </c>
      <c r="J8615" s="3" t="str">
        <f>HYPERLINK("https://www.boe.es/gazeta/dias/1823/01/07/pdfs/GMD-1823-7.pdf#page=1","Abrir facsímil")</f>
        <v>Abrir facsímil</v>
      </c>
      <c r="K8615" s="3" t="s">
        <v>23</v>
      </c>
    </row>
    <row r="8616" spans="1:11" ht="42" customHeight="1">
      <c r="A8616" s="2" t="s">
        <v>17105</v>
      </c>
      <c r="B8616" s="2" t="s">
        <v>17105</v>
      </c>
      <c r="C8616" s="2" t="s">
        <v>17</v>
      </c>
      <c r="D8616" s="2" t="s">
        <v>18</v>
      </c>
      <c r="E8616" s="5">
        <v>-28094</v>
      </c>
      <c r="F8616" s="3" t="s">
        <v>93</v>
      </c>
      <c r="G8616" s="3" t="s">
        <v>27</v>
      </c>
      <c r="H8616" s="2" t="s">
        <v>21</v>
      </c>
      <c r="I8616" s="2" t="s">
        <v>17107</v>
      </c>
      <c r="J8616" s="3" t="str">
        <f>HYPERLINK("https://www.boe.es/gazeta/dias/1823/01/29/pdfs/GMD-1823-30.pdf#page=2","Abrir facsímil")</f>
        <v>Abrir facsímil</v>
      </c>
      <c r="K8616" s="3" t="s">
        <v>23</v>
      </c>
    </row>
    <row r="8617" spans="1:11" ht="42" customHeight="1">
      <c r="A8617" s="2" t="s">
        <v>17105</v>
      </c>
      <c r="B8617" s="2" t="s">
        <v>17105</v>
      </c>
      <c r="C8617" s="2" t="s">
        <v>17</v>
      </c>
      <c r="D8617" s="2" t="s">
        <v>18</v>
      </c>
      <c r="E8617" s="5">
        <v>-28091</v>
      </c>
      <c r="F8617" s="3" t="s">
        <v>1047</v>
      </c>
      <c r="G8617" s="3" t="s">
        <v>27</v>
      </c>
      <c r="H8617" s="2" t="s">
        <v>21</v>
      </c>
      <c r="I8617" s="2" t="s">
        <v>17108</v>
      </c>
      <c r="J8617" s="3" t="str">
        <f>HYPERLINK("https://www.boe.es/gazeta/dias/1823/02/01/pdfs/GMD-1823-34.pdf#page=2","Abrir facsímil")</f>
        <v>Abrir facsímil</v>
      </c>
      <c r="K8617" s="3" t="s">
        <v>23</v>
      </c>
    </row>
    <row r="8618" spans="1:11" ht="42" customHeight="1">
      <c r="A8618" s="2" t="s">
        <v>17105</v>
      </c>
      <c r="B8618" s="2" t="s">
        <v>17105</v>
      </c>
      <c r="C8618" s="2" t="s">
        <v>17</v>
      </c>
      <c r="D8618" s="2" t="s">
        <v>18</v>
      </c>
      <c r="E8618" s="5">
        <v>-28085</v>
      </c>
      <c r="F8618" s="3" t="s">
        <v>458</v>
      </c>
      <c r="G8618" s="3" t="s">
        <v>27</v>
      </c>
      <c r="H8618" s="2" t="s">
        <v>21</v>
      </c>
      <c r="I8618" s="2" t="s">
        <v>17109</v>
      </c>
      <c r="J8618" s="3" t="str">
        <f>HYPERLINK("https://www.boe.es/gazeta/dias/1823/02/07/pdfs/GMD-1823-40.pdf#page=2","Abrir facsímil")</f>
        <v>Abrir facsímil</v>
      </c>
      <c r="K8618" s="3" t="s">
        <v>23</v>
      </c>
    </row>
    <row r="8619" spans="1:11" ht="42" customHeight="1">
      <c r="A8619" s="2" t="s">
        <v>17105</v>
      </c>
      <c r="B8619" s="2" t="s">
        <v>17105</v>
      </c>
      <c r="C8619" s="2" t="s">
        <v>293</v>
      </c>
      <c r="D8619" s="2" t="s">
        <v>74</v>
      </c>
      <c r="E8619" s="5">
        <v>-28083</v>
      </c>
      <c r="F8619" s="3" t="s">
        <v>291</v>
      </c>
      <c r="G8619" s="3" t="s">
        <v>27</v>
      </c>
      <c r="H8619" s="2" t="s">
        <v>21</v>
      </c>
      <c r="I8619" s="2" t="s">
        <v>17110</v>
      </c>
      <c r="J8619" s="3" t="str">
        <f>HYPERLINK("https://www.boe.es/gazeta/dias/1823/02/09/pdfs/GMD-1823-43.pdf#page=2","Abrir facsímil")</f>
        <v>Abrir facsímil</v>
      </c>
      <c r="K8619" s="3" t="s">
        <v>23</v>
      </c>
    </row>
    <row r="8620" spans="1:11" ht="42" customHeight="1">
      <c r="A8620" s="2" t="s">
        <v>17105</v>
      </c>
      <c r="B8620" s="2" t="s">
        <v>17105</v>
      </c>
      <c r="C8620" s="2" t="s">
        <v>79</v>
      </c>
      <c r="D8620" s="2" t="s">
        <v>74</v>
      </c>
      <c r="E8620" s="5">
        <v>-28081</v>
      </c>
      <c r="F8620" s="3" t="s">
        <v>170</v>
      </c>
      <c r="G8620" s="3" t="s">
        <v>27</v>
      </c>
      <c r="H8620" s="2" t="s">
        <v>21</v>
      </c>
      <c r="I8620" s="2" t="s">
        <v>17111</v>
      </c>
      <c r="J8620" s="3" t="str">
        <f>HYPERLINK("https://www.boe.es/gazeta/dias/1823/02/11/pdfs/GMD-1823-45.pdf#page=2","Abrir facsímil")</f>
        <v>Abrir facsímil</v>
      </c>
      <c r="K8620" s="3" t="s">
        <v>23</v>
      </c>
    </row>
    <row r="8621" spans="1:11" ht="42" customHeight="1">
      <c r="A8621" s="2" t="s">
        <v>17105</v>
      </c>
      <c r="B8621" s="2" t="s">
        <v>17105</v>
      </c>
      <c r="C8621" s="2" t="s">
        <v>17</v>
      </c>
      <c r="D8621" s="2" t="s">
        <v>18</v>
      </c>
      <c r="E8621" s="5">
        <v>-28081</v>
      </c>
      <c r="F8621" s="3" t="s">
        <v>170</v>
      </c>
      <c r="G8621" s="3" t="s">
        <v>48</v>
      </c>
      <c r="H8621" s="2" t="s">
        <v>21</v>
      </c>
      <c r="I8621" s="2" t="s">
        <v>17112</v>
      </c>
      <c r="J8621" s="3" t="str">
        <f>HYPERLINK("https://www.boe.es/gazeta/dias/1823/02/11/pdfs/GMD-1823-45.pdf#page=3","Abrir facsímil")</f>
        <v>Abrir facsímil</v>
      </c>
      <c r="K8621" s="3" t="s">
        <v>23</v>
      </c>
    </row>
    <row r="8622" spans="1:11" ht="42" customHeight="1">
      <c r="A8622" s="2" t="s">
        <v>17105</v>
      </c>
      <c r="B8622" s="2" t="s">
        <v>17105</v>
      </c>
      <c r="C8622" s="2" t="s">
        <v>109</v>
      </c>
      <c r="D8622" s="2" t="s">
        <v>74</v>
      </c>
      <c r="E8622" s="5">
        <v>-28076</v>
      </c>
      <c r="F8622" s="3" t="s">
        <v>1638</v>
      </c>
      <c r="G8622" s="3" t="s">
        <v>39</v>
      </c>
      <c r="H8622" s="2" t="s">
        <v>21</v>
      </c>
      <c r="I8622" s="2" t="s">
        <v>17113</v>
      </c>
      <c r="J8622" s="3" t="str">
        <f>HYPERLINK("https://www.boe.es/gazeta/dias/1823/02/16/pdfs/GMD-1823-50.pdf#page=1","Abrir facsímil")</f>
        <v>Abrir facsímil</v>
      </c>
      <c r="K8622" s="3" t="s">
        <v>23</v>
      </c>
    </row>
    <row r="8623" spans="1:11" ht="42" customHeight="1">
      <c r="A8623" s="2" t="s">
        <v>17105</v>
      </c>
      <c r="B8623" s="2" t="s">
        <v>17105</v>
      </c>
      <c r="C8623" s="2" t="s">
        <v>293</v>
      </c>
      <c r="D8623" s="2" t="s">
        <v>74</v>
      </c>
      <c r="E8623" s="5">
        <v>-28058</v>
      </c>
      <c r="F8623" s="3" t="s">
        <v>1282</v>
      </c>
      <c r="G8623" s="3" t="s">
        <v>39</v>
      </c>
      <c r="H8623" s="2" t="s">
        <v>21</v>
      </c>
      <c r="I8623" s="2" t="s">
        <v>17114</v>
      </c>
      <c r="J8623" s="3" t="str">
        <f>HYPERLINK("https://www.boe.es/gazeta/dias/1823/03/06/pdfs/GMD-1823-69.pdf#page=1","Abrir facsímil")</f>
        <v>Abrir facsímil</v>
      </c>
      <c r="K8623" s="3" t="s">
        <v>23</v>
      </c>
    </row>
    <row r="8624" spans="1:11" ht="42" customHeight="1">
      <c r="A8624" s="2" t="s">
        <v>17105</v>
      </c>
      <c r="B8624" s="2" t="s">
        <v>17105</v>
      </c>
      <c r="C8624" s="2" t="s">
        <v>109</v>
      </c>
      <c r="D8624" s="2" t="s">
        <v>74</v>
      </c>
      <c r="E8624" s="5">
        <v>-28057</v>
      </c>
      <c r="F8624" s="3" t="s">
        <v>301</v>
      </c>
      <c r="G8624" s="3" t="s">
        <v>27</v>
      </c>
      <c r="H8624" s="2" t="s">
        <v>21</v>
      </c>
      <c r="I8624" s="2" t="s">
        <v>17115</v>
      </c>
      <c r="J8624" s="3" t="str">
        <f>HYPERLINK("https://www.boe.es/gazeta/dias/1823/03/07/pdfs/GMD-1823-70.pdf#page=2","Abrir facsímil")</f>
        <v>Abrir facsímil</v>
      </c>
      <c r="K8624" s="3" t="s">
        <v>23</v>
      </c>
    </row>
    <row r="8625" spans="1:11" ht="42" customHeight="1">
      <c r="A8625" s="2" t="s">
        <v>17105</v>
      </c>
      <c r="B8625" s="2" t="s">
        <v>17105</v>
      </c>
      <c r="C8625" s="2" t="s">
        <v>56</v>
      </c>
      <c r="D8625" s="2" t="s">
        <v>57</v>
      </c>
      <c r="E8625" s="5">
        <v>-27972</v>
      </c>
      <c r="F8625" s="3" t="s">
        <v>429</v>
      </c>
      <c r="G8625" s="3" t="s">
        <v>39</v>
      </c>
      <c r="H8625" s="2" t="s">
        <v>21</v>
      </c>
      <c r="I8625" s="2" t="s">
        <v>17116</v>
      </c>
      <c r="J8625" s="3" t="str">
        <f>HYPERLINK("https://www.boe.es/gazeta/dias/1823/05/31/pdfs/GES-1823-54.pdf#page=1","Abrir facsímil")</f>
        <v>Abrir facsímil</v>
      </c>
      <c r="K8625" s="3" t="s">
        <v>23</v>
      </c>
    </row>
    <row r="8626" spans="1:11" ht="42" customHeight="1">
      <c r="A8626" s="2" t="s">
        <v>17105</v>
      </c>
      <c r="B8626" s="2" t="s">
        <v>17105</v>
      </c>
      <c r="C8626" s="2" t="s">
        <v>17</v>
      </c>
      <c r="D8626" s="2" t="s">
        <v>18</v>
      </c>
      <c r="E8626" s="5">
        <v>-27964</v>
      </c>
      <c r="F8626" s="3" t="s">
        <v>58</v>
      </c>
      <c r="G8626" s="3" t="s">
        <v>48</v>
      </c>
      <c r="H8626" s="2" t="s">
        <v>21</v>
      </c>
      <c r="I8626" s="2" t="s">
        <v>17117</v>
      </c>
      <c r="J8626" s="3" t="str">
        <f>HYPERLINK("https://www.boe.es/gazeta/dias/1823/06/08/pdfs/GES-1823-62.pdf#page=3","Abrir facsímil")</f>
        <v>Abrir facsímil</v>
      </c>
      <c r="K8626" s="3" t="s">
        <v>23</v>
      </c>
    </row>
    <row r="8627" spans="1:11" ht="42" customHeight="1">
      <c r="A8627" s="2" t="s">
        <v>17105</v>
      </c>
      <c r="B8627" s="2" t="s">
        <v>17105</v>
      </c>
      <c r="C8627" s="2" t="s">
        <v>79</v>
      </c>
      <c r="D8627" s="2" t="s">
        <v>74</v>
      </c>
      <c r="E8627" s="5">
        <v>-27963</v>
      </c>
      <c r="F8627" s="3" t="s">
        <v>344</v>
      </c>
      <c r="G8627" s="3" t="s">
        <v>39</v>
      </c>
      <c r="H8627" s="2" t="s">
        <v>21</v>
      </c>
      <c r="I8627" s="2" t="s">
        <v>17118</v>
      </c>
      <c r="J8627" s="3" t="str">
        <f>HYPERLINK("https://www.boe.es/gazeta/dias/1823/06/09/pdfs/GES-1823-63.pdf#page=1","Abrir facsímil")</f>
        <v>Abrir facsímil</v>
      </c>
      <c r="K8627" s="3" t="s">
        <v>23</v>
      </c>
    </row>
    <row r="8628" spans="1:11" ht="42" customHeight="1">
      <c r="A8628" s="2" t="s">
        <v>17105</v>
      </c>
      <c r="B8628" s="2" t="s">
        <v>17105</v>
      </c>
      <c r="C8628" s="2" t="s">
        <v>17</v>
      </c>
      <c r="D8628" s="2" t="s">
        <v>18</v>
      </c>
      <c r="E8628" s="5">
        <v>-27963</v>
      </c>
      <c r="F8628" s="3" t="s">
        <v>344</v>
      </c>
      <c r="G8628" s="3" t="s">
        <v>27</v>
      </c>
      <c r="H8628" s="2" t="s">
        <v>21</v>
      </c>
      <c r="I8628" s="2" t="s">
        <v>17119</v>
      </c>
      <c r="J8628" s="3" t="str">
        <f>HYPERLINK("https://www.boe.es/gazeta/dias/1823/06/09/pdfs/GES-1823-63.pdf#page=2","Abrir facsímil")</f>
        <v>Abrir facsímil</v>
      </c>
      <c r="K8628" s="3" t="s">
        <v>23</v>
      </c>
    </row>
    <row r="8629" spans="1:11" ht="42" customHeight="1">
      <c r="A8629" s="2" t="s">
        <v>17105</v>
      </c>
      <c r="B8629" s="2" t="s">
        <v>17105</v>
      </c>
      <c r="C8629" s="2" t="s">
        <v>109</v>
      </c>
      <c r="D8629" s="2" t="s">
        <v>74</v>
      </c>
      <c r="E8629" s="5">
        <v>-27961</v>
      </c>
      <c r="F8629" s="3" t="s">
        <v>52</v>
      </c>
      <c r="G8629" s="3" t="s">
        <v>39</v>
      </c>
      <c r="H8629" s="2" t="s">
        <v>21</v>
      </c>
      <c r="I8629" s="2" t="s">
        <v>17120</v>
      </c>
      <c r="J8629" s="3" t="str">
        <f>HYPERLINK("https://www.boe.es/gazeta/dias/1823/06/11/pdfs/GES-1823-65.pdf#page=1","Abrir facsímil")</f>
        <v>Abrir facsímil</v>
      </c>
      <c r="K8629" s="3" t="s">
        <v>23</v>
      </c>
    </row>
    <row r="8630" spans="1:11" ht="42" customHeight="1">
      <c r="A8630" s="2" t="s">
        <v>17105</v>
      </c>
      <c r="B8630" s="2" t="s">
        <v>17105</v>
      </c>
      <c r="C8630" s="2" t="s">
        <v>56</v>
      </c>
      <c r="D8630" s="2" t="s">
        <v>57</v>
      </c>
      <c r="E8630" s="5">
        <v>-27924</v>
      </c>
      <c r="F8630" s="3" t="s">
        <v>2385</v>
      </c>
      <c r="G8630" s="3" t="s">
        <v>39</v>
      </c>
      <c r="H8630" s="2" t="s">
        <v>21</v>
      </c>
      <c r="I8630" s="2" t="s">
        <v>17121</v>
      </c>
      <c r="J8630" s="3" t="str">
        <f>HYPERLINK("https://www.boe.es/gazeta/dias/1823/07/18/pdfs/GES-1823-99.pdf#page=1","Abrir facsímil")</f>
        <v>Abrir facsímil</v>
      </c>
      <c r="K8630" s="3" t="s">
        <v>23</v>
      </c>
    </row>
    <row r="8631" spans="1:11" ht="42" customHeight="1">
      <c r="A8631" s="2" t="s">
        <v>17105</v>
      </c>
      <c r="B8631" s="2" t="s">
        <v>17105</v>
      </c>
      <c r="C8631" s="2" t="s">
        <v>56</v>
      </c>
      <c r="D8631" s="2" t="s">
        <v>57</v>
      </c>
      <c r="E8631" s="5">
        <v>-27920</v>
      </c>
      <c r="F8631" s="3" t="s">
        <v>358</v>
      </c>
      <c r="G8631" s="3" t="s">
        <v>39</v>
      </c>
      <c r="H8631" s="2" t="s">
        <v>21</v>
      </c>
      <c r="I8631" s="2" t="s">
        <v>17122</v>
      </c>
      <c r="J8631" s="3" t="str">
        <f>HYPERLINK("https://www.boe.es/gazeta/dias/1823/07/22/pdfs/GES-1823-103.pdf#page=1","Abrir facsímil")</f>
        <v>Abrir facsímil</v>
      </c>
      <c r="K8631" s="3" t="s">
        <v>23</v>
      </c>
    </row>
    <row r="8632" spans="1:11" ht="42" customHeight="1">
      <c r="A8632" s="2" t="s">
        <v>17105</v>
      </c>
      <c r="B8632" s="2" t="s">
        <v>17105</v>
      </c>
      <c r="C8632" s="2" t="s">
        <v>56</v>
      </c>
      <c r="D8632" s="2" t="s">
        <v>57</v>
      </c>
      <c r="E8632" s="5">
        <v>-27920</v>
      </c>
      <c r="F8632" s="3" t="s">
        <v>358</v>
      </c>
      <c r="G8632" s="3" t="s">
        <v>27</v>
      </c>
      <c r="H8632" s="2" t="s">
        <v>21</v>
      </c>
      <c r="I8632" s="2" t="s">
        <v>17123</v>
      </c>
      <c r="J8632" s="3" t="str">
        <f>HYPERLINK("https://www.boe.es/gazeta/dias/1823/07/22/pdfs/GES-1823-103.pdf#page=2","Abrir facsímil")</f>
        <v>Abrir facsímil</v>
      </c>
      <c r="K8632" s="3" t="s">
        <v>23</v>
      </c>
    </row>
    <row r="8633" spans="1:11" ht="42" customHeight="1">
      <c r="A8633" s="2" t="s">
        <v>17105</v>
      </c>
      <c r="B8633" s="2" t="s">
        <v>17105</v>
      </c>
      <c r="C8633" s="2" t="s">
        <v>109</v>
      </c>
      <c r="D8633" s="2" t="s">
        <v>74</v>
      </c>
      <c r="E8633" s="5">
        <v>-27916</v>
      </c>
      <c r="F8633" s="3" t="s">
        <v>772</v>
      </c>
      <c r="G8633" s="3" t="s">
        <v>39</v>
      </c>
      <c r="H8633" s="2" t="s">
        <v>21</v>
      </c>
      <c r="I8633" s="2" t="s">
        <v>17124</v>
      </c>
      <c r="J8633" s="3" t="str">
        <f>HYPERLINK("https://www.boe.es/gazeta/dias/1823/07/26/pdfs/GES-1823-107.pdf#page=1","Abrir facsímil")</f>
        <v>Abrir facsímil</v>
      </c>
      <c r="K8633" s="3" t="s">
        <v>23</v>
      </c>
    </row>
    <row r="8634" spans="1:11" ht="42" customHeight="1">
      <c r="A8634" s="2" t="s">
        <v>17105</v>
      </c>
      <c r="B8634" s="2" t="s">
        <v>17105</v>
      </c>
      <c r="C8634" s="2" t="s">
        <v>109</v>
      </c>
      <c r="D8634" s="2" t="s">
        <v>74</v>
      </c>
      <c r="E8634" s="5">
        <v>-27908</v>
      </c>
      <c r="F8634" s="3" t="s">
        <v>80</v>
      </c>
      <c r="G8634" s="3" t="s">
        <v>39</v>
      </c>
      <c r="H8634" s="2" t="s">
        <v>21</v>
      </c>
      <c r="I8634" s="2" t="s">
        <v>17125</v>
      </c>
      <c r="J8634" s="3" t="str">
        <f>HYPERLINK("https://www.boe.es/gazeta/dias/1823/08/03/pdfs/GES-1823-115.pdf#page=1","Abrir facsímil")</f>
        <v>Abrir facsímil</v>
      </c>
      <c r="K8634" s="3" t="s">
        <v>23</v>
      </c>
    </row>
    <row r="8635" spans="1:11" ht="42" customHeight="1">
      <c r="A8635" s="2" t="s">
        <v>17126</v>
      </c>
      <c r="B8635" s="2" t="s">
        <v>17126</v>
      </c>
      <c r="C8635" s="2" t="s">
        <v>17</v>
      </c>
      <c r="D8635" s="2" t="s">
        <v>18</v>
      </c>
      <c r="E8635" s="5">
        <v>-27892</v>
      </c>
      <c r="F8635" s="3" t="s">
        <v>1571</v>
      </c>
      <c r="G8635" s="3" t="s">
        <v>27</v>
      </c>
      <c r="H8635" s="2" t="s">
        <v>21</v>
      </c>
      <c r="I8635" s="2" t="s">
        <v>17127</v>
      </c>
      <c r="J8635" s="3" t="str">
        <f>HYPERLINK("https://www.boe.es/gazeta/dias/1823/08/19/pdfs/GMD-1823-613.pdf#page=2","Abrir facsímil")</f>
        <v>Abrir facsímil</v>
      </c>
      <c r="K8635" s="3" t="s">
        <v>23</v>
      </c>
    </row>
    <row r="8636" spans="1:11" ht="42" customHeight="1">
      <c r="A8636" s="2" t="s">
        <v>17128</v>
      </c>
      <c r="B8636" s="2" t="s">
        <v>17129</v>
      </c>
      <c r="C8636" s="2" t="s">
        <v>17</v>
      </c>
      <c r="D8636" s="2" t="s">
        <v>18</v>
      </c>
      <c r="E8636" s="5">
        <v>-27895</v>
      </c>
      <c r="F8636" s="3" t="s">
        <v>5642</v>
      </c>
      <c r="G8636" s="3" t="s">
        <v>39</v>
      </c>
      <c r="H8636" s="2" t="s">
        <v>21</v>
      </c>
      <c r="I8636" s="2" t="s">
        <v>17130</v>
      </c>
      <c r="J8636" s="3" t="str">
        <f>HYPERLINK("https://www.boe.es/gazeta/dias/1823/08/16/pdfs/GMD-1823-603.pdf#page=1","Abrir facsímil")</f>
        <v>Abrir facsímil</v>
      </c>
      <c r="K8636" s="3" t="s">
        <v>23</v>
      </c>
    </row>
    <row r="8637" spans="1:11" ht="42" customHeight="1">
      <c r="A8637" s="2" t="s">
        <v>17128</v>
      </c>
      <c r="B8637" s="2" t="s">
        <v>17129</v>
      </c>
      <c r="C8637" s="2" t="s">
        <v>17</v>
      </c>
      <c r="D8637" s="2" t="s">
        <v>18</v>
      </c>
      <c r="E8637" s="5">
        <v>-27892</v>
      </c>
      <c r="F8637" s="3" t="s">
        <v>1571</v>
      </c>
      <c r="G8637" s="3" t="s">
        <v>27</v>
      </c>
      <c r="H8637" s="2" t="s">
        <v>21</v>
      </c>
      <c r="I8637" s="2" t="s">
        <v>17131</v>
      </c>
      <c r="J8637" s="3" t="str">
        <f>HYPERLINK("https://www.boe.es/gazeta/dias/1823/08/19/pdfs/GMD-1823-613.pdf#page=2","Abrir facsímil")</f>
        <v>Abrir facsímil</v>
      </c>
      <c r="K8637" s="3" t="s">
        <v>23</v>
      </c>
    </row>
    <row r="8638" spans="1:11" ht="42" customHeight="1">
      <c r="A8638" s="2" t="s">
        <v>17132</v>
      </c>
      <c r="B8638" s="2" t="s">
        <v>17133</v>
      </c>
      <c r="C8638" s="2" t="s">
        <v>79</v>
      </c>
      <c r="D8638" s="2" t="s">
        <v>74</v>
      </c>
      <c r="E8638" s="5">
        <v>-28077</v>
      </c>
      <c r="F8638" s="3" t="s">
        <v>536</v>
      </c>
      <c r="G8638" s="3" t="s">
        <v>59</v>
      </c>
      <c r="H8638" s="2" t="s">
        <v>21</v>
      </c>
      <c r="I8638" s="2" t="s">
        <v>17134</v>
      </c>
      <c r="J8638" s="3" t="str">
        <f>HYPERLINK("https://www.boe.es/gazeta/dias/1823/02/15/pdfs/GMD-1823-49.pdf#page=6","Abrir facsímil")</f>
        <v>Abrir facsímil</v>
      </c>
      <c r="K8638" s="3" t="s">
        <v>23</v>
      </c>
    </row>
    <row r="8639" spans="1:11" ht="42" customHeight="1">
      <c r="A8639" s="2" t="s">
        <v>17135</v>
      </c>
      <c r="B8639" s="2" t="s">
        <v>17135</v>
      </c>
      <c r="C8639" s="2" t="s">
        <v>56</v>
      </c>
      <c r="D8639" s="2" t="s">
        <v>57</v>
      </c>
      <c r="E8639" s="5">
        <v>-27916</v>
      </c>
      <c r="F8639" s="3" t="s">
        <v>772</v>
      </c>
      <c r="G8639" s="3" t="s">
        <v>39</v>
      </c>
      <c r="H8639" s="2" t="s">
        <v>21</v>
      </c>
      <c r="I8639" s="2" t="s">
        <v>17136</v>
      </c>
      <c r="J8639" s="3" t="str">
        <f>HYPERLINK("https://www.boe.es/gazeta/dias/1823/07/26/pdfs/GES-1823-107.pdf#page=1","Abrir facsímil")</f>
        <v>Abrir facsímil</v>
      </c>
      <c r="K8639" s="3" t="s">
        <v>23</v>
      </c>
    </row>
    <row r="8640" spans="1:11" ht="42" customHeight="1">
      <c r="A8640" s="2" t="s">
        <v>17137</v>
      </c>
      <c r="B8640" s="2" t="s">
        <v>17137</v>
      </c>
      <c r="C8640" s="2" t="s">
        <v>56</v>
      </c>
      <c r="D8640" s="2" t="s">
        <v>117</v>
      </c>
      <c r="E8640" s="5">
        <v>-27970</v>
      </c>
      <c r="F8640" s="3" t="s">
        <v>1699</v>
      </c>
      <c r="G8640" s="3" t="s">
        <v>39</v>
      </c>
      <c r="H8640" s="2" t="s">
        <v>21</v>
      </c>
      <c r="I8640" s="2" t="s">
        <v>17138</v>
      </c>
      <c r="J8640" s="3" t="str">
        <f>HYPERLINK("https://www.boe.es/gazeta/dias/1823/06/02/pdfs/GMD-1823-43E.pdf#page=1","Abrir facsímil")</f>
        <v>Abrir facsímil</v>
      </c>
      <c r="K8640" s="3" t="s">
        <v>23</v>
      </c>
    </row>
    <row r="8641" spans="1:11" ht="42" customHeight="1">
      <c r="A8641" s="2" t="s">
        <v>17139</v>
      </c>
      <c r="B8641" s="2" t="s">
        <v>17139</v>
      </c>
      <c r="C8641" s="2" t="s">
        <v>79</v>
      </c>
      <c r="D8641" s="2" t="s">
        <v>74</v>
      </c>
      <c r="E8641" s="5">
        <v>-27960</v>
      </c>
      <c r="F8641" s="3" t="s">
        <v>682</v>
      </c>
      <c r="G8641" s="3" t="s">
        <v>27</v>
      </c>
      <c r="H8641" s="2" t="s">
        <v>21</v>
      </c>
      <c r="I8641" s="2" t="s">
        <v>17140</v>
      </c>
      <c r="J8641" s="3" t="str">
        <f>HYPERLINK("https://www.boe.es/gazeta/dias/1823/06/12/pdfs/GMD-1823-123.pdf#page=2","Abrir facsímil")</f>
        <v>Abrir facsímil</v>
      </c>
      <c r="K8641" s="3" t="s">
        <v>23</v>
      </c>
    </row>
    <row r="8642" spans="1:11" ht="42" customHeight="1">
      <c r="A8642" s="2" t="s">
        <v>17141</v>
      </c>
      <c r="B8642" s="2" t="s">
        <v>17141</v>
      </c>
      <c r="C8642" s="2" t="s">
        <v>56</v>
      </c>
      <c r="D8642" s="2" t="s">
        <v>57</v>
      </c>
      <c r="E8642" s="5">
        <v>-27944</v>
      </c>
      <c r="F8642" s="3" t="s">
        <v>2823</v>
      </c>
      <c r="G8642" s="3" t="s">
        <v>39</v>
      </c>
      <c r="H8642" s="2" t="s">
        <v>21</v>
      </c>
      <c r="I8642" s="2" t="s">
        <v>17142</v>
      </c>
      <c r="J8642" s="3" t="str">
        <f>HYPERLINK("https://www.boe.es/gazeta/dias/1823/06/28/pdfs/GES-1823-78.pdf#page=1","Abrir facsímil")</f>
        <v>Abrir facsímil</v>
      </c>
      <c r="K8642" s="3" t="s">
        <v>23</v>
      </c>
    </row>
    <row r="8643" spans="1:11" ht="42" customHeight="1">
      <c r="A8643" s="2" t="s">
        <v>17141</v>
      </c>
      <c r="B8643" s="2" t="s">
        <v>17141</v>
      </c>
      <c r="C8643" s="2" t="s">
        <v>79</v>
      </c>
      <c r="D8643" s="2" t="s">
        <v>74</v>
      </c>
      <c r="E8643" s="5">
        <v>-27874</v>
      </c>
      <c r="F8643" s="3" t="s">
        <v>122</v>
      </c>
      <c r="G8643" s="3" t="s">
        <v>6533</v>
      </c>
      <c r="H8643" s="2" t="s">
        <v>21</v>
      </c>
      <c r="I8643" s="2" t="s">
        <v>17143</v>
      </c>
      <c r="J8643" s="3" t="str">
        <f>HYPERLINK("https://www.boe.es/gazeta/dias/1823/09/06/pdfs/GMD-1823-713.pdf#page=4","Abrir facsímil")</f>
        <v>Abrir facsímil</v>
      </c>
      <c r="K8643" s="3" t="s">
        <v>23</v>
      </c>
    </row>
    <row r="8644" spans="1:11" ht="42" customHeight="1">
      <c r="A8644" s="2" t="s">
        <v>17144</v>
      </c>
      <c r="B8644" s="2" t="s">
        <v>17144</v>
      </c>
      <c r="C8644" s="2" t="s">
        <v>325</v>
      </c>
      <c r="D8644" s="2" t="s">
        <v>74</v>
      </c>
      <c r="E8644" s="5">
        <v>-28115</v>
      </c>
      <c r="F8644" s="3" t="s">
        <v>579</v>
      </c>
      <c r="G8644" s="3" t="s">
        <v>27</v>
      </c>
      <c r="H8644" s="2" t="s">
        <v>21</v>
      </c>
      <c r="I8644" s="2" t="s">
        <v>17145</v>
      </c>
      <c r="J8644" s="3" t="str">
        <f>HYPERLINK("https://www.boe.es/gazeta/dias/1823/01/08/pdfs/GMD-1823-8.pdf#page=2","Abrir facsímil")</f>
        <v>Abrir facsímil</v>
      </c>
      <c r="K8644" s="3" t="s">
        <v>23</v>
      </c>
    </row>
    <row r="8645" spans="1:11" ht="42" customHeight="1">
      <c r="A8645" s="2" t="s">
        <v>17144</v>
      </c>
      <c r="B8645" s="2" t="s">
        <v>17144</v>
      </c>
      <c r="C8645" s="2" t="s">
        <v>56</v>
      </c>
      <c r="D8645" s="2" t="s">
        <v>57</v>
      </c>
      <c r="E8645" s="5">
        <v>-28061</v>
      </c>
      <c r="F8645" s="3" t="s">
        <v>704</v>
      </c>
      <c r="G8645" s="3" t="s">
        <v>27</v>
      </c>
      <c r="H8645" s="2" t="s">
        <v>21</v>
      </c>
      <c r="I8645" s="2" t="s">
        <v>17146</v>
      </c>
      <c r="J8645" s="3" t="str">
        <f>HYPERLINK("https://www.boe.es/gazeta/dias/1823/03/03/pdfs/GMD-1823-66.pdf#page=2","Abrir facsímil")</f>
        <v>Abrir facsímil</v>
      </c>
      <c r="K8645" s="3" t="s">
        <v>23</v>
      </c>
    </row>
    <row r="8646" spans="1:11" ht="42" customHeight="1">
      <c r="A8646" s="2" t="s">
        <v>17144</v>
      </c>
      <c r="B8646" s="2" t="s">
        <v>17144</v>
      </c>
      <c r="C8646" s="2" t="s">
        <v>56</v>
      </c>
      <c r="D8646" s="2" t="s">
        <v>57</v>
      </c>
      <c r="E8646" s="5">
        <v>-27950</v>
      </c>
      <c r="F8646" s="3" t="s">
        <v>4513</v>
      </c>
      <c r="G8646" s="3" t="s">
        <v>27</v>
      </c>
      <c r="H8646" s="2" t="s">
        <v>21</v>
      </c>
      <c r="I8646" s="2" t="s">
        <v>17147</v>
      </c>
      <c r="J8646" s="3" t="str">
        <f>HYPERLINK("https://www.boe.es/gazeta/dias/1823/06/22/pdfs/GES-1823-70.pdf#page=2","Abrir facsímil")</f>
        <v>Abrir facsímil</v>
      </c>
      <c r="K8646" s="3" t="s">
        <v>23</v>
      </c>
    </row>
    <row r="8647" spans="1:11" ht="42" customHeight="1">
      <c r="A8647" s="2" t="s">
        <v>17144</v>
      </c>
      <c r="B8647" s="2" t="s">
        <v>17144</v>
      </c>
      <c r="C8647" s="2" t="s">
        <v>17</v>
      </c>
      <c r="D8647" s="2" t="s">
        <v>18</v>
      </c>
      <c r="E8647" s="5">
        <v>-27948</v>
      </c>
      <c r="F8647" s="3" t="s">
        <v>959</v>
      </c>
      <c r="G8647" s="3" t="s">
        <v>48</v>
      </c>
      <c r="H8647" s="2" t="s">
        <v>21</v>
      </c>
      <c r="I8647" s="2" t="s">
        <v>17148</v>
      </c>
      <c r="J8647" s="3" t="str">
        <f>HYPERLINK("https://www.boe.es/gazeta/dias/1823/06/24/pdfs/GES-1823-72.pdf#page=3","Abrir facsímil")</f>
        <v>Abrir facsímil</v>
      </c>
      <c r="K8647" s="3" t="s">
        <v>23</v>
      </c>
    </row>
    <row r="8648" spans="1:11" ht="42" customHeight="1">
      <c r="A8648" s="2" t="s">
        <v>17144</v>
      </c>
      <c r="B8648" s="2" t="s">
        <v>17144</v>
      </c>
      <c r="C8648" s="2" t="s">
        <v>79</v>
      </c>
      <c r="D8648" s="2" t="s">
        <v>74</v>
      </c>
      <c r="E8648" s="5">
        <v>-27947</v>
      </c>
      <c r="F8648" s="3" t="s">
        <v>2144</v>
      </c>
      <c r="G8648" s="3" t="s">
        <v>48</v>
      </c>
      <c r="H8648" s="2" t="s">
        <v>21</v>
      </c>
      <c r="I8648" s="2" t="s">
        <v>17149</v>
      </c>
      <c r="J8648" s="3" t="str">
        <f>HYPERLINK("https://www.boe.es/gazeta/dias/1823/06/25/pdfs/GES-1823-75.pdf#page=3","Abrir facsímil")</f>
        <v>Abrir facsímil</v>
      </c>
      <c r="K8648" s="3" t="s">
        <v>23</v>
      </c>
    </row>
    <row r="8649" spans="1:11" ht="42" customHeight="1">
      <c r="A8649" s="2" t="s">
        <v>17144</v>
      </c>
      <c r="B8649" s="2" t="s">
        <v>17144</v>
      </c>
      <c r="C8649" s="2" t="s">
        <v>56</v>
      </c>
      <c r="D8649" s="2" t="s">
        <v>57</v>
      </c>
      <c r="E8649" s="5">
        <v>-27941</v>
      </c>
      <c r="F8649" s="3" t="s">
        <v>527</v>
      </c>
      <c r="G8649" s="3" t="s">
        <v>20</v>
      </c>
      <c r="H8649" s="2" t="s">
        <v>21</v>
      </c>
      <c r="I8649" s="2" t="s">
        <v>17150</v>
      </c>
      <c r="J8649" s="3" t="str">
        <f>HYPERLINK("https://www.boe.es/gazeta/dias/1823/07/01/pdfs/GES-1823-81.pdf#page=4","Abrir facsímil")</f>
        <v>Abrir facsímil</v>
      </c>
      <c r="K8649" s="3" t="s">
        <v>23</v>
      </c>
    </row>
    <row r="8650" spans="1:11" ht="42" customHeight="1">
      <c r="A8650" s="2" t="s">
        <v>17144</v>
      </c>
      <c r="B8650" s="2" t="s">
        <v>17144</v>
      </c>
      <c r="C8650" s="2" t="s">
        <v>109</v>
      </c>
      <c r="D8650" s="2" t="s">
        <v>74</v>
      </c>
      <c r="E8650" s="5">
        <v>-27936</v>
      </c>
      <c r="F8650" s="3" t="s">
        <v>4620</v>
      </c>
      <c r="G8650" s="3" t="s">
        <v>4621</v>
      </c>
      <c r="H8650" s="2" t="s">
        <v>21</v>
      </c>
      <c r="I8650" s="2" t="s">
        <v>17151</v>
      </c>
      <c r="J8650" s="3" t="str">
        <f>HYPERLINK("https://www.boe.es/gazeta/dias/1823/07/06/pdfs/GES-1823-86.pdf#page=3","Abrir facsímil")</f>
        <v>Abrir facsímil</v>
      </c>
      <c r="K8650" s="3" t="s">
        <v>23</v>
      </c>
    </row>
    <row r="8651" spans="1:11" ht="42" customHeight="1">
      <c r="A8651" s="2" t="s">
        <v>17144</v>
      </c>
      <c r="B8651" s="2" t="s">
        <v>17144</v>
      </c>
      <c r="C8651" s="2" t="s">
        <v>84</v>
      </c>
      <c r="D8651" s="2" t="s">
        <v>74</v>
      </c>
      <c r="E8651" s="5">
        <v>-27933</v>
      </c>
      <c r="F8651" s="3" t="s">
        <v>1079</v>
      </c>
      <c r="G8651" s="3" t="s">
        <v>39</v>
      </c>
      <c r="H8651" s="2" t="s">
        <v>21</v>
      </c>
      <c r="I8651" s="2" t="s">
        <v>17152</v>
      </c>
      <c r="J8651" s="3" t="str">
        <f>HYPERLINK("https://www.boe.es/gazeta/dias/1823/07/09/pdfs/GES-1823-89.pdf#page=1","Abrir facsímil")</f>
        <v>Abrir facsímil</v>
      </c>
      <c r="K8651" s="3" t="s">
        <v>23</v>
      </c>
    </row>
    <row r="8652" spans="1:11" ht="42" customHeight="1">
      <c r="A8652" s="2" t="s">
        <v>17144</v>
      </c>
      <c r="B8652" s="2" t="s">
        <v>17144</v>
      </c>
      <c r="C8652" s="2" t="s">
        <v>17</v>
      </c>
      <c r="D8652" s="2" t="s">
        <v>18</v>
      </c>
      <c r="E8652" s="5">
        <v>-27930</v>
      </c>
      <c r="F8652" s="3" t="s">
        <v>2334</v>
      </c>
      <c r="G8652" s="3" t="s">
        <v>48</v>
      </c>
      <c r="H8652" s="2" t="s">
        <v>21</v>
      </c>
      <c r="I8652" s="2" t="s">
        <v>17153</v>
      </c>
      <c r="J8652" s="3" t="str">
        <f>HYPERLINK("https://www.boe.es/gazeta/dias/1823/07/12/pdfs/GES-1823-92.pdf#page=3","Abrir facsímil")</f>
        <v>Abrir facsímil</v>
      </c>
      <c r="K8652" s="3" t="s">
        <v>23</v>
      </c>
    </row>
    <row r="8653" spans="1:11" ht="42" customHeight="1">
      <c r="A8653" s="2" t="s">
        <v>17144</v>
      </c>
      <c r="B8653" s="2" t="s">
        <v>17144</v>
      </c>
      <c r="C8653" s="2" t="s">
        <v>79</v>
      </c>
      <c r="D8653" s="2" t="s">
        <v>74</v>
      </c>
      <c r="E8653" s="5">
        <v>-27928</v>
      </c>
      <c r="F8653" s="3" t="s">
        <v>1316</v>
      </c>
      <c r="G8653" s="3" t="s">
        <v>27</v>
      </c>
      <c r="H8653" s="2" t="s">
        <v>21</v>
      </c>
      <c r="I8653" s="2" t="s">
        <v>17154</v>
      </c>
      <c r="J8653" s="3" t="str">
        <f>HYPERLINK("https://www.boe.es/gazeta/dias/1823/07/14/pdfs/GES-1823-94.pdf#page=2","Abrir facsímil")</f>
        <v>Abrir facsímil</v>
      </c>
      <c r="K8653" s="3" t="s">
        <v>23</v>
      </c>
    </row>
    <row r="8654" spans="1:11" ht="42" customHeight="1">
      <c r="A8654" s="2" t="s">
        <v>17144</v>
      </c>
      <c r="B8654" s="2" t="s">
        <v>17144</v>
      </c>
      <c r="C8654" s="2" t="s">
        <v>56</v>
      </c>
      <c r="D8654" s="2" t="s">
        <v>57</v>
      </c>
      <c r="E8654" s="5">
        <v>-27927</v>
      </c>
      <c r="F8654" s="3" t="s">
        <v>1426</v>
      </c>
      <c r="G8654" s="3" t="s">
        <v>27</v>
      </c>
      <c r="H8654" s="2" t="s">
        <v>21</v>
      </c>
      <c r="I8654" s="2" t="s">
        <v>17155</v>
      </c>
      <c r="J8654" s="3" t="str">
        <f>HYPERLINK("https://www.boe.es/gazeta/dias/1823/07/15/pdfs/GES-1823-95.pdf#page=2","Abrir facsímil")</f>
        <v>Abrir facsímil</v>
      </c>
      <c r="K8654" s="3" t="s">
        <v>23</v>
      </c>
    </row>
    <row r="8655" spans="1:11" ht="42" customHeight="1">
      <c r="A8655" s="2" t="s">
        <v>17144</v>
      </c>
      <c r="B8655" s="2" t="s">
        <v>17144</v>
      </c>
      <c r="C8655" s="2" t="s">
        <v>17</v>
      </c>
      <c r="D8655" s="2" t="s">
        <v>18</v>
      </c>
      <c r="E8655" s="5">
        <v>-27926</v>
      </c>
      <c r="F8655" s="3" t="s">
        <v>2158</v>
      </c>
      <c r="G8655" s="3" t="s">
        <v>2159</v>
      </c>
      <c r="H8655" s="2" t="s">
        <v>21</v>
      </c>
      <c r="I8655" s="2" t="s">
        <v>17156</v>
      </c>
      <c r="J8655" s="3" t="str">
        <f>HYPERLINK("https://www.boe.es/gazeta/dias/1823/07/16/pdfs/GES-1823-96.pdf#page=2","Abrir facsímil")</f>
        <v>Abrir facsímil</v>
      </c>
      <c r="K8655" s="3" t="s">
        <v>23</v>
      </c>
    </row>
    <row r="8656" spans="1:11" ht="42" customHeight="1">
      <c r="A8656" s="2" t="s">
        <v>17144</v>
      </c>
      <c r="B8656" s="2" t="s">
        <v>17144</v>
      </c>
      <c r="C8656" s="2" t="s">
        <v>109</v>
      </c>
      <c r="D8656" s="2" t="s">
        <v>74</v>
      </c>
      <c r="E8656" s="5">
        <v>-27925</v>
      </c>
      <c r="F8656" s="3" t="s">
        <v>89</v>
      </c>
      <c r="G8656" s="3" t="s">
        <v>27</v>
      </c>
      <c r="H8656" s="2" t="s">
        <v>21</v>
      </c>
      <c r="I8656" s="2" t="s">
        <v>17157</v>
      </c>
      <c r="J8656" s="3" t="str">
        <f>HYPERLINK("https://www.boe.es/gazeta/dias/1823/07/17/pdfs/GES-1823-97.pdf#page=2","Abrir facsímil")</f>
        <v>Abrir facsímil</v>
      </c>
      <c r="K8656" s="3" t="s">
        <v>23</v>
      </c>
    </row>
    <row r="8657" spans="1:11" ht="42" customHeight="1">
      <c r="A8657" s="2" t="s">
        <v>17144</v>
      </c>
      <c r="B8657" s="2" t="s">
        <v>17144</v>
      </c>
      <c r="C8657" s="2" t="s">
        <v>56</v>
      </c>
      <c r="D8657" s="2" t="s">
        <v>57</v>
      </c>
      <c r="E8657" s="5">
        <v>-27923</v>
      </c>
      <c r="F8657" s="3" t="s">
        <v>354</v>
      </c>
      <c r="G8657" s="3" t="s">
        <v>27</v>
      </c>
      <c r="H8657" s="2" t="s">
        <v>21</v>
      </c>
      <c r="I8657" s="2" t="s">
        <v>17158</v>
      </c>
      <c r="J8657" s="3" t="str">
        <f>HYPERLINK("https://www.boe.es/gazeta/dias/1823/07/19/pdfs/GES-1823-100.pdf#page=2","Abrir facsímil")</f>
        <v>Abrir facsímil</v>
      </c>
      <c r="K8657" s="3" t="s">
        <v>23</v>
      </c>
    </row>
    <row r="8658" spans="1:11" ht="42" customHeight="1">
      <c r="A8658" s="2" t="s">
        <v>17144</v>
      </c>
      <c r="B8658" s="2" t="s">
        <v>17144</v>
      </c>
      <c r="C8658" s="2" t="s">
        <v>79</v>
      </c>
      <c r="D8658" s="2" t="s">
        <v>74</v>
      </c>
      <c r="E8658" s="5">
        <v>-27920</v>
      </c>
      <c r="F8658" s="3" t="s">
        <v>358</v>
      </c>
      <c r="G8658" s="3" t="s">
        <v>27</v>
      </c>
      <c r="H8658" s="2" t="s">
        <v>21</v>
      </c>
      <c r="I8658" s="2" t="s">
        <v>17159</v>
      </c>
      <c r="J8658" s="3" t="str">
        <f>HYPERLINK("https://www.boe.es/gazeta/dias/1823/07/22/pdfs/GES-1823-103.pdf#page=2","Abrir facsímil")</f>
        <v>Abrir facsímil</v>
      </c>
      <c r="K8658" s="3" t="s">
        <v>23</v>
      </c>
    </row>
    <row r="8659" spans="1:11" ht="42" customHeight="1">
      <c r="A8659" s="2" t="s">
        <v>17144</v>
      </c>
      <c r="B8659" s="2" t="s">
        <v>17144</v>
      </c>
      <c r="C8659" s="2" t="s">
        <v>17</v>
      </c>
      <c r="D8659" s="2" t="s">
        <v>18</v>
      </c>
      <c r="E8659" s="5">
        <v>-27920</v>
      </c>
      <c r="F8659" s="3" t="s">
        <v>358</v>
      </c>
      <c r="G8659" s="3" t="s">
        <v>48</v>
      </c>
      <c r="H8659" s="2" t="s">
        <v>21</v>
      </c>
      <c r="I8659" s="2" t="s">
        <v>17160</v>
      </c>
      <c r="J8659" s="3" t="str">
        <f>HYPERLINK("https://www.boe.es/gazeta/dias/1823/07/22/pdfs/GES-1823-103.pdf#page=3","Abrir facsímil")</f>
        <v>Abrir facsímil</v>
      </c>
      <c r="K8659" s="3" t="s">
        <v>23</v>
      </c>
    </row>
    <row r="8660" spans="1:11" ht="42" customHeight="1">
      <c r="A8660" s="2" t="s">
        <v>17144</v>
      </c>
      <c r="B8660" s="2" t="s">
        <v>17144</v>
      </c>
      <c r="C8660" s="2" t="s">
        <v>56</v>
      </c>
      <c r="D8660" s="2" t="s">
        <v>57</v>
      </c>
      <c r="E8660" s="5">
        <v>-27911</v>
      </c>
      <c r="F8660" s="3" t="s">
        <v>1393</v>
      </c>
      <c r="G8660" s="3" t="s">
        <v>27</v>
      </c>
      <c r="H8660" s="2" t="s">
        <v>21</v>
      </c>
      <c r="I8660" s="2" t="s">
        <v>17161</v>
      </c>
      <c r="J8660" s="3" t="str">
        <f>HYPERLINK("https://www.boe.es/gazeta/dias/1823/07/31/pdfs/GMD-1823-503.pdf#page=2","Abrir facsímil")</f>
        <v>Abrir facsímil</v>
      </c>
      <c r="K8660" s="3" t="s">
        <v>23</v>
      </c>
    </row>
    <row r="8661" spans="1:11" ht="42" customHeight="1">
      <c r="A8661" s="2" t="s">
        <v>17144</v>
      </c>
      <c r="B8661" s="2" t="s">
        <v>17144</v>
      </c>
      <c r="C8661" s="2" t="s">
        <v>56</v>
      </c>
      <c r="D8661" s="2" t="s">
        <v>57</v>
      </c>
      <c r="E8661" s="5">
        <v>-27910</v>
      </c>
      <c r="F8661" s="3" t="s">
        <v>38</v>
      </c>
      <c r="G8661" s="3" t="s">
        <v>20</v>
      </c>
      <c r="H8661" s="2" t="s">
        <v>21</v>
      </c>
      <c r="I8661" s="2" t="s">
        <v>17162</v>
      </c>
      <c r="J8661" s="3" t="str">
        <f>HYPERLINK("https://www.boe.es/gazeta/dias/1823/08/01/pdfs/GES-1823-113.pdf#page=4","Abrir facsímil")</f>
        <v>Abrir facsímil</v>
      </c>
      <c r="K8661" s="3" t="s">
        <v>23</v>
      </c>
    </row>
    <row r="8662" spans="1:11" ht="42" customHeight="1">
      <c r="A8662" s="2" t="s">
        <v>17144</v>
      </c>
      <c r="B8662" s="2" t="s">
        <v>17144</v>
      </c>
      <c r="C8662" s="2" t="s">
        <v>109</v>
      </c>
      <c r="D8662" s="2" t="s">
        <v>74</v>
      </c>
      <c r="E8662" s="5">
        <v>-27873</v>
      </c>
      <c r="F8662" s="3" t="s">
        <v>160</v>
      </c>
      <c r="G8662" s="3" t="s">
        <v>27</v>
      </c>
      <c r="H8662" s="2" t="s">
        <v>21</v>
      </c>
      <c r="I8662" s="2" t="s">
        <v>17163</v>
      </c>
      <c r="J8662" s="3" t="str">
        <f>HYPERLINK("https://www.boe.es/gazeta/dias/1823/09/07/pdfs/GES-1823-151.pdf#page=2","Abrir facsímil")</f>
        <v>Abrir facsímil</v>
      </c>
      <c r="K8662" s="3" t="s">
        <v>23</v>
      </c>
    </row>
    <row r="8663" spans="1:11" ht="42" customHeight="1">
      <c r="A8663" s="2" t="s">
        <v>17144</v>
      </c>
      <c r="B8663" s="2" t="s">
        <v>17144</v>
      </c>
      <c r="C8663" s="2" t="s">
        <v>109</v>
      </c>
      <c r="D8663" s="2" t="s">
        <v>74</v>
      </c>
      <c r="E8663" s="5">
        <v>-27869</v>
      </c>
      <c r="F8663" s="3" t="s">
        <v>1886</v>
      </c>
      <c r="G8663" s="3" t="s">
        <v>27</v>
      </c>
      <c r="H8663" s="2" t="s">
        <v>21</v>
      </c>
      <c r="I8663" s="2" t="s">
        <v>17164</v>
      </c>
      <c r="J8663" s="3" t="str">
        <f>HYPERLINK("https://www.boe.es/gazeta/dias/1823/09/11/pdfs/GES-1823-155.pdf#page=2","Abrir facsímil")</f>
        <v>Abrir facsímil</v>
      </c>
      <c r="K8663" s="3" t="s">
        <v>23</v>
      </c>
    </row>
    <row r="8664" spans="1:11" ht="42" customHeight="1">
      <c r="A8664" s="2" t="s">
        <v>17144</v>
      </c>
      <c r="B8664" s="2" t="s">
        <v>17144</v>
      </c>
      <c r="C8664" s="2" t="s">
        <v>109</v>
      </c>
      <c r="D8664" s="2" t="s">
        <v>74</v>
      </c>
      <c r="E8664" s="5">
        <v>-27868</v>
      </c>
      <c r="F8664" s="3" t="s">
        <v>2166</v>
      </c>
      <c r="G8664" s="3" t="s">
        <v>27</v>
      </c>
      <c r="H8664" s="2" t="s">
        <v>21</v>
      </c>
      <c r="I8664" s="2" t="s">
        <v>17165</v>
      </c>
      <c r="J8664" s="3" t="str">
        <f>HYPERLINK("https://www.boe.es/gazeta/dias/1823/09/12/pdfs/GES-1823-156.pdf#page=2","Abrir facsímil")</f>
        <v>Abrir facsímil</v>
      </c>
      <c r="K8664" s="3" t="s">
        <v>23</v>
      </c>
    </row>
    <row r="8665" spans="1:11" ht="42" customHeight="1">
      <c r="A8665" s="2" t="s">
        <v>17144</v>
      </c>
      <c r="B8665" s="2" t="s">
        <v>17144</v>
      </c>
      <c r="C8665" s="2" t="s">
        <v>17</v>
      </c>
      <c r="D8665" s="2" t="s">
        <v>18</v>
      </c>
      <c r="E8665" s="5">
        <v>-27868</v>
      </c>
      <c r="F8665" s="3" t="s">
        <v>2166</v>
      </c>
      <c r="G8665" s="3" t="s">
        <v>48</v>
      </c>
      <c r="H8665" s="2" t="s">
        <v>21</v>
      </c>
      <c r="I8665" s="2" t="s">
        <v>17166</v>
      </c>
      <c r="J8665" s="3" t="str">
        <f>HYPERLINK("https://www.boe.es/gazeta/dias/1823/09/12/pdfs/GES-1823-156.pdf#page=3","Abrir facsímil")</f>
        <v>Abrir facsímil</v>
      </c>
      <c r="K8665" s="3" t="s">
        <v>23</v>
      </c>
    </row>
    <row r="8666" spans="1:11" ht="42" customHeight="1">
      <c r="A8666" s="2" t="s">
        <v>17144</v>
      </c>
      <c r="B8666" s="2" t="s">
        <v>17144</v>
      </c>
      <c r="C8666" s="2" t="s">
        <v>56</v>
      </c>
      <c r="D8666" s="2" t="s">
        <v>57</v>
      </c>
      <c r="E8666" s="5">
        <v>-27846</v>
      </c>
      <c r="F8666" s="3" t="s">
        <v>2535</v>
      </c>
      <c r="G8666" s="3" t="s">
        <v>27</v>
      </c>
      <c r="H8666" s="2" t="s">
        <v>21</v>
      </c>
      <c r="I8666" s="2" t="s">
        <v>17167</v>
      </c>
      <c r="J8666" s="3" t="str">
        <f>HYPERLINK("https://www.boe.es/gazeta/dias/1823/10/04/pdfs/GMD-1823-913.pdf#page=2","Abrir facsímil")</f>
        <v>Abrir facsímil</v>
      </c>
      <c r="K8666" s="3" t="s">
        <v>23</v>
      </c>
    </row>
    <row r="8667" spans="1:11" ht="42" customHeight="1">
      <c r="A8667" s="2" t="s">
        <v>17168</v>
      </c>
      <c r="B8667" s="2" t="s">
        <v>17168</v>
      </c>
      <c r="C8667" s="2" t="s">
        <v>56</v>
      </c>
      <c r="D8667" s="2" t="s">
        <v>57</v>
      </c>
      <c r="E8667" s="5">
        <v>-27944</v>
      </c>
      <c r="F8667" s="3" t="s">
        <v>2823</v>
      </c>
      <c r="G8667" s="3" t="s">
        <v>48</v>
      </c>
      <c r="H8667" s="2" t="s">
        <v>21</v>
      </c>
      <c r="I8667" s="2" t="s">
        <v>17169</v>
      </c>
      <c r="J8667" s="3" t="str">
        <f>HYPERLINK("https://www.boe.es/gazeta/dias/1823/06/28/pdfs/GES-1823-78.pdf#page=3","Abrir facsímil")</f>
        <v>Abrir facsímil</v>
      </c>
      <c r="K8667" s="3" t="s">
        <v>23</v>
      </c>
    </row>
    <row r="8668" spans="1:11" ht="42" customHeight="1">
      <c r="A8668" s="2" t="s">
        <v>17170</v>
      </c>
      <c r="B8668" s="2" t="s">
        <v>17170</v>
      </c>
      <c r="C8668" s="2" t="s">
        <v>17</v>
      </c>
      <c r="D8668" s="2" t="s">
        <v>18</v>
      </c>
      <c r="E8668" s="5">
        <v>-28110</v>
      </c>
      <c r="F8668" s="3" t="s">
        <v>249</v>
      </c>
      <c r="G8668" s="3" t="s">
        <v>39</v>
      </c>
      <c r="H8668" s="2" t="s">
        <v>21</v>
      </c>
      <c r="I8668" s="2" t="s">
        <v>17171</v>
      </c>
      <c r="J8668" s="3" t="str">
        <f>HYPERLINK("https://www.boe.es/gazeta/dias/1823/01/13/pdfs/GMD-1823-13.pdf#page=1","Abrir facsímil")</f>
        <v>Abrir facsímil</v>
      </c>
      <c r="K8668" s="3" t="s">
        <v>23</v>
      </c>
    </row>
    <row r="8669" spans="1:11" ht="42" customHeight="1">
      <c r="A8669" s="2" t="s">
        <v>17172</v>
      </c>
      <c r="B8669" s="2" t="s">
        <v>17173</v>
      </c>
      <c r="C8669" s="2" t="s">
        <v>17</v>
      </c>
      <c r="D8669" s="2" t="s">
        <v>18</v>
      </c>
      <c r="E8669" s="5">
        <v>-28008</v>
      </c>
      <c r="F8669" s="3" t="s">
        <v>309</v>
      </c>
      <c r="G8669" s="3" t="s">
        <v>20</v>
      </c>
      <c r="H8669" s="2" t="s">
        <v>21</v>
      </c>
      <c r="I8669" s="2" t="s">
        <v>17174</v>
      </c>
      <c r="J8669" s="3" t="str">
        <f>HYPERLINK("https://www.boe.es/gazeta/dias/1823/04/25/pdfs/GES-1823-15.pdf#page=4","Abrir facsímil")</f>
        <v>Abrir facsímil</v>
      </c>
      <c r="K8669" s="3" t="s">
        <v>23</v>
      </c>
    </row>
    <row r="8670" spans="1:11" ht="42" customHeight="1">
      <c r="A8670" s="2" t="s">
        <v>17175</v>
      </c>
      <c r="B8670" s="2" t="s">
        <v>17176</v>
      </c>
      <c r="C8670" s="2" t="s">
        <v>17</v>
      </c>
      <c r="D8670" s="2" t="s">
        <v>18</v>
      </c>
      <c r="E8670" s="5">
        <v>-27991</v>
      </c>
      <c r="F8670" s="3" t="s">
        <v>328</v>
      </c>
      <c r="G8670" s="3" t="s">
        <v>27</v>
      </c>
      <c r="H8670" s="2" t="s">
        <v>21</v>
      </c>
      <c r="I8670" s="2" t="s">
        <v>17177</v>
      </c>
      <c r="J8670" s="3" t="str">
        <f>HYPERLINK("https://www.boe.es/gazeta/dias/1823/05/12/pdfs/GES-1823-32.pdf#page=2","Abrir facsímil")</f>
        <v>Abrir facsímil</v>
      </c>
      <c r="K8670" s="3" t="s">
        <v>23</v>
      </c>
    </row>
    <row r="8671" spans="1:11" ht="42" customHeight="1">
      <c r="A8671" s="2" t="s">
        <v>17178</v>
      </c>
      <c r="B8671" s="2" t="s">
        <v>17179</v>
      </c>
      <c r="C8671" s="2" t="s">
        <v>17</v>
      </c>
      <c r="D8671" s="2" t="s">
        <v>18</v>
      </c>
      <c r="E8671" s="5">
        <v>-27853</v>
      </c>
      <c r="F8671" s="3" t="s">
        <v>2626</v>
      </c>
      <c r="G8671" s="3" t="s">
        <v>20</v>
      </c>
      <c r="H8671" s="2" t="s">
        <v>21</v>
      </c>
      <c r="I8671" s="2" t="s">
        <v>17180</v>
      </c>
      <c r="J8671" s="3" t="str">
        <f>HYPERLINK("https://www.boe.es/gazeta/dias/1823/09/27/pdfs/GES-1823-171.pdf#page=4","Abrir facsímil")</f>
        <v>Abrir facsímil</v>
      </c>
      <c r="K8671" s="3" t="s">
        <v>23</v>
      </c>
    </row>
    <row r="8672" spans="1:11" ht="42" customHeight="1">
      <c r="A8672" s="2" t="s">
        <v>17181</v>
      </c>
      <c r="B8672" s="2" t="s">
        <v>17182</v>
      </c>
      <c r="C8672" s="2" t="s">
        <v>17</v>
      </c>
      <c r="D8672" s="2" t="s">
        <v>18</v>
      </c>
      <c r="E8672" s="5">
        <v>-27939</v>
      </c>
      <c r="F8672" s="3" t="s">
        <v>1403</v>
      </c>
      <c r="G8672" s="3" t="s">
        <v>715</v>
      </c>
      <c r="H8672" s="2" t="s">
        <v>21</v>
      </c>
      <c r="I8672" s="2" t="s">
        <v>17183</v>
      </c>
      <c r="J8672" s="3" t="str">
        <f>HYPERLINK("https://www.boe.es/gazeta/dias/1823/07/03/pdfs/GMD-1823-333.pdf#page=8","Abrir facsímil")</f>
        <v>Abrir facsímil</v>
      </c>
      <c r="K8672" s="3" t="s">
        <v>23</v>
      </c>
    </row>
    <row r="8673" spans="1:11" ht="42" customHeight="1">
      <c r="A8673" s="2" t="s">
        <v>17184</v>
      </c>
      <c r="B8673" s="2" t="s">
        <v>17184</v>
      </c>
      <c r="C8673" s="2" t="s">
        <v>17</v>
      </c>
      <c r="D8673" s="2" t="s">
        <v>18</v>
      </c>
      <c r="E8673" s="5">
        <v>-27970</v>
      </c>
      <c r="F8673" s="3" t="s">
        <v>1030</v>
      </c>
      <c r="G8673" s="3" t="s">
        <v>20</v>
      </c>
      <c r="H8673" s="2" t="s">
        <v>21</v>
      </c>
      <c r="I8673" s="2" t="s">
        <v>17185</v>
      </c>
      <c r="J8673" s="3" t="str">
        <f>HYPERLINK("https://www.boe.es/gazeta/dias/1823/06/02/pdfs/GES-1823-56.pdf#page=4","Abrir facsímil")</f>
        <v>Abrir facsímil</v>
      </c>
      <c r="K8673" s="3" t="s">
        <v>23</v>
      </c>
    </row>
    <row r="8674" spans="1:11" ht="42" customHeight="1">
      <c r="A8674" s="2" t="s">
        <v>17186</v>
      </c>
      <c r="B8674" s="2" t="s">
        <v>17186</v>
      </c>
      <c r="C8674" s="2" t="s">
        <v>17</v>
      </c>
      <c r="D8674" s="2" t="s">
        <v>18</v>
      </c>
      <c r="E8674" s="5">
        <v>-27955</v>
      </c>
      <c r="F8674" s="3" t="s">
        <v>3015</v>
      </c>
      <c r="G8674" s="3" t="s">
        <v>34</v>
      </c>
      <c r="H8674" s="2" t="s">
        <v>21</v>
      </c>
      <c r="I8674" s="2" t="s">
        <v>17187</v>
      </c>
      <c r="J8674" s="3" t="str">
        <f>HYPERLINK("https://www.boe.es/gazeta/dias/1823/06/17/pdfs/GMD-1823-183.pdf#page=5","Abrir facsímil")</f>
        <v>Abrir facsímil</v>
      </c>
      <c r="K8674" s="3" t="s">
        <v>23</v>
      </c>
    </row>
    <row r="8675" spans="1:11" ht="42" customHeight="1">
      <c r="A8675" s="2" t="s">
        <v>17188</v>
      </c>
      <c r="B8675" s="2" t="s">
        <v>17189</v>
      </c>
      <c r="C8675" s="2" t="s">
        <v>17</v>
      </c>
      <c r="D8675" s="2" t="s">
        <v>18</v>
      </c>
      <c r="E8675" s="5">
        <v>-27792</v>
      </c>
      <c r="F8675" s="3" t="s">
        <v>611</v>
      </c>
      <c r="G8675" s="3" t="s">
        <v>48</v>
      </c>
      <c r="H8675" s="2" t="s">
        <v>21</v>
      </c>
      <c r="I8675" s="2" t="s">
        <v>17190</v>
      </c>
      <c r="J8675" s="3" t="str">
        <f>HYPERLINK("https://www.boe.es/gazeta/dias/1823/11/27/pdfs/GMD-1823-1173.pdf#page=3","Abrir facsímil")</f>
        <v>Abrir facsímil</v>
      </c>
      <c r="K8675" s="3" t="s">
        <v>23</v>
      </c>
    </row>
    <row r="8676" spans="1:11" ht="42" customHeight="1">
      <c r="A8676" s="2" t="s">
        <v>17191</v>
      </c>
      <c r="B8676" s="2" t="s">
        <v>17191</v>
      </c>
      <c r="C8676" s="2" t="s">
        <v>79</v>
      </c>
      <c r="D8676" s="2" t="s">
        <v>74</v>
      </c>
      <c r="E8676" s="5">
        <v>-27865</v>
      </c>
      <c r="F8676" s="3" t="s">
        <v>9815</v>
      </c>
      <c r="G8676" s="3" t="s">
        <v>39</v>
      </c>
      <c r="H8676" s="2" t="s">
        <v>21</v>
      </c>
      <c r="I8676" s="2" t="s">
        <v>17192</v>
      </c>
      <c r="J8676" s="3" t="str">
        <f>HYPERLINK("https://www.boe.es/gazeta/dias/1823/09/15/pdfs/GES-1823-159.pdf#page=1","Abrir facsímil")</f>
        <v>Abrir facsímil</v>
      </c>
      <c r="K8676" s="3" t="s">
        <v>23</v>
      </c>
    </row>
    <row r="8677" spans="1:11" ht="42" customHeight="1">
      <c r="A8677" s="2" t="s">
        <v>17193</v>
      </c>
      <c r="B8677" s="2" t="s">
        <v>17194</v>
      </c>
      <c r="C8677" s="2" t="s">
        <v>79</v>
      </c>
      <c r="D8677" s="2" t="s">
        <v>74</v>
      </c>
      <c r="E8677" s="5">
        <v>-28014</v>
      </c>
      <c r="F8677" s="3" t="s">
        <v>2805</v>
      </c>
      <c r="G8677" s="3" t="s">
        <v>20</v>
      </c>
      <c r="H8677" s="2" t="s">
        <v>21</v>
      </c>
      <c r="I8677" s="2" t="s">
        <v>17195</v>
      </c>
      <c r="J8677" s="3" t="str">
        <f>HYPERLINK("https://www.boe.es/gazeta/dias/1823/04/19/pdfs/GES-1823-9.pdf#page=4","Abrir facsímil")</f>
        <v>Abrir facsímil</v>
      </c>
      <c r="K8677" s="3" t="s">
        <v>23</v>
      </c>
    </row>
    <row r="8678" spans="1:11" ht="42" customHeight="1">
      <c r="A8678" s="2" t="s">
        <v>17196</v>
      </c>
      <c r="B8678" s="2" t="s">
        <v>17197</v>
      </c>
      <c r="C8678" s="2" t="s">
        <v>17</v>
      </c>
      <c r="D8678" s="2" t="s">
        <v>18</v>
      </c>
      <c r="E8678" s="5">
        <v>-28107</v>
      </c>
      <c r="F8678" s="3" t="s">
        <v>278</v>
      </c>
      <c r="G8678" s="3" t="s">
        <v>2827</v>
      </c>
      <c r="H8678" s="2" t="s">
        <v>21</v>
      </c>
      <c r="I8678" s="2" t="s">
        <v>17198</v>
      </c>
      <c r="J8678" s="3" t="str">
        <f>HYPERLINK("https://www.boe.es/gazeta/dias/1823/01/16/pdfs/GMD-1823-16.pdf#page=6","Abrir facsímil")</f>
        <v>Abrir facsímil</v>
      </c>
      <c r="K8678" s="3" t="s">
        <v>23</v>
      </c>
    </row>
    <row r="8679" spans="1:11" ht="42" customHeight="1">
      <c r="A8679" s="2" t="s">
        <v>17199</v>
      </c>
      <c r="B8679" s="2" t="s">
        <v>17199</v>
      </c>
      <c r="C8679" s="2" t="s">
        <v>17</v>
      </c>
      <c r="D8679" s="2" t="s">
        <v>18</v>
      </c>
      <c r="E8679" s="5">
        <v>-27950</v>
      </c>
      <c r="F8679" s="3" t="s">
        <v>4513</v>
      </c>
      <c r="G8679" s="3" t="s">
        <v>27</v>
      </c>
      <c r="H8679" s="2" t="s">
        <v>21</v>
      </c>
      <c r="I8679" s="2" t="s">
        <v>17200</v>
      </c>
      <c r="J8679" s="3" t="str">
        <f>HYPERLINK("https://www.boe.es/gazeta/dias/1823/06/22/pdfs/GES-1823-70.pdf#page=2","Abrir facsímil")</f>
        <v>Abrir facsímil</v>
      </c>
      <c r="K8679" s="3" t="s">
        <v>23</v>
      </c>
    </row>
    <row r="8680" spans="1:11" ht="42" customHeight="1">
      <c r="A8680" s="2" t="s">
        <v>17201</v>
      </c>
      <c r="B8680" s="2" t="s">
        <v>17201</v>
      </c>
      <c r="C8680" s="2" t="s">
        <v>17</v>
      </c>
      <c r="D8680" s="2" t="s">
        <v>18</v>
      </c>
      <c r="E8680" s="5">
        <v>-28121</v>
      </c>
      <c r="F8680" s="3" t="s">
        <v>575</v>
      </c>
      <c r="G8680" s="3" t="s">
        <v>39</v>
      </c>
      <c r="H8680" s="2" t="s">
        <v>21</v>
      </c>
      <c r="I8680" s="2" t="s">
        <v>17202</v>
      </c>
      <c r="J8680" s="3" t="str">
        <f>HYPERLINK("https://www.boe.es/gazeta/dias/1823/01/02/pdfs/GMD-1823-2.pdf#page=1","Abrir facsímil")</f>
        <v>Abrir facsímil</v>
      </c>
      <c r="K8680" s="3" t="s">
        <v>23</v>
      </c>
    </row>
    <row r="8681" spans="1:11" ht="42" customHeight="1">
      <c r="A8681" s="2" t="s">
        <v>17203</v>
      </c>
      <c r="B8681" s="2" t="s">
        <v>17203</v>
      </c>
      <c r="C8681" s="2" t="s">
        <v>56</v>
      </c>
      <c r="D8681" s="2" t="s">
        <v>57</v>
      </c>
      <c r="E8681" s="5">
        <v>-28031</v>
      </c>
      <c r="F8681" s="3" t="s">
        <v>1211</v>
      </c>
      <c r="G8681" s="3" t="s">
        <v>20</v>
      </c>
      <c r="H8681" s="2" t="s">
        <v>21</v>
      </c>
      <c r="I8681" s="2" t="s">
        <v>17204</v>
      </c>
      <c r="J8681" s="3" t="str">
        <f>HYPERLINK("https://www.boe.es/gazeta/dias/1823/04/02/pdfs/GMD-1823-96.pdf#page=4","Abrir facsímil")</f>
        <v>Abrir facsímil</v>
      </c>
      <c r="K8681" s="3" t="s">
        <v>23</v>
      </c>
    </row>
    <row r="8682" spans="1:11" ht="42" customHeight="1">
      <c r="A8682" s="2" t="s">
        <v>17205</v>
      </c>
      <c r="B8682" s="2" t="s">
        <v>17205</v>
      </c>
      <c r="C8682" s="2" t="s">
        <v>84</v>
      </c>
      <c r="D8682" s="2" t="s">
        <v>74</v>
      </c>
      <c r="E8682" s="5">
        <v>-28072</v>
      </c>
      <c r="F8682" s="3" t="s">
        <v>4439</v>
      </c>
      <c r="G8682" s="3" t="s">
        <v>20</v>
      </c>
      <c r="H8682" s="2" t="s">
        <v>21</v>
      </c>
      <c r="I8682" s="2" t="s">
        <v>17206</v>
      </c>
      <c r="J8682" s="3" t="str">
        <f>HYPERLINK("https://www.boe.es/gazeta/dias/1823/02/20/pdfs/GMD-1823-54.pdf#page=4","Abrir facsímil")</f>
        <v>Abrir facsímil</v>
      </c>
      <c r="K8682" s="3" t="s">
        <v>23</v>
      </c>
    </row>
    <row r="8683" spans="1:11" ht="42" customHeight="1">
      <c r="A8683" s="2" t="s">
        <v>17207</v>
      </c>
      <c r="B8683" s="2" t="s">
        <v>17207</v>
      </c>
      <c r="C8683" s="2" t="s">
        <v>17</v>
      </c>
      <c r="D8683" s="2" t="s">
        <v>18</v>
      </c>
      <c r="E8683" s="5">
        <v>-27904</v>
      </c>
      <c r="F8683" s="3" t="s">
        <v>1748</v>
      </c>
      <c r="G8683" s="3" t="s">
        <v>48</v>
      </c>
      <c r="H8683" s="2" t="s">
        <v>21</v>
      </c>
      <c r="I8683" s="2" t="s">
        <v>17208</v>
      </c>
      <c r="J8683" s="3" t="str">
        <f>HYPERLINK("https://www.boe.es/gazeta/dias/1823/08/07/pdfs/GES-1823-120.pdf#page=3","Abrir facsímil")</f>
        <v>Abrir facsímil</v>
      </c>
      <c r="K8683" s="3" t="s">
        <v>23</v>
      </c>
    </row>
    <row r="8684" spans="1:11" ht="42" customHeight="1">
      <c r="A8684" s="2" t="s">
        <v>17209</v>
      </c>
      <c r="B8684" s="2" t="s">
        <v>17210</v>
      </c>
      <c r="C8684" s="2" t="s">
        <v>17</v>
      </c>
      <c r="D8684" s="2" t="s">
        <v>18</v>
      </c>
      <c r="E8684" s="5">
        <v>-27910</v>
      </c>
      <c r="F8684" s="3" t="s">
        <v>38</v>
      </c>
      <c r="G8684" s="3" t="s">
        <v>39</v>
      </c>
      <c r="H8684" s="2" t="s">
        <v>21</v>
      </c>
      <c r="I8684" s="2" t="s">
        <v>17211</v>
      </c>
      <c r="J8684" s="3" t="str">
        <f>HYPERLINK("https://www.boe.es/gazeta/dias/1823/08/01/pdfs/GES-1823-113.pdf#page=1","Abrir facsímil")</f>
        <v>Abrir facsímil</v>
      </c>
      <c r="K8684" s="3" t="s">
        <v>23</v>
      </c>
    </row>
    <row r="8685" spans="1:11" ht="42" customHeight="1">
      <c r="A8685" s="2" t="s">
        <v>17212</v>
      </c>
      <c r="B8685" s="2" t="s">
        <v>17213</v>
      </c>
      <c r="C8685" s="2" t="s">
        <v>293</v>
      </c>
      <c r="D8685" s="2" t="s">
        <v>74</v>
      </c>
      <c r="E8685" s="5">
        <v>-27965</v>
      </c>
      <c r="F8685" s="3" t="s">
        <v>208</v>
      </c>
      <c r="G8685" s="3" t="s">
        <v>48</v>
      </c>
      <c r="H8685" s="2" t="s">
        <v>21</v>
      </c>
      <c r="I8685" s="2" t="s">
        <v>17214</v>
      </c>
      <c r="J8685" s="3" t="str">
        <f>HYPERLINK("https://www.boe.es/gazeta/dias/1823/06/07/pdfs/GES-1823-61.pdf#page=3","Abrir facsímil")</f>
        <v>Abrir facsímil</v>
      </c>
      <c r="K8685" s="3" t="s">
        <v>23</v>
      </c>
    </row>
    <row r="8686" spans="1:11" ht="42" customHeight="1">
      <c r="A8686" s="2" t="s">
        <v>17215</v>
      </c>
      <c r="B8686" s="2" t="s">
        <v>17216</v>
      </c>
      <c r="C8686" s="2" t="s">
        <v>17</v>
      </c>
      <c r="D8686" s="2" t="s">
        <v>18</v>
      </c>
      <c r="E8686" s="5">
        <v>-27950</v>
      </c>
      <c r="F8686" s="3" t="s">
        <v>4513</v>
      </c>
      <c r="G8686" s="3" t="s">
        <v>20</v>
      </c>
      <c r="H8686" s="2" t="s">
        <v>21</v>
      </c>
      <c r="I8686" s="2" t="s">
        <v>17217</v>
      </c>
      <c r="J8686" s="3" t="str">
        <f>HYPERLINK("https://www.boe.es/gazeta/dias/1823/06/22/pdfs/GES-1823-70.pdf#page=4","Abrir facsímil")</f>
        <v>Abrir facsímil</v>
      </c>
      <c r="K8686" s="3" t="s">
        <v>23</v>
      </c>
    </row>
    <row r="8687" spans="1:11" ht="42" customHeight="1">
      <c r="A8687" s="2" t="s">
        <v>17218</v>
      </c>
      <c r="B8687" s="2" t="s">
        <v>17218</v>
      </c>
      <c r="C8687" s="2" t="s">
        <v>17</v>
      </c>
      <c r="D8687" s="2" t="s">
        <v>18</v>
      </c>
      <c r="E8687" s="5">
        <v>-27941</v>
      </c>
      <c r="F8687" s="3" t="s">
        <v>1551</v>
      </c>
      <c r="G8687" s="3" t="s">
        <v>39</v>
      </c>
      <c r="H8687" s="2" t="s">
        <v>21</v>
      </c>
      <c r="I8687" s="2" t="s">
        <v>17219</v>
      </c>
      <c r="J8687" s="3" t="str">
        <f>HYPERLINK("https://www.boe.es/gazeta/dias/1823/07/01/pdfs/GMD-1823-323.pdf#page=1","Abrir facsímil")</f>
        <v>Abrir facsímil</v>
      </c>
      <c r="K8687" s="3" t="s">
        <v>23</v>
      </c>
    </row>
    <row r="8688" spans="1:11" ht="42" customHeight="1">
      <c r="A8688" s="2" t="s">
        <v>17220</v>
      </c>
      <c r="B8688" s="2" t="s">
        <v>17220</v>
      </c>
      <c r="C8688" s="2" t="s">
        <v>17</v>
      </c>
      <c r="D8688" s="2" t="s">
        <v>18</v>
      </c>
      <c r="E8688" s="5">
        <v>-27913</v>
      </c>
      <c r="F8688" s="3" t="s">
        <v>829</v>
      </c>
      <c r="G8688" s="3" t="s">
        <v>34</v>
      </c>
      <c r="H8688" s="2" t="s">
        <v>21</v>
      </c>
      <c r="I8688" s="2" t="s">
        <v>17221</v>
      </c>
      <c r="J8688" s="3" t="str">
        <f>HYPERLINK("https://www.boe.es/gazeta/dias/1823/07/29/pdfs/GMD-1823-483.pdf#page=5","Abrir facsímil")</f>
        <v>Abrir facsímil</v>
      </c>
      <c r="K8688" s="3" t="s">
        <v>23</v>
      </c>
    </row>
    <row r="8689" spans="1:11" ht="42" customHeight="1">
      <c r="A8689" s="2" t="s">
        <v>17222</v>
      </c>
      <c r="B8689" s="2" t="s">
        <v>17223</v>
      </c>
      <c r="C8689" s="2" t="s">
        <v>17</v>
      </c>
      <c r="D8689" s="2" t="s">
        <v>18</v>
      </c>
      <c r="E8689" s="5">
        <v>-28102</v>
      </c>
      <c r="F8689" s="3" t="s">
        <v>287</v>
      </c>
      <c r="G8689" s="3" t="s">
        <v>27</v>
      </c>
      <c r="H8689" s="2" t="s">
        <v>21</v>
      </c>
      <c r="I8689" s="2" t="s">
        <v>17224</v>
      </c>
      <c r="J8689" s="3" t="str">
        <f>HYPERLINK("https://www.boe.es/gazeta/dias/1823/01/21/pdfs/GMD-1823-22.pdf#page=2","Abrir facsímil")</f>
        <v>Abrir facsímil</v>
      </c>
      <c r="K8689" s="3" t="s">
        <v>23</v>
      </c>
    </row>
    <row r="8690" spans="1:11" ht="42" customHeight="1">
      <c r="A8690" s="2" t="s">
        <v>17225</v>
      </c>
      <c r="B8690" s="2" t="s">
        <v>17226</v>
      </c>
      <c r="C8690" s="2" t="s">
        <v>293</v>
      </c>
      <c r="D8690" s="2" t="s">
        <v>74</v>
      </c>
      <c r="E8690" s="5">
        <v>-27937</v>
      </c>
      <c r="F8690" s="3" t="s">
        <v>897</v>
      </c>
      <c r="G8690" s="3" t="s">
        <v>1257</v>
      </c>
      <c r="H8690" s="2" t="s">
        <v>21</v>
      </c>
      <c r="I8690" s="2" t="s">
        <v>17227</v>
      </c>
      <c r="J8690" s="3" t="str">
        <f>HYPERLINK("https://www.boe.es/gazeta/dias/1823/07/05/pdfs/GMD-1823-343.pdf#page=6","Abrir facsímil")</f>
        <v>Abrir facsímil</v>
      </c>
      <c r="K8690" s="3" t="s">
        <v>23</v>
      </c>
    </row>
    <row r="8691" spans="1:11" ht="42" customHeight="1">
      <c r="A8691" s="2" t="s">
        <v>17228</v>
      </c>
      <c r="B8691" s="2" t="s">
        <v>17229</v>
      </c>
      <c r="C8691" s="2" t="s">
        <v>17</v>
      </c>
      <c r="D8691" s="2" t="s">
        <v>18</v>
      </c>
      <c r="E8691" s="5">
        <v>-28025</v>
      </c>
      <c r="F8691" s="3" t="s">
        <v>477</v>
      </c>
      <c r="G8691" s="3" t="s">
        <v>20</v>
      </c>
      <c r="H8691" s="2" t="s">
        <v>21</v>
      </c>
      <c r="I8691" s="2" t="s">
        <v>17230</v>
      </c>
      <c r="J8691" s="3" t="str">
        <f>HYPERLINK("https://www.boe.es/gazeta/dias/1823/04/08/pdfs/GMD-1823-103.pdf#page=4","Abrir facsímil")</f>
        <v>Abrir facsímil</v>
      </c>
      <c r="K8691" s="3" t="s">
        <v>23</v>
      </c>
    </row>
    <row r="8692" spans="1:11" ht="42" customHeight="1">
      <c r="A8692" s="2" t="s">
        <v>17231</v>
      </c>
      <c r="B8692" s="2" t="s">
        <v>17232</v>
      </c>
      <c r="C8692" s="2" t="s">
        <v>17</v>
      </c>
      <c r="D8692" s="2" t="s">
        <v>18</v>
      </c>
      <c r="E8692" s="5">
        <v>-27943</v>
      </c>
      <c r="F8692" s="3" t="s">
        <v>346</v>
      </c>
      <c r="G8692" s="3" t="s">
        <v>20</v>
      </c>
      <c r="H8692" s="2" t="s">
        <v>21</v>
      </c>
      <c r="I8692" s="2" t="s">
        <v>17233</v>
      </c>
      <c r="J8692" s="3" t="str">
        <f>HYPERLINK("https://www.boe.es/gazeta/dias/1823/06/29/pdfs/GES-1823-79.pdf#page=4","Abrir facsímil")</f>
        <v>Abrir facsímil</v>
      </c>
      <c r="K8692" s="3" t="s">
        <v>23</v>
      </c>
    </row>
    <row r="8693" spans="1:11" ht="42" customHeight="1">
      <c r="A8693" s="2" t="s">
        <v>17234</v>
      </c>
      <c r="B8693" s="2" t="s">
        <v>17235</v>
      </c>
      <c r="C8693" s="2" t="s">
        <v>109</v>
      </c>
      <c r="D8693" s="2" t="s">
        <v>74</v>
      </c>
      <c r="E8693" s="5">
        <v>-28037</v>
      </c>
      <c r="F8693" s="3" t="s">
        <v>192</v>
      </c>
      <c r="G8693" s="3" t="s">
        <v>48</v>
      </c>
      <c r="H8693" s="2" t="s">
        <v>21</v>
      </c>
      <c r="I8693" s="2" t="s">
        <v>17236</v>
      </c>
      <c r="J8693" s="3" t="str">
        <f>HYPERLINK("https://www.boe.es/gazeta/dias/1823/03/27/pdfs/GMD-1823-90.pdf#page=3","Abrir facsímil")</f>
        <v>Abrir facsímil</v>
      </c>
      <c r="K8693" s="3" t="s">
        <v>23</v>
      </c>
    </row>
    <row r="8694" spans="1:11" ht="42" customHeight="1">
      <c r="A8694" s="2" t="s">
        <v>17237</v>
      </c>
      <c r="B8694" s="2" t="s">
        <v>17238</v>
      </c>
      <c r="C8694" s="2" t="s">
        <v>17</v>
      </c>
      <c r="D8694" s="2" t="s">
        <v>18</v>
      </c>
      <c r="E8694" s="5">
        <v>-28066</v>
      </c>
      <c r="F8694" s="3" t="s">
        <v>19</v>
      </c>
      <c r="G8694" s="3" t="s">
        <v>20</v>
      </c>
      <c r="H8694" s="2" t="s">
        <v>21</v>
      </c>
      <c r="I8694" s="2" t="s">
        <v>17239</v>
      </c>
      <c r="J8694" s="3" t="str">
        <f>HYPERLINK("https://www.boe.es/gazeta/dias/1823/02/26/pdfs/GMD-1823-60.pdf#page=4","Abrir facsímil")</f>
        <v>Abrir facsímil</v>
      </c>
      <c r="K8694" s="3" t="s">
        <v>23</v>
      </c>
    </row>
    <row r="8695" spans="1:11" ht="42" customHeight="1">
      <c r="A8695" s="2" t="s">
        <v>17237</v>
      </c>
      <c r="B8695" s="2" t="s">
        <v>17238</v>
      </c>
      <c r="C8695" s="2" t="s">
        <v>17</v>
      </c>
      <c r="D8695" s="2" t="s">
        <v>18</v>
      </c>
      <c r="E8695" s="5">
        <v>-27993</v>
      </c>
      <c r="F8695" s="3" t="s">
        <v>977</v>
      </c>
      <c r="G8695" s="3" t="s">
        <v>978</v>
      </c>
      <c r="H8695" s="2" t="s">
        <v>21</v>
      </c>
      <c r="I8695" s="2" t="s">
        <v>17240</v>
      </c>
      <c r="J8695" s="3" t="str">
        <f>HYPERLINK("https://www.boe.es/gazeta/dias/1823/05/10/pdfs/GES-1823-30.pdf#page=4","Abrir facsímil")</f>
        <v>Abrir facsímil</v>
      </c>
      <c r="K8695" s="3" t="s">
        <v>23</v>
      </c>
    </row>
    <row r="8696" spans="1:11" ht="42" customHeight="1">
      <c r="A8696" s="2" t="s">
        <v>17241</v>
      </c>
      <c r="B8696" s="2" t="s">
        <v>17242</v>
      </c>
      <c r="C8696" s="2" t="s">
        <v>17</v>
      </c>
      <c r="D8696" s="2" t="s">
        <v>18</v>
      </c>
      <c r="E8696" s="5">
        <v>-28078</v>
      </c>
      <c r="F8696" s="3" t="s">
        <v>508</v>
      </c>
      <c r="G8696" s="3" t="s">
        <v>59</v>
      </c>
      <c r="H8696" s="2" t="s">
        <v>21</v>
      </c>
      <c r="I8696" s="2" t="s">
        <v>17243</v>
      </c>
      <c r="J8696" s="3" t="str">
        <f>HYPERLINK("https://www.boe.es/gazeta/dias/1823/02/14/pdfs/GMD-1823-48.pdf#page=6","Abrir facsímil")</f>
        <v>Abrir facsímil</v>
      </c>
      <c r="K8696" s="3" t="s">
        <v>23</v>
      </c>
    </row>
    <row r="8697" spans="1:11" ht="42" customHeight="1">
      <c r="A8697" s="2" t="s">
        <v>17244</v>
      </c>
      <c r="B8697" s="2" t="s">
        <v>17245</v>
      </c>
      <c r="C8697" s="2" t="s">
        <v>73</v>
      </c>
      <c r="D8697" s="2" t="s">
        <v>74</v>
      </c>
      <c r="E8697" s="5">
        <v>-28058</v>
      </c>
      <c r="F8697" s="3" t="s">
        <v>1282</v>
      </c>
      <c r="G8697" s="3" t="s">
        <v>59</v>
      </c>
      <c r="H8697" s="2" t="s">
        <v>21</v>
      </c>
      <c r="I8697" s="2" t="s">
        <v>17246</v>
      </c>
      <c r="J8697" s="3" t="str">
        <f>HYPERLINK("https://www.boe.es/gazeta/dias/1823/03/06/pdfs/GMD-1823-69.pdf#page=6","Abrir facsímil")</f>
        <v>Abrir facsímil</v>
      </c>
      <c r="K8697" s="3" t="s">
        <v>23</v>
      </c>
    </row>
    <row r="8698" spans="1:11" ht="42" customHeight="1">
      <c r="A8698" s="2" t="s">
        <v>17247</v>
      </c>
      <c r="B8698" s="2" t="s">
        <v>17248</v>
      </c>
      <c r="C8698" s="2" t="s">
        <v>109</v>
      </c>
      <c r="D8698" s="2" t="s">
        <v>74</v>
      </c>
      <c r="E8698" s="5">
        <v>-28115</v>
      </c>
      <c r="F8698" s="3" t="s">
        <v>579</v>
      </c>
      <c r="G8698" s="3" t="s">
        <v>1458</v>
      </c>
      <c r="H8698" s="2" t="s">
        <v>21</v>
      </c>
      <c r="I8698" s="2" t="s">
        <v>17249</v>
      </c>
      <c r="J8698" s="3" t="str">
        <f>HYPERLINK("https://www.boe.es/gazeta/dias/1823/01/08/pdfs/GMD-1823-8.pdf#page=4","Abrir facsímil")</f>
        <v>Abrir facsímil</v>
      </c>
      <c r="K8698" s="3" t="s">
        <v>23</v>
      </c>
    </row>
    <row r="8699" spans="1:11" ht="42" customHeight="1">
      <c r="A8699" s="2" t="s">
        <v>17247</v>
      </c>
      <c r="B8699" s="2" t="s">
        <v>17248</v>
      </c>
      <c r="C8699" s="2" t="s">
        <v>79</v>
      </c>
      <c r="D8699" s="2" t="s">
        <v>74</v>
      </c>
      <c r="E8699" s="5">
        <v>-28106</v>
      </c>
      <c r="F8699" s="3" t="s">
        <v>280</v>
      </c>
      <c r="G8699" s="3" t="s">
        <v>20</v>
      </c>
      <c r="H8699" s="2" t="s">
        <v>21</v>
      </c>
      <c r="I8699" s="2" t="s">
        <v>17250</v>
      </c>
      <c r="J8699" s="3" t="str">
        <f>HYPERLINK("https://www.boe.es/gazeta/dias/1823/01/17/pdfs/GMD-1823-17.pdf#page=4","Abrir facsímil")</f>
        <v>Abrir facsímil</v>
      </c>
      <c r="K8699" s="3" t="s">
        <v>23</v>
      </c>
    </row>
    <row r="8700" spans="1:11" ht="42" customHeight="1">
      <c r="A8700" s="2" t="s">
        <v>17247</v>
      </c>
      <c r="B8700" s="2" t="s">
        <v>17248</v>
      </c>
      <c r="C8700" s="2" t="s">
        <v>325</v>
      </c>
      <c r="D8700" s="2" t="s">
        <v>74</v>
      </c>
      <c r="E8700" s="5">
        <v>-28061</v>
      </c>
      <c r="F8700" s="3" t="s">
        <v>704</v>
      </c>
      <c r="G8700" s="3" t="s">
        <v>59</v>
      </c>
      <c r="H8700" s="2" t="s">
        <v>21</v>
      </c>
      <c r="I8700" s="2" t="s">
        <v>17251</v>
      </c>
      <c r="J8700" s="3" t="str">
        <f>HYPERLINK("https://www.boe.es/gazeta/dias/1823/03/03/pdfs/GMD-1823-66.pdf#page=6","Abrir facsímil")</f>
        <v>Abrir facsímil</v>
      </c>
      <c r="K8700" s="3" t="s">
        <v>23</v>
      </c>
    </row>
    <row r="8701" spans="1:11" ht="42" customHeight="1">
      <c r="A8701" s="2" t="s">
        <v>17252</v>
      </c>
      <c r="B8701" s="2" t="s">
        <v>17253</v>
      </c>
      <c r="C8701" s="2" t="s">
        <v>79</v>
      </c>
      <c r="D8701" s="2" t="s">
        <v>74</v>
      </c>
      <c r="E8701" s="5">
        <v>-28058</v>
      </c>
      <c r="F8701" s="3" t="s">
        <v>1282</v>
      </c>
      <c r="G8701" s="3" t="s">
        <v>59</v>
      </c>
      <c r="H8701" s="2" t="s">
        <v>21</v>
      </c>
      <c r="I8701" s="2" t="s">
        <v>17254</v>
      </c>
      <c r="J8701" s="3" t="str">
        <f>HYPERLINK("https://www.boe.es/gazeta/dias/1823/03/06/pdfs/GMD-1823-69.pdf#page=6","Abrir facsímil")</f>
        <v>Abrir facsímil</v>
      </c>
      <c r="K8701" s="3" t="s">
        <v>23</v>
      </c>
    </row>
    <row r="8702" spans="1:11" ht="42" customHeight="1">
      <c r="A8702" s="2" t="s">
        <v>17255</v>
      </c>
      <c r="B8702" s="2" t="s">
        <v>17256</v>
      </c>
      <c r="C8702" s="2" t="s">
        <v>17</v>
      </c>
      <c r="D8702" s="2" t="s">
        <v>18</v>
      </c>
      <c r="E8702" s="5">
        <v>-27825</v>
      </c>
      <c r="F8702" s="3" t="s">
        <v>2503</v>
      </c>
      <c r="G8702" s="3" t="s">
        <v>48</v>
      </c>
      <c r="H8702" s="2" t="s">
        <v>21</v>
      </c>
      <c r="I8702" s="2" t="s">
        <v>17257</v>
      </c>
      <c r="J8702" s="3" t="str">
        <f>HYPERLINK("https://www.boe.es/gazeta/dias/1823/10/25/pdfs/GMD-1823-1023.pdf#page=3","Abrir facsímil")</f>
        <v>Abrir facsímil</v>
      </c>
      <c r="K8702" s="3" t="s">
        <v>23</v>
      </c>
    </row>
    <row r="8703" spans="1:11" ht="42" customHeight="1">
      <c r="A8703" s="2" t="s">
        <v>17258</v>
      </c>
      <c r="B8703" s="2" t="s">
        <v>17259</v>
      </c>
      <c r="C8703" s="2" t="s">
        <v>73</v>
      </c>
      <c r="D8703" s="2" t="s">
        <v>74</v>
      </c>
      <c r="E8703" s="5">
        <v>-27982</v>
      </c>
      <c r="F8703" s="3" t="s">
        <v>340</v>
      </c>
      <c r="G8703" s="3" t="s">
        <v>27</v>
      </c>
      <c r="H8703" s="2" t="s">
        <v>21</v>
      </c>
      <c r="I8703" s="2" t="s">
        <v>17260</v>
      </c>
      <c r="J8703" s="3" t="str">
        <f>HYPERLINK("https://www.boe.es/gazeta/dias/1823/05/21/pdfs/GES-1823-42.pdf#page=2","Abrir facsímil")</f>
        <v>Abrir facsímil</v>
      </c>
      <c r="K8703" s="3" t="s">
        <v>23</v>
      </c>
    </row>
    <row r="8704" spans="1:11" ht="42" customHeight="1">
      <c r="A8704" s="2" t="s">
        <v>17261</v>
      </c>
      <c r="B8704" s="2" t="s">
        <v>17262</v>
      </c>
      <c r="C8704" s="2" t="s">
        <v>79</v>
      </c>
      <c r="D8704" s="2" t="s">
        <v>74</v>
      </c>
      <c r="E8704" s="5">
        <v>-28031</v>
      </c>
      <c r="F8704" s="3" t="s">
        <v>1211</v>
      </c>
      <c r="G8704" s="3" t="s">
        <v>20</v>
      </c>
      <c r="H8704" s="2" t="s">
        <v>21</v>
      </c>
      <c r="I8704" s="2" t="s">
        <v>17263</v>
      </c>
      <c r="J8704" s="3" t="str">
        <f>HYPERLINK("https://www.boe.es/gazeta/dias/1823/04/02/pdfs/GMD-1823-96.pdf#page=4","Abrir facsímil")</f>
        <v>Abrir facsímil</v>
      </c>
      <c r="K8704" s="3" t="s">
        <v>23</v>
      </c>
    </row>
    <row r="8705" spans="1:11" ht="42" customHeight="1">
      <c r="A8705" s="2" t="s">
        <v>17264</v>
      </c>
      <c r="B8705" s="2" t="s">
        <v>17265</v>
      </c>
      <c r="C8705" s="2" t="s">
        <v>17</v>
      </c>
      <c r="D8705" s="2" t="s">
        <v>18</v>
      </c>
      <c r="E8705" s="5">
        <v>-28093</v>
      </c>
      <c r="F8705" s="3" t="s">
        <v>1044</v>
      </c>
      <c r="G8705" s="3" t="s">
        <v>59</v>
      </c>
      <c r="H8705" s="2" t="s">
        <v>21</v>
      </c>
      <c r="I8705" s="2" t="s">
        <v>17266</v>
      </c>
      <c r="J8705" s="3" t="str">
        <f>HYPERLINK("https://www.boe.es/gazeta/dias/1823/01/30/pdfs/GMD-1823-31.pdf#page=6","Abrir facsímil")</f>
        <v>Abrir facsímil</v>
      </c>
      <c r="K8705" s="3" t="s">
        <v>23</v>
      </c>
    </row>
    <row r="8706" spans="1:11" ht="42" customHeight="1">
      <c r="A8706" s="2" t="s">
        <v>17267</v>
      </c>
      <c r="B8706" s="2" t="s">
        <v>17268</v>
      </c>
      <c r="C8706" s="2" t="s">
        <v>17</v>
      </c>
      <c r="D8706" s="2" t="s">
        <v>18</v>
      </c>
      <c r="E8706" s="5">
        <v>-27906</v>
      </c>
      <c r="F8706" s="3" t="s">
        <v>241</v>
      </c>
      <c r="G8706" s="3" t="s">
        <v>59</v>
      </c>
      <c r="H8706" s="2" t="s">
        <v>21</v>
      </c>
      <c r="I8706" s="2" t="s">
        <v>17269</v>
      </c>
      <c r="J8706" s="3" t="str">
        <f>HYPERLINK("https://www.boe.es/gazeta/dias/1823/08/05/pdfs/GES-1823-117.pdf#page=6","Abrir facsímil")</f>
        <v>Abrir facsímil</v>
      </c>
      <c r="K8706" s="3" t="s">
        <v>23</v>
      </c>
    </row>
    <row r="8707" spans="1:11" ht="42" customHeight="1">
      <c r="A8707" s="2" t="s">
        <v>17270</v>
      </c>
      <c r="B8707" s="2" t="s">
        <v>17271</v>
      </c>
      <c r="C8707" s="2" t="s">
        <v>17</v>
      </c>
      <c r="D8707" s="2" t="s">
        <v>18</v>
      </c>
      <c r="E8707" s="5">
        <v>-28112</v>
      </c>
      <c r="F8707" s="3" t="s">
        <v>43</v>
      </c>
      <c r="G8707" s="3" t="s">
        <v>39</v>
      </c>
      <c r="H8707" s="2" t="s">
        <v>21</v>
      </c>
      <c r="I8707" s="2" t="s">
        <v>17272</v>
      </c>
      <c r="J8707" s="3" t="str">
        <f>HYPERLINK("https://www.boe.es/gazeta/dias/1823/01/11/pdfs/GMD-1823-11.pdf#page=1","Abrir facsímil")</f>
        <v>Abrir facsímil</v>
      </c>
      <c r="K8707" s="3" t="s">
        <v>23</v>
      </c>
    </row>
    <row r="8708" spans="1:11" ht="42" customHeight="1">
      <c r="A8708" s="2" t="s">
        <v>17273</v>
      </c>
      <c r="B8708" s="2" t="s">
        <v>17273</v>
      </c>
      <c r="C8708" s="2" t="s">
        <v>84</v>
      </c>
      <c r="D8708" s="2" t="s">
        <v>74</v>
      </c>
      <c r="E8708" s="5">
        <v>-28082</v>
      </c>
      <c r="F8708" s="3" t="s">
        <v>468</v>
      </c>
      <c r="G8708" s="3" t="s">
        <v>27</v>
      </c>
      <c r="H8708" s="2" t="s">
        <v>21</v>
      </c>
      <c r="I8708" s="2" t="s">
        <v>17274</v>
      </c>
      <c r="J8708" s="3" t="str">
        <f>HYPERLINK("https://www.boe.es/gazeta/dias/1823/02/10/pdfs/GMD-1823-44.pdf#page=2","Abrir facsímil")</f>
        <v>Abrir facsímil</v>
      </c>
      <c r="K8708" s="3" t="s">
        <v>23</v>
      </c>
    </row>
    <row r="8709" spans="1:11" ht="42" customHeight="1">
      <c r="A8709" s="2" t="s">
        <v>17273</v>
      </c>
      <c r="B8709" s="2" t="s">
        <v>17273</v>
      </c>
      <c r="C8709" s="2" t="s">
        <v>79</v>
      </c>
      <c r="D8709" s="2" t="s">
        <v>74</v>
      </c>
      <c r="E8709" s="5">
        <v>-28079</v>
      </c>
      <c r="F8709" s="3" t="s">
        <v>178</v>
      </c>
      <c r="G8709" s="3" t="s">
        <v>39</v>
      </c>
      <c r="H8709" s="2" t="s">
        <v>21</v>
      </c>
      <c r="I8709" s="2" t="s">
        <v>17275</v>
      </c>
      <c r="J8709" s="3" t="str">
        <f>HYPERLINK("https://www.boe.es/gazeta/dias/1823/02/13/pdfs/GMD-1823-47.pdf#page=1","Abrir facsímil")</f>
        <v>Abrir facsímil</v>
      </c>
      <c r="K8709" s="3" t="s">
        <v>23</v>
      </c>
    </row>
    <row r="8710" spans="1:11" ht="42" customHeight="1">
      <c r="A8710" s="2" t="s">
        <v>17276</v>
      </c>
      <c r="B8710" s="2" t="s">
        <v>17276</v>
      </c>
      <c r="C8710" s="2" t="s">
        <v>17</v>
      </c>
      <c r="D8710" s="2" t="s">
        <v>18</v>
      </c>
      <c r="E8710" s="5">
        <v>-27906</v>
      </c>
      <c r="F8710" s="3" t="s">
        <v>1527</v>
      </c>
      <c r="G8710" s="3" t="s">
        <v>27</v>
      </c>
      <c r="H8710" s="2" t="s">
        <v>21</v>
      </c>
      <c r="I8710" s="2" t="s">
        <v>17277</v>
      </c>
      <c r="J8710" s="3" t="str">
        <f>HYPERLINK("https://www.boe.es/gazeta/dias/1823/08/05/pdfs/GMD-1823-533.pdf#page=2","Abrir facsímil")</f>
        <v>Abrir facsímil</v>
      </c>
      <c r="K8710" s="3" t="s">
        <v>23</v>
      </c>
    </row>
    <row r="8711" spans="1:11" ht="42" customHeight="1">
      <c r="A8711" s="2" t="s">
        <v>17278</v>
      </c>
      <c r="B8711" s="2" t="s">
        <v>17279</v>
      </c>
      <c r="C8711" s="2" t="s">
        <v>79</v>
      </c>
      <c r="D8711" s="2" t="s">
        <v>74</v>
      </c>
      <c r="E8711" s="5">
        <v>-27797</v>
      </c>
      <c r="F8711" s="3" t="s">
        <v>3409</v>
      </c>
      <c r="G8711" s="3" t="s">
        <v>20</v>
      </c>
      <c r="H8711" s="2" t="s">
        <v>21</v>
      </c>
      <c r="I8711" s="2" t="s">
        <v>17280</v>
      </c>
      <c r="J8711" s="3" t="str">
        <f>HYPERLINK("https://www.boe.es/gazeta/dias/1823/11/22/pdfs/GMD-1823-1153.pdf#page=4","Abrir facsímil")</f>
        <v>Abrir facsímil</v>
      </c>
      <c r="K8711" s="3" t="s">
        <v>23</v>
      </c>
    </row>
    <row r="8712" spans="1:11" ht="42" customHeight="1">
      <c r="A8712" s="2" t="s">
        <v>17281</v>
      </c>
      <c r="B8712" s="2" t="s">
        <v>17281</v>
      </c>
      <c r="C8712" s="2" t="s">
        <v>56</v>
      </c>
      <c r="D8712" s="2" t="s">
        <v>57</v>
      </c>
      <c r="E8712" s="5">
        <v>-27822</v>
      </c>
      <c r="F8712" s="3" t="s">
        <v>992</v>
      </c>
      <c r="G8712" s="3" t="s">
        <v>48</v>
      </c>
      <c r="H8712" s="2" t="s">
        <v>21</v>
      </c>
      <c r="I8712" s="2" t="s">
        <v>17282</v>
      </c>
      <c r="J8712" s="3" t="str">
        <f>HYPERLINK("https://www.boe.es/gazeta/dias/1823/10/28/pdfs/GMD-1823-1033.pdf#page=3","Abrir facsímil")</f>
        <v>Abrir facsímil</v>
      </c>
      <c r="K8712" s="3" t="s">
        <v>23</v>
      </c>
    </row>
    <row r="8713" spans="1:11" ht="42" customHeight="1">
      <c r="A8713" s="2" t="s">
        <v>17283</v>
      </c>
      <c r="B8713" s="2" t="s">
        <v>17284</v>
      </c>
      <c r="C8713" s="2" t="s">
        <v>17</v>
      </c>
      <c r="D8713" s="2" t="s">
        <v>18</v>
      </c>
      <c r="E8713" s="5">
        <v>-27863</v>
      </c>
      <c r="F8713" s="3" t="s">
        <v>651</v>
      </c>
      <c r="G8713" s="3" t="s">
        <v>27</v>
      </c>
      <c r="H8713" s="2" t="s">
        <v>21</v>
      </c>
      <c r="I8713" s="2" t="s">
        <v>17285</v>
      </c>
      <c r="J8713" s="3" t="str">
        <f>HYPERLINK("https://www.boe.es/gazeta/dias/1823/09/17/pdfs/GES-1823-161.pdf#page=2","Abrir facsímil")</f>
        <v>Abrir facsímil</v>
      </c>
      <c r="K8713" s="3" t="s">
        <v>23</v>
      </c>
    </row>
    <row r="8714" spans="1:11" ht="42" customHeight="1">
      <c r="A8714" s="2" t="s">
        <v>17286</v>
      </c>
      <c r="B8714" s="2" t="s">
        <v>17286</v>
      </c>
      <c r="C8714" s="2" t="s">
        <v>109</v>
      </c>
      <c r="D8714" s="2" t="s">
        <v>74</v>
      </c>
      <c r="E8714" s="5">
        <v>-28113</v>
      </c>
      <c r="F8714" s="3" t="s">
        <v>2088</v>
      </c>
      <c r="G8714" s="3" t="s">
        <v>48</v>
      </c>
      <c r="H8714" s="2" t="s">
        <v>21</v>
      </c>
      <c r="I8714" s="2" t="s">
        <v>17287</v>
      </c>
      <c r="J8714" s="3" t="str">
        <f>HYPERLINK("https://www.boe.es/gazeta/dias/1823/01/10/pdfs/GMD-1823-10.pdf#page=3","Abrir facsímil")</f>
        <v>Abrir facsímil</v>
      </c>
      <c r="K8714" s="3" t="s">
        <v>23</v>
      </c>
    </row>
    <row r="8715" spans="1:11" ht="42" customHeight="1">
      <c r="A8715" s="2" t="s">
        <v>17288</v>
      </c>
      <c r="B8715" s="2" t="s">
        <v>17288</v>
      </c>
      <c r="C8715" s="2" t="s">
        <v>17</v>
      </c>
      <c r="D8715" s="2" t="s">
        <v>18</v>
      </c>
      <c r="E8715" s="5">
        <v>-28009</v>
      </c>
      <c r="F8715" s="3" t="s">
        <v>307</v>
      </c>
      <c r="G8715" s="3" t="s">
        <v>2107</v>
      </c>
      <c r="H8715" s="2" t="s">
        <v>21</v>
      </c>
      <c r="I8715" s="2" t="s">
        <v>17289</v>
      </c>
      <c r="J8715" s="3" t="str">
        <f>HYPERLINK("https://www.boe.es/gazeta/dias/1823/04/24/pdfs/GES-1823-14.pdf#page=4","Abrir facsímil")</f>
        <v>Abrir facsímil</v>
      </c>
      <c r="K8715" s="3" t="s">
        <v>23</v>
      </c>
    </row>
    <row r="8716" spans="1:11" ht="42" customHeight="1">
      <c r="A8716" s="2" t="s">
        <v>17288</v>
      </c>
      <c r="B8716" s="2" t="s">
        <v>17288</v>
      </c>
      <c r="C8716" s="2" t="s">
        <v>56</v>
      </c>
      <c r="D8716" s="2" t="s">
        <v>57</v>
      </c>
      <c r="E8716" s="5">
        <v>-27935</v>
      </c>
      <c r="F8716" s="3" t="s">
        <v>350</v>
      </c>
      <c r="G8716" s="3" t="s">
        <v>39</v>
      </c>
      <c r="H8716" s="2" t="s">
        <v>21</v>
      </c>
      <c r="I8716" s="2" t="s">
        <v>17290</v>
      </c>
      <c r="J8716" s="3" t="str">
        <f>HYPERLINK("https://www.boe.es/gazeta/dias/1823/07/07/pdfs/GES-1823-87.pdf#page=1","Abrir facsímil")</f>
        <v>Abrir facsímil</v>
      </c>
      <c r="K8716" s="3" t="s">
        <v>23</v>
      </c>
    </row>
    <row r="8717" spans="1:11" ht="42" customHeight="1">
      <c r="A8717" s="2" t="s">
        <v>17291</v>
      </c>
      <c r="B8717" s="2" t="s">
        <v>17292</v>
      </c>
      <c r="C8717" s="2" t="s">
        <v>56</v>
      </c>
      <c r="D8717" s="2" t="s">
        <v>57</v>
      </c>
      <c r="E8717" s="5">
        <v>-28001</v>
      </c>
      <c r="F8717" s="3" t="s">
        <v>768</v>
      </c>
      <c r="G8717" s="3" t="s">
        <v>27</v>
      </c>
      <c r="H8717" s="2" t="s">
        <v>21</v>
      </c>
      <c r="I8717" s="2" t="s">
        <v>17293</v>
      </c>
      <c r="J8717" s="3" t="str">
        <f>HYPERLINK("https://www.boe.es/gazeta/dias/1823/05/02/pdfs/GES-1823-22.pdf#page=2","Abrir facsímil")</f>
        <v>Abrir facsímil</v>
      </c>
      <c r="K8717" s="3" t="s">
        <v>23</v>
      </c>
    </row>
    <row r="8718" spans="1:11" ht="42" customHeight="1">
      <c r="A8718" s="2" t="s">
        <v>17294</v>
      </c>
      <c r="B8718" s="2" t="s">
        <v>17294</v>
      </c>
      <c r="C8718" s="2" t="s">
        <v>17</v>
      </c>
      <c r="D8718" s="2" t="s">
        <v>18</v>
      </c>
      <c r="E8718" s="5">
        <v>-27993</v>
      </c>
      <c r="F8718" s="3" t="s">
        <v>977</v>
      </c>
      <c r="G8718" s="3" t="s">
        <v>48</v>
      </c>
      <c r="H8718" s="2" t="s">
        <v>21</v>
      </c>
      <c r="I8718" s="2" t="s">
        <v>17295</v>
      </c>
      <c r="J8718" s="3" t="str">
        <f>HYPERLINK("https://www.boe.es/gazeta/dias/1823/05/10/pdfs/GES-1823-30.pdf#page=3","Abrir facsímil")</f>
        <v>Abrir facsímil</v>
      </c>
      <c r="K8718" s="3" t="s">
        <v>23</v>
      </c>
    </row>
    <row r="8719" spans="1:11" ht="42" customHeight="1">
      <c r="A8719" s="2" t="s">
        <v>17296</v>
      </c>
      <c r="B8719" s="2" t="s">
        <v>17296</v>
      </c>
      <c r="C8719" s="2" t="s">
        <v>73</v>
      </c>
      <c r="D8719" s="2" t="s">
        <v>74</v>
      </c>
      <c r="E8719" s="5">
        <v>-27987</v>
      </c>
      <c r="F8719" s="3" t="s">
        <v>332</v>
      </c>
      <c r="G8719" s="3" t="s">
        <v>20</v>
      </c>
      <c r="H8719" s="2" t="s">
        <v>21</v>
      </c>
      <c r="I8719" s="2" t="s">
        <v>17297</v>
      </c>
      <c r="J8719" s="3" t="str">
        <f>HYPERLINK("https://www.boe.es/gazeta/dias/1823/05/16/pdfs/GES-1823-36.pdf#page=4","Abrir facsímil")</f>
        <v>Abrir facsímil</v>
      </c>
      <c r="K8719" s="3" t="s">
        <v>23</v>
      </c>
    </row>
    <row r="8720" spans="1:11" ht="42" customHeight="1">
      <c r="A8720" s="2" t="s">
        <v>17298</v>
      </c>
      <c r="B8720" s="2" t="s">
        <v>17299</v>
      </c>
      <c r="C8720" s="2" t="s">
        <v>17</v>
      </c>
      <c r="D8720" s="2" t="s">
        <v>18</v>
      </c>
      <c r="E8720" s="5">
        <v>-27862</v>
      </c>
      <c r="F8720" s="3" t="s">
        <v>1530</v>
      </c>
      <c r="G8720" s="3" t="s">
        <v>20</v>
      </c>
      <c r="H8720" s="2" t="s">
        <v>21</v>
      </c>
      <c r="I8720" s="2" t="s">
        <v>17300</v>
      </c>
      <c r="J8720" s="3" t="str">
        <f>HYPERLINK("https://www.boe.es/gazeta/dias/1823/09/18/pdfs/GMD-1823-803.pdf#page=4","Abrir facsímil")</f>
        <v>Abrir facsímil</v>
      </c>
      <c r="K8720" s="3" t="s">
        <v>23</v>
      </c>
    </row>
    <row r="8721" spans="1:11" ht="42" customHeight="1">
      <c r="A8721" s="2" t="s">
        <v>17301</v>
      </c>
      <c r="B8721" s="2" t="s">
        <v>17301</v>
      </c>
      <c r="C8721" s="2" t="s">
        <v>17</v>
      </c>
      <c r="D8721" s="2" t="s">
        <v>18</v>
      </c>
      <c r="E8721" s="5">
        <v>-27913</v>
      </c>
      <c r="F8721" s="3" t="s">
        <v>829</v>
      </c>
      <c r="G8721" s="3" t="s">
        <v>276</v>
      </c>
      <c r="H8721" s="2" t="s">
        <v>21</v>
      </c>
      <c r="I8721" s="2" t="s">
        <v>17302</v>
      </c>
      <c r="J8721" s="3" t="str">
        <f>HYPERLINK("https://www.boe.es/gazeta/dias/1823/07/29/pdfs/GMD-1823-483.pdf#page=7","Abrir facsímil")</f>
        <v>Abrir facsímil</v>
      </c>
      <c r="K8721" s="3" t="s">
        <v>23</v>
      </c>
    </row>
    <row r="8722" spans="1:11" ht="42" customHeight="1">
      <c r="A8722" s="2" t="s">
        <v>17303</v>
      </c>
      <c r="B8722" s="2" t="s">
        <v>17304</v>
      </c>
      <c r="C8722" s="2" t="s">
        <v>17</v>
      </c>
      <c r="D8722" s="2" t="s">
        <v>18</v>
      </c>
      <c r="E8722" s="5">
        <v>-27974</v>
      </c>
      <c r="F8722" s="3" t="s">
        <v>618</v>
      </c>
      <c r="G8722" s="3" t="s">
        <v>39</v>
      </c>
      <c r="H8722" s="2" t="s">
        <v>21</v>
      </c>
      <c r="I8722" s="2" t="s">
        <v>17305</v>
      </c>
      <c r="J8722" s="3" t="str">
        <f>HYPERLINK("https://www.boe.es/gazeta/dias/1823/05/29/pdfs/GES-1823-52.pdf#page=1","Abrir facsímil")</f>
        <v>Abrir facsímil</v>
      </c>
      <c r="K8722" s="3" t="s">
        <v>23</v>
      </c>
    </row>
    <row r="8723" spans="1:11" ht="42" customHeight="1">
      <c r="A8723" s="2" t="s">
        <v>17306</v>
      </c>
      <c r="B8723" s="2" t="s">
        <v>17306</v>
      </c>
      <c r="C8723" s="2" t="s">
        <v>17</v>
      </c>
      <c r="D8723" s="2" t="s">
        <v>18</v>
      </c>
      <c r="E8723" s="5">
        <v>-27883</v>
      </c>
      <c r="F8723" s="3" t="s">
        <v>2318</v>
      </c>
      <c r="G8723" s="3" t="s">
        <v>20</v>
      </c>
      <c r="H8723" s="2" t="s">
        <v>21</v>
      </c>
      <c r="I8723" s="2" t="s">
        <v>17307</v>
      </c>
      <c r="J8723" s="3" t="str">
        <f>HYPERLINK("https://www.boe.es/gazeta/dias/1823/08/28/pdfs/GMD-1823-663.pdf#page=4","Abrir facsímil")</f>
        <v>Abrir facsímil</v>
      </c>
      <c r="K8723" s="3" t="s">
        <v>23</v>
      </c>
    </row>
    <row r="8724" spans="1:11" ht="42" customHeight="1">
      <c r="A8724" s="2" t="s">
        <v>17308</v>
      </c>
      <c r="B8724" s="2" t="s">
        <v>17308</v>
      </c>
      <c r="C8724" s="2" t="s">
        <v>56</v>
      </c>
      <c r="D8724" s="2" t="s">
        <v>57</v>
      </c>
      <c r="E8724" s="5">
        <v>-27963</v>
      </c>
      <c r="F8724" s="3" t="s">
        <v>344</v>
      </c>
      <c r="G8724" s="3" t="s">
        <v>48</v>
      </c>
      <c r="H8724" s="2" t="s">
        <v>21</v>
      </c>
      <c r="I8724" s="2" t="s">
        <v>17309</v>
      </c>
      <c r="J8724" s="3" t="str">
        <f>HYPERLINK("https://www.boe.es/gazeta/dias/1823/06/09/pdfs/GES-1823-63.pdf#page=3","Abrir facsímil")</f>
        <v>Abrir facsímil</v>
      </c>
      <c r="K8724" s="3" t="s">
        <v>23</v>
      </c>
    </row>
    <row r="8725" spans="1:11" ht="42" customHeight="1">
      <c r="A8725" s="2" t="s">
        <v>17310</v>
      </c>
      <c r="B8725" s="2" t="s">
        <v>17311</v>
      </c>
      <c r="C8725" s="2" t="s">
        <v>109</v>
      </c>
      <c r="D8725" s="2" t="s">
        <v>74</v>
      </c>
      <c r="E8725" s="5">
        <v>-28115</v>
      </c>
      <c r="F8725" s="3" t="s">
        <v>579</v>
      </c>
      <c r="G8725" s="3" t="s">
        <v>1458</v>
      </c>
      <c r="H8725" s="2" t="s">
        <v>21</v>
      </c>
      <c r="I8725" s="2" t="s">
        <v>17312</v>
      </c>
      <c r="J8725" s="3" t="str">
        <f>HYPERLINK("https://www.boe.es/gazeta/dias/1823/01/08/pdfs/GMD-1823-8.pdf#page=4","Abrir facsímil")</f>
        <v>Abrir facsímil</v>
      </c>
      <c r="K8725" s="3" t="s">
        <v>23</v>
      </c>
    </row>
    <row r="8726" spans="1:11" ht="42" customHeight="1">
      <c r="A8726" s="2" t="s">
        <v>17313</v>
      </c>
      <c r="B8726" s="2" t="s">
        <v>17313</v>
      </c>
      <c r="C8726" s="2" t="s">
        <v>17</v>
      </c>
      <c r="D8726" s="2" t="s">
        <v>18</v>
      </c>
      <c r="E8726" s="5">
        <v>-27937</v>
      </c>
      <c r="F8726" s="3" t="s">
        <v>897</v>
      </c>
      <c r="G8726" s="3" t="s">
        <v>1257</v>
      </c>
      <c r="H8726" s="2" t="s">
        <v>21</v>
      </c>
      <c r="I8726" s="2" t="s">
        <v>17314</v>
      </c>
      <c r="J8726" s="3" t="str">
        <f>HYPERLINK("https://www.boe.es/gazeta/dias/1823/07/05/pdfs/GMD-1823-343.pdf#page=6","Abrir facsímil")</f>
        <v>Abrir facsímil</v>
      </c>
      <c r="K8726" s="3" t="s">
        <v>23</v>
      </c>
    </row>
    <row r="8727" spans="1:11" ht="42" customHeight="1">
      <c r="A8727" s="2" t="s">
        <v>17315</v>
      </c>
      <c r="B8727" s="2" t="s">
        <v>17315</v>
      </c>
      <c r="C8727" s="2" t="s">
        <v>17</v>
      </c>
      <c r="D8727" s="2" t="s">
        <v>18</v>
      </c>
      <c r="E8727" s="5">
        <v>-28061</v>
      </c>
      <c r="F8727" s="3" t="s">
        <v>704</v>
      </c>
      <c r="G8727" s="3" t="s">
        <v>20</v>
      </c>
      <c r="H8727" s="2" t="s">
        <v>21</v>
      </c>
      <c r="I8727" s="2" t="s">
        <v>17316</v>
      </c>
      <c r="J8727" s="3" t="str">
        <f>HYPERLINK("https://www.boe.es/gazeta/dias/1823/03/03/pdfs/GMD-1823-66.pdf#page=4","Abrir facsímil")</f>
        <v>Abrir facsímil</v>
      </c>
      <c r="K8727" s="3" t="s">
        <v>23</v>
      </c>
    </row>
    <row r="8728" spans="1:11" ht="42" customHeight="1">
      <c r="A8728" s="2" t="s">
        <v>17315</v>
      </c>
      <c r="B8728" s="2" t="s">
        <v>17315</v>
      </c>
      <c r="C8728" s="2" t="s">
        <v>17</v>
      </c>
      <c r="D8728" s="2" t="s">
        <v>18</v>
      </c>
      <c r="E8728" s="5">
        <v>-28018</v>
      </c>
      <c r="F8728" s="3" t="s">
        <v>2613</v>
      </c>
      <c r="G8728" s="3" t="s">
        <v>34</v>
      </c>
      <c r="H8728" s="2" t="s">
        <v>21</v>
      </c>
      <c r="I8728" s="2" t="s">
        <v>17317</v>
      </c>
      <c r="J8728" s="3" t="str">
        <f>HYPERLINK("https://www.boe.es/gazeta/dias/1823/04/15/pdfs/GES-1823-5.pdf#page=5","Abrir facsímil")</f>
        <v>Abrir facsímil</v>
      </c>
      <c r="K8728" s="3" t="s">
        <v>23</v>
      </c>
    </row>
    <row r="8729" spans="1:11" ht="42" customHeight="1">
      <c r="A8729" s="2" t="s">
        <v>17315</v>
      </c>
      <c r="B8729" s="2" t="s">
        <v>17315</v>
      </c>
      <c r="C8729" s="2" t="s">
        <v>17</v>
      </c>
      <c r="D8729" s="2" t="s">
        <v>18</v>
      </c>
      <c r="E8729" s="5">
        <v>-28006</v>
      </c>
      <c r="F8729" s="3" t="s">
        <v>183</v>
      </c>
      <c r="G8729" s="3" t="s">
        <v>59</v>
      </c>
      <c r="H8729" s="2" t="s">
        <v>21</v>
      </c>
      <c r="I8729" s="2" t="s">
        <v>17318</v>
      </c>
      <c r="J8729" s="3" t="str">
        <f>HYPERLINK("https://www.boe.es/gazeta/dias/1823/04/27/pdfs/GES-1823-17.pdf#page=6","Abrir facsímil")</f>
        <v>Abrir facsímil</v>
      </c>
      <c r="K8729" s="3" t="s">
        <v>23</v>
      </c>
    </row>
    <row r="8730" spans="1:11" ht="42" customHeight="1">
      <c r="A8730" s="2" t="s">
        <v>17319</v>
      </c>
      <c r="B8730" s="2" t="s">
        <v>17320</v>
      </c>
      <c r="C8730" s="2" t="s">
        <v>17</v>
      </c>
      <c r="D8730" s="2" t="s">
        <v>18</v>
      </c>
      <c r="E8730" s="5">
        <v>-27846</v>
      </c>
      <c r="F8730" s="3" t="s">
        <v>2535</v>
      </c>
      <c r="G8730" s="3" t="s">
        <v>39</v>
      </c>
      <c r="H8730" s="2" t="s">
        <v>21</v>
      </c>
      <c r="I8730" s="2" t="s">
        <v>17321</v>
      </c>
      <c r="J8730" s="3" t="str">
        <f>HYPERLINK("https://www.boe.es/gazeta/dias/1823/10/04/pdfs/GMD-1823-913.pdf#page=1","Abrir facsímil")</f>
        <v>Abrir facsímil</v>
      </c>
      <c r="K8730" s="3" t="s">
        <v>23</v>
      </c>
    </row>
    <row r="8731" spans="1:11" ht="42" customHeight="1">
      <c r="A8731" s="2" t="s">
        <v>17322</v>
      </c>
      <c r="B8731" s="2" t="s">
        <v>17323</v>
      </c>
      <c r="C8731" s="2" t="s">
        <v>17</v>
      </c>
      <c r="D8731" s="2" t="s">
        <v>117</v>
      </c>
      <c r="E8731" s="5">
        <v>-27975</v>
      </c>
      <c r="F8731" s="3" t="s">
        <v>1922</v>
      </c>
      <c r="G8731" s="3" t="s">
        <v>39</v>
      </c>
      <c r="H8731" s="2" t="s">
        <v>21</v>
      </c>
      <c r="I8731" s="2" t="s">
        <v>17324</v>
      </c>
      <c r="J8731" s="3" t="str">
        <f>HYPERLINK("https://www.boe.es/gazeta/dias/1823/05/28/pdfs/GES-1823-51E.pdf#page=1","Abrir facsímil")</f>
        <v>Abrir facsímil</v>
      </c>
      <c r="K8731" s="3" t="s">
        <v>23</v>
      </c>
    </row>
    <row r="8732" spans="1:11" ht="42" customHeight="1">
      <c r="A8732" s="2" t="s">
        <v>17325</v>
      </c>
      <c r="B8732" s="2" t="s">
        <v>17326</v>
      </c>
      <c r="C8732" s="2" t="s">
        <v>56</v>
      </c>
      <c r="D8732" s="2" t="s">
        <v>57</v>
      </c>
      <c r="E8732" s="5">
        <v>-28055</v>
      </c>
      <c r="F8732" s="3" t="s">
        <v>313</v>
      </c>
      <c r="G8732" s="3" t="s">
        <v>20</v>
      </c>
      <c r="H8732" s="2" t="s">
        <v>21</v>
      </c>
      <c r="I8732" s="2" t="s">
        <v>17327</v>
      </c>
      <c r="J8732" s="3" t="str">
        <f>HYPERLINK("https://www.boe.es/gazeta/dias/1823/03/09/pdfs/GMD-1823-72.pdf#page=4","Abrir facsímil")</f>
        <v>Abrir facsímil</v>
      </c>
      <c r="K8732" s="3" t="s">
        <v>23</v>
      </c>
    </row>
    <row r="8733" spans="1:11" ht="42" customHeight="1">
      <c r="A8733" s="2" t="s">
        <v>17328</v>
      </c>
      <c r="B8733" s="2" t="s">
        <v>17329</v>
      </c>
      <c r="C8733" s="2" t="s">
        <v>84</v>
      </c>
      <c r="D8733" s="2" t="s">
        <v>74</v>
      </c>
      <c r="E8733" s="5">
        <v>-28094</v>
      </c>
      <c r="F8733" s="3" t="s">
        <v>93</v>
      </c>
      <c r="G8733" s="3" t="s">
        <v>20</v>
      </c>
      <c r="H8733" s="2" t="s">
        <v>28</v>
      </c>
      <c r="I8733" s="2" t="s">
        <v>17330</v>
      </c>
      <c r="J8733" s="3" t="str">
        <f>HYPERLINK("https://www.boe.es/gazeta/dias/1823/01/29/pdfs/GMD-1823-30.pdf#page=4","Abrir facsímil")</f>
        <v>Abrir facsímil</v>
      </c>
      <c r="K8733" s="3" t="s">
        <v>30</v>
      </c>
    </row>
    <row r="8734" spans="1:11" ht="42" customHeight="1">
      <c r="A8734" s="2" t="s">
        <v>17331</v>
      </c>
      <c r="B8734" s="2" t="s">
        <v>17331</v>
      </c>
      <c r="C8734" s="2" t="s">
        <v>109</v>
      </c>
      <c r="D8734" s="2" t="s">
        <v>74</v>
      </c>
      <c r="E8734" s="5">
        <v>-27932</v>
      </c>
      <c r="F8734" s="3" t="s">
        <v>707</v>
      </c>
      <c r="G8734" s="3" t="s">
        <v>27</v>
      </c>
      <c r="H8734" s="2" t="s">
        <v>21</v>
      </c>
      <c r="I8734" s="2" t="s">
        <v>17332</v>
      </c>
      <c r="J8734" s="3" t="str">
        <f>HYPERLINK("https://www.boe.es/gazeta/dias/1823/07/10/pdfs/GES-1823-90.pdf#page=2","Abrir facsímil")</f>
        <v>Abrir facsímil</v>
      </c>
      <c r="K8734" s="3" t="s">
        <v>23</v>
      </c>
    </row>
    <row r="8735" spans="1:11" ht="42" customHeight="1">
      <c r="A8735" s="2" t="s">
        <v>17333</v>
      </c>
      <c r="B8735" s="2" t="s">
        <v>17333</v>
      </c>
      <c r="C8735" s="2" t="s">
        <v>17</v>
      </c>
      <c r="D8735" s="2" t="s">
        <v>18</v>
      </c>
      <c r="E8735" s="5">
        <v>-28116</v>
      </c>
      <c r="F8735" s="3" t="s">
        <v>134</v>
      </c>
      <c r="G8735" s="3" t="s">
        <v>59</v>
      </c>
      <c r="H8735" s="2" t="s">
        <v>21</v>
      </c>
      <c r="I8735" s="2" t="s">
        <v>17334</v>
      </c>
      <c r="J8735" s="3" t="str">
        <f>HYPERLINK("https://www.boe.es/gazeta/dias/1823/01/07/pdfs/GMD-1823-7.pdf#page=6","Abrir facsímil")</f>
        <v>Abrir facsímil</v>
      </c>
      <c r="K8735" s="3" t="s">
        <v>23</v>
      </c>
    </row>
    <row r="8736" spans="1:11" ht="42" customHeight="1">
      <c r="A8736" s="2" t="s">
        <v>17333</v>
      </c>
      <c r="B8736" s="2" t="s">
        <v>17333</v>
      </c>
      <c r="C8736" s="2" t="s">
        <v>79</v>
      </c>
      <c r="D8736" s="2" t="s">
        <v>74</v>
      </c>
      <c r="E8736" s="5">
        <v>-27965</v>
      </c>
      <c r="F8736" s="3" t="s">
        <v>1930</v>
      </c>
      <c r="G8736" s="3" t="s">
        <v>20</v>
      </c>
      <c r="H8736" s="2" t="s">
        <v>21</v>
      </c>
      <c r="I8736" s="2" t="s">
        <v>17335</v>
      </c>
      <c r="J8736" s="3" t="str">
        <f>HYPERLINK("https://www.boe.es/gazeta/dias/1823/06/07/pdfs/GMD-1823-83.pdf#page=4","Abrir facsímil")</f>
        <v>Abrir facsímil</v>
      </c>
      <c r="K8736" s="3" t="s">
        <v>23</v>
      </c>
    </row>
    <row r="8737" spans="1:11" ht="42" customHeight="1">
      <c r="A8737" s="2" t="s">
        <v>17333</v>
      </c>
      <c r="B8737" s="2" t="s">
        <v>17333</v>
      </c>
      <c r="C8737" s="2" t="s">
        <v>79</v>
      </c>
      <c r="D8737" s="2" t="s">
        <v>74</v>
      </c>
      <c r="E8737" s="5">
        <v>-27946</v>
      </c>
      <c r="F8737" s="3" t="s">
        <v>1547</v>
      </c>
      <c r="G8737" s="3" t="s">
        <v>27</v>
      </c>
      <c r="H8737" s="2" t="s">
        <v>21</v>
      </c>
      <c r="I8737" s="2" t="s">
        <v>17336</v>
      </c>
      <c r="J8737" s="3" t="str">
        <f>HYPERLINK("https://www.boe.es/gazeta/dias/1823/06/26/pdfs/GMD-1823-283.pdf#page=2","Abrir facsímil")</f>
        <v>Abrir facsímil</v>
      </c>
      <c r="K8737" s="3" t="s">
        <v>23</v>
      </c>
    </row>
    <row r="8738" spans="1:11" ht="42" customHeight="1">
      <c r="A8738" s="2" t="s">
        <v>17333</v>
      </c>
      <c r="B8738" s="2" t="s">
        <v>17333</v>
      </c>
      <c r="C8738" s="2" t="s">
        <v>79</v>
      </c>
      <c r="D8738" s="2" t="s">
        <v>74</v>
      </c>
      <c r="E8738" s="5">
        <v>-27911</v>
      </c>
      <c r="F8738" s="3" t="s">
        <v>1393</v>
      </c>
      <c r="G8738" s="3" t="s">
        <v>20</v>
      </c>
      <c r="H8738" s="2" t="s">
        <v>21</v>
      </c>
      <c r="I8738" s="2" t="s">
        <v>17337</v>
      </c>
      <c r="J8738" s="3" t="str">
        <f>HYPERLINK("https://www.boe.es/gazeta/dias/1823/07/31/pdfs/GMD-1823-503.pdf#page=4","Abrir facsímil")</f>
        <v>Abrir facsímil</v>
      </c>
      <c r="K8738" s="3" t="s">
        <v>23</v>
      </c>
    </row>
    <row r="8739" spans="1:11" ht="42" customHeight="1">
      <c r="A8739" s="2" t="s">
        <v>17333</v>
      </c>
      <c r="B8739" s="2" t="s">
        <v>17333</v>
      </c>
      <c r="C8739" s="2" t="s">
        <v>17</v>
      </c>
      <c r="D8739" s="2" t="s">
        <v>18</v>
      </c>
      <c r="E8739" s="5">
        <v>-27892</v>
      </c>
      <c r="F8739" s="3" t="s">
        <v>1571</v>
      </c>
      <c r="G8739" s="3" t="s">
        <v>20</v>
      </c>
      <c r="H8739" s="2" t="s">
        <v>21</v>
      </c>
      <c r="I8739" s="2" t="s">
        <v>17338</v>
      </c>
      <c r="J8739" s="3" t="str">
        <f>HYPERLINK("https://www.boe.es/gazeta/dias/1823/08/19/pdfs/GMD-1823-613.pdf#page=4","Abrir facsímil")</f>
        <v>Abrir facsímil</v>
      </c>
      <c r="K8739" s="3" t="s">
        <v>23</v>
      </c>
    </row>
    <row r="8740" spans="1:11" ht="42" customHeight="1">
      <c r="A8740" s="2" t="s">
        <v>17339</v>
      </c>
      <c r="B8740" s="2" t="s">
        <v>17339</v>
      </c>
      <c r="C8740" s="2" t="s">
        <v>17</v>
      </c>
      <c r="D8740" s="2" t="s">
        <v>18</v>
      </c>
      <c r="E8740" s="5">
        <v>-28003</v>
      </c>
      <c r="F8740" s="3" t="s">
        <v>26</v>
      </c>
      <c r="G8740" s="3" t="s">
        <v>27</v>
      </c>
      <c r="H8740" s="2" t="s">
        <v>21</v>
      </c>
      <c r="I8740" s="2" t="s">
        <v>17340</v>
      </c>
      <c r="J8740" s="3" t="str">
        <f>HYPERLINK("https://www.boe.es/gazeta/dias/1823/04/30/pdfs/GES-1823-20.pdf#page=2","Abrir facsímil")</f>
        <v>Abrir facsímil</v>
      </c>
      <c r="K8740" s="3" t="s">
        <v>23</v>
      </c>
    </row>
    <row r="8741" spans="1:11" ht="42" customHeight="1">
      <c r="A8741" s="2" t="s">
        <v>17339</v>
      </c>
      <c r="B8741" s="2" t="s">
        <v>17339</v>
      </c>
      <c r="C8741" s="2" t="s">
        <v>109</v>
      </c>
      <c r="D8741" s="2" t="s">
        <v>74</v>
      </c>
      <c r="E8741" s="5">
        <v>-28002</v>
      </c>
      <c r="F8741" s="3" t="s">
        <v>315</v>
      </c>
      <c r="G8741" s="3" t="s">
        <v>27</v>
      </c>
      <c r="H8741" s="2" t="s">
        <v>21</v>
      </c>
      <c r="I8741" s="2" t="s">
        <v>17341</v>
      </c>
      <c r="J8741" s="3" t="str">
        <f>HYPERLINK("https://www.boe.es/gazeta/dias/1823/05/01/pdfs/GES-1823-21.pdf#page=2","Abrir facsímil")</f>
        <v>Abrir facsímil</v>
      </c>
      <c r="K8741" s="3" t="s">
        <v>23</v>
      </c>
    </row>
    <row r="8742" spans="1:11" ht="42" customHeight="1">
      <c r="A8742" s="2" t="s">
        <v>17339</v>
      </c>
      <c r="B8742" s="2" t="s">
        <v>17339</v>
      </c>
      <c r="C8742" s="2" t="s">
        <v>73</v>
      </c>
      <c r="D8742" s="2" t="s">
        <v>74</v>
      </c>
      <c r="E8742" s="5">
        <v>-27940</v>
      </c>
      <c r="F8742" s="3" t="s">
        <v>348</v>
      </c>
      <c r="G8742" s="3" t="s">
        <v>48</v>
      </c>
      <c r="H8742" s="2" t="s">
        <v>21</v>
      </c>
      <c r="I8742" s="2" t="s">
        <v>17342</v>
      </c>
      <c r="J8742" s="3" t="str">
        <f>HYPERLINK("https://www.boe.es/gazeta/dias/1823/07/02/pdfs/GES-1823-82.pdf#page=3","Abrir facsímil")</f>
        <v>Abrir facsímil</v>
      </c>
      <c r="K8742" s="3" t="s">
        <v>23</v>
      </c>
    </row>
    <row r="8743" spans="1:11" ht="42" customHeight="1">
      <c r="A8743" s="2" t="s">
        <v>17343</v>
      </c>
      <c r="B8743" s="2" t="s">
        <v>17343</v>
      </c>
      <c r="C8743" s="2" t="s">
        <v>17</v>
      </c>
      <c r="D8743" s="2" t="s">
        <v>18</v>
      </c>
      <c r="E8743" s="5">
        <v>-28077</v>
      </c>
      <c r="F8743" s="3" t="s">
        <v>536</v>
      </c>
      <c r="G8743" s="3" t="s">
        <v>59</v>
      </c>
      <c r="H8743" s="2" t="s">
        <v>21</v>
      </c>
      <c r="I8743" s="2" t="s">
        <v>17344</v>
      </c>
      <c r="J8743" s="3" t="str">
        <f>HYPERLINK("https://www.boe.es/gazeta/dias/1823/02/15/pdfs/GMD-1823-49.pdf#page=6","Abrir facsímil")</f>
        <v>Abrir facsímil</v>
      </c>
      <c r="K8743" s="3" t="s">
        <v>23</v>
      </c>
    </row>
    <row r="8744" spans="1:11" ht="42" customHeight="1">
      <c r="A8744" s="2" t="s">
        <v>17345</v>
      </c>
      <c r="B8744" s="2" t="s">
        <v>17346</v>
      </c>
      <c r="C8744" s="2" t="s">
        <v>17</v>
      </c>
      <c r="D8744" s="2" t="s">
        <v>18</v>
      </c>
      <c r="E8744" s="5">
        <v>-28062</v>
      </c>
      <c r="F8744" s="3" t="s">
        <v>1357</v>
      </c>
      <c r="G8744" s="3" t="s">
        <v>20</v>
      </c>
      <c r="H8744" s="2" t="s">
        <v>21</v>
      </c>
      <c r="I8744" s="2" t="s">
        <v>17347</v>
      </c>
      <c r="J8744" s="3" t="str">
        <f>HYPERLINK("https://www.boe.es/gazeta/dias/1823/03/02/pdfs/GMD-1823-65.pdf#page=4","Abrir facsímil")</f>
        <v>Abrir facsímil</v>
      </c>
      <c r="K8744" s="3" t="s">
        <v>23</v>
      </c>
    </row>
    <row r="8745" spans="1:11" ht="42" customHeight="1">
      <c r="A8745" s="2" t="s">
        <v>17348</v>
      </c>
      <c r="B8745" s="2" t="s">
        <v>17349</v>
      </c>
      <c r="C8745" s="2" t="s">
        <v>56</v>
      </c>
      <c r="D8745" s="2" t="s">
        <v>57</v>
      </c>
      <c r="E8745" s="5">
        <v>-28112</v>
      </c>
      <c r="F8745" s="3" t="s">
        <v>43</v>
      </c>
      <c r="G8745" s="3" t="s">
        <v>27</v>
      </c>
      <c r="H8745" s="2" t="s">
        <v>21</v>
      </c>
      <c r="I8745" s="2" t="s">
        <v>17350</v>
      </c>
      <c r="J8745" s="3" t="str">
        <f>HYPERLINK("https://www.boe.es/gazeta/dias/1823/01/11/pdfs/GMD-1823-11.pdf#page=2","Abrir facsímil")</f>
        <v>Abrir facsímil</v>
      </c>
      <c r="K8745" s="3" t="s">
        <v>23</v>
      </c>
    </row>
    <row r="8746" spans="1:11" ht="42" customHeight="1">
      <c r="A8746" s="2" t="s">
        <v>17351</v>
      </c>
      <c r="B8746" s="2" t="s">
        <v>17352</v>
      </c>
      <c r="C8746" s="2" t="s">
        <v>17</v>
      </c>
      <c r="D8746" s="2" t="s">
        <v>18</v>
      </c>
      <c r="E8746" s="5">
        <v>-28092</v>
      </c>
      <c r="F8746" s="3" t="s">
        <v>105</v>
      </c>
      <c r="G8746" s="3" t="s">
        <v>20</v>
      </c>
      <c r="H8746" s="2" t="s">
        <v>21</v>
      </c>
      <c r="I8746" s="2" t="s">
        <v>17353</v>
      </c>
      <c r="J8746" s="3" t="str">
        <f>HYPERLINK("https://www.boe.es/gazeta/dias/1823/01/31/pdfs/GMD-1823-32.pdf#page=4","Abrir facsímil")</f>
        <v>Abrir facsímil</v>
      </c>
      <c r="K8746" s="3" t="s">
        <v>23</v>
      </c>
    </row>
    <row r="8747" spans="1:11" ht="42" customHeight="1">
      <c r="A8747" s="2" t="s">
        <v>17354</v>
      </c>
      <c r="B8747" s="2" t="s">
        <v>17354</v>
      </c>
      <c r="C8747" s="2" t="s">
        <v>17</v>
      </c>
      <c r="D8747" s="2" t="s">
        <v>18</v>
      </c>
      <c r="E8747" s="5">
        <v>-27990</v>
      </c>
      <c r="F8747" s="3" t="s">
        <v>330</v>
      </c>
      <c r="G8747" s="3" t="s">
        <v>39</v>
      </c>
      <c r="H8747" s="2" t="s">
        <v>21</v>
      </c>
      <c r="I8747" s="2" t="s">
        <v>17355</v>
      </c>
      <c r="J8747" s="3" t="str">
        <f>HYPERLINK("https://www.boe.es/gazeta/dias/1823/05/13/pdfs/GMD-1823-132.pdf#page=1","Abrir facsímil")</f>
        <v>Abrir facsímil</v>
      </c>
      <c r="K8747" s="3" t="s">
        <v>23</v>
      </c>
    </row>
    <row r="8748" spans="1:11" ht="42" customHeight="1">
      <c r="A8748" s="2" t="s">
        <v>17354</v>
      </c>
      <c r="B8748" s="2" t="s">
        <v>17354</v>
      </c>
      <c r="C8748" s="2" t="s">
        <v>17</v>
      </c>
      <c r="D8748" s="2" t="s">
        <v>18</v>
      </c>
      <c r="E8748" s="5">
        <v>-27917</v>
      </c>
      <c r="F8748" s="3" t="s">
        <v>363</v>
      </c>
      <c r="G8748" s="3" t="s">
        <v>39</v>
      </c>
      <c r="H8748" s="2" t="s">
        <v>21</v>
      </c>
      <c r="I8748" s="2" t="s">
        <v>17356</v>
      </c>
      <c r="J8748" s="3" t="str">
        <f>HYPERLINK("https://www.boe.es/gazeta/dias/1823/07/25/pdfs/GES-1823-106.pdf#page=1","Abrir facsímil")</f>
        <v>Abrir facsímil</v>
      </c>
      <c r="K8748" s="3" t="s">
        <v>23</v>
      </c>
    </row>
    <row r="8749" spans="1:11" ht="42" customHeight="1">
      <c r="A8749" s="2" t="s">
        <v>17354</v>
      </c>
      <c r="B8749" s="2" t="s">
        <v>17354</v>
      </c>
      <c r="C8749" s="2" t="s">
        <v>17</v>
      </c>
      <c r="D8749" s="2" t="s">
        <v>18</v>
      </c>
      <c r="E8749" s="5">
        <v>-27917</v>
      </c>
      <c r="F8749" s="3" t="s">
        <v>363</v>
      </c>
      <c r="G8749" s="3" t="s">
        <v>27</v>
      </c>
      <c r="H8749" s="2" t="s">
        <v>21</v>
      </c>
      <c r="I8749" s="2" t="s">
        <v>17357</v>
      </c>
      <c r="J8749" s="3" t="str">
        <f>HYPERLINK("https://www.boe.es/gazeta/dias/1823/07/25/pdfs/GES-1823-106.pdf#page=2","Abrir facsímil")</f>
        <v>Abrir facsímil</v>
      </c>
      <c r="K8749" s="3" t="s">
        <v>23</v>
      </c>
    </row>
    <row r="8750" spans="1:11" ht="42" customHeight="1">
      <c r="A8750" s="2" t="s">
        <v>17354</v>
      </c>
      <c r="B8750" s="2" t="s">
        <v>17354</v>
      </c>
      <c r="C8750" s="2" t="s">
        <v>17</v>
      </c>
      <c r="D8750" s="2" t="s">
        <v>18</v>
      </c>
      <c r="E8750" s="5">
        <v>-27915</v>
      </c>
      <c r="F8750" s="3" t="s">
        <v>524</v>
      </c>
      <c r="G8750" s="3" t="s">
        <v>48</v>
      </c>
      <c r="H8750" s="2" t="s">
        <v>21</v>
      </c>
      <c r="I8750" s="2" t="s">
        <v>17358</v>
      </c>
      <c r="J8750" s="3" t="str">
        <f>HYPERLINK("https://www.boe.es/gazeta/dias/1823/07/27/pdfs/GES-1823-108.pdf#page=3","Abrir facsímil")</f>
        <v>Abrir facsímil</v>
      </c>
      <c r="K8750" s="3" t="s">
        <v>23</v>
      </c>
    </row>
    <row r="8751" spans="1:11" ht="42" customHeight="1">
      <c r="A8751" s="2" t="s">
        <v>17354</v>
      </c>
      <c r="B8751" s="2" t="s">
        <v>17354</v>
      </c>
      <c r="C8751" s="2" t="s">
        <v>79</v>
      </c>
      <c r="D8751" s="2" t="s">
        <v>74</v>
      </c>
      <c r="E8751" s="5">
        <v>-27911</v>
      </c>
      <c r="F8751" s="3" t="s">
        <v>1393</v>
      </c>
      <c r="G8751" s="3" t="s">
        <v>20</v>
      </c>
      <c r="H8751" s="2" t="s">
        <v>21</v>
      </c>
      <c r="I8751" s="2" t="s">
        <v>17359</v>
      </c>
      <c r="J8751" s="3" t="str">
        <f>HYPERLINK("https://www.boe.es/gazeta/dias/1823/07/31/pdfs/GMD-1823-503.pdf#page=4","Abrir facsímil")</f>
        <v>Abrir facsímil</v>
      </c>
      <c r="K8751" s="3" t="s">
        <v>23</v>
      </c>
    </row>
    <row r="8752" spans="1:11" ht="42" customHeight="1">
      <c r="A8752" s="2" t="s">
        <v>17354</v>
      </c>
      <c r="B8752" s="2" t="s">
        <v>17354</v>
      </c>
      <c r="C8752" s="2" t="s">
        <v>17</v>
      </c>
      <c r="D8752" s="2" t="s">
        <v>18</v>
      </c>
      <c r="E8752" s="5">
        <v>-27897</v>
      </c>
      <c r="F8752" s="3" t="s">
        <v>1569</v>
      </c>
      <c r="G8752" s="3" t="s">
        <v>48</v>
      </c>
      <c r="H8752" s="2" t="s">
        <v>21</v>
      </c>
      <c r="I8752" s="2" t="s">
        <v>17360</v>
      </c>
      <c r="J8752" s="3" t="str">
        <f>HYPERLINK("https://www.boe.es/gazeta/dias/1823/08/14/pdfs/GMD-1823-593.pdf#page=3","Abrir facsímil")</f>
        <v>Abrir facsímil</v>
      </c>
      <c r="K8752" s="3" t="s">
        <v>23</v>
      </c>
    </row>
    <row r="8753" spans="1:11" ht="42" customHeight="1">
      <c r="A8753" s="2" t="s">
        <v>17354</v>
      </c>
      <c r="B8753" s="2" t="s">
        <v>17354</v>
      </c>
      <c r="C8753" s="2" t="s">
        <v>17</v>
      </c>
      <c r="D8753" s="2" t="s">
        <v>18</v>
      </c>
      <c r="E8753" s="5">
        <v>-27897</v>
      </c>
      <c r="F8753" s="3" t="s">
        <v>1569</v>
      </c>
      <c r="G8753" s="3" t="s">
        <v>20</v>
      </c>
      <c r="H8753" s="2" t="s">
        <v>21</v>
      </c>
      <c r="I8753" s="2" t="s">
        <v>17361</v>
      </c>
      <c r="J8753" s="3" t="str">
        <f>HYPERLINK("https://www.boe.es/gazeta/dias/1823/08/14/pdfs/GMD-1823-593.pdf#page=4","Abrir facsímil")</f>
        <v>Abrir facsímil</v>
      </c>
      <c r="K8753" s="3" t="s">
        <v>23</v>
      </c>
    </row>
    <row r="8754" spans="1:11" ht="42" customHeight="1">
      <c r="A8754" s="2" t="s">
        <v>17354</v>
      </c>
      <c r="B8754" s="2" t="s">
        <v>17354</v>
      </c>
      <c r="C8754" s="2" t="s">
        <v>17</v>
      </c>
      <c r="D8754" s="2" t="s">
        <v>18</v>
      </c>
      <c r="E8754" s="5">
        <v>-27890</v>
      </c>
      <c r="F8754" s="3" t="s">
        <v>1573</v>
      </c>
      <c r="G8754" s="3" t="s">
        <v>48</v>
      </c>
      <c r="H8754" s="2" t="s">
        <v>21</v>
      </c>
      <c r="I8754" s="2" t="s">
        <v>17362</v>
      </c>
      <c r="J8754" s="3" t="str">
        <f>HYPERLINK("https://www.boe.es/gazeta/dias/1823/08/21/pdfs/GMD-1823-623.pdf#page=3","Abrir facsímil")</f>
        <v>Abrir facsímil</v>
      </c>
      <c r="K8754" s="3" t="s">
        <v>23</v>
      </c>
    </row>
    <row r="8755" spans="1:11" ht="42" customHeight="1">
      <c r="A8755" s="2" t="s">
        <v>17354</v>
      </c>
      <c r="B8755" s="2" t="s">
        <v>17354</v>
      </c>
      <c r="C8755" s="2" t="s">
        <v>293</v>
      </c>
      <c r="D8755" s="2" t="s">
        <v>74</v>
      </c>
      <c r="E8755" s="5">
        <v>-27890</v>
      </c>
      <c r="F8755" s="3" t="s">
        <v>1573</v>
      </c>
      <c r="G8755" s="3" t="s">
        <v>20</v>
      </c>
      <c r="H8755" s="2" t="s">
        <v>21</v>
      </c>
      <c r="I8755" s="2" t="s">
        <v>17363</v>
      </c>
      <c r="J8755" s="3" t="str">
        <f>HYPERLINK("https://www.boe.es/gazeta/dias/1823/08/21/pdfs/GMD-1823-623.pdf#page=4","Abrir facsímil")</f>
        <v>Abrir facsímil</v>
      </c>
      <c r="K8755" s="3" t="s">
        <v>23</v>
      </c>
    </row>
    <row r="8756" spans="1:11" ht="42" customHeight="1">
      <c r="A8756" s="2" t="s">
        <v>17354</v>
      </c>
      <c r="B8756" s="2" t="s">
        <v>17354</v>
      </c>
      <c r="C8756" s="2" t="s">
        <v>17</v>
      </c>
      <c r="D8756" s="2" t="s">
        <v>18</v>
      </c>
      <c r="E8756" s="5">
        <v>-27866</v>
      </c>
      <c r="F8756" s="3" t="s">
        <v>1262</v>
      </c>
      <c r="G8756" s="3" t="s">
        <v>27</v>
      </c>
      <c r="H8756" s="2" t="s">
        <v>21</v>
      </c>
      <c r="I8756" s="2" t="s">
        <v>17364</v>
      </c>
      <c r="J8756" s="3" t="str">
        <f>HYPERLINK("https://www.boe.es/gazeta/dias/1823/09/14/pdfs/GES-1823-158.pdf#page=2","Abrir facsímil")</f>
        <v>Abrir facsímil</v>
      </c>
      <c r="K8756" s="3" t="s">
        <v>23</v>
      </c>
    </row>
    <row r="8757" spans="1:11" ht="42" customHeight="1">
      <c r="A8757" s="2" t="s">
        <v>17365</v>
      </c>
      <c r="B8757" s="2" t="s">
        <v>17366</v>
      </c>
      <c r="C8757" s="2" t="s">
        <v>17</v>
      </c>
      <c r="D8757" s="2" t="s">
        <v>18</v>
      </c>
      <c r="E8757" s="5">
        <v>-28025</v>
      </c>
      <c r="F8757" s="3" t="s">
        <v>477</v>
      </c>
      <c r="G8757" s="3" t="s">
        <v>20</v>
      </c>
      <c r="H8757" s="2" t="s">
        <v>21</v>
      </c>
      <c r="I8757" s="2" t="s">
        <v>17367</v>
      </c>
      <c r="J8757" s="3" t="str">
        <f>HYPERLINK("https://www.boe.es/gazeta/dias/1823/04/08/pdfs/GMD-1823-103.pdf#page=4","Abrir facsímil")</f>
        <v>Abrir facsímil</v>
      </c>
      <c r="K8757" s="3" t="s">
        <v>23</v>
      </c>
    </row>
    <row r="8758" spans="1:11" ht="42" customHeight="1">
      <c r="A8758" s="2" t="s">
        <v>17365</v>
      </c>
      <c r="B8758" s="2" t="s">
        <v>17366</v>
      </c>
      <c r="C8758" s="2" t="s">
        <v>17</v>
      </c>
      <c r="D8758" s="2" t="s">
        <v>18</v>
      </c>
      <c r="E8758" s="5">
        <v>-28004</v>
      </c>
      <c r="F8758" s="3" t="s">
        <v>313</v>
      </c>
      <c r="G8758" s="3" t="s">
        <v>27</v>
      </c>
      <c r="H8758" s="2" t="s">
        <v>21</v>
      </c>
      <c r="I8758" s="2" t="s">
        <v>17368</v>
      </c>
      <c r="J8758" s="3" t="str">
        <f>HYPERLINK("https://www.boe.es/gazeta/dias/1823/04/29/pdfs/GMD-1823-72.pdf#page=2","Abrir facsímil")</f>
        <v>Abrir facsímil</v>
      </c>
      <c r="K8758" s="3" t="s">
        <v>23</v>
      </c>
    </row>
    <row r="8759" spans="1:11" ht="42" customHeight="1">
      <c r="A8759" s="2" t="s">
        <v>17365</v>
      </c>
      <c r="B8759" s="2" t="s">
        <v>17366</v>
      </c>
      <c r="C8759" s="2" t="s">
        <v>17</v>
      </c>
      <c r="D8759" s="2" t="s">
        <v>18</v>
      </c>
      <c r="E8759" s="5">
        <v>-27915</v>
      </c>
      <c r="F8759" s="3" t="s">
        <v>524</v>
      </c>
      <c r="G8759" s="3" t="s">
        <v>20</v>
      </c>
      <c r="H8759" s="2" t="s">
        <v>21</v>
      </c>
      <c r="I8759" s="2" t="s">
        <v>17369</v>
      </c>
      <c r="J8759" s="3" t="str">
        <f>HYPERLINK("https://www.boe.es/gazeta/dias/1823/07/27/pdfs/GES-1823-108.pdf#page=4","Abrir facsímil")</f>
        <v>Abrir facsímil</v>
      </c>
      <c r="K8759" s="3" t="s">
        <v>23</v>
      </c>
    </row>
    <row r="8760" spans="1:11" ht="42" customHeight="1">
      <c r="A8760" s="2" t="s">
        <v>17370</v>
      </c>
      <c r="B8760" s="2" t="s">
        <v>17371</v>
      </c>
      <c r="C8760" s="2" t="s">
        <v>56</v>
      </c>
      <c r="D8760" s="2" t="s">
        <v>57</v>
      </c>
      <c r="E8760" s="5">
        <v>-28042</v>
      </c>
      <c r="F8760" s="3" t="s">
        <v>1218</v>
      </c>
      <c r="G8760" s="3" t="s">
        <v>48</v>
      </c>
      <c r="H8760" s="2" t="s">
        <v>21</v>
      </c>
      <c r="I8760" s="2" t="s">
        <v>17372</v>
      </c>
      <c r="J8760" s="3" t="str">
        <f>HYPERLINK("https://www.boe.es/gazeta/dias/1823/03/22/pdfs/GMD-1823-85.pdf#page=3","Abrir facsímil")</f>
        <v>Abrir facsímil</v>
      </c>
      <c r="K8760" s="3" t="s">
        <v>23</v>
      </c>
    </row>
    <row r="8761" spans="1:11" ht="42" customHeight="1">
      <c r="A8761" s="2" t="s">
        <v>17373</v>
      </c>
      <c r="B8761" s="2" t="s">
        <v>17373</v>
      </c>
      <c r="C8761" s="2" t="s">
        <v>17</v>
      </c>
      <c r="D8761" s="2" t="s">
        <v>18</v>
      </c>
      <c r="E8761" s="5">
        <v>-28083</v>
      </c>
      <c r="F8761" s="3" t="s">
        <v>291</v>
      </c>
      <c r="G8761" s="3" t="s">
        <v>39</v>
      </c>
      <c r="H8761" s="2" t="s">
        <v>21</v>
      </c>
      <c r="I8761" s="2" t="s">
        <v>17374</v>
      </c>
      <c r="J8761" s="3" t="str">
        <f>HYPERLINK("https://www.boe.es/gazeta/dias/1823/02/09/pdfs/GMD-1823-43.pdf#page=1","Abrir facsímil")</f>
        <v>Abrir facsímil</v>
      </c>
      <c r="K8761" s="3" t="s">
        <v>23</v>
      </c>
    </row>
    <row r="8762" spans="1:11" ht="42" customHeight="1">
      <c r="A8762" s="2" t="s">
        <v>17375</v>
      </c>
      <c r="B8762" s="2" t="s">
        <v>17376</v>
      </c>
      <c r="C8762" s="2" t="s">
        <v>79</v>
      </c>
      <c r="D8762" s="2" t="s">
        <v>74</v>
      </c>
      <c r="E8762" s="5">
        <v>-28025</v>
      </c>
      <c r="F8762" s="3" t="s">
        <v>477</v>
      </c>
      <c r="G8762" s="3" t="s">
        <v>20</v>
      </c>
      <c r="H8762" s="2" t="s">
        <v>28</v>
      </c>
      <c r="I8762" s="2" t="s">
        <v>17377</v>
      </c>
      <c r="J8762" s="3" t="str">
        <f>HYPERLINK("https://www.boe.es/gazeta/dias/1823/04/08/pdfs/GMD-1823-103.pdf#page=4","Abrir facsímil")</f>
        <v>Abrir facsímil</v>
      </c>
      <c r="K8762" s="3" t="s">
        <v>30</v>
      </c>
    </row>
    <row r="8763" spans="1:11" ht="42" customHeight="1">
      <c r="A8763" s="2" t="s">
        <v>17378</v>
      </c>
      <c r="B8763" s="2" t="s">
        <v>17379</v>
      </c>
      <c r="C8763" s="2" t="s">
        <v>17</v>
      </c>
      <c r="D8763" s="2" t="s">
        <v>18</v>
      </c>
      <c r="E8763" s="5">
        <v>-28008</v>
      </c>
      <c r="F8763" s="3" t="s">
        <v>309</v>
      </c>
      <c r="G8763" s="3" t="s">
        <v>39</v>
      </c>
      <c r="H8763" s="2" t="s">
        <v>28</v>
      </c>
      <c r="I8763" s="2" t="s">
        <v>17380</v>
      </c>
      <c r="J8763" s="3" t="str">
        <f>HYPERLINK("https://www.boe.es/gazeta/dias/1823/04/25/pdfs/GES-1823-15.pdf#page=1","Abrir facsímil")</f>
        <v>Abrir facsímil</v>
      </c>
      <c r="K8763" s="3" t="s">
        <v>30</v>
      </c>
    </row>
    <row r="8764" spans="1:11" ht="42" customHeight="1">
      <c r="A8764" s="2" t="s">
        <v>17381</v>
      </c>
      <c r="B8764" s="2" t="s">
        <v>17382</v>
      </c>
      <c r="C8764" s="2" t="s">
        <v>79</v>
      </c>
      <c r="D8764" s="2" t="s">
        <v>74</v>
      </c>
      <c r="E8764" s="5">
        <v>-28038</v>
      </c>
      <c r="F8764" s="3" t="s">
        <v>2379</v>
      </c>
      <c r="G8764" s="3" t="s">
        <v>20</v>
      </c>
      <c r="H8764" s="2" t="s">
        <v>28</v>
      </c>
      <c r="I8764" s="2" t="s">
        <v>17383</v>
      </c>
      <c r="J8764" s="3" t="str">
        <f>HYPERLINK("https://www.boe.es/gazeta/dias/1823/03/26/pdfs/GMD-1823-89.pdf#page=4","Abrir facsímil")</f>
        <v>Abrir facsímil</v>
      </c>
      <c r="K8764" s="3" t="s">
        <v>30</v>
      </c>
    </row>
    <row r="8765" spans="1:11" ht="42" customHeight="1">
      <c r="A8765" s="2" t="s">
        <v>17384</v>
      </c>
      <c r="B8765" s="2" t="s">
        <v>17385</v>
      </c>
      <c r="C8765" s="2" t="s">
        <v>17</v>
      </c>
      <c r="D8765" s="2" t="s">
        <v>18</v>
      </c>
      <c r="E8765" s="5">
        <v>-27980</v>
      </c>
      <c r="F8765" s="3" t="s">
        <v>1068</v>
      </c>
      <c r="G8765" s="3" t="s">
        <v>39</v>
      </c>
      <c r="H8765" s="2" t="s">
        <v>28</v>
      </c>
      <c r="I8765" s="2" t="s">
        <v>17386</v>
      </c>
      <c r="J8765" s="3" t="str">
        <f>HYPERLINK("https://www.boe.es/gazeta/dias/1823/05/23/pdfs/GES-1823-44.pdf#page=1","Abrir facsímil")</f>
        <v>Abrir facsímil</v>
      </c>
      <c r="K8765" s="3" t="s">
        <v>30</v>
      </c>
    </row>
    <row r="8766" spans="1:11" ht="42" customHeight="1">
      <c r="A8766" s="2" t="s">
        <v>17387</v>
      </c>
      <c r="B8766" s="2" t="s">
        <v>17388</v>
      </c>
      <c r="C8766" s="2" t="s">
        <v>79</v>
      </c>
      <c r="D8766" s="2" t="s">
        <v>74</v>
      </c>
      <c r="E8766" s="5">
        <v>-27864</v>
      </c>
      <c r="F8766" s="3" t="s">
        <v>395</v>
      </c>
      <c r="G8766" s="3" t="s">
        <v>27</v>
      </c>
      <c r="H8766" s="2" t="s">
        <v>28</v>
      </c>
      <c r="I8766" s="2" t="s">
        <v>17389</v>
      </c>
      <c r="J8766" s="3" t="str">
        <f>HYPERLINK("https://www.boe.es/gazeta/dias/1823/09/16/pdfs/GMD-1823-783.pdf#page=2","Abrir facsímil")</f>
        <v>Abrir facsímil</v>
      </c>
      <c r="K8766" s="3" t="s">
        <v>30</v>
      </c>
    </row>
    <row r="8767" spans="1:11" ht="42" customHeight="1">
      <c r="A8767" s="2" t="s">
        <v>17390</v>
      </c>
      <c r="B8767" s="2" t="s">
        <v>17390</v>
      </c>
      <c r="C8767" s="2" t="s">
        <v>17</v>
      </c>
      <c r="D8767" s="2" t="s">
        <v>18</v>
      </c>
      <c r="E8767" s="5">
        <v>-28121</v>
      </c>
      <c r="F8767" s="3" t="s">
        <v>575</v>
      </c>
      <c r="G8767" s="3" t="s">
        <v>39</v>
      </c>
      <c r="H8767" s="2" t="s">
        <v>21</v>
      </c>
      <c r="I8767" s="2" t="s">
        <v>17391</v>
      </c>
      <c r="J8767" s="3" t="str">
        <f>HYPERLINK("https://www.boe.es/gazeta/dias/1823/01/02/pdfs/GMD-1823-2.pdf#page=1","Abrir facsímil")</f>
        <v>Abrir facsímil</v>
      </c>
      <c r="K8767" s="3" t="s">
        <v>23</v>
      </c>
    </row>
    <row r="8768" spans="1:11" ht="42" customHeight="1">
      <c r="A8768" s="2" t="s">
        <v>17390</v>
      </c>
      <c r="B8768" s="2" t="s">
        <v>17390</v>
      </c>
      <c r="C8768" s="2" t="s">
        <v>79</v>
      </c>
      <c r="D8768" s="2" t="s">
        <v>74</v>
      </c>
      <c r="E8768" s="5">
        <v>-28016</v>
      </c>
      <c r="F8768" s="3" t="s">
        <v>2259</v>
      </c>
      <c r="G8768" s="3" t="s">
        <v>48</v>
      </c>
      <c r="H8768" s="2" t="s">
        <v>21</v>
      </c>
      <c r="I8768" s="2" t="s">
        <v>17392</v>
      </c>
      <c r="J8768" s="3" t="str">
        <f>HYPERLINK("https://www.boe.es/gazeta/dias/1823/04/17/pdfs/GES-1823-7.pdf#page=3","Abrir facsímil")</f>
        <v>Abrir facsímil</v>
      </c>
      <c r="K8768" s="3" t="s">
        <v>23</v>
      </c>
    </row>
    <row r="8769" spans="1:11" ht="42" customHeight="1">
      <c r="A8769" s="2" t="s">
        <v>17390</v>
      </c>
      <c r="B8769" s="2" t="s">
        <v>17390</v>
      </c>
      <c r="C8769" s="2" t="s">
        <v>17</v>
      </c>
      <c r="D8769" s="2" t="s">
        <v>18</v>
      </c>
      <c r="E8769" s="5">
        <v>-27991</v>
      </c>
      <c r="F8769" s="3" t="s">
        <v>328</v>
      </c>
      <c r="G8769" s="3" t="s">
        <v>27</v>
      </c>
      <c r="H8769" s="2" t="s">
        <v>21</v>
      </c>
      <c r="I8769" s="2" t="s">
        <v>17393</v>
      </c>
      <c r="J8769" s="3" t="str">
        <f>HYPERLINK("https://www.boe.es/gazeta/dias/1823/05/12/pdfs/GES-1823-32.pdf#page=2","Abrir facsímil")</f>
        <v>Abrir facsímil</v>
      </c>
      <c r="K8769" s="3" t="s">
        <v>23</v>
      </c>
    </row>
    <row r="8770" spans="1:11" ht="42" customHeight="1">
      <c r="A8770" s="2" t="s">
        <v>17390</v>
      </c>
      <c r="B8770" s="2" t="s">
        <v>17390</v>
      </c>
      <c r="C8770" s="2" t="s">
        <v>56</v>
      </c>
      <c r="D8770" s="2" t="s">
        <v>57</v>
      </c>
      <c r="E8770" s="5">
        <v>-27982</v>
      </c>
      <c r="F8770" s="3" t="s">
        <v>340</v>
      </c>
      <c r="G8770" s="3" t="s">
        <v>27</v>
      </c>
      <c r="H8770" s="2" t="s">
        <v>21</v>
      </c>
      <c r="I8770" s="2" t="s">
        <v>17394</v>
      </c>
      <c r="J8770" s="3" t="str">
        <f>HYPERLINK("https://www.boe.es/gazeta/dias/1823/05/21/pdfs/GES-1823-42.pdf#page=2","Abrir facsímil")</f>
        <v>Abrir facsímil</v>
      </c>
      <c r="K8770" s="3" t="s">
        <v>23</v>
      </c>
    </row>
    <row r="8771" spans="1:11" ht="42" customHeight="1">
      <c r="A8771" s="2" t="s">
        <v>17390</v>
      </c>
      <c r="B8771" s="2" t="s">
        <v>17390</v>
      </c>
      <c r="C8771" s="2" t="s">
        <v>17</v>
      </c>
      <c r="D8771" s="2" t="s">
        <v>18</v>
      </c>
      <c r="E8771" s="5">
        <v>-27979</v>
      </c>
      <c r="F8771" s="3" t="s">
        <v>1071</v>
      </c>
      <c r="G8771" s="3" t="s">
        <v>34</v>
      </c>
      <c r="H8771" s="2" t="s">
        <v>21</v>
      </c>
      <c r="I8771" s="2" t="s">
        <v>17395</v>
      </c>
      <c r="J8771" s="3" t="str">
        <f>HYPERLINK("https://www.boe.es/gazeta/dias/1823/05/24/pdfs/GES-1823-45.pdf#page=5","Abrir facsímil")</f>
        <v>Abrir facsímil</v>
      </c>
      <c r="K8771" s="3" t="s">
        <v>23</v>
      </c>
    </row>
    <row r="8772" spans="1:11" ht="42" customHeight="1">
      <c r="A8772" s="2" t="s">
        <v>17390</v>
      </c>
      <c r="B8772" s="2" t="s">
        <v>17390</v>
      </c>
      <c r="C8772" s="2" t="s">
        <v>17</v>
      </c>
      <c r="D8772" s="2" t="s">
        <v>18</v>
      </c>
      <c r="E8772" s="5">
        <v>-27937</v>
      </c>
      <c r="F8772" s="3" t="s">
        <v>897</v>
      </c>
      <c r="G8772" s="3" t="s">
        <v>34</v>
      </c>
      <c r="H8772" s="2" t="s">
        <v>21</v>
      </c>
      <c r="I8772" s="2" t="s">
        <v>17396</v>
      </c>
      <c r="J8772" s="3" t="str">
        <f>HYPERLINK("https://www.boe.es/gazeta/dias/1823/07/05/pdfs/GMD-1823-343.pdf#page=5","Abrir facsímil")</f>
        <v>Abrir facsímil</v>
      </c>
      <c r="K8772" s="3" t="s">
        <v>23</v>
      </c>
    </row>
    <row r="8773" spans="1:11" ht="42" customHeight="1">
      <c r="A8773" s="2" t="s">
        <v>17390</v>
      </c>
      <c r="B8773" s="2" t="s">
        <v>17390</v>
      </c>
      <c r="C8773" s="2" t="s">
        <v>79</v>
      </c>
      <c r="D8773" s="2" t="s">
        <v>74</v>
      </c>
      <c r="E8773" s="5">
        <v>-27932</v>
      </c>
      <c r="F8773" s="3" t="s">
        <v>786</v>
      </c>
      <c r="G8773" s="3" t="s">
        <v>59</v>
      </c>
      <c r="H8773" s="2" t="s">
        <v>21</v>
      </c>
      <c r="I8773" s="2" t="s">
        <v>17397</v>
      </c>
      <c r="J8773" s="3" t="str">
        <f>HYPERLINK("https://www.boe.es/gazeta/dias/1823/07/10/pdfs/GMD-1823-363.pdf#page=6","Abrir facsímil")</f>
        <v>Abrir facsímil</v>
      </c>
      <c r="K8773" s="3" t="s">
        <v>23</v>
      </c>
    </row>
    <row r="8774" spans="1:11" ht="42" customHeight="1">
      <c r="A8774" s="2" t="s">
        <v>17390</v>
      </c>
      <c r="B8774" s="2" t="s">
        <v>17390</v>
      </c>
      <c r="C8774" s="2" t="s">
        <v>17</v>
      </c>
      <c r="D8774" s="2" t="s">
        <v>117</v>
      </c>
      <c r="E8774" s="5">
        <v>-27908</v>
      </c>
      <c r="F8774" s="3" t="s">
        <v>1564</v>
      </c>
      <c r="G8774" s="3" t="s">
        <v>39</v>
      </c>
      <c r="H8774" s="2" t="s">
        <v>21</v>
      </c>
      <c r="I8774" s="2" t="s">
        <v>17398</v>
      </c>
      <c r="J8774" s="3" t="str">
        <f>HYPERLINK("https://www.boe.es/gazeta/dias/1823/08/03/pdfs/GMD-1823-523E.pdf#page=1","Abrir facsímil")</f>
        <v>Abrir facsímil</v>
      </c>
      <c r="K8774" s="3" t="s">
        <v>23</v>
      </c>
    </row>
    <row r="8775" spans="1:11" ht="42" customHeight="1">
      <c r="A8775" s="2" t="s">
        <v>17399</v>
      </c>
      <c r="B8775" s="2" t="s">
        <v>17400</v>
      </c>
      <c r="C8775" s="2" t="s">
        <v>79</v>
      </c>
      <c r="D8775" s="2" t="s">
        <v>74</v>
      </c>
      <c r="E8775" s="5">
        <v>-28032</v>
      </c>
      <c r="F8775" s="3" t="s">
        <v>668</v>
      </c>
      <c r="G8775" s="3" t="s">
        <v>39</v>
      </c>
      <c r="H8775" s="2" t="s">
        <v>21</v>
      </c>
      <c r="I8775" s="2" t="s">
        <v>17401</v>
      </c>
      <c r="J8775" s="3" t="str">
        <f>HYPERLINK("https://www.boe.es/gazeta/dias/1823/04/01/pdfs/GMD-1823-95.pdf#page=1","Abrir facsímil")</f>
        <v>Abrir facsímil</v>
      </c>
      <c r="K8775" s="3" t="s">
        <v>23</v>
      </c>
    </row>
    <row r="8776" spans="1:11" ht="42" customHeight="1">
      <c r="A8776" s="2" t="s">
        <v>17402</v>
      </c>
      <c r="B8776" s="2" t="s">
        <v>17403</v>
      </c>
      <c r="C8776" s="2" t="s">
        <v>17</v>
      </c>
      <c r="D8776" s="2" t="s">
        <v>18</v>
      </c>
      <c r="E8776" s="5">
        <v>-28080</v>
      </c>
      <c r="F8776" s="3" t="s">
        <v>1010</v>
      </c>
      <c r="G8776" s="3" t="s">
        <v>1382</v>
      </c>
      <c r="H8776" s="2" t="s">
        <v>21</v>
      </c>
      <c r="I8776" s="2" t="s">
        <v>17404</v>
      </c>
      <c r="J8776" s="3" t="str">
        <f>HYPERLINK("https://www.boe.es/gazeta/dias/1823/02/12/pdfs/GMD-1823-46.pdf#page=4","Abrir facsímil")</f>
        <v>Abrir facsímil</v>
      </c>
      <c r="K8776" s="3" t="s">
        <v>23</v>
      </c>
    </row>
    <row r="8777" spans="1:11" ht="42" customHeight="1">
      <c r="A8777" s="2" t="s">
        <v>17405</v>
      </c>
      <c r="B8777" s="2" t="s">
        <v>17405</v>
      </c>
      <c r="C8777" s="2" t="s">
        <v>73</v>
      </c>
      <c r="D8777" s="2" t="s">
        <v>74</v>
      </c>
      <c r="E8777" s="5">
        <v>-27982</v>
      </c>
      <c r="F8777" s="3" t="s">
        <v>340</v>
      </c>
      <c r="G8777" s="3" t="s">
        <v>27</v>
      </c>
      <c r="H8777" s="2" t="s">
        <v>21</v>
      </c>
      <c r="I8777" s="2" t="s">
        <v>17406</v>
      </c>
      <c r="J8777" s="3" t="str">
        <f>HYPERLINK("https://www.boe.es/gazeta/dias/1823/05/21/pdfs/GES-1823-42.pdf#page=2","Abrir facsímil")</f>
        <v>Abrir facsímil</v>
      </c>
      <c r="K8777" s="3" t="s">
        <v>23</v>
      </c>
    </row>
    <row r="8778" spans="1:11" ht="42" customHeight="1">
      <c r="A8778" s="2" t="s">
        <v>17407</v>
      </c>
      <c r="B8778" s="2" t="s">
        <v>17407</v>
      </c>
      <c r="C8778" s="2" t="s">
        <v>56</v>
      </c>
      <c r="D8778" s="2" t="s">
        <v>57</v>
      </c>
      <c r="E8778" s="5">
        <v>-27995</v>
      </c>
      <c r="F8778" s="3" t="s">
        <v>320</v>
      </c>
      <c r="G8778" s="3" t="s">
        <v>59</v>
      </c>
      <c r="H8778" s="2" t="s">
        <v>21</v>
      </c>
      <c r="I8778" s="2" t="s">
        <v>17408</v>
      </c>
      <c r="J8778" s="3" t="str">
        <f>HYPERLINK("https://www.boe.es/gazeta/dias/1823/05/08/pdfs/GES-1823-28.pdf#page=6","Abrir facsímil")</f>
        <v>Abrir facsímil</v>
      </c>
      <c r="K8778" s="3" t="s">
        <v>23</v>
      </c>
    </row>
    <row r="8779" spans="1:11" ht="42" customHeight="1">
      <c r="A8779" s="2" t="s">
        <v>17409</v>
      </c>
      <c r="B8779" s="2" t="s">
        <v>17410</v>
      </c>
      <c r="C8779" s="2" t="s">
        <v>293</v>
      </c>
      <c r="D8779" s="2" t="s">
        <v>74</v>
      </c>
      <c r="E8779" s="5">
        <v>-28056</v>
      </c>
      <c r="F8779" s="3" t="s">
        <v>572</v>
      </c>
      <c r="G8779" s="3" t="s">
        <v>59</v>
      </c>
      <c r="H8779" s="2" t="s">
        <v>21</v>
      </c>
      <c r="I8779" s="2" t="s">
        <v>17411</v>
      </c>
      <c r="J8779" s="3" t="str">
        <f>HYPERLINK("https://www.boe.es/gazeta/dias/1823/03/08/pdfs/GMD-1823-71.pdf#page=6","Abrir facsímil")</f>
        <v>Abrir facsímil</v>
      </c>
      <c r="K8779" s="3" t="s">
        <v>23</v>
      </c>
    </row>
    <row r="8780" spans="1:11" ht="42" customHeight="1">
      <c r="A8780" s="2" t="s">
        <v>17412</v>
      </c>
      <c r="B8780" s="2" t="s">
        <v>17412</v>
      </c>
      <c r="C8780" s="2" t="s">
        <v>17</v>
      </c>
      <c r="D8780" s="2" t="s">
        <v>18</v>
      </c>
      <c r="E8780" s="5">
        <v>-27944</v>
      </c>
      <c r="F8780" s="3" t="s">
        <v>658</v>
      </c>
      <c r="G8780" s="3" t="s">
        <v>27</v>
      </c>
      <c r="H8780" s="2" t="s">
        <v>21</v>
      </c>
      <c r="I8780" s="2" t="s">
        <v>17413</v>
      </c>
      <c r="J8780" s="3" t="str">
        <f>HYPERLINK("https://www.boe.es/gazeta/dias/1823/06/28/pdfs/GMD-1823-303.pdf#page=2","Abrir facsímil")</f>
        <v>Abrir facsímil</v>
      </c>
      <c r="K8780" s="3" t="s">
        <v>23</v>
      </c>
    </row>
    <row r="8781" spans="1:11" ht="42" customHeight="1">
      <c r="A8781" s="2" t="s">
        <v>17414</v>
      </c>
      <c r="B8781" s="2" t="s">
        <v>17415</v>
      </c>
      <c r="C8781" s="2" t="s">
        <v>56</v>
      </c>
      <c r="D8781" s="2" t="s">
        <v>57</v>
      </c>
      <c r="E8781" s="5">
        <v>-27932</v>
      </c>
      <c r="F8781" s="3" t="s">
        <v>786</v>
      </c>
      <c r="G8781" s="3" t="s">
        <v>715</v>
      </c>
      <c r="H8781" s="2" t="s">
        <v>21</v>
      </c>
      <c r="I8781" s="2" t="s">
        <v>17416</v>
      </c>
      <c r="J8781" s="3" t="str">
        <f>HYPERLINK("https://www.boe.es/gazeta/dias/1823/07/10/pdfs/GMD-1823-363.pdf#page=8","Abrir facsímil")</f>
        <v>Abrir facsímil</v>
      </c>
      <c r="K8781" s="3" t="s">
        <v>23</v>
      </c>
    </row>
    <row r="8782" spans="1:11" ht="42" customHeight="1">
      <c r="A8782" s="2" t="s">
        <v>17417</v>
      </c>
      <c r="B8782" s="2" t="s">
        <v>17418</v>
      </c>
      <c r="C8782" s="2" t="s">
        <v>79</v>
      </c>
      <c r="D8782" s="2" t="s">
        <v>74</v>
      </c>
      <c r="E8782" s="5">
        <v>-27982</v>
      </c>
      <c r="F8782" s="3" t="s">
        <v>340</v>
      </c>
      <c r="G8782" s="3" t="s">
        <v>59</v>
      </c>
      <c r="H8782" s="2" t="s">
        <v>21</v>
      </c>
      <c r="I8782" s="2" t="s">
        <v>17419</v>
      </c>
      <c r="J8782" s="3" t="str">
        <f>HYPERLINK("https://www.boe.es/gazeta/dias/1823/05/21/pdfs/GES-1823-42.pdf#page=6","Abrir facsímil")</f>
        <v>Abrir facsímil</v>
      </c>
      <c r="K8782" s="3" t="s">
        <v>23</v>
      </c>
    </row>
    <row r="8783" spans="1:11" ht="42" customHeight="1">
      <c r="A8783" s="2" t="s">
        <v>17420</v>
      </c>
      <c r="B8783" s="2" t="s">
        <v>17420</v>
      </c>
      <c r="C8783" s="2" t="s">
        <v>79</v>
      </c>
      <c r="D8783" s="2" t="s">
        <v>74</v>
      </c>
      <c r="E8783" s="5">
        <v>-28000</v>
      </c>
      <c r="F8783" s="3" t="s">
        <v>138</v>
      </c>
      <c r="G8783" s="3" t="s">
        <v>20</v>
      </c>
      <c r="H8783" s="2" t="s">
        <v>21</v>
      </c>
      <c r="I8783" s="2" t="s">
        <v>17421</v>
      </c>
      <c r="J8783" s="3" t="str">
        <f>HYPERLINK("https://www.boe.es/gazeta/dias/1823/05/03/pdfs/GMD-1823-92.pdf#page=4","Abrir facsímil")</f>
        <v>Abrir facsímil</v>
      </c>
      <c r="K8783" s="3" t="s">
        <v>23</v>
      </c>
    </row>
    <row r="8784" spans="1:11" ht="42" customHeight="1">
      <c r="A8784" s="2" t="s">
        <v>17422</v>
      </c>
      <c r="B8784" s="2" t="s">
        <v>17423</v>
      </c>
      <c r="C8784" s="2" t="s">
        <v>109</v>
      </c>
      <c r="D8784" s="2" t="s">
        <v>74</v>
      </c>
      <c r="E8784" s="5">
        <v>-28098</v>
      </c>
      <c r="F8784" s="3" t="s">
        <v>1101</v>
      </c>
      <c r="G8784" s="3" t="s">
        <v>20</v>
      </c>
      <c r="H8784" s="2" t="s">
        <v>21</v>
      </c>
      <c r="I8784" s="2" t="s">
        <v>17424</v>
      </c>
      <c r="J8784" s="3" t="str">
        <f>HYPERLINK("https://www.boe.es/gazeta/dias/1823/01/25/pdfs/GMD-1823-26.pdf#page=4","Abrir facsímil")</f>
        <v>Abrir facsímil</v>
      </c>
      <c r="K8784" s="3" t="s">
        <v>23</v>
      </c>
    </row>
    <row r="8785" spans="1:11" ht="42" customHeight="1">
      <c r="A8785" s="2" t="s">
        <v>17422</v>
      </c>
      <c r="B8785" s="2" t="s">
        <v>17423</v>
      </c>
      <c r="C8785" s="2" t="s">
        <v>79</v>
      </c>
      <c r="D8785" s="2" t="s">
        <v>74</v>
      </c>
      <c r="E8785" s="5">
        <v>-28037</v>
      </c>
      <c r="F8785" s="3" t="s">
        <v>192</v>
      </c>
      <c r="G8785" s="3" t="s">
        <v>48</v>
      </c>
      <c r="H8785" s="2" t="s">
        <v>21</v>
      </c>
      <c r="I8785" s="2" t="s">
        <v>17425</v>
      </c>
      <c r="J8785" s="3" t="str">
        <f>HYPERLINK("https://www.boe.es/gazeta/dias/1823/03/27/pdfs/GMD-1823-90.pdf#page=3","Abrir facsímil")</f>
        <v>Abrir facsímil</v>
      </c>
      <c r="K8785" s="3" t="s">
        <v>23</v>
      </c>
    </row>
    <row r="8786" spans="1:11" ht="42" customHeight="1">
      <c r="A8786" s="2" t="s">
        <v>17426</v>
      </c>
      <c r="B8786" s="2" t="s">
        <v>17426</v>
      </c>
      <c r="C8786" s="2" t="s">
        <v>56</v>
      </c>
      <c r="D8786" s="2" t="s">
        <v>57</v>
      </c>
      <c r="E8786" s="5">
        <v>-28107</v>
      </c>
      <c r="F8786" s="3" t="s">
        <v>278</v>
      </c>
      <c r="G8786" s="3" t="s">
        <v>2827</v>
      </c>
      <c r="H8786" s="2" t="s">
        <v>21</v>
      </c>
      <c r="I8786" s="2" t="s">
        <v>17427</v>
      </c>
      <c r="J8786" s="3" t="str">
        <f>HYPERLINK("https://www.boe.es/gazeta/dias/1823/01/16/pdfs/GMD-1823-16.pdf#page=6","Abrir facsímil")</f>
        <v>Abrir facsímil</v>
      </c>
      <c r="K8786" s="3" t="s">
        <v>23</v>
      </c>
    </row>
    <row r="8787" spans="1:11" ht="42" customHeight="1">
      <c r="A8787" s="2" t="s">
        <v>17426</v>
      </c>
      <c r="B8787" s="2" t="s">
        <v>17426</v>
      </c>
      <c r="C8787" s="2" t="s">
        <v>79</v>
      </c>
      <c r="D8787" s="2" t="s">
        <v>74</v>
      </c>
      <c r="E8787" s="5">
        <v>-28052</v>
      </c>
      <c r="F8787" s="3" t="s">
        <v>1025</v>
      </c>
      <c r="G8787" s="3" t="s">
        <v>59</v>
      </c>
      <c r="H8787" s="2" t="s">
        <v>21</v>
      </c>
      <c r="I8787" s="2" t="s">
        <v>17428</v>
      </c>
      <c r="J8787" s="3" t="str">
        <f>HYPERLINK("https://www.boe.es/gazeta/dias/1823/03/12/pdfs/GMD-1823-75.pdf#page=6","Abrir facsímil")</f>
        <v>Abrir facsímil</v>
      </c>
      <c r="K8787" s="3" t="s">
        <v>23</v>
      </c>
    </row>
    <row r="8788" spans="1:11" ht="42" customHeight="1">
      <c r="A8788" s="2" t="s">
        <v>17426</v>
      </c>
      <c r="B8788" s="2" t="s">
        <v>17426</v>
      </c>
      <c r="C8788" s="2" t="s">
        <v>79</v>
      </c>
      <c r="D8788" s="2" t="s">
        <v>74</v>
      </c>
      <c r="E8788" s="5">
        <v>-28048</v>
      </c>
      <c r="F8788" s="3" t="s">
        <v>399</v>
      </c>
      <c r="G8788" s="3" t="s">
        <v>20</v>
      </c>
      <c r="H8788" s="2" t="s">
        <v>21</v>
      </c>
      <c r="I8788" s="2" t="s">
        <v>17429</v>
      </c>
      <c r="J8788" s="3" t="str">
        <f>HYPERLINK("https://www.boe.es/gazeta/dias/1823/03/16/pdfs/GMD-1823-79.pdf#page=4","Abrir facsímil")</f>
        <v>Abrir facsímil</v>
      </c>
      <c r="K8788" s="3" t="s">
        <v>23</v>
      </c>
    </row>
    <row r="8789" spans="1:11" ht="42" customHeight="1">
      <c r="A8789" s="2" t="s">
        <v>17426</v>
      </c>
      <c r="B8789" s="2" t="s">
        <v>17426</v>
      </c>
      <c r="C8789" s="2" t="s">
        <v>84</v>
      </c>
      <c r="D8789" s="2" t="s">
        <v>74</v>
      </c>
      <c r="E8789" s="5">
        <v>-28031</v>
      </c>
      <c r="F8789" s="3" t="s">
        <v>1211</v>
      </c>
      <c r="G8789" s="3" t="s">
        <v>20</v>
      </c>
      <c r="H8789" s="2" t="s">
        <v>21</v>
      </c>
      <c r="I8789" s="2" t="s">
        <v>17430</v>
      </c>
      <c r="J8789" s="3" t="str">
        <f>HYPERLINK("https://www.boe.es/gazeta/dias/1823/04/02/pdfs/GMD-1823-96.pdf#page=4","Abrir facsímil")</f>
        <v>Abrir facsímil</v>
      </c>
      <c r="K8789" s="3" t="s">
        <v>23</v>
      </c>
    </row>
    <row r="8790" spans="1:11" ht="42" customHeight="1">
      <c r="A8790" s="2" t="s">
        <v>17426</v>
      </c>
      <c r="B8790" s="2" t="s">
        <v>17426</v>
      </c>
      <c r="C8790" s="2" t="s">
        <v>17</v>
      </c>
      <c r="D8790" s="2" t="s">
        <v>18</v>
      </c>
      <c r="E8790" s="5">
        <v>-27895</v>
      </c>
      <c r="F8790" s="3" t="s">
        <v>5642</v>
      </c>
      <c r="G8790" s="3" t="s">
        <v>39</v>
      </c>
      <c r="H8790" s="2" t="s">
        <v>21</v>
      </c>
      <c r="I8790" s="2" t="s">
        <v>17431</v>
      </c>
      <c r="J8790" s="3" t="str">
        <f>HYPERLINK("https://www.boe.es/gazeta/dias/1823/08/16/pdfs/GMD-1823-603.pdf#page=1","Abrir facsímil")</f>
        <v>Abrir facsímil</v>
      </c>
      <c r="K8790" s="3" t="s">
        <v>23</v>
      </c>
    </row>
    <row r="8791" spans="1:11" ht="42" customHeight="1">
      <c r="A8791" s="2" t="s">
        <v>17426</v>
      </c>
      <c r="B8791" s="2" t="s">
        <v>17426</v>
      </c>
      <c r="C8791" s="2" t="s">
        <v>17</v>
      </c>
      <c r="D8791" s="2" t="s">
        <v>18</v>
      </c>
      <c r="E8791" s="5">
        <v>-27888</v>
      </c>
      <c r="F8791" s="3" t="s">
        <v>1534</v>
      </c>
      <c r="G8791" s="3" t="s">
        <v>20</v>
      </c>
      <c r="H8791" s="2" t="s">
        <v>21</v>
      </c>
      <c r="I8791" s="2" t="s">
        <v>17432</v>
      </c>
      <c r="J8791" s="3" t="str">
        <f>HYPERLINK("https://www.boe.es/gazeta/dias/1823/08/23/pdfs/GES-1823-136.pdf#page=4","Abrir facsímil")</f>
        <v>Abrir facsímil</v>
      </c>
      <c r="K8791" s="3" t="s">
        <v>23</v>
      </c>
    </row>
    <row r="8792" spans="1:11" ht="42" customHeight="1">
      <c r="A8792" s="2" t="s">
        <v>17426</v>
      </c>
      <c r="B8792" s="2" t="s">
        <v>17426</v>
      </c>
      <c r="C8792" s="2" t="s">
        <v>56</v>
      </c>
      <c r="D8792" s="2" t="s">
        <v>57</v>
      </c>
      <c r="E8792" s="5">
        <v>-27820</v>
      </c>
      <c r="F8792" s="3" t="s">
        <v>6283</v>
      </c>
      <c r="G8792" s="3" t="s">
        <v>20</v>
      </c>
      <c r="H8792" s="2" t="s">
        <v>21</v>
      </c>
      <c r="I8792" s="2" t="s">
        <v>17433</v>
      </c>
      <c r="J8792" s="3" t="str">
        <f>HYPERLINK("https://www.boe.es/gazeta/dias/1823/10/30/pdfs/GMD-1823-1043.pdf#page=4","Abrir facsímil")</f>
        <v>Abrir facsímil</v>
      </c>
      <c r="K8792" s="3" t="s">
        <v>23</v>
      </c>
    </row>
    <row r="8793" spans="1:11" ht="42" customHeight="1">
      <c r="A8793" s="2" t="s">
        <v>17426</v>
      </c>
      <c r="B8793" s="2" t="s">
        <v>17426</v>
      </c>
      <c r="C8793" s="2" t="s">
        <v>325</v>
      </c>
      <c r="D8793" s="2" t="s">
        <v>74</v>
      </c>
      <c r="E8793" s="5">
        <v>-27762</v>
      </c>
      <c r="F8793" s="3" t="s">
        <v>1614</v>
      </c>
      <c r="G8793" s="3" t="s">
        <v>20</v>
      </c>
      <c r="H8793" s="2" t="s">
        <v>21</v>
      </c>
      <c r="I8793" s="2" t="s">
        <v>17434</v>
      </c>
      <c r="J8793" s="3" t="str">
        <f>HYPERLINK("https://www.boe.es/gazeta/dias/1823/12/27/pdfs/GMD-1823-1303.pdf#page=4","Abrir facsímil")</f>
        <v>Abrir facsímil</v>
      </c>
      <c r="K8793" s="3" t="s">
        <v>23</v>
      </c>
    </row>
    <row r="8794" spans="1:11" ht="42" customHeight="1">
      <c r="A8794" s="2" t="s">
        <v>17435</v>
      </c>
      <c r="B8794" s="2" t="s">
        <v>17436</v>
      </c>
      <c r="C8794" s="2" t="s">
        <v>17</v>
      </c>
      <c r="D8794" s="2" t="s">
        <v>18</v>
      </c>
      <c r="E8794" s="5">
        <v>-28058</v>
      </c>
      <c r="F8794" s="3" t="s">
        <v>1282</v>
      </c>
      <c r="G8794" s="3" t="s">
        <v>20</v>
      </c>
      <c r="H8794" s="2" t="s">
        <v>21</v>
      </c>
      <c r="I8794" s="2" t="s">
        <v>17437</v>
      </c>
      <c r="J8794" s="3" t="str">
        <f>HYPERLINK("https://www.boe.es/gazeta/dias/1823/03/06/pdfs/GMD-1823-69.pdf#page=4","Abrir facsímil")</f>
        <v>Abrir facsímil</v>
      </c>
      <c r="K8794" s="3" t="s">
        <v>23</v>
      </c>
    </row>
    <row r="8795" spans="1:11" ht="42" customHeight="1">
      <c r="A8795" s="2" t="s">
        <v>17438</v>
      </c>
      <c r="B8795" s="2" t="s">
        <v>17438</v>
      </c>
      <c r="C8795" s="2" t="s">
        <v>17</v>
      </c>
      <c r="D8795" s="2" t="s">
        <v>18</v>
      </c>
      <c r="E8795" s="5">
        <v>-27994</v>
      </c>
      <c r="F8795" s="3" t="s">
        <v>714</v>
      </c>
      <c r="G8795" s="3" t="s">
        <v>276</v>
      </c>
      <c r="H8795" s="2" t="s">
        <v>21</v>
      </c>
      <c r="I8795" s="2" t="s">
        <v>17439</v>
      </c>
      <c r="J8795" s="3" t="str">
        <f>HYPERLINK("https://www.boe.es/gazeta/dias/1823/05/09/pdfs/GES-1823-29.pdf#page=7","Abrir facsímil")</f>
        <v>Abrir facsímil</v>
      </c>
      <c r="K8795" s="3" t="s">
        <v>23</v>
      </c>
    </row>
    <row r="8796" spans="1:11" ht="42" customHeight="1">
      <c r="A8796" s="2" t="s">
        <v>17438</v>
      </c>
      <c r="B8796" s="2" t="s">
        <v>17438</v>
      </c>
      <c r="C8796" s="2" t="s">
        <v>109</v>
      </c>
      <c r="D8796" s="2" t="s">
        <v>74</v>
      </c>
      <c r="E8796" s="5">
        <v>-27986</v>
      </c>
      <c r="F8796" s="3" t="s">
        <v>75</v>
      </c>
      <c r="G8796" s="3" t="s">
        <v>34</v>
      </c>
      <c r="H8796" s="2" t="s">
        <v>21</v>
      </c>
      <c r="I8796" s="2" t="s">
        <v>17440</v>
      </c>
      <c r="J8796" s="3" t="str">
        <f>HYPERLINK("https://www.boe.es/gazeta/dias/1823/05/17/pdfs/GES-1823-37.pdf#page=5","Abrir facsímil")</f>
        <v>Abrir facsímil</v>
      </c>
      <c r="K8796" s="3" t="s">
        <v>23</v>
      </c>
    </row>
    <row r="8797" spans="1:11" ht="42" customHeight="1">
      <c r="A8797" s="2" t="s">
        <v>17438</v>
      </c>
      <c r="B8797" s="2" t="s">
        <v>17438</v>
      </c>
      <c r="C8797" s="2" t="s">
        <v>17</v>
      </c>
      <c r="D8797" s="2" t="s">
        <v>18</v>
      </c>
      <c r="E8797" s="5">
        <v>-27906</v>
      </c>
      <c r="F8797" s="3" t="s">
        <v>1527</v>
      </c>
      <c r="G8797" s="3" t="s">
        <v>39</v>
      </c>
      <c r="H8797" s="2" t="s">
        <v>21</v>
      </c>
      <c r="I8797" s="2" t="s">
        <v>17441</v>
      </c>
      <c r="J8797" s="3" t="str">
        <f>HYPERLINK("https://www.boe.es/gazeta/dias/1823/08/05/pdfs/GMD-1823-533.pdf#page=1","Abrir facsímil")</f>
        <v>Abrir facsímil</v>
      </c>
      <c r="K8797" s="3" t="s">
        <v>23</v>
      </c>
    </row>
    <row r="8798" spans="1:11" ht="42" customHeight="1">
      <c r="A8798" s="2" t="s">
        <v>17438</v>
      </c>
      <c r="B8798" s="2" t="s">
        <v>17438</v>
      </c>
      <c r="C8798" s="2" t="s">
        <v>17</v>
      </c>
      <c r="D8798" s="2" t="s">
        <v>18</v>
      </c>
      <c r="E8798" s="5">
        <v>-27836</v>
      </c>
      <c r="F8798" s="3" t="s">
        <v>4069</v>
      </c>
      <c r="G8798" s="3" t="s">
        <v>20</v>
      </c>
      <c r="H8798" s="2" t="s">
        <v>21</v>
      </c>
      <c r="I8798" s="2" t="s">
        <v>17442</v>
      </c>
      <c r="J8798" s="3" t="str">
        <f>HYPERLINK("https://www.boe.es/gazeta/dias/1823/10/14/pdfs/GMD-1823-973.pdf#page=4","Abrir facsímil")</f>
        <v>Abrir facsímil</v>
      </c>
      <c r="K8798" s="3" t="s">
        <v>23</v>
      </c>
    </row>
    <row r="8799" spans="1:11" ht="42" customHeight="1">
      <c r="A8799" s="2" t="s">
        <v>17443</v>
      </c>
      <c r="B8799" s="2" t="s">
        <v>17444</v>
      </c>
      <c r="C8799" s="2" t="s">
        <v>17</v>
      </c>
      <c r="D8799" s="2" t="s">
        <v>18</v>
      </c>
      <c r="E8799" s="5">
        <v>-28000</v>
      </c>
      <c r="F8799" s="3" t="s">
        <v>1118</v>
      </c>
      <c r="G8799" s="3" t="s">
        <v>39</v>
      </c>
      <c r="H8799" s="2" t="s">
        <v>21</v>
      </c>
      <c r="I8799" s="2" t="s">
        <v>17445</v>
      </c>
      <c r="J8799" s="3" t="str">
        <f>HYPERLINK("https://www.boe.es/gazeta/dias/1823/05/03/pdfs/GES-1823-23.pdf#page=1","Abrir facsímil")</f>
        <v>Abrir facsímil</v>
      </c>
      <c r="K8799" s="3" t="s">
        <v>23</v>
      </c>
    </row>
    <row r="8800" spans="1:11" ht="42" customHeight="1">
      <c r="A8800" s="2" t="s">
        <v>17446</v>
      </c>
      <c r="B8800" s="2" t="s">
        <v>17447</v>
      </c>
      <c r="C8800" s="2" t="s">
        <v>17</v>
      </c>
      <c r="D8800" s="2" t="s">
        <v>18</v>
      </c>
      <c r="E8800" s="5">
        <v>-27884</v>
      </c>
      <c r="F8800" s="3" t="s">
        <v>61</v>
      </c>
      <c r="G8800" s="3" t="s">
        <v>27</v>
      </c>
      <c r="H8800" s="2" t="s">
        <v>21</v>
      </c>
      <c r="I8800" s="2" t="s">
        <v>17448</v>
      </c>
      <c r="J8800" s="3" t="str">
        <f>HYPERLINK("https://www.boe.es/gazeta/dias/1823/08/27/pdfs/GES-1823-140.pdf#page=2","Abrir facsímil")</f>
        <v>Abrir facsímil</v>
      </c>
      <c r="K8800" s="3" t="s">
        <v>23</v>
      </c>
    </row>
    <row r="8801" spans="1:11" ht="42" customHeight="1">
      <c r="A8801" s="2" t="s">
        <v>17449</v>
      </c>
      <c r="B8801" s="2" t="s">
        <v>17450</v>
      </c>
      <c r="C8801" s="2" t="s">
        <v>17</v>
      </c>
      <c r="D8801" s="2" t="s">
        <v>18</v>
      </c>
      <c r="E8801" s="5">
        <v>-27884</v>
      </c>
      <c r="F8801" s="3" t="s">
        <v>61</v>
      </c>
      <c r="G8801" s="3" t="s">
        <v>48</v>
      </c>
      <c r="H8801" s="2" t="s">
        <v>21</v>
      </c>
      <c r="I8801" s="2" t="s">
        <v>17451</v>
      </c>
      <c r="J8801" s="3" t="str">
        <f>HYPERLINK("https://www.boe.es/gazeta/dias/1823/08/27/pdfs/GES-1823-140.pdf#page=3","Abrir facsímil")</f>
        <v>Abrir facsímil</v>
      </c>
      <c r="K8801" s="3" t="s">
        <v>23</v>
      </c>
    </row>
    <row r="8802" spans="1:11" ht="42" customHeight="1">
      <c r="A8802" s="2" t="s">
        <v>17452</v>
      </c>
      <c r="B8802" s="2" t="s">
        <v>17453</v>
      </c>
      <c r="C8802" s="2" t="s">
        <v>17</v>
      </c>
      <c r="D8802" s="2" t="s">
        <v>18</v>
      </c>
      <c r="E8802" s="5">
        <v>-28093</v>
      </c>
      <c r="F8802" s="3" t="s">
        <v>1044</v>
      </c>
      <c r="G8802" s="3" t="s">
        <v>27</v>
      </c>
      <c r="H8802" s="2" t="s">
        <v>21</v>
      </c>
      <c r="I8802" s="2" t="s">
        <v>17454</v>
      </c>
      <c r="J8802" s="3" t="str">
        <f>HYPERLINK("https://www.boe.es/gazeta/dias/1823/01/30/pdfs/GMD-1823-31.pdf#page=2","Abrir facsímil")</f>
        <v>Abrir facsímil</v>
      </c>
      <c r="K8802" s="3" t="s">
        <v>23</v>
      </c>
    </row>
    <row r="8803" spans="1:11" ht="42" customHeight="1">
      <c r="A8803" s="2" t="s">
        <v>17455</v>
      </c>
      <c r="B8803" s="2" t="s">
        <v>17455</v>
      </c>
      <c r="C8803" s="2" t="s">
        <v>17</v>
      </c>
      <c r="D8803" s="2" t="s">
        <v>18</v>
      </c>
      <c r="E8803" s="5">
        <v>-27877</v>
      </c>
      <c r="F8803" s="3" t="s">
        <v>844</v>
      </c>
      <c r="G8803" s="3" t="s">
        <v>20</v>
      </c>
      <c r="H8803" s="2" t="s">
        <v>21</v>
      </c>
      <c r="I8803" s="2" t="s">
        <v>17456</v>
      </c>
      <c r="J8803" s="3" t="str">
        <f>HYPERLINK("https://www.boe.es/gazeta/dias/1823/09/03/pdfs/GES-1823-147.pdf#page=4","Abrir facsímil")</f>
        <v>Abrir facsímil</v>
      </c>
      <c r="K8803" s="3" t="s">
        <v>23</v>
      </c>
    </row>
    <row r="8804" spans="1:11" ht="42" customHeight="1">
      <c r="A8804" s="2" t="s">
        <v>17457</v>
      </c>
      <c r="B8804" s="2" t="s">
        <v>17458</v>
      </c>
      <c r="C8804" s="2" t="s">
        <v>17</v>
      </c>
      <c r="D8804" s="2" t="s">
        <v>18</v>
      </c>
      <c r="E8804" s="5">
        <v>-27877</v>
      </c>
      <c r="F8804" s="3" t="s">
        <v>844</v>
      </c>
      <c r="G8804" s="3" t="s">
        <v>48</v>
      </c>
      <c r="H8804" s="2" t="s">
        <v>21</v>
      </c>
      <c r="I8804" s="2" t="s">
        <v>17459</v>
      </c>
      <c r="J8804" s="3" t="str">
        <f>HYPERLINK("https://www.boe.es/gazeta/dias/1823/09/03/pdfs/GES-1823-147.pdf#page=3","Abrir facsímil")</f>
        <v>Abrir facsímil</v>
      </c>
      <c r="K8804" s="3" t="s">
        <v>23</v>
      </c>
    </row>
    <row r="8805" spans="1:11" ht="42" customHeight="1">
      <c r="A8805" s="2" t="s">
        <v>17460</v>
      </c>
      <c r="B8805" s="2" t="s">
        <v>17460</v>
      </c>
      <c r="C8805" s="2" t="s">
        <v>56</v>
      </c>
      <c r="D8805" s="2" t="s">
        <v>57</v>
      </c>
      <c r="E8805" s="5">
        <v>-28078</v>
      </c>
      <c r="F8805" s="3" t="s">
        <v>508</v>
      </c>
      <c r="G8805" s="3" t="s">
        <v>59</v>
      </c>
      <c r="H8805" s="2" t="s">
        <v>21</v>
      </c>
      <c r="I8805" s="2" t="s">
        <v>17461</v>
      </c>
      <c r="J8805" s="3" t="str">
        <f>HYPERLINK("https://www.boe.es/gazeta/dias/1823/02/14/pdfs/GMD-1823-48.pdf#page=6","Abrir facsímil")</f>
        <v>Abrir facsímil</v>
      </c>
      <c r="K8805" s="3" t="s">
        <v>23</v>
      </c>
    </row>
    <row r="8806" spans="1:11" ht="42" customHeight="1">
      <c r="A8806" s="2" t="s">
        <v>17460</v>
      </c>
      <c r="B8806" s="2" t="s">
        <v>17460</v>
      </c>
      <c r="C8806" s="2" t="s">
        <v>79</v>
      </c>
      <c r="D8806" s="2" t="s">
        <v>74</v>
      </c>
      <c r="E8806" s="5">
        <v>-28032</v>
      </c>
      <c r="F8806" s="3" t="s">
        <v>668</v>
      </c>
      <c r="G8806" s="3" t="s">
        <v>20</v>
      </c>
      <c r="H8806" s="2" t="s">
        <v>21</v>
      </c>
      <c r="I8806" s="2" t="s">
        <v>17462</v>
      </c>
      <c r="J8806" s="3" t="str">
        <f>HYPERLINK("https://www.boe.es/gazeta/dias/1823/04/01/pdfs/GMD-1823-95.pdf#page=4","Abrir facsímil")</f>
        <v>Abrir facsímil</v>
      </c>
      <c r="K8806" s="3" t="s">
        <v>23</v>
      </c>
    </row>
    <row r="8807" spans="1:11" ht="42" customHeight="1">
      <c r="A8807" s="2" t="s">
        <v>17460</v>
      </c>
      <c r="B8807" s="2" t="s">
        <v>17460</v>
      </c>
      <c r="C8807" s="2" t="s">
        <v>17</v>
      </c>
      <c r="D8807" s="2" t="s">
        <v>18</v>
      </c>
      <c r="E8807" s="5">
        <v>-27993</v>
      </c>
      <c r="F8807" s="3" t="s">
        <v>977</v>
      </c>
      <c r="G8807" s="3" t="s">
        <v>978</v>
      </c>
      <c r="H8807" s="2" t="s">
        <v>21</v>
      </c>
      <c r="I8807" s="2" t="s">
        <v>17463</v>
      </c>
      <c r="J8807" s="3" t="str">
        <f>HYPERLINK("https://www.boe.es/gazeta/dias/1823/05/10/pdfs/GES-1823-30.pdf#page=4","Abrir facsímil")</f>
        <v>Abrir facsímil</v>
      </c>
      <c r="K8807" s="3" t="s">
        <v>23</v>
      </c>
    </row>
    <row r="8808" spans="1:11" ht="42" customHeight="1">
      <c r="A8808" s="2" t="s">
        <v>17460</v>
      </c>
      <c r="B8808" s="2" t="s">
        <v>17460</v>
      </c>
      <c r="C8808" s="2" t="s">
        <v>79</v>
      </c>
      <c r="D8808" s="2" t="s">
        <v>74</v>
      </c>
      <c r="E8808" s="5">
        <v>-27993</v>
      </c>
      <c r="F8808" s="3" t="s">
        <v>977</v>
      </c>
      <c r="G8808" s="3" t="s">
        <v>48</v>
      </c>
      <c r="H8808" s="2" t="s">
        <v>21</v>
      </c>
      <c r="I8808" s="2" t="s">
        <v>17464</v>
      </c>
      <c r="J8808" s="3" t="str">
        <f>HYPERLINK("https://www.boe.es/gazeta/dias/1823/05/10/pdfs/GES-1823-30.pdf#page=3","Abrir facsímil")</f>
        <v>Abrir facsímil</v>
      </c>
      <c r="K8808" s="3" t="s">
        <v>23</v>
      </c>
    </row>
    <row r="8809" spans="1:11" ht="42" customHeight="1">
      <c r="A8809" s="2" t="s">
        <v>17460</v>
      </c>
      <c r="B8809" s="2" t="s">
        <v>17460</v>
      </c>
      <c r="C8809" s="2" t="s">
        <v>17</v>
      </c>
      <c r="D8809" s="2" t="s">
        <v>18</v>
      </c>
      <c r="E8809" s="5">
        <v>-27953</v>
      </c>
      <c r="F8809" s="3" t="s">
        <v>1783</v>
      </c>
      <c r="G8809" s="3" t="s">
        <v>48</v>
      </c>
      <c r="H8809" s="2" t="s">
        <v>21</v>
      </c>
      <c r="I8809" s="2" t="s">
        <v>17465</v>
      </c>
      <c r="J8809" s="3" t="str">
        <f>HYPERLINK("https://www.boe.es/gazeta/dias/1823/06/19/pdfs/GES-1823-67.pdf#page=3","Abrir facsímil")</f>
        <v>Abrir facsímil</v>
      </c>
      <c r="K8809" s="3" t="s">
        <v>23</v>
      </c>
    </row>
    <row r="8810" spans="1:11" ht="42" customHeight="1">
      <c r="A8810" s="2" t="s">
        <v>17460</v>
      </c>
      <c r="B8810" s="2" t="s">
        <v>17460</v>
      </c>
      <c r="C8810" s="2" t="s">
        <v>17</v>
      </c>
      <c r="D8810" s="2" t="s">
        <v>18</v>
      </c>
      <c r="E8810" s="5">
        <v>-27937</v>
      </c>
      <c r="F8810" s="3" t="s">
        <v>897</v>
      </c>
      <c r="G8810" s="3" t="s">
        <v>27</v>
      </c>
      <c r="H8810" s="2" t="s">
        <v>21</v>
      </c>
      <c r="I8810" s="2" t="s">
        <v>17466</v>
      </c>
      <c r="J8810" s="3" t="str">
        <f>HYPERLINK("https://www.boe.es/gazeta/dias/1823/07/05/pdfs/GMD-1823-343.pdf#page=2","Abrir facsímil")</f>
        <v>Abrir facsímil</v>
      </c>
      <c r="K8810" s="3" t="s">
        <v>23</v>
      </c>
    </row>
    <row r="8811" spans="1:11" ht="42" customHeight="1">
      <c r="A8811" s="2" t="s">
        <v>17460</v>
      </c>
      <c r="B8811" s="2" t="s">
        <v>17460</v>
      </c>
      <c r="C8811" s="2" t="s">
        <v>56</v>
      </c>
      <c r="D8811" s="2" t="s">
        <v>57</v>
      </c>
      <c r="E8811" s="5">
        <v>-27915</v>
      </c>
      <c r="F8811" s="3" t="s">
        <v>524</v>
      </c>
      <c r="G8811" s="3" t="s">
        <v>39</v>
      </c>
      <c r="H8811" s="2" t="s">
        <v>21</v>
      </c>
      <c r="I8811" s="2" t="s">
        <v>17467</v>
      </c>
      <c r="J8811" s="3" t="str">
        <f>HYPERLINK("https://www.boe.es/gazeta/dias/1823/07/27/pdfs/GES-1823-108.pdf#page=1","Abrir facsímil")</f>
        <v>Abrir facsímil</v>
      </c>
      <c r="K8811" s="3" t="s">
        <v>23</v>
      </c>
    </row>
    <row r="8812" spans="1:11" ht="42" customHeight="1">
      <c r="A8812" s="2" t="s">
        <v>17460</v>
      </c>
      <c r="B8812" s="2" t="s">
        <v>17460</v>
      </c>
      <c r="C8812" s="2" t="s">
        <v>17</v>
      </c>
      <c r="D8812" s="2" t="s">
        <v>18</v>
      </c>
      <c r="E8812" s="5">
        <v>-27910</v>
      </c>
      <c r="F8812" s="3" t="s">
        <v>38</v>
      </c>
      <c r="G8812" s="3" t="s">
        <v>39</v>
      </c>
      <c r="H8812" s="2" t="s">
        <v>21</v>
      </c>
      <c r="I8812" s="2" t="s">
        <v>17468</v>
      </c>
      <c r="J8812" s="3" t="str">
        <f>HYPERLINK("https://www.boe.es/gazeta/dias/1823/08/01/pdfs/GES-1823-113.pdf#page=1","Abrir facsímil")</f>
        <v>Abrir facsímil</v>
      </c>
      <c r="K8812" s="3" t="s">
        <v>23</v>
      </c>
    </row>
    <row r="8813" spans="1:11" ht="42" customHeight="1">
      <c r="A8813" s="2" t="s">
        <v>17460</v>
      </c>
      <c r="B8813" s="2" t="s">
        <v>17460</v>
      </c>
      <c r="C8813" s="2" t="s">
        <v>79</v>
      </c>
      <c r="D8813" s="2" t="s">
        <v>74</v>
      </c>
      <c r="E8813" s="5">
        <v>-27906</v>
      </c>
      <c r="F8813" s="3" t="s">
        <v>241</v>
      </c>
      <c r="G8813" s="3" t="s">
        <v>59</v>
      </c>
      <c r="H8813" s="2" t="s">
        <v>21</v>
      </c>
      <c r="I8813" s="2" t="s">
        <v>17469</v>
      </c>
      <c r="J8813" s="3" t="str">
        <f>HYPERLINK("https://www.boe.es/gazeta/dias/1823/08/05/pdfs/GES-1823-117.pdf#page=6","Abrir facsímil")</f>
        <v>Abrir facsímil</v>
      </c>
      <c r="K8813" s="3" t="s">
        <v>23</v>
      </c>
    </row>
    <row r="8814" spans="1:11" ht="42" customHeight="1">
      <c r="A8814" s="2" t="s">
        <v>17460</v>
      </c>
      <c r="B8814" s="2" t="s">
        <v>17460</v>
      </c>
      <c r="C8814" s="2" t="s">
        <v>17</v>
      </c>
      <c r="D8814" s="2" t="s">
        <v>18</v>
      </c>
      <c r="E8814" s="5">
        <v>-27897</v>
      </c>
      <c r="F8814" s="3" t="s">
        <v>5962</v>
      </c>
      <c r="G8814" s="3" t="s">
        <v>5269</v>
      </c>
      <c r="H8814" s="2" t="s">
        <v>21</v>
      </c>
      <c r="I8814" s="2" t="s">
        <v>17470</v>
      </c>
      <c r="J8814" s="3" t="str">
        <f>HYPERLINK("https://www.boe.es/gazeta/dias/1823/08/14/pdfs/GES-1823-127.pdf#page=2","Abrir facsímil")</f>
        <v>Abrir facsímil</v>
      </c>
      <c r="K8814" s="3" t="s">
        <v>23</v>
      </c>
    </row>
    <row r="8815" spans="1:11" ht="42" customHeight="1">
      <c r="A8815" s="2" t="s">
        <v>17460</v>
      </c>
      <c r="B8815" s="2" t="s">
        <v>17460</v>
      </c>
      <c r="C8815" s="2" t="s">
        <v>79</v>
      </c>
      <c r="D8815" s="2" t="s">
        <v>74</v>
      </c>
      <c r="E8815" s="5">
        <v>-27893</v>
      </c>
      <c r="F8815" s="3" t="s">
        <v>1893</v>
      </c>
      <c r="G8815" s="3" t="s">
        <v>1894</v>
      </c>
      <c r="H8815" s="2" t="s">
        <v>21</v>
      </c>
      <c r="I8815" s="2" t="s">
        <v>17471</v>
      </c>
      <c r="J8815" s="3" t="str">
        <f>HYPERLINK("https://www.boe.es/gazeta/dias/1823/08/18/pdfs/GES-1823-131.pdf#page=4","Abrir facsímil")</f>
        <v>Abrir facsímil</v>
      </c>
      <c r="K8815" s="3" t="s">
        <v>23</v>
      </c>
    </row>
    <row r="8816" spans="1:11" ht="42" customHeight="1">
      <c r="A8816" s="2" t="s">
        <v>17460</v>
      </c>
      <c r="B8816" s="2" t="s">
        <v>17460</v>
      </c>
      <c r="C8816" s="2" t="s">
        <v>17</v>
      </c>
      <c r="D8816" s="2" t="s">
        <v>18</v>
      </c>
      <c r="E8816" s="5">
        <v>-27879</v>
      </c>
      <c r="F8816" s="3" t="s">
        <v>638</v>
      </c>
      <c r="G8816" s="3" t="s">
        <v>20</v>
      </c>
      <c r="H8816" s="2" t="s">
        <v>21</v>
      </c>
      <c r="I8816" s="2" t="s">
        <v>17472</v>
      </c>
      <c r="J8816" s="3" t="str">
        <f>HYPERLINK("https://www.boe.es/gazeta/dias/1823/09/01/pdfs/GES-1823-145.pdf#page=4","Abrir facsímil")</f>
        <v>Abrir facsímil</v>
      </c>
      <c r="K8816" s="3" t="s">
        <v>23</v>
      </c>
    </row>
    <row r="8817" spans="1:11" ht="42" customHeight="1">
      <c r="A8817" s="2" t="s">
        <v>17473</v>
      </c>
      <c r="B8817" s="2" t="s">
        <v>17473</v>
      </c>
      <c r="C8817" s="2" t="s">
        <v>109</v>
      </c>
      <c r="D8817" s="2" t="s">
        <v>74</v>
      </c>
      <c r="E8817" s="5">
        <v>-28048</v>
      </c>
      <c r="F8817" s="3" t="s">
        <v>399</v>
      </c>
      <c r="G8817" s="3" t="s">
        <v>59</v>
      </c>
      <c r="H8817" s="2" t="s">
        <v>21</v>
      </c>
      <c r="I8817" s="2" t="s">
        <v>17474</v>
      </c>
      <c r="J8817" s="3" t="str">
        <f>HYPERLINK("https://www.boe.es/gazeta/dias/1823/03/16/pdfs/GMD-1823-79.pdf#page=6","Abrir facsímil")</f>
        <v>Abrir facsímil</v>
      </c>
      <c r="K8817" s="3" t="s">
        <v>23</v>
      </c>
    </row>
    <row r="8818" spans="1:11" ht="42" customHeight="1">
      <c r="A8818" s="2" t="s">
        <v>17475</v>
      </c>
      <c r="B8818" s="2" t="s">
        <v>17476</v>
      </c>
      <c r="C8818" s="2" t="s">
        <v>17</v>
      </c>
      <c r="D8818" s="2" t="s">
        <v>18</v>
      </c>
      <c r="E8818" s="5">
        <v>-28025</v>
      </c>
      <c r="F8818" s="3" t="s">
        <v>477</v>
      </c>
      <c r="G8818" s="3" t="s">
        <v>20</v>
      </c>
      <c r="H8818" s="2" t="s">
        <v>21</v>
      </c>
      <c r="I8818" s="2" t="s">
        <v>17477</v>
      </c>
      <c r="J8818" s="3" t="str">
        <f>HYPERLINK("https://www.boe.es/gazeta/dias/1823/04/08/pdfs/GMD-1823-103.pdf#page=4","Abrir facsímil")</f>
        <v>Abrir facsímil</v>
      </c>
      <c r="K8818" s="3" t="s">
        <v>23</v>
      </c>
    </row>
    <row r="8819" spans="1:11" ht="42" customHeight="1">
      <c r="A8819" s="2" t="s">
        <v>17478</v>
      </c>
      <c r="B8819" s="2" t="s">
        <v>17479</v>
      </c>
      <c r="C8819" s="2" t="s">
        <v>17</v>
      </c>
      <c r="D8819" s="2" t="s">
        <v>18</v>
      </c>
      <c r="E8819" s="5">
        <v>-28104</v>
      </c>
      <c r="F8819" s="3" t="s">
        <v>114</v>
      </c>
      <c r="G8819" s="3" t="s">
        <v>59</v>
      </c>
      <c r="H8819" s="2" t="s">
        <v>21</v>
      </c>
      <c r="I8819" s="2" t="s">
        <v>17480</v>
      </c>
      <c r="J8819" s="3" t="str">
        <f>HYPERLINK("https://www.boe.es/gazeta/dias/1823/01/19/pdfs/GMD-1823-19.pdf#page=6","Abrir facsímil")</f>
        <v>Abrir facsímil</v>
      </c>
      <c r="K8819" s="3" t="s">
        <v>23</v>
      </c>
    </row>
    <row r="8820" spans="1:11" ht="42" customHeight="1">
      <c r="A8820" s="2" t="s">
        <v>17481</v>
      </c>
      <c r="B8820" s="2" t="s">
        <v>17482</v>
      </c>
      <c r="C8820" s="2" t="s">
        <v>17</v>
      </c>
      <c r="D8820" s="2" t="s">
        <v>18</v>
      </c>
      <c r="E8820" s="5">
        <v>-27902</v>
      </c>
      <c r="F8820" s="3" t="s">
        <v>259</v>
      </c>
      <c r="G8820" s="3" t="s">
        <v>48</v>
      </c>
      <c r="H8820" s="2" t="s">
        <v>21</v>
      </c>
      <c r="I8820" s="2" t="s">
        <v>17483</v>
      </c>
      <c r="J8820" s="3" t="str">
        <f>HYPERLINK("https://www.boe.es/gazeta/dias/1823/08/09/pdfs/GMD-1823-563.pdf#page=3","Abrir facsímil")</f>
        <v>Abrir facsímil</v>
      </c>
      <c r="K8820" s="3" t="s">
        <v>23</v>
      </c>
    </row>
    <row r="8821" spans="1:11" ht="42" customHeight="1">
      <c r="A8821" s="2" t="s">
        <v>17484</v>
      </c>
      <c r="B8821" s="2" t="s">
        <v>17485</v>
      </c>
      <c r="C8821" s="2" t="s">
        <v>17</v>
      </c>
      <c r="D8821" s="2" t="s">
        <v>18</v>
      </c>
      <c r="E8821" s="5">
        <v>-28063</v>
      </c>
      <c r="F8821" s="3" t="s">
        <v>2493</v>
      </c>
      <c r="G8821" s="3" t="s">
        <v>20</v>
      </c>
      <c r="H8821" s="2" t="s">
        <v>21</v>
      </c>
      <c r="I8821" s="2" t="s">
        <v>17486</v>
      </c>
      <c r="J8821" s="3" t="str">
        <f>HYPERLINK("https://www.boe.es/gazeta/dias/1823/03/01/pdfs/GMD-1823-63.pdf#page=4","Abrir facsímil")</f>
        <v>Abrir facsímil</v>
      </c>
      <c r="K8821" s="3" t="s">
        <v>23</v>
      </c>
    </row>
    <row r="8822" spans="1:11" ht="42" customHeight="1">
      <c r="A8822" s="2" t="s">
        <v>17487</v>
      </c>
      <c r="B8822" s="2" t="s">
        <v>17488</v>
      </c>
      <c r="C8822" s="2" t="s">
        <v>17</v>
      </c>
      <c r="D8822" s="2" t="s">
        <v>18</v>
      </c>
      <c r="E8822" s="5">
        <v>-28030</v>
      </c>
      <c r="F8822" s="3" t="s">
        <v>145</v>
      </c>
      <c r="G8822" s="3" t="s">
        <v>48</v>
      </c>
      <c r="H8822" s="2" t="s">
        <v>21</v>
      </c>
      <c r="I8822" s="2" t="s">
        <v>17489</v>
      </c>
      <c r="J8822" s="3" t="str">
        <f>HYPERLINK("https://www.boe.es/gazeta/dias/1823/04/03/pdfs/GMD-1823-97.pdf#page=3","Abrir facsímil")</f>
        <v>Abrir facsímil</v>
      </c>
      <c r="K8822" s="3" t="s">
        <v>23</v>
      </c>
    </row>
    <row r="8823" spans="1:11" ht="42" customHeight="1">
      <c r="A8823" s="2" t="s">
        <v>17490</v>
      </c>
      <c r="B8823" s="2" t="s">
        <v>17491</v>
      </c>
      <c r="C8823" s="2" t="s">
        <v>17</v>
      </c>
      <c r="D8823" s="2" t="s">
        <v>18</v>
      </c>
      <c r="E8823" s="5">
        <v>-27994</v>
      </c>
      <c r="F8823" s="3" t="s">
        <v>714</v>
      </c>
      <c r="G8823" s="3" t="s">
        <v>59</v>
      </c>
      <c r="H8823" s="2" t="s">
        <v>21</v>
      </c>
      <c r="I8823" s="2" t="s">
        <v>17492</v>
      </c>
      <c r="J8823" s="3" t="str">
        <f>HYPERLINK("https://www.boe.es/gazeta/dias/1823/05/09/pdfs/GES-1823-29.pdf#page=6","Abrir facsímil")</f>
        <v>Abrir facsímil</v>
      </c>
      <c r="K8823" s="3" t="s">
        <v>23</v>
      </c>
    </row>
    <row r="8824" spans="1:11" ht="42" customHeight="1">
      <c r="A8824" s="2" t="s">
        <v>17490</v>
      </c>
      <c r="B8824" s="2" t="s">
        <v>17491</v>
      </c>
      <c r="C8824" s="2" t="s">
        <v>109</v>
      </c>
      <c r="D8824" s="2" t="s">
        <v>74</v>
      </c>
      <c r="E8824" s="5">
        <v>-27988</v>
      </c>
      <c r="F8824" s="3" t="s">
        <v>2022</v>
      </c>
      <c r="G8824" s="3" t="s">
        <v>27</v>
      </c>
      <c r="H8824" s="2" t="s">
        <v>21</v>
      </c>
      <c r="I8824" s="2" t="s">
        <v>17493</v>
      </c>
      <c r="J8824" s="3" t="str">
        <f>HYPERLINK("https://www.boe.es/gazeta/dias/1823/05/15/pdfs/GMD-1823-142.pdf#page=2","Abrir facsímil")</f>
        <v>Abrir facsímil</v>
      </c>
      <c r="K8824" s="3" t="s">
        <v>23</v>
      </c>
    </row>
    <row r="8825" spans="1:11" ht="42" customHeight="1">
      <c r="A8825" s="2" t="s">
        <v>17494</v>
      </c>
      <c r="B8825" s="2" t="s">
        <v>17495</v>
      </c>
      <c r="C8825" s="2" t="s">
        <v>84</v>
      </c>
      <c r="D8825" s="2" t="s">
        <v>74</v>
      </c>
      <c r="E8825" s="5">
        <v>-27980</v>
      </c>
      <c r="F8825" s="3" t="s">
        <v>1068</v>
      </c>
      <c r="G8825" s="3" t="s">
        <v>39</v>
      </c>
      <c r="H8825" s="2" t="s">
        <v>21</v>
      </c>
      <c r="I8825" s="2" t="s">
        <v>17496</v>
      </c>
      <c r="J8825" s="3" t="str">
        <f>HYPERLINK("https://www.boe.es/gazeta/dias/1823/05/23/pdfs/GES-1823-44.pdf#page=1","Abrir facsímil")</f>
        <v>Abrir facsímil</v>
      </c>
      <c r="K8825" s="3" t="s">
        <v>23</v>
      </c>
    </row>
    <row r="8826" spans="1:11" ht="42" customHeight="1">
      <c r="A8826" s="2" t="s">
        <v>17497</v>
      </c>
      <c r="B8826" s="2" t="s">
        <v>17498</v>
      </c>
      <c r="C8826" s="2" t="s">
        <v>17</v>
      </c>
      <c r="D8826" s="2" t="s">
        <v>18</v>
      </c>
      <c r="E8826" s="5">
        <v>-27995</v>
      </c>
      <c r="F8826" s="3" t="s">
        <v>326</v>
      </c>
      <c r="G8826" s="3" t="s">
        <v>39</v>
      </c>
      <c r="H8826" s="2" t="s">
        <v>21</v>
      </c>
      <c r="I8826" s="2" t="s">
        <v>17499</v>
      </c>
      <c r="J8826" s="3" t="str">
        <f>HYPERLINK("https://www.boe.es/gazeta/dias/1823/05/08/pdfs/GMD-1823-112.pdf#page=1","Abrir facsímil")</f>
        <v>Abrir facsímil</v>
      </c>
      <c r="K8826" s="3" t="s">
        <v>23</v>
      </c>
    </row>
    <row r="8827" spans="1:11" ht="42" customHeight="1">
      <c r="A8827" s="2" t="s">
        <v>17500</v>
      </c>
      <c r="B8827" s="2" t="s">
        <v>17501</v>
      </c>
      <c r="C8827" s="2" t="s">
        <v>56</v>
      </c>
      <c r="D8827" s="2" t="s">
        <v>57</v>
      </c>
      <c r="E8827" s="5">
        <v>-27922</v>
      </c>
      <c r="F8827" s="3" t="s">
        <v>1959</v>
      </c>
      <c r="G8827" s="3" t="s">
        <v>20</v>
      </c>
      <c r="H8827" s="2" t="s">
        <v>21</v>
      </c>
      <c r="I8827" s="2" t="s">
        <v>17502</v>
      </c>
      <c r="J8827" s="3" t="str">
        <f>HYPERLINK("https://www.boe.es/gazeta/dias/1823/07/20/pdfs/GES-1823-101.pdf#page=4","Abrir facsímil")</f>
        <v>Abrir facsímil</v>
      </c>
      <c r="K8827" s="3" t="s">
        <v>23</v>
      </c>
    </row>
    <row r="8828" spans="1:11" ht="42" customHeight="1">
      <c r="A8828" s="2" t="s">
        <v>17503</v>
      </c>
      <c r="B8828" s="2" t="s">
        <v>17504</v>
      </c>
      <c r="C8828" s="2" t="s">
        <v>109</v>
      </c>
      <c r="D8828" s="2" t="s">
        <v>74</v>
      </c>
      <c r="E8828" s="5">
        <v>-27965</v>
      </c>
      <c r="F8828" s="3" t="s">
        <v>208</v>
      </c>
      <c r="G8828" s="3" t="s">
        <v>39</v>
      </c>
      <c r="H8828" s="2" t="s">
        <v>21</v>
      </c>
      <c r="I8828" s="2" t="s">
        <v>17505</v>
      </c>
      <c r="J8828" s="3" t="str">
        <f>HYPERLINK("https://www.boe.es/gazeta/dias/1823/06/07/pdfs/GES-1823-61.pdf#page=1","Abrir facsímil")</f>
        <v>Abrir facsímil</v>
      </c>
      <c r="K8828" s="3" t="s">
        <v>23</v>
      </c>
    </row>
    <row r="8829" spans="1:11" ht="42" customHeight="1">
      <c r="A8829" s="2" t="s">
        <v>17506</v>
      </c>
      <c r="B8829" s="2" t="s">
        <v>17507</v>
      </c>
      <c r="C8829" s="2" t="s">
        <v>56</v>
      </c>
      <c r="D8829" s="2" t="s">
        <v>57</v>
      </c>
      <c r="E8829" s="5">
        <v>-27963</v>
      </c>
      <c r="F8829" s="3" t="s">
        <v>344</v>
      </c>
      <c r="G8829" s="3" t="s">
        <v>48</v>
      </c>
      <c r="H8829" s="2" t="s">
        <v>21</v>
      </c>
      <c r="I8829" s="2" t="s">
        <v>17508</v>
      </c>
      <c r="J8829" s="3" t="str">
        <f>HYPERLINK("https://www.boe.es/gazeta/dias/1823/06/09/pdfs/GES-1823-63.pdf#page=3","Abrir facsímil")</f>
        <v>Abrir facsímil</v>
      </c>
      <c r="K8829" s="3" t="s">
        <v>23</v>
      </c>
    </row>
    <row r="8830" spans="1:11" ht="42" customHeight="1">
      <c r="A8830" s="2" t="s">
        <v>17509</v>
      </c>
      <c r="B8830" s="2" t="s">
        <v>17510</v>
      </c>
      <c r="C8830" s="2" t="s">
        <v>17</v>
      </c>
      <c r="D8830" s="2" t="s">
        <v>18</v>
      </c>
      <c r="E8830" s="5">
        <v>-28016</v>
      </c>
      <c r="F8830" s="3" t="s">
        <v>2259</v>
      </c>
      <c r="G8830" s="3" t="s">
        <v>20</v>
      </c>
      <c r="H8830" s="2" t="s">
        <v>21</v>
      </c>
      <c r="I8830" s="2" t="s">
        <v>17511</v>
      </c>
      <c r="J8830" s="3" t="str">
        <f>HYPERLINK("https://www.boe.es/gazeta/dias/1823/04/17/pdfs/GES-1823-7.pdf#page=4","Abrir facsímil")</f>
        <v>Abrir facsímil</v>
      </c>
      <c r="K8830" s="3" t="s">
        <v>23</v>
      </c>
    </row>
    <row r="8831" spans="1:11" ht="42" customHeight="1">
      <c r="A8831" s="2" t="s">
        <v>17512</v>
      </c>
      <c r="B8831" s="2" t="s">
        <v>17513</v>
      </c>
      <c r="C8831" s="2" t="s">
        <v>17</v>
      </c>
      <c r="D8831" s="2" t="s">
        <v>18</v>
      </c>
      <c r="E8831" s="5">
        <v>-27980</v>
      </c>
      <c r="F8831" s="3" t="s">
        <v>1068</v>
      </c>
      <c r="G8831" s="3" t="s">
        <v>39</v>
      </c>
      <c r="H8831" s="2" t="s">
        <v>21</v>
      </c>
      <c r="I8831" s="2" t="s">
        <v>17514</v>
      </c>
      <c r="J8831" s="3" t="str">
        <f>HYPERLINK("https://www.boe.es/gazeta/dias/1823/05/23/pdfs/GES-1823-44.pdf#page=1","Abrir facsímil")</f>
        <v>Abrir facsímil</v>
      </c>
      <c r="K8831" s="3" t="s">
        <v>23</v>
      </c>
    </row>
    <row r="8832" spans="1:11" ht="42" customHeight="1">
      <c r="A8832" s="2" t="s">
        <v>17515</v>
      </c>
      <c r="B8832" s="2" t="s">
        <v>17516</v>
      </c>
      <c r="C8832" s="2" t="s">
        <v>109</v>
      </c>
      <c r="D8832" s="2" t="s">
        <v>74</v>
      </c>
      <c r="E8832" s="5">
        <v>-28114</v>
      </c>
      <c r="F8832" s="3" t="s">
        <v>153</v>
      </c>
      <c r="G8832" s="3" t="s">
        <v>34</v>
      </c>
      <c r="H8832" s="2" t="s">
        <v>21</v>
      </c>
      <c r="I8832" s="2" t="s">
        <v>17517</v>
      </c>
      <c r="J8832" s="3" t="str">
        <f>HYPERLINK("https://www.boe.es/gazeta/dias/1823/01/09/pdfs/GMD-1823-9.pdf#page=5","Abrir facsímil")</f>
        <v>Abrir facsímil</v>
      </c>
      <c r="K8832" s="3" t="s">
        <v>23</v>
      </c>
    </row>
    <row r="8833" spans="1:11" ht="42" customHeight="1">
      <c r="A8833" s="2" t="s">
        <v>17518</v>
      </c>
      <c r="B8833" s="2" t="s">
        <v>17519</v>
      </c>
      <c r="C8833" s="2" t="s">
        <v>79</v>
      </c>
      <c r="D8833" s="2" t="s">
        <v>74</v>
      </c>
      <c r="E8833" s="5">
        <v>-28030</v>
      </c>
      <c r="F8833" s="3" t="s">
        <v>145</v>
      </c>
      <c r="G8833" s="3" t="s">
        <v>27</v>
      </c>
      <c r="H8833" s="2" t="s">
        <v>21</v>
      </c>
      <c r="I8833" s="2" t="s">
        <v>17520</v>
      </c>
      <c r="J8833" s="3" t="str">
        <f>HYPERLINK("https://www.boe.es/gazeta/dias/1823/04/03/pdfs/GMD-1823-97.pdf#page=2","Abrir facsímil")</f>
        <v>Abrir facsímil</v>
      </c>
      <c r="K8833" s="3" t="s">
        <v>23</v>
      </c>
    </row>
    <row r="8834" spans="1:11" ht="42" customHeight="1">
      <c r="A8834" s="2" t="s">
        <v>17521</v>
      </c>
      <c r="B8834" s="2" t="s">
        <v>17522</v>
      </c>
      <c r="C8834" s="2" t="s">
        <v>17</v>
      </c>
      <c r="D8834" s="2" t="s">
        <v>18</v>
      </c>
      <c r="E8834" s="5">
        <v>-27905</v>
      </c>
      <c r="F8834" s="3" t="s">
        <v>236</v>
      </c>
      <c r="G8834" s="3" t="s">
        <v>237</v>
      </c>
      <c r="H8834" s="2" t="s">
        <v>21</v>
      </c>
      <c r="I8834" s="2" t="s">
        <v>17523</v>
      </c>
      <c r="J8834" s="3" t="str">
        <f>HYPERLINK("https://www.boe.es/gazeta/dias/1823/08/06/pdfs/GES-1823-119.pdf#page=4","Abrir facsímil")</f>
        <v>Abrir facsímil</v>
      </c>
      <c r="K8834" s="3" t="s">
        <v>23</v>
      </c>
    </row>
    <row r="8835" spans="1:11" ht="42" customHeight="1">
      <c r="A8835" s="2" t="s">
        <v>17524</v>
      </c>
      <c r="B8835" s="2" t="s">
        <v>17525</v>
      </c>
      <c r="C8835" s="2" t="s">
        <v>56</v>
      </c>
      <c r="D8835" s="2" t="s">
        <v>57</v>
      </c>
      <c r="E8835" s="5">
        <v>-27953</v>
      </c>
      <c r="F8835" s="3" t="s">
        <v>1783</v>
      </c>
      <c r="G8835" s="3" t="s">
        <v>27</v>
      </c>
      <c r="H8835" s="2" t="s">
        <v>21</v>
      </c>
      <c r="I8835" s="2" t="s">
        <v>17526</v>
      </c>
      <c r="J8835" s="3" t="str">
        <f>HYPERLINK("https://www.boe.es/gazeta/dias/1823/06/19/pdfs/GES-1823-67.pdf#page=2","Abrir facsímil")</f>
        <v>Abrir facsímil</v>
      </c>
      <c r="K8835" s="3" t="s">
        <v>23</v>
      </c>
    </row>
    <row r="8836" spans="1:11" ht="42" customHeight="1">
      <c r="A8836" s="2" t="s">
        <v>17527</v>
      </c>
      <c r="B8836" s="2" t="s">
        <v>17528</v>
      </c>
      <c r="C8836" s="2" t="s">
        <v>17</v>
      </c>
      <c r="D8836" s="2" t="s">
        <v>18</v>
      </c>
      <c r="E8836" s="5">
        <v>-27913</v>
      </c>
      <c r="F8836" s="3" t="s">
        <v>829</v>
      </c>
      <c r="G8836" s="3" t="s">
        <v>39</v>
      </c>
      <c r="H8836" s="2" t="s">
        <v>21</v>
      </c>
      <c r="I8836" s="2" t="s">
        <v>17529</v>
      </c>
      <c r="J8836" s="3" t="str">
        <f>HYPERLINK("https://www.boe.es/gazeta/dias/1823/07/29/pdfs/GMD-1823-483.pdf#page=1","Abrir facsímil")</f>
        <v>Abrir facsímil</v>
      </c>
      <c r="K8836" s="3" t="s">
        <v>23</v>
      </c>
    </row>
    <row r="8837" spans="1:11" ht="42" customHeight="1">
      <c r="A8837" s="2" t="s">
        <v>17530</v>
      </c>
      <c r="B8837" s="2" t="s">
        <v>17531</v>
      </c>
      <c r="C8837" s="2" t="s">
        <v>17</v>
      </c>
      <c r="D8837" s="2" t="s">
        <v>18</v>
      </c>
      <c r="E8837" s="5">
        <v>-27852</v>
      </c>
      <c r="F8837" s="3" t="s">
        <v>2628</v>
      </c>
      <c r="G8837" s="3" t="s">
        <v>7694</v>
      </c>
      <c r="H8837" s="2" t="s">
        <v>21</v>
      </c>
      <c r="I8837" s="2" t="s">
        <v>17532</v>
      </c>
      <c r="J8837" s="3" t="str">
        <f>HYPERLINK("https://www.boe.es/gazeta/dias/1823/09/28/pdfs/GES-1823-172.pdf#page=2","Abrir facsímil")</f>
        <v>Abrir facsímil</v>
      </c>
      <c r="K8837" s="3" t="s">
        <v>23</v>
      </c>
    </row>
    <row r="8838" spans="1:11" ht="42" customHeight="1">
      <c r="A8838" s="2" t="s">
        <v>17533</v>
      </c>
      <c r="B8838" s="2" t="s">
        <v>17534</v>
      </c>
      <c r="C8838" s="2" t="s">
        <v>17</v>
      </c>
      <c r="D8838" s="2" t="s">
        <v>18</v>
      </c>
      <c r="E8838" s="5">
        <v>-27983</v>
      </c>
      <c r="F8838" s="3" t="s">
        <v>337</v>
      </c>
      <c r="G8838" s="3" t="s">
        <v>48</v>
      </c>
      <c r="H8838" s="2" t="s">
        <v>21</v>
      </c>
      <c r="I8838" s="2" t="s">
        <v>17535</v>
      </c>
      <c r="J8838" s="3" t="str">
        <f>HYPERLINK("https://www.boe.es/gazeta/dias/1823/05/20/pdfs/GES-1823-40.pdf#page=3","Abrir facsímil")</f>
        <v>Abrir facsímil</v>
      </c>
      <c r="K8838" s="3" t="s">
        <v>23</v>
      </c>
    </row>
    <row r="8839" spans="1:11" ht="42" customHeight="1">
      <c r="A8839" s="2" t="s">
        <v>17536</v>
      </c>
      <c r="B8839" s="2" t="s">
        <v>17536</v>
      </c>
      <c r="C8839" s="2" t="s">
        <v>17</v>
      </c>
      <c r="D8839" s="2" t="s">
        <v>18</v>
      </c>
      <c r="E8839" s="5">
        <v>-28063</v>
      </c>
      <c r="F8839" s="3" t="s">
        <v>2493</v>
      </c>
      <c r="G8839" s="3" t="s">
        <v>20</v>
      </c>
      <c r="H8839" s="2" t="s">
        <v>21</v>
      </c>
      <c r="I8839" s="2" t="s">
        <v>17537</v>
      </c>
      <c r="J8839" s="3" t="str">
        <f>HYPERLINK("https://www.boe.es/gazeta/dias/1823/03/01/pdfs/GMD-1823-63.pdf#page=4","Abrir facsímil")</f>
        <v>Abrir facsímil</v>
      </c>
      <c r="K8839" s="3" t="s">
        <v>23</v>
      </c>
    </row>
    <row r="8840" spans="1:11" ht="42" customHeight="1">
      <c r="A8840" s="2" t="s">
        <v>17538</v>
      </c>
      <c r="B8840" s="2" t="s">
        <v>17539</v>
      </c>
      <c r="C8840" s="2" t="s">
        <v>56</v>
      </c>
      <c r="D8840" s="2" t="s">
        <v>57</v>
      </c>
      <c r="E8840" s="5">
        <v>-27825</v>
      </c>
      <c r="F8840" s="3" t="s">
        <v>2503</v>
      </c>
      <c r="G8840" s="3" t="s">
        <v>39</v>
      </c>
      <c r="H8840" s="2" t="s">
        <v>21</v>
      </c>
      <c r="I8840" s="2" t="s">
        <v>17540</v>
      </c>
      <c r="J8840" s="3" t="str">
        <f>HYPERLINK("https://www.boe.es/gazeta/dias/1823/10/25/pdfs/GMD-1823-1023.pdf#page=1","Abrir facsímil")</f>
        <v>Abrir facsímil</v>
      </c>
      <c r="K8840" s="3" t="s">
        <v>23</v>
      </c>
    </row>
    <row r="8841" spans="1:11" ht="42" customHeight="1">
      <c r="A8841" s="2" t="s">
        <v>17541</v>
      </c>
      <c r="B8841" s="2" t="s">
        <v>17542</v>
      </c>
      <c r="C8841" s="2" t="s">
        <v>56</v>
      </c>
      <c r="D8841" s="2" t="s">
        <v>57</v>
      </c>
      <c r="E8841" s="5">
        <v>-27829</v>
      </c>
      <c r="F8841" s="3" t="s">
        <v>228</v>
      </c>
      <c r="G8841" s="3" t="s">
        <v>39</v>
      </c>
      <c r="H8841" s="2" t="s">
        <v>21</v>
      </c>
      <c r="I8841" s="2" t="s">
        <v>17543</v>
      </c>
      <c r="J8841" s="3" t="str">
        <f>HYPERLINK("https://www.boe.es/gazeta/dias/1823/10/21/pdfs/GMD-1823-1003.pdf#page=1","Abrir facsímil")</f>
        <v>Abrir facsímil</v>
      </c>
      <c r="K8841" s="3" t="s">
        <v>23</v>
      </c>
    </row>
    <row r="8842" spans="1:11" ht="42" customHeight="1">
      <c r="A8842" s="2" t="s">
        <v>17544</v>
      </c>
      <c r="B8842" s="2" t="s">
        <v>17545</v>
      </c>
      <c r="C8842" s="2" t="s">
        <v>79</v>
      </c>
      <c r="D8842" s="2" t="s">
        <v>74</v>
      </c>
      <c r="E8842" s="5">
        <v>-28108</v>
      </c>
      <c r="F8842" s="3" t="s">
        <v>406</v>
      </c>
      <c r="G8842" s="3" t="s">
        <v>27</v>
      </c>
      <c r="H8842" s="2" t="s">
        <v>21</v>
      </c>
      <c r="I8842" s="2" t="s">
        <v>17546</v>
      </c>
      <c r="J8842" s="3" t="str">
        <f>HYPERLINK("https://www.boe.es/gazeta/dias/1823/01/15/pdfs/GMD-1823-15.pdf#page=2","Abrir facsímil")</f>
        <v>Abrir facsímil</v>
      </c>
      <c r="K8842" s="3" t="s">
        <v>23</v>
      </c>
    </row>
    <row r="8843" spans="1:11" ht="42" customHeight="1">
      <c r="A8843" s="2" t="s">
        <v>17547</v>
      </c>
      <c r="B8843" s="2" t="s">
        <v>17548</v>
      </c>
      <c r="C8843" s="2" t="s">
        <v>56</v>
      </c>
      <c r="D8843" s="2" t="s">
        <v>57</v>
      </c>
      <c r="E8843" s="5">
        <v>-27895</v>
      </c>
      <c r="F8843" s="3" t="s">
        <v>5642</v>
      </c>
      <c r="G8843" s="3" t="s">
        <v>27</v>
      </c>
      <c r="H8843" s="2" t="s">
        <v>21</v>
      </c>
      <c r="I8843" s="2" t="s">
        <v>17549</v>
      </c>
      <c r="J8843" s="3" t="str">
        <f>HYPERLINK("https://www.boe.es/gazeta/dias/1823/08/16/pdfs/GMD-1823-603.pdf#page=2","Abrir facsímil")</f>
        <v>Abrir facsímil</v>
      </c>
      <c r="K8843" s="3" t="s">
        <v>23</v>
      </c>
    </row>
    <row r="8844" spans="1:11" ht="42" customHeight="1">
      <c r="A8844" s="2" t="s">
        <v>17550</v>
      </c>
      <c r="B8844" s="2" t="s">
        <v>17551</v>
      </c>
      <c r="C8844" s="2" t="s">
        <v>56</v>
      </c>
      <c r="D8844" s="2" t="s">
        <v>57</v>
      </c>
      <c r="E8844" s="5">
        <v>-28043</v>
      </c>
      <c r="F8844" s="3" t="s">
        <v>69</v>
      </c>
      <c r="G8844" s="3" t="s">
        <v>59</v>
      </c>
      <c r="H8844" s="2" t="s">
        <v>28</v>
      </c>
      <c r="I8844" s="2" t="s">
        <v>17552</v>
      </c>
      <c r="J8844" s="3" t="str">
        <f>HYPERLINK("https://www.boe.es/gazeta/dias/1823/03/21/pdfs/GMD-1823-84.pdf#page=6","Abrir facsímil")</f>
        <v>Abrir facsímil</v>
      </c>
      <c r="K8844" s="3" t="s">
        <v>30</v>
      </c>
    </row>
    <row r="8845" spans="1:11" ht="42" customHeight="1">
      <c r="A8845" s="2" t="s">
        <v>17553</v>
      </c>
      <c r="B8845" s="2" t="s">
        <v>17554</v>
      </c>
      <c r="C8845" s="2" t="s">
        <v>325</v>
      </c>
      <c r="D8845" s="2" t="s">
        <v>74</v>
      </c>
      <c r="E8845" s="5">
        <v>-27920</v>
      </c>
      <c r="F8845" s="3" t="s">
        <v>1334</v>
      </c>
      <c r="G8845" s="3" t="s">
        <v>715</v>
      </c>
      <c r="H8845" s="2" t="s">
        <v>21</v>
      </c>
      <c r="I8845" s="2" t="s">
        <v>17555</v>
      </c>
      <c r="J8845" s="3" t="str">
        <f>HYPERLINK("https://www.boe.es/gazeta/dias/1823/07/22/pdfs/GMD-1823-443.pdf#page=8","Abrir facsímil")</f>
        <v>Abrir facsímil</v>
      </c>
      <c r="K8845" s="3" t="s">
        <v>23</v>
      </c>
    </row>
    <row r="8846" spans="1:11" ht="42" customHeight="1">
      <c r="A8846" s="2" t="s">
        <v>17556</v>
      </c>
      <c r="B8846" s="2" t="s">
        <v>17557</v>
      </c>
      <c r="C8846" s="2" t="s">
        <v>17</v>
      </c>
      <c r="D8846" s="2" t="s">
        <v>18</v>
      </c>
      <c r="E8846" s="5">
        <v>-28118</v>
      </c>
      <c r="F8846" s="3" t="s">
        <v>252</v>
      </c>
      <c r="G8846" s="3" t="s">
        <v>59</v>
      </c>
      <c r="H8846" s="2" t="s">
        <v>21</v>
      </c>
      <c r="I8846" s="2" t="s">
        <v>17558</v>
      </c>
      <c r="J8846" s="3" t="str">
        <f>HYPERLINK("https://www.boe.es/gazeta/dias/1823/01/05/pdfs/GMD-1823-5.pdf#page=6","Abrir facsímil")</f>
        <v>Abrir facsímil</v>
      </c>
      <c r="K8846" s="3" t="s">
        <v>23</v>
      </c>
    </row>
    <row r="8847" spans="1:11" ht="42" customHeight="1">
      <c r="A8847" t="s">
        <v>17559</v>
      </c>
      <c r="B8847" t="s">
        <v>17560</v>
      </c>
      <c r="C8847" t="s">
        <v>56</v>
      </c>
      <c r="D8847" t="s">
        <v>57</v>
      </c>
      <c r="E8847" s="6">
        <v>-27878</v>
      </c>
      <c r="F8847" t="s">
        <v>1581</v>
      </c>
      <c r="G8847" t="s">
        <v>39</v>
      </c>
      <c r="H8847" t="s">
        <v>21</v>
      </c>
      <c r="I8847" t="s">
        <v>17561</v>
      </c>
      <c r="J8847" t="str">
        <f>HYPERLINK("https://www.boe.es/gazeta/dias/1823/09/02/pdfs/GMD-1823-683.pdf#page=1","Abrir facsímil")</f>
        <v>Abrir facsímil</v>
      </c>
      <c r="K8847" t="s">
        <v>23</v>
      </c>
    </row>
    <row r="8848" spans="1:11" ht="42" customHeight="1">
      <c r="A8848" t="s">
        <v>17562</v>
      </c>
      <c r="B8848" t="s">
        <v>17563</v>
      </c>
      <c r="C8848" t="s">
        <v>17</v>
      </c>
      <c r="D8848" t="s">
        <v>18</v>
      </c>
      <c r="E8848" s="6">
        <v>-28119</v>
      </c>
      <c r="F8848" t="s">
        <v>545</v>
      </c>
      <c r="G8848" t="s">
        <v>48</v>
      </c>
      <c r="H8848" t="s">
        <v>21</v>
      </c>
      <c r="I8848" t="s">
        <v>17564</v>
      </c>
      <c r="J8848" t="str">
        <f>HYPERLINK("https://www.boe.es/gazeta/dias/1823/01/04/pdfs/GMD-1823-4.pdf#page=3","Abrir facsímil")</f>
        <v>Abrir facsímil</v>
      </c>
      <c r="K8848" t="s">
        <v>23</v>
      </c>
    </row>
    <row r="8849" spans="1:11" ht="42" customHeight="1">
      <c r="A8849" t="s">
        <v>17565</v>
      </c>
      <c r="B8849" t="s">
        <v>17566</v>
      </c>
      <c r="C8849" t="s">
        <v>109</v>
      </c>
      <c r="D8849" t="s">
        <v>74</v>
      </c>
      <c r="E8849" s="6">
        <v>-28115</v>
      </c>
      <c r="F8849" t="s">
        <v>579</v>
      </c>
      <c r="G8849" t="s">
        <v>1458</v>
      </c>
      <c r="H8849" t="s">
        <v>21</v>
      </c>
      <c r="I8849" t="s">
        <v>17567</v>
      </c>
      <c r="J8849" t="str">
        <f>HYPERLINK("https://www.boe.es/gazeta/dias/1823/01/08/pdfs/GMD-1823-8.pdf#page=4","Abrir facsímil")</f>
        <v>Abrir facsímil</v>
      </c>
      <c r="K8849" t="s">
        <v>23</v>
      </c>
    </row>
    <row r="8850" spans="1:11" ht="42" customHeight="1">
      <c r="A8850" t="s">
        <v>17565</v>
      </c>
      <c r="B8850" t="s">
        <v>17566</v>
      </c>
      <c r="C8850" t="s">
        <v>17</v>
      </c>
      <c r="D8850" t="s">
        <v>18</v>
      </c>
      <c r="E8850" s="6">
        <v>-28065</v>
      </c>
      <c r="F8850" t="s">
        <v>686</v>
      </c>
      <c r="G8850" t="s">
        <v>20</v>
      </c>
      <c r="H8850" t="s">
        <v>21</v>
      </c>
      <c r="I8850" t="s">
        <v>17568</v>
      </c>
      <c r="J8850" t="str">
        <f>HYPERLINK("https://www.boe.es/gazeta/dias/1823/02/27/pdfs/GMD-1823-61.pdf#page=4","Abrir facsímil")</f>
        <v>Abrir facsímil</v>
      </c>
      <c r="K8850" t="s">
        <v>23</v>
      </c>
    </row>
    <row r="8851" spans="1:11" ht="42" customHeight="1">
      <c r="A8851" t="s">
        <v>17565</v>
      </c>
      <c r="B8851" t="s">
        <v>17566</v>
      </c>
      <c r="C8851" t="s">
        <v>17</v>
      </c>
      <c r="D8851" t="s">
        <v>18</v>
      </c>
      <c r="E8851" s="6">
        <v>-28064</v>
      </c>
      <c r="F8851" t="s">
        <v>1190</v>
      </c>
      <c r="G8851" t="s">
        <v>20</v>
      </c>
      <c r="H8851" t="s">
        <v>21</v>
      </c>
      <c r="I8851" t="s">
        <v>17569</v>
      </c>
      <c r="J8851" t="str">
        <f>HYPERLINK("https://www.boe.es/gazeta/dias/1823/02/28/pdfs/GMD-1823-62.pdf#page=4","Abrir facsímil")</f>
        <v>Abrir facsímil</v>
      </c>
      <c r="K8851" t="s">
        <v>23</v>
      </c>
    </row>
    <row r="8852" spans="1:11" ht="42" customHeight="1">
      <c r="A8852" t="s">
        <v>17565</v>
      </c>
      <c r="B8852" t="s">
        <v>17566</v>
      </c>
      <c r="C8852" t="s">
        <v>73</v>
      </c>
      <c r="D8852" t="s">
        <v>74</v>
      </c>
      <c r="E8852" s="6">
        <v>-28061</v>
      </c>
      <c r="F8852" t="s">
        <v>704</v>
      </c>
      <c r="G8852" t="s">
        <v>59</v>
      </c>
      <c r="H8852" t="s">
        <v>21</v>
      </c>
      <c r="I8852" t="s">
        <v>17570</v>
      </c>
      <c r="J8852" t="str">
        <f>HYPERLINK("https://www.boe.es/gazeta/dias/1823/03/03/pdfs/GMD-1823-66.pdf#page=6","Abrir facsímil")</f>
        <v>Abrir facsímil</v>
      </c>
      <c r="K8852" t="s">
        <v>23</v>
      </c>
    </row>
    <row r="8853" spans="1:11" ht="42" customHeight="1">
      <c r="A8853" t="s">
        <v>17565</v>
      </c>
      <c r="B8853" t="s">
        <v>17566</v>
      </c>
      <c r="C8853" t="s">
        <v>79</v>
      </c>
      <c r="D8853" t="s">
        <v>74</v>
      </c>
      <c r="E8853" s="6">
        <v>-28037</v>
      </c>
      <c r="F8853" t="s">
        <v>192</v>
      </c>
      <c r="G8853" t="s">
        <v>48</v>
      </c>
      <c r="H8853" t="s">
        <v>21</v>
      </c>
      <c r="I8853" t="s">
        <v>17571</v>
      </c>
      <c r="J8853" t="str">
        <f>HYPERLINK("https://www.boe.es/gazeta/dias/1823/03/27/pdfs/GMD-1823-90.pdf#page=3","Abrir facsímil")</f>
        <v>Abrir facsímil</v>
      </c>
      <c r="K8853" t="s">
        <v>23</v>
      </c>
    </row>
    <row r="8854" spans="1:11" ht="42" customHeight="1">
      <c r="A8854" t="s">
        <v>17572</v>
      </c>
      <c r="B8854" t="s">
        <v>17572</v>
      </c>
      <c r="C8854" t="s">
        <v>79</v>
      </c>
      <c r="D8854" t="s">
        <v>74</v>
      </c>
      <c r="E8854" s="6">
        <v>-27841</v>
      </c>
      <c r="F8854" t="s">
        <v>721</v>
      </c>
      <c r="G8854" t="s">
        <v>48</v>
      </c>
      <c r="H8854" t="s">
        <v>21</v>
      </c>
      <c r="I8854" t="s">
        <v>17573</v>
      </c>
      <c r="J8854" t="str">
        <f>HYPERLINK("https://www.boe.es/gazeta/dias/1823/10/09/pdfs/GMD-1823-953.pdf#page=3","Abrir facsímil")</f>
        <v>Abrir facsímil</v>
      </c>
      <c r="K8854" t="s">
        <v>23</v>
      </c>
    </row>
    <row r="8855" spans="1:11" ht="42" customHeight="1">
      <c r="A8855" t="s">
        <v>17574</v>
      </c>
      <c r="B8855" t="s">
        <v>17575</v>
      </c>
      <c r="C8855" t="s">
        <v>17</v>
      </c>
      <c r="D8855" t="s">
        <v>18</v>
      </c>
      <c r="E8855" s="6">
        <v>-28032</v>
      </c>
      <c r="F8855" t="s">
        <v>668</v>
      </c>
      <c r="G8855" t="s">
        <v>39</v>
      </c>
      <c r="H8855" t="s">
        <v>21</v>
      </c>
      <c r="I8855" t="s">
        <v>17576</v>
      </c>
      <c r="J8855" t="str">
        <f>HYPERLINK("https://www.boe.es/gazeta/dias/1823/04/01/pdfs/GMD-1823-95.pdf#page=1","Abrir facsímil")</f>
        <v>Abrir facsímil</v>
      </c>
      <c r="K8855" t="s">
        <v>23</v>
      </c>
    </row>
    <row r="8856" spans="1:11" ht="42" customHeight="1">
      <c r="A8856" t="s">
        <v>17577</v>
      </c>
      <c r="B8856" t="s">
        <v>17577</v>
      </c>
      <c r="C8856" t="s">
        <v>79</v>
      </c>
      <c r="D8856" t="s">
        <v>74</v>
      </c>
      <c r="E8856" s="6">
        <v>-27953</v>
      </c>
      <c r="F8856" t="s">
        <v>1783</v>
      </c>
      <c r="G8856" t="s">
        <v>27</v>
      </c>
      <c r="H8856" t="s">
        <v>21</v>
      </c>
      <c r="I8856" t="s">
        <v>17578</v>
      </c>
      <c r="J8856" t="str">
        <f>HYPERLINK("https://www.boe.es/gazeta/dias/1823/06/19/pdfs/GES-1823-67.pdf#page=2","Abrir facsímil")</f>
        <v>Abrir facsímil</v>
      </c>
      <c r="K8856" t="s">
        <v>23</v>
      </c>
    </row>
    <row r="8857" spans="1:11" ht="42" customHeight="1">
      <c r="A8857" t="s">
        <v>17579</v>
      </c>
      <c r="B8857" t="s">
        <v>17580</v>
      </c>
      <c r="C8857" t="s">
        <v>79</v>
      </c>
      <c r="D8857" t="s">
        <v>74</v>
      </c>
      <c r="E8857" s="6">
        <v>-27925</v>
      </c>
      <c r="F8857" t="s">
        <v>1744</v>
      </c>
      <c r="G8857" t="s">
        <v>48</v>
      </c>
      <c r="H8857" t="s">
        <v>21</v>
      </c>
      <c r="I8857" t="s">
        <v>17581</v>
      </c>
      <c r="J8857" t="str">
        <f>HYPERLINK("https://www.boe.es/gazeta/dias/1823/07/17/pdfs/GMD-1823-413.pdf#page=3","Abrir facsímil")</f>
        <v>Abrir facsímil</v>
      </c>
      <c r="K8857" t="s">
        <v>23</v>
      </c>
    </row>
    <row r="8858" spans="1:11" ht="42" customHeight="1">
      <c r="A8858" t="s">
        <v>17582</v>
      </c>
      <c r="B8858" t="s">
        <v>17583</v>
      </c>
      <c r="C8858" t="s">
        <v>56</v>
      </c>
      <c r="D8858" t="s">
        <v>57</v>
      </c>
      <c r="E8858" s="6">
        <v>-27769</v>
      </c>
      <c r="F8858" t="s">
        <v>2743</v>
      </c>
      <c r="G8858" t="s">
        <v>39</v>
      </c>
      <c r="H8858" t="s">
        <v>21</v>
      </c>
      <c r="I8858" t="s">
        <v>17584</v>
      </c>
      <c r="J8858" t="str">
        <f>HYPERLINK("https://www.boe.es/gazeta/dias/1823/12/20/pdfs/GMD-1823-1273.pdf#page=1","Abrir facsímil")</f>
        <v>Abrir facsímil</v>
      </c>
      <c r="K8858" t="s">
        <v>23</v>
      </c>
    </row>
    <row r="8859" spans="1:11" ht="42" customHeight="1">
      <c r="A8859" t="s">
        <v>17585</v>
      </c>
      <c r="B8859" t="s">
        <v>17586</v>
      </c>
      <c r="C8859" t="s">
        <v>84</v>
      </c>
      <c r="D8859" t="s">
        <v>74</v>
      </c>
      <c r="E8859" s="6">
        <v>-28037</v>
      </c>
      <c r="F8859" t="s">
        <v>192</v>
      </c>
      <c r="G8859" t="s">
        <v>20</v>
      </c>
      <c r="H8859" t="s">
        <v>21</v>
      </c>
      <c r="I8859" t="s">
        <v>17587</v>
      </c>
      <c r="J8859" t="str">
        <f>HYPERLINK("https://www.boe.es/gazeta/dias/1823/03/27/pdfs/GMD-1823-90.pdf#page=4","Abrir facsímil")</f>
        <v>Abrir facsímil</v>
      </c>
      <c r="K8859" t="s">
        <v>23</v>
      </c>
    </row>
    <row r="8860" spans="1:11" ht="42" customHeight="1">
      <c r="A8860" t="s">
        <v>17588</v>
      </c>
      <c r="B8860" t="s">
        <v>17589</v>
      </c>
      <c r="C8860" t="s">
        <v>84</v>
      </c>
      <c r="D8860" t="s">
        <v>74</v>
      </c>
      <c r="E8860" s="6">
        <v>-27985</v>
      </c>
      <c r="F8860" t="s">
        <v>951</v>
      </c>
      <c r="G8860" t="s">
        <v>1140</v>
      </c>
      <c r="H8860" t="s">
        <v>21</v>
      </c>
      <c r="I8860" t="s">
        <v>17590</v>
      </c>
      <c r="J8860" t="str">
        <f>HYPERLINK("https://www.boe.es/gazeta/dias/1823/05/18/pdfs/GES-1823-38.pdf#page=5","Abrir facsímil")</f>
        <v>Abrir facsímil</v>
      </c>
      <c r="K8860" t="s">
        <v>23</v>
      </c>
    </row>
    <row r="8861" spans="1:11" ht="42" customHeight="1">
      <c r="A8861" t="s">
        <v>17588</v>
      </c>
      <c r="B8861" t="s">
        <v>17589</v>
      </c>
      <c r="C8861" t="s">
        <v>56</v>
      </c>
      <c r="D8861" t="s">
        <v>57</v>
      </c>
      <c r="E8861" s="6">
        <v>-27971</v>
      </c>
      <c r="F8861" t="s">
        <v>4211</v>
      </c>
      <c r="G8861" t="s">
        <v>39</v>
      </c>
      <c r="H8861" t="s">
        <v>21</v>
      </c>
      <c r="I8861" t="s">
        <v>17591</v>
      </c>
      <c r="J8861" t="str">
        <f>HYPERLINK("https://www.boe.es/gazeta/dias/1823/06/01/pdfs/GES-1823-55.pdf#page=1","Abrir facsímil")</f>
        <v>Abrir facsímil</v>
      </c>
      <c r="K8861" t="s">
        <v>23</v>
      </c>
    </row>
    <row r="8862" spans="1:11" ht="42" customHeight="1">
      <c r="A8862" t="s">
        <v>17592</v>
      </c>
      <c r="B8862" t="s">
        <v>17593</v>
      </c>
      <c r="C8862" t="s">
        <v>17</v>
      </c>
      <c r="D8862" t="s">
        <v>18</v>
      </c>
      <c r="E8862" s="6">
        <v>-27906</v>
      </c>
      <c r="F8862" t="s">
        <v>1527</v>
      </c>
      <c r="G8862" t="s">
        <v>39</v>
      </c>
      <c r="H8862" t="s">
        <v>28</v>
      </c>
      <c r="I8862" t="s">
        <v>17594</v>
      </c>
      <c r="J8862" t="str">
        <f>HYPERLINK("https://www.boe.es/gazeta/dias/1823/08/05/pdfs/GMD-1823-533.pdf#page=1","Abrir facsímil")</f>
        <v>Abrir facsímil</v>
      </c>
      <c r="K8862" t="s">
        <v>30</v>
      </c>
    </row>
    <row r="8863" spans="1:11" ht="42" customHeight="1">
      <c r="A8863" t="s">
        <v>17595</v>
      </c>
      <c r="B8863" t="s">
        <v>17596</v>
      </c>
      <c r="C8863" t="s">
        <v>17</v>
      </c>
      <c r="D8863" t="s">
        <v>18</v>
      </c>
      <c r="E8863" s="6">
        <v>-27857</v>
      </c>
      <c r="F8863" t="s">
        <v>378</v>
      </c>
      <c r="G8863" t="s">
        <v>20</v>
      </c>
      <c r="H8863" t="s">
        <v>21</v>
      </c>
      <c r="I8863" t="s">
        <v>17597</v>
      </c>
      <c r="J8863" t="str">
        <f>HYPERLINK("https://www.boe.es/gazeta/dias/1823/09/23/pdfs/GMD-1823-833.pdf#page=4","Abrir facsímil")</f>
        <v>Abrir facsímil</v>
      </c>
      <c r="K8863" t="s">
        <v>23</v>
      </c>
    </row>
    <row r="8864" spans="1:11" ht="42" customHeight="1">
      <c r="A8864" t="s">
        <v>17598</v>
      </c>
      <c r="B8864" t="s">
        <v>17599</v>
      </c>
      <c r="C8864" t="s">
        <v>79</v>
      </c>
      <c r="D8864" t="s">
        <v>117</v>
      </c>
      <c r="E8864" s="6">
        <v>-27848</v>
      </c>
      <c r="F8864" t="s">
        <v>17600</v>
      </c>
      <c r="G8864" t="s">
        <v>39</v>
      </c>
      <c r="H8864" t="s">
        <v>21</v>
      </c>
      <c r="I8864" t="s">
        <v>17601</v>
      </c>
      <c r="J8864" t="str">
        <f>HYPERLINK("https://www.boe.es/gazeta/dias/1823/10/02/pdfs/GMD-1823-903E.pdf#page=1","Abrir facsímil")</f>
        <v>Abrir facsímil</v>
      </c>
      <c r="K8864" t="s">
        <v>23</v>
      </c>
    </row>
    <row r="8865" spans="1:11" ht="42" customHeight="1">
      <c r="A8865" t="s">
        <v>17602</v>
      </c>
      <c r="B8865" t="s">
        <v>17603</v>
      </c>
      <c r="C8865" t="s">
        <v>79</v>
      </c>
      <c r="D8865" t="s">
        <v>74</v>
      </c>
      <c r="E8865" s="6">
        <v>-28021</v>
      </c>
      <c r="F8865" t="s">
        <v>1054</v>
      </c>
      <c r="G8865" t="s">
        <v>1055</v>
      </c>
      <c r="H8865" t="s">
        <v>21</v>
      </c>
      <c r="I8865" t="s">
        <v>17604</v>
      </c>
      <c r="J8865" t="str">
        <f>HYPERLINK("https://www.boe.es/gazeta/dias/1823/04/12/pdfs/GMD-1823-107.pdf#page=4","Abrir facsímil")</f>
        <v>Abrir facsímil</v>
      </c>
      <c r="K8865" t="s">
        <v>23</v>
      </c>
    </row>
    <row r="8866" spans="1:11" ht="42" customHeight="1">
      <c r="A8866" t="s">
        <v>17605</v>
      </c>
      <c r="B8866" t="s">
        <v>17606</v>
      </c>
      <c r="C8866" t="s">
        <v>17</v>
      </c>
      <c r="D8866" t="s">
        <v>18</v>
      </c>
      <c r="E8866" s="6">
        <v>-28001</v>
      </c>
      <c r="F8866" t="s">
        <v>768</v>
      </c>
      <c r="G8866" t="s">
        <v>2756</v>
      </c>
      <c r="H8866" t="s">
        <v>21</v>
      </c>
      <c r="I8866" t="s">
        <v>17607</v>
      </c>
      <c r="J8866" t="str">
        <f>HYPERLINK("https://www.boe.es/gazeta/dias/1823/05/02/pdfs/GES-1823-22.pdf#page=6","Abrir facsímil")</f>
        <v>Abrir facsímil</v>
      </c>
      <c r="K8866" t="s">
        <v>23</v>
      </c>
    </row>
    <row r="8867" spans="1:11" ht="42" customHeight="1">
      <c r="A8867" t="s">
        <v>17608</v>
      </c>
      <c r="B8867" t="s">
        <v>17608</v>
      </c>
      <c r="C8867" t="s">
        <v>17</v>
      </c>
      <c r="D8867" t="s">
        <v>18</v>
      </c>
      <c r="E8867" s="6">
        <v>-27953</v>
      </c>
      <c r="F8867" t="s">
        <v>1543</v>
      </c>
      <c r="G8867" t="s">
        <v>27</v>
      </c>
      <c r="H8867" t="s">
        <v>21</v>
      </c>
      <c r="I8867" t="s">
        <v>17609</v>
      </c>
      <c r="J8867" t="str">
        <f>HYPERLINK("https://www.boe.es/gazeta/dias/1823/06/19/pdfs/GMD-1823-193.pdf#page=2","Abrir facsímil")</f>
        <v>Abrir facsímil</v>
      </c>
      <c r="K8867" t="s">
        <v>23</v>
      </c>
    </row>
    <row r="8868" spans="1:11" ht="42" customHeight="1">
      <c r="A8868" t="s">
        <v>17610</v>
      </c>
      <c r="B8868" t="s">
        <v>17610</v>
      </c>
      <c r="C8868" t="s">
        <v>17</v>
      </c>
      <c r="D8868" t="s">
        <v>18</v>
      </c>
      <c r="E8868" s="6">
        <v>-28056</v>
      </c>
      <c r="F8868" t="s">
        <v>572</v>
      </c>
      <c r="G8868" t="s">
        <v>27</v>
      </c>
      <c r="H8868" t="s">
        <v>21</v>
      </c>
      <c r="I8868" t="s">
        <v>17611</v>
      </c>
      <c r="J8868" t="str">
        <f>HYPERLINK("https://www.boe.es/gazeta/dias/1823/03/08/pdfs/GMD-1823-71.pdf#page=2","Abrir facsímil")</f>
        <v>Abrir facsímil</v>
      </c>
      <c r="K8868" t="s">
        <v>23</v>
      </c>
    </row>
    <row r="8869" spans="1:11" ht="42" customHeight="1">
      <c r="A8869" t="s">
        <v>17610</v>
      </c>
      <c r="B8869" t="s">
        <v>17610</v>
      </c>
      <c r="C8869" t="s">
        <v>17</v>
      </c>
      <c r="D8869" t="s">
        <v>18</v>
      </c>
      <c r="E8869" s="6">
        <v>-28050</v>
      </c>
      <c r="F8869" t="s">
        <v>473</v>
      </c>
      <c r="G8869" t="s">
        <v>34</v>
      </c>
      <c r="H8869" t="s">
        <v>21</v>
      </c>
      <c r="I8869" t="s">
        <v>17612</v>
      </c>
      <c r="J8869" t="str">
        <f>HYPERLINK("https://www.boe.es/gazeta/dias/1823/03/14/pdfs/GMD-1823-77.pdf#page=5","Abrir facsímil")</f>
        <v>Abrir facsímil</v>
      </c>
      <c r="K8869" t="s">
        <v>23</v>
      </c>
    </row>
    <row r="8870" spans="1:11" ht="42" customHeight="1">
      <c r="A8870" t="s">
        <v>17610</v>
      </c>
      <c r="B8870" t="s">
        <v>17610</v>
      </c>
      <c r="C8870" t="s">
        <v>17</v>
      </c>
      <c r="D8870" t="s">
        <v>18</v>
      </c>
      <c r="E8870" s="6">
        <v>-28048</v>
      </c>
      <c r="F8870" t="s">
        <v>399</v>
      </c>
      <c r="G8870" t="s">
        <v>27</v>
      </c>
      <c r="H8870" t="s">
        <v>21</v>
      </c>
      <c r="I8870" t="s">
        <v>17613</v>
      </c>
      <c r="J8870" t="str">
        <f>HYPERLINK("https://www.boe.es/gazeta/dias/1823/03/16/pdfs/GMD-1823-79.pdf#page=2","Abrir facsímil")</f>
        <v>Abrir facsímil</v>
      </c>
      <c r="K8870" t="s">
        <v>23</v>
      </c>
    </row>
    <row r="8871" spans="1:11" ht="42" customHeight="1">
      <c r="A8871" t="s">
        <v>17610</v>
      </c>
      <c r="B8871" t="s">
        <v>17610</v>
      </c>
      <c r="C8871" t="s">
        <v>17</v>
      </c>
      <c r="D8871" t="s">
        <v>18</v>
      </c>
      <c r="E8871" s="6">
        <v>-28041</v>
      </c>
      <c r="F8871" t="s">
        <v>873</v>
      </c>
      <c r="G8871" t="s">
        <v>27</v>
      </c>
      <c r="H8871" t="s">
        <v>21</v>
      </c>
      <c r="I8871" t="s">
        <v>17614</v>
      </c>
      <c r="J8871" t="str">
        <f>HYPERLINK("https://www.boe.es/gazeta/dias/1823/03/23/pdfs/GMD-1823-86.pdf#page=2","Abrir facsímil")</f>
        <v>Abrir facsímil</v>
      </c>
      <c r="K8871" t="s">
        <v>23</v>
      </c>
    </row>
    <row r="8872" spans="1:11" ht="42" customHeight="1">
      <c r="A8872" t="s">
        <v>17610</v>
      </c>
      <c r="B8872" t="s">
        <v>17610</v>
      </c>
      <c r="C8872" t="s">
        <v>17</v>
      </c>
      <c r="D8872" t="s">
        <v>18</v>
      </c>
      <c r="E8872" s="6">
        <v>-28037</v>
      </c>
      <c r="F8872" t="s">
        <v>192</v>
      </c>
      <c r="G8872" t="s">
        <v>27</v>
      </c>
      <c r="H8872" t="s">
        <v>21</v>
      </c>
      <c r="I8872" t="s">
        <v>17615</v>
      </c>
      <c r="J8872" t="str">
        <f>HYPERLINK("https://www.boe.es/gazeta/dias/1823/03/27/pdfs/GMD-1823-90.pdf#page=2","Abrir facsímil")</f>
        <v>Abrir facsímil</v>
      </c>
      <c r="K8872" t="s">
        <v>23</v>
      </c>
    </row>
    <row r="8873" spans="1:11" ht="42" customHeight="1">
      <c r="A8873" t="s">
        <v>17610</v>
      </c>
      <c r="B8873" t="s">
        <v>17610</v>
      </c>
      <c r="C8873" t="s">
        <v>17</v>
      </c>
      <c r="D8873" t="s">
        <v>18</v>
      </c>
      <c r="E8873" s="6">
        <v>-28031</v>
      </c>
      <c r="F8873" t="s">
        <v>1211</v>
      </c>
      <c r="G8873" t="s">
        <v>48</v>
      </c>
      <c r="H8873" t="s">
        <v>21</v>
      </c>
      <c r="I8873" t="s">
        <v>17616</v>
      </c>
      <c r="J8873" t="str">
        <f>HYPERLINK("https://www.boe.es/gazeta/dias/1823/04/02/pdfs/GMD-1823-96.pdf#page=3","Abrir facsímil")</f>
        <v>Abrir facsímil</v>
      </c>
      <c r="K8873" t="s">
        <v>23</v>
      </c>
    </row>
    <row r="8874" spans="1:11" ht="42" customHeight="1">
      <c r="A8874" t="s">
        <v>17610</v>
      </c>
      <c r="B8874" t="s">
        <v>17610</v>
      </c>
      <c r="C8874" t="s">
        <v>17</v>
      </c>
      <c r="D8874" t="s">
        <v>18</v>
      </c>
      <c r="E8874" s="6">
        <v>-28019</v>
      </c>
      <c r="F8874" t="s">
        <v>1663</v>
      </c>
      <c r="G8874" t="s">
        <v>39</v>
      </c>
      <c r="H8874" t="s">
        <v>21</v>
      </c>
      <c r="I8874" t="s">
        <v>17617</v>
      </c>
      <c r="J8874" t="str">
        <f>HYPERLINK("https://www.boe.es/gazeta/dias/1823/04/14/pdfs/GES-1823-4.pdf#page=1","Abrir facsímil")</f>
        <v>Abrir facsímil</v>
      </c>
      <c r="K8874" t="s">
        <v>23</v>
      </c>
    </row>
    <row r="8875" spans="1:11" ht="42" customHeight="1">
      <c r="A8875" t="s">
        <v>17610</v>
      </c>
      <c r="B8875" t="s">
        <v>17610</v>
      </c>
      <c r="C8875" t="s">
        <v>17</v>
      </c>
      <c r="D8875" t="s">
        <v>18</v>
      </c>
      <c r="E8875" s="6">
        <v>-28016</v>
      </c>
      <c r="F8875" t="s">
        <v>287</v>
      </c>
      <c r="G8875" t="s">
        <v>39</v>
      </c>
      <c r="H8875" t="s">
        <v>21</v>
      </c>
      <c r="I8875" t="s">
        <v>17618</v>
      </c>
      <c r="J8875" t="str">
        <f>HYPERLINK("https://www.boe.es/gazeta/dias/1823/04/17/pdfs/GMD-1823-22.pdf#page=1","Abrir facsímil")</f>
        <v>Abrir facsímil</v>
      </c>
      <c r="K8875" t="s">
        <v>23</v>
      </c>
    </row>
    <row r="8876" spans="1:11" ht="42" customHeight="1">
      <c r="A8876" t="s">
        <v>17610</v>
      </c>
      <c r="B8876" t="s">
        <v>17610</v>
      </c>
      <c r="C8876" t="s">
        <v>17</v>
      </c>
      <c r="D8876" t="s">
        <v>18</v>
      </c>
      <c r="E8876" s="6">
        <v>-28016</v>
      </c>
      <c r="F8876" t="s">
        <v>287</v>
      </c>
      <c r="G8876" t="s">
        <v>27</v>
      </c>
      <c r="H8876" t="s">
        <v>21</v>
      </c>
      <c r="I8876" t="s">
        <v>17619</v>
      </c>
      <c r="J8876" t="str">
        <f>HYPERLINK("https://www.boe.es/gazeta/dias/1823/04/17/pdfs/GMD-1823-22.pdf#page=2","Abrir facsímil")</f>
        <v>Abrir facsímil</v>
      </c>
      <c r="K8876" t="s">
        <v>23</v>
      </c>
    </row>
    <row r="8877" spans="1:11" ht="42" customHeight="1">
      <c r="A8877" t="s">
        <v>17610</v>
      </c>
      <c r="B8877" t="s">
        <v>17610</v>
      </c>
      <c r="C8877" t="s">
        <v>17</v>
      </c>
      <c r="D8877" t="s">
        <v>18</v>
      </c>
      <c r="E8877" s="6">
        <v>-28013</v>
      </c>
      <c r="F8877" t="s">
        <v>2466</v>
      </c>
      <c r="G8877" t="s">
        <v>2467</v>
      </c>
      <c r="H8877" t="s">
        <v>21</v>
      </c>
      <c r="I8877" t="s">
        <v>17620</v>
      </c>
      <c r="J8877" t="str">
        <f>HYPERLINK("https://www.boe.es/gazeta/dias/1823/04/20/pdfs/GES-1823-10.pdf#page=3","Abrir facsímil")</f>
        <v>Abrir facsímil</v>
      </c>
      <c r="K8877" t="s">
        <v>23</v>
      </c>
    </row>
    <row r="8878" spans="1:11" ht="42" customHeight="1">
      <c r="A8878" t="s">
        <v>17610</v>
      </c>
      <c r="B8878" t="s">
        <v>17610</v>
      </c>
      <c r="C8878" t="s">
        <v>17</v>
      </c>
      <c r="D8878" t="s">
        <v>18</v>
      </c>
      <c r="E8878" s="6">
        <v>-28011</v>
      </c>
      <c r="F8878" t="s">
        <v>3326</v>
      </c>
      <c r="G8878" t="s">
        <v>6440</v>
      </c>
      <c r="H8878" t="s">
        <v>21</v>
      </c>
      <c r="I8878" t="s">
        <v>17621</v>
      </c>
      <c r="J8878" t="str">
        <f>HYPERLINK("https://www.boe.es/gazeta/dias/1823/04/22/pdfs/GES-1823-12.pdf#page=3","Abrir facsímil")</f>
        <v>Abrir facsímil</v>
      </c>
      <c r="K8878" t="s">
        <v>23</v>
      </c>
    </row>
    <row r="8879" spans="1:11" ht="42" customHeight="1">
      <c r="A8879" t="s">
        <v>17610</v>
      </c>
      <c r="B8879" t="s">
        <v>17610</v>
      </c>
      <c r="C8879" t="s">
        <v>17</v>
      </c>
      <c r="D8879" t="s">
        <v>18</v>
      </c>
      <c r="E8879" s="6">
        <v>-28011</v>
      </c>
      <c r="F8879" t="s">
        <v>3326</v>
      </c>
      <c r="G8879" t="s">
        <v>27</v>
      </c>
      <c r="H8879" t="s">
        <v>21</v>
      </c>
      <c r="I8879" t="s">
        <v>17622</v>
      </c>
      <c r="J8879" t="str">
        <f>HYPERLINK("https://www.boe.es/gazeta/dias/1823/04/22/pdfs/GES-1823-12.pdf#page=2","Abrir facsímil")</f>
        <v>Abrir facsímil</v>
      </c>
      <c r="K8879" t="s">
        <v>23</v>
      </c>
    </row>
    <row r="8880" spans="1:11" ht="42" customHeight="1">
      <c r="A8880" t="s">
        <v>17610</v>
      </c>
      <c r="B8880" t="s">
        <v>17610</v>
      </c>
      <c r="C8880" t="s">
        <v>17</v>
      </c>
      <c r="D8880" t="s">
        <v>18</v>
      </c>
      <c r="E8880" s="6">
        <v>-28009</v>
      </c>
      <c r="F8880" t="s">
        <v>212</v>
      </c>
      <c r="G8880" t="s">
        <v>27</v>
      </c>
      <c r="H8880" t="s">
        <v>21</v>
      </c>
      <c r="I8880" t="s">
        <v>17623</v>
      </c>
      <c r="J8880" t="str">
        <f>HYPERLINK("https://www.boe.es/gazeta/dias/1823/04/24/pdfs/GMD-1823-52.pdf#page=2","Abrir facsímil")</f>
        <v>Abrir facsímil</v>
      </c>
      <c r="K8880" t="s">
        <v>23</v>
      </c>
    </row>
    <row r="8881" spans="1:11" ht="42" customHeight="1">
      <c r="A8881" t="s">
        <v>17610</v>
      </c>
      <c r="B8881" t="s">
        <v>17610</v>
      </c>
      <c r="C8881" t="s">
        <v>17</v>
      </c>
      <c r="D8881" t="s">
        <v>18</v>
      </c>
      <c r="E8881" s="6">
        <v>-28007</v>
      </c>
      <c r="F8881" t="s">
        <v>311</v>
      </c>
      <c r="G8881" t="s">
        <v>39</v>
      </c>
      <c r="H8881" t="s">
        <v>21</v>
      </c>
      <c r="I8881" t="s">
        <v>17624</v>
      </c>
      <c r="J8881" t="str">
        <f>HYPERLINK("https://www.boe.es/gazeta/dias/1823/04/26/pdfs/GES-1823-16.pdf#page=1","Abrir facsímil")</f>
        <v>Abrir facsímil</v>
      </c>
      <c r="K8881" t="s">
        <v>23</v>
      </c>
    </row>
    <row r="8882" spans="1:11" ht="42" customHeight="1">
      <c r="A8882" t="s">
        <v>17610</v>
      </c>
      <c r="B8882" t="s">
        <v>17610</v>
      </c>
      <c r="C8882" t="s">
        <v>17</v>
      </c>
      <c r="D8882" t="s">
        <v>18</v>
      </c>
      <c r="E8882" s="6">
        <v>-28005</v>
      </c>
      <c r="F8882" t="s">
        <v>1648</v>
      </c>
      <c r="G8882" t="s">
        <v>7662</v>
      </c>
      <c r="H8882" t="s">
        <v>21</v>
      </c>
      <c r="I8882" t="s">
        <v>17625</v>
      </c>
      <c r="J8882" t="str">
        <f>HYPERLINK("https://www.boe.es/gazeta/dias/1823/04/28/pdfs/GES-1823-18.pdf#page=1","Abrir facsímil")</f>
        <v>Abrir facsímil</v>
      </c>
      <c r="K8882" t="s">
        <v>23</v>
      </c>
    </row>
    <row r="8883" spans="1:11" ht="42" customHeight="1">
      <c r="A8883" t="s">
        <v>17610</v>
      </c>
      <c r="B8883" t="s">
        <v>17610</v>
      </c>
      <c r="C8883" t="s">
        <v>17</v>
      </c>
      <c r="D8883" t="s">
        <v>18</v>
      </c>
      <c r="E8883" s="6">
        <v>-28003</v>
      </c>
      <c r="F8883" t="s">
        <v>26</v>
      </c>
      <c r="G8883" t="s">
        <v>39</v>
      </c>
      <c r="H8883" t="s">
        <v>21</v>
      </c>
      <c r="I8883" t="s">
        <v>17626</v>
      </c>
      <c r="J8883" t="str">
        <f>HYPERLINK("https://www.boe.es/gazeta/dias/1823/04/30/pdfs/GES-1823-20.pdf#page=1","Abrir facsímil")</f>
        <v>Abrir facsímil</v>
      </c>
      <c r="K8883" t="s">
        <v>23</v>
      </c>
    </row>
    <row r="8884" spans="1:11" ht="42" customHeight="1">
      <c r="A8884" t="s">
        <v>17610</v>
      </c>
      <c r="B8884" t="s">
        <v>17610</v>
      </c>
      <c r="C8884" t="s">
        <v>17</v>
      </c>
      <c r="D8884" t="s">
        <v>18</v>
      </c>
      <c r="E8884" s="6">
        <v>-27994</v>
      </c>
      <c r="F8884" t="s">
        <v>714</v>
      </c>
      <c r="G8884" t="s">
        <v>715</v>
      </c>
      <c r="H8884" t="s">
        <v>21</v>
      </c>
      <c r="I8884" t="s">
        <v>17627</v>
      </c>
      <c r="J8884" t="str">
        <f>HYPERLINK("https://www.boe.es/gazeta/dias/1823/05/09/pdfs/GES-1823-29.pdf#page=8","Abrir facsímil")</f>
        <v>Abrir facsímil</v>
      </c>
      <c r="K8884" t="s">
        <v>23</v>
      </c>
    </row>
    <row r="8885" spans="1:11" ht="42" customHeight="1">
      <c r="A8885" t="s">
        <v>17610</v>
      </c>
      <c r="B8885" t="s">
        <v>17610</v>
      </c>
      <c r="C8885" t="s">
        <v>17</v>
      </c>
      <c r="D8885" t="s">
        <v>18</v>
      </c>
      <c r="E8885" s="6">
        <v>-27991</v>
      </c>
      <c r="F8885" t="s">
        <v>328</v>
      </c>
      <c r="G8885" t="s">
        <v>59</v>
      </c>
      <c r="H8885" t="s">
        <v>21</v>
      </c>
      <c r="I8885" t="s">
        <v>17628</v>
      </c>
      <c r="J8885" t="str">
        <f>HYPERLINK("https://www.boe.es/gazeta/dias/1823/05/12/pdfs/GES-1823-32.pdf#page=6","Abrir facsímil")</f>
        <v>Abrir facsímil</v>
      </c>
      <c r="K8885" t="s">
        <v>23</v>
      </c>
    </row>
    <row r="8886" spans="1:11" ht="42" customHeight="1">
      <c r="A8886" t="s">
        <v>17610</v>
      </c>
      <c r="B8886" t="s">
        <v>17610</v>
      </c>
      <c r="C8886" t="s">
        <v>17</v>
      </c>
      <c r="D8886" t="s">
        <v>117</v>
      </c>
      <c r="E8886" s="6">
        <v>-27960</v>
      </c>
      <c r="F8886" t="s">
        <v>6554</v>
      </c>
      <c r="G8886" t="s">
        <v>39</v>
      </c>
      <c r="H8886" t="s">
        <v>21</v>
      </c>
      <c r="I8886" t="s">
        <v>17629</v>
      </c>
      <c r="J8886" t="str">
        <f>HYPERLINK("https://www.boe.es/gazeta/dias/1823/06/12/pdfs/GMD-1823-133E.pdf#page=1","Abrir facsímil")</f>
        <v>Abrir facsímil</v>
      </c>
      <c r="K8886" t="s">
        <v>23</v>
      </c>
    </row>
    <row r="8887" spans="1:11" ht="42" customHeight="1">
      <c r="A8887" t="s">
        <v>17610</v>
      </c>
      <c r="B8887" t="s">
        <v>17610</v>
      </c>
      <c r="C8887" t="s">
        <v>17</v>
      </c>
      <c r="D8887" t="s">
        <v>18</v>
      </c>
      <c r="E8887" s="6">
        <v>-27906</v>
      </c>
      <c r="F8887" t="s">
        <v>1527</v>
      </c>
      <c r="G8887" t="s">
        <v>20</v>
      </c>
      <c r="H8887" t="s">
        <v>21</v>
      </c>
      <c r="I8887" t="s">
        <v>17630</v>
      </c>
      <c r="J8887" t="str">
        <f>HYPERLINK("https://www.boe.es/gazeta/dias/1823/08/05/pdfs/GMD-1823-533.pdf#page=4","Abrir facsímil")</f>
        <v>Abrir facsímil</v>
      </c>
      <c r="K8887" t="s">
        <v>23</v>
      </c>
    </row>
    <row r="8888" spans="1:11" ht="42" customHeight="1">
      <c r="A8888" t="s">
        <v>17631</v>
      </c>
      <c r="B8888" t="s">
        <v>17632</v>
      </c>
      <c r="C8888" t="s">
        <v>56</v>
      </c>
      <c r="D8888" t="s">
        <v>57</v>
      </c>
      <c r="E8888" s="6">
        <v>-27924</v>
      </c>
      <c r="F8888" t="s">
        <v>2385</v>
      </c>
      <c r="G8888" t="s">
        <v>39</v>
      </c>
      <c r="H8888" t="s">
        <v>21</v>
      </c>
      <c r="I8888" t="s">
        <v>17633</v>
      </c>
      <c r="J8888" t="str">
        <f>HYPERLINK("https://www.boe.es/gazeta/dias/1823/07/18/pdfs/GES-1823-99.pdf#page=1","Abrir facsímil")</f>
        <v>Abrir facsímil</v>
      </c>
      <c r="K8888" t="s">
        <v>23</v>
      </c>
    </row>
    <row r="8889" spans="1:11" ht="42" customHeight="1">
      <c r="A8889" t="s">
        <v>17634</v>
      </c>
      <c r="B8889" t="s">
        <v>17635</v>
      </c>
      <c r="C8889" t="s">
        <v>17</v>
      </c>
      <c r="D8889" t="s">
        <v>18</v>
      </c>
      <c r="E8889" s="6">
        <v>-28022</v>
      </c>
      <c r="F8889" t="s">
        <v>439</v>
      </c>
      <c r="G8889" t="s">
        <v>48</v>
      </c>
      <c r="H8889" t="s">
        <v>21</v>
      </c>
      <c r="I8889" t="s">
        <v>17636</v>
      </c>
      <c r="J8889" t="str">
        <f>HYPERLINK("https://www.boe.es/gazeta/dias/1823/04/11/pdfs/GMD-1823-106.pdf#page=3","Abrir facsímil")</f>
        <v>Abrir facsímil</v>
      </c>
      <c r="K8889" t="s">
        <v>23</v>
      </c>
    </row>
    <row r="8890" spans="1:11" ht="42" customHeight="1">
      <c r="A8890" t="s">
        <v>17634</v>
      </c>
      <c r="B8890" t="s">
        <v>17635</v>
      </c>
      <c r="C8890" t="s">
        <v>17</v>
      </c>
      <c r="D8890" t="s">
        <v>18</v>
      </c>
      <c r="E8890" s="6">
        <v>-27995</v>
      </c>
      <c r="F8890" t="s">
        <v>326</v>
      </c>
      <c r="G8890" t="s">
        <v>39</v>
      </c>
      <c r="H8890" t="s">
        <v>21</v>
      </c>
      <c r="I8890" t="s">
        <v>17637</v>
      </c>
      <c r="J8890" t="str">
        <f>HYPERLINK("https://www.boe.es/gazeta/dias/1823/05/08/pdfs/GMD-1823-112.pdf#page=1","Abrir facsímil")</f>
        <v>Abrir facsímil</v>
      </c>
      <c r="K8890" t="s">
        <v>23</v>
      </c>
    </row>
    <row r="8891" spans="1:11" ht="42" customHeight="1">
      <c r="A8891" t="s">
        <v>17638</v>
      </c>
      <c r="B8891" t="s">
        <v>17638</v>
      </c>
      <c r="C8891" t="s">
        <v>17</v>
      </c>
      <c r="D8891" t="s">
        <v>18</v>
      </c>
      <c r="E8891" s="6">
        <v>-28119</v>
      </c>
      <c r="F8891" t="s">
        <v>545</v>
      </c>
      <c r="G8891" t="s">
        <v>48</v>
      </c>
      <c r="H8891" t="s">
        <v>21</v>
      </c>
      <c r="I8891" t="s">
        <v>17639</v>
      </c>
      <c r="J8891" t="str">
        <f>HYPERLINK("https://www.boe.es/gazeta/dias/1823/01/04/pdfs/GMD-1823-4.pdf#page=3","Abrir facsímil")</f>
        <v>Abrir facsímil</v>
      </c>
      <c r="K8891" t="s">
        <v>23</v>
      </c>
    </row>
    <row r="8892" spans="1:11" ht="42" customHeight="1">
      <c r="A8892" t="s">
        <v>17640</v>
      </c>
      <c r="B8892" t="s">
        <v>17640</v>
      </c>
      <c r="C8892" t="s">
        <v>325</v>
      </c>
      <c r="D8892" t="s">
        <v>74</v>
      </c>
      <c r="E8892" s="6">
        <v>-27988</v>
      </c>
      <c r="F8892" t="s">
        <v>692</v>
      </c>
      <c r="G8892" t="s">
        <v>48</v>
      </c>
      <c r="H8892" t="s">
        <v>21</v>
      </c>
      <c r="I8892" t="s">
        <v>17641</v>
      </c>
      <c r="J8892" t="str">
        <f>HYPERLINK("https://www.boe.es/gazeta/dias/1823/05/15/pdfs/GES-1823-35.pdf#page=3","Abrir facsímil")</f>
        <v>Abrir facsímil</v>
      </c>
      <c r="K8892" t="s">
        <v>23</v>
      </c>
    </row>
    <row r="8893" spans="1:11" ht="42" customHeight="1">
      <c r="A8893" t="s">
        <v>17642</v>
      </c>
      <c r="B8893" t="s">
        <v>17642</v>
      </c>
      <c r="C8893" t="s">
        <v>79</v>
      </c>
      <c r="D8893" t="s">
        <v>74</v>
      </c>
      <c r="E8893" s="6">
        <v>-28046</v>
      </c>
      <c r="F8893" t="s">
        <v>85</v>
      </c>
      <c r="G8893" t="s">
        <v>39</v>
      </c>
      <c r="H8893" t="s">
        <v>21</v>
      </c>
      <c r="I8893" t="s">
        <v>17643</v>
      </c>
      <c r="J8893" t="str">
        <f>HYPERLINK("https://www.boe.es/gazeta/dias/1823/03/18/pdfs/GMD-1823-81.pdf#page=1","Abrir facsímil")</f>
        <v>Abrir facsímil</v>
      </c>
      <c r="K8893" t="s">
        <v>23</v>
      </c>
    </row>
    <row r="8894" spans="1:11" ht="42" customHeight="1">
      <c r="A8894" t="s">
        <v>17642</v>
      </c>
      <c r="B8894" t="s">
        <v>17642</v>
      </c>
      <c r="C8894" t="s">
        <v>17</v>
      </c>
      <c r="D8894" t="s">
        <v>18</v>
      </c>
      <c r="E8894" s="6">
        <v>-27989</v>
      </c>
      <c r="F8894" t="s">
        <v>1134</v>
      </c>
      <c r="G8894" t="s">
        <v>20</v>
      </c>
      <c r="H8894" t="s">
        <v>21</v>
      </c>
      <c r="I8894" t="s">
        <v>17644</v>
      </c>
      <c r="J8894" t="str">
        <f>HYPERLINK("https://www.boe.es/gazeta/dias/1823/05/14/pdfs/GES-1823-34.pdf#page=4","Abrir facsímil")</f>
        <v>Abrir facsímil</v>
      </c>
      <c r="K8894" t="s">
        <v>23</v>
      </c>
    </row>
    <row r="8895" spans="1:11" ht="42" customHeight="1">
      <c r="A8895" t="s">
        <v>17642</v>
      </c>
      <c r="B8895" t="s">
        <v>17642</v>
      </c>
      <c r="C8895" t="s">
        <v>109</v>
      </c>
      <c r="D8895" t="s">
        <v>74</v>
      </c>
      <c r="E8895" s="6">
        <v>-27916</v>
      </c>
      <c r="F8895" t="s">
        <v>772</v>
      </c>
      <c r="G8895" t="s">
        <v>39</v>
      </c>
      <c r="H8895" t="s">
        <v>21</v>
      </c>
      <c r="I8895" t="s">
        <v>17645</v>
      </c>
      <c r="J8895" t="str">
        <f>HYPERLINK("https://www.boe.es/gazeta/dias/1823/07/26/pdfs/GES-1823-107.pdf#page=1","Abrir facsímil")</f>
        <v>Abrir facsímil</v>
      </c>
      <c r="K8895" t="s">
        <v>23</v>
      </c>
    </row>
    <row r="8896" spans="1:11" ht="42" customHeight="1">
      <c r="A8896" t="s">
        <v>17646</v>
      </c>
      <c r="B8896" t="s">
        <v>17647</v>
      </c>
      <c r="C8896" t="s">
        <v>17</v>
      </c>
      <c r="D8896" t="s">
        <v>18</v>
      </c>
      <c r="E8896" s="6">
        <v>-28009</v>
      </c>
      <c r="F8896" t="s">
        <v>307</v>
      </c>
      <c r="G8896" t="s">
        <v>59</v>
      </c>
      <c r="H8896" t="s">
        <v>21</v>
      </c>
      <c r="I8896" t="s">
        <v>17648</v>
      </c>
      <c r="J8896" t="str">
        <f>HYPERLINK("https://www.boe.es/gazeta/dias/1823/04/24/pdfs/GES-1823-14.pdf#page=6","Abrir facsímil")</f>
        <v>Abrir facsímil</v>
      </c>
      <c r="K8896" t="s">
        <v>23</v>
      </c>
    </row>
    <row r="8897" spans="1:11" ht="42" customHeight="1">
      <c r="A8897" t="s">
        <v>17649</v>
      </c>
      <c r="B8897" t="s">
        <v>17650</v>
      </c>
      <c r="C8897" t="s">
        <v>17</v>
      </c>
      <c r="D8897" t="s">
        <v>18</v>
      </c>
      <c r="E8897" s="6">
        <v>-28003</v>
      </c>
      <c r="F8897" t="s">
        <v>26</v>
      </c>
      <c r="G8897" t="s">
        <v>27</v>
      </c>
      <c r="H8897" t="s">
        <v>21</v>
      </c>
      <c r="I8897" t="s">
        <v>17651</v>
      </c>
      <c r="J8897" t="str">
        <f>HYPERLINK("https://www.boe.es/gazeta/dias/1823/04/30/pdfs/GES-1823-20.pdf#page=2","Abrir facsímil")</f>
        <v>Abrir facsímil</v>
      </c>
      <c r="K8897" t="s">
        <v>23</v>
      </c>
    </row>
    <row r="8898" spans="1:11" ht="42" customHeight="1">
      <c r="A8898" t="s">
        <v>17652</v>
      </c>
      <c r="B8898" t="s">
        <v>17653</v>
      </c>
      <c r="C8898" t="s">
        <v>79</v>
      </c>
      <c r="D8898" t="s">
        <v>74</v>
      </c>
      <c r="E8898" s="6">
        <v>-28025</v>
      </c>
      <c r="F8898" t="s">
        <v>477</v>
      </c>
      <c r="G8898" t="s">
        <v>20</v>
      </c>
      <c r="H8898" t="s">
        <v>21</v>
      </c>
      <c r="I8898" t="s">
        <v>17654</v>
      </c>
      <c r="J8898" t="str">
        <f>HYPERLINK("https://www.boe.es/gazeta/dias/1823/04/08/pdfs/GMD-1823-103.pdf#page=4","Abrir facsímil")</f>
        <v>Abrir facsímil</v>
      </c>
      <c r="K8898" t="s">
        <v>23</v>
      </c>
    </row>
    <row r="8899" spans="1:11" ht="42" customHeight="1">
      <c r="A8899" t="s">
        <v>17655</v>
      </c>
      <c r="B8899" t="s">
        <v>17656</v>
      </c>
      <c r="C8899" t="s">
        <v>73</v>
      </c>
      <c r="D8899" t="s">
        <v>74</v>
      </c>
      <c r="E8899" s="6">
        <v>-27992</v>
      </c>
      <c r="F8899" t="s">
        <v>565</v>
      </c>
      <c r="G8899" t="s">
        <v>20</v>
      </c>
      <c r="H8899" t="s">
        <v>21</v>
      </c>
      <c r="I8899" t="s">
        <v>17657</v>
      </c>
      <c r="J8899" t="str">
        <f>HYPERLINK("https://www.boe.es/gazeta/dias/1823/05/11/pdfs/GES-1823-31.pdf#page=4","Abrir facsímil")</f>
        <v>Abrir facsímil</v>
      </c>
      <c r="K8899" t="s">
        <v>23</v>
      </c>
    </row>
    <row r="8900" spans="1:11" ht="42" customHeight="1">
      <c r="A8900" t="s">
        <v>17655</v>
      </c>
      <c r="B8900" t="s">
        <v>17656</v>
      </c>
      <c r="C8900" t="s">
        <v>73</v>
      </c>
      <c r="D8900" t="s">
        <v>74</v>
      </c>
      <c r="E8900" s="6">
        <v>-27978</v>
      </c>
      <c r="F8900" t="s">
        <v>342</v>
      </c>
      <c r="G8900" t="s">
        <v>59</v>
      </c>
      <c r="H8900" t="s">
        <v>21</v>
      </c>
      <c r="I8900" t="s">
        <v>17658</v>
      </c>
      <c r="J8900" t="str">
        <f>HYPERLINK("https://www.boe.es/gazeta/dias/1823/05/25/pdfs/GES-1823-46.pdf#page=6","Abrir facsímil")</f>
        <v>Abrir facsímil</v>
      </c>
      <c r="K8900" t="s">
        <v>23</v>
      </c>
    </row>
    <row r="8901" spans="1:11" ht="42" customHeight="1">
      <c r="A8901" t="s">
        <v>17659</v>
      </c>
      <c r="B8901" t="s">
        <v>17660</v>
      </c>
      <c r="C8901" t="s">
        <v>73</v>
      </c>
      <c r="D8901" t="s">
        <v>74</v>
      </c>
      <c r="E8901" s="6">
        <v>-28106</v>
      </c>
      <c r="F8901" t="s">
        <v>280</v>
      </c>
      <c r="G8901" t="s">
        <v>20</v>
      </c>
      <c r="H8901" t="s">
        <v>28</v>
      </c>
      <c r="I8901" t="s">
        <v>17661</v>
      </c>
      <c r="J8901" t="str">
        <f>HYPERLINK("https://www.boe.es/gazeta/dias/1823/01/17/pdfs/GMD-1823-17.pdf#page=4","Abrir facsímil")</f>
        <v>Abrir facsímil</v>
      </c>
      <c r="K8901" t="s">
        <v>30</v>
      </c>
    </row>
    <row r="8902" spans="1:11" ht="42" customHeight="1">
      <c r="A8902" t="s">
        <v>17662</v>
      </c>
      <c r="B8902" t="s">
        <v>17663</v>
      </c>
      <c r="C8902" t="s">
        <v>56</v>
      </c>
      <c r="D8902" t="s">
        <v>57</v>
      </c>
      <c r="E8902" s="6">
        <v>-27905</v>
      </c>
      <c r="F8902" t="s">
        <v>236</v>
      </c>
      <c r="G8902" t="s">
        <v>48</v>
      </c>
      <c r="H8902" t="s">
        <v>21</v>
      </c>
      <c r="I8902" t="s">
        <v>17664</v>
      </c>
      <c r="J8902" t="str">
        <f>HYPERLINK("https://www.boe.es/gazeta/dias/1823/08/06/pdfs/GES-1823-119.pdf#page=3","Abrir facsímil")</f>
        <v>Abrir facsímil</v>
      </c>
      <c r="K8902" t="s">
        <v>23</v>
      </c>
    </row>
    <row r="8903" spans="1:11" ht="42" customHeight="1">
      <c r="A8903" t="s">
        <v>17665</v>
      </c>
      <c r="B8903" t="s">
        <v>17666</v>
      </c>
      <c r="C8903" t="s">
        <v>17</v>
      </c>
      <c r="D8903" t="s">
        <v>18</v>
      </c>
      <c r="E8903" s="6">
        <v>-27764</v>
      </c>
      <c r="F8903" t="s">
        <v>3370</v>
      </c>
      <c r="G8903" t="s">
        <v>48</v>
      </c>
      <c r="H8903" t="s">
        <v>21</v>
      </c>
      <c r="I8903" t="s">
        <v>17667</v>
      </c>
      <c r="J8903" t="str">
        <f>HYPERLINK("https://www.boe.es/gazeta/dias/1823/12/25/pdfs/GMD-1823-1293.pdf#page=3","Abrir facsímil")</f>
        <v>Abrir facsímil</v>
      </c>
      <c r="K8903" t="s">
        <v>23</v>
      </c>
    </row>
    <row r="8904" spans="1:11" ht="42" customHeight="1">
      <c r="A8904" t="s">
        <v>17668</v>
      </c>
      <c r="B8904" t="s">
        <v>17668</v>
      </c>
      <c r="C8904" t="s">
        <v>56</v>
      </c>
      <c r="D8904" t="s">
        <v>57</v>
      </c>
      <c r="E8904" s="6">
        <v>-28076</v>
      </c>
      <c r="F8904" t="s">
        <v>1638</v>
      </c>
      <c r="G8904" t="s">
        <v>48</v>
      </c>
      <c r="H8904" t="s">
        <v>21</v>
      </c>
      <c r="I8904" t="s">
        <v>17669</v>
      </c>
      <c r="J8904" t="str">
        <f>HYPERLINK("https://www.boe.es/gazeta/dias/1823/02/16/pdfs/GMD-1823-50.pdf#page=3","Abrir facsímil")</f>
        <v>Abrir facsímil</v>
      </c>
      <c r="K8904" t="s">
        <v>23</v>
      </c>
    </row>
    <row r="8905" spans="1:11" ht="42" customHeight="1">
      <c r="A8905" t="s">
        <v>17670</v>
      </c>
      <c r="B8905" t="s">
        <v>17671</v>
      </c>
      <c r="C8905" t="s">
        <v>17</v>
      </c>
      <c r="D8905" t="s">
        <v>18</v>
      </c>
      <c r="E8905" s="6">
        <v>-27970</v>
      </c>
      <c r="F8905" t="s">
        <v>1030</v>
      </c>
      <c r="G8905" t="s">
        <v>20</v>
      </c>
      <c r="H8905" t="s">
        <v>21</v>
      </c>
      <c r="I8905" t="s">
        <v>17672</v>
      </c>
      <c r="J8905" t="str">
        <f>HYPERLINK("https://www.boe.es/gazeta/dias/1823/06/02/pdfs/GES-1823-56.pdf#page=4","Abrir facsímil")</f>
        <v>Abrir facsímil</v>
      </c>
      <c r="K8905" t="s">
        <v>23</v>
      </c>
    </row>
    <row r="8906" spans="1:11" ht="42" customHeight="1">
      <c r="A8906" t="s">
        <v>17673</v>
      </c>
      <c r="B8906" t="s">
        <v>17674</v>
      </c>
      <c r="C8906" t="s">
        <v>17</v>
      </c>
      <c r="D8906" t="s">
        <v>18</v>
      </c>
      <c r="E8906" s="6">
        <v>-28066</v>
      </c>
      <c r="F8906" t="s">
        <v>19</v>
      </c>
      <c r="G8906" t="s">
        <v>20</v>
      </c>
      <c r="H8906" t="s">
        <v>28</v>
      </c>
      <c r="I8906" t="s">
        <v>17675</v>
      </c>
      <c r="J8906" t="str">
        <f>HYPERLINK("https://www.boe.es/gazeta/dias/1823/02/26/pdfs/GMD-1823-60.pdf#page=4","Abrir facsímil")</f>
        <v>Abrir facsímil</v>
      </c>
      <c r="K8906" t="s">
        <v>30</v>
      </c>
    </row>
    <row r="8907" spans="1:11" ht="42" customHeight="1">
      <c r="A8907" t="s">
        <v>17676</v>
      </c>
      <c r="B8907" t="s">
        <v>17677</v>
      </c>
      <c r="C8907" t="s">
        <v>56</v>
      </c>
      <c r="D8907" t="s">
        <v>57</v>
      </c>
      <c r="E8907" s="6">
        <v>-28081</v>
      </c>
      <c r="F8907" t="s">
        <v>170</v>
      </c>
      <c r="G8907" t="s">
        <v>20</v>
      </c>
      <c r="H8907" t="s">
        <v>21</v>
      </c>
      <c r="I8907" t="s">
        <v>17678</v>
      </c>
      <c r="J8907" t="str">
        <f>HYPERLINK("https://www.boe.es/gazeta/dias/1823/02/11/pdfs/GMD-1823-45.pdf#page=4","Abrir facsímil")</f>
        <v>Abrir facsímil</v>
      </c>
      <c r="K8907" t="s">
        <v>23</v>
      </c>
    </row>
    <row r="8908" spans="1:11" ht="42" customHeight="1">
      <c r="A8908" t="s">
        <v>17679</v>
      </c>
      <c r="B8908" t="s">
        <v>17679</v>
      </c>
      <c r="C8908" t="s">
        <v>79</v>
      </c>
      <c r="D8908" t="s">
        <v>74</v>
      </c>
      <c r="E8908" s="6">
        <v>-27951</v>
      </c>
      <c r="F8908" t="s">
        <v>548</v>
      </c>
      <c r="G8908" t="s">
        <v>39</v>
      </c>
      <c r="H8908" t="s">
        <v>21</v>
      </c>
      <c r="I8908" t="s">
        <v>17680</v>
      </c>
      <c r="J8908" t="str">
        <f>HYPERLINK("https://www.boe.es/gazeta/dias/1823/06/21/pdfs/GES-1823-69.pdf#page=1","Abrir facsímil")</f>
        <v>Abrir facsímil</v>
      </c>
      <c r="K8908" t="s">
        <v>23</v>
      </c>
    </row>
    <row r="8909" spans="1:11" ht="42" customHeight="1">
      <c r="A8909" t="s">
        <v>17681</v>
      </c>
      <c r="B8909" t="s">
        <v>17681</v>
      </c>
      <c r="C8909" t="s">
        <v>17</v>
      </c>
      <c r="D8909" t="s">
        <v>18</v>
      </c>
      <c r="E8909" s="6">
        <v>-27988</v>
      </c>
      <c r="F8909" t="s">
        <v>692</v>
      </c>
      <c r="G8909" t="s">
        <v>39</v>
      </c>
      <c r="H8909" t="s">
        <v>21</v>
      </c>
      <c r="I8909" t="s">
        <v>17682</v>
      </c>
      <c r="J8909" t="str">
        <f>HYPERLINK("https://www.boe.es/gazeta/dias/1823/05/15/pdfs/GES-1823-35.pdf#page=1","Abrir facsímil")</f>
        <v>Abrir facsímil</v>
      </c>
      <c r="K8909" t="s">
        <v>23</v>
      </c>
    </row>
    <row r="8910" spans="1:11" ht="42" customHeight="1">
      <c r="A8910" t="s">
        <v>17683</v>
      </c>
      <c r="B8910" t="s">
        <v>17684</v>
      </c>
      <c r="C8910" t="s">
        <v>109</v>
      </c>
      <c r="D8910" t="s">
        <v>74</v>
      </c>
      <c r="E8910" s="6">
        <v>-27981</v>
      </c>
      <c r="F8910" t="s">
        <v>1521</v>
      </c>
      <c r="G8910" t="s">
        <v>2395</v>
      </c>
      <c r="H8910" t="s">
        <v>21</v>
      </c>
      <c r="I8910" t="s">
        <v>17685</v>
      </c>
      <c r="J8910" t="str">
        <f>HYPERLINK("https://www.boe.es/gazeta/dias/1823/05/22/pdfs/GES-1823-43.pdf#page=2","Abrir facsímil")</f>
        <v>Abrir facsímil</v>
      </c>
      <c r="K8910" t="s">
        <v>23</v>
      </c>
    </row>
    <row r="8911" spans="1:11" ht="42" customHeight="1">
      <c r="A8911" t="s">
        <v>17686</v>
      </c>
      <c r="B8911" t="s">
        <v>17687</v>
      </c>
      <c r="C8911" t="s">
        <v>17</v>
      </c>
      <c r="D8911" t="s">
        <v>18</v>
      </c>
      <c r="E8911" s="6">
        <v>-28048</v>
      </c>
      <c r="F8911" t="s">
        <v>399</v>
      </c>
      <c r="G8911" t="s">
        <v>20</v>
      </c>
      <c r="H8911" t="s">
        <v>21</v>
      </c>
      <c r="I8911" t="s">
        <v>17688</v>
      </c>
      <c r="J8911" t="str">
        <f>HYPERLINK("https://www.boe.es/gazeta/dias/1823/03/16/pdfs/GMD-1823-79.pdf#page=4","Abrir facsímil")</f>
        <v>Abrir facsímil</v>
      </c>
      <c r="K8911" t="s">
        <v>23</v>
      </c>
    </row>
    <row r="8912" spans="1:11" ht="42" customHeight="1">
      <c r="A8912" t="s">
        <v>17689</v>
      </c>
      <c r="B8912" t="s">
        <v>17689</v>
      </c>
      <c r="C8912" t="s">
        <v>17</v>
      </c>
      <c r="D8912" t="s">
        <v>18</v>
      </c>
      <c r="E8912" s="6">
        <v>-28018</v>
      </c>
      <c r="F8912" t="s">
        <v>2613</v>
      </c>
      <c r="G8912" t="s">
        <v>27</v>
      </c>
      <c r="H8912" t="s">
        <v>21</v>
      </c>
      <c r="I8912" t="s">
        <v>17690</v>
      </c>
      <c r="J8912" t="str">
        <f>HYPERLINK("https://www.boe.es/gazeta/dias/1823/04/15/pdfs/GES-1823-5.pdf#page=2","Abrir facsímil")</f>
        <v>Abrir facsímil</v>
      </c>
      <c r="K8912" t="s">
        <v>23</v>
      </c>
    </row>
    <row r="8913" spans="1:11" ht="42" customHeight="1">
      <c r="A8913" t="s">
        <v>17691</v>
      </c>
      <c r="B8913" t="s">
        <v>17691</v>
      </c>
      <c r="C8913" t="s">
        <v>79</v>
      </c>
      <c r="D8913" t="s">
        <v>74</v>
      </c>
      <c r="E8913" s="6">
        <v>-28022</v>
      </c>
      <c r="F8913" t="s">
        <v>1661</v>
      </c>
      <c r="G8913" t="s">
        <v>39</v>
      </c>
      <c r="H8913" t="s">
        <v>21</v>
      </c>
      <c r="I8913" t="s">
        <v>17692</v>
      </c>
      <c r="J8913" t="str">
        <f>HYPERLINK("https://www.boe.es/gazeta/dias/1823/04/11/pdfs/GES-1823-1.pdf#page=1","Abrir facsímil")</f>
        <v>Abrir facsímil</v>
      </c>
      <c r="K8913" t="s">
        <v>23</v>
      </c>
    </row>
    <row r="8914" spans="1:11" ht="42" customHeight="1">
      <c r="A8914" t="s">
        <v>17693</v>
      </c>
      <c r="B8914" t="s">
        <v>17693</v>
      </c>
      <c r="C8914" t="s">
        <v>56</v>
      </c>
      <c r="D8914" t="s">
        <v>57</v>
      </c>
      <c r="E8914" s="6">
        <v>-27879</v>
      </c>
      <c r="F8914" t="s">
        <v>638</v>
      </c>
      <c r="G8914" t="s">
        <v>20</v>
      </c>
      <c r="H8914" t="s">
        <v>21</v>
      </c>
      <c r="I8914" t="s">
        <v>17694</v>
      </c>
      <c r="J8914" t="str">
        <f>HYPERLINK("https://www.boe.es/gazeta/dias/1823/09/01/pdfs/GES-1823-145.pdf#page=4","Abrir facsímil")</f>
        <v>Abrir facsímil</v>
      </c>
      <c r="K8914" t="s">
        <v>23</v>
      </c>
    </row>
    <row r="8915" spans="1:11" ht="42" customHeight="1">
      <c r="A8915" t="s">
        <v>17695</v>
      </c>
      <c r="B8915" t="s">
        <v>17696</v>
      </c>
      <c r="C8915" t="s">
        <v>73</v>
      </c>
      <c r="D8915" t="s">
        <v>74</v>
      </c>
      <c r="E8915" s="6">
        <v>-27878</v>
      </c>
      <c r="F8915" t="s">
        <v>130</v>
      </c>
      <c r="G8915" t="s">
        <v>6596</v>
      </c>
      <c r="H8915" t="s">
        <v>21</v>
      </c>
      <c r="I8915" t="s">
        <v>17697</v>
      </c>
      <c r="J8915" t="str">
        <f>HYPERLINK("https://www.boe.es/gazeta/dias/1823/09/02/pdfs/GES-1823-146.pdf#page=4","Abrir facsímil")</f>
        <v>Abrir facsímil</v>
      </c>
      <c r="K8915" t="s">
        <v>23</v>
      </c>
    </row>
    <row r="8916" spans="1:11" ht="42" customHeight="1">
      <c r="A8916" t="s">
        <v>17698</v>
      </c>
      <c r="B8916" t="s">
        <v>17699</v>
      </c>
      <c r="C8916" t="s">
        <v>73</v>
      </c>
      <c r="D8916" t="s">
        <v>74</v>
      </c>
      <c r="E8916" s="6">
        <v>-27978</v>
      </c>
      <c r="F8916" t="s">
        <v>342</v>
      </c>
      <c r="G8916" t="s">
        <v>59</v>
      </c>
      <c r="H8916" t="s">
        <v>21</v>
      </c>
      <c r="I8916" t="s">
        <v>17700</v>
      </c>
      <c r="J8916" t="str">
        <f>HYPERLINK("https://www.boe.es/gazeta/dias/1823/05/25/pdfs/GES-1823-46.pdf#page=6","Abrir facsímil")</f>
        <v>Abrir facsímil</v>
      </c>
      <c r="K8916" t="s">
        <v>23</v>
      </c>
    </row>
    <row r="8917" spans="1:11" ht="42" customHeight="1">
      <c r="A8917" t="s">
        <v>17701</v>
      </c>
      <c r="B8917" t="s">
        <v>17702</v>
      </c>
      <c r="C8917" t="s">
        <v>17</v>
      </c>
      <c r="D8917" t="s">
        <v>18</v>
      </c>
      <c r="E8917" s="6">
        <v>-27965</v>
      </c>
      <c r="F8917" t="s">
        <v>1930</v>
      </c>
      <c r="G8917" t="s">
        <v>27</v>
      </c>
      <c r="H8917" t="s">
        <v>21</v>
      </c>
      <c r="I8917" t="s">
        <v>17703</v>
      </c>
      <c r="J8917" t="str">
        <f>HYPERLINK("https://www.boe.es/gazeta/dias/1823/06/07/pdfs/GMD-1823-83.pdf#page=2","Abrir facsímil")</f>
        <v>Abrir facsímil</v>
      </c>
      <c r="K8917" t="s">
        <v>23</v>
      </c>
    </row>
    <row r="8918" spans="1:11" ht="42" customHeight="1">
      <c r="A8918" t="s">
        <v>17704</v>
      </c>
      <c r="B8918" t="s">
        <v>17705</v>
      </c>
      <c r="C8918" t="s">
        <v>56</v>
      </c>
      <c r="D8918" t="s">
        <v>57</v>
      </c>
      <c r="E8918" s="6">
        <v>-27907</v>
      </c>
      <c r="F8918" t="s">
        <v>370</v>
      </c>
      <c r="G8918" t="s">
        <v>20</v>
      </c>
      <c r="H8918" t="s">
        <v>21</v>
      </c>
      <c r="I8918" t="s">
        <v>17706</v>
      </c>
      <c r="J8918" t="str">
        <f>HYPERLINK("https://www.boe.es/gazeta/dias/1823/08/04/pdfs/GES-1823-116.pdf#page=4","Abrir facsímil")</f>
        <v>Abrir facsímil</v>
      </c>
      <c r="K8918" t="s">
        <v>23</v>
      </c>
    </row>
    <row r="8919" spans="1:11" ht="42" customHeight="1">
      <c r="A8919" t="s">
        <v>17707</v>
      </c>
      <c r="B8919" t="s">
        <v>17708</v>
      </c>
      <c r="C8919" t="s">
        <v>17</v>
      </c>
      <c r="D8919" t="s">
        <v>18</v>
      </c>
      <c r="E8919" s="6">
        <v>-28120</v>
      </c>
      <c r="F8919" t="s">
        <v>2772</v>
      </c>
      <c r="G8919" t="s">
        <v>39</v>
      </c>
      <c r="H8919" t="s">
        <v>21</v>
      </c>
      <c r="I8919" t="s">
        <v>17709</v>
      </c>
      <c r="J8919" t="str">
        <f>HYPERLINK("https://www.boe.es/gazeta/dias/1823/01/03/pdfs/GMD-1823-3.pdf#page=1","Abrir facsímil")</f>
        <v>Abrir facsímil</v>
      </c>
      <c r="K8919" t="s">
        <v>23</v>
      </c>
    </row>
    <row r="8920" spans="1:11" ht="42" customHeight="1">
      <c r="A8920" t="s">
        <v>17710</v>
      </c>
      <c r="B8920" t="s">
        <v>17711</v>
      </c>
      <c r="C8920" t="s">
        <v>17</v>
      </c>
      <c r="D8920" t="s">
        <v>18</v>
      </c>
      <c r="E8920" s="6">
        <v>-28025</v>
      </c>
      <c r="F8920" t="s">
        <v>477</v>
      </c>
      <c r="G8920" t="s">
        <v>20</v>
      </c>
      <c r="H8920" t="s">
        <v>21</v>
      </c>
      <c r="I8920" t="s">
        <v>17712</v>
      </c>
      <c r="J8920" t="str">
        <f>HYPERLINK("https://www.boe.es/gazeta/dias/1823/04/08/pdfs/GMD-1823-103.pdf#page=4","Abrir facsímil")</f>
        <v>Abrir facsímil</v>
      </c>
      <c r="K8920" t="s">
        <v>23</v>
      </c>
    </row>
    <row r="8921" spans="1:11" ht="42" customHeight="1">
      <c r="A8921" t="s">
        <v>17713</v>
      </c>
      <c r="B8921" t="s">
        <v>17714</v>
      </c>
      <c r="C8921" t="s">
        <v>17</v>
      </c>
      <c r="D8921" t="s">
        <v>18</v>
      </c>
      <c r="E8921" s="6">
        <v>-28048</v>
      </c>
      <c r="F8921" t="s">
        <v>399</v>
      </c>
      <c r="G8921" t="s">
        <v>59</v>
      </c>
      <c r="H8921" t="s">
        <v>21</v>
      </c>
      <c r="I8921" t="s">
        <v>17715</v>
      </c>
      <c r="J8921" t="str">
        <f>HYPERLINK("https://www.boe.es/gazeta/dias/1823/03/16/pdfs/GMD-1823-79.pdf#page=6","Abrir facsímil")</f>
        <v>Abrir facsímil</v>
      </c>
      <c r="K8921" t="s">
        <v>23</v>
      </c>
    </row>
    <row r="8922" spans="1:11" ht="42" customHeight="1">
      <c r="A8922" t="s">
        <v>17716</v>
      </c>
      <c r="B8922" t="s">
        <v>17716</v>
      </c>
      <c r="C8922" t="s">
        <v>17</v>
      </c>
      <c r="D8922" t="s">
        <v>18</v>
      </c>
      <c r="E8922" s="6">
        <v>-27934</v>
      </c>
      <c r="F8922" t="s">
        <v>634</v>
      </c>
      <c r="G8922" t="s">
        <v>48</v>
      </c>
      <c r="H8922" t="s">
        <v>21</v>
      </c>
      <c r="I8922" t="s">
        <v>17717</v>
      </c>
      <c r="J8922" t="str">
        <f>HYPERLINK("https://www.boe.es/gazeta/dias/1823/07/08/pdfs/GMD-1823-353.pdf#page=3","Abrir facsímil")</f>
        <v>Abrir facsímil</v>
      </c>
      <c r="K8922" t="s">
        <v>23</v>
      </c>
    </row>
    <row r="8923" spans="1:11" ht="42" customHeight="1">
      <c r="A8923" t="s">
        <v>17716</v>
      </c>
      <c r="B8923" t="s">
        <v>17716</v>
      </c>
      <c r="C8923" t="s">
        <v>17</v>
      </c>
      <c r="D8923" t="s">
        <v>117</v>
      </c>
      <c r="E8923" s="6">
        <v>-27932</v>
      </c>
      <c r="F8923" t="s">
        <v>1947</v>
      </c>
      <c r="G8923" t="s">
        <v>39</v>
      </c>
      <c r="H8923" t="s">
        <v>21</v>
      </c>
      <c r="I8923" t="s">
        <v>17718</v>
      </c>
      <c r="J8923" t="str">
        <f>HYPERLINK("https://www.boe.es/gazeta/dias/1823/07/10/pdfs/GMD-1823-373E.pdf#page=1","Abrir facsímil")</f>
        <v>Abrir facsímil</v>
      </c>
      <c r="K8923" t="s">
        <v>23</v>
      </c>
    </row>
    <row r="8924" spans="1:11" ht="42" customHeight="1">
      <c r="A8924" t="s">
        <v>17716</v>
      </c>
      <c r="B8924" t="s">
        <v>17716</v>
      </c>
      <c r="C8924" t="s">
        <v>17</v>
      </c>
      <c r="D8924" t="s">
        <v>18</v>
      </c>
      <c r="E8924" s="6">
        <v>-27904</v>
      </c>
      <c r="F8924" t="s">
        <v>1227</v>
      </c>
      <c r="G8924" t="s">
        <v>27</v>
      </c>
      <c r="H8924" t="s">
        <v>21</v>
      </c>
      <c r="I8924" t="s">
        <v>17719</v>
      </c>
      <c r="J8924" t="str">
        <f>HYPERLINK("https://www.boe.es/gazeta/dias/1823/08/07/pdfs/GMD-1823-543.pdf#page=2","Abrir facsímil")</f>
        <v>Abrir facsímil</v>
      </c>
      <c r="K8924" t="s">
        <v>23</v>
      </c>
    </row>
    <row r="8925" spans="1:11" ht="42" customHeight="1">
      <c r="A8925" t="s">
        <v>17716</v>
      </c>
      <c r="B8925" t="s">
        <v>17716</v>
      </c>
      <c r="C8925" t="s">
        <v>109</v>
      </c>
      <c r="D8925" t="s">
        <v>74</v>
      </c>
      <c r="E8925" s="6">
        <v>-27885</v>
      </c>
      <c r="F8925" t="s">
        <v>65</v>
      </c>
      <c r="G8925" t="s">
        <v>48</v>
      </c>
      <c r="H8925" t="s">
        <v>21</v>
      </c>
      <c r="I8925" t="s">
        <v>17720</v>
      </c>
      <c r="J8925" t="str">
        <f>HYPERLINK("https://www.boe.es/gazeta/dias/1823/08/26/pdfs/GMD-1823-653.pdf#page=3","Abrir facsímil")</f>
        <v>Abrir facsímil</v>
      </c>
      <c r="K8925" t="s">
        <v>23</v>
      </c>
    </row>
    <row r="8926" spans="1:11" ht="42" customHeight="1">
      <c r="A8926" t="s">
        <v>17716</v>
      </c>
      <c r="B8926" t="s">
        <v>17716</v>
      </c>
      <c r="C8926" t="s">
        <v>56</v>
      </c>
      <c r="D8926" t="s">
        <v>57</v>
      </c>
      <c r="E8926" s="6">
        <v>-27801</v>
      </c>
      <c r="F8926" t="s">
        <v>800</v>
      </c>
      <c r="G8926" t="s">
        <v>39</v>
      </c>
      <c r="H8926" t="s">
        <v>21</v>
      </c>
      <c r="I8926" t="s">
        <v>17721</v>
      </c>
      <c r="J8926" t="str">
        <f>HYPERLINK("https://www.boe.es/gazeta/dias/1823/11/18/pdfs/GMD-1823-1133.pdf#page=1","Abrir facsímil")</f>
        <v>Abrir facsímil</v>
      </c>
      <c r="K8926" t="s">
        <v>23</v>
      </c>
    </row>
    <row r="8927" spans="1:11" ht="42" customHeight="1">
      <c r="A8927" t="s">
        <v>17722</v>
      </c>
      <c r="B8927" t="s">
        <v>17723</v>
      </c>
      <c r="C8927" t="s">
        <v>17</v>
      </c>
      <c r="D8927" t="s">
        <v>18</v>
      </c>
      <c r="E8927" s="6">
        <v>-27906</v>
      </c>
      <c r="F8927" t="s">
        <v>1527</v>
      </c>
      <c r="G8927" t="s">
        <v>27</v>
      </c>
      <c r="H8927" t="s">
        <v>21</v>
      </c>
      <c r="I8927" t="s">
        <v>17724</v>
      </c>
      <c r="J8927" t="str">
        <f>HYPERLINK("https://www.boe.es/gazeta/dias/1823/08/05/pdfs/GMD-1823-533.pdf#page=2","Abrir facsímil")</f>
        <v>Abrir facsímil</v>
      </c>
      <c r="K8927" t="s">
        <v>23</v>
      </c>
    </row>
    <row r="8928" spans="1:11" ht="42" customHeight="1">
      <c r="A8928" t="s">
        <v>17725</v>
      </c>
      <c r="B8928" t="s">
        <v>17726</v>
      </c>
      <c r="C8928" t="s">
        <v>56</v>
      </c>
      <c r="D8928" t="s">
        <v>57</v>
      </c>
      <c r="E8928" s="6">
        <v>-28056</v>
      </c>
      <c r="F8928" t="s">
        <v>572</v>
      </c>
      <c r="G8928" t="s">
        <v>48</v>
      </c>
      <c r="H8928" t="s">
        <v>21</v>
      </c>
      <c r="I8928" t="s">
        <v>17727</v>
      </c>
      <c r="J8928" t="str">
        <f>HYPERLINK("https://www.boe.es/gazeta/dias/1823/03/08/pdfs/GMD-1823-71.pdf#page=3","Abrir facsímil")</f>
        <v>Abrir facsímil</v>
      </c>
      <c r="K8928" t="s">
        <v>23</v>
      </c>
    </row>
    <row r="8929" spans="1:11" ht="42" customHeight="1">
      <c r="A8929" t="s">
        <v>17728</v>
      </c>
      <c r="B8929" t="s">
        <v>17729</v>
      </c>
      <c r="C8929" t="s">
        <v>56</v>
      </c>
      <c r="D8929" t="s">
        <v>57</v>
      </c>
      <c r="E8929" s="6">
        <v>-28114</v>
      </c>
      <c r="F8929" t="s">
        <v>153</v>
      </c>
      <c r="G8929" t="s">
        <v>59</v>
      </c>
      <c r="H8929" t="s">
        <v>21</v>
      </c>
      <c r="I8929" t="s">
        <v>17730</v>
      </c>
      <c r="J8929" t="str">
        <f>HYPERLINK("https://www.boe.es/gazeta/dias/1823/01/09/pdfs/GMD-1823-9.pdf#page=6","Abrir facsímil")</f>
        <v>Abrir facsímil</v>
      </c>
      <c r="K8929" t="s">
        <v>23</v>
      </c>
    </row>
    <row r="8930" spans="1:11" ht="42" customHeight="1">
      <c r="A8930" t="s">
        <v>17728</v>
      </c>
      <c r="B8930" t="s">
        <v>17729</v>
      </c>
      <c r="C8930" t="s">
        <v>17</v>
      </c>
      <c r="D8930" t="s">
        <v>18</v>
      </c>
      <c r="E8930" s="6">
        <v>-28082</v>
      </c>
      <c r="F8930" t="s">
        <v>468</v>
      </c>
      <c r="G8930" t="s">
        <v>34</v>
      </c>
      <c r="H8930" t="s">
        <v>21</v>
      </c>
      <c r="I8930" t="s">
        <v>17731</v>
      </c>
      <c r="J8930" t="str">
        <f>HYPERLINK("https://www.boe.es/gazeta/dias/1823/02/10/pdfs/GMD-1823-44.pdf#page=5","Abrir facsímil")</f>
        <v>Abrir facsímil</v>
      </c>
      <c r="K8930" t="s">
        <v>23</v>
      </c>
    </row>
    <row r="8931" spans="1:11" ht="42" customHeight="1">
      <c r="A8931" t="s">
        <v>17732</v>
      </c>
      <c r="B8931" t="s">
        <v>17733</v>
      </c>
      <c r="C8931" t="s">
        <v>17</v>
      </c>
      <c r="D8931" t="s">
        <v>18</v>
      </c>
      <c r="E8931" s="6">
        <v>-28000</v>
      </c>
      <c r="F8931" t="s">
        <v>1118</v>
      </c>
      <c r="G8931" t="s">
        <v>59</v>
      </c>
      <c r="H8931" t="s">
        <v>21</v>
      </c>
      <c r="I8931" t="s">
        <v>17734</v>
      </c>
      <c r="J8931" t="str">
        <f>HYPERLINK("https://www.boe.es/gazeta/dias/1823/05/03/pdfs/GES-1823-23.pdf#page=6","Abrir facsímil")</f>
        <v>Abrir facsímil</v>
      </c>
      <c r="K8931" t="s">
        <v>23</v>
      </c>
    </row>
    <row r="8932" spans="1:11" ht="42" customHeight="1">
      <c r="A8932" t="s">
        <v>17735</v>
      </c>
      <c r="B8932" t="s">
        <v>17736</v>
      </c>
      <c r="C8932" t="s">
        <v>79</v>
      </c>
      <c r="D8932" t="s">
        <v>74</v>
      </c>
      <c r="E8932" s="6">
        <v>-27964</v>
      </c>
      <c r="F8932" t="s">
        <v>58</v>
      </c>
      <c r="G8932" t="s">
        <v>34</v>
      </c>
      <c r="H8932" t="s">
        <v>21</v>
      </c>
      <c r="I8932" t="s">
        <v>17737</v>
      </c>
      <c r="J8932" t="str">
        <f>HYPERLINK("https://www.boe.es/gazeta/dias/1823/06/08/pdfs/GES-1823-62.pdf#page=5","Abrir facsímil")</f>
        <v>Abrir facsímil</v>
      </c>
      <c r="K8932" t="s">
        <v>23</v>
      </c>
    </row>
    <row r="8933" spans="1:11" ht="42" customHeight="1">
      <c r="A8933" t="s">
        <v>17738</v>
      </c>
      <c r="B8933" t="s">
        <v>17739</v>
      </c>
      <c r="C8933" t="s">
        <v>17</v>
      </c>
      <c r="D8933" t="s">
        <v>18</v>
      </c>
      <c r="E8933" s="6">
        <v>-27881</v>
      </c>
      <c r="F8933" t="s">
        <v>725</v>
      </c>
      <c r="G8933" t="s">
        <v>39</v>
      </c>
      <c r="H8933" t="s">
        <v>21</v>
      </c>
      <c r="I8933" t="s">
        <v>17740</v>
      </c>
      <c r="J8933" t="str">
        <f>HYPERLINK("https://www.boe.es/gazeta/dias/1823/08/30/pdfs/GMD-1823-673.pdf#page=1","Abrir facsímil")</f>
        <v>Abrir facsímil</v>
      </c>
      <c r="K8933" t="s">
        <v>23</v>
      </c>
    </row>
    <row r="8934" spans="1:11" ht="42" customHeight="1">
      <c r="A8934" t="s">
        <v>17741</v>
      </c>
      <c r="B8934" t="s">
        <v>17742</v>
      </c>
      <c r="C8934" t="s">
        <v>56</v>
      </c>
      <c r="D8934" t="s">
        <v>57</v>
      </c>
      <c r="E8934" s="6">
        <v>-28098</v>
      </c>
      <c r="F8934" t="s">
        <v>1101</v>
      </c>
      <c r="G8934" t="s">
        <v>20</v>
      </c>
      <c r="H8934" t="s">
        <v>28</v>
      </c>
      <c r="I8934" t="s">
        <v>17743</v>
      </c>
      <c r="J8934" t="str">
        <f>HYPERLINK("https://www.boe.es/gazeta/dias/1823/01/25/pdfs/GMD-1823-26.pdf#page=4","Abrir facsímil")</f>
        <v>Abrir facsímil</v>
      </c>
      <c r="K8934" t="s">
        <v>30</v>
      </c>
    </row>
    <row r="8935" spans="1:11" ht="42" customHeight="1">
      <c r="A8935" t="s">
        <v>17744</v>
      </c>
      <c r="B8935" t="s">
        <v>17745</v>
      </c>
      <c r="C8935" t="s">
        <v>17</v>
      </c>
      <c r="D8935" t="s">
        <v>18</v>
      </c>
      <c r="E8935" s="6">
        <v>-27992</v>
      </c>
      <c r="F8935" t="s">
        <v>565</v>
      </c>
      <c r="G8935" t="s">
        <v>20</v>
      </c>
      <c r="H8935" t="s">
        <v>21</v>
      </c>
      <c r="I8935" t="s">
        <v>17746</v>
      </c>
      <c r="J8935" t="str">
        <f>HYPERLINK("https://www.boe.es/gazeta/dias/1823/05/11/pdfs/GES-1823-31.pdf#page=4","Abrir facsímil")</f>
        <v>Abrir facsímil</v>
      </c>
      <c r="K8935" t="s">
        <v>23</v>
      </c>
    </row>
    <row r="8936" spans="1:11" ht="42" customHeight="1">
      <c r="A8936" t="s">
        <v>17744</v>
      </c>
      <c r="B8936" t="s">
        <v>17745</v>
      </c>
      <c r="C8936" t="s">
        <v>17</v>
      </c>
      <c r="D8936" t="s">
        <v>18</v>
      </c>
      <c r="E8936" s="6">
        <v>-27964</v>
      </c>
      <c r="F8936" t="s">
        <v>58</v>
      </c>
      <c r="G8936" t="s">
        <v>48</v>
      </c>
      <c r="H8936" t="s">
        <v>21</v>
      </c>
      <c r="I8936" t="s">
        <v>17747</v>
      </c>
      <c r="J8936" t="str">
        <f>HYPERLINK("https://www.boe.es/gazeta/dias/1823/06/08/pdfs/GES-1823-62.pdf#page=3","Abrir facsímil")</f>
        <v>Abrir facsímil</v>
      </c>
      <c r="K8936" t="s">
        <v>23</v>
      </c>
    </row>
    <row r="8937" spans="1:11" ht="42" customHeight="1">
      <c r="A8937" t="s">
        <v>17748</v>
      </c>
      <c r="B8937" t="s">
        <v>17748</v>
      </c>
      <c r="C8937" t="s">
        <v>56</v>
      </c>
      <c r="D8937" t="s">
        <v>57</v>
      </c>
      <c r="E8937" s="6">
        <v>-27940</v>
      </c>
      <c r="F8937" t="s">
        <v>348</v>
      </c>
      <c r="G8937" t="s">
        <v>48</v>
      </c>
      <c r="H8937" t="s">
        <v>21</v>
      </c>
      <c r="I8937" t="s">
        <v>17749</v>
      </c>
      <c r="J8937" t="str">
        <f>HYPERLINK("https://www.boe.es/gazeta/dias/1823/07/02/pdfs/GES-1823-82.pdf#page=3","Abrir facsímil")</f>
        <v>Abrir facsímil</v>
      </c>
      <c r="K8937" t="s">
        <v>23</v>
      </c>
    </row>
    <row r="8938" spans="1:11" ht="42" customHeight="1">
      <c r="A8938" t="s">
        <v>17750</v>
      </c>
      <c r="B8938" t="s">
        <v>17750</v>
      </c>
      <c r="C8938" t="s">
        <v>17</v>
      </c>
      <c r="D8938" t="s">
        <v>18</v>
      </c>
      <c r="E8938" s="6">
        <v>-28033</v>
      </c>
      <c r="F8938" t="s">
        <v>1372</v>
      </c>
      <c r="G8938" t="s">
        <v>20</v>
      </c>
      <c r="H8938" t="s">
        <v>21</v>
      </c>
      <c r="I8938" t="s">
        <v>17751</v>
      </c>
      <c r="J8938" t="str">
        <f>HYPERLINK("https://www.boe.es/gazeta/dias/1823/03/31/pdfs/GMD-1823-94.pdf#page=4","Abrir facsímil")</f>
        <v>Abrir facsímil</v>
      </c>
      <c r="K8938" t="s">
        <v>23</v>
      </c>
    </row>
    <row r="8939" spans="1:11" ht="42" customHeight="1">
      <c r="A8939" t="s">
        <v>17752</v>
      </c>
      <c r="B8939" t="s">
        <v>17752</v>
      </c>
      <c r="C8939" t="s">
        <v>293</v>
      </c>
      <c r="D8939" t="s">
        <v>74</v>
      </c>
      <c r="E8939" s="6">
        <v>-28101</v>
      </c>
      <c r="F8939" t="s">
        <v>1041</v>
      </c>
      <c r="G8939" t="s">
        <v>20</v>
      </c>
      <c r="H8939" t="s">
        <v>21</v>
      </c>
      <c r="I8939" t="s">
        <v>17753</v>
      </c>
      <c r="J8939" t="str">
        <f>HYPERLINK("https://www.boe.es/gazeta/dias/1823/01/22/pdfs/GMD-1823-23.pdf#page=4","Abrir facsímil")</f>
        <v>Abrir facsímil</v>
      </c>
      <c r="K8939" t="s">
        <v>23</v>
      </c>
    </row>
    <row r="8940" spans="1:11" ht="42" customHeight="1">
      <c r="A8940" t="s">
        <v>17754</v>
      </c>
      <c r="B8940" t="s">
        <v>17755</v>
      </c>
      <c r="C8940" t="s">
        <v>325</v>
      </c>
      <c r="D8940" t="s">
        <v>74</v>
      </c>
      <c r="E8940" s="6">
        <v>-28108</v>
      </c>
      <c r="F8940" t="s">
        <v>406</v>
      </c>
      <c r="G8940" t="s">
        <v>20</v>
      </c>
      <c r="H8940" t="s">
        <v>21</v>
      </c>
      <c r="I8940" t="s">
        <v>17756</v>
      </c>
      <c r="J8940" t="str">
        <f>HYPERLINK("https://www.boe.es/gazeta/dias/1823/01/15/pdfs/GMD-1823-15.pdf#page=4","Abrir facsímil")</f>
        <v>Abrir facsímil</v>
      </c>
      <c r="K8940" t="s">
        <v>23</v>
      </c>
    </row>
    <row r="8941" spans="1:11" ht="42" customHeight="1">
      <c r="A8941" t="s">
        <v>17757</v>
      </c>
      <c r="B8941" t="s">
        <v>17757</v>
      </c>
      <c r="C8941" t="s">
        <v>79</v>
      </c>
      <c r="D8941" t="s">
        <v>74</v>
      </c>
      <c r="E8941" s="6">
        <v>-28059</v>
      </c>
      <c r="F8941" t="s">
        <v>149</v>
      </c>
      <c r="G8941" t="s">
        <v>39</v>
      </c>
      <c r="H8941" t="s">
        <v>21</v>
      </c>
      <c r="I8941" t="s">
        <v>17758</v>
      </c>
      <c r="J8941" t="str">
        <f>HYPERLINK("https://www.boe.es/gazeta/dias/1823/03/05/pdfs/GMD-1823-68.pdf#page=1","Abrir facsímil")</f>
        <v>Abrir facsímil</v>
      </c>
      <c r="K8941" t="s">
        <v>23</v>
      </c>
    </row>
    <row r="8942" spans="1:11" ht="42" customHeight="1">
      <c r="A8942" t="s">
        <v>17759</v>
      </c>
      <c r="B8942" t="s">
        <v>17760</v>
      </c>
      <c r="C8942" t="s">
        <v>17</v>
      </c>
      <c r="D8942" t="s">
        <v>18</v>
      </c>
      <c r="E8942" s="6">
        <v>-27759</v>
      </c>
      <c r="F8942" t="s">
        <v>415</v>
      </c>
      <c r="G8942" t="s">
        <v>20</v>
      </c>
      <c r="H8942" t="s">
        <v>21</v>
      </c>
      <c r="I8942" t="s">
        <v>17761</v>
      </c>
      <c r="J8942" t="str">
        <f>HYPERLINK("https://www.boe.es/gazeta/dias/1823/12/30/pdfs/GMD-1823-1313.pdf#page=4","Abrir facsímil")</f>
        <v>Abrir facsímil</v>
      </c>
      <c r="K8942" t="s">
        <v>23</v>
      </c>
    </row>
    <row r="8943" spans="1:11" ht="42" customHeight="1">
      <c r="A8943" t="s">
        <v>17762</v>
      </c>
      <c r="B8943" t="s">
        <v>17763</v>
      </c>
      <c r="C8943" t="s">
        <v>109</v>
      </c>
      <c r="D8943" t="s">
        <v>74</v>
      </c>
      <c r="E8943" s="6">
        <v>-27962</v>
      </c>
      <c r="F8943" t="s">
        <v>477</v>
      </c>
      <c r="G8943" t="s">
        <v>20</v>
      </c>
      <c r="H8943" t="s">
        <v>21</v>
      </c>
      <c r="I8943" t="s">
        <v>17764</v>
      </c>
      <c r="J8943" t="str">
        <f>HYPERLINK("https://www.boe.es/gazeta/dias/1823/06/10/pdfs/GMD-1823-103.pdf#page=4","Abrir facsímil")</f>
        <v>Abrir facsímil</v>
      </c>
      <c r="K8943" t="s">
        <v>23</v>
      </c>
    </row>
    <row r="8944" spans="1:11" ht="42" customHeight="1">
      <c r="A8944" t="s">
        <v>17765</v>
      </c>
      <c r="B8944" t="s">
        <v>17766</v>
      </c>
      <c r="C8944" t="s">
        <v>73</v>
      </c>
      <c r="D8944" t="s">
        <v>74</v>
      </c>
      <c r="E8944" s="6">
        <v>-28013</v>
      </c>
      <c r="F8944" t="s">
        <v>105</v>
      </c>
      <c r="G8944" t="s">
        <v>27</v>
      </c>
      <c r="H8944" t="s">
        <v>21</v>
      </c>
      <c r="I8944" t="s">
        <v>17767</v>
      </c>
      <c r="J8944" t="str">
        <f>HYPERLINK("https://www.boe.es/gazeta/dias/1823/04/20/pdfs/GMD-1823-32.pdf#page=2","Abrir facsímil")</f>
        <v>Abrir facsímil</v>
      </c>
      <c r="K8944" t="s">
        <v>23</v>
      </c>
    </row>
    <row r="8945" spans="1:11" ht="42" customHeight="1">
      <c r="A8945" t="s">
        <v>17768</v>
      </c>
      <c r="B8945" t="s">
        <v>17769</v>
      </c>
      <c r="C8945" t="s">
        <v>56</v>
      </c>
      <c r="D8945" t="s">
        <v>57</v>
      </c>
      <c r="E8945" s="6">
        <v>-28030</v>
      </c>
      <c r="F8945" t="s">
        <v>145</v>
      </c>
      <c r="G8945" t="s">
        <v>20</v>
      </c>
      <c r="H8945" t="s">
        <v>21</v>
      </c>
      <c r="I8945" t="s">
        <v>17770</v>
      </c>
      <c r="J8945" t="str">
        <f>HYPERLINK("https://www.boe.es/gazeta/dias/1823/04/03/pdfs/GMD-1823-97.pdf#page=4","Abrir facsímil")</f>
        <v>Abrir facsímil</v>
      </c>
      <c r="K8945" t="s">
        <v>23</v>
      </c>
    </row>
    <row r="8946" spans="1:11" ht="42" customHeight="1">
      <c r="A8946" t="s">
        <v>17771</v>
      </c>
      <c r="B8946" t="s">
        <v>17771</v>
      </c>
      <c r="C8946" t="s">
        <v>17</v>
      </c>
      <c r="D8946" t="s">
        <v>18</v>
      </c>
      <c r="E8946" s="6">
        <v>-27862</v>
      </c>
      <c r="F8946" t="s">
        <v>1530</v>
      </c>
      <c r="G8946" t="s">
        <v>39</v>
      </c>
      <c r="H8946" t="s">
        <v>21</v>
      </c>
      <c r="I8946" t="s">
        <v>17772</v>
      </c>
      <c r="J8946" t="str">
        <f>HYPERLINK("https://www.boe.es/gazeta/dias/1823/09/18/pdfs/GMD-1823-803.pdf#page=1","Abrir facsímil")</f>
        <v>Abrir facsímil</v>
      </c>
      <c r="K8946" t="s">
        <v>23</v>
      </c>
    </row>
    <row r="8947" spans="1:11" ht="42" customHeight="1">
      <c r="A8947" t="s">
        <v>17773</v>
      </c>
      <c r="B8947" t="s">
        <v>17773</v>
      </c>
      <c r="C8947" t="s">
        <v>109</v>
      </c>
      <c r="D8947" t="s">
        <v>74</v>
      </c>
      <c r="E8947" s="6">
        <v>-28082</v>
      </c>
      <c r="F8947" t="s">
        <v>468</v>
      </c>
      <c r="G8947" t="s">
        <v>39</v>
      </c>
      <c r="H8947" t="s">
        <v>21</v>
      </c>
      <c r="I8947" t="s">
        <v>17774</v>
      </c>
      <c r="J8947" t="str">
        <f>HYPERLINK("https://www.boe.es/gazeta/dias/1823/02/10/pdfs/GMD-1823-44.pdf#page=1","Abrir facsímil")</f>
        <v>Abrir facsímil</v>
      </c>
      <c r="K8947" t="s">
        <v>23</v>
      </c>
    </row>
    <row r="8948" spans="1:11" ht="42" customHeight="1">
      <c r="A8948" t="s">
        <v>17773</v>
      </c>
      <c r="B8948" t="s">
        <v>17773</v>
      </c>
      <c r="C8948" t="s">
        <v>17</v>
      </c>
      <c r="D8948" t="s">
        <v>18</v>
      </c>
      <c r="E8948" s="6">
        <v>-27939</v>
      </c>
      <c r="F8948" t="s">
        <v>1076</v>
      </c>
      <c r="G8948" t="s">
        <v>20</v>
      </c>
      <c r="H8948" t="s">
        <v>21</v>
      </c>
      <c r="I8948" t="s">
        <v>17775</v>
      </c>
      <c r="J8948" t="str">
        <f>HYPERLINK("https://www.boe.es/gazeta/dias/1823/07/03/pdfs/GES-1823-83.pdf#page=4","Abrir facsímil")</f>
        <v>Abrir facsímil</v>
      </c>
      <c r="K8948" t="s">
        <v>23</v>
      </c>
    </row>
    <row r="8949" spans="1:11" ht="42" customHeight="1">
      <c r="A8949" t="s">
        <v>17773</v>
      </c>
      <c r="B8949" t="s">
        <v>17773</v>
      </c>
      <c r="C8949" t="s">
        <v>17</v>
      </c>
      <c r="D8949" t="s">
        <v>18</v>
      </c>
      <c r="E8949" s="6">
        <v>-27899</v>
      </c>
      <c r="F8949" t="s">
        <v>2172</v>
      </c>
      <c r="G8949" t="s">
        <v>20</v>
      </c>
      <c r="H8949" t="s">
        <v>21</v>
      </c>
      <c r="I8949" t="s">
        <v>17776</v>
      </c>
      <c r="J8949" t="str">
        <f>HYPERLINK("https://www.boe.es/gazeta/dias/1823/08/12/pdfs/GES-1823-125.pdf#page=4","Abrir facsímil")</f>
        <v>Abrir facsímil</v>
      </c>
      <c r="K8949" t="s">
        <v>23</v>
      </c>
    </row>
    <row r="8950" spans="1:11" ht="42" customHeight="1">
      <c r="A8950" t="s">
        <v>17777</v>
      </c>
      <c r="B8950" t="s">
        <v>17777</v>
      </c>
      <c r="C8950" t="s">
        <v>293</v>
      </c>
      <c r="D8950" t="s">
        <v>74</v>
      </c>
      <c r="E8950" s="6">
        <v>-27857</v>
      </c>
      <c r="F8950" t="s">
        <v>378</v>
      </c>
      <c r="G8950" t="s">
        <v>59</v>
      </c>
      <c r="H8950" t="s">
        <v>21</v>
      </c>
      <c r="I8950" t="s">
        <v>17778</v>
      </c>
      <c r="J8950" t="str">
        <f>HYPERLINK("https://www.boe.es/gazeta/dias/1823/09/23/pdfs/GMD-1823-833.pdf#page=6","Abrir facsímil")</f>
        <v>Abrir facsímil</v>
      </c>
      <c r="K8950" t="s">
        <v>23</v>
      </c>
    </row>
    <row r="8951" spans="1:11" ht="42" customHeight="1">
      <c r="A8951" t="s">
        <v>17779</v>
      </c>
      <c r="B8951" t="s">
        <v>17779</v>
      </c>
      <c r="C8951" t="s">
        <v>79</v>
      </c>
      <c r="D8951" t="s">
        <v>74</v>
      </c>
      <c r="E8951" s="6">
        <v>-28122</v>
      </c>
      <c r="F8951" t="s">
        <v>269</v>
      </c>
      <c r="G8951" t="s">
        <v>27</v>
      </c>
      <c r="H8951" t="s">
        <v>21</v>
      </c>
      <c r="I8951" t="s">
        <v>17780</v>
      </c>
      <c r="J8951" t="str">
        <f>HYPERLINK("https://www.boe.es/gazeta/dias/1823/01/01/pdfs/GMD-1823-1.pdf#page=2","Abrir facsímil")</f>
        <v>Abrir facsímil</v>
      </c>
      <c r="K8951" t="s">
        <v>23</v>
      </c>
    </row>
    <row r="8952" spans="1:11" ht="42" customHeight="1">
      <c r="A8952" t="s">
        <v>17779</v>
      </c>
      <c r="B8952" t="s">
        <v>17779</v>
      </c>
      <c r="C8952" t="s">
        <v>56</v>
      </c>
      <c r="D8952" t="s">
        <v>57</v>
      </c>
      <c r="E8952" s="6">
        <v>-28107</v>
      </c>
      <c r="F8952" t="s">
        <v>278</v>
      </c>
      <c r="G8952" t="s">
        <v>20</v>
      </c>
      <c r="H8952" t="s">
        <v>21</v>
      </c>
      <c r="I8952" t="s">
        <v>17781</v>
      </c>
      <c r="J8952" t="str">
        <f>HYPERLINK("https://www.boe.es/gazeta/dias/1823/01/16/pdfs/GMD-1823-16.pdf#page=4","Abrir facsímil")</f>
        <v>Abrir facsímil</v>
      </c>
      <c r="K8952" t="s">
        <v>23</v>
      </c>
    </row>
    <row r="8953" spans="1:11" ht="42" customHeight="1">
      <c r="A8953" t="s">
        <v>17779</v>
      </c>
      <c r="B8953" t="s">
        <v>17779</v>
      </c>
      <c r="C8953" t="s">
        <v>73</v>
      </c>
      <c r="D8953" t="s">
        <v>74</v>
      </c>
      <c r="E8953" s="6">
        <v>-28103</v>
      </c>
      <c r="F8953" t="s">
        <v>285</v>
      </c>
      <c r="G8953" t="s">
        <v>48</v>
      </c>
      <c r="H8953" t="s">
        <v>21</v>
      </c>
      <c r="I8953" t="s">
        <v>17782</v>
      </c>
      <c r="J8953" t="str">
        <f>HYPERLINK("https://www.boe.es/gazeta/dias/1823/01/20/pdfs/GMD-1823-20.pdf#page=3","Abrir facsímil")</f>
        <v>Abrir facsímil</v>
      </c>
      <c r="K8953" t="s">
        <v>23</v>
      </c>
    </row>
    <row r="8954" spans="1:11" ht="42" customHeight="1">
      <c r="A8954" t="s">
        <v>17779</v>
      </c>
      <c r="B8954" t="s">
        <v>17779</v>
      </c>
      <c r="C8954" t="s">
        <v>79</v>
      </c>
      <c r="D8954" t="s">
        <v>74</v>
      </c>
      <c r="E8954" s="6">
        <v>-28082</v>
      </c>
      <c r="F8954" t="s">
        <v>468</v>
      </c>
      <c r="G8954" t="s">
        <v>27</v>
      </c>
      <c r="H8954" t="s">
        <v>21</v>
      </c>
      <c r="I8954" t="s">
        <v>17783</v>
      </c>
      <c r="J8954" t="str">
        <f>HYPERLINK("https://www.boe.es/gazeta/dias/1823/02/10/pdfs/GMD-1823-44.pdf#page=2","Abrir facsímil")</f>
        <v>Abrir facsímil</v>
      </c>
      <c r="K8954" t="s">
        <v>23</v>
      </c>
    </row>
    <row r="8955" spans="1:11" ht="42" customHeight="1">
      <c r="A8955" t="s">
        <v>17779</v>
      </c>
      <c r="B8955" t="s">
        <v>17779</v>
      </c>
      <c r="C8955" t="s">
        <v>56</v>
      </c>
      <c r="D8955" t="s">
        <v>57</v>
      </c>
      <c r="E8955" s="6">
        <v>-28061</v>
      </c>
      <c r="F8955" t="s">
        <v>704</v>
      </c>
      <c r="G8955" t="s">
        <v>27</v>
      </c>
      <c r="H8955" t="s">
        <v>21</v>
      </c>
      <c r="I8955" t="s">
        <v>17784</v>
      </c>
      <c r="J8955" t="str">
        <f>HYPERLINK("https://www.boe.es/gazeta/dias/1823/03/03/pdfs/GMD-1823-66.pdf#page=2","Abrir facsímil")</f>
        <v>Abrir facsímil</v>
      </c>
      <c r="K8955" t="s">
        <v>23</v>
      </c>
    </row>
    <row r="8956" spans="1:11" ht="42" customHeight="1">
      <c r="A8956" t="s">
        <v>17779</v>
      </c>
      <c r="B8956" t="s">
        <v>17779</v>
      </c>
      <c r="C8956" t="s">
        <v>17</v>
      </c>
      <c r="D8956" t="s">
        <v>18</v>
      </c>
      <c r="E8956" s="6">
        <v>-28060</v>
      </c>
      <c r="F8956" t="s">
        <v>180</v>
      </c>
      <c r="G8956" t="s">
        <v>27</v>
      </c>
      <c r="H8956" t="s">
        <v>21</v>
      </c>
      <c r="I8956" t="s">
        <v>17785</v>
      </c>
      <c r="J8956" t="str">
        <f>HYPERLINK("https://www.boe.es/gazeta/dias/1823/03/04/pdfs/GMD-1823-67.pdf#page=2","Abrir facsímil")</f>
        <v>Abrir facsímil</v>
      </c>
      <c r="K8956" t="s">
        <v>23</v>
      </c>
    </row>
    <row r="8957" spans="1:11" ht="42" customHeight="1">
      <c r="A8957" t="s">
        <v>17779</v>
      </c>
      <c r="B8957" t="s">
        <v>17779</v>
      </c>
      <c r="C8957" t="s">
        <v>17</v>
      </c>
      <c r="D8957" t="s">
        <v>18</v>
      </c>
      <c r="E8957" s="6">
        <v>-28060</v>
      </c>
      <c r="F8957" t="s">
        <v>180</v>
      </c>
      <c r="G8957" t="s">
        <v>20</v>
      </c>
      <c r="H8957" t="s">
        <v>21</v>
      </c>
      <c r="I8957" t="s">
        <v>17786</v>
      </c>
      <c r="J8957" t="str">
        <f>HYPERLINK("https://www.boe.es/gazeta/dias/1823/03/04/pdfs/GMD-1823-67.pdf#page=4","Abrir facsímil")</f>
        <v>Abrir facsímil</v>
      </c>
      <c r="K8957" t="s">
        <v>23</v>
      </c>
    </row>
    <row r="8958" spans="1:11" ht="42" customHeight="1">
      <c r="A8958" t="s">
        <v>17779</v>
      </c>
      <c r="B8958" t="s">
        <v>17779</v>
      </c>
      <c r="C8958" t="s">
        <v>109</v>
      </c>
      <c r="D8958" t="s">
        <v>74</v>
      </c>
      <c r="E8958" s="6">
        <v>-28042</v>
      </c>
      <c r="F8958" t="s">
        <v>1218</v>
      </c>
      <c r="G8958" t="s">
        <v>48</v>
      </c>
      <c r="H8958" t="s">
        <v>21</v>
      </c>
      <c r="I8958" t="s">
        <v>17787</v>
      </c>
      <c r="J8958" t="str">
        <f>HYPERLINK("https://www.boe.es/gazeta/dias/1823/03/22/pdfs/GMD-1823-85.pdf#page=3","Abrir facsímil")</f>
        <v>Abrir facsímil</v>
      </c>
      <c r="K8958" t="s">
        <v>23</v>
      </c>
    </row>
    <row r="8959" spans="1:11" ht="42" customHeight="1">
      <c r="A8959" t="s">
        <v>17779</v>
      </c>
      <c r="B8959" t="s">
        <v>17779</v>
      </c>
      <c r="C8959" t="s">
        <v>325</v>
      </c>
      <c r="D8959" t="s">
        <v>74</v>
      </c>
      <c r="E8959" s="6">
        <v>-28006</v>
      </c>
      <c r="F8959" t="s">
        <v>183</v>
      </c>
      <c r="G8959" t="s">
        <v>48</v>
      </c>
      <c r="H8959" t="s">
        <v>21</v>
      </c>
      <c r="I8959" t="s">
        <v>17788</v>
      </c>
      <c r="J8959" t="str">
        <f>HYPERLINK("https://www.boe.es/gazeta/dias/1823/04/27/pdfs/GES-1823-17.pdf#page=3","Abrir facsímil")</f>
        <v>Abrir facsímil</v>
      </c>
      <c r="K8959" t="s">
        <v>23</v>
      </c>
    </row>
    <row r="8960" spans="1:11" ht="42" customHeight="1">
      <c r="A8960" t="s">
        <v>17779</v>
      </c>
      <c r="B8960" t="s">
        <v>17779</v>
      </c>
      <c r="C8960" t="s">
        <v>109</v>
      </c>
      <c r="D8960" t="s">
        <v>74</v>
      </c>
      <c r="E8960" s="6">
        <v>-28003</v>
      </c>
      <c r="F8960" t="s">
        <v>26</v>
      </c>
      <c r="G8960" t="s">
        <v>1114</v>
      </c>
      <c r="H8960" t="s">
        <v>21</v>
      </c>
      <c r="I8960" t="s">
        <v>17789</v>
      </c>
      <c r="J8960" t="str">
        <f>HYPERLINK("https://www.boe.es/gazeta/dias/1823/04/30/pdfs/GES-1823-20.pdf#page=6","Abrir facsímil")</f>
        <v>Abrir facsímil</v>
      </c>
      <c r="K8960" t="s">
        <v>23</v>
      </c>
    </row>
    <row r="8961" spans="1:11" ht="42" customHeight="1">
      <c r="A8961" t="s">
        <v>17779</v>
      </c>
      <c r="B8961" t="s">
        <v>17779</v>
      </c>
      <c r="C8961" t="s">
        <v>17</v>
      </c>
      <c r="D8961" t="s">
        <v>18</v>
      </c>
      <c r="E8961" s="6">
        <v>-27999</v>
      </c>
      <c r="F8961" t="s">
        <v>97</v>
      </c>
      <c r="G8961" t="s">
        <v>1257</v>
      </c>
      <c r="H8961" t="s">
        <v>21</v>
      </c>
      <c r="I8961" t="s">
        <v>17790</v>
      </c>
      <c r="J8961" t="str">
        <f>HYPERLINK("https://www.boe.es/gazeta/dias/1823/05/04/pdfs/GES-1823-24.pdf#page=2","Abrir facsímil")</f>
        <v>Abrir facsímil</v>
      </c>
      <c r="K8961" t="s">
        <v>23</v>
      </c>
    </row>
    <row r="8962" spans="1:11" ht="42" customHeight="1">
      <c r="A8962" t="s">
        <v>17779</v>
      </c>
      <c r="B8962" t="s">
        <v>17779</v>
      </c>
      <c r="C8962" t="s">
        <v>109</v>
      </c>
      <c r="D8962" t="s">
        <v>74</v>
      </c>
      <c r="E8962" s="6">
        <v>-27997</v>
      </c>
      <c r="F8962" t="s">
        <v>937</v>
      </c>
      <c r="G8962" t="s">
        <v>20</v>
      </c>
      <c r="H8962" t="s">
        <v>21</v>
      </c>
      <c r="I8962" t="s">
        <v>17791</v>
      </c>
      <c r="J8962" t="str">
        <f>HYPERLINK("https://www.boe.es/gazeta/dias/1823/05/06/pdfs/GMD-1823-102.pdf#page=4","Abrir facsímil")</f>
        <v>Abrir facsímil</v>
      </c>
      <c r="K8962" t="s">
        <v>23</v>
      </c>
    </row>
    <row r="8963" spans="1:11" ht="42" customHeight="1">
      <c r="A8963" t="s">
        <v>17779</v>
      </c>
      <c r="B8963" t="s">
        <v>17779</v>
      </c>
      <c r="C8963" t="s">
        <v>17</v>
      </c>
      <c r="D8963" t="s">
        <v>18</v>
      </c>
      <c r="E8963" s="6">
        <v>-27994</v>
      </c>
      <c r="F8963" t="s">
        <v>714</v>
      </c>
      <c r="G8963" t="s">
        <v>59</v>
      </c>
      <c r="H8963" t="s">
        <v>21</v>
      </c>
      <c r="I8963" t="s">
        <v>17792</v>
      </c>
      <c r="J8963" t="str">
        <f>HYPERLINK("https://www.boe.es/gazeta/dias/1823/05/09/pdfs/GES-1823-29.pdf#page=6","Abrir facsímil")</f>
        <v>Abrir facsímil</v>
      </c>
      <c r="K8963" t="s">
        <v>23</v>
      </c>
    </row>
    <row r="8964" spans="1:11" ht="42" customHeight="1">
      <c r="A8964" t="s">
        <v>17779</v>
      </c>
      <c r="B8964" t="s">
        <v>17779</v>
      </c>
      <c r="C8964" t="s">
        <v>109</v>
      </c>
      <c r="D8964" t="s">
        <v>74</v>
      </c>
      <c r="E8964" s="6">
        <v>-27993</v>
      </c>
      <c r="F8964" t="s">
        <v>1062</v>
      </c>
      <c r="G8964" t="s">
        <v>20</v>
      </c>
      <c r="H8964" t="s">
        <v>21</v>
      </c>
      <c r="I8964" t="s">
        <v>17793</v>
      </c>
      <c r="J8964" t="str">
        <f>HYPERLINK("https://www.boe.es/gazeta/dias/1823/05/10/pdfs/GMD-1823-122.pdf#page=4","Abrir facsímil")</f>
        <v>Abrir facsímil</v>
      </c>
      <c r="K8964" t="s">
        <v>23</v>
      </c>
    </row>
    <row r="8965" spans="1:11" ht="42" customHeight="1">
      <c r="A8965" t="s">
        <v>17779</v>
      </c>
      <c r="B8965" t="s">
        <v>17779</v>
      </c>
      <c r="C8965" t="s">
        <v>73</v>
      </c>
      <c r="D8965" t="s">
        <v>74</v>
      </c>
      <c r="E8965" s="6">
        <v>-27992</v>
      </c>
      <c r="F8965" t="s">
        <v>565</v>
      </c>
      <c r="G8965" t="s">
        <v>48</v>
      </c>
      <c r="H8965" t="s">
        <v>21</v>
      </c>
      <c r="I8965" t="s">
        <v>17794</v>
      </c>
      <c r="J8965" t="str">
        <f>HYPERLINK("https://www.boe.es/gazeta/dias/1823/05/11/pdfs/GES-1823-31.pdf#page=3","Abrir facsímil")</f>
        <v>Abrir facsímil</v>
      </c>
      <c r="K8965" t="s">
        <v>23</v>
      </c>
    </row>
    <row r="8966" spans="1:11" ht="42" customHeight="1">
      <c r="A8966" t="s">
        <v>17779</v>
      </c>
      <c r="B8966" t="s">
        <v>17779</v>
      </c>
      <c r="C8966" t="s">
        <v>109</v>
      </c>
      <c r="D8966" t="s">
        <v>74</v>
      </c>
      <c r="E8966" s="6">
        <v>-27988</v>
      </c>
      <c r="F8966" t="s">
        <v>2022</v>
      </c>
      <c r="G8966" t="s">
        <v>27</v>
      </c>
      <c r="H8966" t="s">
        <v>21</v>
      </c>
      <c r="I8966" t="s">
        <v>17795</v>
      </c>
      <c r="J8966" t="str">
        <f>HYPERLINK("https://www.boe.es/gazeta/dias/1823/05/15/pdfs/GMD-1823-142.pdf#page=2","Abrir facsímil")</f>
        <v>Abrir facsímil</v>
      </c>
      <c r="K8966" t="s">
        <v>23</v>
      </c>
    </row>
    <row r="8967" spans="1:11" ht="42" customHeight="1">
      <c r="A8967" t="s">
        <v>17779</v>
      </c>
      <c r="B8967" t="s">
        <v>17779</v>
      </c>
      <c r="C8967" t="s">
        <v>73</v>
      </c>
      <c r="D8967" t="s">
        <v>74</v>
      </c>
      <c r="E8967" s="6">
        <v>-27986</v>
      </c>
      <c r="F8967" t="s">
        <v>607</v>
      </c>
      <c r="G8967" t="s">
        <v>48</v>
      </c>
      <c r="H8967" t="s">
        <v>21</v>
      </c>
      <c r="I8967" t="s">
        <v>17796</v>
      </c>
      <c r="J8967" t="str">
        <f>HYPERLINK("https://www.boe.es/gazeta/dias/1823/05/17/pdfs/GMD-1823-152.pdf#page=3","Abrir facsímil")</f>
        <v>Abrir facsímil</v>
      </c>
      <c r="K8967" t="s">
        <v>23</v>
      </c>
    </row>
    <row r="8968" spans="1:11" ht="42" customHeight="1">
      <c r="A8968" t="s">
        <v>17779</v>
      </c>
      <c r="B8968" t="s">
        <v>17779</v>
      </c>
      <c r="C8968" t="s">
        <v>56</v>
      </c>
      <c r="D8968" t="s">
        <v>57</v>
      </c>
      <c r="E8968" s="6">
        <v>-27982</v>
      </c>
      <c r="F8968" t="s">
        <v>340</v>
      </c>
      <c r="G8968" t="s">
        <v>590</v>
      </c>
      <c r="H8968" t="s">
        <v>21</v>
      </c>
      <c r="I8968" t="s">
        <v>17797</v>
      </c>
      <c r="J8968" t="str">
        <f>HYPERLINK("https://www.boe.es/gazeta/dias/1823/05/21/pdfs/GES-1823-42.pdf#page=5","Abrir facsímil")</f>
        <v>Abrir facsímil</v>
      </c>
      <c r="K8968" t="s">
        <v>23</v>
      </c>
    </row>
    <row r="8969" spans="1:11" ht="42" customHeight="1">
      <c r="A8969" t="s">
        <v>17779</v>
      </c>
      <c r="B8969" t="s">
        <v>17779</v>
      </c>
      <c r="C8969" t="s">
        <v>17</v>
      </c>
      <c r="D8969" t="s">
        <v>18</v>
      </c>
      <c r="E8969" s="6">
        <v>-27980</v>
      </c>
      <c r="F8969" t="s">
        <v>1068</v>
      </c>
      <c r="G8969" t="s">
        <v>20</v>
      </c>
      <c r="H8969" t="s">
        <v>21</v>
      </c>
      <c r="I8969" t="s">
        <v>17798</v>
      </c>
      <c r="J8969" t="str">
        <f>HYPERLINK("https://www.boe.es/gazeta/dias/1823/05/23/pdfs/GES-1823-44.pdf#page=4","Abrir facsímil")</f>
        <v>Abrir facsímil</v>
      </c>
      <c r="K8969" t="s">
        <v>23</v>
      </c>
    </row>
    <row r="8970" spans="1:11" ht="42" customHeight="1">
      <c r="A8970" t="s">
        <v>17779</v>
      </c>
      <c r="B8970" t="s">
        <v>17779</v>
      </c>
      <c r="C8970" t="s">
        <v>17</v>
      </c>
      <c r="D8970" t="s">
        <v>18</v>
      </c>
      <c r="E8970" s="6">
        <v>-27964</v>
      </c>
      <c r="F8970" t="s">
        <v>58</v>
      </c>
      <c r="G8970" t="s">
        <v>48</v>
      </c>
      <c r="H8970" t="s">
        <v>21</v>
      </c>
      <c r="I8970" t="s">
        <v>17799</v>
      </c>
      <c r="J8970" t="str">
        <f>HYPERLINK("https://www.boe.es/gazeta/dias/1823/06/08/pdfs/GES-1823-62.pdf#page=3","Abrir facsímil")</f>
        <v>Abrir facsímil</v>
      </c>
      <c r="K8970" t="s">
        <v>23</v>
      </c>
    </row>
    <row r="8971" spans="1:11" ht="42" customHeight="1">
      <c r="A8971" t="s">
        <v>17779</v>
      </c>
      <c r="B8971" t="s">
        <v>17779</v>
      </c>
      <c r="C8971" t="s">
        <v>17</v>
      </c>
      <c r="D8971" t="s">
        <v>18</v>
      </c>
      <c r="E8971" s="6">
        <v>-27950</v>
      </c>
      <c r="F8971" t="s">
        <v>4513</v>
      </c>
      <c r="G8971" t="s">
        <v>27</v>
      </c>
      <c r="H8971" t="s">
        <v>21</v>
      </c>
      <c r="I8971" t="s">
        <v>17800</v>
      </c>
      <c r="J8971" t="str">
        <f>HYPERLINK("https://www.boe.es/gazeta/dias/1823/06/22/pdfs/GES-1823-70.pdf#page=2","Abrir facsímil")</f>
        <v>Abrir facsímil</v>
      </c>
      <c r="K8971" t="s">
        <v>23</v>
      </c>
    </row>
    <row r="8972" spans="1:11" ht="42" customHeight="1">
      <c r="A8972" t="s">
        <v>17779</v>
      </c>
      <c r="B8972" t="s">
        <v>17779</v>
      </c>
      <c r="C8972" t="s">
        <v>109</v>
      </c>
      <c r="D8972" t="s">
        <v>74</v>
      </c>
      <c r="E8972" s="6">
        <v>-27937</v>
      </c>
      <c r="F8972" t="s">
        <v>730</v>
      </c>
      <c r="G8972" t="s">
        <v>39</v>
      </c>
      <c r="H8972" t="s">
        <v>21</v>
      </c>
      <c r="I8972" t="s">
        <v>17801</v>
      </c>
      <c r="J8972" t="str">
        <f>HYPERLINK("https://www.boe.es/gazeta/dias/1823/07/05/pdfs/GES-1823-85.pdf#page=1","Abrir facsímil")</f>
        <v>Abrir facsímil</v>
      </c>
      <c r="K8972" t="s">
        <v>23</v>
      </c>
    </row>
    <row r="8973" spans="1:11" ht="42" customHeight="1">
      <c r="A8973" t="s">
        <v>17779</v>
      </c>
      <c r="B8973" t="s">
        <v>17779</v>
      </c>
      <c r="C8973" t="s">
        <v>17</v>
      </c>
      <c r="D8973" t="s">
        <v>18</v>
      </c>
      <c r="E8973" s="6">
        <v>-27932</v>
      </c>
      <c r="F8973" t="s">
        <v>707</v>
      </c>
      <c r="G8973" t="s">
        <v>27</v>
      </c>
      <c r="H8973" t="s">
        <v>21</v>
      </c>
      <c r="I8973" t="s">
        <v>17802</v>
      </c>
      <c r="J8973" t="str">
        <f>HYPERLINK("https://www.boe.es/gazeta/dias/1823/07/10/pdfs/GES-1823-90.pdf#page=2","Abrir facsímil")</f>
        <v>Abrir facsímil</v>
      </c>
      <c r="K8973" t="s">
        <v>23</v>
      </c>
    </row>
    <row r="8974" spans="1:11" ht="42" customHeight="1">
      <c r="A8974" t="s">
        <v>17779</v>
      </c>
      <c r="B8974" t="s">
        <v>17779</v>
      </c>
      <c r="C8974" t="s">
        <v>56</v>
      </c>
      <c r="D8974" t="s">
        <v>57</v>
      </c>
      <c r="E8974" s="6">
        <v>-27930</v>
      </c>
      <c r="F8974" t="s">
        <v>2334</v>
      </c>
      <c r="G8974" t="s">
        <v>27</v>
      </c>
      <c r="H8974" t="s">
        <v>21</v>
      </c>
      <c r="I8974" t="s">
        <v>17803</v>
      </c>
      <c r="J8974" t="str">
        <f>HYPERLINK("https://www.boe.es/gazeta/dias/1823/07/12/pdfs/GES-1823-92.pdf#page=2","Abrir facsímil")</f>
        <v>Abrir facsímil</v>
      </c>
      <c r="K8974" t="s">
        <v>23</v>
      </c>
    </row>
    <row r="8975" spans="1:11" ht="42" customHeight="1">
      <c r="A8975" t="s">
        <v>17779</v>
      </c>
      <c r="B8975" t="s">
        <v>17779</v>
      </c>
      <c r="C8975" t="s">
        <v>56</v>
      </c>
      <c r="D8975" t="s">
        <v>57</v>
      </c>
      <c r="E8975" s="6">
        <v>-27916</v>
      </c>
      <c r="F8975" t="s">
        <v>772</v>
      </c>
      <c r="G8975" t="s">
        <v>27</v>
      </c>
      <c r="H8975" t="s">
        <v>21</v>
      </c>
      <c r="I8975" t="s">
        <v>17804</v>
      </c>
      <c r="J8975" t="str">
        <f>HYPERLINK("https://www.boe.es/gazeta/dias/1823/07/26/pdfs/GES-1823-107.pdf#page=2","Abrir facsímil")</f>
        <v>Abrir facsímil</v>
      </c>
      <c r="K8975" t="s">
        <v>23</v>
      </c>
    </row>
    <row r="8976" spans="1:11" ht="42" customHeight="1">
      <c r="A8976" t="s">
        <v>17779</v>
      </c>
      <c r="B8976" t="s">
        <v>17779</v>
      </c>
      <c r="C8976" t="s">
        <v>56</v>
      </c>
      <c r="D8976" t="s">
        <v>57</v>
      </c>
      <c r="E8976" s="6">
        <v>-27912</v>
      </c>
      <c r="F8976" t="s">
        <v>365</v>
      </c>
      <c r="G8976" t="s">
        <v>366</v>
      </c>
      <c r="H8976" t="s">
        <v>21</v>
      </c>
      <c r="I8976" t="s">
        <v>17805</v>
      </c>
      <c r="J8976" t="str">
        <f>HYPERLINK("https://www.boe.es/gazeta/dias/1823/07/30/pdfs/GES-1823-111.pdf#page=4","Abrir facsímil")</f>
        <v>Abrir facsímil</v>
      </c>
      <c r="K8976" t="s">
        <v>23</v>
      </c>
    </row>
    <row r="8977" spans="1:11" ht="42" customHeight="1">
      <c r="A8977" t="s">
        <v>17779</v>
      </c>
      <c r="B8977" t="s">
        <v>17779</v>
      </c>
      <c r="C8977" t="s">
        <v>17</v>
      </c>
      <c r="D8977" t="s">
        <v>18</v>
      </c>
      <c r="E8977" s="6">
        <v>-27910</v>
      </c>
      <c r="F8977" t="s">
        <v>38</v>
      </c>
      <c r="G8977" t="s">
        <v>27</v>
      </c>
      <c r="H8977" t="s">
        <v>21</v>
      </c>
      <c r="I8977" t="s">
        <v>17806</v>
      </c>
      <c r="J8977" t="str">
        <f>HYPERLINK("https://www.boe.es/gazeta/dias/1823/08/01/pdfs/GES-1823-113.pdf#page=2","Abrir facsímil")</f>
        <v>Abrir facsímil</v>
      </c>
      <c r="K8977" t="s">
        <v>23</v>
      </c>
    </row>
    <row r="8978" spans="1:11" ht="42" customHeight="1">
      <c r="A8978" t="s">
        <v>17807</v>
      </c>
      <c r="B8978" t="s">
        <v>17808</v>
      </c>
      <c r="C8978" t="s">
        <v>56</v>
      </c>
      <c r="D8978" t="s">
        <v>57</v>
      </c>
      <c r="E8978" s="6">
        <v>-28091</v>
      </c>
      <c r="F8978" t="s">
        <v>1047</v>
      </c>
      <c r="G8978" t="s">
        <v>27</v>
      </c>
      <c r="H8978" t="s">
        <v>21</v>
      </c>
      <c r="I8978" t="s">
        <v>17809</v>
      </c>
      <c r="J8978" t="str">
        <f>HYPERLINK("https://www.boe.es/gazeta/dias/1823/02/01/pdfs/GMD-1823-34.pdf#page=2","Abrir facsímil")</f>
        <v>Abrir facsímil</v>
      </c>
      <c r="K8978" t="s">
        <v>23</v>
      </c>
    </row>
    <row r="8979" spans="1:11" ht="42" customHeight="1">
      <c r="A8979" t="s">
        <v>17810</v>
      </c>
      <c r="B8979" t="s">
        <v>17811</v>
      </c>
      <c r="C8979" t="s">
        <v>17</v>
      </c>
      <c r="D8979" t="s">
        <v>18</v>
      </c>
      <c r="E8979" s="6">
        <v>-27997</v>
      </c>
      <c r="F8979" t="s">
        <v>317</v>
      </c>
      <c r="G8979" t="s">
        <v>1124</v>
      </c>
      <c r="H8979" t="s">
        <v>21</v>
      </c>
      <c r="I8979" t="s">
        <v>17812</v>
      </c>
      <c r="J8979" t="str">
        <f>HYPERLINK("https://www.boe.es/gazeta/dias/1823/05/06/pdfs/GES-1823-26.pdf#page=2","Abrir facsímil")</f>
        <v>Abrir facsímil</v>
      </c>
      <c r="K8979" t="s">
        <v>23</v>
      </c>
    </row>
    <row r="8980" spans="1:11" ht="42" customHeight="1">
      <c r="A8980" t="s">
        <v>17813</v>
      </c>
      <c r="B8980" t="s">
        <v>17813</v>
      </c>
      <c r="C8980" t="s">
        <v>17</v>
      </c>
      <c r="D8980" t="s">
        <v>18</v>
      </c>
      <c r="E8980" s="6">
        <v>-27861</v>
      </c>
      <c r="F8980" t="s">
        <v>425</v>
      </c>
      <c r="G8980" t="s">
        <v>48</v>
      </c>
      <c r="H8980" t="s">
        <v>21</v>
      </c>
      <c r="I8980" t="s">
        <v>17814</v>
      </c>
      <c r="J8980" t="str">
        <f>HYPERLINK("https://www.boe.es/gazeta/dias/1823/09/19/pdfs/GES-1823-163.pdf#page=3","Abrir facsímil")</f>
        <v>Abrir facsímil</v>
      </c>
      <c r="K8980" t="s">
        <v>23</v>
      </c>
    </row>
    <row r="8981" spans="1:11" ht="42" customHeight="1">
      <c r="A8981" t="s">
        <v>17815</v>
      </c>
      <c r="B8981" t="s">
        <v>17815</v>
      </c>
      <c r="C8981" t="s">
        <v>109</v>
      </c>
      <c r="D8981" t="s">
        <v>74</v>
      </c>
      <c r="E8981" s="6">
        <v>-28110</v>
      </c>
      <c r="F8981" t="s">
        <v>249</v>
      </c>
      <c r="G8981" t="s">
        <v>1968</v>
      </c>
      <c r="H8981" t="s">
        <v>21</v>
      </c>
      <c r="I8981" t="s">
        <v>17816</v>
      </c>
      <c r="J8981" t="str">
        <f>HYPERLINK("https://www.boe.es/gazeta/dias/1823/01/13/pdfs/GMD-1823-13.pdf#page=2","Abrir facsímil")</f>
        <v>Abrir facsímil</v>
      </c>
      <c r="K8981" t="s">
        <v>23</v>
      </c>
    </row>
    <row r="8982" spans="1:11" ht="42" customHeight="1">
      <c r="A8982" t="s">
        <v>17815</v>
      </c>
      <c r="B8982" t="s">
        <v>17815</v>
      </c>
      <c r="C8982" t="s">
        <v>17</v>
      </c>
      <c r="D8982" t="s">
        <v>18</v>
      </c>
      <c r="E8982" s="6">
        <v>-28019</v>
      </c>
      <c r="F8982" t="s">
        <v>1663</v>
      </c>
      <c r="G8982" t="s">
        <v>48</v>
      </c>
      <c r="H8982" t="s">
        <v>21</v>
      </c>
      <c r="I8982" t="s">
        <v>17817</v>
      </c>
      <c r="J8982" t="str">
        <f>HYPERLINK("https://www.boe.es/gazeta/dias/1823/04/14/pdfs/GES-1823-4.pdf#page=3","Abrir facsímil")</f>
        <v>Abrir facsímil</v>
      </c>
      <c r="K8982" t="s">
        <v>23</v>
      </c>
    </row>
    <row r="8983" spans="1:11" ht="42" customHeight="1">
      <c r="A8983" t="s">
        <v>17815</v>
      </c>
      <c r="B8983" t="s">
        <v>17815</v>
      </c>
      <c r="C8983" t="s">
        <v>17</v>
      </c>
      <c r="D8983" t="s">
        <v>18</v>
      </c>
      <c r="E8983" s="6">
        <v>-28016</v>
      </c>
      <c r="F8983" t="s">
        <v>287</v>
      </c>
      <c r="G8983" t="s">
        <v>48</v>
      </c>
      <c r="H8983" t="s">
        <v>21</v>
      </c>
      <c r="I8983" t="s">
        <v>17818</v>
      </c>
      <c r="J8983" t="str">
        <f>HYPERLINK("https://www.boe.es/gazeta/dias/1823/04/17/pdfs/GMD-1823-22.pdf#page=3","Abrir facsímil")</f>
        <v>Abrir facsímil</v>
      </c>
      <c r="K8983" t="s">
        <v>23</v>
      </c>
    </row>
    <row r="8984" spans="1:11" ht="42" customHeight="1">
      <c r="A8984" t="s">
        <v>17815</v>
      </c>
      <c r="B8984" t="s">
        <v>17815</v>
      </c>
      <c r="C8984" t="s">
        <v>73</v>
      </c>
      <c r="D8984" t="s">
        <v>74</v>
      </c>
      <c r="E8984" s="6">
        <v>-28005</v>
      </c>
      <c r="F8984" t="s">
        <v>1648</v>
      </c>
      <c r="G8984" t="s">
        <v>20</v>
      </c>
      <c r="H8984" t="s">
        <v>21</v>
      </c>
      <c r="I8984" t="s">
        <v>17819</v>
      </c>
      <c r="J8984" t="str">
        <f>HYPERLINK("https://www.boe.es/gazeta/dias/1823/04/28/pdfs/GES-1823-18.pdf#page=4","Abrir facsímil")</f>
        <v>Abrir facsímil</v>
      </c>
      <c r="K8984" t="s">
        <v>23</v>
      </c>
    </row>
    <row r="8985" spans="1:11" ht="42" customHeight="1">
      <c r="A8985" t="s">
        <v>17815</v>
      </c>
      <c r="B8985" t="s">
        <v>17815</v>
      </c>
      <c r="C8985" t="s">
        <v>109</v>
      </c>
      <c r="D8985" t="s">
        <v>74</v>
      </c>
      <c r="E8985" s="6">
        <v>-28004</v>
      </c>
      <c r="F8985" t="s">
        <v>33</v>
      </c>
      <c r="G8985" t="s">
        <v>27</v>
      </c>
      <c r="H8985" t="s">
        <v>21</v>
      </c>
      <c r="I8985" t="s">
        <v>17820</v>
      </c>
      <c r="J8985" t="str">
        <f>HYPERLINK("https://www.boe.es/gazeta/dias/1823/04/29/pdfs/GES-1823-19.pdf#page=2","Abrir facsímil")</f>
        <v>Abrir facsímil</v>
      </c>
      <c r="K8985" t="s">
        <v>23</v>
      </c>
    </row>
    <row r="8986" spans="1:11" ht="42" customHeight="1">
      <c r="A8986" t="s">
        <v>17815</v>
      </c>
      <c r="B8986" t="s">
        <v>17815</v>
      </c>
      <c r="C8986" t="s">
        <v>17</v>
      </c>
      <c r="D8986" t="s">
        <v>18</v>
      </c>
      <c r="E8986" s="6">
        <v>-28003</v>
      </c>
      <c r="F8986" t="s">
        <v>26</v>
      </c>
      <c r="G8986" t="s">
        <v>27</v>
      </c>
      <c r="H8986" t="s">
        <v>21</v>
      </c>
      <c r="I8986" t="s">
        <v>17821</v>
      </c>
      <c r="J8986" t="str">
        <f>HYPERLINK("https://www.boe.es/gazeta/dias/1823/04/30/pdfs/GES-1823-20.pdf#page=2","Abrir facsímil")</f>
        <v>Abrir facsímil</v>
      </c>
      <c r="K8986" t="s">
        <v>23</v>
      </c>
    </row>
    <row r="8987" spans="1:11" ht="42" customHeight="1">
      <c r="A8987" t="s">
        <v>17815</v>
      </c>
      <c r="B8987" t="s">
        <v>17815</v>
      </c>
      <c r="C8987" t="s">
        <v>17</v>
      </c>
      <c r="D8987" t="s">
        <v>18</v>
      </c>
      <c r="E8987" s="6">
        <v>-28002</v>
      </c>
      <c r="F8987" t="s">
        <v>315</v>
      </c>
      <c r="G8987" t="s">
        <v>1116</v>
      </c>
      <c r="H8987" t="s">
        <v>21</v>
      </c>
      <c r="I8987" t="s">
        <v>17822</v>
      </c>
      <c r="J8987" t="str">
        <f>HYPERLINK("https://www.boe.es/gazeta/dias/1823/05/01/pdfs/GES-1823-21.pdf#page=4","Abrir facsímil")</f>
        <v>Abrir facsímil</v>
      </c>
      <c r="K8987" t="s">
        <v>23</v>
      </c>
    </row>
    <row r="8988" spans="1:11" ht="42" customHeight="1">
      <c r="A8988" t="s">
        <v>17815</v>
      </c>
      <c r="B8988" t="s">
        <v>17815</v>
      </c>
      <c r="C8988" t="s">
        <v>325</v>
      </c>
      <c r="D8988" t="s">
        <v>74</v>
      </c>
      <c r="E8988" s="6">
        <v>-27997</v>
      </c>
      <c r="F8988" t="s">
        <v>937</v>
      </c>
      <c r="G8988" t="s">
        <v>27</v>
      </c>
      <c r="H8988" t="s">
        <v>21</v>
      </c>
      <c r="I8988" t="s">
        <v>17823</v>
      </c>
      <c r="J8988" t="str">
        <f>HYPERLINK("https://www.boe.es/gazeta/dias/1823/05/06/pdfs/GMD-1823-102.pdf#page=2","Abrir facsímil")</f>
        <v>Abrir facsímil</v>
      </c>
      <c r="K8988" t="s">
        <v>23</v>
      </c>
    </row>
    <row r="8989" spans="1:11" ht="42" customHeight="1">
      <c r="A8989" t="s">
        <v>17815</v>
      </c>
      <c r="B8989" t="s">
        <v>17815</v>
      </c>
      <c r="C8989" t="s">
        <v>17</v>
      </c>
      <c r="D8989" t="s">
        <v>18</v>
      </c>
      <c r="E8989" s="6">
        <v>-27997</v>
      </c>
      <c r="F8989" t="s">
        <v>937</v>
      </c>
      <c r="G8989" t="s">
        <v>48</v>
      </c>
      <c r="H8989" t="s">
        <v>21</v>
      </c>
      <c r="I8989" t="s">
        <v>17824</v>
      </c>
      <c r="J8989" t="str">
        <f>HYPERLINK("https://www.boe.es/gazeta/dias/1823/05/06/pdfs/GMD-1823-102.pdf#page=3","Abrir facsímil")</f>
        <v>Abrir facsímil</v>
      </c>
      <c r="K8989" t="s">
        <v>23</v>
      </c>
    </row>
    <row r="8990" spans="1:11" ht="42" customHeight="1">
      <c r="A8990" t="s">
        <v>17815</v>
      </c>
      <c r="B8990" t="s">
        <v>17815</v>
      </c>
      <c r="C8990" t="s">
        <v>17</v>
      </c>
      <c r="D8990" t="s">
        <v>18</v>
      </c>
      <c r="E8990" s="6">
        <v>-27995</v>
      </c>
      <c r="F8990" t="s">
        <v>326</v>
      </c>
      <c r="G8990" t="s">
        <v>27</v>
      </c>
      <c r="H8990" t="s">
        <v>21</v>
      </c>
      <c r="I8990" t="s">
        <v>17825</v>
      </c>
      <c r="J8990" t="str">
        <f>HYPERLINK("https://www.boe.es/gazeta/dias/1823/05/08/pdfs/GMD-1823-112.pdf#page=2","Abrir facsímil")</f>
        <v>Abrir facsímil</v>
      </c>
      <c r="K8990" t="s">
        <v>23</v>
      </c>
    </row>
    <row r="8991" spans="1:11" ht="42" customHeight="1">
      <c r="A8991" t="s">
        <v>17815</v>
      </c>
      <c r="B8991" t="s">
        <v>17815</v>
      </c>
      <c r="C8991" t="s">
        <v>56</v>
      </c>
      <c r="D8991" t="s">
        <v>57</v>
      </c>
      <c r="E8991" s="6">
        <v>-27960</v>
      </c>
      <c r="F8991" t="s">
        <v>741</v>
      </c>
      <c r="G8991" t="s">
        <v>20</v>
      </c>
      <c r="H8991" t="s">
        <v>21</v>
      </c>
      <c r="I8991" t="s">
        <v>17826</v>
      </c>
      <c r="J8991" t="str">
        <f>HYPERLINK("https://www.boe.es/gazeta/dias/1823/06/12/pdfs/GES-1823-66.pdf#page=4","Abrir facsímil")</f>
        <v>Abrir facsímil</v>
      </c>
      <c r="K8991" t="s">
        <v>23</v>
      </c>
    </row>
    <row r="8992" spans="1:11" ht="42" customHeight="1">
      <c r="A8992" t="s">
        <v>17815</v>
      </c>
      <c r="B8992" t="s">
        <v>17815</v>
      </c>
      <c r="C8992" t="s">
        <v>79</v>
      </c>
      <c r="D8992" t="s">
        <v>74</v>
      </c>
      <c r="E8992" s="6">
        <v>-27960</v>
      </c>
      <c r="F8992" t="s">
        <v>741</v>
      </c>
      <c r="G8992" t="s">
        <v>34</v>
      </c>
      <c r="H8992" t="s">
        <v>21</v>
      </c>
      <c r="I8992" t="s">
        <v>17827</v>
      </c>
      <c r="J8992" t="str">
        <f>HYPERLINK("https://www.boe.es/gazeta/dias/1823/06/12/pdfs/GES-1823-66.pdf#page=5","Abrir facsímil")</f>
        <v>Abrir facsímil</v>
      </c>
      <c r="K8992" t="s">
        <v>23</v>
      </c>
    </row>
    <row r="8993" spans="1:11" ht="42" customHeight="1">
      <c r="A8993" t="s">
        <v>17815</v>
      </c>
      <c r="B8993" t="s">
        <v>17815</v>
      </c>
      <c r="C8993" t="s">
        <v>56</v>
      </c>
      <c r="D8993" t="s">
        <v>57</v>
      </c>
      <c r="E8993" s="6">
        <v>-27944</v>
      </c>
      <c r="F8993" t="s">
        <v>2823</v>
      </c>
      <c r="G8993" t="s">
        <v>39</v>
      </c>
      <c r="H8993" t="s">
        <v>21</v>
      </c>
      <c r="I8993" t="s">
        <v>17828</v>
      </c>
      <c r="J8993" t="str">
        <f>HYPERLINK("https://www.boe.es/gazeta/dias/1823/06/28/pdfs/GES-1823-78.pdf#page=1","Abrir facsímil")</f>
        <v>Abrir facsímil</v>
      </c>
      <c r="K8993" t="s">
        <v>23</v>
      </c>
    </row>
    <row r="8994" spans="1:11" ht="42" customHeight="1">
      <c r="A8994" t="s">
        <v>17815</v>
      </c>
      <c r="B8994" t="s">
        <v>17815</v>
      </c>
      <c r="C8994" t="s">
        <v>17</v>
      </c>
      <c r="D8994" t="s">
        <v>18</v>
      </c>
      <c r="E8994" s="6">
        <v>-27943</v>
      </c>
      <c r="F8994" t="s">
        <v>346</v>
      </c>
      <c r="G8994" t="s">
        <v>27</v>
      </c>
      <c r="H8994" t="s">
        <v>21</v>
      </c>
      <c r="I8994" t="s">
        <v>17829</v>
      </c>
      <c r="J8994" t="str">
        <f>HYPERLINK("https://www.boe.es/gazeta/dias/1823/06/29/pdfs/GES-1823-79.pdf#page=2","Abrir facsímil")</f>
        <v>Abrir facsímil</v>
      </c>
      <c r="K8994" t="s">
        <v>23</v>
      </c>
    </row>
    <row r="8995" spans="1:11" ht="42" customHeight="1">
      <c r="A8995" t="s">
        <v>17815</v>
      </c>
      <c r="B8995" t="s">
        <v>17815</v>
      </c>
      <c r="C8995" t="s">
        <v>17</v>
      </c>
      <c r="D8995" t="s">
        <v>18</v>
      </c>
      <c r="E8995" s="6">
        <v>-27932</v>
      </c>
      <c r="F8995" t="s">
        <v>707</v>
      </c>
      <c r="G8995" t="s">
        <v>48</v>
      </c>
      <c r="H8995" t="s">
        <v>21</v>
      </c>
      <c r="I8995" t="s">
        <v>17830</v>
      </c>
      <c r="J8995" t="str">
        <f>HYPERLINK("https://www.boe.es/gazeta/dias/1823/07/10/pdfs/GES-1823-90.pdf#page=3","Abrir facsímil")</f>
        <v>Abrir facsímil</v>
      </c>
      <c r="K8995" t="s">
        <v>23</v>
      </c>
    </row>
    <row r="8996" spans="1:11" ht="42" customHeight="1">
      <c r="A8996" t="s">
        <v>17815</v>
      </c>
      <c r="B8996" t="s">
        <v>17815</v>
      </c>
      <c r="C8996" t="s">
        <v>17</v>
      </c>
      <c r="D8996" t="s">
        <v>18</v>
      </c>
      <c r="E8996" s="6">
        <v>-27923</v>
      </c>
      <c r="F8996" t="s">
        <v>1225</v>
      </c>
      <c r="G8996" t="s">
        <v>59</v>
      </c>
      <c r="H8996" t="s">
        <v>21</v>
      </c>
      <c r="I8996" t="s">
        <v>17831</v>
      </c>
      <c r="J8996" t="str">
        <f>HYPERLINK("https://www.boe.es/gazeta/dias/1823/07/19/pdfs/GMD-1823-433.pdf#page=6","Abrir facsímil")</f>
        <v>Abrir facsímil</v>
      </c>
      <c r="K8996" t="s">
        <v>23</v>
      </c>
    </row>
    <row r="8997" spans="1:11" ht="42" customHeight="1">
      <c r="A8997" t="s">
        <v>17815</v>
      </c>
      <c r="B8997" t="s">
        <v>17815</v>
      </c>
      <c r="C8997" t="s">
        <v>17</v>
      </c>
      <c r="D8997" t="s">
        <v>18</v>
      </c>
      <c r="E8997" s="6">
        <v>-27885</v>
      </c>
      <c r="F8997" t="s">
        <v>6503</v>
      </c>
      <c r="G8997" t="s">
        <v>39</v>
      </c>
      <c r="H8997" t="s">
        <v>21</v>
      </c>
      <c r="I8997" t="s">
        <v>17832</v>
      </c>
      <c r="J8997" t="str">
        <f>HYPERLINK("https://www.boe.es/gazeta/dias/1823/08/26/pdfs/GES-1823-139.pdf#page=1","Abrir facsímil")</f>
        <v>Abrir facsímil</v>
      </c>
      <c r="K8997" t="s">
        <v>23</v>
      </c>
    </row>
    <row r="8998" spans="1:11" ht="42" customHeight="1">
      <c r="A8998" t="s">
        <v>17815</v>
      </c>
      <c r="B8998" t="s">
        <v>17815</v>
      </c>
      <c r="C8998" t="s">
        <v>17</v>
      </c>
      <c r="D8998" t="s">
        <v>18</v>
      </c>
      <c r="E8998" s="6">
        <v>-27878</v>
      </c>
      <c r="F8998" t="s">
        <v>1581</v>
      </c>
      <c r="G8998" t="s">
        <v>20</v>
      </c>
      <c r="H8998" t="s">
        <v>21</v>
      </c>
      <c r="I8998" t="s">
        <v>17833</v>
      </c>
      <c r="J8998" t="str">
        <f>HYPERLINK("https://www.boe.es/gazeta/dias/1823/09/02/pdfs/GMD-1823-683.pdf#page=4","Abrir facsímil")</f>
        <v>Abrir facsímil</v>
      </c>
      <c r="K8998" t="s">
        <v>23</v>
      </c>
    </row>
    <row r="8999" spans="1:11" ht="42" customHeight="1">
      <c r="A8999" t="s">
        <v>17815</v>
      </c>
      <c r="B8999" t="s">
        <v>17815</v>
      </c>
      <c r="C8999" t="s">
        <v>17</v>
      </c>
      <c r="D8999" t="s">
        <v>18</v>
      </c>
      <c r="E8999" s="6">
        <v>-27861</v>
      </c>
      <c r="F8999" t="s">
        <v>425</v>
      </c>
      <c r="G8999" t="s">
        <v>48</v>
      </c>
      <c r="H8999" t="s">
        <v>21</v>
      </c>
      <c r="I8999" t="s">
        <v>17834</v>
      </c>
      <c r="J8999" t="str">
        <f>HYPERLINK("https://www.boe.es/gazeta/dias/1823/09/19/pdfs/GES-1823-163.pdf#page=3","Abrir facsímil")</f>
        <v>Abrir facsímil</v>
      </c>
      <c r="K8999" t="s">
        <v>23</v>
      </c>
    </row>
    <row r="9000" spans="1:11" ht="42" customHeight="1">
      <c r="A9000" t="s">
        <v>17815</v>
      </c>
      <c r="B9000" t="s">
        <v>17815</v>
      </c>
      <c r="C9000" t="s">
        <v>17</v>
      </c>
      <c r="D9000" t="s">
        <v>18</v>
      </c>
      <c r="E9000" s="6">
        <v>-27857</v>
      </c>
      <c r="F9000" t="s">
        <v>378</v>
      </c>
      <c r="G9000" t="s">
        <v>20</v>
      </c>
      <c r="H9000" t="s">
        <v>21</v>
      </c>
      <c r="I9000" t="s">
        <v>17835</v>
      </c>
      <c r="J9000" t="str">
        <f>HYPERLINK("https://www.boe.es/gazeta/dias/1823/09/23/pdfs/GMD-1823-833.pdf#page=4","Abrir facsímil")</f>
        <v>Abrir facsímil</v>
      </c>
      <c r="K9000" t="s">
        <v>23</v>
      </c>
    </row>
    <row r="9001" spans="1:11" ht="42" customHeight="1">
      <c r="A9001" t="s">
        <v>17836</v>
      </c>
      <c r="B9001" t="s">
        <v>17837</v>
      </c>
      <c r="C9001" t="s">
        <v>17</v>
      </c>
      <c r="D9001" t="s">
        <v>18</v>
      </c>
      <c r="E9001" s="6">
        <v>-27766</v>
      </c>
      <c r="F9001" t="s">
        <v>3450</v>
      </c>
      <c r="G9001" t="s">
        <v>20</v>
      </c>
      <c r="H9001" t="s">
        <v>21</v>
      </c>
      <c r="I9001" t="s">
        <v>17838</v>
      </c>
      <c r="J9001" t="str">
        <f>HYPERLINK("https://www.boe.es/gazeta/dias/1823/12/23/pdfs/GMD-1823-1283.pdf#page=4","Abrir facsímil")</f>
        <v>Abrir facsímil</v>
      </c>
      <c r="K9001" t="s">
        <v>23</v>
      </c>
    </row>
    <row r="9002" spans="1:11" ht="42" customHeight="1">
      <c r="A9002" t="s">
        <v>17839</v>
      </c>
      <c r="B9002" t="s">
        <v>17840</v>
      </c>
      <c r="C9002" t="s">
        <v>17</v>
      </c>
      <c r="D9002" t="s">
        <v>18</v>
      </c>
      <c r="E9002" s="6">
        <v>-28116</v>
      </c>
      <c r="F9002" t="s">
        <v>134</v>
      </c>
      <c r="G9002" t="s">
        <v>20</v>
      </c>
      <c r="H9002" t="s">
        <v>21</v>
      </c>
      <c r="I9002" t="s">
        <v>17841</v>
      </c>
      <c r="J9002" t="str">
        <f>HYPERLINK("https://www.boe.es/gazeta/dias/1823/01/07/pdfs/GMD-1823-7.pdf#page=4","Abrir facsímil")</f>
        <v>Abrir facsímil</v>
      </c>
      <c r="K9002" t="s">
        <v>23</v>
      </c>
    </row>
    <row r="9003" spans="1:11" ht="42" customHeight="1">
      <c r="A9003" t="s">
        <v>17839</v>
      </c>
      <c r="B9003" t="s">
        <v>17840</v>
      </c>
      <c r="C9003" t="s">
        <v>17</v>
      </c>
      <c r="D9003" t="s">
        <v>18</v>
      </c>
      <c r="E9003" s="6">
        <v>-27923</v>
      </c>
      <c r="F9003" t="s">
        <v>1225</v>
      </c>
      <c r="G9003" t="s">
        <v>59</v>
      </c>
      <c r="H9003" t="s">
        <v>21</v>
      </c>
      <c r="I9003" t="s">
        <v>17842</v>
      </c>
      <c r="J9003" t="str">
        <f>HYPERLINK("https://www.boe.es/gazeta/dias/1823/07/19/pdfs/GMD-1823-433.pdf#page=6","Abrir facsímil")</f>
        <v>Abrir facsímil</v>
      </c>
      <c r="K9003" t="s">
        <v>23</v>
      </c>
    </row>
    <row r="9004" spans="1:11" ht="42" customHeight="1">
      <c r="A9004" t="s">
        <v>17839</v>
      </c>
      <c r="B9004" t="s">
        <v>17840</v>
      </c>
      <c r="C9004" t="s">
        <v>17</v>
      </c>
      <c r="D9004" t="s">
        <v>18</v>
      </c>
      <c r="E9004" s="6">
        <v>-27878</v>
      </c>
      <c r="F9004" t="s">
        <v>130</v>
      </c>
      <c r="G9004" t="s">
        <v>27</v>
      </c>
      <c r="H9004" t="s">
        <v>21</v>
      </c>
      <c r="I9004" t="s">
        <v>17843</v>
      </c>
      <c r="J9004" t="str">
        <f>HYPERLINK("https://www.boe.es/gazeta/dias/1823/09/02/pdfs/GES-1823-146.pdf#page=2","Abrir facsímil")</f>
        <v>Abrir facsímil</v>
      </c>
      <c r="K9004" t="s">
        <v>23</v>
      </c>
    </row>
    <row r="9005" spans="1:11" ht="42" customHeight="1">
      <c r="A9005" t="s">
        <v>17839</v>
      </c>
      <c r="B9005" t="s">
        <v>17840</v>
      </c>
      <c r="C9005" t="s">
        <v>73</v>
      </c>
      <c r="D9005" t="s">
        <v>74</v>
      </c>
      <c r="E9005" s="6">
        <v>-27871</v>
      </c>
      <c r="F9005" t="s">
        <v>1330</v>
      </c>
      <c r="G9005" t="s">
        <v>20</v>
      </c>
      <c r="H9005" t="s">
        <v>21</v>
      </c>
      <c r="I9005" t="s">
        <v>17844</v>
      </c>
      <c r="J9005" t="str">
        <f>HYPERLINK("https://www.boe.es/gazeta/dias/1823/09/09/pdfs/GMD-1823-733.pdf#page=4","Abrir facsímil")</f>
        <v>Abrir facsímil</v>
      </c>
      <c r="K9005" t="s">
        <v>23</v>
      </c>
    </row>
    <row r="9006" spans="1:11" ht="42" customHeight="1">
      <c r="A9006" t="s">
        <v>17839</v>
      </c>
      <c r="B9006" t="s">
        <v>17840</v>
      </c>
      <c r="C9006" t="s">
        <v>17</v>
      </c>
      <c r="D9006" t="s">
        <v>18</v>
      </c>
      <c r="E9006" s="6">
        <v>-27839</v>
      </c>
      <c r="F9006" t="s">
        <v>263</v>
      </c>
      <c r="G9006" t="s">
        <v>39</v>
      </c>
      <c r="H9006" t="s">
        <v>21</v>
      </c>
      <c r="I9006" t="s">
        <v>17845</v>
      </c>
      <c r="J9006" t="str">
        <f>HYPERLINK("https://www.boe.es/gazeta/dias/1823/10/11/pdfs/GMD-1823-963.pdf#page=1","Abrir facsímil")</f>
        <v>Abrir facsímil</v>
      </c>
      <c r="K9006" t="s">
        <v>23</v>
      </c>
    </row>
    <row r="9007" spans="1:11" ht="42" customHeight="1">
      <c r="A9007" t="s">
        <v>17839</v>
      </c>
      <c r="B9007" t="s">
        <v>17840</v>
      </c>
      <c r="C9007" t="s">
        <v>73</v>
      </c>
      <c r="D9007" t="s">
        <v>74</v>
      </c>
      <c r="E9007" s="6">
        <v>-27813</v>
      </c>
      <c r="F9007" t="s">
        <v>1600</v>
      </c>
      <c r="G9007" t="s">
        <v>48</v>
      </c>
      <c r="H9007" t="s">
        <v>21</v>
      </c>
      <c r="I9007" t="s">
        <v>17846</v>
      </c>
      <c r="J9007" t="str">
        <f>HYPERLINK("https://www.boe.es/gazeta/dias/1823/11/06/pdfs/GMD-1823-1073.pdf#page=3","Abrir facsímil")</f>
        <v>Abrir facsímil</v>
      </c>
      <c r="K9007" t="s">
        <v>23</v>
      </c>
    </row>
    <row r="9008" spans="1:11" ht="42" customHeight="1">
      <c r="A9008" t="s">
        <v>17839</v>
      </c>
      <c r="B9008" t="s">
        <v>17840</v>
      </c>
      <c r="C9008" t="s">
        <v>84</v>
      </c>
      <c r="D9008" t="s">
        <v>74</v>
      </c>
      <c r="E9008" s="6">
        <v>-27811</v>
      </c>
      <c r="F9008" t="s">
        <v>834</v>
      </c>
      <c r="G9008" t="s">
        <v>20</v>
      </c>
      <c r="H9008" t="s">
        <v>21</v>
      </c>
      <c r="I9008" t="s">
        <v>17847</v>
      </c>
      <c r="J9008" t="str">
        <f>HYPERLINK("https://www.boe.es/gazeta/dias/1823/11/08/pdfs/GMD-1823-1083.pdf#page=4","Abrir facsímil")</f>
        <v>Abrir facsímil</v>
      </c>
      <c r="K9008" t="s">
        <v>23</v>
      </c>
    </row>
    <row r="9009" spans="1:11" ht="42" customHeight="1">
      <c r="A9009" t="s">
        <v>17839</v>
      </c>
      <c r="B9009" t="s">
        <v>17840</v>
      </c>
      <c r="C9009" t="s">
        <v>79</v>
      </c>
      <c r="D9009" t="s">
        <v>74</v>
      </c>
      <c r="E9009" s="6">
        <v>-27762</v>
      </c>
      <c r="F9009" t="s">
        <v>1614</v>
      </c>
      <c r="G9009" t="s">
        <v>20</v>
      </c>
      <c r="H9009" t="s">
        <v>21</v>
      </c>
      <c r="I9009" t="s">
        <v>17848</v>
      </c>
      <c r="J9009" t="str">
        <f>HYPERLINK("https://www.boe.es/gazeta/dias/1823/12/27/pdfs/GMD-1823-1303.pdf#page=4","Abrir facsímil")</f>
        <v>Abrir facsímil</v>
      </c>
      <c r="K9009" t="s">
        <v>23</v>
      </c>
    </row>
    <row r="9010" spans="1:11" ht="42" customHeight="1">
      <c r="A9010" t="s">
        <v>17849</v>
      </c>
      <c r="B9010" t="s">
        <v>17850</v>
      </c>
      <c r="C9010" t="s">
        <v>79</v>
      </c>
      <c r="D9010" t="s">
        <v>74</v>
      </c>
      <c r="E9010" s="6">
        <v>-28028</v>
      </c>
      <c r="F9010" t="s">
        <v>893</v>
      </c>
      <c r="G9010" t="s">
        <v>27</v>
      </c>
      <c r="H9010" t="s">
        <v>21</v>
      </c>
      <c r="I9010" t="s">
        <v>17851</v>
      </c>
      <c r="J9010" t="str">
        <f>HYPERLINK("https://www.boe.es/gazeta/dias/1823/04/05/pdfs/GMD-1823-99.pdf#page=2","Abrir facsímil")</f>
        <v>Abrir facsímil</v>
      </c>
      <c r="K9010" t="s">
        <v>23</v>
      </c>
    </row>
    <row r="9011" spans="1:11" ht="42" customHeight="1">
      <c r="A9011" t="s">
        <v>17852</v>
      </c>
      <c r="B9011" t="s">
        <v>17853</v>
      </c>
      <c r="C9011" t="s">
        <v>17</v>
      </c>
      <c r="D9011" t="s">
        <v>18</v>
      </c>
      <c r="E9011" s="6">
        <v>-27877</v>
      </c>
      <c r="F9011" t="s">
        <v>844</v>
      </c>
      <c r="G9011" t="s">
        <v>20</v>
      </c>
      <c r="H9011" t="s">
        <v>21</v>
      </c>
      <c r="I9011" t="s">
        <v>17854</v>
      </c>
      <c r="J9011" t="str">
        <f>HYPERLINK("https://www.boe.es/gazeta/dias/1823/09/03/pdfs/GES-1823-147.pdf#page=4","Abrir facsímil")</f>
        <v>Abrir facsímil</v>
      </c>
      <c r="K9011" t="s">
        <v>23</v>
      </c>
    </row>
    <row r="9012" spans="1:11" ht="42" customHeight="1">
      <c r="A9012" t="s">
        <v>17855</v>
      </c>
      <c r="B9012" t="s">
        <v>17856</v>
      </c>
      <c r="C9012" t="s">
        <v>17</v>
      </c>
      <c r="D9012" t="s">
        <v>18</v>
      </c>
      <c r="E9012" s="6">
        <v>-27891</v>
      </c>
      <c r="F9012" t="s">
        <v>825</v>
      </c>
      <c r="G9012" t="s">
        <v>20</v>
      </c>
      <c r="H9012" t="s">
        <v>21</v>
      </c>
      <c r="I9012" t="s">
        <v>17857</v>
      </c>
      <c r="J9012" t="str">
        <f>HYPERLINK("https://www.boe.es/gazeta/dias/1823/08/20/pdfs/GES-1823-133.pdf#page=4","Abrir facsímil")</f>
        <v>Abrir facsímil</v>
      </c>
      <c r="K9012" t="s">
        <v>23</v>
      </c>
    </row>
    <row r="9013" spans="1:11" ht="42" customHeight="1">
      <c r="A9013" t="s">
        <v>17858</v>
      </c>
      <c r="B9013" t="s">
        <v>17858</v>
      </c>
      <c r="C9013" t="s">
        <v>17</v>
      </c>
      <c r="D9013" t="s">
        <v>18</v>
      </c>
      <c r="E9013" s="6">
        <v>-27949</v>
      </c>
      <c r="F9013" t="s">
        <v>1162</v>
      </c>
      <c r="G9013" t="s">
        <v>27</v>
      </c>
      <c r="H9013" t="s">
        <v>21</v>
      </c>
      <c r="I9013" t="s">
        <v>17859</v>
      </c>
      <c r="J9013" t="str">
        <f>HYPERLINK("https://www.boe.es/gazeta/dias/1823/06/23/pdfs/GES-1823-71.pdf#page=2","Abrir facsímil")</f>
        <v>Abrir facsímil</v>
      </c>
      <c r="K9013" t="s">
        <v>23</v>
      </c>
    </row>
    <row r="9014" spans="1:11" ht="42" customHeight="1">
      <c r="A9014" t="s">
        <v>17860</v>
      </c>
      <c r="B9014" t="s">
        <v>17861</v>
      </c>
      <c r="C9014" t="s">
        <v>109</v>
      </c>
      <c r="D9014" t="s">
        <v>74</v>
      </c>
      <c r="E9014" s="6">
        <v>-28089</v>
      </c>
      <c r="F9014" t="s">
        <v>1979</v>
      </c>
      <c r="G9014" t="s">
        <v>59</v>
      </c>
      <c r="H9014" t="s">
        <v>21</v>
      </c>
      <c r="I9014" t="s">
        <v>17862</v>
      </c>
      <c r="J9014" t="str">
        <f>HYPERLINK("https://www.boe.es/gazeta/dias/1823/02/03/pdfs/GMD-1823-36.pdf#page=6","Abrir facsímil")</f>
        <v>Abrir facsímil</v>
      </c>
      <c r="K9014" t="s">
        <v>23</v>
      </c>
    </row>
    <row r="9015" spans="1:11" ht="42" customHeight="1">
      <c r="A9015" t="s">
        <v>17863</v>
      </c>
      <c r="B9015" t="s">
        <v>17863</v>
      </c>
      <c r="C9015" t="s">
        <v>17</v>
      </c>
      <c r="D9015" t="s">
        <v>18</v>
      </c>
      <c r="E9015" s="6">
        <v>-27892</v>
      </c>
      <c r="F9015" t="s">
        <v>1571</v>
      </c>
      <c r="G9015" t="s">
        <v>48</v>
      </c>
      <c r="H9015" t="s">
        <v>21</v>
      </c>
      <c r="I9015" t="s">
        <v>17864</v>
      </c>
      <c r="J9015" t="str">
        <f>HYPERLINK("https://www.boe.es/gazeta/dias/1823/08/19/pdfs/GMD-1823-613.pdf#page=3","Abrir facsímil")</f>
        <v>Abrir facsímil</v>
      </c>
      <c r="K9015" t="s">
        <v>23</v>
      </c>
    </row>
    <row r="9016" spans="1:11" ht="42" customHeight="1">
      <c r="A9016" t="s">
        <v>17865</v>
      </c>
      <c r="B9016" t="s">
        <v>17865</v>
      </c>
      <c r="C9016" t="s">
        <v>17</v>
      </c>
      <c r="D9016" t="s">
        <v>18</v>
      </c>
      <c r="E9016" s="6">
        <v>-28071</v>
      </c>
      <c r="F9016" t="s">
        <v>587</v>
      </c>
      <c r="G9016" t="s">
        <v>48</v>
      </c>
      <c r="H9016" t="s">
        <v>21</v>
      </c>
      <c r="I9016" t="s">
        <v>17866</v>
      </c>
      <c r="J9016" t="str">
        <f>HYPERLINK("https://www.boe.es/gazeta/dias/1823/02/21/pdfs/GMD-1823-55.pdf#page=3","Abrir facsímil")</f>
        <v>Abrir facsímil</v>
      </c>
      <c r="K9016" t="s">
        <v>23</v>
      </c>
    </row>
    <row r="9017" spans="1:11" ht="42" customHeight="1">
      <c r="A9017" t="s">
        <v>17867</v>
      </c>
      <c r="B9017" t="s">
        <v>17868</v>
      </c>
      <c r="C9017" t="s">
        <v>17</v>
      </c>
      <c r="D9017" t="s">
        <v>18</v>
      </c>
      <c r="E9017" s="6">
        <v>-27905</v>
      </c>
      <c r="F9017" t="s">
        <v>236</v>
      </c>
      <c r="G9017" t="s">
        <v>237</v>
      </c>
      <c r="H9017" t="s">
        <v>21</v>
      </c>
      <c r="I9017" t="s">
        <v>17869</v>
      </c>
      <c r="J9017" t="str">
        <f>HYPERLINK("https://www.boe.es/gazeta/dias/1823/08/06/pdfs/GES-1823-119.pdf#page=4","Abrir facsímil")</f>
        <v>Abrir facsímil</v>
      </c>
      <c r="K9017" t="s">
        <v>23</v>
      </c>
    </row>
    <row r="9018" spans="1:11" ht="42" customHeight="1">
      <c r="A9018" t="s">
        <v>17870</v>
      </c>
      <c r="B9018" t="s">
        <v>17871</v>
      </c>
      <c r="C9018" t="s">
        <v>17</v>
      </c>
      <c r="D9018" t="s">
        <v>18</v>
      </c>
      <c r="E9018" s="6">
        <v>-28059</v>
      </c>
      <c r="F9018" t="s">
        <v>149</v>
      </c>
      <c r="G9018" t="s">
        <v>27</v>
      </c>
      <c r="H9018" t="s">
        <v>21</v>
      </c>
      <c r="I9018" t="s">
        <v>17872</v>
      </c>
      <c r="J9018" t="str">
        <f>HYPERLINK("https://www.boe.es/gazeta/dias/1823/03/05/pdfs/GMD-1823-68.pdf#page=2","Abrir facsímil")</f>
        <v>Abrir facsímil</v>
      </c>
      <c r="K9018" t="s">
        <v>23</v>
      </c>
    </row>
    <row r="9019" spans="1:11" ht="42" customHeight="1">
      <c r="A9019" t="s">
        <v>17870</v>
      </c>
      <c r="B9019" t="s">
        <v>17871</v>
      </c>
      <c r="C9019" t="s">
        <v>17</v>
      </c>
      <c r="D9019" t="s">
        <v>18</v>
      </c>
      <c r="E9019" s="6">
        <v>-28058</v>
      </c>
      <c r="F9019" t="s">
        <v>1282</v>
      </c>
      <c r="G9019" t="s">
        <v>48</v>
      </c>
      <c r="H9019" t="s">
        <v>21</v>
      </c>
      <c r="I9019" t="s">
        <v>17873</v>
      </c>
      <c r="J9019" t="str">
        <f>HYPERLINK("https://www.boe.es/gazeta/dias/1823/03/06/pdfs/GMD-1823-69.pdf#page=3","Abrir facsímil")</f>
        <v>Abrir facsímil</v>
      </c>
      <c r="K9019" t="s">
        <v>23</v>
      </c>
    </row>
    <row r="9020" spans="1:11" ht="42" customHeight="1">
      <c r="A9020" t="s">
        <v>17874</v>
      </c>
      <c r="B9020" t="s">
        <v>17875</v>
      </c>
      <c r="C9020" t="s">
        <v>79</v>
      </c>
      <c r="D9020" t="s">
        <v>74</v>
      </c>
      <c r="E9020" s="6">
        <v>-28053</v>
      </c>
      <c r="F9020" t="s">
        <v>303</v>
      </c>
      <c r="G9020" t="s">
        <v>48</v>
      </c>
      <c r="H9020" t="s">
        <v>21</v>
      </c>
      <c r="I9020" t="s">
        <v>17876</v>
      </c>
      <c r="J9020" t="str">
        <f>HYPERLINK("https://www.boe.es/gazeta/dias/1823/03/11/pdfs/GMD-1823-74.pdf#page=3","Abrir facsímil")</f>
        <v>Abrir facsímil</v>
      </c>
      <c r="K9020" t="s">
        <v>23</v>
      </c>
    </row>
    <row r="9021" spans="1:11" ht="42" customHeight="1">
      <c r="A9021" t="s">
        <v>17874</v>
      </c>
      <c r="B9021" t="s">
        <v>17875</v>
      </c>
      <c r="C9021" t="s">
        <v>56</v>
      </c>
      <c r="D9021" t="s">
        <v>57</v>
      </c>
      <c r="E9021" s="6">
        <v>-28001</v>
      </c>
      <c r="F9021" t="s">
        <v>768</v>
      </c>
      <c r="G9021" t="s">
        <v>27</v>
      </c>
      <c r="H9021" t="s">
        <v>21</v>
      </c>
      <c r="I9021" t="s">
        <v>17877</v>
      </c>
      <c r="J9021" t="str">
        <f>HYPERLINK("https://www.boe.es/gazeta/dias/1823/05/02/pdfs/GES-1823-22.pdf#page=2","Abrir facsímil")</f>
        <v>Abrir facsímil</v>
      </c>
      <c r="K9021" t="s">
        <v>23</v>
      </c>
    </row>
    <row r="9022" spans="1:11" ht="42" customHeight="1">
      <c r="A9022" t="s">
        <v>17878</v>
      </c>
      <c r="B9022" t="s">
        <v>17879</v>
      </c>
      <c r="C9022" t="s">
        <v>17</v>
      </c>
      <c r="D9022" t="s">
        <v>18</v>
      </c>
      <c r="E9022" s="6">
        <v>-28084</v>
      </c>
      <c r="F9022" t="s">
        <v>1049</v>
      </c>
      <c r="G9022" t="s">
        <v>3129</v>
      </c>
      <c r="H9022" t="s">
        <v>21</v>
      </c>
      <c r="I9022" t="s">
        <v>17880</v>
      </c>
      <c r="J9022" t="str">
        <f>HYPERLINK("https://www.boe.es/gazeta/dias/1823/02/08/pdfs/GMD-1823-41.pdf#page=2","Abrir facsímil")</f>
        <v>Abrir facsímil</v>
      </c>
      <c r="K9022" t="s">
        <v>23</v>
      </c>
    </row>
    <row r="9023" spans="1:11" ht="42" customHeight="1">
      <c r="A9023" t="s">
        <v>17881</v>
      </c>
      <c r="B9023" t="s">
        <v>17882</v>
      </c>
      <c r="C9023" t="s">
        <v>17</v>
      </c>
      <c r="D9023" t="s">
        <v>18</v>
      </c>
      <c r="E9023" s="6">
        <v>-27901</v>
      </c>
      <c r="F9023" t="s">
        <v>840</v>
      </c>
      <c r="G9023" t="s">
        <v>20</v>
      </c>
      <c r="H9023" t="s">
        <v>21</v>
      </c>
      <c r="I9023" t="s">
        <v>17883</v>
      </c>
      <c r="J9023" t="str">
        <f>HYPERLINK("https://www.boe.es/gazeta/dias/1823/08/10/pdfs/GES-1823-123.pdf#page=4","Abrir facsímil")</f>
        <v>Abrir facsímil</v>
      </c>
      <c r="K9023" t="s">
        <v>23</v>
      </c>
    </row>
    <row r="9024" spans="1:11" ht="42" customHeight="1">
      <c r="A9024" t="s">
        <v>17881</v>
      </c>
      <c r="B9024" t="s">
        <v>17882</v>
      </c>
      <c r="C9024" t="s">
        <v>109</v>
      </c>
      <c r="D9024" t="s">
        <v>74</v>
      </c>
      <c r="E9024" s="6">
        <v>-27879</v>
      </c>
      <c r="F9024" t="s">
        <v>638</v>
      </c>
      <c r="G9024" t="s">
        <v>20</v>
      </c>
      <c r="H9024" t="s">
        <v>21</v>
      </c>
      <c r="I9024" t="s">
        <v>17884</v>
      </c>
      <c r="J9024" t="str">
        <f>HYPERLINK("https://www.boe.es/gazeta/dias/1823/09/01/pdfs/GES-1823-145.pdf#page=4","Abrir facsímil")</f>
        <v>Abrir facsímil</v>
      </c>
      <c r="K9024" t="s">
        <v>23</v>
      </c>
    </row>
    <row r="9025" spans="1:11" ht="42" customHeight="1">
      <c r="A9025" t="s">
        <v>17885</v>
      </c>
      <c r="B9025" t="s">
        <v>17886</v>
      </c>
      <c r="C9025" t="s">
        <v>79</v>
      </c>
      <c r="D9025" t="s">
        <v>74</v>
      </c>
      <c r="E9025" s="6">
        <v>-28056</v>
      </c>
      <c r="F9025" t="s">
        <v>572</v>
      </c>
      <c r="G9025" t="s">
        <v>59</v>
      </c>
      <c r="H9025" t="s">
        <v>21</v>
      </c>
      <c r="I9025" t="s">
        <v>17887</v>
      </c>
      <c r="J9025" t="str">
        <f>HYPERLINK("https://www.boe.es/gazeta/dias/1823/03/08/pdfs/GMD-1823-71.pdf#page=6","Abrir facsímil")</f>
        <v>Abrir facsímil</v>
      </c>
      <c r="K9025" t="s">
        <v>23</v>
      </c>
    </row>
    <row r="9026" spans="1:11" ht="42" customHeight="1">
      <c r="A9026" t="s">
        <v>17888</v>
      </c>
      <c r="B9026" t="s">
        <v>17889</v>
      </c>
      <c r="C9026" t="s">
        <v>17</v>
      </c>
      <c r="D9026" t="s">
        <v>18</v>
      </c>
      <c r="E9026" s="6">
        <v>-27901</v>
      </c>
      <c r="F9026" t="s">
        <v>840</v>
      </c>
      <c r="G9026" t="s">
        <v>20</v>
      </c>
      <c r="H9026" t="s">
        <v>21</v>
      </c>
      <c r="I9026" t="s">
        <v>17890</v>
      </c>
      <c r="J9026" t="str">
        <f>HYPERLINK("https://www.boe.es/gazeta/dias/1823/08/10/pdfs/GES-1823-123.pdf#page=4","Abrir facsímil")</f>
        <v>Abrir facsímil</v>
      </c>
      <c r="K9026" t="s">
        <v>23</v>
      </c>
    </row>
    <row r="9027" spans="1:11" ht="42" customHeight="1">
      <c r="A9027" t="s">
        <v>17891</v>
      </c>
      <c r="B9027" t="s">
        <v>17892</v>
      </c>
      <c r="C9027" t="s">
        <v>73</v>
      </c>
      <c r="D9027" t="s">
        <v>74</v>
      </c>
      <c r="E9027" s="6">
        <v>-28069</v>
      </c>
      <c r="F9027" t="s">
        <v>2006</v>
      </c>
      <c r="G9027" t="s">
        <v>20</v>
      </c>
      <c r="H9027" t="s">
        <v>21</v>
      </c>
      <c r="I9027" t="s">
        <v>17893</v>
      </c>
      <c r="J9027" t="str">
        <f>HYPERLINK("https://www.boe.es/gazeta/dias/1823/02/23/pdfs/GMD-1823-57.pdf#page=4","Abrir facsímil")</f>
        <v>Abrir facsímil</v>
      </c>
      <c r="K9027" t="s">
        <v>23</v>
      </c>
    </row>
    <row r="9028" spans="1:11" ht="42" customHeight="1">
      <c r="A9028" t="s">
        <v>17891</v>
      </c>
      <c r="B9028" t="s">
        <v>17892</v>
      </c>
      <c r="C9028" t="s">
        <v>17</v>
      </c>
      <c r="D9028" t="s">
        <v>18</v>
      </c>
      <c r="E9028" s="6">
        <v>-28037</v>
      </c>
      <c r="F9028" t="s">
        <v>192</v>
      </c>
      <c r="G9028" t="s">
        <v>48</v>
      </c>
      <c r="H9028" t="s">
        <v>21</v>
      </c>
      <c r="I9028" t="s">
        <v>17894</v>
      </c>
      <c r="J9028" t="str">
        <f>HYPERLINK("https://www.boe.es/gazeta/dias/1823/03/27/pdfs/GMD-1823-90.pdf#page=3","Abrir facsímil")</f>
        <v>Abrir facsímil</v>
      </c>
      <c r="K9028" t="s">
        <v>23</v>
      </c>
    </row>
    <row r="9029" spans="1:11" ht="42" customHeight="1">
      <c r="A9029" t="s">
        <v>17895</v>
      </c>
      <c r="B9029" t="s">
        <v>17896</v>
      </c>
      <c r="C9029" t="s">
        <v>17</v>
      </c>
      <c r="D9029" t="s">
        <v>18</v>
      </c>
      <c r="E9029" s="6">
        <v>-28082</v>
      </c>
      <c r="F9029" t="s">
        <v>468</v>
      </c>
      <c r="G9029" t="s">
        <v>34</v>
      </c>
      <c r="H9029" t="s">
        <v>21</v>
      </c>
      <c r="I9029" t="s">
        <v>17897</v>
      </c>
      <c r="J9029" t="str">
        <f>HYPERLINK("https://www.boe.es/gazeta/dias/1823/02/10/pdfs/GMD-1823-44.pdf#page=5","Abrir facsímil")</f>
        <v>Abrir facsímil</v>
      </c>
      <c r="K9029" t="s">
        <v>23</v>
      </c>
    </row>
    <row r="9030" spans="1:11" ht="42" customHeight="1">
      <c r="A9030" t="s">
        <v>17898</v>
      </c>
      <c r="B9030" t="s">
        <v>17899</v>
      </c>
      <c r="C9030" t="s">
        <v>56</v>
      </c>
      <c r="D9030" t="s">
        <v>57</v>
      </c>
      <c r="E9030" s="6">
        <v>-27865</v>
      </c>
      <c r="F9030" t="s">
        <v>9815</v>
      </c>
      <c r="G9030" t="s">
        <v>20</v>
      </c>
      <c r="H9030" t="s">
        <v>21</v>
      </c>
      <c r="I9030" t="s">
        <v>17900</v>
      </c>
      <c r="J9030" t="str">
        <f>HYPERLINK("https://www.boe.es/gazeta/dias/1823/09/15/pdfs/GES-1823-159.pdf#page=4","Abrir facsímil")</f>
        <v>Abrir facsímil</v>
      </c>
      <c r="K9030" t="s">
        <v>23</v>
      </c>
    </row>
    <row r="9031" spans="1:11" ht="42" customHeight="1">
      <c r="A9031" t="s">
        <v>17901</v>
      </c>
      <c r="B9031" t="s">
        <v>17902</v>
      </c>
      <c r="C9031" t="s">
        <v>79</v>
      </c>
      <c r="D9031" t="s">
        <v>74</v>
      </c>
      <c r="E9031" s="6">
        <v>-27822</v>
      </c>
      <c r="F9031" t="s">
        <v>992</v>
      </c>
      <c r="G9031" t="s">
        <v>48</v>
      </c>
      <c r="H9031" t="s">
        <v>21</v>
      </c>
      <c r="I9031" t="s">
        <v>17903</v>
      </c>
      <c r="J9031" t="str">
        <f>HYPERLINK("https://www.boe.es/gazeta/dias/1823/10/28/pdfs/GMD-1823-1033.pdf#page=3","Abrir facsímil")</f>
        <v>Abrir facsímil</v>
      </c>
      <c r="K9031" t="s">
        <v>23</v>
      </c>
    </row>
    <row r="9032" spans="1:11" ht="42" customHeight="1">
      <c r="A9032" t="s">
        <v>17904</v>
      </c>
      <c r="B9032" t="s">
        <v>17905</v>
      </c>
      <c r="C9032" t="s">
        <v>17</v>
      </c>
      <c r="D9032" t="s">
        <v>18</v>
      </c>
      <c r="E9032" s="6">
        <v>-27863</v>
      </c>
      <c r="F9032" t="s">
        <v>651</v>
      </c>
      <c r="G9032" t="s">
        <v>27</v>
      </c>
      <c r="H9032" t="s">
        <v>21</v>
      </c>
      <c r="I9032" t="s">
        <v>17906</v>
      </c>
      <c r="J9032" t="str">
        <f>HYPERLINK("https://www.boe.es/gazeta/dias/1823/09/17/pdfs/GES-1823-161.pdf#page=2","Abrir facsímil")</f>
        <v>Abrir facsímil</v>
      </c>
      <c r="K9032" t="s">
        <v>23</v>
      </c>
    </row>
    <row r="9033" spans="1:11" ht="42" customHeight="1">
      <c r="A9033" t="s">
        <v>17907</v>
      </c>
      <c r="B9033" t="s">
        <v>17908</v>
      </c>
      <c r="C9033" t="s">
        <v>17</v>
      </c>
      <c r="D9033" t="s">
        <v>18</v>
      </c>
      <c r="E9033" s="6">
        <v>-27988</v>
      </c>
      <c r="F9033" t="s">
        <v>692</v>
      </c>
      <c r="G9033" t="s">
        <v>27</v>
      </c>
      <c r="H9033" t="s">
        <v>21</v>
      </c>
      <c r="I9033" t="s">
        <v>17909</v>
      </c>
      <c r="J9033" t="str">
        <f>HYPERLINK("https://www.boe.es/gazeta/dias/1823/05/15/pdfs/GES-1823-35.pdf#page=2","Abrir facsímil")</f>
        <v>Abrir facsímil</v>
      </c>
      <c r="K9033" t="s">
        <v>23</v>
      </c>
    </row>
    <row r="9034" spans="1:11" ht="42" customHeight="1">
      <c r="A9034" t="s">
        <v>17910</v>
      </c>
      <c r="B9034" t="s">
        <v>17911</v>
      </c>
      <c r="C9034" t="s">
        <v>56</v>
      </c>
      <c r="D9034" t="s">
        <v>57</v>
      </c>
      <c r="E9034" s="6">
        <v>-28078</v>
      </c>
      <c r="F9034" t="s">
        <v>508</v>
      </c>
      <c r="G9034" t="s">
        <v>59</v>
      </c>
      <c r="H9034" t="s">
        <v>21</v>
      </c>
      <c r="I9034" t="s">
        <v>17912</v>
      </c>
      <c r="J9034" t="str">
        <f>HYPERLINK("https://www.boe.es/gazeta/dias/1823/02/14/pdfs/GMD-1823-48.pdf#page=6","Abrir facsímil")</f>
        <v>Abrir facsímil</v>
      </c>
      <c r="K9034" t="s">
        <v>23</v>
      </c>
    </row>
    <row r="9035" spans="1:11" ht="42" customHeight="1">
      <c r="A9035" t="s">
        <v>17913</v>
      </c>
      <c r="B9035" t="s">
        <v>17914</v>
      </c>
      <c r="C9035" t="s">
        <v>17</v>
      </c>
      <c r="D9035" t="s">
        <v>18</v>
      </c>
      <c r="E9035" s="6">
        <v>-28061</v>
      </c>
      <c r="F9035" t="s">
        <v>704</v>
      </c>
      <c r="G9035" t="s">
        <v>59</v>
      </c>
      <c r="H9035" t="s">
        <v>21</v>
      </c>
      <c r="I9035" t="s">
        <v>17915</v>
      </c>
      <c r="J9035" t="str">
        <f>HYPERLINK("https://www.boe.es/gazeta/dias/1823/03/03/pdfs/GMD-1823-66.pdf#page=6","Abrir facsímil")</f>
        <v>Abrir facsímil</v>
      </c>
      <c r="K9035" t="s">
        <v>23</v>
      </c>
    </row>
    <row r="9036" spans="1:11" ht="42" customHeight="1">
      <c r="A9036" t="s">
        <v>17916</v>
      </c>
      <c r="B9036" t="s">
        <v>17916</v>
      </c>
      <c r="C9036" t="s">
        <v>79</v>
      </c>
      <c r="D9036" t="s">
        <v>74</v>
      </c>
      <c r="E9036" s="6">
        <v>-28056</v>
      </c>
      <c r="F9036" t="s">
        <v>572</v>
      </c>
      <c r="G9036" t="s">
        <v>48</v>
      </c>
      <c r="H9036" t="s">
        <v>21</v>
      </c>
      <c r="I9036" t="s">
        <v>17917</v>
      </c>
      <c r="J9036" t="str">
        <f>HYPERLINK("https://www.boe.es/gazeta/dias/1823/03/08/pdfs/GMD-1823-71.pdf#page=3","Abrir facsímil")</f>
        <v>Abrir facsímil</v>
      </c>
      <c r="K9036" t="s">
        <v>23</v>
      </c>
    </row>
    <row r="9037" spans="1:11" ht="42" customHeight="1">
      <c r="A9037" t="s">
        <v>17916</v>
      </c>
      <c r="B9037" t="s">
        <v>17916</v>
      </c>
      <c r="C9037" t="s">
        <v>56</v>
      </c>
      <c r="D9037" t="s">
        <v>57</v>
      </c>
      <c r="E9037" s="6">
        <v>-27986</v>
      </c>
      <c r="F9037" t="s">
        <v>75</v>
      </c>
      <c r="G9037" t="s">
        <v>48</v>
      </c>
      <c r="H9037" t="s">
        <v>21</v>
      </c>
      <c r="I9037" t="s">
        <v>17918</v>
      </c>
      <c r="J9037" t="str">
        <f>HYPERLINK("https://www.boe.es/gazeta/dias/1823/05/17/pdfs/GES-1823-37.pdf#page=3","Abrir facsímil")</f>
        <v>Abrir facsímil</v>
      </c>
      <c r="K9037" t="s">
        <v>23</v>
      </c>
    </row>
    <row r="9038" spans="1:11" ht="42" customHeight="1">
      <c r="A9038" t="s">
        <v>17916</v>
      </c>
      <c r="B9038" t="s">
        <v>17916</v>
      </c>
      <c r="C9038" t="s">
        <v>109</v>
      </c>
      <c r="D9038" t="s">
        <v>74</v>
      </c>
      <c r="E9038" s="6">
        <v>-27938</v>
      </c>
      <c r="F9038" t="s">
        <v>101</v>
      </c>
      <c r="G9038" t="s">
        <v>27</v>
      </c>
      <c r="H9038" t="s">
        <v>21</v>
      </c>
      <c r="I9038" t="s">
        <v>17919</v>
      </c>
      <c r="J9038" t="str">
        <f>HYPERLINK("https://www.boe.es/gazeta/dias/1823/07/04/pdfs/GES-1823-84.pdf#page=2","Abrir facsímil")</f>
        <v>Abrir facsímil</v>
      </c>
      <c r="K9038" t="s">
        <v>23</v>
      </c>
    </row>
    <row r="9039" spans="1:11" ht="42" customHeight="1">
      <c r="A9039" t="s">
        <v>17916</v>
      </c>
      <c r="B9039" t="s">
        <v>17916</v>
      </c>
      <c r="C9039" t="s">
        <v>17</v>
      </c>
      <c r="D9039" t="s">
        <v>18</v>
      </c>
      <c r="E9039" s="6">
        <v>-27872</v>
      </c>
      <c r="F9039" t="s">
        <v>374</v>
      </c>
      <c r="G9039" t="s">
        <v>48</v>
      </c>
      <c r="H9039" t="s">
        <v>21</v>
      </c>
      <c r="I9039" t="s">
        <v>17920</v>
      </c>
      <c r="J9039" t="str">
        <f>HYPERLINK("https://www.boe.es/gazeta/dias/1823/09/08/pdfs/GES-1823-152.pdf#page=3","Abrir facsímil")</f>
        <v>Abrir facsímil</v>
      </c>
      <c r="K9039" t="s">
        <v>23</v>
      </c>
    </row>
    <row r="9040" spans="1:11" ht="42" customHeight="1">
      <c r="A9040" t="s">
        <v>17921</v>
      </c>
      <c r="B9040" t="s">
        <v>17922</v>
      </c>
      <c r="C9040" t="s">
        <v>17</v>
      </c>
      <c r="D9040" t="s">
        <v>18</v>
      </c>
      <c r="E9040" s="6">
        <v>-28034</v>
      </c>
      <c r="F9040" t="s">
        <v>6937</v>
      </c>
      <c r="G9040" t="s">
        <v>27</v>
      </c>
      <c r="H9040" t="s">
        <v>21</v>
      </c>
      <c r="I9040" t="s">
        <v>17923</v>
      </c>
      <c r="J9040" t="str">
        <f>HYPERLINK("https://www.boe.es/gazeta/dias/1823/03/30/pdfs/GMD-1823-93.pdf#page=2","Abrir facsímil")</f>
        <v>Abrir facsímil</v>
      </c>
      <c r="K9040" t="s">
        <v>23</v>
      </c>
    </row>
    <row r="9041" spans="1:11" ht="42" customHeight="1">
      <c r="A9041" t="s">
        <v>17924</v>
      </c>
      <c r="B9041" t="s">
        <v>17925</v>
      </c>
      <c r="C9041" t="s">
        <v>79</v>
      </c>
      <c r="D9041" t="s">
        <v>74</v>
      </c>
      <c r="E9041" s="6">
        <v>-27888</v>
      </c>
      <c r="F9041" t="s">
        <v>232</v>
      </c>
      <c r="G9041" t="s">
        <v>59</v>
      </c>
      <c r="H9041" t="s">
        <v>21</v>
      </c>
      <c r="I9041" t="s">
        <v>17926</v>
      </c>
      <c r="J9041" t="str">
        <f>HYPERLINK("https://www.boe.es/gazeta/dias/1823/08/23/pdfs/GMD-1823-633.pdf#page=6","Abrir facsímil")</f>
        <v>Abrir facsímil</v>
      </c>
      <c r="K9041" t="s">
        <v>23</v>
      </c>
    </row>
    <row r="9042" spans="1:11" ht="42" customHeight="1">
      <c r="A9042" t="s">
        <v>17927</v>
      </c>
      <c r="B9042" t="s">
        <v>17928</v>
      </c>
      <c r="C9042" t="s">
        <v>79</v>
      </c>
      <c r="D9042" t="s">
        <v>74</v>
      </c>
      <c r="E9042" s="6">
        <v>-28030</v>
      </c>
      <c r="F9042" t="s">
        <v>145</v>
      </c>
      <c r="G9042" t="s">
        <v>39</v>
      </c>
      <c r="H9042" t="s">
        <v>21</v>
      </c>
      <c r="I9042" t="s">
        <v>17929</v>
      </c>
      <c r="J9042" t="str">
        <f>HYPERLINK("https://www.boe.es/gazeta/dias/1823/04/03/pdfs/GMD-1823-97.pdf#page=1","Abrir facsímil")</f>
        <v>Abrir facsímil</v>
      </c>
      <c r="K9042" t="s">
        <v>23</v>
      </c>
    </row>
    <row r="9043" spans="1:11" ht="42" customHeight="1">
      <c r="A9043" t="s">
        <v>17927</v>
      </c>
      <c r="B9043" t="s">
        <v>17928</v>
      </c>
      <c r="C9043" t="s">
        <v>17</v>
      </c>
      <c r="D9043" t="s">
        <v>18</v>
      </c>
      <c r="E9043" s="6">
        <v>-28027</v>
      </c>
      <c r="F9043" t="s">
        <v>4234</v>
      </c>
      <c r="G9043" t="s">
        <v>27</v>
      </c>
      <c r="H9043" t="s">
        <v>21</v>
      </c>
      <c r="I9043" t="s">
        <v>17930</v>
      </c>
      <c r="J9043" t="str">
        <f>HYPERLINK("https://www.boe.es/gazeta/dias/1823/04/06/pdfs/GMD-1823-101.pdf#page=2","Abrir facsímil")</f>
        <v>Abrir facsímil</v>
      </c>
      <c r="K9043" t="s">
        <v>23</v>
      </c>
    </row>
    <row r="9044" spans="1:11" ht="42" customHeight="1">
      <c r="A9044" t="s">
        <v>17931</v>
      </c>
      <c r="B9044" t="s">
        <v>17932</v>
      </c>
      <c r="C9044" t="s">
        <v>17</v>
      </c>
      <c r="D9044" t="s">
        <v>18</v>
      </c>
      <c r="E9044" s="6">
        <v>-28063</v>
      </c>
      <c r="F9044" t="s">
        <v>2493</v>
      </c>
      <c r="G9044" t="s">
        <v>20</v>
      </c>
      <c r="H9044" t="s">
        <v>21</v>
      </c>
      <c r="I9044" t="s">
        <v>17933</v>
      </c>
      <c r="J9044" t="str">
        <f>HYPERLINK("https://www.boe.es/gazeta/dias/1823/03/01/pdfs/GMD-1823-63.pdf#page=4","Abrir facsímil")</f>
        <v>Abrir facsímil</v>
      </c>
      <c r="K9044" t="s">
        <v>23</v>
      </c>
    </row>
    <row r="9045" spans="1:11" ht="42" customHeight="1">
      <c r="A9045" t="s">
        <v>17934</v>
      </c>
      <c r="B9045" t="s">
        <v>17935</v>
      </c>
      <c r="C9045" t="s">
        <v>79</v>
      </c>
      <c r="D9045" t="s">
        <v>74</v>
      </c>
      <c r="E9045" s="6">
        <v>-28061</v>
      </c>
      <c r="F9045" t="s">
        <v>704</v>
      </c>
      <c r="G9045" t="s">
        <v>59</v>
      </c>
      <c r="H9045" t="s">
        <v>21</v>
      </c>
      <c r="I9045" t="s">
        <v>17936</v>
      </c>
      <c r="J9045" t="str">
        <f>HYPERLINK("https://www.boe.es/gazeta/dias/1823/03/03/pdfs/GMD-1823-66.pdf#page=6","Abrir facsímil")</f>
        <v>Abrir facsímil</v>
      </c>
      <c r="K9045" t="s">
        <v>23</v>
      </c>
    </row>
    <row r="9046" spans="1:11" ht="42" customHeight="1">
      <c r="A9046" t="s">
        <v>17937</v>
      </c>
      <c r="B9046" t="s">
        <v>17938</v>
      </c>
      <c r="C9046" t="s">
        <v>17</v>
      </c>
      <c r="D9046" t="s">
        <v>18</v>
      </c>
      <c r="E9046" s="6">
        <v>-27759</v>
      </c>
      <c r="F9046" t="s">
        <v>415</v>
      </c>
      <c r="G9046" t="s">
        <v>48</v>
      </c>
      <c r="H9046" t="s">
        <v>28</v>
      </c>
      <c r="I9046" t="s">
        <v>17939</v>
      </c>
      <c r="J9046" t="str">
        <f>HYPERLINK("https://www.boe.es/gazeta/dias/1823/12/30/pdfs/GMD-1823-1313.pdf#page=3","Abrir facsímil")</f>
        <v>Abrir facsímil</v>
      </c>
      <c r="K9046" t="s">
        <v>30</v>
      </c>
    </row>
    <row r="9047" spans="1:11" ht="42" customHeight="1">
      <c r="A9047" t="s">
        <v>17940</v>
      </c>
      <c r="B9047" t="s">
        <v>17941</v>
      </c>
      <c r="C9047" t="s">
        <v>109</v>
      </c>
      <c r="D9047" t="s">
        <v>74</v>
      </c>
      <c r="E9047" s="6">
        <v>-27965</v>
      </c>
      <c r="F9047" t="s">
        <v>208</v>
      </c>
      <c r="G9047" t="s">
        <v>48</v>
      </c>
      <c r="H9047" t="s">
        <v>21</v>
      </c>
      <c r="I9047" t="s">
        <v>17942</v>
      </c>
      <c r="J9047" t="str">
        <f>HYPERLINK("https://www.boe.es/gazeta/dias/1823/06/07/pdfs/GES-1823-61.pdf#page=3","Abrir facsímil")</f>
        <v>Abrir facsímil</v>
      </c>
      <c r="K9047" t="s">
        <v>23</v>
      </c>
    </row>
    <row r="9048" spans="1:11" ht="42" customHeight="1">
      <c r="A9048" t="s">
        <v>17943</v>
      </c>
      <c r="B9048" t="s">
        <v>17944</v>
      </c>
      <c r="C9048" t="s">
        <v>17</v>
      </c>
      <c r="D9048" t="s">
        <v>18</v>
      </c>
      <c r="E9048" s="6">
        <v>-28097</v>
      </c>
      <c r="F9048" t="s">
        <v>1368</v>
      </c>
      <c r="G9048" t="s">
        <v>48</v>
      </c>
      <c r="H9048" t="s">
        <v>21</v>
      </c>
      <c r="I9048" t="s">
        <v>17945</v>
      </c>
      <c r="J9048" t="str">
        <f>HYPERLINK("https://www.boe.es/gazeta/dias/1823/01/26/pdfs/GMD-1823-27.pdf#page=3","Abrir facsímil")</f>
        <v>Abrir facsímil</v>
      </c>
      <c r="K9048" t="s">
        <v>23</v>
      </c>
    </row>
    <row r="9049" spans="1:11" ht="42" customHeight="1">
      <c r="A9049" t="s">
        <v>17946</v>
      </c>
      <c r="B9049" t="s">
        <v>17947</v>
      </c>
      <c r="C9049" t="s">
        <v>17</v>
      </c>
      <c r="D9049" t="s">
        <v>18</v>
      </c>
      <c r="E9049" s="6">
        <v>-28074</v>
      </c>
      <c r="F9049" t="s">
        <v>212</v>
      </c>
      <c r="G9049" t="s">
        <v>59</v>
      </c>
      <c r="H9049" t="s">
        <v>21</v>
      </c>
      <c r="I9049" t="s">
        <v>17948</v>
      </c>
      <c r="J9049" t="str">
        <f>HYPERLINK("https://www.boe.es/gazeta/dias/1823/02/18/pdfs/GMD-1823-52.pdf#page=6","Abrir facsímil")</f>
        <v>Abrir facsímil</v>
      </c>
      <c r="K9049" t="s">
        <v>23</v>
      </c>
    </row>
    <row r="9050" spans="1:11" ht="42" customHeight="1">
      <c r="A9050" t="s">
        <v>17949</v>
      </c>
      <c r="B9050" t="s">
        <v>17950</v>
      </c>
      <c r="C9050" t="s">
        <v>17</v>
      </c>
      <c r="D9050" t="s">
        <v>18</v>
      </c>
      <c r="E9050" s="6">
        <v>-28045</v>
      </c>
      <c r="F9050" t="s">
        <v>245</v>
      </c>
      <c r="G9050" t="s">
        <v>27</v>
      </c>
      <c r="H9050" t="s">
        <v>21</v>
      </c>
      <c r="I9050" t="s">
        <v>17951</v>
      </c>
      <c r="J9050" t="str">
        <f>HYPERLINK("https://www.boe.es/gazeta/dias/1823/03/19/pdfs/GMD-1823-82.pdf#page=2","Abrir facsímil")</f>
        <v>Abrir facsímil</v>
      </c>
      <c r="K9050" t="s">
        <v>23</v>
      </c>
    </row>
    <row r="9051" spans="1:11" ht="42" customHeight="1">
      <c r="A9051" t="s">
        <v>17952</v>
      </c>
      <c r="B9051" t="s">
        <v>17953</v>
      </c>
      <c r="C9051" t="s">
        <v>17</v>
      </c>
      <c r="D9051" t="s">
        <v>18</v>
      </c>
      <c r="E9051" s="6">
        <v>-28058</v>
      </c>
      <c r="F9051" t="s">
        <v>1282</v>
      </c>
      <c r="G9051" t="s">
        <v>34</v>
      </c>
      <c r="H9051" t="s">
        <v>21</v>
      </c>
      <c r="I9051" t="s">
        <v>17954</v>
      </c>
      <c r="J9051" t="str">
        <f>HYPERLINK("https://www.boe.es/gazeta/dias/1823/03/06/pdfs/GMD-1823-69.pdf#page=5","Abrir facsímil")</f>
        <v>Abrir facsímil</v>
      </c>
      <c r="K9051" t="s">
        <v>23</v>
      </c>
    </row>
    <row r="9052" spans="1:11" ht="42" customHeight="1">
      <c r="A9052" t="s">
        <v>17955</v>
      </c>
      <c r="B9052" t="s">
        <v>17956</v>
      </c>
      <c r="C9052" t="s">
        <v>79</v>
      </c>
      <c r="D9052" t="s">
        <v>74</v>
      </c>
      <c r="E9052" s="6">
        <v>-27968</v>
      </c>
      <c r="F9052" t="s">
        <v>1160</v>
      </c>
      <c r="G9052" t="s">
        <v>715</v>
      </c>
      <c r="H9052" t="s">
        <v>21</v>
      </c>
      <c r="I9052" t="s">
        <v>17957</v>
      </c>
      <c r="J9052" t="str">
        <f>HYPERLINK("https://www.boe.es/gazeta/dias/1823/06/04/pdfs/GES-1823-58.pdf#page=8","Abrir facsímil")</f>
        <v>Abrir facsímil</v>
      </c>
      <c r="K9052" t="s">
        <v>23</v>
      </c>
    </row>
    <row r="9053" spans="1:11" ht="42" customHeight="1">
      <c r="A9053" t="s">
        <v>17958</v>
      </c>
      <c r="B9053" t="s">
        <v>17959</v>
      </c>
      <c r="C9053" t="s">
        <v>79</v>
      </c>
      <c r="D9053" t="s">
        <v>74</v>
      </c>
      <c r="E9053" s="6">
        <v>-27864</v>
      </c>
      <c r="F9053" t="s">
        <v>395</v>
      </c>
      <c r="G9053" t="s">
        <v>39</v>
      </c>
      <c r="H9053" t="s">
        <v>21</v>
      </c>
      <c r="I9053" t="s">
        <v>17960</v>
      </c>
      <c r="J9053" t="str">
        <f>HYPERLINK("https://www.boe.es/gazeta/dias/1823/09/16/pdfs/GMD-1823-783.pdf#page=1","Abrir facsímil")</f>
        <v>Abrir facsímil</v>
      </c>
      <c r="K9053" t="s">
        <v>23</v>
      </c>
    </row>
    <row r="9054" spans="1:11" ht="42" customHeight="1">
      <c r="A9054" t="s">
        <v>17961</v>
      </c>
      <c r="B9054" t="s">
        <v>17962</v>
      </c>
      <c r="C9054" t="s">
        <v>17</v>
      </c>
      <c r="D9054" t="s">
        <v>18</v>
      </c>
      <c r="E9054" s="6">
        <v>-27986</v>
      </c>
      <c r="F9054" t="s">
        <v>75</v>
      </c>
      <c r="G9054" t="s">
        <v>27</v>
      </c>
      <c r="H9054" t="s">
        <v>21</v>
      </c>
      <c r="I9054" t="s">
        <v>17963</v>
      </c>
      <c r="J9054" t="str">
        <f>HYPERLINK("https://www.boe.es/gazeta/dias/1823/05/17/pdfs/GES-1823-37.pdf#page=2","Abrir facsímil")</f>
        <v>Abrir facsímil</v>
      </c>
      <c r="K9054" t="s">
        <v>23</v>
      </c>
    </row>
    <row r="9055" spans="1:11" ht="42" customHeight="1">
      <c r="A9055" t="s">
        <v>17964</v>
      </c>
      <c r="B9055" t="s">
        <v>17965</v>
      </c>
      <c r="C9055" t="s">
        <v>17</v>
      </c>
      <c r="D9055" t="s">
        <v>18</v>
      </c>
      <c r="E9055" s="6">
        <v>-27882</v>
      </c>
      <c r="F9055" t="s">
        <v>5179</v>
      </c>
      <c r="G9055" t="s">
        <v>20</v>
      </c>
      <c r="H9055" t="s">
        <v>21</v>
      </c>
      <c r="I9055" t="s">
        <v>17966</v>
      </c>
      <c r="J9055" t="str">
        <f>HYPERLINK("https://www.boe.es/gazeta/dias/1823/08/29/pdfs/GES-1823-142.pdf#page=4","Abrir facsímil")</f>
        <v>Abrir facsímil</v>
      </c>
      <c r="K9055" t="s">
        <v>23</v>
      </c>
    </row>
    <row r="9056" spans="1:11" ht="42" customHeight="1">
      <c r="A9056" t="s">
        <v>17967</v>
      </c>
      <c r="B9056" t="s">
        <v>17967</v>
      </c>
      <c r="C9056" t="s">
        <v>79</v>
      </c>
      <c r="D9056" t="s">
        <v>74</v>
      </c>
      <c r="E9056" s="6">
        <v>-27985</v>
      </c>
      <c r="F9056" t="s">
        <v>951</v>
      </c>
      <c r="G9056" t="s">
        <v>1140</v>
      </c>
      <c r="H9056" t="s">
        <v>21</v>
      </c>
      <c r="I9056" t="s">
        <v>17968</v>
      </c>
      <c r="J9056" t="str">
        <f>HYPERLINK("https://www.boe.es/gazeta/dias/1823/05/18/pdfs/GES-1823-38.pdf#page=5","Abrir facsímil")</f>
        <v>Abrir facsímil</v>
      </c>
      <c r="K9056" t="s">
        <v>23</v>
      </c>
    </row>
    <row r="9057" spans="1:11" ht="42" customHeight="1">
      <c r="A9057" t="s">
        <v>17969</v>
      </c>
      <c r="B9057" t="s">
        <v>17969</v>
      </c>
      <c r="C9057" t="s">
        <v>17</v>
      </c>
      <c r="D9057" t="s">
        <v>18</v>
      </c>
      <c r="E9057" s="6">
        <v>-27877</v>
      </c>
      <c r="F9057" t="s">
        <v>844</v>
      </c>
      <c r="G9057" t="s">
        <v>27</v>
      </c>
      <c r="H9057" t="s">
        <v>21</v>
      </c>
      <c r="I9057" t="s">
        <v>17970</v>
      </c>
      <c r="J9057" t="str">
        <f>HYPERLINK("https://www.boe.es/gazeta/dias/1823/09/03/pdfs/GES-1823-147.pdf#page=2","Abrir facsímil")</f>
        <v>Abrir facsímil</v>
      </c>
      <c r="K9057" t="s">
        <v>23</v>
      </c>
    </row>
    <row r="9058" spans="1:11" ht="42" customHeight="1">
      <c r="A9058" t="s">
        <v>17971</v>
      </c>
      <c r="B9058" t="s">
        <v>17972</v>
      </c>
      <c r="C9058" t="s">
        <v>79</v>
      </c>
      <c r="D9058" t="s">
        <v>74</v>
      </c>
      <c r="E9058" s="6">
        <v>-27906</v>
      </c>
      <c r="F9058" t="s">
        <v>1527</v>
      </c>
      <c r="G9058" t="s">
        <v>59</v>
      </c>
      <c r="H9058" t="s">
        <v>21</v>
      </c>
      <c r="I9058" t="s">
        <v>17973</v>
      </c>
      <c r="J9058" t="str">
        <f>HYPERLINK("https://www.boe.es/gazeta/dias/1823/08/05/pdfs/GMD-1823-533.pdf#page=6","Abrir facsímil")</f>
        <v>Abrir facsímil</v>
      </c>
      <c r="K9058" t="s">
        <v>23</v>
      </c>
    </row>
    <row r="9059" spans="1:11" ht="42" customHeight="1">
      <c r="A9059" t="s">
        <v>17974</v>
      </c>
      <c r="B9059" t="s">
        <v>17975</v>
      </c>
      <c r="C9059" t="s">
        <v>17</v>
      </c>
      <c r="D9059" t="s">
        <v>18</v>
      </c>
      <c r="E9059" s="6">
        <v>-28076</v>
      </c>
      <c r="F9059" t="s">
        <v>1638</v>
      </c>
      <c r="G9059" t="s">
        <v>34</v>
      </c>
      <c r="H9059" t="s">
        <v>28</v>
      </c>
      <c r="I9059" t="s">
        <v>17976</v>
      </c>
      <c r="J9059" t="str">
        <f>HYPERLINK("https://www.boe.es/gazeta/dias/1823/02/16/pdfs/GMD-1823-50.pdf#page=5","Abrir facsímil")</f>
        <v>Abrir facsímil</v>
      </c>
      <c r="K9059" t="s">
        <v>30</v>
      </c>
    </row>
    <row r="9060" spans="1:11" ht="42" customHeight="1">
      <c r="A9060" t="s">
        <v>17977</v>
      </c>
      <c r="B9060" t="s">
        <v>17977</v>
      </c>
      <c r="C9060" t="s">
        <v>17</v>
      </c>
      <c r="D9060" t="s">
        <v>18</v>
      </c>
      <c r="E9060" s="6">
        <v>-28018</v>
      </c>
      <c r="F9060" t="s">
        <v>275</v>
      </c>
      <c r="G9060" t="s">
        <v>39</v>
      </c>
      <c r="H9060" t="s">
        <v>21</v>
      </c>
      <c r="I9060" t="s">
        <v>17978</v>
      </c>
      <c r="J9060" t="str">
        <f>HYPERLINK("https://www.boe.es/gazeta/dias/1823/04/15/pdfs/GMD-1823-12.pdf#page=1","Abrir facsímil")</f>
        <v>Abrir facsímil</v>
      </c>
      <c r="K9060" t="s">
        <v>23</v>
      </c>
    </row>
    <row r="9061" spans="1:11" ht="42" customHeight="1">
      <c r="A9061" t="s">
        <v>17979</v>
      </c>
      <c r="B9061" t="s">
        <v>17980</v>
      </c>
      <c r="C9061" t="s">
        <v>17</v>
      </c>
      <c r="D9061" t="s">
        <v>18</v>
      </c>
      <c r="E9061" s="6">
        <v>-28082</v>
      </c>
      <c r="F9061" t="s">
        <v>468</v>
      </c>
      <c r="G9061" t="s">
        <v>34</v>
      </c>
      <c r="H9061" t="s">
        <v>21</v>
      </c>
      <c r="I9061" t="s">
        <v>17981</v>
      </c>
      <c r="J9061" t="str">
        <f>HYPERLINK("https://www.boe.es/gazeta/dias/1823/02/10/pdfs/GMD-1823-44.pdf#page=5","Abrir facsímil")</f>
        <v>Abrir facsímil</v>
      </c>
      <c r="K9061" t="s">
        <v>23</v>
      </c>
    </row>
    <row r="9062" spans="1:11" ht="42" customHeight="1">
      <c r="A9062" t="s">
        <v>17982</v>
      </c>
      <c r="B9062" t="s">
        <v>17983</v>
      </c>
      <c r="C9062" t="s">
        <v>17</v>
      </c>
      <c r="D9062" t="s">
        <v>18</v>
      </c>
      <c r="E9062" s="6">
        <v>-27879</v>
      </c>
      <c r="F9062" t="s">
        <v>638</v>
      </c>
      <c r="G9062" t="s">
        <v>39</v>
      </c>
      <c r="H9062" t="s">
        <v>21</v>
      </c>
      <c r="I9062" t="s">
        <v>17984</v>
      </c>
      <c r="J9062" t="str">
        <f>HYPERLINK("https://www.boe.es/gazeta/dias/1823/09/01/pdfs/GES-1823-145.pdf#page=1","Abrir facsímil")</f>
        <v>Abrir facsímil</v>
      </c>
      <c r="K9062" t="s">
        <v>23</v>
      </c>
    </row>
    <row r="9063" spans="1:11" ht="42" customHeight="1">
      <c r="A9063" t="s">
        <v>17985</v>
      </c>
      <c r="B9063" t="s">
        <v>17986</v>
      </c>
      <c r="C9063" t="s">
        <v>73</v>
      </c>
      <c r="D9063" t="s">
        <v>74</v>
      </c>
      <c r="E9063" s="6">
        <v>-28111</v>
      </c>
      <c r="F9063" t="s">
        <v>275</v>
      </c>
      <c r="G9063" t="s">
        <v>7417</v>
      </c>
      <c r="H9063" t="s">
        <v>21</v>
      </c>
      <c r="I9063" t="s">
        <v>17987</v>
      </c>
      <c r="J9063" t="str">
        <f>HYPERLINK("https://www.boe.es/gazeta/dias/1823/01/12/pdfs/GMD-1823-12.pdf#page=8","Abrir facsímil")</f>
        <v>Abrir facsímil</v>
      </c>
      <c r="K9063" t="s">
        <v>23</v>
      </c>
    </row>
    <row r="9064" spans="1:11" ht="42" customHeight="1">
      <c r="A9064" t="s">
        <v>17988</v>
      </c>
      <c r="B9064" t="s">
        <v>17988</v>
      </c>
      <c r="C9064" t="s">
        <v>109</v>
      </c>
      <c r="D9064" t="s">
        <v>74</v>
      </c>
      <c r="E9064" s="6">
        <v>-28081</v>
      </c>
      <c r="F9064" t="s">
        <v>170</v>
      </c>
      <c r="G9064" t="s">
        <v>39</v>
      </c>
      <c r="H9064" t="s">
        <v>21</v>
      </c>
      <c r="I9064" t="s">
        <v>17989</v>
      </c>
      <c r="J9064" t="str">
        <f>HYPERLINK("https://www.boe.es/gazeta/dias/1823/02/11/pdfs/GMD-1823-45.pdf#page=1","Abrir facsímil")</f>
        <v>Abrir facsímil</v>
      </c>
      <c r="K9064" t="s">
        <v>23</v>
      </c>
    </row>
    <row r="9065" spans="1:11" ht="42" customHeight="1">
      <c r="A9065" t="s">
        <v>17990</v>
      </c>
      <c r="B9065" t="s">
        <v>17991</v>
      </c>
      <c r="C9065" t="s">
        <v>79</v>
      </c>
      <c r="D9065" t="s">
        <v>74</v>
      </c>
      <c r="E9065" s="6">
        <v>-27968</v>
      </c>
      <c r="F9065" t="s">
        <v>1160</v>
      </c>
      <c r="G9065" t="s">
        <v>715</v>
      </c>
      <c r="H9065" t="s">
        <v>21</v>
      </c>
      <c r="I9065" t="s">
        <v>17992</v>
      </c>
      <c r="J9065" t="str">
        <f>HYPERLINK("https://www.boe.es/gazeta/dias/1823/06/04/pdfs/GES-1823-58.pdf#page=8","Abrir facsímil")</f>
        <v>Abrir facsímil</v>
      </c>
      <c r="K9065" t="s">
        <v>23</v>
      </c>
    </row>
    <row r="9066" spans="1:11" ht="42" customHeight="1">
      <c r="A9066" t="s">
        <v>17993</v>
      </c>
      <c r="B9066" t="s">
        <v>17994</v>
      </c>
      <c r="C9066" t="s">
        <v>84</v>
      </c>
      <c r="D9066" t="s">
        <v>74</v>
      </c>
      <c r="E9066" s="6">
        <v>-27907</v>
      </c>
      <c r="F9066" t="s">
        <v>370</v>
      </c>
      <c r="G9066" t="s">
        <v>20</v>
      </c>
      <c r="H9066" t="s">
        <v>21</v>
      </c>
      <c r="I9066" t="s">
        <v>17995</v>
      </c>
      <c r="J9066" t="str">
        <f>HYPERLINK("https://www.boe.es/gazeta/dias/1823/08/04/pdfs/GES-1823-116.pdf#page=4","Abrir facsímil")</f>
        <v>Abrir facsímil</v>
      </c>
      <c r="K9066" t="s">
        <v>23</v>
      </c>
    </row>
    <row r="9067" spans="1:11" ht="42" customHeight="1">
      <c r="A9067" t="s">
        <v>17996</v>
      </c>
      <c r="B9067" t="s">
        <v>17997</v>
      </c>
      <c r="C9067" t="s">
        <v>1477</v>
      </c>
      <c r="D9067" t="s">
        <v>57</v>
      </c>
      <c r="E9067" s="6">
        <v>-28037</v>
      </c>
      <c r="F9067" t="s">
        <v>192</v>
      </c>
      <c r="G9067" t="s">
        <v>48</v>
      </c>
      <c r="H9067" t="s">
        <v>28</v>
      </c>
      <c r="I9067" t="s">
        <v>17998</v>
      </c>
      <c r="J9067" t="str">
        <f>HYPERLINK("https://www.boe.es/gazeta/dias/1823/03/27/pdfs/GMD-1823-90.pdf#page=3","Abrir facsímil")</f>
        <v>Abrir facsímil</v>
      </c>
      <c r="K9067" t="s">
        <v>30</v>
      </c>
    </row>
    <row r="9068" spans="1:11" ht="42" customHeight="1">
      <c r="A9068" t="s">
        <v>17999</v>
      </c>
      <c r="B9068" t="s">
        <v>18000</v>
      </c>
      <c r="C9068" t="s">
        <v>79</v>
      </c>
      <c r="D9068" t="s">
        <v>74</v>
      </c>
      <c r="E9068" s="6">
        <v>-28011</v>
      </c>
      <c r="F9068" t="s">
        <v>2416</v>
      </c>
      <c r="G9068" t="s">
        <v>1966</v>
      </c>
      <c r="H9068" t="s">
        <v>28</v>
      </c>
      <c r="I9068" t="s">
        <v>18001</v>
      </c>
      <c r="J9068" t="str">
        <f>HYPERLINK("https://www.boe.es/gazeta/dias/1823/04/22/pdfs/GMD-1823-42.pdf#page=4","Abrir facsímil")</f>
        <v>Abrir facsímil</v>
      </c>
      <c r="K9068" t="s">
        <v>30</v>
      </c>
    </row>
    <row r="9069" spans="1:11" ht="42" customHeight="1">
      <c r="A9069" t="s">
        <v>18002</v>
      </c>
      <c r="B9069" t="s">
        <v>18003</v>
      </c>
      <c r="C9069" t="s">
        <v>17</v>
      </c>
      <c r="D9069" t="s">
        <v>18</v>
      </c>
      <c r="E9069" s="6">
        <v>-27984</v>
      </c>
      <c r="F9069" t="s">
        <v>335</v>
      </c>
      <c r="G9069" t="s">
        <v>27</v>
      </c>
      <c r="H9069" t="s">
        <v>21</v>
      </c>
      <c r="I9069" t="s">
        <v>18004</v>
      </c>
      <c r="J9069" t="str">
        <f>HYPERLINK("https://www.boe.es/gazeta/dias/1823/05/19/pdfs/GES-1823-39.pdf#page=2","Abrir facsímil")</f>
        <v>Abrir facsímil</v>
      </c>
      <c r="K9069" t="s">
        <v>23</v>
      </c>
    </row>
    <row r="9070" spans="1:11" ht="42" customHeight="1">
      <c r="A9070" t="s">
        <v>18005</v>
      </c>
      <c r="B9070" t="s">
        <v>18005</v>
      </c>
      <c r="C9070" t="s">
        <v>17</v>
      </c>
      <c r="D9070" t="s">
        <v>18</v>
      </c>
      <c r="E9070" s="6">
        <v>-27918</v>
      </c>
      <c r="F9070" t="s">
        <v>218</v>
      </c>
      <c r="G9070" t="s">
        <v>20</v>
      </c>
      <c r="H9070" t="s">
        <v>21</v>
      </c>
      <c r="I9070" t="s">
        <v>18006</v>
      </c>
      <c r="J9070" t="str">
        <f>HYPERLINK("https://www.boe.es/gazeta/dias/1823/07/24/pdfs/GMD-1823-463.pdf#page=4","Abrir facsímil")</f>
        <v>Abrir facsímil</v>
      </c>
      <c r="K9070" t="s">
        <v>23</v>
      </c>
    </row>
    <row r="9071" spans="1:11" ht="42" customHeight="1">
      <c r="A9071" t="s">
        <v>18007</v>
      </c>
      <c r="B9071" t="s">
        <v>18008</v>
      </c>
      <c r="C9071" t="s">
        <v>17</v>
      </c>
      <c r="D9071" t="s">
        <v>18</v>
      </c>
      <c r="E9071" s="6">
        <v>-28106</v>
      </c>
      <c r="F9071" t="s">
        <v>280</v>
      </c>
      <c r="G9071" t="s">
        <v>20</v>
      </c>
      <c r="H9071" t="s">
        <v>21</v>
      </c>
      <c r="I9071" t="s">
        <v>18009</v>
      </c>
      <c r="J9071" t="str">
        <f>HYPERLINK("https://www.boe.es/gazeta/dias/1823/01/17/pdfs/GMD-1823-17.pdf#page=4","Abrir facsímil")</f>
        <v>Abrir facsímil</v>
      </c>
      <c r="K9071" t="s">
        <v>23</v>
      </c>
    </row>
    <row r="9072" spans="1:11" ht="42" customHeight="1">
      <c r="A9072" t="s">
        <v>18010</v>
      </c>
      <c r="B9072" t="s">
        <v>18010</v>
      </c>
      <c r="C9072" t="s">
        <v>17</v>
      </c>
      <c r="D9072" t="s">
        <v>18</v>
      </c>
      <c r="E9072" s="6">
        <v>-28079</v>
      </c>
      <c r="F9072" t="s">
        <v>178</v>
      </c>
      <c r="G9072" t="s">
        <v>48</v>
      </c>
      <c r="H9072" t="s">
        <v>21</v>
      </c>
      <c r="I9072" t="s">
        <v>18011</v>
      </c>
      <c r="J9072" t="str">
        <f>HYPERLINK("https://www.boe.es/gazeta/dias/1823/02/13/pdfs/GMD-1823-47.pdf#page=3","Abrir facsímil")</f>
        <v>Abrir facsímil</v>
      </c>
      <c r="K9072" t="s">
        <v>23</v>
      </c>
    </row>
    <row r="9073" spans="1:11" ht="42" customHeight="1">
      <c r="A9073" t="s">
        <v>18012</v>
      </c>
      <c r="B9073" t="s">
        <v>18013</v>
      </c>
      <c r="C9073" t="s">
        <v>17</v>
      </c>
      <c r="D9073" t="s">
        <v>18</v>
      </c>
      <c r="E9073" s="6">
        <v>-27825</v>
      </c>
      <c r="F9073" t="s">
        <v>2503</v>
      </c>
      <c r="G9073" t="s">
        <v>20</v>
      </c>
      <c r="H9073" t="s">
        <v>21</v>
      </c>
      <c r="I9073" t="s">
        <v>18014</v>
      </c>
      <c r="J9073" t="str">
        <f>HYPERLINK("https://www.boe.es/gazeta/dias/1823/10/25/pdfs/GMD-1823-1023.pdf#page=4","Abrir facsímil")</f>
        <v>Abrir facsímil</v>
      </c>
      <c r="K9073" t="s">
        <v>23</v>
      </c>
    </row>
    <row r="9074" spans="1:11" ht="42" customHeight="1">
      <c r="A9074" t="s">
        <v>18015</v>
      </c>
      <c r="B9074" t="s">
        <v>18016</v>
      </c>
      <c r="C9074" t="s">
        <v>17</v>
      </c>
      <c r="D9074" t="s">
        <v>18</v>
      </c>
      <c r="E9074" s="6">
        <v>-27878</v>
      </c>
      <c r="F9074" t="s">
        <v>130</v>
      </c>
      <c r="G9074" t="s">
        <v>48</v>
      </c>
      <c r="H9074" t="s">
        <v>21</v>
      </c>
      <c r="I9074" t="s">
        <v>18017</v>
      </c>
      <c r="J9074" t="str">
        <f>HYPERLINK("https://www.boe.es/gazeta/dias/1823/09/02/pdfs/GES-1823-146.pdf#page=3","Abrir facsímil")</f>
        <v>Abrir facsímil</v>
      </c>
      <c r="K9074" t="s">
        <v>23</v>
      </c>
    </row>
    <row r="9075" spans="1:11" ht="42" customHeight="1">
      <c r="A9075" t="s">
        <v>18018</v>
      </c>
      <c r="B9075" t="s">
        <v>18019</v>
      </c>
      <c r="C9075" t="s">
        <v>79</v>
      </c>
      <c r="D9075" t="s">
        <v>74</v>
      </c>
      <c r="E9075" s="6">
        <v>-28075</v>
      </c>
      <c r="F9075" t="s">
        <v>2327</v>
      </c>
      <c r="G9075" t="s">
        <v>39</v>
      </c>
      <c r="H9075" t="s">
        <v>21</v>
      </c>
      <c r="I9075" t="s">
        <v>18020</v>
      </c>
      <c r="J9075" t="str">
        <f>HYPERLINK("https://www.boe.es/gazeta/dias/1823/02/17/pdfs/GMD-1823-51.pdf#page=1","Abrir facsímil")</f>
        <v>Abrir facsímil</v>
      </c>
      <c r="K9075" t="s">
        <v>23</v>
      </c>
    </row>
    <row r="9076" spans="1:11" ht="42" customHeight="1">
      <c r="A9076" t="s">
        <v>18018</v>
      </c>
      <c r="B9076" t="s">
        <v>18019</v>
      </c>
      <c r="C9076" t="s">
        <v>17</v>
      </c>
      <c r="D9076" t="s">
        <v>18</v>
      </c>
      <c r="E9076" s="6">
        <v>-27994</v>
      </c>
      <c r="F9076" t="s">
        <v>714</v>
      </c>
      <c r="G9076" t="s">
        <v>276</v>
      </c>
      <c r="H9076" t="s">
        <v>21</v>
      </c>
      <c r="I9076" t="s">
        <v>18021</v>
      </c>
      <c r="J9076" t="str">
        <f>HYPERLINK("https://www.boe.es/gazeta/dias/1823/05/09/pdfs/GES-1823-29.pdf#page=7","Abrir facsímil")</f>
        <v>Abrir facsímil</v>
      </c>
      <c r="K9076" t="s">
        <v>23</v>
      </c>
    </row>
    <row r="9077" spans="1:11" ht="42" customHeight="1">
      <c r="A9077" t="s">
        <v>18018</v>
      </c>
      <c r="B9077" t="s">
        <v>18019</v>
      </c>
      <c r="C9077" t="s">
        <v>17</v>
      </c>
      <c r="D9077" t="s">
        <v>18</v>
      </c>
      <c r="E9077" s="6">
        <v>-27988</v>
      </c>
      <c r="F9077" t="s">
        <v>2022</v>
      </c>
      <c r="G9077" t="s">
        <v>48</v>
      </c>
      <c r="H9077" t="s">
        <v>21</v>
      </c>
      <c r="I9077" t="s">
        <v>18022</v>
      </c>
      <c r="J9077" t="str">
        <f>HYPERLINK("https://www.boe.es/gazeta/dias/1823/05/15/pdfs/GMD-1823-142.pdf#page=3","Abrir facsímil")</f>
        <v>Abrir facsímil</v>
      </c>
      <c r="K9077" t="s">
        <v>23</v>
      </c>
    </row>
    <row r="9078" spans="1:11" ht="42" customHeight="1">
      <c r="A9078" t="s">
        <v>18023</v>
      </c>
      <c r="B9078" t="s">
        <v>18024</v>
      </c>
      <c r="C9078" t="s">
        <v>84</v>
      </c>
      <c r="D9078" t="s">
        <v>74</v>
      </c>
      <c r="E9078" s="6">
        <v>-27920</v>
      </c>
      <c r="F9078" t="s">
        <v>1334</v>
      </c>
      <c r="G9078" t="s">
        <v>715</v>
      </c>
      <c r="H9078" t="s">
        <v>21</v>
      </c>
      <c r="I9078" t="s">
        <v>18025</v>
      </c>
      <c r="J9078" t="str">
        <f>HYPERLINK("https://www.boe.es/gazeta/dias/1823/07/22/pdfs/GMD-1823-443.pdf#page=8","Abrir facsímil")</f>
        <v>Abrir facsímil</v>
      </c>
      <c r="K9078" t="s">
        <v>23</v>
      </c>
    </row>
    <row r="9079" spans="1:11" ht="42" customHeight="1">
      <c r="A9079" t="s">
        <v>18026</v>
      </c>
      <c r="B9079" t="s">
        <v>18027</v>
      </c>
      <c r="C9079" t="s">
        <v>79</v>
      </c>
      <c r="D9079" t="s">
        <v>74</v>
      </c>
      <c r="E9079" s="6">
        <v>-28021</v>
      </c>
      <c r="F9079" t="s">
        <v>1054</v>
      </c>
      <c r="G9079" t="s">
        <v>1055</v>
      </c>
      <c r="H9079" t="s">
        <v>21</v>
      </c>
      <c r="I9079" t="s">
        <v>18028</v>
      </c>
      <c r="J9079" t="str">
        <f>HYPERLINK("https://www.boe.es/gazeta/dias/1823/04/12/pdfs/GMD-1823-107.pdf#page=4","Abrir facsímil")</f>
        <v>Abrir facsímil</v>
      </c>
      <c r="K9079" t="s">
        <v>23</v>
      </c>
    </row>
    <row r="9080" spans="1:11" ht="42" customHeight="1">
      <c r="A9080" t="s">
        <v>18029</v>
      </c>
      <c r="B9080" t="s">
        <v>18029</v>
      </c>
      <c r="C9080" t="s">
        <v>109</v>
      </c>
      <c r="D9080" t="s">
        <v>74</v>
      </c>
      <c r="E9080" s="6">
        <v>-27940</v>
      </c>
      <c r="F9080" t="s">
        <v>348</v>
      </c>
      <c r="G9080" t="s">
        <v>39</v>
      </c>
      <c r="H9080" t="s">
        <v>21</v>
      </c>
      <c r="I9080" t="s">
        <v>18030</v>
      </c>
      <c r="J9080" t="str">
        <f>HYPERLINK("https://www.boe.es/gazeta/dias/1823/07/02/pdfs/GES-1823-82.pdf#page=1","Abrir facsímil")</f>
        <v>Abrir facsímil</v>
      </c>
      <c r="K9080" t="s">
        <v>23</v>
      </c>
    </row>
    <row r="9081" spans="1:11" ht="42" customHeight="1">
      <c r="A9081" t="s">
        <v>18029</v>
      </c>
      <c r="B9081" t="s">
        <v>18029</v>
      </c>
      <c r="C9081" t="s">
        <v>17</v>
      </c>
      <c r="D9081" t="s">
        <v>18</v>
      </c>
      <c r="E9081" s="6">
        <v>-27937</v>
      </c>
      <c r="F9081" t="s">
        <v>730</v>
      </c>
      <c r="G9081" t="s">
        <v>20</v>
      </c>
      <c r="H9081" t="s">
        <v>21</v>
      </c>
      <c r="I9081" t="s">
        <v>18031</v>
      </c>
      <c r="J9081" t="str">
        <f>HYPERLINK("https://www.boe.es/gazeta/dias/1823/07/05/pdfs/GES-1823-85.pdf#page=4","Abrir facsímil")</f>
        <v>Abrir facsímil</v>
      </c>
      <c r="K9081" t="s">
        <v>23</v>
      </c>
    </row>
    <row r="9082" spans="1:11" ht="42" customHeight="1">
      <c r="A9082" t="s">
        <v>18032</v>
      </c>
      <c r="B9082" t="s">
        <v>18032</v>
      </c>
      <c r="C9082" t="s">
        <v>17</v>
      </c>
      <c r="D9082" t="s">
        <v>18</v>
      </c>
      <c r="E9082" s="6">
        <v>-27917</v>
      </c>
      <c r="F9082" t="s">
        <v>363</v>
      </c>
      <c r="G9082" t="s">
        <v>48</v>
      </c>
      <c r="H9082" t="s">
        <v>21</v>
      </c>
      <c r="I9082" t="s">
        <v>18033</v>
      </c>
      <c r="J9082" t="str">
        <f>HYPERLINK("https://www.boe.es/gazeta/dias/1823/07/25/pdfs/GES-1823-106.pdf#page=3","Abrir facsímil")</f>
        <v>Abrir facsímil</v>
      </c>
      <c r="K9082" t="s">
        <v>23</v>
      </c>
    </row>
    <row r="9083" spans="1:11" ht="42" customHeight="1">
      <c r="A9083" t="s">
        <v>18034</v>
      </c>
      <c r="B9083" t="s">
        <v>18035</v>
      </c>
      <c r="C9083" t="s">
        <v>293</v>
      </c>
      <c r="D9083" t="s">
        <v>74</v>
      </c>
      <c r="E9083" s="6">
        <v>-28056</v>
      </c>
      <c r="F9083" t="s">
        <v>572</v>
      </c>
      <c r="G9083" t="s">
        <v>59</v>
      </c>
      <c r="H9083" t="s">
        <v>21</v>
      </c>
      <c r="I9083" t="s">
        <v>18036</v>
      </c>
      <c r="J9083" t="str">
        <f>HYPERLINK("https://www.boe.es/gazeta/dias/1823/03/08/pdfs/GMD-1823-71.pdf#page=6","Abrir facsímil")</f>
        <v>Abrir facsímil</v>
      </c>
      <c r="K9083" t="s">
        <v>23</v>
      </c>
    </row>
    <row r="9084" spans="1:11" ht="42" customHeight="1">
      <c r="A9084" t="s">
        <v>18034</v>
      </c>
      <c r="B9084" t="s">
        <v>18035</v>
      </c>
      <c r="C9084" t="s">
        <v>17</v>
      </c>
      <c r="D9084" t="s">
        <v>18</v>
      </c>
      <c r="E9084" s="6">
        <v>-28002</v>
      </c>
      <c r="F9084" t="s">
        <v>245</v>
      </c>
      <c r="G9084" t="s">
        <v>39</v>
      </c>
      <c r="H9084" t="s">
        <v>21</v>
      </c>
      <c r="I9084" t="s">
        <v>18037</v>
      </c>
      <c r="J9084" t="str">
        <f>HYPERLINK("https://www.boe.es/gazeta/dias/1823/05/01/pdfs/GMD-1823-82.pdf#page=1","Abrir facsímil")</f>
        <v>Abrir facsímil</v>
      </c>
      <c r="K9084" t="s">
        <v>23</v>
      </c>
    </row>
    <row r="9085" spans="1:11" ht="42" customHeight="1">
      <c r="A9085" t="s">
        <v>18034</v>
      </c>
      <c r="B9085" t="s">
        <v>18035</v>
      </c>
      <c r="C9085" t="s">
        <v>17</v>
      </c>
      <c r="D9085" t="s">
        <v>18</v>
      </c>
      <c r="E9085" s="6">
        <v>-28002</v>
      </c>
      <c r="F9085" t="s">
        <v>245</v>
      </c>
      <c r="G9085" t="s">
        <v>27</v>
      </c>
      <c r="H9085" t="s">
        <v>21</v>
      </c>
      <c r="I9085" t="s">
        <v>18038</v>
      </c>
      <c r="J9085" t="str">
        <f>HYPERLINK("https://www.boe.es/gazeta/dias/1823/05/01/pdfs/GMD-1823-82.pdf#page=2","Abrir facsímil")</f>
        <v>Abrir facsímil</v>
      </c>
      <c r="K9085" t="s">
        <v>23</v>
      </c>
    </row>
    <row r="9086" spans="1:11" ht="42" customHeight="1">
      <c r="A9086" t="s">
        <v>18039</v>
      </c>
      <c r="B9086" t="s">
        <v>18040</v>
      </c>
      <c r="C9086" t="s">
        <v>56</v>
      </c>
      <c r="D9086" t="s">
        <v>57</v>
      </c>
      <c r="E9086" s="6">
        <v>-27951</v>
      </c>
      <c r="F9086" t="s">
        <v>548</v>
      </c>
      <c r="G9086" t="s">
        <v>20</v>
      </c>
      <c r="H9086" t="s">
        <v>21</v>
      </c>
      <c r="I9086" t="s">
        <v>18041</v>
      </c>
      <c r="J9086" t="str">
        <f>HYPERLINK("https://www.boe.es/gazeta/dias/1823/06/21/pdfs/GES-1823-69.pdf#page=4","Abrir facsímil")</f>
        <v>Abrir facsímil</v>
      </c>
      <c r="K9086" t="s">
        <v>23</v>
      </c>
    </row>
    <row r="9087" spans="1:11" ht="42" customHeight="1">
      <c r="A9087" t="s">
        <v>18042</v>
      </c>
      <c r="B9087" t="s">
        <v>18043</v>
      </c>
      <c r="C9087" t="s">
        <v>17</v>
      </c>
      <c r="D9087" t="s">
        <v>18</v>
      </c>
      <c r="E9087" s="6">
        <v>-28120</v>
      </c>
      <c r="F9087" t="s">
        <v>2772</v>
      </c>
      <c r="G9087" t="s">
        <v>27</v>
      </c>
      <c r="H9087" t="s">
        <v>21</v>
      </c>
      <c r="I9087" t="s">
        <v>18044</v>
      </c>
      <c r="J9087" t="str">
        <f>HYPERLINK("https://www.boe.es/gazeta/dias/1823/01/03/pdfs/GMD-1823-3.pdf#page=2","Abrir facsímil")</f>
        <v>Abrir facsímil</v>
      </c>
      <c r="K9087" t="s">
        <v>23</v>
      </c>
    </row>
    <row r="9088" spans="1:11" ht="42" customHeight="1">
      <c r="A9088" t="s">
        <v>18045</v>
      </c>
      <c r="B9088" t="s">
        <v>18046</v>
      </c>
      <c r="C9088" t="s">
        <v>17</v>
      </c>
      <c r="D9088" t="s">
        <v>18</v>
      </c>
      <c r="E9088" s="6">
        <v>-28080</v>
      </c>
      <c r="F9088" t="s">
        <v>1010</v>
      </c>
      <c r="G9088" t="s">
        <v>1382</v>
      </c>
      <c r="H9088" t="s">
        <v>21</v>
      </c>
      <c r="I9088" t="s">
        <v>18047</v>
      </c>
      <c r="J9088" t="str">
        <f>HYPERLINK("https://www.boe.es/gazeta/dias/1823/02/12/pdfs/GMD-1823-46.pdf#page=4","Abrir facsímil")</f>
        <v>Abrir facsímil</v>
      </c>
      <c r="K9088" t="s">
        <v>23</v>
      </c>
    </row>
    <row r="9089" spans="1:11" ht="42" customHeight="1">
      <c r="A9089" t="s">
        <v>18048</v>
      </c>
      <c r="B9089" t="s">
        <v>18049</v>
      </c>
      <c r="C9089" t="s">
        <v>17</v>
      </c>
      <c r="D9089" t="s">
        <v>18</v>
      </c>
      <c r="E9089" s="6">
        <v>-28037</v>
      </c>
      <c r="F9089" t="s">
        <v>192</v>
      </c>
      <c r="G9089" t="s">
        <v>48</v>
      </c>
      <c r="H9089" t="s">
        <v>21</v>
      </c>
      <c r="I9089" t="s">
        <v>18050</v>
      </c>
      <c r="J9089" t="str">
        <f>HYPERLINK("https://www.boe.es/gazeta/dias/1823/03/27/pdfs/GMD-1823-90.pdf#page=3","Abrir facsímil")</f>
        <v>Abrir facsímil</v>
      </c>
      <c r="K9089" t="s">
        <v>23</v>
      </c>
    </row>
    <row r="9090" spans="1:11" ht="42" customHeight="1">
      <c r="A9090" t="s">
        <v>18048</v>
      </c>
      <c r="B9090" t="s">
        <v>18049</v>
      </c>
      <c r="C9090" t="s">
        <v>17</v>
      </c>
      <c r="D9090" t="s">
        <v>18</v>
      </c>
      <c r="E9090" s="6">
        <v>-27987</v>
      </c>
      <c r="F9090" t="s">
        <v>332</v>
      </c>
      <c r="G9090" t="s">
        <v>39</v>
      </c>
      <c r="H9090" t="s">
        <v>21</v>
      </c>
      <c r="I9090" t="s">
        <v>18051</v>
      </c>
      <c r="J9090" t="str">
        <f>HYPERLINK("https://www.boe.es/gazeta/dias/1823/05/16/pdfs/GES-1823-36.pdf#page=1","Abrir facsímil")</f>
        <v>Abrir facsímil</v>
      </c>
      <c r="K9090" t="s">
        <v>23</v>
      </c>
    </row>
    <row r="9091" spans="1:11" ht="42" customHeight="1">
      <c r="A9091" t="s">
        <v>18048</v>
      </c>
      <c r="B9091" t="s">
        <v>18049</v>
      </c>
      <c r="C9091" t="s">
        <v>17</v>
      </c>
      <c r="D9091" t="s">
        <v>117</v>
      </c>
      <c r="E9091" s="6">
        <v>-27869</v>
      </c>
      <c r="F9091" t="s">
        <v>2363</v>
      </c>
      <c r="G9091" t="s">
        <v>39</v>
      </c>
      <c r="H9091" t="s">
        <v>21</v>
      </c>
      <c r="I9091" t="s">
        <v>18052</v>
      </c>
      <c r="J9091" t="str">
        <f>HYPERLINK("https://www.boe.es/gazeta/dias/1823/09/11/pdfs/GMD-1823-763E.pdf#page=1","Abrir facsímil")</f>
        <v>Abrir facsímil</v>
      </c>
      <c r="K9091" t="s">
        <v>23</v>
      </c>
    </row>
    <row r="9092" spans="1:11" ht="42" customHeight="1">
      <c r="A9092" t="s">
        <v>18053</v>
      </c>
      <c r="B9092" t="s">
        <v>18054</v>
      </c>
      <c r="C9092" t="s">
        <v>84</v>
      </c>
      <c r="D9092" t="s">
        <v>74</v>
      </c>
      <c r="E9092" s="6">
        <v>-28078</v>
      </c>
      <c r="F9092" t="s">
        <v>508</v>
      </c>
      <c r="G9092" t="s">
        <v>59</v>
      </c>
      <c r="H9092" t="s">
        <v>21</v>
      </c>
      <c r="I9092" t="s">
        <v>18055</v>
      </c>
      <c r="J9092" t="str">
        <f>HYPERLINK("https://www.boe.es/gazeta/dias/1823/02/14/pdfs/GMD-1823-48.pdf#page=6","Abrir facsímil")</f>
        <v>Abrir facsímil</v>
      </c>
      <c r="K9092" t="s">
        <v>23</v>
      </c>
    </row>
    <row r="9093" spans="1:11" ht="42" customHeight="1">
      <c r="A9093" t="s">
        <v>18053</v>
      </c>
      <c r="B9093" t="s">
        <v>18054</v>
      </c>
      <c r="C9093" t="s">
        <v>109</v>
      </c>
      <c r="D9093" t="s">
        <v>74</v>
      </c>
      <c r="E9093" s="6">
        <v>-27997</v>
      </c>
      <c r="F9093" t="s">
        <v>937</v>
      </c>
      <c r="G9093" t="s">
        <v>20</v>
      </c>
      <c r="H9093" t="s">
        <v>21</v>
      </c>
      <c r="I9093" t="s">
        <v>18056</v>
      </c>
      <c r="J9093" t="str">
        <f>HYPERLINK("https://www.boe.es/gazeta/dias/1823/05/06/pdfs/GMD-1823-102.pdf#page=4","Abrir facsímil")</f>
        <v>Abrir facsímil</v>
      </c>
      <c r="K9093" t="s">
        <v>23</v>
      </c>
    </row>
    <row r="9094" spans="1:11" ht="42" customHeight="1">
      <c r="A9094" t="s">
        <v>18057</v>
      </c>
      <c r="B9094" t="s">
        <v>18058</v>
      </c>
      <c r="C9094" t="s">
        <v>17</v>
      </c>
      <c r="D9094" t="s">
        <v>18</v>
      </c>
      <c r="E9094" s="6">
        <v>-27909</v>
      </c>
      <c r="F9094" t="s">
        <v>948</v>
      </c>
      <c r="G9094" t="s">
        <v>27</v>
      </c>
      <c r="H9094" t="s">
        <v>21</v>
      </c>
      <c r="I9094" t="s">
        <v>18059</v>
      </c>
      <c r="J9094" t="str">
        <f>HYPERLINK("https://www.boe.es/gazeta/dias/1823/08/02/pdfs/GES-1823-114.pdf#page=2","Abrir facsímil")</f>
        <v>Abrir facsímil</v>
      </c>
      <c r="K9094" t="s">
        <v>23</v>
      </c>
    </row>
    <row r="9095" spans="1:11" ht="42" customHeight="1">
      <c r="A9095" t="s">
        <v>18060</v>
      </c>
      <c r="B9095" t="s">
        <v>18061</v>
      </c>
      <c r="C9095" t="s">
        <v>109</v>
      </c>
      <c r="D9095" t="s">
        <v>74</v>
      </c>
      <c r="E9095" s="6">
        <v>-27936</v>
      </c>
      <c r="F9095" t="s">
        <v>4620</v>
      </c>
      <c r="G9095" t="s">
        <v>27</v>
      </c>
      <c r="H9095" t="s">
        <v>28</v>
      </c>
      <c r="I9095" t="s">
        <v>18062</v>
      </c>
      <c r="J9095" t="str">
        <f>HYPERLINK("https://www.boe.es/gazeta/dias/1823/07/06/pdfs/GES-1823-86.pdf#page=2","Abrir facsímil")</f>
        <v>Abrir facsímil</v>
      </c>
      <c r="K9095" t="s">
        <v>30</v>
      </c>
    </row>
    <row r="9096" spans="1:11" ht="42" customHeight="1">
      <c r="A9096" t="s">
        <v>18063</v>
      </c>
      <c r="B9096" t="s">
        <v>18064</v>
      </c>
      <c r="C9096" t="s">
        <v>109</v>
      </c>
      <c r="D9096" t="s">
        <v>74</v>
      </c>
      <c r="E9096" s="6">
        <v>-28028</v>
      </c>
      <c r="F9096" t="s">
        <v>893</v>
      </c>
      <c r="G9096" t="s">
        <v>20</v>
      </c>
      <c r="H9096" t="s">
        <v>21</v>
      </c>
      <c r="I9096" t="s">
        <v>18065</v>
      </c>
      <c r="J9096" t="str">
        <f>HYPERLINK("https://www.boe.es/gazeta/dias/1823/04/05/pdfs/GMD-1823-99.pdf#page=4","Abrir facsímil")</f>
        <v>Abrir facsímil</v>
      </c>
      <c r="K9096" t="s">
        <v>23</v>
      </c>
    </row>
    <row r="9097" spans="1:11" ht="42" customHeight="1">
      <c r="A9097" t="s">
        <v>18066</v>
      </c>
      <c r="B9097" t="s">
        <v>18067</v>
      </c>
      <c r="C9097" t="s">
        <v>325</v>
      </c>
      <c r="D9097" t="s">
        <v>74</v>
      </c>
      <c r="E9097" s="6">
        <v>-27927</v>
      </c>
      <c r="F9097" t="s">
        <v>2409</v>
      </c>
      <c r="G9097" t="s">
        <v>20</v>
      </c>
      <c r="H9097" t="s">
        <v>21</v>
      </c>
      <c r="I9097" t="s">
        <v>18068</v>
      </c>
      <c r="J9097" t="str">
        <f>HYPERLINK("https://www.boe.es/gazeta/dias/1823/07/15/pdfs/GMD-1823-403.pdf#page=4","Abrir facsímil")</f>
        <v>Abrir facsímil</v>
      </c>
      <c r="K9097" t="s">
        <v>23</v>
      </c>
    </row>
    <row r="9098" spans="1:11" ht="42" customHeight="1">
      <c r="A9098" t="s">
        <v>18069</v>
      </c>
      <c r="B9098" t="s">
        <v>18070</v>
      </c>
      <c r="C9098" t="s">
        <v>73</v>
      </c>
      <c r="D9098" t="s">
        <v>74</v>
      </c>
      <c r="E9098" s="6">
        <v>-28078</v>
      </c>
      <c r="F9098" t="s">
        <v>508</v>
      </c>
      <c r="G9098" t="s">
        <v>39</v>
      </c>
      <c r="H9098" t="s">
        <v>21</v>
      </c>
      <c r="I9098" t="s">
        <v>18071</v>
      </c>
      <c r="J9098" t="str">
        <f>HYPERLINK("https://www.boe.es/gazeta/dias/1823/02/14/pdfs/GMD-1823-48.pdf#page=1","Abrir facsímil")</f>
        <v>Abrir facsímil</v>
      </c>
      <c r="K9098" t="s">
        <v>23</v>
      </c>
    </row>
    <row r="9099" spans="1:11" ht="42" customHeight="1">
      <c r="A9099" t="s">
        <v>18072</v>
      </c>
      <c r="B9099" t="s">
        <v>18073</v>
      </c>
      <c r="C9099" t="s">
        <v>17</v>
      </c>
      <c r="D9099" t="s">
        <v>18</v>
      </c>
      <c r="E9099" s="6">
        <v>-27982</v>
      </c>
      <c r="F9099" t="s">
        <v>340</v>
      </c>
      <c r="G9099" t="s">
        <v>59</v>
      </c>
      <c r="H9099" t="s">
        <v>21</v>
      </c>
      <c r="I9099" t="s">
        <v>18074</v>
      </c>
      <c r="J9099" t="str">
        <f>HYPERLINK("https://www.boe.es/gazeta/dias/1823/05/21/pdfs/GES-1823-42.pdf#page=6","Abrir facsímil")</f>
        <v>Abrir facsímil</v>
      </c>
      <c r="K9099" t="s">
        <v>23</v>
      </c>
    </row>
    <row r="9100" spans="1:11" ht="42" customHeight="1">
      <c r="A9100" t="s">
        <v>18075</v>
      </c>
      <c r="B9100" t="s">
        <v>18076</v>
      </c>
      <c r="C9100" t="s">
        <v>17</v>
      </c>
      <c r="D9100" t="s">
        <v>18</v>
      </c>
      <c r="E9100" s="6">
        <v>-27996</v>
      </c>
      <c r="F9100" t="s">
        <v>695</v>
      </c>
      <c r="G9100" t="s">
        <v>39</v>
      </c>
      <c r="H9100" t="s">
        <v>21</v>
      </c>
      <c r="I9100" t="s">
        <v>18077</v>
      </c>
      <c r="J9100" t="str">
        <f>HYPERLINK("https://www.boe.es/gazeta/dias/1823/05/07/pdfs/GES-1823-27.pdf#page=1","Abrir facsímil")</f>
        <v>Abrir facsímil</v>
      </c>
      <c r="K9100" t="s">
        <v>23</v>
      </c>
    </row>
    <row r="9101" spans="1:11" ht="42" customHeight="1">
      <c r="A9101" t="s">
        <v>18078</v>
      </c>
      <c r="B9101" t="s">
        <v>18078</v>
      </c>
      <c r="C9101" t="s">
        <v>79</v>
      </c>
      <c r="D9101" t="s">
        <v>74</v>
      </c>
      <c r="E9101" s="6">
        <v>-27902</v>
      </c>
      <c r="F9101" t="s">
        <v>221</v>
      </c>
      <c r="G9101" t="s">
        <v>48</v>
      </c>
      <c r="H9101" t="s">
        <v>21</v>
      </c>
      <c r="I9101" t="s">
        <v>18079</v>
      </c>
      <c r="J9101" t="str">
        <f>HYPERLINK("https://www.boe.es/gazeta/dias/1823/08/09/pdfs/GES-1823-122.pdf#page=3","Abrir facsímil")</f>
        <v>Abrir facsímil</v>
      </c>
      <c r="K9101" t="s">
        <v>23</v>
      </c>
    </row>
    <row r="9102" spans="1:11" ht="42" customHeight="1">
      <c r="A9102" t="s">
        <v>18080</v>
      </c>
      <c r="B9102" t="s">
        <v>18080</v>
      </c>
      <c r="C9102" t="s">
        <v>17</v>
      </c>
      <c r="D9102" t="s">
        <v>18</v>
      </c>
      <c r="E9102" s="6">
        <v>-28013</v>
      </c>
      <c r="F9102" t="s">
        <v>2466</v>
      </c>
      <c r="G9102" t="s">
        <v>2467</v>
      </c>
      <c r="H9102" t="s">
        <v>21</v>
      </c>
      <c r="I9102" t="s">
        <v>18081</v>
      </c>
      <c r="J9102" t="str">
        <f>HYPERLINK("https://www.boe.es/gazeta/dias/1823/04/20/pdfs/GES-1823-10.pdf#page=3","Abrir facsímil")</f>
        <v>Abrir facsímil</v>
      </c>
      <c r="K9102" t="s">
        <v>23</v>
      </c>
    </row>
    <row r="9103" spans="1:11" ht="42" customHeight="1">
      <c r="A9103" t="s">
        <v>18082</v>
      </c>
      <c r="B9103" t="s">
        <v>18082</v>
      </c>
      <c r="C9103" t="s">
        <v>109</v>
      </c>
      <c r="D9103" t="s">
        <v>74</v>
      </c>
      <c r="E9103" s="6">
        <v>-27970</v>
      </c>
      <c r="F9103" t="s">
        <v>1030</v>
      </c>
      <c r="G9103" t="s">
        <v>27</v>
      </c>
      <c r="H9103" t="s">
        <v>21</v>
      </c>
      <c r="I9103" t="s">
        <v>18083</v>
      </c>
      <c r="J9103" t="str">
        <f>HYPERLINK("https://www.boe.es/gazeta/dias/1823/06/02/pdfs/GES-1823-56.pdf#page=2","Abrir facsímil")</f>
        <v>Abrir facsímil</v>
      </c>
      <c r="K9103" t="s">
        <v>23</v>
      </c>
    </row>
    <row r="9104" spans="1:11" ht="42" customHeight="1">
      <c r="A9104" t="s">
        <v>18084</v>
      </c>
      <c r="B9104" t="s">
        <v>18084</v>
      </c>
      <c r="C9104" t="s">
        <v>84</v>
      </c>
      <c r="D9104" t="s">
        <v>74</v>
      </c>
      <c r="E9104" s="6">
        <v>-27967</v>
      </c>
      <c r="F9104" t="s">
        <v>412</v>
      </c>
      <c r="G9104" t="s">
        <v>20</v>
      </c>
      <c r="H9104" t="s">
        <v>21</v>
      </c>
      <c r="I9104" t="s">
        <v>18085</v>
      </c>
      <c r="J9104" t="str">
        <f>HYPERLINK("https://www.boe.es/gazeta/dias/1823/06/05/pdfs/GES-1823-59.pdf#page=4","Abrir facsímil")</f>
        <v>Abrir facsímil</v>
      </c>
      <c r="K9104" t="s">
        <v>23</v>
      </c>
    </row>
    <row r="9105" spans="1:11" ht="42" customHeight="1">
      <c r="A9105" t="s">
        <v>18086</v>
      </c>
      <c r="B9105" t="s">
        <v>18086</v>
      </c>
      <c r="C9105" t="s">
        <v>73</v>
      </c>
      <c r="D9105" t="s">
        <v>74</v>
      </c>
      <c r="E9105" s="6">
        <v>-28082</v>
      </c>
      <c r="F9105" t="s">
        <v>468</v>
      </c>
      <c r="G9105" t="s">
        <v>27</v>
      </c>
      <c r="H9105" t="s">
        <v>21</v>
      </c>
      <c r="I9105" t="s">
        <v>18087</v>
      </c>
      <c r="J9105" t="str">
        <f>HYPERLINK("https://www.boe.es/gazeta/dias/1823/02/10/pdfs/GMD-1823-44.pdf#page=2","Abrir facsímil")</f>
        <v>Abrir facsímil</v>
      </c>
      <c r="K9105" t="s">
        <v>23</v>
      </c>
    </row>
    <row r="9106" spans="1:11" ht="42" customHeight="1">
      <c r="A9106" t="s">
        <v>18088</v>
      </c>
      <c r="B9106" t="s">
        <v>18089</v>
      </c>
      <c r="C9106" t="s">
        <v>17</v>
      </c>
      <c r="D9106" t="s">
        <v>18</v>
      </c>
      <c r="E9106" s="6">
        <v>-28041</v>
      </c>
      <c r="F9106" t="s">
        <v>873</v>
      </c>
      <c r="G9106" t="s">
        <v>48</v>
      </c>
      <c r="H9106" t="s">
        <v>21</v>
      </c>
      <c r="I9106" t="s">
        <v>18090</v>
      </c>
      <c r="J9106" t="str">
        <f>HYPERLINK("https://www.boe.es/gazeta/dias/1823/03/23/pdfs/GMD-1823-86.pdf#page=3","Abrir facsímil")</f>
        <v>Abrir facsímil</v>
      </c>
      <c r="K9106" t="s">
        <v>23</v>
      </c>
    </row>
    <row r="9107" spans="1:11" ht="42" customHeight="1">
      <c r="A9107" t="s">
        <v>18091</v>
      </c>
      <c r="B9107" t="s">
        <v>18092</v>
      </c>
      <c r="C9107" t="s">
        <v>56</v>
      </c>
      <c r="D9107" t="s">
        <v>57</v>
      </c>
      <c r="E9107" s="6">
        <v>-27785</v>
      </c>
      <c r="F9107" t="s">
        <v>1397</v>
      </c>
      <c r="G9107" t="s">
        <v>39</v>
      </c>
      <c r="H9107" t="s">
        <v>21</v>
      </c>
      <c r="I9107" t="s">
        <v>18093</v>
      </c>
      <c r="J9107" t="str">
        <f>HYPERLINK("https://www.boe.es/gazeta/dias/1823/12/04/pdfs/GMD-1823-1203.pdf#page=1","Abrir facsímil")</f>
        <v>Abrir facsímil</v>
      </c>
      <c r="K9107" t="s">
        <v>23</v>
      </c>
    </row>
    <row r="9108" spans="1:11" ht="42" customHeight="1">
      <c r="A9108" t="s">
        <v>18094</v>
      </c>
      <c r="B9108" t="s">
        <v>18095</v>
      </c>
      <c r="C9108" t="s">
        <v>17</v>
      </c>
      <c r="D9108" t="s">
        <v>18</v>
      </c>
      <c r="E9108" s="6">
        <v>-27964</v>
      </c>
      <c r="F9108" t="s">
        <v>58</v>
      </c>
      <c r="G9108" t="s">
        <v>48</v>
      </c>
      <c r="H9108" t="s">
        <v>21</v>
      </c>
      <c r="I9108" t="s">
        <v>18096</v>
      </c>
      <c r="J9108" t="str">
        <f>HYPERLINK("https://www.boe.es/gazeta/dias/1823/06/08/pdfs/GES-1823-62.pdf#page=3","Abrir facsímil")</f>
        <v>Abrir facsímil</v>
      </c>
      <c r="K9108" t="s">
        <v>23</v>
      </c>
    </row>
    <row r="9109" spans="1:11" ht="42" customHeight="1">
      <c r="A9109" t="s">
        <v>18097</v>
      </c>
      <c r="B9109" t="s">
        <v>18098</v>
      </c>
      <c r="C9109" t="s">
        <v>17</v>
      </c>
      <c r="D9109" t="s">
        <v>18</v>
      </c>
      <c r="E9109" s="6">
        <v>-27992</v>
      </c>
      <c r="F9109" t="s">
        <v>565</v>
      </c>
      <c r="G9109" t="s">
        <v>20</v>
      </c>
      <c r="H9109" t="s">
        <v>21</v>
      </c>
      <c r="I9109" t="s">
        <v>18099</v>
      </c>
      <c r="J9109" t="str">
        <f>HYPERLINK("https://www.boe.es/gazeta/dias/1823/05/11/pdfs/GES-1823-31.pdf#page=4","Abrir facsímil")</f>
        <v>Abrir facsímil</v>
      </c>
      <c r="K9109" t="s">
        <v>23</v>
      </c>
    </row>
    <row r="9110" spans="1:11" ht="42" customHeight="1">
      <c r="A9110" t="s">
        <v>18100</v>
      </c>
      <c r="B9110" t="s">
        <v>18100</v>
      </c>
      <c r="C9110" t="s">
        <v>17</v>
      </c>
      <c r="D9110" t="s">
        <v>18</v>
      </c>
      <c r="E9110" s="6">
        <v>-28083</v>
      </c>
      <c r="F9110" t="s">
        <v>291</v>
      </c>
      <c r="G9110" t="s">
        <v>39</v>
      </c>
      <c r="H9110" t="s">
        <v>21</v>
      </c>
      <c r="I9110" t="s">
        <v>18101</v>
      </c>
      <c r="J9110" t="str">
        <f>HYPERLINK("https://www.boe.es/gazeta/dias/1823/02/09/pdfs/GMD-1823-43.pdf#page=1","Abrir facsímil")</f>
        <v>Abrir facsímil</v>
      </c>
      <c r="K9110" t="s">
        <v>23</v>
      </c>
    </row>
    <row r="9111" spans="1:11" ht="42" customHeight="1">
      <c r="A9111" t="s">
        <v>18100</v>
      </c>
      <c r="B9111" t="s">
        <v>18100</v>
      </c>
      <c r="C9111" t="s">
        <v>79</v>
      </c>
      <c r="D9111" t="s">
        <v>74</v>
      </c>
      <c r="E9111" s="6">
        <v>-27991</v>
      </c>
      <c r="F9111" t="s">
        <v>328</v>
      </c>
      <c r="G9111" t="s">
        <v>48</v>
      </c>
      <c r="H9111" t="s">
        <v>21</v>
      </c>
      <c r="I9111" t="s">
        <v>18102</v>
      </c>
      <c r="J9111" t="str">
        <f>HYPERLINK("https://www.boe.es/gazeta/dias/1823/05/12/pdfs/GES-1823-32.pdf#page=3","Abrir facsímil")</f>
        <v>Abrir facsímil</v>
      </c>
      <c r="K9111" t="s">
        <v>23</v>
      </c>
    </row>
    <row r="9112" spans="1:11" ht="42" customHeight="1">
      <c r="A9112" t="s">
        <v>18100</v>
      </c>
      <c r="B9112" t="s">
        <v>18100</v>
      </c>
      <c r="C9112" t="s">
        <v>17</v>
      </c>
      <c r="D9112" t="s">
        <v>18</v>
      </c>
      <c r="E9112" s="6">
        <v>-27975</v>
      </c>
      <c r="F9112" t="s">
        <v>47</v>
      </c>
      <c r="G9112" t="s">
        <v>27</v>
      </c>
      <c r="H9112" t="s">
        <v>21</v>
      </c>
      <c r="I9112" t="s">
        <v>18103</v>
      </c>
      <c r="J9112" t="str">
        <f>HYPERLINK("https://www.boe.es/gazeta/dias/1823/05/28/pdfs/GES-1823-50.pdf#page=2","Abrir facsímil")</f>
        <v>Abrir facsímil</v>
      </c>
      <c r="K9112" t="s">
        <v>23</v>
      </c>
    </row>
    <row r="9113" spans="1:11" ht="42" customHeight="1">
      <c r="A9113" t="s">
        <v>18100</v>
      </c>
      <c r="B9113" t="s">
        <v>18100</v>
      </c>
      <c r="C9113" t="s">
        <v>56</v>
      </c>
      <c r="D9113" t="s">
        <v>57</v>
      </c>
      <c r="E9113" s="6">
        <v>-27965</v>
      </c>
      <c r="F9113" t="s">
        <v>208</v>
      </c>
      <c r="G9113" t="s">
        <v>48</v>
      </c>
      <c r="H9113" t="s">
        <v>21</v>
      </c>
      <c r="I9113" t="s">
        <v>18104</v>
      </c>
      <c r="J9113" t="str">
        <f>HYPERLINK("https://www.boe.es/gazeta/dias/1823/06/07/pdfs/GES-1823-61.pdf#page=3","Abrir facsímil")</f>
        <v>Abrir facsímil</v>
      </c>
      <c r="K9113" t="s">
        <v>23</v>
      </c>
    </row>
    <row r="9114" spans="1:11" ht="42" customHeight="1">
      <c r="A9114" t="s">
        <v>18100</v>
      </c>
      <c r="B9114" t="s">
        <v>18100</v>
      </c>
      <c r="C9114" t="s">
        <v>79</v>
      </c>
      <c r="D9114" t="s">
        <v>74</v>
      </c>
      <c r="E9114" s="6">
        <v>-27936</v>
      </c>
      <c r="F9114" t="s">
        <v>4620</v>
      </c>
      <c r="G9114" t="s">
        <v>27</v>
      </c>
      <c r="H9114" t="s">
        <v>21</v>
      </c>
      <c r="I9114" t="s">
        <v>18105</v>
      </c>
      <c r="J9114" t="str">
        <f>HYPERLINK("https://www.boe.es/gazeta/dias/1823/07/06/pdfs/GES-1823-86.pdf#page=2","Abrir facsímil")</f>
        <v>Abrir facsímil</v>
      </c>
      <c r="K9114" t="s">
        <v>23</v>
      </c>
    </row>
    <row r="9115" spans="1:11" ht="42" customHeight="1">
      <c r="A9115" t="s">
        <v>18106</v>
      </c>
      <c r="B9115" t="s">
        <v>18107</v>
      </c>
      <c r="C9115" t="s">
        <v>79</v>
      </c>
      <c r="D9115" t="s">
        <v>74</v>
      </c>
      <c r="E9115" s="6">
        <v>-27920</v>
      </c>
      <c r="F9115" t="s">
        <v>1334</v>
      </c>
      <c r="G9115" t="s">
        <v>276</v>
      </c>
      <c r="H9115" t="s">
        <v>21</v>
      </c>
      <c r="I9115" t="s">
        <v>18108</v>
      </c>
      <c r="J9115" t="str">
        <f>HYPERLINK("https://www.boe.es/gazeta/dias/1823/07/22/pdfs/GMD-1823-443.pdf#page=7","Abrir facsímil")</f>
        <v>Abrir facsímil</v>
      </c>
      <c r="K9115" t="s">
        <v>23</v>
      </c>
    </row>
    <row r="9116" spans="1:11" ht="42" customHeight="1">
      <c r="A9116" t="s">
        <v>18109</v>
      </c>
      <c r="B9116" t="s">
        <v>18110</v>
      </c>
      <c r="C9116" t="s">
        <v>17</v>
      </c>
      <c r="D9116" t="s">
        <v>18</v>
      </c>
      <c r="E9116" s="6">
        <v>-28064</v>
      </c>
      <c r="F9116" t="s">
        <v>1190</v>
      </c>
      <c r="G9116" t="s">
        <v>20</v>
      </c>
      <c r="H9116" t="s">
        <v>21</v>
      </c>
      <c r="I9116" t="s">
        <v>18111</v>
      </c>
      <c r="J9116" t="str">
        <f>HYPERLINK("https://www.boe.es/gazeta/dias/1823/02/28/pdfs/GMD-1823-62.pdf#page=4","Abrir facsímil")</f>
        <v>Abrir facsímil</v>
      </c>
      <c r="K9116" t="s">
        <v>23</v>
      </c>
    </row>
    <row r="9117" spans="1:11" ht="42" customHeight="1">
      <c r="A9117" t="s">
        <v>18112</v>
      </c>
      <c r="B9117" t="s">
        <v>18113</v>
      </c>
      <c r="C9117" t="s">
        <v>17</v>
      </c>
      <c r="D9117" t="s">
        <v>18</v>
      </c>
      <c r="E9117" s="6">
        <v>-27861</v>
      </c>
      <c r="F9117" t="s">
        <v>425</v>
      </c>
      <c r="G9117" t="s">
        <v>39</v>
      </c>
      <c r="H9117" t="s">
        <v>21</v>
      </c>
      <c r="I9117" t="s">
        <v>18114</v>
      </c>
      <c r="J9117" t="str">
        <f>HYPERLINK("https://www.boe.es/gazeta/dias/1823/09/19/pdfs/GES-1823-163.pdf#page=1","Abrir facsímil")</f>
        <v>Abrir facsímil</v>
      </c>
      <c r="K9117" t="s">
        <v>23</v>
      </c>
    </row>
    <row r="9118" spans="1:11" ht="42" customHeight="1">
      <c r="A9118" t="s">
        <v>18115</v>
      </c>
      <c r="B9118" t="s">
        <v>18116</v>
      </c>
      <c r="C9118" t="s">
        <v>17</v>
      </c>
      <c r="D9118" t="s">
        <v>18</v>
      </c>
      <c r="E9118" s="6">
        <v>-27863</v>
      </c>
      <c r="F9118" t="s">
        <v>651</v>
      </c>
      <c r="G9118" t="s">
        <v>27</v>
      </c>
      <c r="H9118" t="s">
        <v>21</v>
      </c>
      <c r="I9118" t="s">
        <v>18117</v>
      </c>
      <c r="J9118" t="str">
        <f>HYPERLINK("https://www.boe.es/gazeta/dias/1823/09/17/pdfs/GES-1823-161.pdf#page=2","Abrir facsímil")</f>
        <v>Abrir facsímil</v>
      </c>
      <c r="K9118" t="s">
        <v>23</v>
      </c>
    </row>
    <row r="9119" spans="1:11" ht="42" customHeight="1">
      <c r="A9119" t="s">
        <v>18118</v>
      </c>
      <c r="B9119" t="s">
        <v>18119</v>
      </c>
      <c r="C9119" t="s">
        <v>17</v>
      </c>
      <c r="D9119" t="s">
        <v>18</v>
      </c>
      <c r="E9119" s="6">
        <v>-28046</v>
      </c>
      <c r="F9119" t="s">
        <v>85</v>
      </c>
      <c r="G9119" t="s">
        <v>20</v>
      </c>
      <c r="H9119" t="s">
        <v>28</v>
      </c>
      <c r="I9119" t="s">
        <v>18120</v>
      </c>
      <c r="J9119" t="str">
        <f>HYPERLINK("https://www.boe.es/gazeta/dias/1823/03/18/pdfs/GMD-1823-81.pdf#page=4","Abrir facsímil")</f>
        <v>Abrir facsímil</v>
      </c>
      <c r="K9119" t="s">
        <v>30</v>
      </c>
    </row>
    <row r="9120" spans="1:11" ht="42" customHeight="1">
      <c r="A9120" t="s">
        <v>18121</v>
      </c>
      <c r="B9120" t="s">
        <v>18122</v>
      </c>
      <c r="C9120" t="s">
        <v>79</v>
      </c>
      <c r="D9120" t="s">
        <v>74</v>
      </c>
      <c r="E9120" s="6">
        <v>-28026</v>
      </c>
      <c r="F9120" t="s">
        <v>937</v>
      </c>
      <c r="G9120" t="s">
        <v>5269</v>
      </c>
      <c r="H9120" t="s">
        <v>21</v>
      </c>
      <c r="I9120" t="s">
        <v>18123</v>
      </c>
      <c r="J9120" t="str">
        <f>HYPERLINK("https://www.boe.es/gazeta/dias/1823/04/07/pdfs/GMD-1823-102.pdf#page=4","Abrir facsímil")</f>
        <v>Abrir facsímil</v>
      </c>
      <c r="K9120" t="s">
        <v>23</v>
      </c>
    </row>
    <row r="9121" spans="1:11" ht="42" customHeight="1">
      <c r="A9121" t="s">
        <v>18124</v>
      </c>
      <c r="B9121" t="s">
        <v>18125</v>
      </c>
      <c r="C9121" t="s">
        <v>79</v>
      </c>
      <c r="D9121" t="s">
        <v>74</v>
      </c>
      <c r="E9121" s="6">
        <v>-28037</v>
      </c>
      <c r="F9121" t="s">
        <v>192</v>
      </c>
      <c r="G9121" t="s">
        <v>48</v>
      </c>
      <c r="H9121" t="s">
        <v>21</v>
      </c>
      <c r="I9121" t="s">
        <v>18126</v>
      </c>
      <c r="J9121" t="str">
        <f>HYPERLINK("https://www.boe.es/gazeta/dias/1823/03/27/pdfs/GMD-1823-90.pdf#page=3","Abrir facsímil")</f>
        <v>Abrir facsímil</v>
      </c>
      <c r="K9121" t="s">
        <v>23</v>
      </c>
    </row>
    <row r="9122" spans="1:11" ht="42" customHeight="1">
      <c r="A9122" t="s">
        <v>18127</v>
      </c>
      <c r="B9122" t="s">
        <v>18128</v>
      </c>
      <c r="C9122" t="s">
        <v>79</v>
      </c>
      <c r="D9122" t="s">
        <v>74</v>
      </c>
      <c r="E9122" s="6">
        <v>-27897</v>
      </c>
      <c r="F9122" t="s">
        <v>1569</v>
      </c>
      <c r="G9122" t="s">
        <v>20</v>
      </c>
      <c r="H9122" t="s">
        <v>21</v>
      </c>
      <c r="I9122" t="s">
        <v>18129</v>
      </c>
      <c r="J9122" t="str">
        <f>HYPERLINK("https://www.boe.es/gazeta/dias/1823/08/14/pdfs/GMD-1823-593.pdf#page=4","Abrir facsímil")</f>
        <v>Abrir facsímil</v>
      </c>
      <c r="K9122" t="s">
        <v>23</v>
      </c>
    </row>
    <row r="9123" spans="1:11" ht="42" customHeight="1">
      <c r="A9123" t="s">
        <v>18130</v>
      </c>
      <c r="B9123" t="s">
        <v>18130</v>
      </c>
      <c r="C9123" t="s">
        <v>109</v>
      </c>
      <c r="D9123" t="s">
        <v>74</v>
      </c>
      <c r="E9123" s="6">
        <v>-28110</v>
      </c>
      <c r="F9123" t="s">
        <v>249</v>
      </c>
      <c r="G9123" t="s">
        <v>39</v>
      </c>
      <c r="H9123" t="s">
        <v>21</v>
      </c>
      <c r="I9123" t="s">
        <v>18131</v>
      </c>
      <c r="J9123" t="str">
        <f>HYPERLINK("https://www.boe.es/gazeta/dias/1823/01/13/pdfs/GMD-1823-13.pdf#page=1","Abrir facsímil")</f>
        <v>Abrir facsímil</v>
      </c>
      <c r="K9123" t="s">
        <v>23</v>
      </c>
    </row>
    <row r="9124" spans="1:11" ht="42" customHeight="1">
      <c r="A9124" t="s">
        <v>18130</v>
      </c>
      <c r="B9124" t="s">
        <v>18130</v>
      </c>
      <c r="C9124" t="s">
        <v>73</v>
      </c>
      <c r="D9124" t="s">
        <v>74</v>
      </c>
      <c r="E9124" s="6">
        <v>-28056</v>
      </c>
      <c r="F9124" t="s">
        <v>572</v>
      </c>
      <c r="G9124" t="s">
        <v>20</v>
      </c>
      <c r="H9124" t="s">
        <v>21</v>
      </c>
      <c r="I9124" t="s">
        <v>18132</v>
      </c>
      <c r="J9124" t="str">
        <f>HYPERLINK("https://www.boe.es/gazeta/dias/1823/03/08/pdfs/GMD-1823-71.pdf#page=4","Abrir facsímil")</f>
        <v>Abrir facsímil</v>
      </c>
      <c r="K9124" t="s">
        <v>23</v>
      </c>
    </row>
    <row r="9125" spans="1:11" ht="42" customHeight="1">
      <c r="A9125" t="s">
        <v>18133</v>
      </c>
      <c r="B9125" t="s">
        <v>18133</v>
      </c>
      <c r="C9125" t="s">
        <v>79</v>
      </c>
      <c r="D9125" t="s">
        <v>74</v>
      </c>
      <c r="E9125" s="6">
        <v>-28097</v>
      </c>
      <c r="F9125" t="s">
        <v>1368</v>
      </c>
      <c r="G9125" t="s">
        <v>20</v>
      </c>
      <c r="H9125" t="s">
        <v>21</v>
      </c>
      <c r="I9125" t="s">
        <v>18134</v>
      </c>
      <c r="J9125" t="str">
        <f>HYPERLINK("https://www.boe.es/gazeta/dias/1823/01/26/pdfs/GMD-1823-27.pdf#page=4","Abrir facsímil")</f>
        <v>Abrir facsímil</v>
      </c>
      <c r="K9125" t="s">
        <v>23</v>
      </c>
    </row>
    <row r="9126" spans="1:11" ht="42" customHeight="1">
      <c r="A9126" t="s">
        <v>18135</v>
      </c>
      <c r="B9126" t="s">
        <v>18136</v>
      </c>
      <c r="C9126" t="s">
        <v>17</v>
      </c>
      <c r="D9126" t="s">
        <v>18</v>
      </c>
      <c r="E9126" s="6">
        <v>-28104</v>
      </c>
      <c r="F9126" t="s">
        <v>114</v>
      </c>
      <c r="G9126" t="s">
        <v>59</v>
      </c>
      <c r="H9126" t="s">
        <v>21</v>
      </c>
      <c r="I9126" t="s">
        <v>18137</v>
      </c>
      <c r="J9126" t="str">
        <f>HYPERLINK("https://www.boe.es/gazeta/dias/1823/01/19/pdfs/GMD-1823-19.pdf#page=6","Abrir facsímil")</f>
        <v>Abrir facsímil</v>
      </c>
      <c r="K9126" t="s">
        <v>23</v>
      </c>
    </row>
    <row r="9127" spans="1:11" ht="42" customHeight="1">
      <c r="A9127" t="s">
        <v>18138</v>
      </c>
      <c r="B9127" t="s">
        <v>18139</v>
      </c>
      <c r="C9127" t="s">
        <v>79</v>
      </c>
      <c r="D9127" t="s">
        <v>74</v>
      </c>
      <c r="E9127" s="6">
        <v>-27962</v>
      </c>
      <c r="F9127" t="s">
        <v>594</v>
      </c>
      <c r="G9127" t="s">
        <v>20</v>
      </c>
      <c r="H9127" t="s">
        <v>28</v>
      </c>
      <c r="I9127" t="s">
        <v>18140</v>
      </c>
      <c r="J9127" t="str">
        <f>HYPERLINK("https://www.boe.es/gazeta/dias/1823/06/10/pdfs/GES-1823-64.pdf#page=4","Abrir facsímil")</f>
        <v>Abrir facsímil</v>
      </c>
      <c r="K9127" t="s">
        <v>30</v>
      </c>
    </row>
    <row r="9128" spans="1:11" ht="42" customHeight="1">
      <c r="A9128" t="s">
        <v>18141</v>
      </c>
      <c r="B9128" t="s">
        <v>18142</v>
      </c>
      <c r="C9128" t="s">
        <v>79</v>
      </c>
      <c r="D9128" t="s">
        <v>74</v>
      </c>
      <c r="E9128" s="6">
        <v>-27986</v>
      </c>
      <c r="F9128" t="s">
        <v>607</v>
      </c>
      <c r="G9128" t="s">
        <v>20</v>
      </c>
      <c r="H9128" t="s">
        <v>21</v>
      </c>
      <c r="I9128" t="s">
        <v>18143</v>
      </c>
      <c r="J9128" t="str">
        <f>HYPERLINK("https://www.boe.es/gazeta/dias/1823/05/17/pdfs/GMD-1823-152.pdf#page=4","Abrir facsímil")</f>
        <v>Abrir facsímil</v>
      </c>
      <c r="K9128" t="s">
        <v>23</v>
      </c>
    </row>
    <row r="9129" spans="1:11" ht="42" customHeight="1">
      <c r="A9129" t="s">
        <v>18144</v>
      </c>
      <c r="B9129" t="s">
        <v>18145</v>
      </c>
      <c r="C9129" t="s">
        <v>17</v>
      </c>
      <c r="D9129" t="s">
        <v>18</v>
      </c>
      <c r="E9129" s="6">
        <v>-28058</v>
      </c>
      <c r="F9129" t="s">
        <v>1282</v>
      </c>
      <c r="G9129" t="s">
        <v>59</v>
      </c>
      <c r="H9129" t="s">
        <v>21</v>
      </c>
      <c r="I9129" t="s">
        <v>18146</v>
      </c>
      <c r="J9129" t="str">
        <f>HYPERLINK("https://www.boe.es/gazeta/dias/1823/03/06/pdfs/GMD-1823-69.pdf#page=6","Abrir facsímil")</f>
        <v>Abrir facsímil</v>
      </c>
      <c r="K9129" t="s">
        <v>23</v>
      </c>
    </row>
    <row r="9130" spans="1:11" ht="42" customHeight="1">
      <c r="A9130" t="s">
        <v>18147</v>
      </c>
      <c r="B9130" t="s">
        <v>18148</v>
      </c>
      <c r="C9130" t="s">
        <v>17</v>
      </c>
      <c r="D9130" t="s">
        <v>18</v>
      </c>
      <c r="E9130" s="6">
        <v>-27848</v>
      </c>
      <c r="F9130" t="s">
        <v>1083</v>
      </c>
      <c r="G9130" t="s">
        <v>27</v>
      </c>
      <c r="H9130" t="s">
        <v>21</v>
      </c>
      <c r="I9130" t="s">
        <v>18149</v>
      </c>
      <c r="J9130" t="str">
        <f>HYPERLINK("https://www.boe.es/gazeta/dias/1823/10/02/pdfs/GES-1823-176.pdf#page=2","Abrir facsímil")</f>
        <v>Abrir facsímil</v>
      </c>
      <c r="K9130" t="s">
        <v>23</v>
      </c>
    </row>
    <row r="9131" spans="1:11" ht="42" customHeight="1">
      <c r="A9131" t="s">
        <v>18150</v>
      </c>
      <c r="B9131" t="s">
        <v>18150</v>
      </c>
      <c r="C9131" t="s">
        <v>17</v>
      </c>
      <c r="D9131" t="s">
        <v>18</v>
      </c>
      <c r="E9131" s="6">
        <v>-27890</v>
      </c>
      <c r="F9131" t="s">
        <v>1573</v>
      </c>
      <c r="G9131" t="s">
        <v>48</v>
      </c>
      <c r="H9131" t="s">
        <v>21</v>
      </c>
      <c r="I9131" t="s">
        <v>18151</v>
      </c>
      <c r="J9131" t="str">
        <f>HYPERLINK("https://www.boe.es/gazeta/dias/1823/08/21/pdfs/GMD-1823-623.pdf#page=3","Abrir facsímil")</f>
        <v>Abrir facsímil</v>
      </c>
      <c r="K9131" t="s">
        <v>23</v>
      </c>
    </row>
    <row r="9132" spans="1:11" ht="42" customHeight="1">
      <c r="A9132" t="s">
        <v>18152</v>
      </c>
      <c r="B9132" t="s">
        <v>18153</v>
      </c>
      <c r="C9132" t="s">
        <v>17</v>
      </c>
      <c r="D9132" t="s">
        <v>18</v>
      </c>
      <c r="E9132" s="6">
        <v>-28059</v>
      </c>
      <c r="F9132" t="s">
        <v>149</v>
      </c>
      <c r="G9132" t="s">
        <v>20</v>
      </c>
      <c r="H9132" t="s">
        <v>21</v>
      </c>
      <c r="I9132" t="s">
        <v>18154</v>
      </c>
      <c r="J9132" t="str">
        <f>HYPERLINK("https://www.boe.es/gazeta/dias/1823/03/05/pdfs/GMD-1823-68.pdf#page=4","Abrir facsímil")</f>
        <v>Abrir facsímil</v>
      </c>
      <c r="K9132" t="s">
        <v>23</v>
      </c>
    </row>
    <row r="9133" spans="1:11" ht="42" customHeight="1">
      <c r="A9133" t="s">
        <v>18155</v>
      </c>
      <c r="B9133" t="s">
        <v>18156</v>
      </c>
      <c r="C9133" t="s">
        <v>109</v>
      </c>
      <c r="D9133" t="s">
        <v>74</v>
      </c>
      <c r="E9133" s="6">
        <v>-28060</v>
      </c>
      <c r="F9133" t="s">
        <v>180</v>
      </c>
      <c r="G9133" t="s">
        <v>181</v>
      </c>
      <c r="H9133" t="s">
        <v>21</v>
      </c>
      <c r="I9133" t="s">
        <v>18157</v>
      </c>
      <c r="J9133" t="str">
        <f>HYPERLINK("https://www.boe.es/gazeta/dias/1823/03/04/pdfs/GMD-1823-67.pdf#page=6","Abrir facsímil")</f>
        <v>Abrir facsímil</v>
      </c>
      <c r="K9133" t="s">
        <v>23</v>
      </c>
    </row>
    <row r="9134" spans="1:11" ht="42" customHeight="1">
      <c r="A9134" t="s">
        <v>18158</v>
      </c>
      <c r="B9134" t="s">
        <v>18159</v>
      </c>
      <c r="C9134" t="s">
        <v>79</v>
      </c>
      <c r="D9134" t="s">
        <v>74</v>
      </c>
      <c r="E9134" s="6">
        <v>-28037</v>
      </c>
      <c r="F9134" t="s">
        <v>192</v>
      </c>
      <c r="G9134" t="s">
        <v>20</v>
      </c>
      <c r="H9134" t="s">
        <v>21</v>
      </c>
      <c r="I9134" t="s">
        <v>18160</v>
      </c>
      <c r="J9134" t="str">
        <f>HYPERLINK("https://www.boe.es/gazeta/dias/1823/03/27/pdfs/GMD-1823-90.pdf#page=4","Abrir facsímil")</f>
        <v>Abrir facsímil</v>
      </c>
      <c r="K9134" t="s">
        <v>23</v>
      </c>
    </row>
    <row r="9135" spans="1:11" ht="42" customHeight="1">
      <c r="A9135" t="s">
        <v>18161</v>
      </c>
      <c r="B9135" t="s">
        <v>18161</v>
      </c>
      <c r="C9135" t="s">
        <v>17</v>
      </c>
      <c r="D9135" t="s">
        <v>18</v>
      </c>
      <c r="E9135" s="6">
        <v>-28121</v>
      </c>
      <c r="F9135" t="s">
        <v>575</v>
      </c>
      <c r="G9135" t="s">
        <v>576</v>
      </c>
      <c r="H9135" t="s">
        <v>21</v>
      </c>
      <c r="I9135" t="s">
        <v>18162</v>
      </c>
      <c r="J9135" t="str">
        <f>HYPERLINK("https://www.boe.es/gazeta/dias/1823/01/02/pdfs/GMD-1823-2.pdf#page=2","Abrir facsímil")</f>
        <v>Abrir facsímil</v>
      </c>
      <c r="K9135" t="s">
        <v>23</v>
      </c>
    </row>
    <row r="9136" spans="1:11" ht="42" customHeight="1">
      <c r="A9136" t="s">
        <v>18161</v>
      </c>
      <c r="B9136" t="s">
        <v>18161</v>
      </c>
      <c r="C9136" t="s">
        <v>56</v>
      </c>
      <c r="D9136" t="s">
        <v>57</v>
      </c>
      <c r="E9136" s="6">
        <v>-28119</v>
      </c>
      <c r="F9136" t="s">
        <v>545</v>
      </c>
      <c r="G9136" t="s">
        <v>20</v>
      </c>
      <c r="H9136" t="s">
        <v>21</v>
      </c>
      <c r="I9136" t="s">
        <v>18163</v>
      </c>
      <c r="J9136" t="str">
        <f>HYPERLINK("https://www.boe.es/gazeta/dias/1823/01/04/pdfs/GMD-1823-4.pdf#page=4","Abrir facsímil")</f>
        <v>Abrir facsímil</v>
      </c>
      <c r="K9136" t="s">
        <v>23</v>
      </c>
    </row>
    <row r="9137" spans="1:11" ht="42" customHeight="1">
      <c r="A9137" t="s">
        <v>18161</v>
      </c>
      <c r="B9137" t="s">
        <v>18161</v>
      </c>
      <c r="C9137" t="s">
        <v>56</v>
      </c>
      <c r="D9137" t="s">
        <v>57</v>
      </c>
      <c r="E9137" s="6">
        <v>-28115</v>
      </c>
      <c r="F9137" t="s">
        <v>579</v>
      </c>
      <c r="G9137" t="s">
        <v>27</v>
      </c>
      <c r="H9137" t="s">
        <v>21</v>
      </c>
      <c r="I9137" t="s">
        <v>18164</v>
      </c>
      <c r="J9137" t="str">
        <f>HYPERLINK("https://www.boe.es/gazeta/dias/1823/01/08/pdfs/GMD-1823-8.pdf#page=2","Abrir facsímil")</f>
        <v>Abrir facsímil</v>
      </c>
      <c r="K9137" t="s">
        <v>23</v>
      </c>
    </row>
    <row r="9138" spans="1:11" ht="42" customHeight="1">
      <c r="A9138" t="s">
        <v>18161</v>
      </c>
      <c r="B9138" t="s">
        <v>18161</v>
      </c>
      <c r="C9138" t="s">
        <v>17</v>
      </c>
      <c r="D9138" t="s">
        <v>18</v>
      </c>
      <c r="E9138" s="6">
        <v>-28110</v>
      </c>
      <c r="F9138" t="s">
        <v>249</v>
      </c>
      <c r="G9138" t="s">
        <v>1968</v>
      </c>
      <c r="H9138" t="s">
        <v>21</v>
      </c>
      <c r="I9138" t="s">
        <v>18165</v>
      </c>
      <c r="J9138" t="str">
        <f>HYPERLINK("https://www.boe.es/gazeta/dias/1823/01/13/pdfs/GMD-1823-13.pdf#page=2","Abrir facsímil")</f>
        <v>Abrir facsímil</v>
      </c>
      <c r="K9138" t="s">
        <v>23</v>
      </c>
    </row>
    <row r="9139" spans="1:11" ht="42" customHeight="1">
      <c r="A9139" t="s">
        <v>18161</v>
      </c>
      <c r="B9139" t="s">
        <v>18161</v>
      </c>
      <c r="C9139" t="s">
        <v>109</v>
      </c>
      <c r="D9139" t="s">
        <v>74</v>
      </c>
      <c r="E9139" s="6">
        <v>-28110</v>
      </c>
      <c r="F9139" t="s">
        <v>249</v>
      </c>
      <c r="G9139" t="s">
        <v>39</v>
      </c>
      <c r="H9139" t="s">
        <v>21</v>
      </c>
      <c r="I9139" t="s">
        <v>18166</v>
      </c>
      <c r="J9139" t="str">
        <f>HYPERLINK("https://www.boe.es/gazeta/dias/1823/01/13/pdfs/GMD-1823-13.pdf#page=1","Abrir facsímil")</f>
        <v>Abrir facsímil</v>
      </c>
      <c r="K9139" t="s">
        <v>23</v>
      </c>
    </row>
    <row r="9140" spans="1:11" ht="42" customHeight="1">
      <c r="A9140" t="s">
        <v>18161</v>
      </c>
      <c r="B9140" t="s">
        <v>18161</v>
      </c>
      <c r="C9140" t="s">
        <v>109</v>
      </c>
      <c r="D9140" t="s">
        <v>74</v>
      </c>
      <c r="E9140" s="6">
        <v>-28107</v>
      </c>
      <c r="F9140" t="s">
        <v>278</v>
      </c>
      <c r="G9140" t="s">
        <v>27</v>
      </c>
      <c r="H9140" t="s">
        <v>21</v>
      </c>
      <c r="I9140" t="s">
        <v>18167</v>
      </c>
      <c r="J9140" t="str">
        <f>HYPERLINK("https://www.boe.es/gazeta/dias/1823/01/16/pdfs/GMD-1823-16.pdf#page=2","Abrir facsímil")</f>
        <v>Abrir facsímil</v>
      </c>
      <c r="K9140" t="s">
        <v>23</v>
      </c>
    </row>
    <row r="9141" spans="1:11" ht="42" customHeight="1">
      <c r="A9141" t="s">
        <v>18161</v>
      </c>
      <c r="B9141" t="s">
        <v>18161</v>
      </c>
      <c r="C9141" t="s">
        <v>73</v>
      </c>
      <c r="D9141" t="s">
        <v>74</v>
      </c>
      <c r="E9141" s="6">
        <v>-28105</v>
      </c>
      <c r="F9141" t="s">
        <v>502</v>
      </c>
      <c r="G9141" t="s">
        <v>48</v>
      </c>
      <c r="H9141" t="s">
        <v>21</v>
      </c>
      <c r="I9141" t="s">
        <v>18168</v>
      </c>
      <c r="J9141" t="str">
        <f>HYPERLINK("https://www.boe.es/gazeta/dias/1823/01/18/pdfs/GMD-1823-18.pdf#page=3","Abrir facsímil")</f>
        <v>Abrir facsímil</v>
      </c>
      <c r="K9141" t="s">
        <v>23</v>
      </c>
    </row>
    <row r="9142" spans="1:11" ht="42" customHeight="1">
      <c r="A9142" t="s">
        <v>18161</v>
      </c>
      <c r="B9142" t="s">
        <v>18161</v>
      </c>
      <c r="C9142" t="s">
        <v>17</v>
      </c>
      <c r="D9142" t="s">
        <v>18</v>
      </c>
      <c r="E9142" s="6">
        <v>-28102</v>
      </c>
      <c r="F9142" t="s">
        <v>287</v>
      </c>
      <c r="G9142" t="s">
        <v>27</v>
      </c>
      <c r="H9142" t="s">
        <v>21</v>
      </c>
      <c r="I9142" t="s">
        <v>18169</v>
      </c>
      <c r="J9142" t="str">
        <f>HYPERLINK("https://www.boe.es/gazeta/dias/1823/01/21/pdfs/GMD-1823-22.pdf#page=2","Abrir facsímil")</f>
        <v>Abrir facsímil</v>
      </c>
      <c r="K9142" t="s">
        <v>23</v>
      </c>
    </row>
    <row r="9143" spans="1:11" ht="42" customHeight="1">
      <c r="A9143" t="s">
        <v>18161</v>
      </c>
      <c r="B9143" t="s">
        <v>18161</v>
      </c>
      <c r="C9143" t="s">
        <v>17</v>
      </c>
      <c r="D9143" t="s">
        <v>18</v>
      </c>
      <c r="E9143" s="6">
        <v>-28102</v>
      </c>
      <c r="F9143" t="s">
        <v>287</v>
      </c>
      <c r="G9143" t="s">
        <v>48</v>
      </c>
      <c r="H9143" t="s">
        <v>21</v>
      </c>
      <c r="I9143" t="s">
        <v>18170</v>
      </c>
      <c r="J9143" t="str">
        <f>HYPERLINK("https://www.boe.es/gazeta/dias/1823/01/21/pdfs/GMD-1823-22.pdf#page=3","Abrir facsímil")</f>
        <v>Abrir facsímil</v>
      </c>
      <c r="K9143" t="s">
        <v>23</v>
      </c>
    </row>
    <row r="9144" spans="1:11" ht="42" customHeight="1">
      <c r="A9144" t="s">
        <v>18161</v>
      </c>
      <c r="B9144" t="s">
        <v>18161</v>
      </c>
      <c r="C9144" t="s">
        <v>17</v>
      </c>
      <c r="D9144" t="s">
        <v>18</v>
      </c>
      <c r="E9144" s="6">
        <v>-28093</v>
      </c>
      <c r="F9144" t="s">
        <v>1044</v>
      </c>
      <c r="G9144" t="s">
        <v>27</v>
      </c>
      <c r="H9144" t="s">
        <v>21</v>
      </c>
      <c r="I9144" t="s">
        <v>18171</v>
      </c>
      <c r="J9144" t="str">
        <f>HYPERLINK("https://www.boe.es/gazeta/dias/1823/01/30/pdfs/GMD-1823-31.pdf#page=2","Abrir facsímil")</f>
        <v>Abrir facsímil</v>
      </c>
      <c r="K9144" t="s">
        <v>23</v>
      </c>
    </row>
    <row r="9145" spans="1:11" ht="42" customHeight="1">
      <c r="A9145" t="s">
        <v>18161</v>
      </c>
      <c r="B9145" t="s">
        <v>18161</v>
      </c>
      <c r="C9145" t="s">
        <v>73</v>
      </c>
      <c r="D9145" t="s">
        <v>74</v>
      </c>
      <c r="E9145" s="6">
        <v>-28089</v>
      </c>
      <c r="F9145" t="s">
        <v>1979</v>
      </c>
      <c r="G9145" t="s">
        <v>48</v>
      </c>
      <c r="H9145" t="s">
        <v>21</v>
      </c>
      <c r="I9145" t="s">
        <v>18172</v>
      </c>
      <c r="J9145" t="str">
        <f>HYPERLINK("https://www.boe.es/gazeta/dias/1823/02/03/pdfs/GMD-1823-36.pdf#page=3","Abrir facsímil")</f>
        <v>Abrir facsímil</v>
      </c>
      <c r="K9145" t="s">
        <v>23</v>
      </c>
    </row>
    <row r="9146" spans="1:11" ht="42" customHeight="1">
      <c r="A9146" t="s">
        <v>18161</v>
      </c>
      <c r="B9146" t="s">
        <v>18161</v>
      </c>
      <c r="C9146" t="s">
        <v>109</v>
      </c>
      <c r="D9146" t="s">
        <v>74</v>
      </c>
      <c r="E9146" s="6">
        <v>-28085</v>
      </c>
      <c r="F9146" t="s">
        <v>458</v>
      </c>
      <c r="G9146" t="s">
        <v>48</v>
      </c>
      <c r="H9146" t="s">
        <v>21</v>
      </c>
      <c r="I9146" t="s">
        <v>18173</v>
      </c>
      <c r="J9146" t="str">
        <f>HYPERLINK("https://www.boe.es/gazeta/dias/1823/02/07/pdfs/GMD-1823-40.pdf#page=3","Abrir facsímil")</f>
        <v>Abrir facsímil</v>
      </c>
      <c r="K9146" t="s">
        <v>23</v>
      </c>
    </row>
    <row r="9147" spans="1:11" ht="42" customHeight="1">
      <c r="A9147" t="s">
        <v>18161</v>
      </c>
      <c r="B9147" t="s">
        <v>18161</v>
      </c>
      <c r="C9147" t="s">
        <v>84</v>
      </c>
      <c r="D9147" t="s">
        <v>74</v>
      </c>
      <c r="E9147" s="6">
        <v>-28085</v>
      </c>
      <c r="F9147" t="s">
        <v>458</v>
      </c>
      <c r="G9147" t="s">
        <v>20</v>
      </c>
      <c r="H9147" t="s">
        <v>21</v>
      </c>
      <c r="I9147" t="s">
        <v>18174</v>
      </c>
      <c r="J9147" t="str">
        <f>HYPERLINK("https://www.boe.es/gazeta/dias/1823/02/07/pdfs/GMD-1823-40.pdf#page=4","Abrir facsímil")</f>
        <v>Abrir facsímil</v>
      </c>
      <c r="K9147" t="s">
        <v>23</v>
      </c>
    </row>
    <row r="9148" spans="1:11" ht="42" customHeight="1">
      <c r="A9148" t="s">
        <v>18161</v>
      </c>
      <c r="B9148" t="s">
        <v>18161</v>
      </c>
      <c r="C9148" t="s">
        <v>56</v>
      </c>
      <c r="D9148" t="s">
        <v>57</v>
      </c>
      <c r="E9148" s="6">
        <v>-28083</v>
      </c>
      <c r="F9148" t="s">
        <v>291</v>
      </c>
      <c r="G9148" t="s">
        <v>39</v>
      </c>
      <c r="H9148" t="s">
        <v>21</v>
      </c>
      <c r="I9148" t="s">
        <v>18175</v>
      </c>
      <c r="J9148" t="str">
        <f>HYPERLINK("https://www.boe.es/gazeta/dias/1823/02/09/pdfs/GMD-1823-43.pdf#page=1","Abrir facsímil")</f>
        <v>Abrir facsímil</v>
      </c>
      <c r="K9148" t="s">
        <v>23</v>
      </c>
    </row>
    <row r="9149" spans="1:11" ht="42" customHeight="1">
      <c r="A9149" t="s">
        <v>18161</v>
      </c>
      <c r="B9149" t="s">
        <v>18161</v>
      </c>
      <c r="C9149" t="s">
        <v>79</v>
      </c>
      <c r="D9149" t="s">
        <v>74</v>
      </c>
      <c r="E9149" s="6">
        <v>-28082</v>
      </c>
      <c r="F9149" t="s">
        <v>468</v>
      </c>
      <c r="G9149" t="s">
        <v>27</v>
      </c>
      <c r="H9149" t="s">
        <v>21</v>
      </c>
      <c r="I9149" t="s">
        <v>18176</v>
      </c>
      <c r="J9149" t="str">
        <f>HYPERLINK("https://www.boe.es/gazeta/dias/1823/02/10/pdfs/GMD-1823-44.pdf#page=2","Abrir facsímil")</f>
        <v>Abrir facsímil</v>
      </c>
      <c r="K9149" t="s">
        <v>23</v>
      </c>
    </row>
    <row r="9150" spans="1:11" ht="42" customHeight="1">
      <c r="A9150" t="s">
        <v>18161</v>
      </c>
      <c r="B9150" t="s">
        <v>18161</v>
      </c>
      <c r="C9150" t="s">
        <v>109</v>
      </c>
      <c r="D9150" t="s">
        <v>74</v>
      </c>
      <c r="E9150" s="6">
        <v>-28082</v>
      </c>
      <c r="F9150" t="s">
        <v>468</v>
      </c>
      <c r="G9150" t="s">
        <v>48</v>
      </c>
      <c r="H9150" t="s">
        <v>21</v>
      </c>
      <c r="I9150" t="s">
        <v>18177</v>
      </c>
      <c r="J9150" t="str">
        <f>HYPERLINK("https://www.boe.es/gazeta/dias/1823/02/10/pdfs/GMD-1823-44.pdf#page=3","Abrir facsímil")</f>
        <v>Abrir facsímil</v>
      </c>
      <c r="K9150" t="s">
        <v>23</v>
      </c>
    </row>
    <row r="9151" spans="1:11" ht="42" customHeight="1">
      <c r="A9151" t="s">
        <v>18161</v>
      </c>
      <c r="B9151" t="s">
        <v>18161</v>
      </c>
      <c r="C9151" t="s">
        <v>17</v>
      </c>
      <c r="D9151" t="s">
        <v>18</v>
      </c>
      <c r="E9151" s="6">
        <v>-28081</v>
      </c>
      <c r="F9151" t="s">
        <v>170</v>
      </c>
      <c r="G9151" t="s">
        <v>27</v>
      </c>
      <c r="H9151" t="s">
        <v>21</v>
      </c>
      <c r="I9151" t="s">
        <v>18178</v>
      </c>
      <c r="J9151" t="str">
        <f>HYPERLINK("https://www.boe.es/gazeta/dias/1823/02/11/pdfs/GMD-1823-45.pdf#page=2","Abrir facsímil")</f>
        <v>Abrir facsímil</v>
      </c>
      <c r="K9151" t="s">
        <v>23</v>
      </c>
    </row>
    <row r="9152" spans="1:11" ht="42" customHeight="1">
      <c r="A9152" t="s">
        <v>18161</v>
      </c>
      <c r="B9152" t="s">
        <v>18161</v>
      </c>
      <c r="C9152" t="s">
        <v>109</v>
      </c>
      <c r="D9152" t="s">
        <v>74</v>
      </c>
      <c r="E9152" s="6">
        <v>-28077</v>
      </c>
      <c r="F9152" t="s">
        <v>536</v>
      </c>
      <c r="G9152" t="s">
        <v>39</v>
      </c>
      <c r="H9152" t="s">
        <v>21</v>
      </c>
      <c r="I9152" t="s">
        <v>18179</v>
      </c>
      <c r="J9152" t="str">
        <f>HYPERLINK("https://www.boe.es/gazeta/dias/1823/02/15/pdfs/GMD-1823-49.pdf#page=1","Abrir facsímil")</f>
        <v>Abrir facsímil</v>
      </c>
      <c r="K9152" t="s">
        <v>23</v>
      </c>
    </row>
    <row r="9153" spans="1:11" ht="42" customHeight="1">
      <c r="A9153" t="s">
        <v>18161</v>
      </c>
      <c r="B9153" t="s">
        <v>18161</v>
      </c>
      <c r="C9153" t="s">
        <v>109</v>
      </c>
      <c r="D9153" t="s">
        <v>74</v>
      </c>
      <c r="E9153" s="6">
        <v>-28077</v>
      </c>
      <c r="F9153" t="s">
        <v>536</v>
      </c>
      <c r="G9153" t="s">
        <v>48</v>
      </c>
      <c r="H9153" t="s">
        <v>21</v>
      </c>
      <c r="I9153" t="s">
        <v>18180</v>
      </c>
      <c r="J9153" t="str">
        <f>HYPERLINK("https://www.boe.es/gazeta/dias/1823/02/15/pdfs/GMD-1823-49.pdf#page=3","Abrir facsímil")</f>
        <v>Abrir facsímil</v>
      </c>
      <c r="K9153" t="s">
        <v>23</v>
      </c>
    </row>
    <row r="9154" spans="1:11" ht="42" customHeight="1">
      <c r="A9154" t="s">
        <v>18161</v>
      </c>
      <c r="B9154" t="s">
        <v>18161</v>
      </c>
      <c r="C9154" t="s">
        <v>109</v>
      </c>
      <c r="D9154" t="s">
        <v>74</v>
      </c>
      <c r="E9154" s="6">
        <v>-28076</v>
      </c>
      <c r="F9154" t="s">
        <v>1638</v>
      </c>
      <c r="G9154" t="s">
        <v>48</v>
      </c>
      <c r="H9154" t="s">
        <v>21</v>
      </c>
      <c r="I9154" t="s">
        <v>18181</v>
      </c>
      <c r="J9154" t="str">
        <f>HYPERLINK("https://www.boe.es/gazeta/dias/1823/02/16/pdfs/GMD-1823-50.pdf#page=3","Abrir facsímil")</f>
        <v>Abrir facsímil</v>
      </c>
      <c r="K9154" t="s">
        <v>23</v>
      </c>
    </row>
    <row r="9155" spans="1:11" ht="42" customHeight="1">
      <c r="A9155" t="s">
        <v>18161</v>
      </c>
      <c r="B9155" t="s">
        <v>18161</v>
      </c>
      <c r="C9155" t="s">
        <v>17</v>
      </c>
      <c r="D9155" t="s">
        <v>18</v>
      </c>
      <c r="E9155" s="6">
        <v>-28071</v>
      </c>
      <c r="F9155" t="s">
        <v>587</v>
      </c>
      <c r="G9155" t="s">
        <v>27</v>
      </c>
      <c r="H9155" t="s">
        <v>21</v>
      </c>
      <c r="I9155" t="s">
        <v>18182</v>
      </c>
      <c r="J9155" t="str">
        <f>HYPERLINK("https://www.boe.es/gazeta/dias/1823/02/21/pdfs/GMD-1823-55.pdf#page=2","Abrir facsímil")</f>
        <v>Abrir facsímil</v>
      </c>
      <c r="K9155" t="s">
        <v>23</v>
      </c>
    </row>
    <row r="9156" spans="1:11" ht="42" customHeight="1">
      <c r="A9156" t="s">
        <v>18161</v>
      </c>
      <c r="B9156" t="s">
        <v>18161</v>
      </c>
      <c r="C9156" t="s">
        <v>17</v>
      </c>
      <c r="D9156" t="s">
        <v>18</v>
      </c>
      <c r="E9156" s="6">
        <v>-28061</v>
      </c>
      <c r="F9156" t="s">
        <v>704</v>
      </c>
      <c r="G9156" t="s">
        <v>48</v>
      </c>
      <c r="H9156" t="s">
        <v>21</v>
      </c>
      <c r="I9156" t="s">
        <v>18183</v>
      </c>
      <c r="J9156" t="str">
        <f>HYPERLINK("https://www.boe.es/gazeta/dias/1823/03/03/pdfs/GMD-1823-66.pdf#page=3","Abrir facsímil")</f>
        <v>Abrir facsímil</v>
      </c>
      <c r="K9156" t="s">
        <v>23</v>
      </c>
    </row>
    <row r="9157" spans="1:11" ht="42" customHeight="1">
      <c r="A9157" t="s">
        <v>18161</v>
      </c>
      <c r="B9157" t="s">
        <v>18161</v>
      </c>
      <c r="C9157" t="s">
        <v>17</v>
      </c>
      <c r="D9157" t="s">
        <v>18</v>
      </c>
      <c r="E9157" s="6">
        <v>-28060</v>
      </c>
      <c r="F9157" t="s">
        <v>180</v>
      </c>
      <c r="G9157" t="s">
        <v>48</v>
      </c>
      <c r="H9157" t="s">
        <v>21</v>
      </c>
      <c r="I9157" t="s">
        <v>18184</v>
      </c>
      <c r="J9157" t="str">
        <f>HYPERLINK("https://www.boe.es/gazeta/dias/1823/03/04/pdfs/GMD-1823-67.pdf#page=3","Abrir facsímil")</f>
        <v>Abrir facsímil</v>
      </c>
      <c r="K9157" t="s">
        <v>23</v>
      </c>
    </row>
    <row r="9158" spans="1:11" ht="42" customHeight="1">
      <c r="A9158" t="s">
        <v>18161</v>
      </c>
      <c r="B9158" t="s">
        <v>18161</v>
      </c>
      <c r="C9158" t="s">
        <v>17</v>
      </c>
      <c r="D9158" t="s">
        <v>18</v>
      </c>
      <c r="E9158" s="6">
        <v>-28060</v>
      </c>
      <c r="F9158" t="s">
        <v>180</v>
      </c>
      <c r="G9158" t="s">
        <v>20</v>
      </c>
      <c r="H9158" t="s">
        <v>21</v>
      </c>
      <c r="I9158" t="s">
        <v>18185</v>
      </c>
      <c r="J9158" t="str">
        <f>HYPERLINK("https://www.boe.es/gazeta/dias/1823/03/04/pdfs/GMD-1823-67.pdf#page=4","Abrir facsímil")</f>
        <v>Abrir facsímil</v>
      </c>
      <c r="K9158" t="s">
        <v>23</v>
      </c>
    </row>
    <row r="9159" spans="1:11" ht="42" customHeight="1">
      <c r="A9159" t="s">
        <v>18161</v>
      </c>
      <c r="B9159" t="s">
        <v>18161</v>
      </c>
      <c r="C9159" t="s">
        <v>17</v>
      </c>
      <c r="D9159" t="s">
        <v>18</v>
      </c>
      <c r="E9159" s="6">
        <v>-28057</v>
      </c>
      <c r="F9159" t="s">
        <v>301</v>
      </c>
      <c r="G9159" t="s">
        <v>48</v>
      </c>
      <c r="H9159" t="s">
        <v>21</v>
      </c>
      <c r="I9159" t="s">
        <v>18186</v>
      </c>
      <c r="J9159" t="str">
        <f>HYPERLINK("https://www.boe.es/gazeta/dias/1823/03/07/pdfs/GMD-1823-70.pdf#page=3","Abrir facsímil")</f>
        <v>Abrir facsímil</v>
      </c>
      <c r="K9159" t="s">
        <v>23</v>
      </c>
    </row>
    <row r="9160" spans="1:11" ht="42" customHeight="1">
      <c r="A9160" t="s">
        <v>18161</v>
      </c>
      <c r="B9160" t="s">
        <v>18161</v>
      </c>
      <c r="C9160" t="s">
        <v>17</v>
      </c>
      <c r="D9160" t="s">
        <v>18</v>
      </c>
      <c r="E9160" s="6">
        <v>-28057</v>
      </c>
      <c r="F9160" t="s">
        <v>301</v>
      </c>
      <c r="G9160" t="s">
        <v>20</v>
      </c>
      <c r="H9160" t="s">
        <v>21</v>
      </c>
      <c r="I9160" t="s">
        <v>18187</v>
      </c>
      <c r="J9160" t="str">
        <f>HYPERLINK("https://www.boe.es/gazeta/dias/1823/03/07/pdfs/GMD-1823-70.pdf#page=4","Abrir facsímil")</f>
        <v>Abrir facsímil</v>
      </c>
      <c r="K9160" t="s">
        <v>23</v>
      </c>
    </row>
    <row r="9161" spans="1:11" ht="42" customHeight="1">
      <c r="A9161" t="s">
        <v>18161</v>
      </c>
      <c r="B9161" t="s">
        <v>18161</v>
      </c>
      <c r="C9161" t="s">
        <v>79</v>
      </c>
      <c r="D9161" t="s">
        <v>74</v>
      </c>
      <c r="E9161" s="6">
        <v>-28056</v>
      </c>
      <c r="F9161" t="s">
        <v>572</v>
      </c>
      <c r="G9161" t="s">
        <v>48</v>
      </c>
      <c r="H9161" t="s">
        <v>21</v>
      </c>
      <c r="I9161" t="s">
        <v>18188</v>
      </c>
      <c r="J9161" t="str">
        <f>HYPERLINK("https://www.boe.es/gazeta/dias/1823/03/08/pdfs/GMD-1823-71.pdf#page=3","Abrir facsímil")</f>
        <v>Abrir facsímil</v>
      </c>
      <c r="K9161" t="s">
        <v>23</v>
      </c>
    </row>
    <row r="9162" spans="1:11" ht="42" customHeight="1">
      <c r="A9162" t="s">
        <v>18161</v>
      </c>
      <c r="B9162" t="s">
        <v>18161</v>
      </c>
      <c r="C9162" t="s">
        <v>79</v>
      </c>
      <c r="D9162" t="s">
        <v>74</v>
      </c>
      <c r="E9162" s="6">
        <v>-28056</v>
      </c>
      <c r="F9162" t="s">
        <v>572</v>
      </c>
      <c r="G9162" t="s">
        <v>20</v>
      </c>
      <c r="H9162" t="s">
        <v>21</v>
      </c>
      <c r="I9162" t="s">
        <v>18189</v>
      </c>
      <c r="J9162" t="str">
        <f>HYPERLINK("https://www.boe.es/gazeta/dias/1823/03/08/pdfs/GMD-1823-71.pdf#page=4","Abrir facsímil")</f>
        <v>Abrir facsímil</v>
      </c>
      <c r="K9162" t="s">
        <v>23</v>
      </c>
    </row>
    <row r="9163" spans="1:11" ht="42" customHeight="1">
      <c r="A9163" t="s">
        <v>18161</v>
      </c>
      <c r="B9163" t="s">
        <v>18161</v>
      </c>
      <c r="C9163" t="s">
        <v>56</v>
      </c>
      <c r="D9163" t="s">
        <v>57</v>
      </c>
      <c r="E9163" s="6">
        <v>-28054</v>
      </c>
      <c r="F9163" t="s">
        <v>1292</v>
      </c>
      <c r="G9163" t="s">
        <v>27</v>
      </c>
      <c r="H9163" t="s">
        <v>21</v>
      </c>
      <c r="I9163" t="s">
        <v>18190</v>
      </c>
      <c r="J9163" t="str">
        <f>HYPERLINK("https://www.boe.es/gazeta/dias/1823/03/10/pdfs/GMD-1823-73.pdf#page=2","Abrir facsímil")</f>
        <v>Abrir facsímil</v>
      </c>
      <c r="K9163" t="s">
        <v>23</v>
      </c>
    </row>
    <row r="9164" spans="1:11" ht="42" customHeight="1">
      <c r="A9164" t="s">
        <v>18161</v>
      </c>
      <c r="B9164" t="s">
        <v>18161</v>
      </c>
      <c r="C9164" t="s">
        <v>79</v>
      </c>
      <c r="D9164" t="s">
        <v>74</v>
      </c>
      <c r="E9164" s="6">
        <v>-28049</v>
      </c>
      <c r="F9164" t="s">
        <v>198</v>
      </c>
      <c r="G9164" t="s">
        <v>48</v>
      </c>
      <c r="H9164" t="s">
        <v>21</v>
      </c>
      <c r="I9164" t="s">
        <v>18191</v>
      </c>
      <c r="J9164" t="str">
        <f>HYPERLINK("https://www.boe.es/gazeta/dias/1823/03/15/pdfs/GMD-1823-78.pdf#page=3","Abrir facsímil")</f>
        <v>Abrir facsímil</v>
      </c>
      <c r="K9164" t="s">
        <v>23</v>
      </c>
    </row>
    <row r="9165" spans="1:11" ht="42" customHeight="1">
      <c r="A9165" t="s">
        <v>18161</v>
      </c>
      <c r="B9165" t="s">
        <v>18161</v>
      </c>
      <c r="C9165" t="s">
        <v>17</v>
      </c>
      <c r="D9165" t="s">
        <v>18</v>
      </c>
      <c r="E9165" s="6">
        <v>-28007</v>
      </c>
      <c r="F9165" t="s">
        <v>311</v>
      </c>
      <c r="G9165" t="s">
        <v>48</v>
      </c>
      <c r="H9165" t="s">
        <v>21</v>
      </c>
      <c r="I9165" t="s">
        <v>18192</v>
      </c>
      <c r="J9165" t="str">
        <f>HYPERLINK("https://www.boe.es/gazeta/dias/1823/04/26/pdfs/GES-1823-16.pdf#page=3","Abrir facsímil")</f>
        <v>Abrir facsímil</v>
      </c>
      <c r="K9165" t="s">
        <v>23</v>
      </c>
    </row>
    <row r="9166" spans="1:11" ht="42" customHeight="1">
      <c r="A9166" t="s">
        <v>18161</v>
      </c>
      <c r="B9166" t="s">
        <v>18161</v>
      </c>
      <c r="C9166" t="s">
        <v>73</v>
      </c>
      <c r="D9166" t="s">
        <v>74</v>
      </c>
      <c r="E9166" s="6">
        <v>-28005</v>
      </c>
      <c r="F9166" t="s">
        <v>1648</v>
      </c>
      <c r="G9166" t="s">
        <v>27</v>
      </c>
      <c r="H9166" t="s">
        <v>21</v>
      </c>
      <c r="I9166" t="s">
        <v>18193</v>
      </c>
      <c r="J9166" t="str">
        <f>HYPERLINK("https://www.boe.es/gazeta/dias/1823/04/28/pdfs/GES-1823-18.pdf#page=2","Abrir facsímil")</f>
        <v>Abrir facsímil</v>
      </c>
      <c r="K9166" t="s">
        <v>23</v>
      </c>
    </row>
    <row r="9167" spans="1:11" ht="42" customHeight="1">
      <c r="A9167" t="s">
        <v>18161</v>
      </c>
      <c r="B9167" t="s">
        <v>18161</v>
      </c>
      <c r="C9167" t="s">
        <v>79</v>
      </c>
      <c r="D9167" t="s">
        <v>74</v>
      </c>
      <c r="E9167" s="6">
        <v>-28003</v>
      </c>
      <c r="F9167" t="s">
        <v>26</v>
      </c>
      <c r="G9167" t="s">
        <v>27</v>
      </c>
      <c r="H9167" t="s">
        <v>21</v>
      </c>
      <c r="I9167" t="s">
        <v>18194</v>
      </c>
      <c r="J9167" t="str">
        <f>HYPERLINK("https://www.boe.es/gazeta/dias/1823/04/30/pdfs/GES-1823-20.pdf#page=2","Abrir facsímil")</f>
        <v>Abrir facsímil</v>
      </c>
      <c r="K9167" t="s">
        <v>23</v>
      </c>
    </row>
    <row r="9168" spans="1:11" ht="42" customHeight="1">
      <c r="A9168" t="s">
        <v>18161</v>
      </c>
      <c r="B9168" t="s">
        <v>18161</v>
      </c>
      <c r="C9168" t="s">
        <v>79</v>
      </c>
      <c r="D9168" t="s">
        <v>74</v>
      </c>
      <c r="E9168" s="6">
        <v>-28003</v>
      </c>
      <c r="F9168" t="s">
        <v>26</v>
      </c>
      <c r="G9168" t="s">
        <v>34</v>
      </c>
      <c r="H9168" t="s">
        <v>21</v>
      </c>
      <c r="I9168" t="s">
        <v>18195</v>
      </c>
      <c r="J9168" t="str">
        <f>HYPERLINK("https://www.boe.es/gazeta/dias/1823/04/30/pdfs/GES-1823-20.pdf#page=5","Abrir facsímil")</f>
        <v>Abrir facsímil</v>
      </c>
      <c r="K9168" t="s">
        <v>23</v>
      </c>
    </row>
    <row r="9169" spans="1:11" ht="42" customHeight="1">
      <c r="A9169" t="s">
        <v>18161</v>
      </c>
      <c r="B9169" t="s">
        <v>18161</v>
      </c>
      <c r="C9169" t="s">
        <v>56</v>
      </c>
      <c r="D9169" t="s">
        <v>57</v>
      </c>
      <c r="E9169" s="6">
        <v>-28002</v>
      </c>
      <c r="F9169" t="s">
        <v>315</v>
      </c>
      <c r="G9169" t="s">
        <v>27</v>
      </c>
      <c r="H9169" t="s">
        <v>21</v>
      </c>
      <c r="I9169" t="s">
        <v>18196</v>
      </c>
      <c r="J9169" t="str">
        <f>HYPERLINK("https://www.boe.es/gazeta/dias/1823/05/01/pdfs/GES-1823-21.pdf#page=2","Abrir facsímil")</f>
        <v>Abrir facsímil</v>
      </c>
      <c r="K9169" t="s">
        <v>23</v>
      </c>
    </row>
    <row r="9170" spans="1:11" ht="42" customHeight="1">
      <c r="A9170" t="s">
        <v>18161</v>
      </c>
      <c r="B9170" t="s">
        <v>18161</v>
      </c>
      <c r="C9170" t="s">
        <v>56</v>
      </c>
      <c r="D9170" t="s">
        <v>57</v>
      </c>
      <c r="E9170" s="6">
        <v>-28001</v>
      </c>
      <c r="F9170" t="s">
        <v>768</v>
      </c>
      <c r="G9170" t="s">
        <v>27</v>
      </c>
      <c r="H9170" t="s">
        <v>21</v>
      </c>
      <c r="I9170" t="s">
        <v>18197</v>
      </c>
      <c r="J9170" t="str">
        <f>HYPERLINK("https://www.boe.es/gazeta/dias/1823/05/02/pdfs/GES-1823-22.pdf#page=2","Abrir facsímil")</f>
        <v>Abrir facsímil</v>
      </c>
      <c r="K9170" t="s">
        <v>23</v>
      </c>
    </row>
    <row r="9171" spans="1:11" ht="42" customHeight="1">
      <c r="A9171" t="s">
        <v>18161</v>
      </c>
      <c r="B9171" t="s">
        <v>18161</v>
      </c>
      <c r="C9171" t="s">
        <v>293</v>
      </c>
      <c r="D9171" t="s">
        <v>74</v>
      </c>
      <c r="E9171" s="6">
        <v>-28001</v>
      </c>
      <c r="F9171" t="s">
        <v>768</v>
      </c>
      <c r="G9171" t="s">
        <v>48</v>
      </c>
      <c r="H9171" t="s">
        <v>21</v>
      </c>
      <c r="I9171" t="s">
        <v>18198</v>
      </c>
      <c r="J9171" t="str">
        <f>HYPERLINK("https://www.boe.es/gazeta/dias/1823/05/02/pdfs/GES-1823-22.pdf#page=3","Abrir facsímil")</f>
        <v>Abrir facsímil</v>
      </c>
      <c r="K9171" t="s">
        <v>23</v>
      </c>
    </row>
    <row r="9172" spans="1:11" ht="42" customHeight="1">
      <c r="A9172" t="s">
        <v>18161</v>
      </c>
      <c r="B9172" t="s">
        <v>18161</v>
      </c>
      <c r="C9172" t="s">
        <v>109</v>
      </c>
      <c r="D9172" t="s">
        <v>74</v>
      </c>
      <c r="E9172" s="6">
        <v>-28000</v>
      </c>
      <c r="F9172" t="s">
        <v>138</v>
      </c>
      <c r="G9172" t="s">
        <v>27</v>
      </c>
      <c r="H9172" t="s">
        <v>21</v>
      </c>
      <c r="I9172" t="s">
        <v>18199</v>
      </c>
      <c r="J9172" t="str">
        <f>HYPERLINK("https://www.boe.es/gazeta/dias/1823/05/03/pdfs/GMD-1823-92.pdf#page=2","Abrir facsímil")</f>
        <v>Abrir facsímil</v>
      </c>
      <c r="K9172" t="s">
        <v>23</v>
      </c>
    </row>
    <row r="9173" spans="1:11" ht="42" customHeight="1">
      <c r="A9173" t="s">
        <v>18161</v>
      </c>
      <c r="B9173" t="s">
        <v>18161</v>
      </c>
      <c r="C9173" t="s">
        <v>17</v>
      </c>
      <c r="D9173" t="s">
        <v>18</v>
      </c>
      <c r="E9173" s="6">
        <v>-27995</v>
      </c>
      <c r="F9173" t="s">
        <v>320</v>
      </c>
      <c r="G9173" t="s">
        <v>321</v>
      </c>
      <c r="H9173" t="s">
        <v>21</v>
      </c>
      <c r="I9173" t="s">
        <v>18200</v>
      </c>
      <c r="J9173" t="str">
        <f>HYPERLINK("https://www.boe.es/gazeta/dias/1823/05/08/pdfs/GES-1823-28.pdf#page=3","Abrir facsímil")</f>
        <v>Abrir facsímil</v>
      </c>
      <c r="K9173" t="s">
        <v>23</v>
      </c>
    </row>
    <row r="9174" spans="1:11" ht="42" customHeight="1">
      <c r="A9174" t="s">
        <v>18161</v>
      </c>
      <c r="B9174" t="s">
        <v>18161</v>
      </c>
      <c r="C9174" t="s">
        <v>109</v>
      </c>
      <c r="D9174" t="s">
        <v>74</v>
      </c>
      <c r="E9174" s="6">
        <v>-27995</v>
      </c>
      <c r="F9174" t="s">
        <v>320</v>
      </c>
      <c r="G9174" t="s">
        <v>27</v>
      </c>
      <c r="H9174" t="s">
        <v>21</v>
      </c>
      <c r="I9174" t="s">
        <v>18201</v>
      </c>
      <c r="J9174" t="str">
        <f>HYPERLINK("https://www.boe.es/gazeta/dias/1823/05/08/pdfs/GES-1823-28.pdf#page=2","Abrir facsímil")</f>
        <v>Abrir facsímil</v>
      </c>
      <c r="K9174" t="s">
        <v>23</v>
      </c>
    </row>
    <row r="9175" spans="1:11" ht="42" customHeight="1">
      <c r="A9175" t="s">
        <v>18161</v>
      </c>
      <c r="B9175" t="s">
        <v>18161</v>
      </c>
      <c r="C9175" t="s">
        <v>109</v>
      </c>
      <c r="D9175" t="s">
        <v>74</v>
      </c>
      <c r="E9175" s="6">
        <v>-27995</v>
      </c>
      <c r="F9175" t="s">
        <v>320</v>
      </c>
      <c r="G9175" t="s">
        <v>20</v>
      </c>
      <c r="H9175" t="s">
        <v>21</v>
      </c>
      <c r="I9175" t="s">
        <v>18202</v>
      </c>
      <c r="J9175" t="str">
        <f>HYPERLINK("https://www.boe.es/gazeta/dias/1823/05/08/pdfs/GES-1823-28.pdf#page=4","Abrir facsímil")</f>
        <v>Abrir facsímil</v>
      </c>
      <c r="K9175" t="s">
        <v>23</v>
      </c>
    </row>
    <row r="9176" spans="1:11" ht="42" customHeight="1">
      <c r="A9176" t="s">
        <v>18161</v>
      </c>
      <c r="B9176" t="s">
        <v>18161</v>
      </c>
      <c r="C9176" t="s">
        <v>56</v>
      </c>
      <c r="D9176" t="s">
        <v>57</v>
      </c>
      <c r="E9176" s="6">
        <v>-27995</v>
      </c>
      <c r="F9176" t="s">
        <v>326</v>
      </c>
      <c r="G9176" t="s">
        <v>27</v>
      </c>
      <c r="H9176" t="s">
        <v>21</v>
      </c>
      <c r="I9176" t="s">
        <v>18203</v>
      </c>
      <c r="J9176" t="str">
        <f>HYPERLINK("https://www.boe.es/gazeta/dias/1823/05/08/pdfs/GMD-1823-112.pdf#page=2","Abrir facsímil")</f>
        <v>Abrir facsímil</v>
      </c>
      <c r="K9176" t="s">
        <v>23</v>
      </c>
    </row>
    <row r="9177" spans="1:11" ht="42" customHeight="1">
      <c r="A9177" t="s">
        <v>18161</v>
      </c>
      <c r="B9177" t="s">
        <v>18161</v>
      </c>
      <c r="C9177" t="s">
        <v>56</v>
      </c>
      <c r="D9177" t="s">
        <v>57</v>
      </c>
      <c r="E9177" s="6">
        <v>-27994</v>
      </c>
      <c r="F9177" t="s">
        <v>714</v>
      </c>
      <c r="G9177" t="s">
        <v>4475</v>
      </c>
      <c r="H9177" t="s">
        <v>21</v>
      </c>
      <c r="I9177" t="s">
        <v>18204</v>
      </c>
      <c r="J9177" t="str">
        <f>HYPERLINK("https://www.boe.es/gazeta/dias/1823/05/09/pdfs/GES-1823-29.pdf#page=3","Abrir facsímil")</f>
        <v>Abrir facsímil</v>
      </c>
      <c r="K9177" t="s">
        <v>23</v>
      </c>
    </row>
    <row r="9178" spans="1:11" ht="42" customHeight="1">
      <c r="A9178" t="s">
        <v>18161</v>
      </c>
      <c r="B9178" t="s">
        <v>18161</v>
      </c>
      <c r="C9178" t="s">
        <v>56</v>
      </c>
      <c r="D9178" t="s">
        <v>57</v>
      </c>
      <c r="E9178" s="6">
        <v>-27994</v>
      </c>
      <c r="F9178" t="s">
        <v>714</v>
      </c>
      <c r="G9178" t="s">
        <v>20</v>
      </c>
      <c r="H9178" t="s">
        <v>21</v>
      </c>
      <c r="I9178" t="s">
        <v>18205</v>
      </c>
      <c r="J9178" t="str">
        <f>HYPERLINK("https://www.boe.es/gazeta/dias/1823/05/09/pdfs/GES-1823-29.pdf#page=4","Abrir facsímil")</f>
        <v>Abrir facsímil</v>
      </c>
      <c r="K9178" t="s">
        <v>23</v>
      </c>
    </row>
    <row r="9179" spans="1:11" ht="42" customHeight="1">
      <c r="A9179" t="s">
        <v>18161</v>
      </c>
      <c r="B9179" t="s">
        <v>18161</v>
      </c>
      <c r="C9179" t="s">
        <v>109</v>
      </c>
      <c r="D9179" t="s">
        <v>74</v>
      </c>
      <c r="E9179" s="6">
        <v>-27994</v>
      </c>
      <c r="F9179" t="s">
        <v>714</v>
      </c>
      <c r="G9179" t="s">
        <v>34</v>
      </c>
      <c r="H9179" t="s">
        <v>21</v>
      </c>
      <c r="I9179" t="s">
        <v>18206</v>
      </c>
      <c r="J9179" t="str">
        <f>HYPERLINK("https://www.boe.es/gazeta/dias/1823/05/09/pdfs/GES-1823-29.pdf#page=5","Abrir facsímil")</f>
        <v>Abrir facsímil</v>
      </c>
      <c r="K9179" t="s">
        <v>23</v>
      </c>
    </row>
    <row r="9180" spans="1:11" ht="42" customHeight="1">
      <c r="A9180" t="s">
        <v>18161</v>
      </c>
      <c r="B9180" t="s">
        <v>18161</v>
      </c>
      <c r="C9180" t="s">
        <v>73</v>
      </c>
      <c r="D9180" t="s">
        <v>74</v>
      </c>
      <c r="E9180" s="6">
        <v>-27992</v>
      </c>
      <c r="F9180" t="s">
        <v>565</v>
      </c>
      <c r="G9180" t="s">
        <v>48</v>
      </c>
      <c r="H9180" t="s">
        <v>21</v>
      </c>
      <c r="I9180" t="s">
        <v>18207</v>
      </c>
      <c r="J9180" t="str">
        <f>HYPERLINK("https://www.boe.es/gazeta/dias/1823/05/11/pdfs/GES-1823-31.pdf#page=3","Abrir facsímil")</f>
        <v>Abrir facsímil</v>
      </c>
      <c r="K9180" t="s">
        <v>23</v>
      </c>
    </row>
    <row r="9181" spans="1:11" ht="42" customHeight="1">
      <c r="A9181" t="s">
        <v>18161</v>
      </c>
      <c r="B9181" t="s">
        <v>18161</v>
      </c>
      <c r="C9181" t="s">
        <v>17</v>
      </c>
      <c r="D9181" t="s">
        <v>18</v>
      </c>
      <c r="E9181" s="6">
        <v>-27990</v>
      </c>
      <c r="F9181" t="s">
        <v>330</v>
      </c>
      <c r="G9181" t="s">
        <v>48</v>
      </c>
      <c r="H9181" t="s">
        <v>21</v>
      </c>
      <c r="I9181" t="s">
        <v>18208</v>
      </c>
      <c r="J9181" t="str">
        <f>HYPERLINK("https://www.boe.es/gazeta/dias/1823/05/13/pdfs/GMD-1823-132.pdf#page=3","Abrir facsímil")</f>
        <v>Abrir facsímil</v>
      </c>
      <c r="K9181" t="s">
        <v>23</v>
      </c>
    </row>
    <row r="9182" spans="1:11" ht="42" customHeight="1">
      <c r="A9182" t="s">
        <v>18161</v>
      </c>
      <c r="B9182" t="s">
        <v>18161</v>
      </c>
      <c r="C9182" t="s">
        <v>17</v>
      </c>
      <c r="D9182" t="s">
        <v>18</v>
      </c>
      <c r="E9182" s="6">
        <v>-27989</v>
      </c>
      <c r="F9182" t="s">
        <v>1134</v>
      </c>
      <c r="G9182" t="s">
        <v>48</v>
      </c>
      <c r="H9182" t="s">
        <v>21</v>
      </c>
      <c r="I9182" t="s">
        <v>18209</v>
      </c>
      <c r="J9182" t="str">
        <f>HYPERLINK("https://www.boe.es/gazeta/dias/1823/05/14/pdfs/GES-1823-34.pdf#page=3","Abrir facsímil")</f>
        <v>Abrir facsímil</v>
      </c>
      <c r="K9182" t="s">
        <v>23</v>
      </c>
    </row>
    <row r="9183" spans="1:11" ht="42" customHeight="1">
      <c r="A9183" t="s">
        <v>18161</v>
      </c>
      <c r="B9183" t="s">
        <v>18161</v>
      </c>
      <c r="C9183" t="s">
        <v>79</v>
      </c>
      <c r="D9183" t="s">
        <v>74</v>
      </c>
      <c r="E9183" s="6">
        <v>-27988</v>
      </c>
      <c r="F9183" t="s">
        <v>692</v>
      </c>
      <c r="G9183" t="s">
        <v>27</v>
      </c>
      <c r="H9183" t="s">
        <v>21</v>
      </c>
      <c r="I9183" t="s">
        <v>18210</v>
      </c>
      <c r="J9183" t="str">
        <f>HYPERLINK("https://www.boe.es/gazeta/dias/1823/05/15/pdfs/GES-1823-35.pdf#page=2","Abrir facsímil")</f>
        <v>Abrir facsímil</v>
      </c>
      <c r="K9183" t="s">
        <v>23</v>
      </c>
    </row>
    <row r="9184" spans="1:11" ht="42" customHeight="1">
      <c r="A9184" t="s">
        <v>18161</v>
      </c>
      <c r="B9184" t="s">
        <v>18161</v>
      </c>
      <c r="C9184" t="s">
        <v>17</v>
      </c>
      <c r="D9184" t="s">
        <v>18</v>
      </c>
      <c r="E9184" s="6">
        <v>-27988</v>
      </c>
      <c r="F9184" t="s">
        <v>692</v>
      </c>
      <c r="G9184" t="s">
        <v>48</v>
      </c>
      <c r="H9184" t="s">
        <v>21</v>
      </c>
      <c r="I9184" t="s">
        <v>18211</v>
      </c>
      <c r="J9184" t="str">
        <f>HYPERLINK("https://www.boe.es/gazeta/dias/1823/05/15/pdfs/GES-1823-35.pdf#page=3","Abrir facsímil")</f>
        <v>Abrir facsímil</v>
      </c>
      <c r="K9184" t="s">
        <v>23</v>
      </c>
    </row>
    <row r="9185" spans="1:11" ht="42" customHeight="1">
      <c r="A9185" t="s">
        <v>18161</v>
      </c>
      <c r="B9185" t="s">
        <v>18161</v>
      </c>
      <c r="C9185" t="s">
        <v>17</v>
      </c>
      <c r="D9185" t="s">
        <v>18</v>
      </c>
      <c r="E9185" s="6">
        <v>-27988</v>
      </c>
      <c r="F9185" t="s">
        <v>2022</v>
      </c>
      <c r="G9185" t="s">
        <v>39</v>
      </c>
      <c r="H9185" t="s">
        <v>21</v>
      </c>
      <c r="I9185" t="s">
        <v>18212</v>
      </c>
      <c r="J9185" t="str">
        <f>HYPERLINK("https://www.boe.es/gazeta/dias/1823/05/15/pdfs/GMD-1823-142.pdf#page=1","Abrir facsímil")</f>
        <v>Abrir facsímil</v>
      </c>
      <c r="K9185" t="s">
        <v>23</v>
      </c>
    </row>
    <row r="9186" spans="1:11" ht="42" customHeight="1">
      <c r="A9186" t="s">
        <v>18161</v>
      </c>
      <c r="B9186" t="s">
        <v>18161</v>
      </c>
      <c r="C9186" t="s">
        <v>56</v>
      </c>
      <c r="D9186" t="s">
        <v>57</v>
      </c>
      <c r="E9186" s="6">
        <v>-27987</v>
      </c>
      <c r="F9186" t="s">
        <v>332</v>
      </c>
      <c r="G9186" t="s">
        <v>48</v>
      </c>
      <c r="H9186" t="s">
        <v>21</v>
      </c>
      <c r="I9186" t="s">
        <v>18213</v>
      </c>
      <c r="J9186" t="str">
        <f>HYPERLINK("https://www.boe.es/gazeta/dias/1823/05/16/pdfs/GES-1823-36.pdf#page=3","Abrir facsímil")</f>
        <v>Abrir facsímil</v>
      </c>
      <c r="K9186" t="s">
        <v>23</v>
      </c>
    </row>
    <row r="9187" spans="1:11" ht="42" customHeight="1">
      <c r="A9187" t="s">
        <v>18161</v>
      </c>
      <c r="B9187" t="s">
        <v>18161</v>
      </c>
      <c r="C9187" t="s">
        <v>56</v>
      </c>
      <c r="D9187" t="s">
        <v>57</v>
      </c>
      <c r="E9187" s="6">
        <v>-27986</v>
      </c>
      <c r="F9187" t="s">
        <v>75</v>
      </c>
      <c r="G9187" t="s">
        <v>48</v>
      </c>
      <c r="H9187" t="s">
        <v>21</v>
      </c>
      <c r="I9187" t="s">
        <v>18214</v>
      </c>
      <c r="J9187" t="str">
        <f>HYPERLINK("https://www.boe.es/gazeta/dias/1823/05/17/pdfs/GES-1823-37.pdf#page=3","Abrir facsímil")</f>
        <v>Abrir facsímil</v>
      </c>
      <c r="K9187" t="s">
        <v>23</v>
      </c>
    </row>
    <row r="9188" spans="1:11" ht="42" customHeight="1">
      <c r="A9188" t="s">
        <v>18161</v>
      </c>
      <c r="B9188" t="s">
        <v>18161</v>
      </c>
      <c r="C9188" t="s">
        <v>109</v>
      </c>
      <c r="D9188" t="s">
        <v>74</v>
      </c>
      <c r="E9188" s="6">
        <v>-27986</v>
      </c>
      <c r="F9188" t="s">
        <v>75</v>
      </c>
      <c r="G9188" t="s">
        <v>20</v>
      </c>
      <c r="H9188" t="s">
        <v>21</v>
      </c>
      <c r="I9188" t="s">
        <v>18215</v>
      </c>
      <c r="J9188" t="str">
        <f>HYPERLINK("https://www.boe.es/gazeta/dias/1823/05/17/pdfs/GES-1823-37.pdf#page=4","Abrir facsímil")</f>
        <v>Abrir facsímil</v>
      </c>
      <c r="K9188" t="s">
        <v>23</v>
      </c>
    </row>
    <row r="9189" spans="1:11" ht="42" customHeight="1">
      <c r="A9189" t="s">
        <v>18161</v>
      </c>
      <c r="B9189" t="s">
        <v>18161</v>
      </c>
      <c r="C9189" t="s">
        <v>73</v>
      </c>
      <c r="D9189" t="s">
        <v>74</v>
      </c>
      <c r="E9189" s="6">
        <v>-27986</v>
      </c>
      <c r="F9189" t="s">
        <v>607</v>
      </c>
      <c r="G9189" t="s">
        <v>48</v>
      </c>
      <c r="H9189" t="s">
        <v>21</v>
      </c>
      <c r="I9189" t="s">
        <v>18216</v>
      </c>
      <c r="J9189" t="str">
        <f>HYPERLINK("https://www.boe.es/gazeta/dias/1823/05/17/pdfs/GMD-1823-152.pdf#page=3","Abrir facsímil")</f>
        <v>Abrir facsímil</v>
      </c>
      <c r="K9189" t="s">
        <v>23</v>
      </c>
    </row>
    <row r="9190" spans="1:11" ht="42" customHeight="1">
      <c r="A9190" t="s">
        <v>18161</v>
      </c>
      <c r="B9190" t="s">
        <v>18161</v>
      </c>
      <c r="C9190" t="s">
        <v>17</v>
      </c>
      <c r="D9190" t="s">
        <v>18</v>
      </c>
      <c r="E9190" s="6">
        <v>-27986</v>
      </c>
      <c r="F9190" t="s">
        <v>607</v>
      </c>
      <c r="G9190" t="s">
        <v>20</v>
      </c>
      <c r="H9190" t="s">
        <v>21</v>
      </c>
      <c r="I9190" t="s">
        <v>18217</v>
      </c>
      <c r="J9190" t="str">
        <f>HYPERLINK("https://www.boe.es/gazeta/dias/1823/05/17/pdfs/GMD-1823-152.pdf#page=4","Abrir facsímil")</f>
        <v>Abrir facsímil</v>
      </c>
      <c r="K9190" t="s">
        <v>23</v>
      </c>
    </row>
    <row r="9191" spans="1:11" ht="42" customHeight="1">
      <c r="A9191" t="s">
        <v>18161</v>
      </c>
      <c r="B9191" t="s">
        <v>18161</v>
      </c>
      <c r="C9191" t="s">
        <v>109</v>
      </c>
      <c r="D9191" t="s">
        <v>74</v>
      </c>
      <c r="E9191" s="6">
        <v>-27985</v>
      </c>
      <c r="F9191" t="s">
        <v>951</v>
      </c>
      <c r="G9191" t="s">
        <v>27</v>
      </c>
      <c r="H9191" t="s">
        <v>21</v>
      </c>
      <c r="I9191" t="s">
        <v>18218</v>
      </c>
      <c r="J9191" t="str">
        <f>HYPERLINK("https://www.boe.es/gazeta/dias/1823/05/18/pdfs/GES-1823-38.pdf#page=2","Abrir facsímil")</f>
        <v>Abrir facsímil</v>
      </c>
      <c r="K9191" t="s">
        <v>23</v>
      </c>
    </row>
    <row r="9192" spans="1:11" ht="42" customHeight="1">
      <c r="A9192" t="s">
        <v>18161</v>
      </c>
      <c r="B9192" t="s">
        <v>18161</v>
      </c>
      <c r="C9192" t="s">
        <v>293</v>
      </c>
      <c r="D9192" t="s">
        <v>74</v>
      </c>
      <c r="E9192" s="6">
        <v>-27985</v>
      </c>
      <c r="F9192" t="s">
        <v>951</v>
      </c>
      <c r="G9192" t="s">
        <v>48</v>
      </c>
      <c r="H9192" t="s">
        <v>21</v>
      </c>
      <c r="I9192" t="s">
        <v>18219</v>
      </c>
      <c r="J9192" t="str">
        <f>HYPERLINK("https://www.boe.es/gazeta/dias/1823/05/18/pdfs/GES-1823-38.pdf#page=3","Abrir facsímil")</f>
        <v>Abrir facsímil</v>
      </c>
      <c r="K9192" t="s">
        <v>23</v>
      </c>
    </row>
    <row r="9193" spans="1:11" ht="42" customHeight="1">
      <c r="A9193" t="s">
        <v>18161</v>
      </c>
      <c r="B9193" t="s">
        <v>18161</v>
      </c>
      <c r="C9193" t="s">
        <v>79</v>
      </c>
      <c r="D9193" t="s">
        <v>74</v>
      </c>
      <c r="E9193" s="6">
        <v>-27985</v>
      </c>
      <c r="F9193" t="s">
        <v>951</v>
      </c>
      <c r="G9193" t="s">
        <v>20</v>
      </c>
      <c r="H9193" t="s">
        <v>21</v>
      </c>
      <c r="I9193" t="s">
        <v>18220</v>
      </c>
      <c r="J9193" t="str">
        <f>HYPERLINK("https://www.boe.es/gazeta/dias/1823/05/18/pdfs/GES-1823-38.pdf#page=4","Abrir facsímil")</f>
        <v>Abrir facsímil</v>
      </c>
      <c r="K9193" t="s">
        <v>23</v>
      </c>
    </row>
    <row r="9194" spans="1:11" ht="42" customHeight="1">
      <c r="A9194" t="s">
        <v>18161</v>
      </c>
      <c r="B9194" t="s">
        <v>18161</v>
      </c>
      <c r="C9194" t="s">
        <v>56</v>
      </c>
      <c r="D9194" t="s">
        <v>57</v>
      </c>
      <c r="E9194" s="6">
        <v>-27982</v>
      </c>
      <c r="F9194" t="s">
        <v>340</v>
      </c>
      <c r="G9194" t="s">
        <v>20</v>
      </c>
      <c r="H9194" t="s">
        <v>21</v>
      </c>
      <c r="I9194" t="s">
        <v>18221</v>
      </c>
      <c r="J9194" t="str">
        <f>HYPERLINK("https://www.boe.es/gazeta/dias/1823/05/21/pdfs/GES-1823-42.pdf#page=4","Abrir facsímil")</f>
        <v>Abrir facsímil</v>
      </c>
      <c r="K9194" t="s">
        <v>23</v>
      </c>
    </row>
    <row r="9195" spans="1:11" ht="42" customHeight="1">
      <c r="A9195" t="s">
        <v>18161</v>
      </c>
      <c r="B9195" t="s">
        <v>18161</v>
      </c>
      <c r="C9195" t="s">
        <v>17</v>
      </c>
      <c r="D9195" t="s">
        <v>18</v>
      </c>
      <c r="E9195" s="6">
        <v>-27979</v>
      </c>
      <c r="F9195" t="s">
        <v>1071</v>
      </c>
      <c r="G9195" t="s">
        <v>27</v>
      </c>
      <c r="H9195" t="s">
        <v>21</v>
      </c>
      <c r="I9195" t="s">
        <v>18222</v>
      </c>
      <c r="J9195" t="str">
        <f>HYPERLINK("https://www.boe.es/gazeta/dias/1823/05/24/pdfs/GES-1823-45.pdf#page=2","Abrir facsímil")</f>
        <v>Abrir facsímil</v>
      </c>
      <c r="K9195" t="s">
        <v>23</v>
      </c>
    </row>
    <row r="9196" spans="1:11" ht="42" customHeight="1">
      <c r="A9196" t="s">
        <v>18161</v>
      </c>
      <c r="B9196" t="s">
        <v>18161</v>
      </c>
      <c r="C9196" t="s">
        <v>56</v>
      </c>
      <c r="D9196" t="s">
        <v>57</v>
      </c>
      <c r="E9196" s="6">
        <v>-27975</v>
      </c>
      <c r="F9196" t="s">
        <v>47</v>
      </c>
      <c r="G9196" t="s">
        <v>39</v>
      </c>
      <c r="H9196" t="s">
        <v>21</v>
      </c>
      <c r="I9196" t="s">
        <v>18223</v>
      </c>
      <c r="J9196" t="str">
        <f>HYPERLINK("https://www.boe.es/gazeta/dias/1823/05/28/pdfs/GES-1823-50.pdf#page=1","Abrir facsímil")</f>
        <v>Abrir facsímil</v>
      </c>
      <c r="K9196" t="s">
        <v>23</v>
      </c>
    </row>
    <row r="9197" spans="1:11" ht="42" customHeight="1">
      <c r="A9197" t="s">
        <v>18161</v>
      </c>
      <c r="B9197" t="s">
        <v>18161</v>
      </c>
      <c r="C9197" t="s">
        <v>109</v>
      </c>
      <c r="D9197" t="s">
        <v>74</v>
      </c>
      <c r="E9197" s="6">
        <v>-27975</v>
      </c>
      <c r="F9197" t="s">
        <v>47</v>
      </c>
      <c r="G9197" t="s">
        <v>27</v>
      </c>
      <c r="H9197" t="s">
        <v>21</v>
      </c>
      <c r="I9197" t="s">
        <v>18224</v>
      </c>
      <c r="J9197" t="str">
        <f>HYPERLINK("https://www.boe.es/gazeta/dias/1823/05/28/pdfs/GES-1823-50.pdf#page=2","Abrir facsímil")</f>
        <v>Abrir facsímil</v>
      </c>
      <c r="K9197" t="s">
        <v>23</v>
      </c>
    </row>
    <row r="9198" spans="1:11" ht="42" customHeight="1">
      <c r="A9198" t="s">
        <v>18161</v>
      </c>
      <c r="B9198" t="s">
        <v>18161</v>
      </c>
      <c r="C9198" t="s">
        <v>17</v>
      </c>
      <c r="D9198" t="s">
        <v>18</v>
      </c>
      <c r="E9198" s="6">
        <v>-27974</v>
      </c>
      <c r="F9198" t="s">
        <v>618</v>
      </c>
      <c r="G9198" t="s">
        <v>39</v>
      </c>
      <c r="H9198" t="s">
        <v>21</v>
      </c>
      <c r="I9198" t="s">
        <v>18225</v>
      </c>
      <c r="J9198" t="str">
        <f>HYPERLINK("https://www.boe.es/gazeta/dias/1823/05/29/pdfs/GES-1823-52.pdf#page=1","Abrir facsímil")</f>
        <v>Abrir facsímil</v>
      </c>
      <c r="K9198" t="s">
        <v>23</v>
      </c>
    </row>
    <row r="9199" spans="1:11" ht="42" customHeight="1">
      <c r="A9199" t="s">
        <v>18161</v>
      </c>
      <c r="B9199" t="s">
        <v>18161</v>
      </c>
      <c r="C9199" t="s">
        <v>79</v>
      </c>
      <c r="D9199" t="s">
        <v>74</v>
      </c>
      <c r="E9199" s="6">
        <v>-27970</v>
      </c>
      <c r="F9199" t="s">
        <v>1030</v>
      </c>
      <c r="G9199" t="s">
        <v>39</v>
      </c>
      <c r="H9199" t="s">
        <v>21</v>
      </c>
      <c r="I9199" t="s">
        <v>18226</v>
      </c>
      <c r="J9199" t="str">
        <f>HYPERLINK("https://www.boe.es/gazeta/dias/1823/06/02/pdfs/GES-1823-56.pdf#page=1","Abrir facsímil")</f>
        <v>Abrir facsímil</v>
      </c>
      <c r="K9199" t="s">
        <v>23</v>
      </c>
    </row>
    <row r="9200" spans="1:11" ht="42" customHeight="1">
      <c r="A9200" t="s">
        <v>18161</v>
      </c>
      <c r="B9200" t="s">
        <v>18161</v>
      </c>
      <c r="C9200" t="s">
        <v>109</v>
      </c>
      <c r="D9200" t="s">
        <v>74</v>
      </c>
      <c r="E9200" s="6">
        <v>-27970</v>
      </c>
      <c r="F9200" t="s">
        <v>1030</v>
      </c>
      <c r="G9200" t="s">
        <v>27</v>
      </c>
      <c r="H9200" t="s">
        <v>21</v>
      </c>
      <c r="I9200" t="s">
        <v>18227</v>
      </c>
      <c r="J9200" t="str">
        <f>HYPERLINK("https://www.boe.es/gazeta/dias/1823/06/02/pdfs/GES-1823-56.pdf#page=2","Abrir facsímil")</f>
        <v>Abrir facsímil</v>
      </c>
      <c r="K9200" t="s">
        <v>23</v>
      </c>
    </row>
    <row r="9201" spans="1:11" ht="42" customHeight="1">
      <c r="A9201" t="s">
        <v>18161</v>
      </c>
      <c r="B9201" t="s">
        <v>18161</v>
      </c>
      <c r="C9201" t="s">
        <v>56</v>
      </c>
      <c r="D9201" t="s">
        <v>57</v>
      </c>
      <c r="E9201" s="6">
        <v>-27965</v>
      </c>
      <c r="F9201" t="s">
        <v>208</v>
      </c>
      <c r="G9201" t="s">
        <v>20</v>
      </c>
      <c r="H9201" t="s">
        <v>21</v>
      </c>
      <c r="I9201" t="s">
        <v>18228</v>
      </c>
      <c r="J9201" t="str">
        <f>HYPERLINK("https://www.boe.es/gazeta/dias/1823/06/07/pdfs/GES-1823-61.pdf#page=4","Abrir facsímil")</f>
        <v>Abrir facsímil</v>
      </c>
      <c r="K9201" t="s">
        <v>23</v>
      </c>
    </row>
    <row r="9202" spans="1:11" ht="42" customHeight="1">
      <c r="A9202" t="s">
        <v>18161</v>
      </c>
      <c r="B9202" t="s">
        <v>18161</v>
      </c>
      <c r="C9202" t="s">
        <v>79</v>
      </c>
      <c r="D9202" t="s">
        <v>74</v>
      </c>
      <c r="E9202" s="6">
        <v>-27945</v>
      </c>
      <c r="F9202" t="s">
        <v>628</v>
      </c>
      <c r="G9202" t="s">
        <v>27</v>
      </c>
      <c r="H9202" t="s">
        <v>21</v>
      </c>
      <c r="I9202" t="s">
        <v>18229</v>
      </c>
      <c r="J9202" t="str">
        <f>HYPERLINK("https://www.boe.es/gazeta/dias/1823/06/27/pdfs/GES-1823-77.pdf#page=2","Abrir facsímil")</f>
        <v>Abrir facsímil</v>
      </c>
      <c r="K9202" t="s">
        <v>23</v>
      </c>
    </row>
    <row r="9203" spans="1:11" ht="42" customHeight="1">
      <c r="A9203" t="s">
        <v>18161</v>
      </c>
      <c r="B9203" t="s">
        <v>18161</v>
      </c>
      <c r="C9203" t="s">
        <v>84</v>
      </c>
      <c r="D9203" t="s">
        <v>74</v>
      </c>
      <c r="E9203" s="6">
        <v>-27944</v>
      </c>
      <c r="F9203" t="s">
        <v>2823</v>
      </c>
      <c r="G9203" t="s">
        <v>27</v>
      </c>
      <c r="H9203" t="s">
        <v>21</v>
      </c>
      <c r="I9203" t="s">
        <v>18230</v>
      </c>
      <c r="J9203" t="str">
        <f>HYPERLINK("https://www.boe.es/gazeta/dias/1823/06/28/pdfs/GES-1823-78.pdf#page=2","Abrir facsímil")</f>
        <v>Abrir facsímil</v>
      </c>
      <c r="K9203" t="s">
        <v>23</v>
      </c>
    </row>
    <row r="9204" spans="1:11" ht="42" customHeight="1">
      <c r="A9204" t="s">
        <v>18161</v>
      </c>
      <c r="B9204" t="s">
        <v>18161</v>
      </c>
      <c r="C9204" t="s">
        <v>17</v>
      </c>
      <c r="D9204" t="s">
        <v>18</v>
      </c>
      <c r="E9204" s="6">
        <v>-27943</v>
      </c>
      <c r="F9204" t="s">
        <v>346</v>
      </c>
      <c r="G9204" t="s">
        <v>39</v>
      </c>
      <c r="H9204" t="s">
        <v>21</v>
      </c>
      <c r="I9204" t="s">
        <v>18231</v>
      </c>
      <c r="J9204" t="str">
        <f>HYPERLINK("https://www.boe.es/gazeta/dias/1823/06/29/pdfs/GES-1823-79.pdf#page=1","Abrir facsímil")</f>
        <v>Abrir facsímil</v>
      </c>
      <c r="K9204" t="s">
        <v>23</v>
      </c>
    </row>
    <row r="9205" spans="1:11" ht="42" customHeight="1">
      <c r="A9205" t="s">
        <v>18161</v>
      </c>
      <c r="B9205" t="s">
        <v>18161</v>
      </c>
      <c r="C9205" t="s">
        <v>17</v>
      </c>
      <c r="D9205" t="s">
        <v>18</v>
      </c>
      <c r="E9205" s="6">
        <v>-27942</v>
      </c>
      <c r="F9205" t="s">
        <v>596</v>
      </c>
      <c r="G9205" t="s">
        <v>39</v>
      </c>
      <c r="H9205" t="s">
        <v>21</v>
      </c>
      <c r="I9205" t="s">
        <v>18232</v>
      </c>
      <c r="J9205" t="str">
        <f>HYPERLINK("https://www.boe.es/gazeta/dias/1823/06/30/pdfs/GES-1823-80.pdf#page=1","Abrir facsímil")</f>
        <v>Abrir facsímil</v>
      </c>
      <c r="K9205" t="s">
        <v>23</v>
      </c>
    </row>
    <row r="9206" spans="1:11" ht="42" customHeight="1">
      <c r="A9206" t="s">
        <v>18161</v>
      </c>
      <c r="B9206" t="s">
        <v>18161</v>
      </c>
      <c r="C9206" t="s">
        <v>56</v>
      </c>
      <c r="D9206" t="s">
        <v>57</v>
      </c>
      <c r="E9206" s="6">
        <v>-27938</v>
      </c>
      <c r="F9206" t="s">
        <v>101</v>
      </c>
      <c r="G9206" t="s">
        <v>48</v>
      </c>
      <c r="H9206" t="s">
        <v>21</v>
      </c>
      <c r="I9206" t="s">
        <v>18233</v>
      </c>
      <c r="J9206" t="str">
        <f>HYPERLINK("https://www.boe.es/gazeta/dias/1823/07/04/pdfs/GES-1823-84.pdf#page=3","Abrir facsímil")</f>
        <v>Abrir facsímil</v>
      </c>
      <c r="K9206" t="s">
        <v>23</v>
      </c>
    </row>
    <row r="9207" spans="1:11" ht="42" customHeight="1">
      <c r="A9207" t="s">
        <v>18161</v>
      </c>
      <c r="B9207" t="s">
        <v>18161</v>
      </c>
      <c r="C9207" t="s">
        <v>79</v>
      </c>
      <c r="D9207" t="s">
        <v>74</v>
      </c>
      <c r="E9207" s="6">
        <v>-27935</v>
      </c>
      <c r="F9207" t="s">
        <v>350</v>
      </c>
      <c r="G9207" t="s">
        <v>39</v>
      </c>
      <c r="H9207" t="s">
        <v>21</v>
      </c>
      <c r="I9207" t="s">
        <v>18234</v>
      </c>
      <c r="J9207" t="str">
        <f>HYPERLINK("https://www.boe.es/gazeta/dias/1823/07/07/pdfs/GES-1823-87.pdf#page=1","Abrir facsímil")</f>
        <v>Abrir facsímil</v>
      </c>
      <c r="K9207" t="s">
        <v>23</v>
      </c>
    </row>
    <row r="9208" spans="1:11" ht="42" customHeight="1">
      <c r="A9208" t="s">
        <v>18161</v>
      </c>
      <c r="B9208" t="s">
        <v>18161</v>
      </c>
      <c r="C9208" t="s">
        <v>73</v>
      </c>
      <c r="D9208" t="s">
        <v>74</v>
      </c>
      <c r="E9208" s="6">
        <v>-27935</v>
      </c>
      <c r="F9208" t="s">
        <v>350</v>
      </c>
      <c r="G9208" t="s">
        <v>27</v>
      </c>
      <c r="H9208" t="s">
        <v>21</v>
      </c>
      <c r="I9208" t="s">
        <v>18235</v>
      </c>
      <c r="J9208" t="str">
        <f>HYPERLINK("https://www.boe.es/gazeta/dias/1823/07/07/pdfs/GES-1823-87.pdf#page=2","Abrir facsímil")</f>
        <v>Abrir facsímil</v>
      </c>
      <c r="K9208" t="s">
        <v>23</v>
      </c>
    </row>
    <row r="9209" spans="1:11" ht="42" customHeight="1">
      <c r="A9209" t="s">
        <v>18161</v>
      </c>
      <c r="B9209" t="s">
        <v>18161</v>
      </c>
      <c r="C9209" t="s">
        <v>84</v>
      </c>
      <c r="D9209" t="s">
        <v>74</v>
      </c>
      <c r="E9209" s="6">
        <v>-27934</v>
      </c>
      <c r="F9209" t="s">
        <v>2155</v>
      </c>
      <c r="G9209" t="s">
        <v>5827</v>
      </c>
      <c r="H9209" t="s">
        <v>21</v>
      </c>
      <c r="I9209" t="s">
        <v>18236</v>
      </c>
      <c r="J9209" t="str">
        <f>HYPERLINK("https://www.boe.es/gazeta/dias/1823/07/08/pdfs/GES-1823-88.pdf#page=4","Abrir facsímil")</f>
        <v>Abrir facsímil</v>
      </c>
      <c r="K9209" t="s">
        <v>23</v>
      </c>
    </row>
    <row r="9210" spans="1:11" ht="42" customHeight="1">
      <c r="A9210" t="s">
        <v>18161</v>
      </c>
      <c r="B9210" t="s">
        <v>18161</v>
      </c>
      <c r="C9210" t="s">
        <v>17</v>
      </c>
      <c r="D9210" t="s">
        <v>18</v>
      </c>
      <c r="E9210" s="6">
        <v>-27934</v>
      </c>
      <c r="F9210" t="s">
        <v>2155</v>
      </c>
      <c r="G9210" t="s">
        <v>48</v>
      </c>
      <c r="H9210" t="s">
        <v>21</v>
      </c>
      <c r="I9210" t="s">
        <v>18237</v>
      </c>
      <c r="J9210" t="str">
        <f>HYPERLINK("https://www.boe.es/gazeta/dias/1823/07/08/pdfs/GES-1823-88.pdf#page=3","Abrir facsímil")</f>
        <v>Abrir facsímil</v>
      </c>
      <c r="K9210" t="s">
        <v>23</v>
      </c>
    </row>
    <row r="9211" spans="1:11" ht="42" customHeight="1">
      <c r="A9211" t="s">
        <v>18161</v>
      </c>
      <c r="B9211" t="s">
        <v>18161</v>
      </c>
      <c r="C9211" t="s">
        <v>56</v>
      </c>
      <c r="D9211" t="s">
        <v>57</v>
      </c>
      <c r="E9211" s="6">
        <v>-27932</v>
      </c>
      <c r="F9211" t="s">
        <v>707</v>
      </c>
      <c r="G9211" t="s">
        <v>39</v>
      </c>
      <c r="H9211" t="s">
        <v>21</v>
      </c>
      <c r="I9211" t="s">
        <v>18238</v>
      </c>
      <c r="J9211" t="str">
        <f>HYPERLINK("https://www.boe.es/gazeta/dias/1823/07/10/pdfs/GES-1823-90.pdf#page=1","Abrir facsímil")</f>
        <v>Abrir facsímil</v>
      </c>
      <c r="K9211" t="s">
        <v>23</v>
      </c>
    </row>
    <row r="9212" spans="1:11" ht="42" customHeight="1">
      <c r="A9212" t="s">
        <v>18161</v>
      </c>
      <c r="B9212" t="s">
        <v>18161</v>
      </c>
      <c r="C9212" t="s">
        <v>17</v>
      </c>
      <c r="D9212" t="s">
        <v>18</v>
      </c>
      <c r="E9212" s="6">
        <v>-27932</v>
      </c>
      <c r="F9212" t="s">
        <v>707</v>
      </c>
      <c r="G9212" t="s">
        <v>27</v>
      </c>
      <c r="H9212" t="s">
        <v>21</v>
      </c>
      <c r="I9212" t="s">
        <v>18239</v>
      </c>
      <c r="J9212" t="str">
        <f>HYPERLINK("https://www.boe.es/gazeta/dias/1823/07/10/pdfs/GES-1823-90.pdf#page=2","Abrir facsímil")</f>
        <v>Abrir facsímil</v>
      </c>
      <c r="K9212" t="s">
        <v>23</v>
      </c>
    </row>
    <row r="9213" spans="1:11" ht="42" customHeight="1">
      <c r="A9213" t="s">
        <v>18161</v>
      </c>
      <c r="B9213" t="s">
        <v>18161</v>
      </c>
      <c r="C9213" t="s">
        <v>73</v>
      </c>
      <c r="D9213" t="s">
        <v>74</v>
      </c>
      <c r="E9213" s="6">
        <v>-27930</v>
      </c>
      <c r="F9213" t="s">
        <v>2334</v>
      </c>
      <c r="G9213" t="s">
        <v>27</v>
      </c>
      <c r="H9213" t="s">
        <v>21</v>
      </c>
      <c r="I9213" t="s">
        <v>18240</v>
      </c>
      <c r="J9213" t="str">
        <f>HYPERLINK("https://www.boe.es/gazeta/dias/1823/07/12/pdfs/GES-1823-92.pdf#page=2","Abrir facsímil")</f>
        <v>Abrir facsímil</v>
      </c>
      <c r="K9213" t="s">
        <v>23</v>
      </c>
    </row>
    <row r="9214" spans="1:11" ht="42" customHeight="1">
      <c r="A9214" t="s">
        <v>18161</v>
      </c>
      <c r="B9214" t="s">
        <v>18161</v>
      </c>
      <c r="C9214" t="s">
        <v>109</v>
      </c>
      <c r="D9214" t="s">
        <v>74</v>
      </c>
      <c r="E9214" s="6">
        <v>-27927</v>
      </c>
      <c r="F9214" t="s">
        <v>1426</v>
      </c>
      <c r="G9214" t="s">
        <v>27</v>
      </c>
      <c r="H9214" t="s">
        <v>21</v>
      </c>
      <c r="I9214" t="s">
        <v>18241</v>
      </c>
      <c r="J9214" t="str">
        <f>HYPERLINK("https://www.boe.es/gazeta/dias/1823/07/15/pdfs/GES-1823-95.pdf#page=2","Abrir facsímil")</f>
        <v>Abrir facsímil</v>
      </c>
      <c r="K9214" t="s">
        <v>23</v>
      </c>
    </row>
    <row r="9215" spans="1:11" ht="42" customHeight="1">
      <c r="A9215" t="s">
        <v>18161</v>
      </c>
      <c r="B9215" t="s">
        <v>18161</v>
      </c>
      <c r="C9215" t="s">
        <v>79</v>
      </c>
      <c r="D9215" t="s">
        <v>74</v>
      </c>
      <c r="E9215" s="6">
        <v>-27926</v>
      </c>
      <c r="F9215" t="s">
        <v>2158</v>
      </c>
      <c r="G9215" t="s">
        <v>39</v>
      </c>
      <c r="H9215" t="s">
        <v>21</v>
      </c>
      <c r="I9215" t="s">
        <v>18242</v>
      </c>
      <c r="J9215" t="str">
        <f>HYPERLINK("https://www.boe.es/gazeta/dias/1823/07/16/pdfs/GES-1823-96.pdf#page=1","Abrir facsímil")</f>
        <v>Abrir facsímil</v>
      </c>
      <c r="K9215" t="s">
        <v>23</v>
      </c>
    </row>
    <row r="9216" spans="1:11" ht="42" customHeight="1">
      <c r="A9216" t="s">
        <v>18161</v>
      </c>
      <c r="B9216" t="s">
        <v>18161</v>
      </c>
      <c r="C9216" t="s">
        <v>84</v>
      </c>
      <c r="D9216" t="s">
        <v>74</v>
      </c>
      <c r="E9216" s="6">
        <v>-27922</v>
      </c>
      <c r="F9216" t="s">
        <v>1959</v>
      </c>
      <c r="G9216" t="s">
        <v>48</v>
      </c>
      <c r="H9216" t="s">
        <v>21</v>
      </c>
      <c r="I9216" t="s">
        <v>18243</v>
      </c>
      <c r="J9216" t="str">
        <f>HYPERLINK("https://www.boe.es/gazeta/dias/1823/07/20/pdfs/GES-1823-101.pdf#page=3","Abrir facsímil")</f>
        <v>Abrir facsímil</v>
      </c>
      <c r="K9216" t="s">
        <v>23</v>
      </c>
    </row>
    <row r="9217" spans="1:11" ht="42" customHeight="1">
      <c r="A9217" t="s">
        <v>18161</v>
      </c>
      <c r="B9217" t="s">
        <v>18161</v>
      </c>
      <c r="C9217" t="s">
        <v>17</v>
      </c>
      <c r="D9217" t="s">
        <v>18</v>
      </c>
      <c r="E9217" s="6">
        <v>-27921</v>
      </c>
      <c r="F9217" t="s">
        <v>356</v>
      </c>
      <c r="G9217" t="s">
        <v>39</v>
      </c>
      <c r="H9217" t="s">
        <v>21</v>
      </c>
      <c r="I9217" t="s">
        <v>18244</v>
      </c>
      <c r="J9217" t="str">
        <f>HYPERLINK("https://www.boe.es/gazeta/dias/1823/07/21/pdfs/GES-1823-102.pdf#page=1","Abrir facsímil")</f>
        <v>Abrir facsímil</v>
      </c>
      <c r="K9217" t="s">
        <v>23</v>
      </c>
    </row>
    <row r="9218" spans="1:11" ht="42" customHeight="1">
      <c r="A9218" t="s">
        <v>18161</v>
      </c>
      <c r="B9218" t="s">
        <v>18161</v>
      </c>
      <c r="C9218" t="s">
        <v>109</v>
      </c>
      <c r="D9218" t="s">
        <v>74</v>
      </c>
      <c r="E9218" s="6">
        <v>-27921</v>
      </c>
      <c r="F9218" t="s">
        <v>356</v>
      </c>
      <c r="G9218" t="s">
        <v>27</v>
      </c>
      <c r="H9218" t="s">
        <v>21</v>
      </c>
      <c r="I9218" t="s">
        <v>18245</v>
      </c>
      <c r="J9218" t="str">
        <f>HYPERLINK("https://www.boe.es/gazeta/dias/1823/07/21/pdfs/GES-1823-102.pdf#page=2","Abrir facsímil")</f>
        <v>Abrir facsímil</v>
      </c>
      <c r="K9218" t="s">
        <v>23</v>
      </c>
    </row>
    <row r="9219" spans="1:11" ht="42" customHeight="1">
      <c r="A9219" t="s">
        <v>18161</v>
      </c>
      <c r="B9219" t="s">
        <v>18161</v>
      </c>
      <c r="C9219" t="s">
        <v>109</v>
      </c>
      <c r="D9219" t="s">
        <v>74</v>
      </c>
      <c r="E9219" s="6">
        <v>-27918</v>
      </c>
      <c r="F9219" t="s">
        <v>3181</v>
      </c>
      <c r="G9219" t="s">
        <v>39</v>
      </c>
      <c r="H9219" t="s">
        <v>21</v>
      </c>
      <c r="I9219" t="s">
        <v>18246</v>
      </c>
      <c r="J9219" t="str">
        <f>HYPERLINK("https://www.boe.es/gazeta/dias/1823/07/24/pdfs/GES-1823-105.pdf#page=1","Abrir facsímil")</f>
        <v>Abrir facsímil</v>
      </c>
      <c r="K9219" t="s">
        <v>23</v>
      </c>
    </row>
    <row r="9220" spans="1:11" ht="42" customHeight="1">
      <c r="A9220" t="s">
        <v>18161</v>
      </c>
      <c r="B9220" t="s">
        <v>18161</v>
      </c>
      <c r="C9220" t="s">
        <v>79</v>
      </c>
      <c r="D9220" t="s">
        <v>74</v>
      </c>
      <c r="E9220" s="6">
        <v>-27918</v>
      </c>
      <c r="F9220" t="s">
        <v>3181</v>
      </c>
      <c r="G9220" t="s">
        <v>27</v>
      </c>
      <c r="H9220" t="s">
        <v>21</v>
      </c>
      <c r="I9220" t="s">
        <v>18247</v>
      </c>
      <c r="J9220" t="str">
        <f>HYPERLINK("https://www.boe.es/gazeta/dias/1823/07/24/pdfs/GES-1823-105.pdf#page=2","Abrir facsímil")</f>
        <v>Abrir facsímil</v>
      </c>
      <c r="K9220" t="s">
        <v>23</v>
      </c>
    </row>
    <row r="9221" spans="1:11" ht="42" customHeight="1">
      <c r="A9221" t="s">
        <v>18161</v>
      </c>
      <c r="B9221" t="s">
        <v>18161</v>
      </c>
      <c r="C9221" t="s">
        <v>109</v>
      </c>
      <c r="D9221" t="s">
        <v>74</v>
      </c>
      <c r="E9221" s="6">
        <v>-27916</v>
      </c>
      <c r="F9221" t="s">
        <v>772</v>
      </c>
      <c r="G9221" t="s">
        <v>39</v>
      </c>
      <c r="H9221" t="s">
        <v>21</v>
      </c>
      <c r="I9221" t="s">
        <v>18248</v>
      </c>
      <c r="J9221" t="str">
        <f>HYPERLINK("https://www.boe.es/gazeta/dias/1823/07/26/pdfs/GES-1823-107.pdf#page=1","Abrir facsímil")</f>
        <v>Abrir facsímil</v>
      </c>
      <c r="K9221" t="s">
        <v>23</v>
      </c>
    </row>
    <row r="9222" spans="1:11" ht="42" customHeight="1">
      <c r="A9222" t="s">
        <v>18161</v>
      </c>
      <c r="B9222" t="s">
        <v>18161</v>
      </c>
      <c r="C9222" t="s">
        <v>17</v>
      </c>
      <c r="D9222" t="s">
        <v>18</v>
      </c>
      <c r="E9222" s="6">
        <v>-27909</v>
      </c>
      <c r="F9222" t="s">
        <v>948</v>
      </c>
      <c r="G9222" t="s">
        <v>39</v>
      </c>
      <c r="H9222" t="s">
        <v>21</v>
      </c>
      <c r="I9222" t="s">
        <v>18249</v>
      </c>
      <c r="J9222" t="str">
        <f>HYPERLINK("https://www.boe.es/gazeta/dias/1823/08/02/pdfs/GES-1823-114.pdf#page=1","Abrir facsímil")</f>
        <v>Abrir facsímil</v>
      </c>
      <c r="K9222" t="s">
        <v>23</v>
      </c>
    </row>
    <row r="9223" spans="1:11" ht="42" customHeight="1">
      <c r="A9223" t="s">
        <v>18161</v>
      </c>
      <c r="B9223" t="s">
        <v>18161</v>
      </c>
      <c r="C9223" t="s">
        <v>109</v>
      </c>
      <c r="D9223" t="s">
        <v>74</v>
      </c>
      <c r="E9223" s="6">
        <v>-27909</v>
      </c>
      <c r="F9223" t="s">
        <v>948</v>
      </c>
      <c r="G9223" t="s">
        <v>27</v>
      </c>
      <c r="H9223" t="s">
        <v>21</v>
      </c>
      <c r="I9223" t="s">
        <v>18250</v>
      </c>
      <c r="J9223" t="str">
        <f>HYPERLINK("https://www.boe.es/gazeta/dias/1823/08/02/pdfs/GES-1823-114.pdf#page=2","Abrir facsímil")</f>
        <v>Abrir facsímil</v>
      </c>
      <c r="K9223" t="s">
        <v>23</v>
      </c>
    </row>
    <row r="9224" spans="1:11" ht="42" customHeight="1">
      <c r="A9224" t="s">
        <v>18161</v>
      </c>
      <c r="B9224" t="s">
        <v>18161</v>
      </c>
      <c r="C9224" t="s">
        <v>109</v>
      </c>
      <c r="D9224" t="s">
        <v>74</v>
      </c>
      <c r="E9224" s="6">
        <v>-27909</v>
      </c>
      <c r="F9224" t="s">
        <v>948</v>
      </c>
      <c r="G9224" t="s">
        <v>48</v>
      </c>
      <c r="H9224" t="s">
        <v>21</v>
      </c>
      <c r="I9224" t="s">
        <v>18251</v>
      </c>
      <c r="J9224" t="str">
        <f>HYPERLINK("https://www.boe.es/gazeta/dias/1823/08/02/pdfs/GES-1823-114.pdf#page=3","Abrir facsímil")</f>
        <v>Abrir facsímil</v>
      </c>
      <c r="K9224" t="s">
        <v>23</v>
      </c>
    </row>
    <row r="9225" spans="1:11" ht="42" customHeight="1">
      <c r="A9225" t="s">
        <v>18161</v>
      </c>
      <c r="B9225" t="s">
        <v>18161</v>
      </c>
      <c r="C9225" t="s">
        <v>109</v>
      </c>
      <c r="D9225" t="s">
        <v>74</v>
      </c>
      <c r="E9225" s="6">
        <v>-27873</v>
      </c>
      <c r="F9225" t="s">
        <v>160</v>
      </c>
      <c r="G9225" t="s">
        <v>48</v>
      </c>
      <c r="H9225" t="s">
        <v>21</v>
      </c>
      <c r="I9225" t="s">
        <v>18252</v>
      </c>
      <c r="J9225" t="str">
        <f>HYPERLINK("https://www.boe.es/gazeta/dias/1823/09/07/pdfs/GES-1823-151.pdf#page=3","Abrir facsímil")</f>
        <v>Abrir facsímil</v>
      </c>
      <c r="K9225" t="s">
        <v>23</v>
      </c>
    </row>
    <row r="9226" spans="1:11" ht="42" customHeight="1">
      <c r="A9226" t="s">
        <v>18161</v>
      </c>
      <c r="B9226" t="s">
        <v>18161</v>
      </c>
      <c r="C9226" t="s">
        <v>56</v>
      </c>
      <c r="D9226" t="s">
        <v>57</v>
      </c>
      <c r="E9226" s="6">
        <v>-27870</v>
      </c>
      <c r="F9226" t="s">
        <v>376</v>
      </c>
      <c r="G9226" t="s">
        <v>18253</v>
      </c>
      <c r="H9226" t="s">
        <v>21</v>
      </c>
      <c r="I9226" t="s">
        <v>18254</v>
      </c>
      <c r="J9226" t="str">
        <f>HYPERLINK("https://www.boe.es/gazeta/dias/1823/09/10/pdfs/GES-1823-154.pdf#page=1","Abrir facsímil")</f>
        <v>Abrir facsímil</v>
      </c>
      <c r="K9226" t="s">
        <v>23</v>
      </c>
    </row>
    <row r="9227" spans="1:11" ht="42" customHeight="1">
      <c r="A9227" t="s">
        <v>18255</v>
      </c>
      <c r="B9227" t="s">
        <v>18256</v>
      </c>
      <c r="C9227" t="s">
        <v>17</v>
      </c>
      <c r="D9227" t="s">
        <v>18</v>
      </c>
      <c r="E9227" s="6">
        <v>-28071</v>
      </c>
      <c r="F9227" t="s">
        <v>587</v>
      </c>
      <c r="G9227" t="s">
        <v>20</v>
      </c>
      <c r="H9227" t="s">
        <v>21</v>
      </c>
      <c r="I9227" t="s">
        <v>18257</v>
      </c>
      <c r="J9227" t="str">
        <f>HYPERLINK("https://www.boe.es/gazeta/dias/1823/02/21/pdfs/GMD-1823-55.pdf#page=4","Abrir facsímil")</f>
        <v>Abrir facsímil</v>
      </c>
      <c r="K9227" t="s">
        <v>23</v>
      </c>
    </row>
    <row r="9228" spans="1:11" ht="42" customHeight="1">
      <c r="A9228" t="s">
        <v>18258</v>
      </c>
      <c r="B9228" t="s">
        <v>18259</v>
      </c>
      <c r="C9228" t="s">
        <v>56</v>
      </c>
      <c r="D9228" t="s">
        <v>57</v>
      </c>
      <c r="E9228" s="6">
        <v>-28054</v>
      </c>
      <c r="F9228" t="s">
        <v>1292</v>
      </c>
      <c r="G9228" t="s">
        <v>20</v>
      </c>
      <c r="H9228" t="s">
        <v>21</v>
      </c>
      <c r="I9228" t="s">
        <v>18260</v>
      </c>
      <c r="J9228" t="str">
        <f>HYPERLINK("https://www.boe.es/gazeta/dias/1823/03/10/pdfs/GMD-1823-73.pdf#page=4","Abrir facsímil")</f>
        <v>Abrir facsímil</v>
      </c>
      <c r="K9228" t="s">
        <v>23</v>
      </c>
    </row>
    <row r="9229" spans="1:11" ht="42" customHeight="1">
      <c r="A9229" t="s">
        <v>18258</v>
      </c>
      <c r="B9229" t="s">
        <v>18259</v>
      </c>
      <c r="C9229" t="s">
        <v>17</v>
      </c>
      <c r="D9229" t="s">
        <v>18</v>
      </c>
      <c r="E9229" s="6">
        <v>-28044</v>
      </c>
      <c r="F9229" t="s">
        <v>1930</v>
      </c>
      <c r="G9229" t="s">
        <v>20</v>
      </c>
      <c r="H9229" t="s">
        <v>21</v>
      </c>
      <c r="I9229" t="s">
        <v>18261</v>
      </c>
      <c r="J9229" t="str">
        <f>HYPERLINK("https://www.boe.es/gazeta/dias/1823/03/20/pdfs/GMD-1823-83.pdf#page=4","Abrir facsímil")</f>
        <v>Abrir facsímil</v>
      </c>
      <c r="K9229" t="s">
        <v>23</v>
      </c>
    </row>
    <row r="9230" spans="1:11" ht="42" customHeight="1">
      <c r="A9230" t="s">
        <v>18258</v>
      </c>
      <c r="B9230" t="s">
        <v>18259</v>
      </c>
      <c r="C9230" t="s">
        <v>56</v>
      </c>
      <c r="D9230" t="s">
        <v>57</v>
      </c>
      <c r="E9230" s="6">
        <v>-28037</v>
      </c>
      <c r="F9230" t="s">
        <v>192</v>
      </c>
      <c r="G9230" t="s">
        <v>20</v>
      </c>
      <c r="H9230" t="s">
        <v>21</v>
      </c>
      <c r="I9230" t="s">
        <v>18262</v>
      </c>
      <c r="J9230" t="str">
        <f>HYPERLINK("https://www.boe.es/gazeta/dias/1823/03/27/pdfs/GMD-1823-90.pdf#page=4","Abrir facsímil")</f>
        <v>Abrir facsímil</v>
      </c>
      <c r="K9230" t="s">
        <v>23</v>
      </c>
    </row>
    <row r="9231" spans="1:11" ht="42" customHeight="1">
      <c r="A9231" t="s">
        <v>18258</v>
      </c>
      <c r="B9231" t="s">
        <v>18259</v>
      </c>
      <c r="C9231" t="s">
        <v>325</v>
      </c>
      <c r="D9231" t="s">
        <v>74</v>
      </c>
      <c r="E9231" s="6">
        <v>-28013</v>
      </c>
      <c r="F9231" t="s">
        <v>2466</v>
      </c>
      <c r="G9231" t="s">
        <v>2467</v>
      </c>
      <c r="H9231" t="s">
        <v>21</v>
      </c>
      <c r="I9231" t="s">
        <v>18263</v>
      </c>
      <c r="J9231" t="str">
        <f>HYPERLINK("https://www.boe.es/gazeta/dias/1823/04/20/pdfs/GES-1823-10.pdf#page=3","Abrir facsímil")</f>
        <v>Abrir facsímil</v>
      </c>
      <c r="K9231" t="s">
        <v>23</v>
      </c>
    </row>
    <row r="9232" spans="1:11" ht="42" customHeight="1">
      <c r="A9232" t="s">
        <v>18264</v>
      </c>
      <c r="B9232" t="s">
        <v>18265</v>
      </c>
      <c r="C9232" t="s">
        <v>17</v>
      </c>
      <c r="D9232" t="s">
        <v>18</v>
      </c>
      <c r="E9232" s="6">
        <v>-28078</v>
      </c>
      <c r="F9232" t="s">
        <v>508</v>
      </c>
      <c r="G9232" t="s">
        <v>59</v>
      </c>
      <c r="H9232" t="s">
        <v>21</v>
      </c>
      <c r="I9232" t="s">
        <v>18266</v>
      </c>
      <c r="J9232" t="str">
        <f>HYPERLINK("https://www.boe.es/gazeta/dias/1823/02/14/pdfs/GMD-1823-48.pdf#page=6","Abrir facsímil")</f>
        <v>Abrir facsímil</v>
      </c>
      <c r="K9232" t="s">
        <v>23</v>
      </c>
    </row>
    <row r="9233" spans="1:11" ht="42" customHeight="1">
      <c r="A9233" t="s">
        <v>18264</v>
      </c>
      <c r="B9233" t="s">
        <v>18265</v>
      </c>
      <c r="C9233" t="s">
        <v>79</v>
      </c>
      <c r="D9233" t="s">
        <v>74</v>
      </c>
      <c r="E9233" s="6">
        <v>-28069</v>
      </c>
      <c r="F9233" t="s">
        <v>2006</v>
      </c>
      <c r="G9233" t="s">
        <v>20</v>
      </c>
      <c r="H9233" t="s">
        <v>21</v>
      </c>
      <c r="I9233" t="s">
        <v>18267</v>
      </c>
      <c r="J9233" t="str">
        <f>HYPERLINK("https://www.boe.es/gazeta/dias/1823/02/23/pdfs/GMD-1823-57.pdf#page=4","Abrir facsímil")</f>
        <v>Abrir facsímil</v>
      </c>
      <c r="K9233" t="s">
        <v>23</v>
      </c>
    </row>
    <row r="9234" spans="1:11" ht="42" customHeight="1">
      <c r="A9234" t="s">
        <v>18268</v>
      </c>
      <c r="B9234" t="s">
        <v>18269</v>
      </c>
      <c r="C9234" t="s">
        <v>17</v>
      </c>
      <c r="D9234" t="s">
        <v>18</v>
      </c>
      <c r="E9234" s="6">
        <v>-28025</v>
      </c>
      <c r="F9234" t="s">
        <v>477</v>
      </c>
      <c r="G9234" t="s">
        <v>20</v>
      </c>
      <c r="H9234" t="s">
        <v>21</v>
      </c>
      <c r="I9234" t="s">
        <v>18270</v>
      </c>
      <c r="J9234" t="str">
        <f>HYPERLINK("https://www.boe.es/gazeta/dias/1823/04/08/pdfs/GMD-1823-103.pdf#page=4","Abrir facsímil")</f>
        <v>Abrir facsímil</v>
      </c>
      <c r="K9234" t="s">
        <v>23</v>
      </c>
    </row>
    <row r="9235" spans="1:11" ht="42" customHeight="1">
      <c r="A9235" t="s">
        <v>18271</v>
      </c>
      <c r="B9235" t="s">
        <v>18272</v>
      </c>
      <c r="C9235" t="s">
        <v>79</v>
      </c>
      <c r="D9235" t="s">
        <v>74</v>
      </c>
      <c r="E9235" s="6">
        <v>-28024</v>
      </c>
      <c r="F9235" t="s">
        <v>1659</v>
      </c>
      <c r="G9235" t="s">
        <v>48</v>
      </c>
      <c r="H9235" t="s">
        <v>21</v>
      </c>
      <c r="I9235" t="s">
        <v>18273</v>
      </c>
      <c r="J9235" t="str">
        <f>HYPERLINK("https://www.boe.es/gazeta/dias/1823/04/09/pdfs/GMD-1823-104.pdf#page=3","Abrir facsímil")</f>
        <v>Abrir facsímil</v>
      </c>
      <c r="K9235" t="s">
        <v>23</v>
      </c>
    </row>
    <row r="9236" spans="1:11" ht="42" customHeight="1">
      <c r="A9236" t="s">
        <v>18274</v>
      </c>
      <c r="B9236" t="s">
        <v>18275</v>
      </c>
      <c r="C9236" t="s">
        <v>17</v>
      </c>
      <c r="D9236" t="s">
        <v>18</v>
      </c>
      <c r="E9236" s="6">
        <v>-28004</v>
      </c>
      <c r="F9236" t="s">
        <v>313</v>
      </c>
      <c r="G9236" t="s">
        <v>20</v>
      </c>
      <c r="H9236" t="s">
        <v>21</v>
      </c>
      <c r="I9236" t="s">
        <v>18276</v>
      </c>
      <c r="J9236" t="str">
        <f>HYPERLINK("https://www.boe.es/gazeta/dias/1823/04/29/pdfs/GMD-1823-72.pdf#page=4","Abrir facsímil")</f>
        <v>Abrir facsímil</v>
      </c>
      <c r="K9236" t="s">
        <v>23</v>
      </c>
    </row>
    <row r="9237" spans="1:11" ht="42" customHeight="1">
      <c r="A9237" t="s">
        <v>18277</v>
      </c>
      <c r="B9237" t="s">
        <v>18278</v>
      </c>
      <c r="C9237" t="s">
        <v>17</v>
      </c>
      <c r="D9237" t="s">
        <v>18</v>
      </c>
      <c r="E9237" s="6">
        <v>-28000</v>
      </c>
      <c r="F9237" t="s">
        <v>1118</v>
      </c>
      <c r="G9237" t="s">
        <v>39</v>
      </c>
      <c r="H9237" t="s">
        <v>21</v>
      </c>
      <c r="I9237" t="s">
        <v>18279</v>
      </c>
      <c r="J9237" t="str">
        <f>HYPERLINK("https://www.boe.es/gazeta/dias/1823/05/03/pdfs/GES-1823-23.pdf#page=1","Abrir facsímil")</f>
        <v>Abrir facsímil</v>
      </c>
      <c r="K9237" t="s">
        <v>23</v>
      </c>
    </row>
    <row r="9238" spans="1:11" ht="42" customHeight="1">
      <c r="A9238" t="s">
        <v>18280</v>
      </c>
      <c r="B9238" t="s">
        <v>18281</v>
      </c>
      <c r="C9238" t="s">
        <v>17</v>
      </c>
      <c r="D9238" t="s">
        <v>18</v>
      </c>
      <c r="E9238" s="6">
        <v>-28109</v>
      </c>
      <c r="F9238" t="s">
        <v>889</v>
      </c>
      <c r="G9238" t="s">
        <v>20</v>
      </c>
      <c r="H9238" t="s">
        <v>28</v>
      </c>
      <c r="I9238" t="s">
        <v>18282</v>
      </c>
      <c r="J9238" t="str">
        <f>HYPERLINK("https://www.boe.es/gazeta/dias/1823/01/14/pdfs/GMD-1823-14.pdf#page=4","Abrir facsímil")</f>
        <v>Abrir facsímil</v>
      </c>
      <c r="K9238" t="s">
        <v>30</v>
      </c>
    </row>
    <row r="9239" spans="1:11" ht="42" customHeight="1">
      <c r="A9239" t="s">
        <v>18283</v>
      </c>
      <c r="B9239" t="s">
        <v>18284</v>
      </c>
      <c r="C9239" t="s">
        <v>17</v>
      </c>
      <c r="D9239" t="s">
        <v>117</v>
      </c>
      <c r="E9239" s="6">
        <v>-27966</v>
      </c>
      <c r="F9239" t="s">
        <v>962</v>
      </c>
      <c r="G9239" t="s">
        <v>39</v>
      </c>
      <c r="H9239" t="s">
        <v>21</v>
      </c>
      <c r="I9239" t="s">
        <v>18285</v>
      </c>
      <c r="J9239" t="str">
        <f>HYPERLINK("https://www.boe.es/gazeta/dias/1823/06/06/pdfs/GMD-1823-73E.pdf#page=1","Abrir facsímil")</f>
        <v>Abrir facsímil</v>
      </c>
      <c r="K9239" t="s">
        <v>23</v>
      </c>
    </row>
    <row r="9240" spans="1:11" ht="42" customHeight="1">
      <c r="A9240" t="s">
        <v>18286</v>
      </c>
      <c r="B9240" t="s">
        <v>18286</v>
      </c>
      <c r="C9240" t="s">
        <v>17</v>
      </c>
      <c r="D9240" t="s">
        <v>18</v>
      </c>
      <c r="E9240" s="6">
        <v>-27913</v>
      </c>
      <c r="F9240" t="s">
        <v>829</v>
      </c>
      <c r="G9240" t="s">
        <v>20</v>
      </c>
      <c r="H9240" t="s">
        <v>21</v>
      </c>
      <c r="I9240" t="s">
        <v>18287</v>
      </c>
      <c r="J9240" t="str">
        <f>HYPERLINK("https://www.boe.es/gazeta/dias/1823/07/29/pdfs/GMD-1823-483.pdf#page=4","Abrir facsímil")</f>
        <v>Abrir facsímil</v>
      </c>
      <c r="K9240" t="s">
        <v>23</v>
      </c>
    </row>
    <row r="9241" spans="1:11" ht="42" customHeight="1">
      <c r="A9241" t="s">
        <v>18288</v>
      </c>
      <c r="B9241" t="s">
        <v>18289</v>
      </c>
      <c r="C9241" t="s">
        <v>17</v>
      </c>
      <c r="D9241" t="s">
        <v>18</v>
      </c>
      <c r="E9241" s="6">
        <v>-27955</v>
      </c>
      <c r="F9241" t="s">
        <v>3015</v>
      </c>
      <c r="G9241" t="s">
        <v>48</v>
      </c>
      <c r="H9241" t="s">
        <v>21</v>
      </c>
      <c r="I9241" t="s">
        <v>18290</v>
      </c>
      <c r="J9241" t="str">
        <f>HYPERLINK("https://www.boe.es/gazeta/dias/1823/06/17/pdfs/GMD-1823-183.pdf#page=3","Abrir facsímil")</f>
        <v>Abrir facsímil</v>
      </c>
      <c r="K9241" t="s">
        <v>23</v>
      </c>
    </row>
    <row r="9242" spans="1:11" ht="42" customHeight="1">
      <c r="A9242" t="s">
        <v>18291</v>
      </c>
      <c r="B9242" t="s">
        <v>18291</v>
      </c>
      <c r="C9242" t="s">
        <v>109</v>
      </c>
      <c r="D9242" t="s">
        <v>74</v>
      </c>
      <c r="E9242" s="6">
        <v>-28083</v>
      </c>
      <c r="F9242" t="s">
        <v>291</v>
      </c>
      <c r="G9242" t="s">
        <v>48</v>
      </c>
      <c r="H9242" t="s">
        <v>21</v>
      </c>
      <c r="I9242" t="s">
        <v>18292</v>
      </c>
      <c r="J9242" t="str">
        <f>HYPERLINK("https://www.boe.es/gazeta/dias/1823/02/09/pdfs/GMD-1823-43.pdf#page=3","Abrir facsímil")</f>
        <v>Abrir facsímil</v>
      </c>
      <c r="K9242" t="s">
        <v>23</v>
      </c>
    </row>
    <row r="9243" spans="1:11" ht="42" customHeight="1">
      <c r="A9243" t="s">
        <v>18293</v>
      </c>
      <c r="B9243" t="s">
        <v>18294</v>
      </c>
      <c r="C9243" t="s">
        <v>109</v>
      </c>
      <c r="D9243" t="s">
        <v>74</v>
      </c>
      <c r="E9243" s="6">
        <v>-27901</v>
      </c>
      <c r="F9243" t="s">
        <v>840</v>
      </c>
      <c r="G9243" t="s">
        <v>20</v>
      </c>
      <c r="H9243" t="s">
        <v>21</v>
      </c>
      <c r="I9243" t="s">
        <v>18295</v>
      </c>
      <c r="J9243" t="str">
        <f>HYPERLINK("https://www.boe.es/gazeta/dias/1823/08/10/pdfs/GES-1823-123.pdf#page=4","Abrir facsímil")</f>
        <v>Abrir facsímil</v>
      </c>
      <c r="K9243" t="s">
        <v>23</v>
      </c>
    </row>
    <row r="9244" spans="1:11" ht="42" customHeight="1">
      <c r="A9244" t="s">
        <v>18293</v>
      </c>
      <c r="B9244" t="s">
        <v>18294</v>
      </c>
      <c r="C9244" t="s">
        <v>17</v>
      </c>
      <c r="D9244" t="s">
        <v>18</v>
      </c>
      <c r="E9244" s="6">
        <v>-27891</v>
      </c>
      <c r="F9244" t="s">
        <v>825</v>
      </c>
      <c r="G9244" t="s">
        <v>20</v>
      </c>
      <c r="H9244" t="s">
        <v>21</v>
      </c>
      <c r="I9244" t="s">
        <v>18296</v>
      </c>
      <c r="J9244" t="str">
        <f>HYPERLINK("https://www.boe.es/gazeta/dias/1823/08/20/pdfs/GES-1823-133.pdf#page=4","Abrir facsímil")</f>
        <v>Abrir facsímil</v>
      </c>
      <c r="K9244" t="s">
        <v>23</v>
      </c>
    </row>
    <row r="9245" spans="1:11" ht="42" customHeight="1">
      <c r="A9245" t="s">
        <v>18293</v>
      </c>
      <c r="B9245" t="s">
        <v>18294</v>
      </c>
      <c r="C9245" t="s">
        <v>56</v>
      </c>
      <c r="D9245" t="s">
        <v>57</v>
      </c>
      <c r="E9245" s="6">
        <v>-27879</v>
      </c>
      <c r="F9245" t="s">
        <v>638</v>
      </c>
      <c r="G9245" t="s">
        <v>20</v>
      </c>
      <c r="H9245" t="s">
        <v>21</v>
      </c>
      <c r="I9245" t="s">
        <v>18297</v>
      </c>
      <c r="J9245" t="str">
        <f>HYPERLINK("https://www.boe.es/gazeta/dias/1823/09/01/pdfs/GES-1823-145.pdf#page=4","Abrir facsímil")</f>
        <v>Abrir facsímil</v>
      </c>
      <c r="K9245" t="s">
        <v>23</v>
      </c>
    </row>
    <row r="9246" spans="1:11" ht="42" customHeight="1">
      <c r="A9246" t="s">
        <v>18298</v>
      </c>
      <c r="B9246" t="s">
        <v>18299</v>
      </c>
      <c r="C9246" t="s">
        <v>79</v>
      </c>
      <c r="D9246" t="s">
        <v>74</v>
      </c>
      <c r="E9246" s="6">
        <v>-27907</v>
      </c>
      <c r="F9246" t="s">
        <v>370</v>
      </c>
      <c r="G9246" t="s">
        <v>20</v>
      </c>
      <c r="H9246" t="s">
        <v>21</v>
      </c>
      <c r="I9246" t="s">
        <v>18300</v>
      </c>
      <c r="J9246" t="str">
        <f>HYPERLINK("https://www.boe.es/gazeta/dias/1823/08/04/pdfs/GES-1823-116.pdf#page=4","Abrir facsímil")</f>
        <v>Abrir facsímil</v>
      </c>
      <c r="K9246" t="s">
        <v>23</v>
      </c>
    </row>
    <row r="9247" spans="1:11" ht="42" customHeight="1">
      <c r="A9247" t="s">
        <v>18301</v>
      </c>
      <c r="B9247" t="s">
        <v>18301</v>
      </c>
      <c r="C9247" t="s">
        <v>79</v>
      </c>
      <c r="D9247" t="s">
        <v>74</v>
      </c>
      <c r="E9247" s="6">
        <v>-27990</v>
      </c>
      <c r="F9247" t="s">
        <v>1132</v>
      </c>
      <c r="G9247" t="s">
        <v>48</v>
      </c>
      <c r="H9247" t="s">
        <v>21</v>
      </c>
      <c r="I9247" t="s">
        <v>18302</v>
      </c>
      <c r="J9247" t="str">
        <f>HYPERLINK("https://www.boe.es/gazeta/dias/1823/05/13/pdfs/GES-1823-33.pdf#page=3","Abrir facsímil")</f>
        <v>Abrir facsímil</v>
      </c>
      <c r="K9247" t="s">
        <v>23</v>
      </c>
    </row>
    <row r="9248" spans="1:11" ht="42" customHeight="1">
      <c r="A9248" t="s">
        <v>18303</v>
      </c>
      <c r="B9248" t="s">
        <v>18303</v>
      </c>
      <c r="C9248" t="s">
        <v>56</v>
      </c>
      <c r="D9248" t="s">
        <v>57</v>
      </c>
      <c r="E9248" s="6">
        <v>-28085</v>
      </c>
      <c r="F9248" t="s">
        <v>458</v>
      </c>
      <c r="G9248" t="s">
        <v>27</v>
      </c>
      <c r="H9248" t="s">
        <v>21</v>
      </c>
      <c r="I9248" t="s">
        <v>18304</v>
      </c>
      <c r="J9248" t="str">
        <f>HYPERLINK("https://www.boe.es/gazeta/dias/1823/02/07/pdfs/GMD-1823-40.pdf#page=2","Abrir facsímil")</f>
        <v>Abrir facsímil</v>
      </c>
      <c r="K9248" t="s">
        <v>23</v>
      </c>
    </row>
    <row r="9249" spans="1:11" ht="42" customHeight="1">
      <c r="A9249" t="s">
        <v>18305</v>
      </c>
      <c r="B9249" t="s">
        <v>18306</v>
      </c>
      <c r="C9249" t="s">
        <v>79</v>
      </c>
      <c r="D9249" t="s">
        <v>74</v>
      </c>
      <c r="E9249" s="6">
        <v>-28025</v>
      </c>
      <c r="F9249" t="s">
        <v>477</v>
      </c>
      <c r="G9249" t="s">
        <v>20</v>
      </c>
      <c r="H9249" t="s">
        <v>28</v>
      </c>
      <c r="I9249" t="s">
        <v>18307</v>
      </c>
      <c r="J9249" t="str">
        <f>HYPERLINK("https://www.boe.es/gazeta/dias/1823/04/08/pdfs/GMD-1823-103.pdf#page=4","Abrir facsímil")</f>
        <v>Abrir facsímil</v>
      </c>
      <c r="K9249" t="s">
        <v>30</v>
      </c>
    </row>
    <row r="9250" spans="1:11" ht="42" customHeight="1">
      <c r="A9250" t="s">
        <v>18308</v>
      </c>
      <c r="B9250" t="s">
        <v>18308</v>
      </c>
      <c r="C9250" t="s">
        <v>17</v>
      </c>
      <c r="D9250" t="s">
        <v>18</v>
      </c>
      <c r="E9250" s="6">
        <v>-27925</v>
      </c>
      <c r="F9250" t="s">
        <v>1744</v>
      </c>
      <c r="G9250" t="s">
        <v>34</v>
      </c>
      <c r="H9250" t="s">
        <v>21</v>
      </c>
      <c r="I9250" t="s">
        <v>18309</v>
      </c>
      <c r="J9250" t="str">
        <f>HYPERLINK("https://www.boe.es/gazeta/dias/1823/07/17/pdfs/GMD-1823-413.pdf#page=5","Abrir facsímil")</f>
        <v>Abrir facsímil</v>
      </c>
      <c r="K9250" t="s">
        <v>23</v>
      </c>
    </row>
    <row r="9251" spans="1:11" ht="42" customHeight="1">
      <c r="A9251" t="s">
        <v>18310</v>
      </c>
      <c r="B9251" t="s">
        <v>18310</v>
      </c>
      <c r="C9251" t="s">
        <v>17</v>
      </c>
      <c r="D9251" t="s">
        <v>18</v>
      </c>
      <c r="E9251" s="6">
        <v>-27892</v>
      </c>
      <c r="F9251" t="s">
        <v>1571</v>
      </c>
      <c r="G9251" t="s">
        <v>39</v>
      </c>
      <c r="H9251" t="s">
        <v>21</v>
      </c>
      <c r="I9251" t="s">
        <v>18311</v>
      </c>
      <c r="J9251" t="str">
        <f>HYPERLINK("https://www.boe.es/gazeta/dias/1823/08/19/pdfs/GMD-1823-613.pdf#page=1","Abrir facsímil")</f>
        <v>Abrir facsímil</v>
      </c>
      <c r="K9251" t="s">
        <v>23</v>
      </c>
    </row>
    <row r="9252" spans="1:11" ht="42" customHeight="1">
      <c r="A9252" t="s">
        <v>18312</v>
      </c>
      <c r="B9252" t="s">
        <v>18313</v>
      </c>
      <c r="C9252" t="s">
        <v>84</v>
      </c>
      <c r="D9252" t="s">
        <v>74</v>
      </c>
      <c r="E9252" s="6">
        <v>-27988</v>
      </c>
      <c r="F9252" t="s">
        <v>692</v>
      </c>
      <c r="G9252" t="s">
        <v>27</v>
      </c>
      <c r="H9252" t="s">
        <v>21</v>
      </c>
      <c r="I9252" t="s">
        <v>18314</v>
      </c>
      <c r="J9252" t="str">
        <f>HYPERLINK("https://www.boe.es/gazeta/dias/1823/05/15/pdfs/GES-1823-35.pdf#page=2","Abrir facsímil")</f>
        <v>Abrir facsímil</v>
      </c>
      <c r="K9252" t="s">
        <v>23</v>
      </c>
    </row>
    <row r="9253" spans="1:11" ht="42" customHeight="1">
      <c r="A9253" t="s">
        <v>18315</v>
      </c>
      <c r="B9253" t="s">
        <v>18316</v>
      </c>
      <c r="C9253" t="s">
        <v>79</v>
      </c>
      <c r="D9253" t="s">
        <v>74</v>
      </c>
      <c r="E9253" s="6">
        <v>-28019</v>
      </c>
      <c r="F9253" t="s">
        <v>1663</v>
      </c>
      <c r="G9253" t="s">
        <v>48</v>
      </c>
      <c r="H9253" t="s">
        <v>21</v>
      </c>
      <c r="I9253" t="s">
        <v>18317</v>
      </c>
      <c r="J9253" t="str">
        <f>HYPERLINK("https://www.boe.es/gazeta/dias/1823/04/14/pdfs/GES-1823-4.pdf#page=3","Abrir facsímil")</f>
        <v>Abrir facsímil</v>
      </c>
      <c r="K9253" t="s">
        <v>23</v>
      </c>
    </row>
    <row r="9254" spans="1:11" ht="42" customHeight="1">
      <c r="A9254" t="s">
        <v>18318</v>
      </c>
      <c r="B9254" t="s">
        <v>18318</v>
      </c>
      <c r="C9254" t="s">
        <v>17</v>
      </c>
      <c r="D9254" t="s">
        <v>18</v>
      </c>
      <c r="E9254" s="6">
        <v>-27926</v>
      </c>
      <c r="F9254" t="s">
        <v>2158</v>
      </c>
      <c r="G9254" t="s">
        <v>48</v>
      </c>
      <c r="H9254" t="s">
        <v>21</v>
      </c>
      <c r="I9254" t="s">
        <v>18319</v>
      </c>
      <c r="J9254" t="str">
        <f>HYPERLINK("https://www.boe.es/gazeta/dias/1823/07/16/pdfs/GES-1823-96.pdf#page=3","Abrir facsímil")</f>
        <v>Abrir facsímil</v>
      </c>
      <c r="K9254" t="s">
        <v>23</v>
      </c>
    </row>
    <row r="9255" spans="1:11" ht="42" customHeight="1">
      <c r="A9255" t="s">
        <v>18320</v>
      </c>
      <c r="B9255" t="s">
        <v>18321</v>
      </c>
      <c r="C9255" t="s">
        <v>17</v>
      </c>
      <c r="D9255" t="s">
        <v>117</v>
      </c>
      <c r="E9255" s="6">
        <v>-27873</v>
      </c>
      <c r="F9255" t="s">
        <v>1668</v>
      </c>
      <c r="G9255" t="s">
        <v>27</v>
      </c>
      <c r="H9255" t="s">
        <v>21</v>
      </c>
      <c r="I9255" t="s">
        <v>18322</v>
      </c>
      <c r="J9255" t="str">
        <f>HYPERLINK("https://www.boe.es/gazeta/dias/1823/09/07/pdfs/GMD-1823-72E.pdf#page=2","Abrir facsímil")</f>
        <v>Abrir facsímil</v>
      </c>
      <c r="K9255" t="s">
        <v>23</v>
      </c>
    </row>
    <row r="9256" spans="1:11" ht="42" customHeight="1">
      <c r="A9256" t="s">
        <v>18323</v>
      </c>
      <c r="B9256" t="s">
        <v>18323</v>
      </c>
      <c r="C9256" t="s">
        <v>17</v>
      </c>
      <c r="D9256" t="s">
        <v>18</v>
      </c>
      <c r="E9256" s="6">
        <v>-28024</v>
      </c>
      <c r="F9256" t="s">
        <v>1659</v>
      </c>
      <c r="G9256" t="s">
        <v>27</v>
      </c>
      <c r="H9256" t="s">
        <v>21</v>
      </c>
      <c r="I9256" t="s">
        <v>18324</v>
      </c>
      <c r="J9256" t="str">
        <f>HYPERLINK("https://www.boe.es/gazeta/dias/1823/04/09/pdfs/GMD-1823-104.pdf#page=2","Abrir facsímil")</f>
        <v>Abrir facsímil</v>
      </c>
      <c r="K9256" t="s">
        <v>23</v>
      </c>
    </row>
    <row r="9257" spans="1:11" ht="42" customHeight="1">
      <c r="A9257" t="s">
        <v>18325</v>
      </c>
      <c r="B9257" t="s">
        <v>18325</v>
      </c>
      <c r="C9257" t="s">
        <v>17</v>
      </c>
      <c r="D9257" t="s">
        <v>18</v>
      </c>
      <c r="E9257" s="6">
        <v>-27852</v>
      </c>
      <c r="F9257" t="s">
        <v>2628</v>
      </c>
      <c r="G9257" t="s">
        <v>7694</v>
      </c>
      <c r="H9257" t="s">
        <v>21</v>
      </c>
      <c r="I9257" t="s">
        <v>18326</v>
      </c>
      <c r="J9257" t="str">
        <f>HYPERLINK("https://www.boe.es/gazeta/dias/1823/09/28/pdfs/GES-1823-172.pdf#page=2","Abrir facsímil")</f>
        <v>Abrir facsímil</v>
      </c>
      <c r="K9257" t="s">
        <v>23</v>
      </c>
    </row>
    <row r="9258" spans="1:11" ht="42" customHeight="1">
      <c r="A9258" t="s">
        <v>18327</v>
      </c>
      <c r="B9258" t="s">
        <v>18327</v>
      </c>
      <c r="C9258" t="s">
        <v>17</v>
      </c>
      <c r="D9258" t="s">
        <v>117</v>
      </c>
      <c r="E9258" s="6">
        <v>-27873</v>
      </c>
      <c r="F9258" t="s">
        <v>1668</v>
      </c>
      <c r="G9258" t="s">
        <v>27</v>
      </c>
      <c r="H9258" t="s">
        <v>21</v>
      </c>
      <c r="I9258" t="s">
        <v>18328</v>
      </c>
      <c r="J9258" t="str">
        <f>HYPERLINK("https://www.boe.es/gazeta/dias/1823/09/07/pdfs/GMD-1823-72E.pdf#page=2","Abrir facsímil")</f>
        <v>Abrir facsímil</v>
      </c>
      <c r="K9258" t="s">
        <v>23</v>
      </c>
    </row>
    <row r="9259" spans="1:11" ht="42" customHeight="1">
      <c r="A9259" t="s">
        <v>18327</v>
      </c>
      <c r="B9259" t="s">
        <v>18327</v>
      </c>
      <c r="C9259" t="s">
        <v>17</v>
      </c>
      <c r="D9259" t="s">
        <v>18</v>
      </c>
      <c r="E9259" s="6">
        <v>-27865</v>
      </c>
      <c r="F9259" t="s">
        <v>9815</v>
      </c>
      <c r="G9259" t="s">
        <v>39</v>
      </c>
      <c r="H9259" t="s">
        <v>21</v>
      </c>
      <c r="I9259" t="s">
        <v>18329</v>
      </c>
      <c r="J9259" t="str">
        <f>HYPERLINK("https://www.boe.es/gazeta/dias/1823/09/15/pdfs/GES-1823-159.pdf#page=1","Abrir facsímil")</f>
        <v>Abrir facsímil</v>
      </c>
      <c r="K9259" t="s">
        <v>23</v>
      </c>
    </row>
    <row r="9260" spans="1:11" ht="42" customHeight="1">
      <c r="A9260" t="s">
        <v>18327</v>
      </c>
      <c r="B9260" t="s">
        <v>18327</v>
      </c>
      <c r="C9260" t="s">
        <v>17</v>
      </c>
      <c r="D9260" t="s">
        <v>18</v>
      </c>
      <c r="E9260" s="6">
        <v>-27852</v>
      </c>
      <c r="F9260" t="s">
        <v>2628</v>
      </c>
      <c r="G9260" t="s">
        <v>7694</v>
      </c>
      <c r="H9260" t="s">
        <v>21</v>
      </c>
      <c r="I9260" t="s">
        <v>18330</v>
      </c>
      <c r="J9260" t="str">
        <f>HYPERLINK("https://www.boe.es/gazeta/dias/1823/09/28/pdfs/GES-1823-172.pdf#page=2","Abrir facsímil")</f>
        <v>Abrir facsímil</v>
      </c>
      <c r="K9260" t="s">
        <v>23</v>
      </c>
    </row>
    <row r="9261" spans="1:11" ht="42" customHeight="1">
      <c r="A9261" t="s">
        <v>18331</v>
      </c>
      <c r="B9261" t="s">
        <v>18332</v>
      </c>
      <c r="C9261" t="s">
        <v>17</v>
      </c>
      <c r="D9261" t="s">
        <v>117</v>
      </c>
      <c r="E9261" s="6">
        <v>-27873</v>
      </c>
      <c r="F9261" t="s">
        <v>1668</v>
      </c>
      <c r="G9261" t="s">
        <v>27</v>
      </c>
      <c r="H9261" t="s">
        <v>21</v>
      </c>
      <c r="I9261" t="s">
        <v>18333</v>
      </c>
      <c r="J9261" t="str">
        <f>HYPERLINK("https://www.boe.es/gazeta/dias/1823/09/07/pdfs/GMD-1823-72E.pdf#page=2","Abrir facsímil")</f>
        <v>Abrir facsímil</v>
      </c>
      <c r="K9261" t="s">
        <v>23</v>
      </c>
    </row>
    <row r="9262" spans="1:11" ht="42" customHeight="1">
      <c r="A9262" t="s">
        <v>18331</v>
      </c>
      <c r="B9262" t="s">
        <v>18332</v>
      </c>
      <c r="C9262" t="s">
        <v>17</v>
      </c>
      <c r="D9262" t="s">
        <v>18</v>
      </c>
      <c r="E9262" s="6">
        <v>-27852</v>
      </c>
      <c r="F9262" t="s">
        <v>2628</v>
      </c>
      <c r="G9262" t="s">
        <v>7694</v>
      </c>
      <c r="H9262" t="s">
        <v>21</v>
      </c>
      <c r="I9262" t="s">
        <v>18334</v>
      </c>
      <c r="J9262" t="str">
        <f>HYPERLINK("https://www.boe.es/gazeta/dias/1823/09/28/pdfs/GES-1823-172.pdf#page=2","Abrir facsímil")</f>
        <v>Abrir facsímil</v>
      </c>
      <c r="K9262" t="s">
        <v>23</v>
      </c>
    </row>
    <row r="9263" spans="1:11" ht="42" customHeight="1">
      <c r="A9263" t="s">
        <v>18335</v>
      </c>
      <c r="B9263" t="s">
        <v>18335</v>
      </c>
      <c r="C9263" t="s">
        <v>84</v>
      </c>
      <c r="D9263" t="s">
        <v>74</v>
      </c>
      <c r="E9263" s="6">
        <v>-28093</v>
      </c>
      <c r="F9263" t="s">
        <v>1044</v>
      </c>
      <c r="G9263" t="s">
        <v>48</v>
      </c>
      <c r="H9263" t="s">
        <v>21</v>
      </c>
      <c r="I9263" t="s">
        <v>18336</v>
      </c>
      <c r="J9263" t="str">
        <f>HYPERLINK("https://www.boe.es/gazeta/dias/1823/01/30/pdfs/GMD-1823-31.pdf#page=3","Abrir facsímil")</f>
        <v>Abrir facsímil</v>
      </c>
      <c r="K9263" t="s">
        <v>23</v>
      </c>
    </row>
    <row r="9264" spans="1:11" ht="42" customHeight="1">
      <c r="A9264" t="s">
        <v>18335</v>
      </c>
      <c r="B9264" t="s">
        <v>18335</v>
      </c>
      <c r="C9264" t="s">
        <v>73</v>
      </c>
      <c r="D9264" t="s">
        <v>74</v>
      </c>
      <c r="E9264" s="6">
        <v>-28084</v>
      </c>
      <c r="F9264" t="s">
        <v>1049</v>
      </c>
      <c r="G9264" t="s">
        <v>3129</v>
      </c>
      <c r="H9264" t="s">
        <v>21</v>
      </c>
      <c r="I9264" t="s">
        <v>18337</v>
      </c>
      <c r="J9264" t="str">
        <f>HYPERLINK("https://www.boe.es/gazeta/dias/1823/02/08/pdfs/GMD-1823-41.pdf#page=2","Abrir facsímil")</f>
        <v>Abrir facsímil</v>
      </c>
      <c r="K9264" t="s">
        <v>23</v>
      </c>
    </row>
    <row r="9265" spans="1:11" ht="42" customHeight="1">
      <c r="A9265" t="s">
        <v>18338</v>
      </c>
      <c r="B9265" t="s">
        <v>18338</v>
      </c>
      <c r="C9265" t="s">
        <v>73</v>
      </c>
      <c r="D9265" t="s">
        <v>74</v>
      </c>
      <c r="E9265" s="6">
        <v>-27862</v>
      </c>
      <c r="F9265" t="s">
        <v>5328</v>
      </c>
      <c r="G9265" t="s">
        <v>27</v>
      </c>
      <c r="H9265" t="s">
        <v>21</v>
      </c>
      <c r="I9265" t="s">
        <v>18339</v>
      </c>
      <c r="J9265" t="str">
        <f>HYPERLINK("https://www.boe.es/gazeta/dias/1823/09/18/pdfs/GES-1823-162.pdf#page=2","Abrir facsímil")</f>
        <v>Abrir facsímil</v>
      </c>
      <c r="K9265" t="s">
        <v>23</v>
      </c>
    </row>
    <row r="9266" spans="1:11" ht="42" customHeight="1">
      <c r="A9266" t="s">
        <v>18340</v>
      </c>
      <c r="B9266" t="s">
        <v>18341</v>
      </c>
      <c r="C9266" t="s">
        <v>17</v>
      </c>
      <c r="D9266" t="s">
        <v>18</v>
      </c>
      <c r="E9266" s="6">
        <v>-28016</v>
      </c>
      <c r="F9266" t="s">
        <v>287</v>
      </c>
      <c r="G9266" t="s">
        <v>48</v>
      </c>
      <c r="H9266" t="s">
        <v>21</v>
      </c>
      <c r="I9266" t="s">
        <v>18342</v>
      </c>
      <c r="J9266" t="str">
        <f>HYPERLINK("https://www.boe.es/gazeta/dias/1823/04/17/pdfs/GMD-1823-22.pdf#page=3","Abrir facsímil")</f>
        <v>Abrir facsímil</v>
      </c>
      <c r="K9266" t="s">
        <v>23</v>
      </c>
    </row>
    <row r="9267" spans="1:11" ht="42" customHeight="1">
      <c r="A9267" t="s">
        <v>18343</v>
      </c>
      <c r="B9267" t="s">
        <v>18343</v>
      </c>
      <c r="C9267" t="s">
        <v>17</v>
      </c>
      <c r="D9267" t="s">
        <v>18</v>
      </c>
      <c r="E9267" s="6">
        <v>-27909</v>
      </c>
      <c r="F9267" t="s">
        <v>1525</v>
      </c>
      <c r="G9267" t="s">
        <v>48</v>
      </c>
      <c r="H9267" t="s">
        <v>21</v>
      </c>
      <c r="I9267" t="s">
        <v>18344</v>
      </c>
      <c r="J9267" t="str">
        <f>HYPERLINK("https://www.boe.es/gazeta/dias/1823/08/02/pdfs/GMD-1823-513.pdf#page=3","Abrir facsímil")</f>
        <v>Abrir facsímil</v>
      </c>
      <c r="K9267" t="s">
        <v>23</v>
      </c>
    </row>
    <row r="9268" spans="1:11" ht="42" customHeight="1">
      <c r="A9268" t="s">
        <v>18345</v>
      </c>
      <c r="B9268" t="s">
        <v>18345</v>
      </c>
      <c r="C9268" t="s">
        <v>17</v>
      </c>
      <c r="D9268" t="s">
        <v>18</v>
      </c>
      <c r="E9268" s="6">
        <v>-27973</v>
      </c>
      <c r="F9268" t="s">
        <v>758</v>
      </c>
      <c r="G9268" t="s">
        <v>20</v>
      </c>
      <c r="H9268" t="s">
        <v>21</v>
      </c>
      <c r="I9268" t="s">
        <v>18346</v>
      </c>
      <c r="J9268" t="str">
        <f>HYPERLINK("https://www.boe.es/gazeta/dias/1823/05/30/pdfs/GES-1823-53.pdf#page=4","Abrir facsímil")</f>
        <v>Abrir facsímil</v>
      </c>
      <c r="K9268" t="s">
        <v>23</v>
      </c>
    </row>
    <row r="9269" spans="1:11" ht="42" customHeight="1">
      <c r="A9269" t="s">
        <v>18347</v>
      </c>
      <c r="B9269" t="s">
        <v>18348</v>
      </c>
      <c r="C9269" t="s">
        <v>109</v>
      </c>
      <c r="D9269" t="s">
        <v>74</v>
      </c>
      <c r="E9269" s="6">
        <v>-27906</v>
      </c>
      <c r="F9269" t="s">
        <v>241</v>
      </c>
      <c r="G9269" t="s">
        <v>2212</v>
      </c>
      <c r="H9269" t="s">
        <v>21</v>
      </c>
      <c r="I9269" t="s">
        <v>18349</v>
      </c>
      <c r="J9269" t="str">
        <f>HYPERLINK("https://www.boe.es/gazeta/dias/1823/08/05/pdfs/GES-1823-117.pdf#page=2","Abrir facsímil")</f>
        <v>Abrir facsímil</v>
      </c>
      <c r="K9269" t="s">
        <v>23</v>
      </c>
    </row>
    <row r="9270" spans="1:11" ht="42" customHeight="1">
      <c r="A9270" t="s">
        <v>18350</v>
      </c>
      <c r="B9270" t="s">
        <v>18351</v>
      </c>
      <c r="C9270" t="s">
        <v>79</v>
      </c>
      <c r="D9270" t="s">
        <v>74</v>
      </c>
      <c r="E9270" s="6">
        <v>-28065</v>
      </c>
      <c r="F9270" t="s">
        <v>686</v>
      </c>
      <c r="G9270" t="s">
        <v>20</v>
      </c>
      <c r="H9270" t="s">
        <v>28</v>
      </c>
      <c r="I9270" t="s">
        <v>18352</v>
      </c>
      <c r="J9270" t="str">
        <f>HYPERLINK("https://www.boe.es/gazeta/dias/1823/02/27/pdfs/GMD-1823-61.pdf#page=4","Abrir facsímil")</f>
        <v>Abrir facsímil</v>
      </c>
      <c r="K9270" t="s">
        <v>30</v>
      </c>
    </row>
    <row r="9271" spans="1:11" ht="42" customHeight="1">
      <c r="A9271" t="s">
        <v>18353</v>
      </c>
      <c r="B9271" t="s">
        <v>18354</v>
      </c>
      <c r="C9271" t="s">
        <v>17</v>
      </c>
      <c r="D9271" t="s">
        <v>117</v>
      </c>
      <c r="E9271" s="6">
        <v>-27873</v>
      </c>
      <c r="F9271" t="s">
        <v>1668</v>
      </c>
      <c r="G9271" t="s">
        <v>27</v>
      </c>
      <c r="H9271" t="s">
        <v>21</v>
      </c>
      <c r="I9271" t="s">
        <v>18355</v>
      </c>
      <c r="J9271" t="str">
        <f>HYPERLINK("https://www.boe.es/gazeta/dias/1823/09/07/pdfs/GMD-1823-72E.pdf#page=2","Abrir facsímil")</f>
        <v>Abrir facsímil</v>
      </c>
      <c r="K9271" t="s">
        <v>23</v>
      </c>
    </row>
    <row r="9272" spans="1:11" ht="42" customHeight="1">
      <c r="A9272" t="s">
        <v>18356</v>
      </c>
      <c r="B9272" t="s">
        <v>18356</v>
      </c>
      <c r="C9272" t="s">
        <v>17</v>
      </c>
      <c r="D9272" t="s">
        <v>18</v>
      </c>
      <c r="E9272" s="6">
        <v>-28107</v>
      </c>
      <c r="F9272" t="s">
        <v>278</v>
      </c>
      <c r="G9272" t="s">
        <v>2827</v>
      </c>
      <c r="H9272" t="s">
        <v>21</v>
      </c>
      <c r="I9272" t="s">
        <v>18357</v>
      </c>
      <c r="J9272" t="str">
        <f>HYPERLINK("https://www.boe.es/gazeta/dias/1823/01/16/pdfs/GMD-1823-16.pdf#page=6","Abrir facsímil")</f>
        <v>Abrir facsímil</v>
      </c>
      <c r="K9272" t="s">
        <v>23</v>
      </c>
    </row>
    <row r="9273" spans="1:11" ht="42" customHeight="1">
      <c r="A9273" t="s">
        <v>18358</v>
      </c>
      <c r="B9273" t="s">
        <v>18358</v>
      </c>
      <c r="C9273" t="s">
        <v>17</v>
      </c>
      <c r="D9273" t="s">
        <v>18</v>
      </c>
      <c r="E9273" s="6">
        <v>-28064</v>
      </c>
      <c r="F9273" t="s">
        <v>1190</v>
      </c>
      <c r="G9273" t="s">
        <v>48</v>
      </c>
      <c r="H9273" t="s">
        <v>21</v>
      </c>
      <c r="I9273" t="s">
        <v>18359</v>
      </c>
      <c r="J9273" t="str">
        <f>HYPERLINK("https://www.boe.es/gazeta/dias/1823/02/28/pdfs/GMD-1823-62.pdf#page=3","Abrir facsímil")</f>
        <v>Abrir facsímil</v>
      </c>
      <c r="K9273" t="s">
        <v>23</v>
      </c>
    </row>
    <row r="9274" spans="1:11" ht="42" customHeight="1">
      <c r="A9274" t="s">
        <v>18358</v>
      </c>
      <c r="B9274" t="s">
        <v>18358</v>
      </c>
      <c r="C9274" t="s">
        <v>17</v>
      </c>
      <c r="D9274" t="s">
        <v>18</v>
      </c>
      <c r="E9274" s="6">
        <v>-28041</v>
      </c>
      <c r="F9274" t="s">
        <v>873</v>
      </c>
      <c r="G9274" t="s">
        <v>48</v>
      </c>
      <c r="H9274" t="s">
        <v>21</v>
      </c>
      <c r="I9274" t="s">
        <v>18360</v>
      </c>
      <c r="J9274" t="str">
        <f>HYPERLINK("https://www.boe.es/gazeta/dias/1823/03/23/pdfs/GMD-1823-86.pdf#page=3","Abrir facsímil")</f>
        <v>Abrir facsímil</v>
      </c>
      <c r="K9274" t="s">
        <v>23</v>
      </c>
    </row>
    <row r="9275" spans="1:11" ht="42" customHeight="1">
      <c r="A9275" t="s">
        <v>18361</v>
      </c>
      <c r="B9275" t="s">
        <v>18362</v>
      </c>
      <c r="C9275" t="s">
        <v>79</v>
      </c>
      <c r="D9275" t="s">
        <v>74</v>
      </c>
      <c r="E9275" s="6">
        <v>-28074</v>
      </c>
      <c r="F9275" t="s">
        <v>212</v>
      </c>
      <c r="G9275" t="s">
        <v>59</v>
      </c>
      <c r="H9275" t="s">
        <v>21</v>
      </c>
      <c r="I9275" t="s">
        <v>18363</v>
      </c>
      <c r="J9275" t="str">
        <f>HYPERLINK("https://www.boe.es/gazeta/dias/1823/02/18/pdfs/GMD-1823-52.pdf#page=6","Abrir facsímil")</f>
        <v>Abrir facsímil</v>
      </c>
      <c r="K9275" t="s">
        <v>23</v>
      </c>
    </row>
    <row r="9276" spans="1:11" ht="42" customHeight="1">
      <c r="A9276" t="s">
        <v>18361</v>
      </c>
      <c r="B9276" t="s">
        <v>18362</v>
      </c>
      <c r="C9276" t="s">
        <v>17</v>
      </c>
      <c r="D9276" t="s">
        <v>18</v>
      </c>
      <c r="E9276" s="6">
        <v>-28062</v>
      </c>
      <c r="F9276" t="s">
        <v>1357</v>
      </c>
      <c r="G9276" t="s">
        <v>20</v>
      </c>
      <c r="H9276" t="s">
        <v>21</v>
      </c>
      <c r="I9276" t="s">
        <v>18364</v>
      </c>
      <c r="J9276" t="str">
        <f>HYPERLINK("https://www.boe.es/gazeta/dias/1823/03/02/pdfs/GMD-1823-65.pdf#page=4","Abrir facsímil")</f>
        <v>Abrir facsímil</v>
      </c>
      <c r="K9276" t="s">
        <v>23</v>
      </c>
    </row>
    <row r="9277" spans="1:11" ht="42" customHeight="1">
      <c r="A9277" t="s">
        <v>18365</v>
      </c>
      <c r="B9277" t="s">
        <v>18366</v>
      </c>
      <c r="C9277" t="s">
        <v>17</v>
      </c>
      <c r="D9277" t="s">
        <v>18</v>
      </c>
      <c r="E9277" s="6">
        <v>-27967</v>
      </c>
      <c r="F9277" t="s">
        <v>2493</v>
      </c>
      <c r="G9277" t="s">
        <v>48</v>
      </c>
      <c r="H9277" t="s">
        <v>21</v>
      </c>
      <c r="I9277" t="s">
        <v>18367</v>
      </c>
      <c r="J9277" t="str">
        <f>HYPERLINK("https://www.boe.es/gazeta/dias/1823/06/05/pdfs/GMD-1823-63.pdf#page=3","Abrir facsímil")</f>
        <v>Abrir facsímil</v>
      </c>
      <c r="K9277" t="s">
        <v>23</v>
      </c>
    </row>
    <row r="9278" spans="1:11" ht="42" customHeight="1">
      <c r="A9278" t="s">
        <v>18368</v>
      </c>
      <c r="B9278" t="s">
        <v>18368</v>
      </c>
      <c r="C9278" t="s">
        <v>17</v>
      </c>
      <c r="D9278" t="s">
        <v>18</v>
      </c>
      <c r="E9278" s="6">
        <v>-28108</v>
      </c>
      <c r="F9278" t="s">
        <v>406</v>
      </c>
      <c r="G9278" t="s">
        <v>1710</v>
      </c>
      <c r="H9278" t="s">
        <v>21</v>
      </c>
      <c r="I9278" t="s">
        <v>18369</v>
      </c>
      <c r="J9278" t="str">
        <f>HYPERLINK("https://www.boe.es/gazeta/dias/1823/01/15/pdfs/GMD-1823-15.pdf#page=3","Abrir facsímil")</f>
        <v>Abrir facsímil</v>
      </c>
      <c r="K9278" t="s">
        <v>23</v>
      </c>
    </row>
    <row r="9279" spans="1:11" ht="42" customHeight="1">
      <c r="A9279" t="s">
        <v>18368</v>
      </c>
      <c r="B9279" t="s">
        <v>18368</v>
      </c>
      <c r="C9279" t="s">
        <v>17</v>
      </c>
      <c r="D9279" t="s">
        <v>18</v>
      </c>
      <c r="E9279" s="6">
        <v>-28107</v>
      </c>
      <c r="F9279" t="s">
        <v>278</v>
      </c>
      <c r="G9279" t="s">
        <v>2827</v>
      </c>
      <c r="H9279" t="s">
        <v>21</v>
      </c>
      <c r="I9279" t="s">
        <v>18370</v>
      </c>
      <c r="J9279" t="str">
        <f>HYPERLINK("https://www.boe.es/gazeta/dias/1823/01/16/pdfs/GMD-1823-16.pdf#page=6","Abrir facsímil")</f>
        <v>Abrir facsímil</v>
      </c>
      <c r="K9279" t="s">
        <v>23</v>
      </c>
    </row>
    <row r="9280" spans="1:11" ht="42" customHeight="1">
      <c r="A9280" t="s">
        <v>18368</v>
      </c>
      <c r="B9280" t="s">
        <v>18368</v>
      </c>
      <c r="C9280" t="s">
        <v>17</v>
      </c>
      <c r="D9280" t="s">
        <v>18</v>
      </c>
      <c r="E9280" s="6">
        <v>-28087</v>
      </c>
      <c r="F9280" t="s">
        <v>3125</v>
      </c>
      <c r="G9280" t="s">
        <v>59</v>
      </c>
      <c r="H9280" t="s">
        <v>21</v>
      </c>
      <c r="I9280" t="s">
        <v>18371</v>
      </c>
      <c r="J9280" t="str">
        <f>HYPERLINK("https://www.boe.es/gazeta/dias/1823/02/05/pdfs/GMD-1823-38.pdf#page=6","Abrir facsímil")</f>
        <v>Abrir facsímil</v>
      </c>
      <c r="K9280" t="s">
        <v>23</v>
      </c>
    </row>
    <row r="9281" spans="1:11" ht="42" customHeight="1">
      <c r="A9281" t="s">
        <v>18368</v>
      </c>
      <c r="B9281" t="s">
        <v>18368</v>
      </c>
      <c r="C9281" t="s">
        <v>17</v>
      </c>
      <c r="D9281" t="s">
        <v>18</v>
      </c>
      <c r="E9281" s="6">
        <v>-28008</v>
      </c>
      <c r="F9281" t="s">
        <v>309</v>
      </c>
      <c r="G9281" t="s">
        <v>39</v>
      </c>
      <c r="H9281" t="s">
        <v>21</v>
      </c>
      <c r="I9281" t="s">
        <v>18372</v>
      </c>
      <c r="J9281" t="str">
        <f>HYPERLINK("https://www.boe.es/gazeta/dias/1823/04/25/pdfs/GES-1823-15.pdf#page=1","Abrir facsímil")</f>
        <v>Abrir facsímil</v>
      </c>
      <c r="K9281" t="s">
        <v>23</v>
      </c>
    </row>
    <row r="9282" spans="1:11" ht="42" customHeight="1">
      <c r="A9282" t="s">
        <v>18373</v>
      </c>
      <c r="B9282" t="s">
        <v>18374</v>
      </c>
      <c r="C9282" t="s">
        <v>17</v>
      </c>
      <c r="D9282" t="s">
        <v>18</v>
      </c>
      <c r="E9282" s="6">
        <v>-28007</v>
      </c>
      <c r="F9282" t="s">
        <v>311</v>
      </c>
      <c r="G9282" t="s">
        <v>1968</v>
      </c>
      <c r="H9282" t="s">
        <v>21</v>
      </c>
      <c r="I9282" t="s">
        <v>18375</v>
      </c>
      <c r="J9282" t="str">
        <f>HYPERLINK("https://www.boe.es/gazeta/dias/1823/04/26/pdfs/GES-1823-16.pdf#page=4","Abrir facsímil")</f>
        <v>Abrir facsímil</v>
      </c>
      <c r="K9282" t="s">
        <v>23</v>
      </c>
    </row>
    <row r="9283" spans="1:11" ht="42" customHeight="1">
      <c r="A9283" t="s">
        <v>18373</v>
      </c>
      <c r="B9283" t="s">
        <v>18374</v>
      </c>
      <c r="C9283" t="s">
        <v>17</v>
      </c>
      <c r="D9283" t="s">
        <v>18</v>
      </c>
      <c r="E9283" s="6">
        <v>-27994</v>
      </c>
      <c r="F9283" t="s">
        <v>714</v>
      </c>
      <c r="G9283" t="s">
        <v>715</v>
      </c>
      <c r="H9283" t="s">
        <v>21</v>
      </c>
      <c r="I9283" t="s">
        <v>18376</v>
      </c>
      <c r="J9283" t="str">
        <f>HYPERLINK("https://www.boe.es/gazeta/dias/1823/05/09/pdfs/GES-1823-29.pdf#page=8","Abrir facsímil")</f>
        <v>Abrir facsímil</v>
      </c>
      <c r="K9283" t="s">
        <v>23</v>
      </c>
    </row>
    <row r="9284" spans="1:11" ht="42" customHeight="1">
      <c r="A9284" t="s">
        <v>18373</v>
      </c>
      <c r="B9284" t="s">
        <v>18374</v>
      </c>
      <c r="C9284" t="s">
        <v>17</v>
      </c>
      <c r="D9284" t="s">
        <v>18</v>
      </c>
      <c r="E9284" s="6">
        <v>-27910</v>
      </c>
      <c r="F9284" t="s">
        <v>38</v>
      </c>
      <c r="G9284" t="s">
        <v>27</v>
      </c>
      <c r="H9284" t="s">
        <v>21</v>
      </c>
      <c r="I9284" t="s">
        <v>18377</v>
      </c>
      <c r="J9284" t="str">
        <f>HYPERLINK("https://www.boe.es/gazeta/dias/1823/08/01/pdfs/GES-1823-113.pdf#page=2","Abrir facsímil")</f>
        <v>Abrir facsímil</v>
      </c>
      <c r="K9284" t="s">
        <v>23</v>
      </c>
    </row>
    <row r="9285" spans="1:11" ht="42" customHeight="1">
      <c r="A9285" t="s">
        <v>18378</v>
      </c>
      <c r="B9285" t="s">
        <v>18379</v>
      </c>
      <c r="C9285" t="s">
        <v>84</v>
      </c>
      <c r="D9285" t="s">
        <v>74</v>
      </c>
      <c r="E9285" s="6">
        <v>-28013</v>
      </c>
      <c r="F9285" t="s">
        <v>105</v>
      </c>
      <c r="G9285" t="s">
        <v>20</v>
      </c>
      <c r="H9285" t="s">
        <v>21</v>
      </c>
      <c r="I9285" t="s">
        <v>18380</v>
      </c>
      <c r="J9285" t="str">
        <f>HYPERLINK("https://www.boe.es/gazeta/dias/1823/04/20/pdfs/GMD-1823-32.pdf#page=4","Abrir facsímil")</f>
        <v>Abrir facsímil</v>
      </c>
      <c r="K9285" t="s">
        <v>23</v>
      </c>
    </row>
    <row r="9286" spans="1:11" ht="42" customHeight="1">
      <c r="A9286" t="s">
        <v>18381</v>
      </c>
      <c r="B9286" t="s">
        <v>18381</v>
      </c>
      <c r="C9286" t="s">
        <v>17</v>
      </c>
      <c r="D9286" t="s">
        <v>18</v>
      </c>
      <c r="E9286" s="6">
        <v>-27918</v>
      </c>
      <c r="F9286" t="s">
        <v>218</v>
      </c>
      <c r="G9286" t="s">
        <v>48</v>
      </c>
      <c r="H9286" t="s">
        <v>21</v>
      </c>
      <c r="I9286" t="s">
        <v>18382</v>
      </c>
      <c r="J9286" t="str">
        <f>HYPERLINK("https://www.boe.es/gazeta/dias/1823/07/24/pdfs/GMD-1823-463.pdf#page=3","Abrir facsímil")</f>
        <v>Abrir facsímil</v>
      </c>
      <c r="K9286" t="s">
        <v>23</v>
      </c>
    </row>
    <row r="9287" spans="1:11" ht="42" customHeight="1">
      <c r="A9287" t="s">
        <v>18383</v>
      </c>
      <c r="B9287" t="s">
        <v>18383</v>
      </c>
      <c r="C9287" t="s">
        <v>79</v>
      </c>
      <c r="D9287" t="s">
        <v>74</v>
      </c>
      <c r="E9287" s="6">
        <v>-28057</v>
      </c>
      <c r="F9287" t="s">
        <v>301</v>
      </c>
      <c r="G9287" t="s">
        <v>20</v>
      </c>
      <c r="H9287" t="s">
        <v>21</v>
      </c>
      <c r="I9287" t="s">
        <v>18384</v>
      </c>
      <c r="J9287" t="str">
        <f>HYPERLINK("https://www.boe.es/gazeta/dias/1823/03/07/pdfs/GMD-1823-70.pdf#page=4","Abrir facsímil")</f>
        <v>Abrir facsímil</v>
      </c>
      <c r="K9287" t="s">
        <v>23</v>
      </c>
    </row>
    <row r="9288" spans="1:11" ht="42" customHeight="1">
      <c r="A9288" t="s">
        <v>18385</v>
      </c>
      <c r="B9288" t="s">
        <v>18385</v>
      </c>
      <c r="C9288" t="s">
        <v>79</v>
      </c>
      <c r="D9288" t="s">
        <v>74</v>
      </c>
      <c r="E9288" s="6">
        <v>-27975</v>
      </c>
      <c r="F9288" t="s">
        <v>47</v>
      </c>
      <c r="G9288" t="s">
        <v>20</v>
      </c>
      <c r="H9288" t="s">
        <v>21</v>
      </c>
      <c r="I9288" t="s">
        <v>18386</v>
      </c>
      <c r="J9288" t="str">
        <f>HYPERLINK("https://www.boe.es/gazeta/dias/1823/05/28/pdfs/GES-1823-50.pdf#page=4","Abrir facsímil")</f>
        <v>Abrir facsímil</v>
      </c>
      <c r="K9288" t="s">
        <v>23</v>
      </c>
    </row>
    <row r="9289" spans="1:11" ht="42" customHeight="1">
      <c r="A9289" t="s">
        <v>18387</v>
      </c>
      <c r="B9289" t="s">
        <v>18387</v>
      </c>
      <c r="C9289" t="s">
        <v>17</v>
      </c>
      <c r="D9289" t="s">
        <v>18</v>
      </c>
      <c r="E9289" s="6">
        <v>-27920</v>
      </c>
      <c r="F9289" t="s">
        <v>1334</v>
      </c>
      <c r="G9289" t="s">
        <v>27</v>
      </c>
      <c r="H9289" t="s">
        <v>21</v>
      </c>
      <c r="I9289" t="s">
        <v>18388</v>
      </c>
      <c r="J9289" t="str">
        <f>HYPERLINK("https://www.boe.es/gazeta/dias/1823/07/22/pdfs/GMD-1823-443.pdf#page=2","Abrir facsímil")</f>
        <v>Abrir facsímil</v>
      </c>
      <c r="K9289" t="s">
        <v>23</v>
      </c>
    </row>
    <row r="9290" spans="1:11" ht="42" customHeight="1">
      <c r="A9290" t="s">
        <v>18389</v>
      </c>
      <c r="B9290" t="s">
        <v>18389</v>
      </c>
      <c r="C9290" t="s">
        <v>17</v>
      </c>
      <c r="D9290" t="s">
        <v>18</v>
      </c>
      <c r="E9290" s="6">
        <v>-28107</v>
      </c>
      <c r="F9290" t="s">
        <v>278</v>
      </c>
      <c r="G9290" t="s">
        <v>27</v>
      </c>
      <c r="H9290" t="s">
        <v>21</v>
      </c>
      <c r="I9290" t="s">
        <v>18390</v>
      </c>
      <c r="J9290" t="str">
        <f>HYPERLINK("https://www.boe.es/gazeta/dias/1823/01/16/pdfs/GMD-1823-16.pdf#page=2","Abrir facsímil")</f>
        <v>Abrir facsímil</v>
      </c>
      <c r="K9290" t="s">
        <v>23</v>
      </c>
    </row>
    <row r="9291" spans="1:11" ht="42" customHeight="1">
      <c r="A9291" t="s">
        <v>18391</v>
      </c>
      <c r="B9291" t="s">
        <v>18392</v>
      </c>
      <c r="C9291" t="s">
        <v>73</v>
      </c>
      <c r="D9291" t="s">
        <v>74</v>
      </c>
      <c r="E9291" s="6">
        <v>-27911</v>
      </c>
      <c r="F9291" t="s">
        <v>1393</v>
      </c>
      <c r="G9291" t="s">
        <v>39</v>
      </c>
      <c r="H9291" t="s">
        <v>21</v>
      </c>
      <c r="I9291" t="s">
        <v>18393</v>
      </c>
      <c r="J9291" t="str">
        <f>HYPERLINK("https://www.boe.es/gazeta/dias/1823/07/31/pdfs/GMD-1823-503.pdf#page=1","Abrir facsímil")</f>
        <v>Abrir facsímil</v>
      </c>
      <c r="K9291" t="s">
        <v>23</v>
      </c>
    </row>
    <row r="9292" spans="1:11" ht="42" customHeight="1">
      <c r="A9292" t="s">
        <v>18394</v>
      </c>
      <c r="B9292" t="s">
        <v>18395</v>
      </c>
      <c r="C9292" t="s">
        <v>17</v>
      </c>
      <c r="D9292" t="s">
        <v>18</v>
      </c>
      <c r="E9292" s="6">
        <v>-28037</v>
      </c>
      <c r="F9292" t="s">
        <v>192</v>
      </c>
      <c r="G9292" t="s">
        <v>48</v>
      </c>
      <c r="H9292" t="s">
        <v>21</v>
      </c>
      <c r="I9292" t="s">
        <v>18396</v>
      </c>
      <c r="J9292" t="str">
        <f>HYPERLINK("https://www.boe.es/gazeta/dias/1823/03/27/pdfs/GMD-1823-90.pdf#page=3","Abrir facsímil")</f>
        <v>Abrir facsímil</v>
      </c>
      <c r="K9292" t="s">
        <v>23</v>
      </c>
    </row>
    <row r="9293" spans="1:11" ht="42" customHeight="1">
      <c r="A9293" t="s">
        <v>18394</v>
      </c>
      <c r="B9293" t="s">
        <v>18395</v>
      </c>
      <c r="C9293" t="s">
        <v>17</v>
      </c>
      <c r="D9293" t="s">
        <v>18</v>
      </c>
      <c r="E9293" s="6">
        <v>-28021</v>
      </c>
      <c r="F9293" t="s">
        <v>1054</v>
      </c>
      <c r="G9293" t="s">
        <v>1055</v>
      </c>
      <c r="H9293" t="s">
        <v>21</v>
      </c>
      <c r="I9293" t="s">
        <v>18397</v>
      </c>
      <c r="J9293" t="str">
        <f>HYPERLINK("https://www.boe.es/gazeta/dias/1823/04/12/pdfs/GMD-1823-107.pdf#page=4","Abrir facsímil")</f>
        <v>Abrir facsímil</v>
      </c>
      <c r="K9293" t="s">
        <v>23</v>
      </c>
    </row>
    <row r="9294" spans="1:11" ht="42" customHeight="1">
      <c r="A9294" t="s">
        <v>18398</v>
      </c>
      <c r="B9294" t="s">
        <v>18399</v>
      </c>
      <c r="C9294" t="s">
        <v>79</v>
      </c>
      <c r="D9294" t="s">
        <v>74</v>
      </c>
      <c r="E9294" s="6">
        <v>-28037</v>
      </c>
      <c r="F9294" t="s">
        <v>192</v>
      </c>
      <c r="G9294" t="s">
        <v>48</v>
      </c>
      <c r="H9294" t="s">
        <v>21</v>
      </c>
      <c r="I9294" t="s">
        <v>18400</v>
      </c>
      <c r="J9294" t="str">
        <f>HYPERLINK("https://www.boe.es/gazeta/dias/1823/03/27/pdfs/GMD-1823-90.pdf#page=3","Abrir facsímil")</f>
        <v>Abrir facsímil</v>
      </c>
      <c r="K9294" t="s">
        <v>23</v>
      </c>
    </row>
    <row r="9295" spans="1:11" ht="42" customHeight="1">
      <c r="A9295" t="s">
        <v>18401</v>
      </c>
      <c r="B9295" t="s">
        <v>18402</v>
      </c>
      <c r="C9295" t="s">
        <v>79</v>
      </c>
      <c r="D9295" t="s">
        <v>74</v>
      </c>
      <c r="E9295" s="6">
        <v>-28058</v>
      </c>
      <c r="F9295" t="s">
        <v>1282</v>
      </c>
      <c r="G9295" t="s">
        <v>39</v>
      </c>
      <c r="H9295" t="s">
        <v>21</v>
      </c>
      <c r="I9295" t="s">
        <v>18403</v>
      </c>
      <c r="J9295" t="str">
        <f>HYPERLINK("https://www.boe.es/gazeta/dias/1823/03/06/pdfs/GMD-1823-69.pdf#page=1","Abrir facsímil")</f>
        <v>Abrir facsímil</v>
      </c>
      <c r="K9295" t="s">
        <v>23</v>
      </c>
    </row>
    <row r="9296" spans="1:11" ht="42" customHeight="1">
      <c r="A9296" t="s">
        <v>18404</v>
      </c>
      <c r="B9296" t="s">
        <v>18405</v>
      </c>
      <c r="C9296" t="s">
        <v>56</v>
      </c>
      <c r="D9296" t="s">
        <v>57</v>
      </c>
      <c r="E9296" s="6">
        <v>-28114</v>
      </c>
      <c r="F9296" t="s">
        <v>153</v>
      </c>
      <c r="G9296" t="s">
        <v>34</v>
      </c>
      <c r="H9296" t="s">
        <v>21</v>
      </c>
      <c r="I9296" t="s">
        <v>18406</v>
      </c>
      <c r="J9296" t="str">
        <f>HYPERLINK("https://www.boe.es/gazeta/dias/1823/01/09/pdfs/GMD-1823-9.pdf#page=5","Abrir facsímil")</f>
        <v>Abrir facsímil</v>
      </c>
      <c r="K9296" t="s">
        <v>23</v>
      </c>
    </row>
    <row r="9297" spans="1:11" ht="42" customHeight="1">
      <c r="A9297" t="s">
        <v>18407</v>
      </c>
      <c r="B9297" t="s">
        <v>18408</v>
      </c>
      <c r="C9297" t="s">
        <v>17</v>
      </c>
      <c r="D9297" t="s">
        <v>18</v>
      </c>
      <c r="E9297" s="6">
        <v>-27895</v>
      </c>
      <c r="F9297" t="s">
        <v>734</v>
      </c>
      <c r="G9297" t="s">
        <v>20</v>
      </c>
      <c r="H9297" t="s">
        <v>21</v>
      </c>
      <c r="I9297" t="s">
        <v>18409</v>
      </c>
      <c r="J9297" t="str">
        <f>HYPERLINK("https://www.boe.es/gazeta/dias/1823/08/16/pdfs/GES-1823-129.pdf#page=4","Abrir facsímil")</f>
        <v>Abrir facsímil</v>
      </c>
      <c r="K9297" t="s">
        <v>23</v>
      </c>
    </row>
    <row r="9298" spans="1:11" ht="42" customHeight="1">
      <c r="A9298" t="s">
        <v>18410</v>
      </c>
      <c r="B9298" t="s">
        <v>18411</v>
      </c>
      <c r="C9298" t="s">
        <v>73</v>
      </c>
      <c r="D9298" t="s">
        <v>74</v>
      </c>
      <c r="E9298" s="6">
        <v>-28082</v>
      </c>
      <c r="F9298" t="s">
        <v>468</v>
      </c>
      <c r="G9298" t="s">
        <v>59</v>
      </c>
      <c r="H9298" t="s">
        <v>21</v>
      </c>
      <c r="I9298" t="s">
        <v>18412</v>
      </c>
      <c r="J9298" t="str">
        <f>HYPERLINK("https://www.boe.es/gazeta/dias/1823/02/10/pdfs/GMD-1823-44.pdf#page=6","Abrir facsímil")</f>
        <v>Abrir facsímil</v>
      </c>
      <c r="K9298" t="s">
        <v>23</v>
      </c>
    </row>
    <row r="9299" spans="1:11" ht="42" customHeight="1">
      <c r="A9299" t="s">
        <v>18413</v>
      </c>
      <c r="B9299" t="s">
        <v>18414</v>
      </c>
      <c r="C9299" t="s">
        <v>79</v>
      </c>
      <c r="D9299" t="s">
        <v>74</v>
      </c>
      <c r="E9299" s="6">
        <v>-27968</v>
      </c>
      <c r="F9299" t="s">
        <v>1160</v>
      </c>
      <c r="G9299" t="s">
        <v>39</v>
      </c>
      <c r="H9299" t="s">
        <v>21</v>
      </c>
      <c r="I9299" t="s">
        <v>18415</v>
      </c>
      <c r="J9299" t="str">
        <f>HYPERLINK("https://www.boe.es/gazeta/dias/1823/06/04/pdfs/GES-1823-58.pdf#page=1","Abrir facsímil")</f>
        <v>Abrir facsímil</v>
      </c>
      <c r="K9299" t="s">
        <v>23</v>
      </c>
    </row>
    <row r="9300" spans="1:11" ht="42" customHeight="1">
      <c r="A9300" t="s">
        <v>18416</v>
      </c>
      <c r="B9300" t="s">
        <v>18417</v>
      </c>
      <c r="C9300" t="s">
        <v>17</v>
      </c>
      <c r="D9300" t="s">
        <v>18</v>
      </c>
      <c r="E9300" s="6">
        <v>-28049</v>
      </c>
      <c r="F9300" t="s">
        <v>198</v>
      </c>
      <c r="G9300" t="s">
        <v>20</v>
      </c>
      <c r="H9300" t="s">
        <v>21</v>
      </c>
      <c r="I9300" t="s">
        <v>18418</v>
      </c>
      <c r="J9300" t="str">
        <f>HYPERLINK("https://www.boe.es/gazeta/dias/1823/03/15/pdfs/GMD-1823-78.pdf#page=4","Abrir facsímil")</f>
        <v>Abrir facsímil</v>
      </c>
      <c r="K9300" t="s">
        <v>23</v>
      </c>
    </row>
    <row r="9301" spans="1:11" ht="42" customHeight="1">
      <c r="A9301" t="s">
        <v>18419</v>
      </c>
      <c r="B9301" t="s">
        <v>18420</v>
      </c>
      <c r="C9301" t="s">
        <v>17</v>
      </c>
      <c r="D9301" t="s">
        <v>18</v>
      </c>
      <c r="E9301" s="6">
        <v>-27999</v>
      </c>
      <c r="F9301" t="s">
        <v>97</v>
      </c>
      <c r="G9301" t="s">
        <v>1257</v>
      </c>
      <c r="H9301" t="s">
        <v>21</v>
      </c>
      <c r="I9301" t="s">
        <v>18421</v>
      </c>
      <c r="J9301" t="str">
        <f>HYPERLINK("https://www.boe.es/gazeta/dias/1823/05/04/pdfs/GES-1823-24.pdf#page=2","Abrir facsímil")</f>
        <v>Abrir facsímil</v>
      </c>
      <c r="K9301" t="s">
        <v>23</v>
      </c>
    </row>
    <row r="9302" spans="1:11" ht="42" customHeight="1">
      <c r="A9302" t="s">
        <v>18422</v>
      </c>
      <c r="B9302" t="s">
        <v>18422</v>
      </c>
      <c r="C9302" t="s">
        <v>17</v>
      </c>
      <c r="D9302" t="s">
        <v>18</v>
      </c>
      <c r="E9302" s="6">
        <v>-27934</v>
      </c>
      <c r="F9302" t="s">
        <v>2155</v>
      </c>
      <c r="G9302" t="s">
        <v>39</v>
      </c>
      <c r="H9302" t="s">
        <v>21</v>
      </c>
      <c r="I9302" t="s">
        <v>18423</v>
      </c>
      <c r="J9302" t="str">
        <f>HYPERLINK("https://www.boe.es/gazeta/dias/1823/07/08/pdfs/GES-1823-88.pdf#page=1","Abrir facsímil")</f>
        <v>Abrir facsímil</v>
      </c>
      <c r="K9302" t="s">
        <v>23</v>
      </c>
    </row>
    <row r="9303" spans="1:11" ht="42" customHeight="1">
      <c r="A9303" t="s">
        <v>18424</v>
      </c>
      <c r="B9303" t="s">
        <v>18424</v>
      </c>
      <c r="C9303" t="s">
        <v>17</v>
      </c>
      <c r="D9303" t="s">
        <v>18</v>
      </c>
      <c r="E9303" s="6">
        <v>-28083</v>
      </c>
      <c r="F9303" t="s">
        <v>291</v>
      </c>
      <c r="G9303" t="s">
        <v>59</v>
      </c>
      <c r="H9303" t="s">
        <v>21</v>
      </c>
      <c r="I9303" t="s">
        <v>18425</v>
      </c>
      <c r="J9303" t="str">
        <f>HYPERLINK("https://www.boe.es/gazeta/dias/1823/02/09/pdfs/GMD-1823-43.pdf#page=6","Abrir facsímil")</f>
        <v>Abrir facsímil</v>
      </c>
      <c r="K9303" t="s">
        <v>23</v>
      </c>
    </row>
    <row r="9304" spans="1:11" ht="42" customHeight="1">
      <c r="A9304" t="s">
        <v>18426</v>
      </c>
      <c r="B9304" t="s">
        <v>18427</v>
      </c>
      <c r="C9304" t="s">
        <v>1477</v>
      </c>
      <c r="D9304" t="s">
        <v>57</v>
      </c>
      <c r="E9304" s="6">
        <v>-28037</v>
      </c>
      <c r="F9304" t="s">
        <v>192</v>
      </c>
      <c r="G9304" t="s">
        <v>48</v>
      </c>
      <c r="H9304" t="s">
        <v>21</v>
      </c>
      <c r="I9304" t="s">
        <v>18428</v>
      </c>
      <c r="J9304" t="str">
        <f>HYPERLINK("https://www.boe.es/gazeta/dias/1823/03/27/pdfs/GMD-1823-90.pdf#page=3","Abrir facsímil")</f>
        <v>Abrir facsímil</v>
      </c>
      <c r="K9304" t="s">
        <v>23</v>
      </c>
    </row>
    <row r="9305" spans="1:11" ht="42" customHeight="1">
      <c r="A9305" t="s">
        <v>18426</v>
      </c>
      <c r="B9305" t="s">
        <v>18427</v>
      </c>
      <c r="C9305" t="s">
        <v>79</v>
      </c>
      <c r="D9305" t="s">
        <v>74</v>
      </c>
      <c r="E9305" s="6">
        <v>-28018</v>
      </c>
      <c r="F9305" t="s">
        <v>275</v>
      </c>
      <c r="G9305" t="s">
        <v>20</v>
      </c>
      <c r="H9305" t="s">
        <v>21</v>
      </c>
      <c r="I9305" t="s">
        <v>18429</v>
      </c>
      <c r="J9305" t="str">
        <f>HYPERLINK("https://www.boe.es/gazeta/dias/1823/04/15/pdfs/GMD-1823-12.pdf#page=4","Abrir facsímil")</f>
        <v>Abrir facsímil</v>
      </c>
      <c r="K9305" t="s">
        <v>23</v>
      </c>
    </row>
    <row r="9306" spans="1:11" ht="42" customHeight="1">
      <c r="A9306" t="s">
        <v>18426</v>
      </c>
      <c r="B9306" t="s">
        <v>18427</v>
      </c>
      <c r="C9306" t="s">
        <v>79</v>
      </c>
      <c r="D9306" t="s">
        <v>74</v>
      </c>
      <c r="E9306" s="6">
        <v>-28013</v>
      </c>
      <c r="F9306" t="s">
        <v>105</v>
      </c>
      <c r="G9306" t="s">
        <v>20</v>
      </c>
      <c r="H9306" t="s">
        <v>21</v>
      </c>
      <c r="I9306" t="s">
        <v>18430</v>
      </c>
      <c r="J9306" t="str">
        <f>HYPERLINK("https://www.boe.es/gazeta/dias/1823/04/20/pdfs/GMD-1823-32.pdf#page=4","Abrir facsímil")</f>
        <v>Abrir facsímil</v>
      </c>
      <c r="K9306" t="s">
        <v>23</v>
      </c>
    </row>
    <row r="9307" spans="1:11" ht="42" customHeight="1">
      <c r="A9307" t="s">
        <v>18431</v>
      </c>
      <c r="B9307" t="s">
        <v>18432</v>
      </c>
      <c r="C9307" t="s">
        <v>79</v>
      </c>
      <c r="D9307" t="s">
        <v>74</v>
      </c>
      <c r="E9307" s="6">
        <v>-27906</v>
      </c>
      <c r="F9307" t="s">
        <v>1527</v>
      </c>
      <c r="G9307" t="s">
        <v>59</v>
      </c>
      <c r="H9307" t="s">
        <v>21</v>
      </c>
      <c r="I9307" t="s">
        <v>18433</v>
      </c>
      <c r="J9307" t="str">
        <f>HYPERLINK("https://www.boe.es/gazeta/dias/1823/08/05/pdfs/GMD-1823-533.pdf#page=6","Abrir facsímil")</f>
        <v>Abrir facsímil</v>
      </c>
      <c r="K9307" t="s">
        <v>23</v>
      </c>
    </row>
    <row r="9308" spans="1:11" ht="42" customHeight="1">
      <c r="A9308" t="s">
        <v>18431</v>
      </c>
      <c r="B9308" t="s">
        <v>18432</v>
      </c>
      <c r="C9308" t="s">
        <v>79</v>
      </c>
      <c r="D9308" t="s">
        <v>74</v>
      </c>
      <c r="E9308" s="6">
        <v>-27867</v>
      </c>
      <c r="F9308" t="s">
        <v>1585</v>
      </c>
      <c r="G9308" t="s">
        <v>20</v>
      </c>
      <c r="H9308" t="s">
        <v>21</v>
      </c>
      <c r="I9308" t="s">
        <v>18434</v>
      </c>
      <c r="J9308" t="str">
        <f>HYPERLINK("https://www.boe.es/gazeta/dias/1823/09/13/pdfs/GMD-1823-773.pdf#page=4","Abrir facsímil")</f>
        <v>Abrir facsímil</v>
      </c>
      <c r="K9308" t="s">
        <v>23</v>
      </c>
    </row>
    <row r="9309" spans="1:11" ht="42" customHeight="1">
      <c r="A9309" t="s">
        <v>18431</v>
      </c>
      <c r="B9309" t="s">
        <v>18432</v>
      </c>
      <c r="C9309" t="s">
        <v>56</v>
      </c>
      <c r="D9309" t="s">
        <v>57</v>
      </c>
      <c r="E9309" s="6">
        <v>-27846</v>
      </c>
      <c r="F9309" t="s">
        <v>2535</v>
      </c>
      <c r="G9309" t="s">
        <v>20</v>
      </c>
      <c r="H9309" t="s">
        <v>21</v>
      </c>
      <c r="I9309" t="s">
        <v>18435</v>
      </c>
      <c r="J9309" t="str">
        <f>HYPERLINK("https://www.boe.es/gazeta/dias/1823/10/04/pdfs/GMD-1823-913.pdf#page=4","Abrir facsímil")</f>
        <v>Abrir facsímil</v>
      </c>
      <c r="K9309" t="s">
        <v>23</v>
      </c>
    </row>
    <row r="9310" spans="1:11" ht="42" customHeight="1">
      <c r="A9310" t="s">
        <v>18436</v>
      </c>
      <c r="B9310" t="s">
        <v>18437</v>
      </c>
      <c r="C9310" t="s">
        <v>17</v>
      </c>
      <c r="D9310" t="s">
        <v>18</v>
      </c>
      <c r="E9310" s="6">
        <v>-27932</v>
      </c>
      <c r="F9310" t="s">
        <v>786</v>
      </c>
      <c r="G9310" t="s">
        <v>715</v>
      </c>
      <c r="H9310" t="s">
        <v>21</v>
      </c>
      <c r="I9310" t="s">
        <v>18438</v>
      </c>
      <c r="J9310" t="str">
        <f>HYPERLINK("https://www.boe.es/gazeta/dias/1823/07/10/pdfs/GMD-1823-363.pdf#page=8","Abrir facsímil")</f>
        <v>Abrir facsímil</v>
      </c>
      <c r="K9310" t="s">
        <v>23</v>
      </c>
    </row>
    <row r="9311" spans="1:11" ht="42" customHeight="1">
      <c r="A9311" t="s">
        <v>18439</v>
      </c>
      <c r="B9311" t="s">
        <v>18440</v>
      </c>
      <c r="C9311" t="s">
        <v>56</v>
      </c>
      <c r="D9311" t="s">
        <v>57</v>
      </c>
      <c r="E9311" s="6">
        <v>-27927</v>
      </c>
      <c r="F9311" t="s">
        <v>2409</v>
      </c>
      <c r="G9311" t="s">
        <v>20</v>
      </c>
      <c r="H9311" t="s">
        <v>21</v>
      </c>
      <c r="I9311" t="s">
        <v>18441</v>
      </c>
      <c r="J9311" t="str">
        <f>HYPERLINK("https://www.boe.es/gazeta/dias/1823/07/15/pdfs/GMD-1823-403.pdf#page=4","Abrir facsímil")</f>
        <v>Abrir facsímil</v>
      </c>
      <c r="K9311" t="s">
        <v>23</v>
      </c>
    </row>
    <row r="9312" spans="1:11" ht="42" customHeight="1">
      <c r="A9312" t="s">
        <v>18439</v>
      </c>
      <c r="B9312" t="s">
        <v>18440</v>
      </c>
      <c r="C9312" t="s">
        <v>56</v>
      </c>
      <c r="D9312" t="s">
        <v>57</v>
      </c>
      <c r="E9312" s="6">
        <v>-27923</v>
      </c>
      <c r="F9312" t="s">
        <v>1225</v>
      </c>
      <c r="G9312" t="s">
        <v>59</v>
      </c>
      <c r="H9312" t="s">
        <v>21</v>
      </c>
      <c r="I9312" t="s">
        <v>18442</v>
      </c>
      <c r="J9312" t="str">
        <f>HYPERLINK("https://www.boe.es/gazeta/dias/1823/07/19/pdfs/GMD-1823-433.pdf#page=6","Abrir facsímil")</f>
        <v>Abrir facsímil</v>
      </c>
      <c r="K9312" t="s">
        <v>23</v>
      </c>
    </row>
    <row r="9313" spans="1:11" ht="42" customHeight="1">
      <c r="A9313" t="s">
        <v>18439</v>
      </c>
      <c r="B9313" t="s">
        <v>18440</v>
      </c>
      <c r="C9313" t="s">
        <v>56</v>
      </c>
      <c r="D9313" t="s">
        <v>57</v>
      </c>
      <c r="E9313" s="6">
        <v>-27920</v>
      </c>
      <c r="F9313" t="s">
        <v>1334</v>
      </c>
      <c r="G9313" t="s">
        <v>715</v>
      </c>
      <c r="H9313" t="s">
        <v>21</v>
      </c>
      <c r="I9313" t="s">
        <v>18443</v>
      </c>
      <c r="J9313" t="str">
        <f>HYPERLINK("https://www.boe.es/gazeta/dias/1823/07/22/pdfs/GMD-1823-443.pdf#page=8","Abrir facsímil")</f>
        <v>Abrir facsímil</v>
      </c>
      <c r="K9313" t="s">
        <v>23</v>
      </c>
    </row>
    <row r="9314" spans="1:11" ht="42" customHeight="1">
      <c r="A9314" t="s">
        <v>18439</v>
      </c>
      <c r="B9314" t="s">
        <v>18440</v>
      </c>
      <c r="C9314" t="s">
        <v>17</v>
      </c>
      <c r="D9314" t="s">
        <v>18</v>
      </c>
      <c r="E9314" s="6">
        <v>-27911</v>
      </c>
      <c r="F9314" t="s">
        <v>1393</v>
      </c>
      <c r="G9314" t="s">
        <v>20</v>
      </c>
      <c r="H9314" t="s">
        <v>21</v>
      </c>
      <c r="I9314" t="s">
        <v>18444</v>
      </c>
      <c r="J9314" t="str">
        <f>HYPERLINK("https://www.boe.es/gazeta/dias/1823/07/31/pdfs/GMD-1823-503.pdf#page=4","Abrir facsímil")</f>
        <v>Abrir facsímil</v>
      </c>
      <c r="K9314" t="s">
        <v>23</v>
      </c>
    </row>
    <row r="9315" spans="1:11" ht="42" customHeight="1">
      <c r="A9315" t="s">
        <v>18439</v>
      </c>
      <c r="B9315" t="s">
        <v>18440</v>
      </c>
      <c r="C9315" t="s">
        <v>17</v>
      </c>
      <c r="D9315" t="s">
        <v>18</v>
      </c>
      <c r="E9315" s="6">
        <v>-27906</v>
      </c>
      <c r="F9315" t="s">
        <v>1527</v>
      </c>
      <c r="G9315" t="s">
        <v>59</v>
      </c>
      <c r="H9315" t="s">
        <v>21</v>
      </c>
      <c r="I9315" t="s">
        <v>18445</v>
      </c>
      <c r="J9315" t="str">
        <f>HYPERLINK("https://www.boe.es/gazeta/dias/1823/08/05/pdfs/GMD-1823-533.pdf#page=6","Abrir facsímil")</f>
        <v>Abrir facsímil</v>
      </c>
      <c r="K9315" t="s">
        <v>23</v>
      </c>
    </row>
    <row r="9316" spans="1:11" ht="42" customHeight="1">
      <c r="A9316" t="s">
        <v>18439</v>
      </c>
      <c r="B9316" t="s">
        <v>18440</v>
      </c>
      <c r="C9316" t="s">
        <v>79</v>
      </c>
      <c r="D9316" t="s">
        <v>74</v>
      </c>
      <c r="E9316" s="6">
        <v>-27890</v>
      </c>
      <c r="F9316" t="s">
        <v>1573</v>
      </c>
      <c r="G9316" t="s">
        <v>20</v>
      </c>
      <c r="H9316" t="s">
        <v>21</v>
      </c>
      <c r="I9316" t="s">
        <v>18446</v>
      </c>
      <c r="J9316" t="str">
        <f>HYPERLINK("https://www.boe.es/gazeta/dias/1823/08/21/pdfs/GMD-1823-623.pdf#page=4","Abrir facsímil")</f>
        <v>Abrir facsímil</v>
      </c>
      <c r="K9316" t="s">
        <v>23</v>
      </c>
    </row>
    <row r="9317" spans="1:11" ht="42" customHeight="1">
      <c r="A9317" t="s">
        <v>18439</v>
      </c>
      <c r="B9317" t="s">
        <v>18440</v>
      </c>
      <c r="C9317" t="s">
        <v>17</v>
      </c>
      <c r="D9317" t="s">
        <v>18</v>
      </c>
      <c r="E9317" s="6">
        <v>-27881</v>
      </c>
      <c r="F9317" t="s">
        <v>725</v>
      </c>
      <c r="G9317" t="s">
        <v>20</v>
      </c>
      <c r="H9317" t="s">
        <v>21</v>
      </c>
      <c r="I9317" t="s">
        <v>18447</v>
      </c>
      <c r="J9317" t="str">
        <f>HYPERLINK("https://www.boe.es/gazeta/dias/1823/08/30/pdfs/GMD-1823-673.pdf#page=4","Abrir facsímil")</f>
        <v>Abrir facsímil</v>
      </c>
      <c r="K9317" t="s">
        <v>23</v>
      </c>
    </row>
    <row r="9318" spans="1:11" ht="42" customHeight="1">
      <c r="A9318" t="s">
        <v>18439</v>
      </c>
      <c r="B9318" t="s">
        <v>18440</v>
      </c>
      <c r="C9318" t="s">
        <v>79</v>
      </c>
      <c r="D9318" t="s">
        <v>74</v>
      </c>
      <c r="E9318" s="6">
        <v>-27862</v>
      </c>
      <c r="F9318" t="s">
        <v>1530</v>
      </c>
      <c r="G9318" t="s">
        <v>20</v>
      </c>
      <c r="H9318" t="s">
        <v>21</v>
      </c>
      <c r="I9318" t="s">
        <v>18448</v>
      </c>
      <c r="J9318" t="str">
        <f>HYPERLINK("https://www.boe.es/gazeta/dias/1823/09/18/pdfs/GMD-1823-803.pdf#page=4","Abrir facsímil")</f>
        <v>Abrir facsímil</v>
      </c>
      <c r="K9318" t="s">
        <v>23</v>
      </c>
    </row>
    <row r="9319" spans="1:11" ht="42" customHeight="1">
      <c r="A9319" t="s">
        <v>18439</v>
      </c>
      <c r="B9319" t="s">
        <v>18440</v>
      </c>
      <c r="C9319" t="s">
        <v>293</v>
      </c>
      <c r="D9319" t="s">
        <v>74</v>
      </c>
      <c r="E9319" s="6">
        <v>-27804</v>
      </c>
      <c r="F9319" t="s">
        <v>836</v>
      </c>
      <c r="G9319" t="s">
        <v>20</v>
      </c>
      <c r="H9319" t="s">
        <v>21</v>
      </c>
      <c r="I9319" t="s">
        <v>18449</v>
      </c>
      <c r="J9319" t="str">
        <f>HYPERLINK("https://www.boe.es/gazeta/dias/1823/11/15/pdfs/GMD-1823-1123.pdf#page=4","Abrir facsímil")</f>
        <v>Abrir facsímil</v>
      </c>
      <c r="K9319" t="s">
        <v>23</v>
      </c>
    </row>
    <row r="9320" spans="1:11" ht="42" customHeight="1">
      <c r="A9320" t="s">
        <v>18439</v>
      </c>
      <c r="B9320" t="s">
        <v>18440</v>
      </c>
      <c r="C9320" t="s">
        <v>17</v>
      </c>
      <c r="D9320" t="s">
        <v>18</v>
      </c>
      <c r="E9320" s="6">
        <v>-27771</v>
      </c>
      <c r="F9320" t="s">
        <v>1611</v>
      </c>
      <c r="G9320" t="s">
        <v>20</v>
      </c>
      <c r="H9320" t="s">
        <v>21</v>
      </c>
      <c r="I9320" t="s">
        <v>18450</v>
      </c>
      <c r="J9320" t="str">
        <f>HYPERLINK("https://www.boe.es/gazeta/dias/1823/12/18/pdfs/GMD-1823-1263.pdf#page=4","Abrir facsímil")</f>
        <v>Abrir facsímil</v>
      </c>
      <c r="K9320" t="s">
        <v>23</v>
      </c>
    </row>
    <row r="9321" spans="1:11" ht="42" customHeight="1">
      <c r="A9321" t="s">
        <v>18439</v>
      </c>
      <c r="B9321" t="s">
        <v>18440</v>
      </c>
      <c r="C9321" t="s">
        <v>325</v>
      </c>
      <c r="D9321" t="s">
        <v>74</v>
      </c>
      <c r="E9321" s="6">
        <v>-27766</v>
      </c>
      <c r="F9321" t="s">
        <v>3450</v>
      </c>
      <c r="G9321" t="s">
        <v>20</v>
      </c>
      <c r="H9321" t="s">
        <v>21</v>
      </c>
      <c r="I9321" t="s">
        <v>18451</v>
      </c>
      <c r="J9321" t="str">
        <f>HYPERLINK("https://www.boe.es/gazeta/dias/1823/12/23/pdfs/GMD-1823-1283.pdf#page=4","Abrir facsímil")</f>
        <v>Abrir facsímil</v>
      </c>
      <c r="K9321" t="s">
        <v>23</v>
      </c>
    </row>
    <row r="9322" spans="1:11" ht="42" customHeight="1">
      <c r="A9322" t="s">
        <v>18452</v>
      </c>
      <c r="B9322" t="s">
        <v>18453</v>
      </c>
      <c r="C9322" t="s">
        <v>84</v>
      </c>
      <c r="D9322" t="s">
        <v>74</v>
      </c>
      <c r="E9322" s="6">
        <v>-27932</v>
      </c>
      <c r="F9322" t="s">
        <v>786</v>
      </c>
      <c r="G9322" t="s">
        <v>715</v>
      </c>
      <c r="H9322" t="s">
        <v>21</v>
      </c>
      <c r="I9322" t="s">
        <v>18454</v>
      </c>
      <c r="J9322" t="str">
        <f>HYPERLINK("https://www.boe.es/gazeta/dias/1823/07/10/pdfs/GMD-1823-363.pdf#page=8","Abrir facsímil")</f>
        <v>Abrir facsímil</v>
      </c>
      <c r="K9322" t="s">
        <v>23</v>
      </c>
    </row>
    <row r="9323" spans="1:11" ht="42" customHeight="1">
      <c r="A9323" t="s">
        <v>18452</v>
      </c>
      <c r="B9323" t="s">
        <v>18453</v>
      </c>
      <c r="C9323" t="s">
        <v>56</v>
      </c>
      <c r="D9323" t="s">
        <v>57</v>
      </c>
      <c r="E9323" s="6">
        <v>-27930</v>
      </c>
      <c r="F9323" t="s">
        <v>3578</v>
      </c>
      <c r="G9323" t="s">
        <v>20</v>
      </c>
      <c r="H9323" t="s">
        <v>21</v>
      </c>
      <c r="I9323" t="s">
        <v>18455</v>
      </c>
      <c r="J9323" t="str">
        <f>HYPERLINK("https://www.boe.es/gazeta/dias/1823/07/12/pdfs/GMD-1823-393.pdf#page=4","Abrir facsímil")</f>
        <v>Abrir facsímil</v>
      </c>
      <c r="K9323" t="s">
        <v>23</v>
      </c>
    </row>
    <row r="9324" spans="1:11" ht="42" customHeight="1">
      <c r="A9324" t="s">
        <v>18452</v>
      </c>
      <c r="B9324" t="s">
        <v>18453</v>
      </c>
      <c r="C9324" t="s">
        <v>17</v>
      </c>
      <c r="D9324" t="s">
        <v>18</v>
      </c>
      <c r="E9324" s="6">
        <v>-27895</v>
      </c>
      <c r="F9324" t="s">
        <v>5642</v>
      </c>
      <c r="G9324" t="s">
        <v>20</v>
      </c>
      <c r="H9324" t="s">
        <v>21</v>
      </c>
      <c r="I9324" t="s">
        <v>18456</v>
      </c>
      <c r="J9324" t="str">
        <f>HYPERLINK("https://www.boe.es/gazeta/dias/1823/08/16/pdfs/GMD-1823-603.pdf#page=4","Abrir facsímil")</f>
        <v>Abrir facsímil</v>
      </c>
      <c r="K9324" t="s">
        <v>23</v>
      </c>
    </row>
    <row r="9325" spans="1:11" ht="42" customHeight="1">
      <c r="A9325" t="s">
        <v>18452</v>
      </c>
      <c r="B9325" t="s">
        <v>18453</v>
      </c>
      <c r="C9325" t="s">
        <v>79</v>
      </c>
      <c r="D9325" t="s">
        <v>74</v>
      </c>
      <c r="E9325" s="6">
        <v>-27848</v>
      </c>
      <c r="F9325" t="s">
        <v>2665</v>
      </c>
      <c r="G9325" t="s">
        <v>20</v>
      </c>
      <c r="H9325" t="s">
        <v>21</v>
      </c>
      <c r="I9325" t="s">
        <v>18457</v>
      </c>
      <c r="J9325" t="str">
        <f>HYPERLINK("https://www.boe.es/gazeta/dias/1823/10/02/pdfs/GMD-1823-893.pdf#page=4","Abrir facsímil")</f>
        <v>Abrir facsímil</v>
      </c>
      <c r="K9325" t="s">
        <v>23</v>
      </c>
    </row>
    <row r="9326" spans="1:11" ht="42" customHeight="1">
      <c r="A9326" t="s">
        <v>18452</v>
      </c>
      <c r="B9326" t="s">
        <v>18453</v>
      </c>
      <c r="C9326" t="s">
        <v>79</v>
      </c>
      <c r="D9326" t="s">
        <v>74</v>
      </c>
      <c r="E9326" s="6">
        <v>-27811</v>
      </c>
      <c r="F9326" t="s">
        <v>834</v>
      </c>
      <c r="G9326" t="s">
        <v>20</v>
      </c>
      <c r="H9326" t="s">
        <v>21</v>
      </c>
      <c r="I9326" t="s">
        <v>18458</v>
      </c>
      <c r="J9326" t="str">
        <f>HYPERLINK("https://www.boe.es/gazeta/dias/1823/11/08/pdfs/GMD-1823-1083.pdf#page=4","Abrir facsímil")</f>
        <v>Abrir facsímil</v>
      </c>
      <c r="K9326" t="s">
        <v>23</v>
      </c>
    </row>
    <row r="9327" spans="1:11" ht="42" customHeight="1">
      <c r="A9327" t="s">
        <v>18459</v>
      </c>
      <c r="B9327" t="s">
        <v>18460</v>
      </c>
      <c r="C9327" t="s">
        <v>17</v>
      </c>
      <c r="D9327" t="s">
        <v>18</v>
      </c>
      <c r="E9327" s="6">
        <v>-27904</v>
      </c>
      <c r="F9327" t="s">
        <v>1227</v>
      </c>
      <c r="G9327" t="s">
        <v>59</v>
      </c>
      <c r="H9327" t="s">
        <v>21</v>
      </c>
      <c r="I9327" t="s">
        <v>18461</v>
      </c>
      <c r="J9327" t="str">
        <f>HYPERLINK("https://www.boe.es/gazeta/dias/1823/08/07/pdfs/GMD-1823-543.pdf#page=6","Abrir facsímil")</f>
        <v>Abrir facsímil</v>
      </c>
      <c r="K9327" t="s">
        <v>23</v>
      </c>
    </row>
    <row r="9328" spans="1:11" ht="42" customHeight="1">
      <c r="A9328" t="s">
        <v>18462</v>
      </c>
      <c r="B9328" t="s">
        <v>18463</v>
      </c>
      <c r="C9328" t="s">
        <v>17</v>
      </c>
      <c r="D9328" t="s">
        <v>18</v>
      </c>
      <c r="E9328" s="6">
        <v>-27906</v>
      </c>
      <c r="F9328" t="s">
        <v>241</v>
      </c>
      <c r="G9328" t="s">
        <v>34</v>
      </c>
      <c r="H9328" t="s">
        <v>21</v>
      </c>
      <c r="I9328" t="s">
        <v>18464</v>
      </c>
      <c r="J9328" t="str">
        <f>HYPERLINK("https://www.boe.es/gazeta/dias/1823/08/05/pdfs/GES-1823-117.pdf#page=5","Abrir facsímil")</f>
        <v>Abrir facsímil</v>
      </c>
      <c r="K9328" t="s">
        <v>23</v>
      </c>
    </row>
    <row r="9329" spans="1:11" ht="42" customHeight="1">
      <c r="A9329" t="s">
        <v>18465</v>
      </c>
      <c r="B9329" t="s">
        <v>18466</v>
      </c>
      <c r="C9329" t="s">
        <v>56</v>
      </c>
      <c r="D9329" t="s">
        <v>57</v>
      </c>
      <c r="E9329" s="6">
        <v>-27776</v>
      </c>
      <c r="F9329" t="s">
        <v>1399</v>
      </c>
      <c r="G9329" t="s">
        <v>20</v>
      </c>
      <c r="H9329" t="s">
        <v>21</v>
      </c>
      <c r="I9329" t="s">
        <v>18467</v>
      </c>
      <c r="J9329" t="str">
        <f>HYPERLINK("https://www.boe.es/gazeta/dias/1823/12/13/pdfs/GMD-1823-1243.pdf#page=4","Abrir facsímil")</f>
        <v>Abrir facsímil</v>
      </c>
      <c r="K9329" t="s">
        <v>23</v>
      </c>
    </row>
    <row r="9330" spans="1:11" ht="42" customHeight="1">
      <c r="A9330" t="s">
        <v>18468</v>
      </c>
      <c r="B9330" t="s">
        <v>18469</v>
      </c>
      <c r="C9330" t="s">
        <v>56</v>
      </c>
      <c r="D9330" t="s">
        <v>57</v>
      </c>
      <c r="E9330" s="6">
        <v>-27820</v>
      </c>
      <c r="F9330" t="s">
        <v>6283</v>
      </c>
      <c r="G9330" t="s">
        <v>39</v>
      </c>
      <c r="H9330" t="s">
        <v>21</v>
      </c>
      <c r="I9330" t="s">
        <v>18470</v>
      </c>
      <c r="J9330" t="str">
        <f>HYPERLINK("https://www.boe.es/gazeta/dias/1823/10/30/pdfs/GMD-1823-1043.pdf#page=1","Abrir facsímil")</f>
        <v>Abrir facsímil</v>
      </c>
      <c r="K9330" t="s">
        <v>23</v>
      </c>
    </row>
    <row r="9331" spans="1:11" ht="42" customHeight="1">
      <c r="A9331" t="s">
        <v>18471</v>
      </c>
      <c r="B9331" t="s">
        <v>18471</v>
      </c>
      <c r="C9331" t="s">
        <v>17</v>
      </c>
      <c r="D9331" t="s">
        <v>18</v>
      </c>
      <c r="E9331" s="6">
        <v>-28060</v>
      </c>
      <c r="F9331" t="s">
        <v>180</v>
      </c>
      <c r="G9331" t="s">
        <v>27</v>
      </c>
      <c r="H9331" t="s">
        <v>21</v>
      </c>
      <c r="I9331" t="s">
        <v>18472</v>
      </c>
      <c r="J9331" t="str">
        <f>HYPERLINK("https://www.boe.es/gazeta/dias/1823/03/04/pdfs/GMD-1823-67.pdf#page=2","Abrir facsímil")</f>
        <v>Abrir facsímil</v>
      </c>
      <c r="K9331" t="s">
        <v>23</v>
      </c>
    </row>
    <row r="9332" spans="1:11" ht="42" customHeight="1">
      <c r="A9332" t="s">
        <v>18471</v>
      </c>
      <c r="B9332" t="s">
        <v>18471</v>
      </c>
      <c r="C9332" t="s">
        <v>84</v>
      </c>
      <c r="D9332" t="s">
        <v>74</v>
      </c>
      <c r="E9332" s="6">
        <v>-27935</v>
      </c>
      <c r="F9332" t="s">
        <v>350</v>
      </c>
      <c r="G9332" t="s">
        <v>27</v>
      </c>
      <c r="H9332" t="s">
        <v>21</v>
      </c>
      <c r="I9332" t="s">
        <v>18473</v>
      </c>
      <c r="J9332" t="str">
        <f>HYPERLINK("https://www.boe.es/gazeta/dias/1823/07/07/pdfs/GES-1823-87.pdf#page=2","Abrir facsímil")</f>
        <v>Abrir facsímil</v>
      </c>
      <c r="K9332" t="s">
        <v>23</v>
      </c>
    </row>
    <row r="9333" spans="1:11" ht="42" customHeight="1">
      <c r="A9333" t="s">
        <v>18471</v>
      </c>
      <c r="B9333" t="s">
        <v>18471</v>
      </c>
      <c r="C9333" t="s">
        <v>17</v>
      </c>
      <c r="D9333" t="s">
        <v>18</v>
      </c>
      <c r="E9333" s="6">
        <v>-27918</v>
      </c>
      <c r="F9333" t="s">
        <v>218</v>
      </c>
      <c r="G9333" t="s">
        <v>48</v>
      </c>
      <c r="H9333" t="s">
        <v>21</v>
      </c>
      <c r="I9333" t="s">
        <v>18474</v>
      </c>
      <c r="J9333" t="str">
        <f>HYPERLINK("https://www.boe.es/gazeta/dias/1823/07/24/pdfs/GMD-1823-463.pdf#page=3","Abrir facsímil")</f>
        <v>Abrir facsímil</v>
      </c>
      <c r="K9333" t="s">
        <v>23</v>
      </c>
    </row>
    <row r="9334" spans="1:11" ht="42" customHeight="1">
      <c r="A9334" t="s">
        <v>18475</v>
      </c>
      <c r="B9334" t="s">
        <v>18476</v>
      </c>
      <c r="C9334" t="s">
        <v>79</v>
      </c>
      <c r="D9334" t="s">
        <v>74</v>
      </c>
      <c r="E9334" s="6">
        <v>-28112</v>
      </c>
      <c r="F9334" t="s">
        <v>43</v>
      </c>
      <c r="G9334" t="s">
        <v>48</v>
      </c>
      <c r="H9334" t="s">
        <v>21</v>
      </c>
      <c r="I9334" t="s">
        <v>18477</v>
      </c>
      <c r="J9334" t="str">
        <f>HYPERLINK("https://www.boe.es/gazeta/dias/1823/01/11/pdfs/GMD-1823-11.pdf#page=3","Abrir facsímil")</f>
        <v>Abrir facsímil</v>
      </c>
      <c r="K9334" t="s">
        <v>23</v>
      </c>
    </row>
    <row r="9335" spans="1:11" ht="42" customHeight="1">
      <c r="A9335" t="s">
        <v>18478</v>
      </c>
      <c r="B9335" t="s">
        <v>18478</v>
      </c>
      <c r="C9335" t="s">
        <v>79</v>
      </c>
      <c r="D9335" t="s">
        <v>74</v>
      </c>
      <c r="E9335" s="6">
        <v>-27990</v>
      </c>
      <c r="F9335" t="s">
        <v>1132</v>
      </c>
      <c r="G9335" t="s">
        <v>48</v>
      </c>
      <c r="H9335" t="s">
        <v>21</v>
      </c>
      <c r="I9335" t="s">
        <v>18479</v>
      </c>
      <c r="J9335" t="str">
        <f>HYPERLINK("https://www.boe.es/gazeta/dias/1823/05/13/pdfs/GES-1823-33.pdf#page=3","Abrir facsímil")</f>
        <v>Abrir facsímil</v>
      </c>
      <c r="K9335" t="s">
        <v>23</v>
      </c>
    </row>
    <row r="9336" spans="1:11" ht="42" customHeight="1">
      <c r="A9336" t="s">
        <v>18480</v>
      </c>
      <c r="B9336" t="s">
        <v>18481</v>
      </c>
      <c r="C9336" t="s">
        <v>325</v>
      </c>
      <c r="D9336" t="s">
        <v>74</v>
      </c>
      <c r="E9336" s="6">
        <v>-28099</v>
      </c>
      <c r="F9336" t="s">
        <v>1689</v>
      </c>
      <c r="G9336" t="s">
        <v>20</v>
      </c>
      <c r="H9336" t="s">
        <v>21</v>
      </c>
      <c r="I9336" t="s">
        <v>18482</v>
      </c>
      <c r="J9336" t="str">
        <f>HYPERLINK("https://www.boe.es/gazeta/dias/1823/01/24/pdfs/GMD-1823-25.pdf#page=4","Abrir facsímil")</f>
        <v>Abrir facsímil</v>
      </c>
      <c r="K9336" t="s">
        <v>23</v>
      </c>
    </row>
    <row r="9337" spans="1:11" ht="42" customHeight="1">
      <c r="A9337" t="s">
        <v>18483</v>
      </c>
      <c r="B9337" t="s">
        <v>18484</v>
      </c>
      <c r="C9337" t="s">
        <v>17</v>
      </c>
      <c r="D9337" t="s">
        <v>18</v>
      </c>
      <c r="E9337" s="6">
        <v>-28001</v>
      </c>
      <c r="F9337" t="s">
        <v>768</v>
      </c>
      <c r="G9337" t="s">
        <v>34</v>
      </c>
      <c r="H9337" t="s">
        <v>21</v>
      </c>
      <c r="I9337" t="s">
        <v>18485</v>
      </c>
      <c r="J9337" t="str">
        <f>HYPERLINK("https://www.boe.es/gazeta/dias/1823/05/02/pdfs/GES-1823-22.pdf#page=5","Abrir facsímil")</f>
        <v>Abrir facsímil</v>
      </c>
      <c r="K9337" t="s">
        <v>23</v>
      </c>
    </row>
    <row r="9338" spans="1:11" ht="42" customHeight="1">
      <c r="A9338" t="s">
        <v>18486</v>
      </c>
      <c r="B9338" t="s">
        <v>18486</v>
      </c>
      <c r="C9338" t="s">
        <v>79</v>
      </c>
      <c r="D9338" t="s">
        <v>74</v>
      </c>
      <c r="E9338" s="6">
        <v>-28117</v>
      </c>
      <c r="F9338" t="s">
        <v>271</v>
      </c>
      <c r="G9338" t="s">
        <v>48</v>
      </c>
      <c r="H9338" t="s">
        <v>21</v>
      </c>
      <c r="I9338" t="s">
        <v>18487</v>
      </c>
      <c r="J9338" t="str">
        <f>HYPERLINK("https://www.boe.es/gazeta/dias/1823/01/06/pdfs/GMD-1823-6.pdf#page=3","Abrir facsímil")</f>
        <v>Abrir facsímil</v>
      </c>
      <c r="K9338" t="s">
        <v>23</v>
      </c>
    </row>
    <row r="9339" spans="1:11" ht="42" customHeight="1">
      <c r="A9339" t="s">
        <v>18486</v>
      </c>
      <c r="B9339" t="s">
        <v>18486</v>
      </c>
      <c r="C9339" t="s">
        <v>17</v>
      </c>
      <c r="D9339" t="s">
        <v>18</v>
      </c>
      <c r="E9339" s="6">
        <v>-28109</v>
      </c>
      <c r="F9339" t="s">
        <v>889</v>
      </c>
      <c r="G9339" t="s">
        <v>48</v>
      </c>
      <c r="H9339" t="s">
        <v>21</v>
      </c>
      <c r="I9339" t="s">
        <v>18488</v>
      </c>
      <c r="J9339" t="str">
        <f>HYPERLINK("https://www.boe.es/gazeta/dias/1823/01/14/pdfs/GMD-1823-14.pdf#page=3","Abrir facsímil")</f>
        <v>Abrir facsímil</v>
      </c>
      <c r="K9339" t="s">
        <v>23</v>
      </c>
    </row>
    <row r="9340" spans="1:11" ht="42" customHeight="1">
      <c r="A9340" t="s">
        <v>18486</v>
      </c>
      <c r="B9340" t="s">
        <v>18486</v>
      </c>
      <c r="C9340" t="s">
        <v>17</v>
      </c>
      <c r="D9340" t="s">
        <v>18</v>
      </c>
      <c r="E9340" s="6">
        <v>-28100</v>
      </c>
      <c r="F9340" t="s">
        <v>737</v>
      </c>
      <c r="G9340" t="s">
        <v>27</v>
      </c>
      <c r="H9340" t="s">
        <v>21</v>
      </c>
      <c r="I9340" t="s">
        <v>18489</v>
      </c>
      <c r="J9340" t="str">
        <f>HYPERLINK("https://www.boe.es/gazeta/dias/1823/01/23/pdfs/GMD-1823-24.pdf#page=2","Abrir facsímil")</f>
        <v>Abrir facsímil</v>
      </c>
      <c r="K9340" t="s">
        <v>23</v>
      </c>
    </row>
    <row r="9341" spans="1:11" ht="42" customHeight="1">
      <c r="A9341" t="s">
        <v>18486</v>
      </c>
      <c r="B9341" t="s">
        <v>18486</v>
      </c>
      <c r="C9341" t="s">
        <v>17</v>
      </c>
      <c r="D9341" t="s">
        <v>18</v>
      </c>
      <c r="E9341" s="6">
        <v>-28099</v>
      </c>
      <c r="F9341" t="s">
        <v>1689</v>
      </c>
      <c r="G9341" t="s">
        <v>39</v>
      </c>
      <c r="H9341" t="s">
        <v>21</v>
      </c>
      <c r="I9341" t="s">
        <v>18490</v>
      </c>
      <c r="J9341" t="str">
        <f>HYPERLINK("https://www.boe.es/gazeta/dias/1823/01/24/pdfs/GMD-1823-25.pdf#page=1","Abrir facsímil")</f>
        <v>Abrir facsímil</v>
      </c>
      <c r="K9341" t="s">
        <v>23</v>
      </c>
    </row>
    <row r="9342" spans="1:11" ht="42" customHeight="1">
      <c r="A9342" t="s">
        <v>18486</v>
      </c>
      <c r="B9342" t="s">
        <v>18486</v>
      </c>
      <c r="C9342" t="s">
        <v>109</v>
      </c>
      <c r="D9342" t="s">
        <v>74</v>
      </c>
      <c r="E9342" s="6">
        <v>-28094</v>
      </c>
      <c r="F9342" t="s">
        <v>93</v>
      </c>
      <c r="G9342" t="s">
        <v>27</v>
      </c>
      <c r="H9342" t="s">
        <v>21</v>
      </c>
      <c r="I9342" t="s">
        <v>18491</v>
      </c>
      <c r="J9342" t="str">
        <f>HYPERLINK("https://www.boe.es/gazeta/dias/1823/01/29/pdfs/GMD-1823-30.pdf#page=2","Abrir facsímil")</f>
        <v>Abrir facsímil</v>
      </c>
      <c r="K9342" t="s">
        <v>23</v>
      </c>
    </row>
    <row r="9343" spans="1:11" ht="42" customHeight="1">
      <c r="A9343" t="s">
        <v>18486</v>
      </c>
      <c r="B9343" t="s">
        <v>18486</v>
      </c>
      <c r="C9343" t="s">
        <v>17</v>
      </c>
      <c r="D9343" t="s">
        <v>18</v>
      </c>
      <c r="E9343" s="6">
        <v>-28091</v>
      </c>
      <c r="F9343" t="s">
        <v>1047</v>
      </c>
      <c r="G9343" t="s">
        <v>20</v>
      </c>
      <c r="H9343" t="s">
        <v>21</v>
      </c>
      <c r="I9343" t="s">
        <v>18492</v>
      </c>
      <c r="J9343" t="str">
        <f>HYPERLINK("https://www.boe.es/gazeta/dias/1823/02/01/pdfs/GMD-1823-34.pdf#page=4","Abrir facsímil")</f>
        <v>Abrir facsímil</v>
      </c>
      <c r="K9343" t="s">
        <v>23</v>
      </c>
    </row>
    <row r="9344" spans="1:11" ht="42" customHeight="1">
      <c r="A9344" t="s">
        <v>18486</v>
      </c>
      <c r="B9344" t="s">
        <v>18486</v>
      </c>
      <c r="C9344" t="s">
        <v>17</v>
      </c>
      <c r="D9344" t="s">
        <v>18</v>
      </c>
      <c r="E9344" s="6">
        <v>-28085</v>
      </c>
      <c r="F9344" t="s">
        <v>458</v>
      </c>
      <c r="G9344" t="s">
        <v>27</v>
      </c>
      <c r="H9344" t="s">
        <v>21</v>
      </c>
      <c r="I9344" t="s">
        <v>18493</v>
      </c>
      <c r="J9344" t="str">
        <f>HYPERLINK("https://www.boe.es/gazeta/dias/1823/02/07/pdfs/GMD-1823-40.pdf#page=2","Abrir facsímil")</f>
        <v>Abrir facsímil</v>
      </c>
      <c r="K9344" t="s">
        <v>23</v>
      </c>
    </row>
    <row r="9345" spans="1:11" ht="42" customHeight="1">
      <c r="A9345" t="s">
        <v>18486</v>
      </c>
      <c r="B9345" t="s">
        <v>18486</v>
      </c>
      <c r="C9345" t="s">
        <v>17</v>
      </c>
      <c r="D9345" t="s">
        <v>18</v>
      </c>
      <c r="E9345" s="6">
        <v>-28085</v>
      </c>
      <c r="F9345" t="s">
        <v>458</v>
      </c>
      <c r="G9345" t="s">
        <v>20</v>
      </c>
      <c r="H9345" t="s">
        <v>21</v>
      </c>
      <c r="I9345" t="s">
        <v>18494</v>
      </c>
      <c r="J9345" t="str">
        <f>HYPERLINK("https://www.boe.es/gazeta/dias/1823/02/07/pdfs/GMD-1823-40.pdf#page=4","Abrir facsímil")</f>
        <v>Abrir facsímil</v>
      </c>
      <c r="K9345" t="s">
        <v>23</v>
      </c>
    </row>
    <row r="9346" spans="1:11" ht="42" customHeight="1">
      <c r="A9346" t="s">
        <v>18486</v>
      </c>
      <c r="B9346" t="s">
        <v>18486</v>
      </c>
      <c r="C9346" t="s">
        <v>56</v>
      </c>
      <c r="D9346" t="s">
        <v>57</v>
      </c>
      <c r="E9346" s="6">
        <v>-28059</v>
      </c>
      <c r="F9346" t="s">
        <v>149</v>
      </c>
      <c r="G9346" t="s">
        <v>48</v>
      </c>
      <c r="H9346" t="s">
        <v>21</v>
      </c>
      <c r="I9346" t="s">
        <v>18495</v>
      </c>
      <c r="J9346" t="str">
        <f>HYPERLINK("https://www.boe.es/gazeta/dias/1823/03/05/pdfs/GMD-1823-68.pdf#page=3","Abrir facsímil")</f>
        <v>Abrir facsímil</v>
      </c>
      <c r="K9346" t="s">
        <v>23</v>
      </c>
    </row>
    <row r="9347" spans="1:11" ht="42" customHeight="1">
      <c r="A9347" t="s">
        <v>18486</v>
      </c>
      <c r="B9347" t="s">
        <v>18486</v>
      </c>
      <c r="C9347" t="s">
        <v>79</v>
      </c>
      <c r="D9347" t="s">
        <v>74</v>
      </c>
      <c r="E9347" s="6">
        <v>-28059</v>
      </c>
      <c r="F9347" t="s">
        <v>149</v>
      </c>
      <c r="G9347" t="s">
        <v>20</v>
      </c>
      <c r="H9347" t="s">
        <v>21</v>
      </c>
      <c r="I9347" t="s">
        <v>18496</v>
      </c>
      <c r="J9347" t="str">
        <f>HYPERLINK("https://www.boe.es/gazeta/dias/1823/03/05/pdfs/GMD-1823-68.pdf#page=4","Abrir facsímil")</f>
        <v>Abrir facsímil</v>
      </c>
      <c r="K9347" t="s">
        <v>23</v>
      </c>
    </row>
    <row r="9348" spans="1:11" ht="42" customHeight="1">
      <c r="A9348" t="s">
        <v>18486</v>
      </c>
      <c r="B9348" t="s">
        <v>18486</v>
      </c>
      <c r="C9348" t="s">
        <v>56</v>
      </c>
      <c r="D9348" t="s">
        <v>57</v>
      </c>
      <c r="E9348" s="6">
        <v>-28057</v>
      </c>
      <c r="F9348" t="s">
        <v>301</v>
      </c>
      <c r="G9348" t="s">
        <v>20</v>
      </c>
      <c r="H9348" t="s">
        <v>21</v>
      </c>
      <c r="I9348" t="s">
        <v>18497</v>
      </c>
      <c r="J9348" t="str">
        <f>HYPERLINK("https://www.boe.es/gazeta/dias/1823/03/07/pdfs/GMD-1823-70.pdf#page=4","Abrir facsímil")</f>
        <v>Abrir facsímil</v>
      </c>
      <c r="K9348" t="s">
        <v>23</v>
      </c>
    </row>
    <row r="9349" spans="1:11" ht="42" customHeight="1">
      <c r="A9349" t="s">
        <v>18486</v>
      </c>
      <c r="B9349" t="s">
        <v>18486</v>
      </c>
      <c r="C9349" t="s">
        <v>109</v>
      </c>
      <c r="D9349" t="s">
        <v>74</v>
      </c>
      <c r="E9349" s="6">
        <v>-28006</v>
      </c>
      <c r="F9349" t="s">
        <v>183</v>
      </c>
      <c r="G9349" t="s">
        <v>20</v>
      </c>
      <c r="H9349" t="s">
        <v>21</v>
      </c>
      <c r="I9349" t="s">
        <v>18498</v>
      </c>
      <c r="J9349" t="str">
        <f>HYPERLINK("https://www.boe.es/gazeta/dias/1823/04/27/pdfs/GES-1823-17.pdf#page=4","Abrir facsímil")</f>
        <v>Abrir facsímil</v>
      </c>
      <c r="K9349" t="s">
        <v>23</v>
      </c>
    </row>
    <row r="9350" spans="1:11" ht="42" customHeight="1">
      <c r="A9350" t="s">
        <v>18486</v>
      </c>
      <c r="B9350" t="s">
        <v>18486</v>
      </c>
      <c r="C9350" t="s">
        <v>79</v>
      </c>
      <c r="D9350" t="s">
        <v>74</v>
      </c>
      <c r="E9350" s="6">
        <v>-27993</v>
      </c>
      <c r="F9350" t="s">
        <v>977</v>
      </c>
      <c r="G9350" t="s">
        <v>48</v>
      </c>
      <c r="H9350" t="s">
        <v>21</v>
      </c>
      <c r="I9350" t="s">
        <v>18499</v>
      </c>
      <c r="J9350" t="str">
        <f>HYPERLINK("https://www.boe.es/gazeta/dias/1823/05/10/pdfs/GES-1823-30.pdf#page=3","Abrir facsímil")</f>
        <v>Abrir facsímil</v>
      </c>
      <c r="K9350" t="s">
        <v>23</v>
      </c>
    </row>
    <row r="9351" spans="1:11" ht="42" customHeight="1">
      <c r="A9351" t="s">
        <v>18486</v>
      </c>
      <c r="B9351" t="s">
        <v>18486</v>
      </c>
      <c r="C9351" t="s">
        <v>79</v>
      </c>
      <c r="D9351" t="s">
        <v>74</v>
      </c>
      <c r="E9351" s="6">
        <v>-27990</v>
      </c>
      <c r="F9351" t="s">
        <v>1132</v>
      </c>
      <c r="G9351" t="s">
        <v>27</v>
      </c>
      <c r="H9351" t="s">
        <v>21</v>
      </c>
      <c r="I9351" t="s">
        <v>18500</v>
      </c>
      <c r="J9351" t="str">
        <f>HYPERLINK("https://www.boe.es/gazeta/dias/1823/05/13/pdfs/GES-1823-33.pdf#page=2","Abrir facsímil")</f>
        <v>Abrir facsímil</v>
      </c>
      <c r="K9351" t="s">
        <v>23</v>
      </c>
    </row>
    <row r="9352" spans="1:11" ht="42" customHeight="1">
      <c r="A9352" t="s">
        <v>18486</v>
      </c>
      <c r="B9352" t="s">
        <v>18486</v>
      </c>
      <c r="C9352" t="s">
        <v>84</v>
      </c>
      <c r="D9352" t="s">
        <v>74</v>
      </c>
      <c r="E9352" s="6">
        <v>-27988</v>
      </c>
      <c r="F9352" t="s">
        <v>692</v>
      </c>
      <c r="G9352" t="s">
        <v>48</v>
      </c>
      <c r="H9352" t="s">
        <v>21</v>
      </c>
      <c r="I9352" t="s">
        <v>18501</v>
      </c>
      <c r="J9352" t="str">
        <f>HYPERLINK("https://www.boe.es/gazeta/dias/1823/05/15/pdfs/GES-1823-35.pdf#page=3","Abrir facsímil")</f>
        <v>Abrir facsímil</v>
      </c>
      <c r="K9352" t="s">
        <v>23</v>
      </c>
    </row>
    <row r="9353" spans="1:11" ht="42" customHeight="1">
      <c r="A9353" t="s">
        <v>18486</v>
      </c>
      <c r="B9353" t="s">
        <v>18486</v>
      </c>
      <c r="C9353" t="s">
        <v>84</v>
      </c>
      <c r="D9353" t="s">
        <v>74</v>
      </c>
      <c r="E9353" s="6">
        <v>-27986</v>
      </c>
      <c r="F9353" t="s">
        <v>75</v>
      </c>
      <c r="G9353" t="s">
        <v>20</v>
      </c>
      <c r="H9353" t="s">
        <v>21</v>
      </c>
      <c r="I9353" t="s">
        <v>18502</v>
      </c>
      <c r="J9353" t="str">
        <f>HYPERLINK("https://www.boe.es/gazeta/dias/1823/05/17/pdfs/GES-1823-37.pdf#page=4","Abrir facsímil")</f>
        <v>Abrir facsímil</v>
      </c>
      <c r="K9353" t="s">
        <v>23</v>
      </c>
    </row>
    <row r="9354" spans="1:11" ht="42" customHeight="1">
      <c r="A9354" t="s">
        <v>18486</v>
      </c>
      <c r="B9354" t="s">
        <v>18486</v>
      </c>
      <c r="C9354" t="s">
        <v>79</v>
      </c>
      <c r="D9354" t="s">
        <v>74</v>
      </c>
      <c r="E9354" s="6">
        <v>-27985</v>
      </c>
      <c r="F9354" t="s">
        <v>951</v>
      </c>
      <c r="G9354" t="s">
        <v>48</v>
      </c>
      <c r="H9354" t="s">
        <v>21</v>
      </c>
      <c r="I9354" t="s">
        <v>18503</v>
      </c>
      <c r="J9354" t="str">
        <f>HYPERLINK("https://www.boe.es/gazeta/dias/1823/05/18/pdfs/GES-1823-38.pdf#page=3","Abrir facsímil")</f>
        <v>Abrir facsímil</v>
      </c>
      <c r="K9354" t="s">
        <v>23</v>
      </c>
    </row>
    <row r="9355" spans="1:11" ht="42" customHeight="1">
      <c r="A9355" t="s">
        <v>18486</v>
      </c>
      <c r="B9355" t="s">
        <v>18486</v>
      </c>
      <c r="C9355" t="s">
        <v>79</v>
      </c>
      <c r="D9355" t="s">
        <v>74</v>
      </c>
      <c r="E9355" s="6">
        <v>-27985</v>
      </c>
      <c r="F9355" t="s">
        <v>951</v>
      </c>
      <c r="G9355" t="s">
        <v>20</v>
      </c>
      <c r="H9355" t="s">
        <v>21</v>
      </c>
      <c r="I9355" t="s">
        <v>18504</v>
      </c>
      <c r="J9355" t="str">
        <f>HYPERLINK("https://www.boe.es/gazeta/dias/1823/05/18/pdfs/GES-1823-38.pdf#page=4","Abrir facsímil")</f>
        <v>Abrir facsímil</v>
      </c>
      <c r="K9355" t="s">
        <v>23</v>
      </c>
    </row>
    <row r="9356" spans="1:11" ht="42" customHeight="1">
      <c r="A9356" t="s">
        <v>18486</v>
      </c>
      <c r="B9356" t="s">
        <v>18486</v>
      </c>
      <c r="C9356" t="s">
        <v>17</v>
      </c>
      <c r="D9356" t="s">
        <v>18</v>
      </c>
      <c r="E9356" s="6">
        <v>-27984</v>
      </c>
      <c r="F9356" t="s">
        <v>335</v>
      </c>
      <c r="G9356" t="s">
        <v>20</v>
      </c>
      <c r="H9356" t="s">
        <v>21</v>
      </c>
      <c r="I9356" t="s">
        <v>18505</v>
      </c>
      <c r="J9356" t="str">
        <f>HYPERLINK("https://www.boe.es/gazeta/dias/1823/05/19/pdfs/GES-1823-39.pdf#page=4","Abrir facsímil")</f>
        <v>Abrir facsímil</v>
      </c>
      <c r="K9356" t="s">
        <v>23</v>
      </c>
    </row>
    <row r="9357" spans="1:11" ht="42" customHeight="1">
      <c r="A9357" t="s">
        <v>18486</v>
      </c>
      <c r="B9357" t="s">
        <v>18486</v>
      </c>
      <c r="C9357" t="s">
        <v>109</v>
      </c>
      <c r="D9357" t="s">
        <v>74</v>
      </c>
      <c r="E9357" s="6">
        <v>-27983</v>
      </c>
      <c r="F9357" t="s">
        <v>337</v>
      </c>
      <c r="G9357" t="s">
        <v>48</v>
      </c>
      <c r="H9357" t="s">
        <v>21</v>
      </c>
      <c r="I9357" t="s">
        <v>18506</v>
      </c>
      <c r="J9357" t="str">
        <f>HYPERLINK("https://www.boe.es/gazeta/dias/1823/05/20/pdfs/GES-1823-40.pdf#page=3","Abrir facsímil")</f>
        <v>Abrir facsímil</v>
      </c>
      <c r="K9357" t="s">
        <v>23</v>
      </c>
    </row>
    <row r="9358" spans="1:11" ht="42" customHeight="1">
      <c r="A9358" t="s">
        <v>18486</v>
      </c>
      <c r="B9358" t="s">
        <v>18486</v>
      </c>
      <c r="C9358" t="s">
        <v>109</v>
      </c>
      <c r="D9358" t="s">
        <v>74</v>
      </c>
      <c r="E9358" s="6">
        <v>-27983</v>
      </c>
      <c r="F9358" t="s">
        <v>337</v>
      </c>
      <c r="G9358" t="s">
        <v>20</v>
      </c>
      <c r="H9358" t="s">
        <v>21</v>
      </c>
      <c r="I9358" t="s">
        <v>18507</v>
      </c>
      <c r="J9358" t="str">
        <f>HYPERLINK("https://www.boe.es/gazeta/dias/1823/05/20/pdfs/GES-1823-40.pdf#page=4","Abrir facsímil")</f>
        <v>Abrir facsímil</v>
      </c>
      <c r="K9358" t="s">
        <v>23</v>
      </c>
    </row>
    <row r="9359" spans="1:11" ht="42" customHeight="1">
      <c r="A9359" t="s">
        <v>18486</v>
      </c>
      <c r="B9359" t="s">
        <v>18486</v>
      </c>
      <c r="C9359" t="s">
        <v>56</v>
      </c>
      <c r="D9359" t="s">
        <v>57</v>
      </c>
      <c r="E9359" s="6">
        <v>-27982</v>
      </c>
      <c r="F9359" t="s">
        <v>340</v>
      </c>
      <c r="G9359" t="s">
        <v>48</v>
      </c>
      <c r="H9359" t="s">
        <v>21</v>
      </c>
      <c r="I9359" t="s">
        <v>18508</v>
      </c>
      <c r="J9359" t="str">
        <f>HYPERLINK("https://www.boe.es/gazeta/dias/1823/05/21/pdfs/GES-1823-42.pdf#page=3","Abrir facsímil")</f>
        <v>Abrir facsímil</v>
      </c>
      <c r="K9359" t="s">
        <v>23</v>
      </c>
    </row>
    <row r="9360" spans="1:11" ht="42" customHeight="1">
      <c r="A9360" t="s">
        <v>18486</v>
      </c>
      <c r="B9360" t="s">
        <v>18486</v>
      </c>
      <c r="C9360" t="s">
        <v>56</v>
      </c>
      <c r="D9360" t="s">
        <v>57</v>
      </c>
      <c r="E9360" s="6">
        <v>-27982</v>
      </c>
      <c r="F9360" t="s">
        <v>340</v>
      </c>
      <c r="G9360" t="s">
        <v>20</v>
      </c>
      <c r="H9360" t="s">
        <v>21</v>
      </c>
      <c r="I9360" t="s">
        <v>18509</v>
      </c>
      <c r="J9360" t="str">
        <f>HYPERLINK("https://www.boe.es/gazeta/dias/1823/05/21/pdfs/GES-1823-42.pdf#page=4","Abrir facsímil")</f>
        <v>Abrir facsímil</v>
      </c>
      <c r="K9360" t="s">
        <v>23</v>
      </c>
    </row>
    <row r="9361" spans="1:11" ht="42" customHeight="1">
      <c r="A9361" t="s">
        <v>18486</v>
      </c>
      <c r="B9361" t="s">
        <v>18486</v>
      </c>
      <c r="C9361" t="s">
        <v>17</v>
      </c>
      <c r="D9361" t="s">
        <v>18</v>
      </c>
      <c r="E9361" s="6">
        <v>-27975</v>
      </c>
      <c r="F9361" t="s">
        <v>47</v>
      </c>
      <c r="G9361" t="s">
        <v>48</v>
      </c>
      <c r="H9361" t="s">
        <v>21</v>
      </c>
      <c r="I9361" t="s">
        <v>18510</v>
      </c>
      <c r="J9361" t="str">
        <f>HYPERLINK("https://www.boe.es/gazeta/dias/1823/05/28/pdfs/GES-1823-50.pdf#page=3","Abrir facsímil")</f>
        <v>Abrir facsímil</v>
      </c>
      <c r="K9361" t="s">
        <v>23</v>
      </c>
    </row>
    <row r="9362" spans="1:11" ht="42" customHeight="1">
      <c r="A9362" t="s">
        <v>18486</v>
      </c>
      <c r="B9362" t="s">
        <v>18486</v>
      </c>
      <c r="C9362" t="s">
        <v>17</v>
      </c>
      <c r="D9362" t="s">
        <v>18</v>
      </c>
      <c r="E9362" s="6">
        <v>-27974</v>
      </c>
      <c r="F9362" t="s">
        <v>618</v>
      </c>
      <c r="G9362" t="s">
        <v>27</v>
      </c>
      <c r="H9362" t="s">
        <v>21</v>
      </c>
      <c r="I9362" t="s">
        <v>18511</v>
      </c>
      <c r="J9362" t="str">
        <f>HYPERLINK("https://www.boe.es/gazeta/dias/1823/05/29/pdfs/GES-1823-52.pdf#page=2","Abrir facsímil")</f>
        <v>Abrir facsímil</v>
      </c>
      <c r="K9362" t="s">
        <v>23</v>
      </c>
    </row>
    <row r="9363" spans="1:11" ht="42" customHeight="1">
      <c r="A9363" t="s">
        <v>18486</v>
      </c>
      <c r="B9363" t="s">
        <v>18486</v>
      </c>
      <c r="C9363" t="s">
        <v>79</v>
      </c>
      <c r="D9363" t="s">
        <v>74</v>
      </c>
      <c r="E9363" s="6">
        <v>-27967</v>
      </c>
      <c r="F9363" t="s">
        <v>412</v>
      </c>
      <c r="G9363" t="s">
        <v>20</v>
      </c>
      <c r="H9363" t="s">
        <v>21</v>
      </c>
      <c r="I9363" t="s">
        <v>18512</v>
      </c>
      <c r="J9363" t="str">
        <f>HYPERLINK("https://www.boe.es/gazeta/dias/1823/06/05/pdfs/GES-1823-59.pdf#page=4","Abrir facsímil")</f>
        <v>Abrir facsímil</v>
      </c>
      <c r="K9363" t="s">
        <v>23</v>
      </c>
    </row>
    <row r="9364" spans="1:11" ht="42" customHeight="1">
      <c r="A9364" t="s">
        <v>18486</v>
      </c>
      <c r="B9364" t="s">
        <v>18486</v>
      </c>
      <c r="C9364" t="s">
        <v>56</v>
      </c>
      <c r="D9364" t="s">
        <v>57</v>
      </c>
      <c r="E9364" s="6">
        <v>-27965</v>
      </c>
      <c r="F9364" t="s">
        <v>208</v>
      </c>
      <c r="G9364" t="s">
        <v>20</v>
      </c>
      <c r="H9364" t="s">
        <v>21</v>
      </c>
      <c r="I9364" t="s">
        <v>18513</v>
      </c>
      <c r="J9364" t="str">
        <f>HYPERLINK("https://www.boe.es/gazeta/dias/1823/06/07/pdfs/GES-1823-61.pdf#page=4","Abrir facsímil")</f>
        <v>Abrir facsímil</v>
      </c>
      <c r="K9364" t="s">
        <v>23</v>
      </c>
    </row>
    <row r="9365" spans="1:11" ht="42" customHeight="1">
      <c r="A9365" t="s">
        <v>18486</v>
      </c>
      <c r="B9365" t="s">
        <v>18486</v>
      </c>
      <c r="C9365" t="s">
        <v>17</v>
      </c>
      <c r="D9365" t="s">
        <v>18</v>
      </c>
      <c r="E9365" s="6">
        <v>-27963</v>
      </c>
      <c r="F9365" t="s">
        <v>344</v>
      </c>
      <c r="G9365" t="s">
        <v>39</v>
      </c>
      <c r="H9365" t="s">
        <v>21</v>
      </c>
      <c r="I9365" t="s">
        <v>18514</v>
      </c>
      <c r="J9365" t="str">
        <f>HYPERLINK("https://www.boe.es/gazeta/dias/1823/06/09/pdfs/GES-1823-63.pdf#page=1","Abrir facsímil")</f>
        <v>Abrir facsímil</v>
      </c>
      <c r="K9365" t="s">
        <v>23</v>
      </c>
    </row>
    <row r="9366" spans="1:11" ht="42" customHeight="1">
      <c r="A9366" t="s">
        <v>18486</v>
      </c>
      <c r="B9366" t="s">
        <v>18486</v>
      </c>
      <c r="C9366" t="s">
        <v>109</v>
      </c>
      <c r="D9366" t="s">
        <v>74</v>
      </c>
      <c r="E9366" s="6">
        <v>-27938</v>
      </c>
      <c r="F9366" t="s">
        <v>101</v>
      </c>
      <c r="G9366" t="s">
        <v>48</v>
      </c>
      <c r="H9366" t="s">
        <v>21</v>
      </c>
      <c r="I9366" t="s">
        <v>18515</v>
      </c>
      <c r="J9366" t="str">
        <f>HYPERLINK("https://www.boe.es/gazeta/dias/1823/07/04/pdfs/GES-1823-84.pdf#page=3","Abrir facsímil")</f>
        <v>Abrir facsímil</v>
      </c>
      <c r="K9366" t="s">
        <v>23</v>
      </c>
    </row>
    <row r="9367" spans="1:11" ht="42" customHeight="1">
      <c r="A9367" t="s">
        <v>18486</v>
      </c>
      <c r="B9367" t="s">
        <v>18486</v>
      </c>
      <c r="C9367" t="s">
        <v>73</v>
      </c>
      <c r="D9367" t="s">
        <v>74</v>
      </c>
      <c r="E9367" s="6">
        <v>-27935</v>
      </c>
      <c r="F9367" t="s">
        <v>350</v>
      </c>
      <c r="G9367" t="s">
        <v>27</v>
      </c>
      <c r="H9367" t="s">
        <v>21</v>
      </c>
      <c r="I9367" t="s">
        <v>18516</v>
      </c>
      <c r="J9367" t="str">
        <f>HYPERLINK("https://www.boe.es/gazeta/dias/1823/07/07/pdfs/GES-1823-87.pdf#page=2","Abrir facsímil")</f>
        <v>Abrir facsímil</v>
      </c>
      <c r="K9367" t="s">
        <v>23</v>
      </c>
    </row>
    <row r="9368" spans="1:11" ht="42" customHeight="1">
      <c r="A9368" t="s">
        <v>18486</v>
      </c>
      <c r="B9368" t="s">
        <v>18486</v>
      </c>
      <c r="C9368" t="s">
        <v>79</v>
      </c>
      <c r="D9368" t="s">
        <v>74</v>
      </c>
      <c r="E9368" s="6">
        <v>-27926</v>
      </c>
      <c r="F9368" t="s">
        <v>2158</v>
      </c>
      <c r="G9368" t="s">
        <v>2159</v>
      </c>
      <c r="H9368" t="s">
        <v>21</v>
      </c>
      <c r="I9368" t="s">
        <v>18517</v>
      </c>
      <c r="J9368" t="str">
        <f>HYPERLINK("https://www.boe.es/gazeta/dias/1823/07/16/pdfs/GES-1823-96.pdf#page=2","Abrir facsímil")</f>
        <v>Abrir facsímil</v>
      </c>
      <c r="K9368" t="s">
        <v>23</v>
      </c>
    </row>
    <row r="9369" spans="1:11" ht="42" customHeight="1">
      <c r="A9369" t="s">
        <v>18486</v>
      </c>
      <c r="B9369" t="s">
        <v>18486</v>
      </c>
      <c r="C9369" t="s">
        <v>293</v>
      </c>
      <c r="D9369" t="s">
        <v>74</v>
      </c>
      <c r="E9369" s="6">
        <v>-27918</v>
      </c>
      <c r="F9369" t="s">
        <v>3181</v>
      </c>
      <c r="G9369" t="s">
        <v>27</v>
      </c>
      <c r="H9369" t="s">
        <v>21</v>
      </c>
      <c r="I9369" t="s">
        <v>18518</v>
      </c>
      <c r="J9369" t="str">
        <f>HYPERLINK("https://www.boe.es/gazeta/dias/1823/07/24/pdfs/GES-1823-105.pdf#page=2","Abrir facsímil")</f>
        <v>Abrir facsímil</v>
      </c>
      <c r="K9369" t="s">
        <v>23</v>
      </c>
    </row>
    <row r="9370" spans="1:11" ht="42" customHeight="1">
      <c r="A9370" t="s">
        <v>18486</v>
      </c>
      <c r="B9370" t="s">
        <v>18486</v>
      </c>
      <c r="C9370" t="s">
        <v>79</v>
      </c>
      <c r="D9370" t="s">
        <v>74</v>
      </c>
      <c r="E9370" s="6">
        <v>-27916</v>
      </c>
      <c r="F9370" t="s">
        <v>772</v>
      </c>
      <c r="G9370" t="s">
        <v>39</v>
      </c>
      <c r="H9370" t="s">
        <v>21</v>
      </c>
      <c r="I9370" t="s">
        <v>18519</v>
      </c>
      <c r="J9370" t="str">
        <f>HYPERLINK("https://www.boe.es/gazeta/dias/1823/07/26/pdfs/GES-1823-107.pdf#page=1","Abrir facsímil")</f>
        <v>Abrir facsímil</v>
      </c>
      <c r="K9370" t="s">
        <v>23</v>
      </c>
    </row>
    <row r="9371" spans="1:11" ht="42" customHeight="1">
      <c r="A9371" t="s">
        <v>18486</v>
      </c>
      <c r="B9371" t="s">
        <v>18486</v>
      </c>
      <c r="C9371" t="s">
        <v>79</v>
      </c>
      <c r="D9371" t="s">
        <v>74</v>
      </c>
      <c r="E9371" s="6">
        <v>-27911</v>
      </c>
      <c r="F9371" t="s">
        <v>368</v>
      </c>
      <c r="G9371" t="s">
        <v>48</v>
      </c>
      <c r="H9371" t="s">
        <v>21</v>
      </c>
      <c r="I9371" t="s">
        <v>18520</v>
      </c>
      <c r="J9371" t="str">
        <f>HYPERLINK("https://www.boe.es/gazeta/dias/1823/07/31/pdfs/GES-1823-112.pdf#page=3","Abrir facsímil")</f>
        <v>Abrir facsímil</v>
      </c>
      <c r="K9371" t="s">
        <v>23</v>
      </c>
    </row>
    <row r="9372" spans="1:11" ht="42" customHeight="1">
      <c r="A9372" t="s">
        <v>18486</v>
      </c>
      <c r="B9372" t="s">
        <v>18486</v>
      </c>
      <c r="C9372" t="s">
        <v>109</v>
      </c>
      <c r="D9372" t="s">
        <v>74</v>
      </c>
      <c r="E9372" s="6">
        <v>-27910</v>
      </c>
      <c r="F9372" t="s">
        <v>38</v>
      </c>
      <c r="G9372" t="s">
        <v>48</v>
      </c>
      <c r="H9372" t="s">
        <v>21</v>
      </c>
      <c r="I9372" t="s">
        <v>18521</v>
      </c>
      <c r="J9372" t="str">
        <f>HYPERLINK("https://www.boe.es/gazeta/dias/1823/08/01/pdfs/GES-1823-113.pdf#page=3","Abrir facsímil")</f>
        <v>Abrir facsímil</v>
      </c>
      <c r="K9372" t="s">
        <v>23</v>
      </c>
    </row>
    <row r="9373" spans="1:11" ht="42" customHeight="1">
      <c r="A9373" t="s">
        <v>18522</v>
      </c>
      <c r="B9373" t="s">
        <v>18523</v>
      </c>
      <c r="C9373" t="s">
        <v>17</v>
      </c>
      <c r="D9373" t="s">
        <v>18</v>
      </c>
      <c r="E9373" s="6">
        <v>-28116</v>
      </c>
      <c r="F9373" t="s">
        <v>134</v>
      </c>
      <c r="G9373" t="s">
        <v>59</v>
      </c>
      <c r="H9373" t="s">
        <v>21</v>
      </c>
      <c r="I9373" t="s">
        <v>18524</v>
      </c>
      <c r="J9373" t="str">
        <f>HYPERLINK("https://www.boe.es/gazeta/dias/1823/01/07/pdfs/GMD-1823-7.pdf#page=6","Abrir facsímil")</f>
        <v>Abrir facsímil</v>
      </c>
      <c r="K9373" t="s">
        <v>23</v>
      </c>
    </row>
    <row r="9374" spans="1:11" ht="42" customHeight="1">
      <c r="A9374" t="s">
        <v>18522</v>
      </c>
      <c r="B9374" t="s">
        <v>18523</v>
      </c>
      <c r="C9374" t="s">
        <v>17</v>
      </c>
      <c r="D9374" t="s">
        <v>18</v>
      </c>
      <c r="E9374" s="6">
        <v>-28025</v>
      </c>
      <c r="F9374" t="s">
        <v>477</v>
      </c>
      <c r="G9374" t="s">
        <v>20</v>
      </c>
      <c r="H9374" t="s">
        <v>21</v>
      </c>
      <c r="I9374" t="s">
        <v>18525</v>
      </c>
      <c r="J9374" t="str">
        <f>HYPERLINK("https://www.boe.es/gazeta/dias/1823/04/08/pdfs/GMD-1823-103.pdf#page=4","Abrir facsímil")</f>
        <v>Abrir facsímil</v>
      </c>
      <c r="K9374" t="s">
        <v>23</v>
      </c>
    </row>
    <row r="9375" spans="1:11" ht="42" customHeight="1">
      <c r="A9375" t="s">
        <v>18522</v>
      </c>
      <c r="B9375" t="s">
        <v>18523</v>
      </c>
      <c r="C9375" t="s">
        <v>56</v>
      </c>
      <c r="D9375" t="s">
        <v>57</v>
      </c>
      <c r="E9375" s="6">
        <v>-28006</v>
      </c>
      <c r="F9375" t="s">
        <v>183</v>
      </c>
      <c r="G9375" t="s">
        <v>48</v>
      </c>
      <c r="H9375" t="s">
        <v>21</v>
      </c>
      <c r="I9375" t="s">
        <v>18526</v>
      </c>
      <c r="J9375" t="str">
        <f>HYPERLINK("https://www.boe.es/gazeta/dias/1823/04/27/pdfs/GES-1823-17.pdf#page=3","Abrir facsímil")</f>
        <v>Abrir facsímil</v>
      </c>
      <c r="K9375" t="s">
        <v>23</v>
      </c>
    </row>
    <row r="9376" spans="1:11" ht="42" customHeight="1">
      <c r="A9376" t="s">
        <v>18522</v>
      </c>
      <c r="B9376" t="s">
        <v>18523</v>
      </c>
      <c r="C9376" t="s">
        <v>17</v>
      </c>
      <c r="D9376" t="s">
        <v>18</v>
      </c>
      <c r="E9376" s="6">
        <v>-27993</v>
      </c>
      <c r="F9376" t="s">
        <v>977</v>
      </c>
      <c r="G9376" t="s">
        <v>978</v>
      </c>
      <c r="H9376" t="s">
        <v>21</v>
      </c>
      <c r="I9376" t="s">
        <v>18527</v>
      </c>
      <c r="J9376" t="str">
        <f>HYPERLINK("https://www.boe.es/gazeta/dias/1823/05/10/pdfs/GES-1823-30.pdf#page=4","Abrir facsímil")</f>
        <v>Abrir facsímil</v>
      </c>
      <c r="K9376" t="s">
        <v>23</v>
      </c>
    </row>
    <row r="9377" spans="1:11" ht="42" customHeight="1">
      <c r="A9377" t="s">
        <v>18528</v>
      </c>
      <c r="B9377" t="s">
        <v>18529</v>
      </c>
      <c r="C9377" t="s">
        <v>17</v>
      </c>
      <c r="D9377" t="s">
        <v>18</v>
      </c>
      <c r="E9377" s="6">
        <v>-28028</v>
      </c>
      <c r="F9377" t="s">
        <v>893</v>
      </c>
      <c r="G9377" t="s">
        <v>20</v>
      </c>
      <c r="H9377" t="s">
        <v>21</v>
      </c>
      <c r="I9377" t="s">
        <v>18530</v>
      </c>
      <c r="J9377" t="str">
        <f>HYPERLINK("https://www.boe.es/gazeta/dias/1823/04/05/pdfs/GMD-1823-99.pdf#page=4","Abrir facsímil")</f>
        <v>Abrir facsímil</v>
      </c>
      <c r="K9377" t="s">
        <v>23</v>
      </c>
    </row>
    <row r="9378" spans="1:11" ht="42" customHeight="1">
      <c r="A9378" t="s">
        <v>18531</v>
      </c>
      <c r="B9378" t="s">
        <v>18532</v>
      </c>
      <c r="C9378" t="s">
        <v>17</v>
      </c>
      <c r="D9378" t="s">
        <v>18</v>
      </c>
      <c r="E9378" s="6">
        <v>-28065</v>
      </c>
      <c r="F9378" t="s">
        <v>686</v>
      </c>
      <c r="G9378" t="s">
        <v>48</v>
      </c>
      <c r="H9378" t="s">
        <v>21</v>
      </c>
      <c r="I9378" t="s">
        <v>18533</v>
      </c>
      <c r="J9378" t="str">
        <f>HYPERLINK("https://www.boe.es/gazeta/dias/1823/02/27/pdfs/GMD-1823-61.pdf#page=3","Abrir facsímil")</f>
        <v>Abrir facsímil</v>
      </c>
      <c r="K9378" t="s">
        <v>23</v>
      </c>
    </row>
    <row r="9379" spans="1:11" ht="42" customHeight="1">
      <c r="A9379" t="s">
        <v>18531</v>
      </c>
      <c r="B9379" t="s">
        <v>18532</v>
      </c>
      <c r="C9379" t="s">
        <v>17</v>
      </c>
      <c r="D9379" t="s">
        <v>18</v>
      </c>
      <c r="E9379" s="6">
        <v>-28061</v>
      </c>
      <c r="F9379" t="s">
        <v>704</v>
      </c>
      <c r="G9379" t="s">
        <v>59</v>
      </c>
      <c r="H9379" t="s">
        <v>21</v>
      </c>
      <c r="I9379" t="s">
        <v>18534</v>
      </c>
      <c r="J9379" t="str">
        <f>HYPERLINK("https://www.boe.es/gazeta/dias/1823/03/03/pdfs/GMD-1823-66.pdf#page=6","Abrir facsímil")</f>
        <v>Abrir facsímil</v>
      </c>
      <c r="K9379" t="s">
        <v>23</v>
      </c>
    </row>
    <row r="9380" spans="1:11" ht="42" customHeight="1">
      <c r="A9380" t="s">
        <v>18535</v>
      </c>
      <c r="B9380" t="s">
        <v>18536</v>
      </c>
      <c r="C9380" t="s">
        <v>325</v>
      </c>
      <c r="D9380" t="s">
        <v>74</v>
      </c>
      <c r="E9380" s="6">
        <v>-28055</v>
      </c>
      <c r="F9380" t="s">
        <v>313</v>
      </c>
      <c r="G9380" t="s">
        <v>20</v>
      </c>
      <c r="H9380" t="s">
        <v>21</v>
      </c>
      <c r="I9380" t="s">
        <v>18537</v>
      </c>
      <c r="J9380" t="str">
        <f>HYPERLINK("https://www.boe.es/gazeta/dias/1823/03/09/pdfs/GMD-1823-72.pdf#page=4","Abrir facsímil")</f>
        <v>Abrir facsímil</v>
      </c>
      <c r="K9380" t="s">
        <v>23</v>
      </c>
    </row>
    <row r="9381" spans="1:11" ht="42" customHeight="1">
      <c r="A9381" t="s">
        <v>18538</v>
      </c>
      <c r="B9381" t="s">
        <v>18539</v>
      </c>
      <c r="C9381" t="s">
        <v>17</v>
      </c>
      <c r="D9381" t="s">
        <v>18</v>
      </c>
      <c r="E9381" s="6">
        <v>-28086</v>
      </c>
      <c r="F9381" t="s">
        <v>289</v>
      </c>
      <c r="G9381" t="s">
        <v>20</v>
      </c>
      <c r="H9381" t="s">
        <v>21</v>
      </c>
      <c r="I9381" t="s">
        <v>18540</v>
      </c>
      <c r="J9381" t="str">
        <f>HYPERLINK("https://www.boe.es/gazeta/dias/1823/02/06/pdfs/GMD-1823-39.pdf#page=4","Abrir facsímil")</f>
        <v>Abrir facsímil</v>
      </c>
      <c r="K9381" t="s">
        <v>23</v>
      </c>
    </row>
    <row r="9382" spans="1:11" ht="42" customHeight="1">
      <c r="A9382" t="s">
        <v>18541</v>
      </c>
      <c r="B9382" t="s">
        <v>18542</v>
      </c>
      <c r="C9382" t="s">
        <v>79</v>
      </c>
      <c r="D9382" t="s">
        <v>74</v>
      </c>
      <c r="E9382" s="6">
        <v>-27787</v>
      </c>
      <c r="F9382" t="s">
        <v>865</v>
      </c>
      <c r="G9382" t="s">
        <v>39</v>
      </c>
      <c r="H9382" t="s">
        <v>28</v>
      </c>
      <c r="I9382" t="s">
        <v>18543</v>
      </c>
      <c r="J9382" t="str">
        <f>HYPERLINK("https://www.boe.es/gazeta/dias/1823/12/02/pdfs/GMD-1823-1193.pdf#page=1","Abrir facsímil")</f>
        <v>Abrir facsímil</v>
      </c>
      <c r="K9382" t="s">
        <v>30</v>
      </c>
    </row>
    <row r="9383" spans="1:11" ht="42" customHeight="1">
      <c r="A9383" t="s">
        <v>18544</v>
      </c>
      <c r="B9383" t="s">
        <v>18545</v>
      </c>
      <c r="C9383" t="s">
        <v>17</v>
      </c>
      <c r="D9383" t="s">
        <v>18</v>
      </c>
      <c r="E9383" s="6">
        <v>-27808</v>
      </c>
      <c r="F9383" t="s">
        <v>1602</v>
      </c>
      <c r="G9383" t="s">
        <v>20</v>
      </c>
      <c r="H9383" t="s">
        <v>21</v>
      </c>
      <c r="I9383" t="s">
        <v>18546</v>
      </c>
      <c r="J9383" t="str">
        <f>HYPERLINK("https://www.boe.es/gazeta/dias/1823/11/11/pdfs/GMD-1823-1103.pdf#page=4","Abrir facsímil")</f>
        <v>Abrir facsímil</v>
      </c>
      <c r="K9383" t="s">
        <v>23</v>
      </c>
    </row>
    <row r="9384" spans="1:11" ht="42" customHeight="1">
      <c r="A9384" t="s">
        <v>18547</v>
      </c>
      <c r="B9384" t="s">
        <v>18548</v>
      </c>
      <c r="C9384" t="s">
        <v>325</v>
      </c>
      <c r="D9384" t="s">
        <v>74</v>
      </c>
      <c r="E9384" s="6">
        <v>-28110</v>
      </c>
      <c r="F9384" t="s">
        <v>249</v>
      </c>
      <c r="G9384" t="s">
        <v>20</v>
      </c>
      <c r="H9384" t="s">
        <v>21</v>
      </c>
      <c r="I9384" t="s">
        <v>18549</v>
      </c>
      <c r="J9384" t="str">
        <f>HYPERLINK("https://www.boe.es/gazeta/dias/1823/01/13/pdfs/GMD-1823-13.pdf#page=4","Abrir facsímil")</f>
        <v>Abrir facsímil</v>
      </c>
      <c r="K9384" t="s">
        <v>23</v>
      </c>
    </row>
    <row r="9385" spans="1:11" ht="42" customHeight="1">
      <c r="A9385" t="s">
        <v>18550</v>
      </c>
      <c r="B9385" t="s">
        <v>18551</v>
      </c>
      <c r="C9385" t="s">
        <v>17</v>
      </c>
      <c r="D9385" t="s">
        <v>18</v>
      </c>
      <c r="E9385" s="6">
        <v>-28028</v>
      </c>
      <c r="F9385" t="s">
        <v>893</v>
      </c>
      <c r="G9385" t="s">
        <v>20</v>
      </c>
      <c r="H9385" t="s">
        <v>21</v>
      </c>
      <c r="I9385" t="s">
        <v>18552</v>
      </c>
      <c r="J9385" t="str">
        <f>HYPERLINK("https://www.boe.es/gazeta/dias/1823/04/05/pdfs/GMD-1823-99.pdf#page=4","Abrir facsímil")</f>
        <v>Abrir facsímil</v>
      </c>
      <c r="K9385" t="s">
        <v>23</v>
      </c>
    </row>
    <row r="9386" spans="1:11" ht="42" customHeight="1">
      <c r="A9386" t="s">
        <v>18553</v>
      </c>
      <c r="B9386" t="s">
        <v>18554</v>
      </c>
      <c r="C9386" t="s">
        <v>17</v>
      </c>
      <c r="D9386" t="s">
        <v>18</v>
      </c>
      <c r="E9386" s="6">
        <v>-27982</v>
      </c>
      <c r="F9386" t="s">
        <v>340</v>
      </c>
      <c r="G9386" t="s">
        <v>59</v>
      </c>
      <c r="H9386" t="s">
        <v>21</v>
      </c>
      <c r="I9386" t="s">
        <v>18555</v>
      </c>
      <c r="J9386" t="str">
        <f>HYPERLINK("https://www.boe.es/gazeta/dias/1823/05/21/pdfs/GES-1823-42.pdf#page=6","Abrir facsímil")</f>
        <v>Abrir facsímil</v>
      </c>
      <c r="K9386" t="s">
        <v>23</v>
      </c>
    </row>
    <row r="9387" spans="1:11" ht="42" customHeight="1">
      <c r="A9387" t="s">
        <v>18556</v>
      </c>
      <c r="B9387" t="s">
        <v>18557</v>
      </c>
      <c r="C9387" t="s">
        <v>17</v>
      </c>
      <c r="D9387" t="s">
        <v>18</v>
      </c>
      <c r="E9387" s="6">
        <v>-28004</v>
      </c>
      <c r="F9387" t="s">
        <v>313</v>
      </c>
      <c r="G9387" t="s">
        <v>27</v>
      </c>
      <c r="H9387" t="s">
        <v>21</v>
      </c>
      <c r="I9387" t="s">
        <v>18558</v>
      </c>
      <c r="J9387" t="str">
        <f>HYPERLINK("https://www.boe.es/gazeta/dias/1823/04/29/pdfs/GMD-1823-72.pdf#page=2","Abrir facsímil")</f>
        <v>Abrir facsímil</v>
      </c>
      <c r="K9387" t="s">
        <v>23</v>
      </c>
    </row>
    <row r="9388" spans="1:11" ht="42" customHeight="1">
      <c r="A9388" t="s">
        <v>18559</v>
      </c>
      <c r="B9388" t="s">
        <v>18559</v>
      </c>
      <c r="C9388" t="s">
        <v>56</v>
      </c>
      <c r="D9388" t="s">
        <v>57</v>
      </c>
      <c r="E9388" s="6">
        <v>-28060</v>
      </c>
      <c r="F9388" t="s">
        <v>180</v>
      </c>
      <c r="G9388" t="s">
        <v>27</v>
      </c>
      <c r="H9388" t="s">
        <v>21</v>
      </c>
      <c r="I9388" t="s">
        <v>18560</v>
      </c>
      <c r="J9388" t="str">
        <f>HYPERLINK("https://www.boe.es/gazeta/dias/1823/03/04/pdfs/GMD-1823-67.pdf#page=2","Abrir facsímil")</f>
        <v>Abrir facsímil</v>
      </c>
      <c r="K9388" t="s">
        <v>23</v>
      </c>
    </row>
    <row r="9389" spans="1:11" ht="42" customHeight="1">
      <c r="A9389" t="s">
        <v>18561</v>
      </c>
      <c r="B9389" t="s">
        <v>18562</v>
      </c>
      <c r="C9389" t="s">
        <v>79</v>
      </c>
      <c r="D9389" t="s">
        <v>74</v>
      </c>
      <c r="E9389" s="6">
        <v>-28077</v>
      </c>
      <c r="F9389" t="s">
        <v>536</v>
      </c>
      <c r="G9389" t="s">
        <v>59</v>
      </c>
      <c r="H9389" t="s">
        <v>21</v>
      </c>
      <c r="I9389" t="s">
        <v>18563</v>
      </c>
      <c r="J9389" t="str">
        <f>HYPERLINK("https://www.boe.es/gazeta/dias/1823/02/15/pdfs/GMD-1823-49.pdf#page=6","Abrir facsímil")</f>
        <v>Abrir facsímil</v>
      </c>
      <c r="K9389" t="s">
        <v>23</v>
      </c>
    </row>
    <row r="9390" spans="1:11" ht="42" customHeight="1">
      <c r="A9390" t="s">
        <v>18564</v>
      </c>
      <c r="B9390" t="s">
        <v>18565</v>
      </c>
      <c r="C9390" t="s">
        <v>17</v>
      </c>
      <c r="D9390" t="s">
        <v>18</v>
      </c>
      <c r="E9390" s="6">
        <v>-27832</v>
      </c>
      <c r="F9390" t="s">
        <v>1815</v>
      </c>
      <c r="G9390" t="s">
        <v>27</v>
      </c>
      <c r="H9390" t="s">
        <v>21</v>
      </c>
      <c r="I9390" t="s">
        <v>18566</v>
      </c>
      <c r="J9390" t="str">
        <f>HYPERLINK("https://www.boe.es/gazeta/dias/1823/10/18/pdfs/GMD-1823-993.pdf#page=2","Abrir facsímil")</f>
        <v>Abrir facsímil</v>
      </c>
      <c r="K9390" t="s">
        <v>23</v>
      </c>
    </row>
    <row r="9391" spans="1:11" ht="42" customHeight="1">
      <c r="A9391" t="s">
        <v>18567</v>
      </c>
      <c r="B9391" t="s">
        <v>18568</v>
      </c>
      <c r="C9391" t="s">
        <v>17</v>
      </c>
      <c r="D9391" t="s">
        <v>18</v>
      </c>
      <c r="E9391" s="6">
        <v>-27931</v>
      </c>
      <c r="F9391" t="s">
        <v>1833</v>
      </c>
      <c r="G9391" t="s">
        <v>48</v>
      </c>
      <c r="H9391" t="s">
        <v>21</v>
      </c>
      <c r="I9391" t="s">
        <v>18569</v>
      </c>
      <c r="J9391" t="str">
        <f>HYPERLINK("https://www.boe.es/gazeta/dias/1823/07/11/pdfs/GES-1823-91.pdf#page=3","Abrir facsímil")</f>
        <v>Abrir facsímil</v>
      </c>
      <c r="K9391" t="s">
        <v>23</v>
      </c>
    </row>
    <row r="9392" spans="1:11" ht="42" customHeight="1">
      <c r="A9392" t="s">
        <v>18570</v>
      </c>
      <c r="B9392" t="s">
        <v>18570</v>
      </c>
      <c r="C9392" t="s">
        <v>109</v>
      </c>
      <c r="D9392" t="s">
        <v>74</v>
      </c>
      <c r="E9392" s="6">
        <v>-27967</v>
      </c>
      <c r="F9392" t="s">
        <v>412</v>
      </c>
      <c r="G9392" t="s">
        <v>592</v>
      </c>
      <c r="H9392" t="s">
        <v>21</v>
      </c>
      <c r="I9392" t="s">
        <v>18571</v>
      </c>
      <c r="J9392" t="str">
        <f>HYPERLINK("https://www.boe.es/gazeta/dias/1823/06/05/pdfs/GES-1823-59.pdf#page=3","Abrir facsímil")</f>
        <v>Abrir facsímil</v>
      </c>
      <c r="K9392" t="s">
        <v>23</v>
      </c>
    </row>
    <row r="9393" spans="1:11" ht="42" customHeight="1">
      <c r="A9393" t="s">
        <v>18572</v>
      </c>
      <c r="B9393" t="s">
        <v>18572</v>
      </c>
      <c r="C9393" t="s">
        <v>79</v>
      </c>
      <c r="D9393" t="s">
        <v>74</v>
      </c>
      <c r="E9393" s="6">
        <v>-28081</v>
      </c>
      <c r="F9393" t="s">
        <v>170</v>
      </c>
      <c r="G9393" t="s">
        <v>39</v>
      </c>
      <c r="H9393" t="s">
        <v>21</v>
      </c>
      <c r="I9393" t="s">
        <v>18573</v>
      </c>
      <c r="J9393" t="str">
        <f>HYPERLINK("https://www.boe.es/gazeta/dias/1823/02/11/pdfs/GMD-1823-45.pdf#page=1","Abrir facsímil")</f>
        <v>Abrir facsímil</v>
      </c>
      <c r="K9393" t="s">
        <v>23</v>
      </c>
    </row>
    <row r="9394" spans="1:11" ht="42" customHeight="1">
      <c r="A9394" t="s">
        <v>18574</v>
      </c>
      <c r="B9394" t="s">
        <v>18574</v>
      </c>
      <c r="C9394" t="s">
        <v>17</v>
      </c>
      <c r="D9394" t="s">
        <v>18</v>
      </c>
      <c r="E9394" s="6">
        <v>-28027</v>
      </c>
      <c r="F9394" t="s">
        <v>4234</v>
      </c>
      <c r="G9394" t="s">
        <v>39</v>
      </c>
      <c r="H9394" t="s">
        <v>21</v>
      </c>
      <c r="I9394" t="s">
        <v>18575</v>
      </c>
      <c r="J9394" t="str">
        <f>HYPERLINK("https://www.boe.es/gazeta/dias/1823/04/06/pdfs/GMD-1823-101.pdf#page=1","Abrir facsímil")</f>
        <v>Abrir facsímil</v>
      </c>
      <c r="K9394" t="s">
        <v>23</v>
      </c>
    </row>
    <row r="9395" spans="1:11" ht="42" customHeight="1">
      <c r="A9395" t="s">
        <v>18576</v>
      </c>
      <c r="B9395" t="s">
        <v>18577</v>
      </c>
      <c r="C9395" t="s">
        <v>79</v>
      </c>
      <c r="D9395" t="s">
        <v>74</v>
      </c>
      <c r="E9395" s="6">
        <v>-28018</v>
      </c>
      <c r="F9395" t="s">
        <v>275</v>
      </c>
      <c r="G9395" t="s">
        <v>20</v>
      </c>
      <c r="H9395" t="s">
        <v>28</v>
      </c>
      <c r="I9395" t="s">
        <v>18578</v>
      </c>
      <c r="J9395" t="str">
        <f>HYPERLINK("https://www.boe.es/gazeta/dias/1823/04/15/pdfs/GMD-1823-12.pdf#page=4","Abrir facsímil")</f>
        <v>Abrir facsímil</v>
      </c>
      <c r="K9395" t="s">
        <v>30</v>
      </c>
    </row>
    <row r="9396" spans="1:11" ht="42" customHeight="1">
      <c r="A9396" t="s">
        <v>18579</v>
      </c>
      <c r="B9396" t="s">
        <v>18580</v>
      </c>
      <c r="C9396" t="s">
        <v>17</v>
      </c>
      <c r="D9396" t="s">
        <v>18</v>
      </c>
      <c r="E9396" s="6">
        <v>-28015</v>
      </c>
      <c r="F9396" t="s">
        <v>985</v>
      </c>
      <c r="G9396" t="s">
        <v>20</v>
      </c>
      <c r="H9396" t="s">
        <v>28</v>
      </c>
      <c r="I9396" t="s">
        <v>18581</v>
      </c>
      <c r="J9396" t="str">
        <f>HYPERLINK("https://www.boe.es/gazeta/dias/1823/04/18/pdfs/GES-1823-8.pdf#page=4","Abrir facsímil")</f>
        <v>Abrir facsímil</v>
      </c>
      <c r="K9396" t="s">
        <v>30</v>
      </c>
    </row>
    <row r="9397" spans="1:11" ht="42" customHeight="1">
      <c r="A9397" t="s">
        <v>18582</v>
      </c>
      <c r="B9397" t="s">
        <v>18583</v>
      </c>
      <c r="C9397" t="s">
        <v>73</v>
      </c>
      <c r="D9397" t="s">
        <v>74</v>
      </c>
      <c r="E9397" s="6">
        <v>-28032</v>
      </c>
      <c r="F9397" t="s">
        <v>668</v>
      </c>
      <c r="G9397" t="s">
        <v>20</v>
      </c>
      <c r="H9397" t="s">
        <v>28</v>
      </c>
      <c r="I9397" t="s">
        <v>18584</v>
      </c>
      <c r="J9397" t="str">
        <f>HYPERLINK("https://www.boe.es/gazeta/dias/1823/04/01/pdfs/GMD-1823-95.pdf#page=4","Abrir facsímil")</f>
        <v>Abrir facsímil</v>
      </c>
      <c r="K9397" t="s">
        <v>30</v>
      </c>
    </row>
    <row r="9398" spans="1:11" ht="42" customHeight="1">
      <c r="A9398" t="s">
        <v>18585</v>
      </c>
      <c r="B9398" t="s">
        <v>18586</v>
      </c>
      <c r="C9398" t="s">
        <v>17</v>
      </c>
      <c r="D9398" t="s">
        <v>18</v>
      </c>
      <c r="E9398" s="6">
        <v>-28046</v>
      </c>
      <c r="F9398" t="s">
        <v>85</v>
      </c>
      <c r="G9398" t="s">
        <v>48</v>
      </c>
      <c r="H9398" t="s">
        <v>28</v>
      </c>
      <c r="I9398" t="s">
        <v>18587</v>
      </c>
      <c r="J9398" t="str">
        <f>HYPERLINK("https://www.boe.es/gazeta/dias/1823/03/18/pdfs/GMD-1823-81.pdf#page=3","Abrir facsímil")</f>
        <v>Abrir facsímil</v>
      </c>
      <c r="K9398" t="s">
        <v>30</v>
      </c>
    </row>
    <row r="9399" spans="1:11" ht="42" customHeight="1">
      <c r="A9399" t="s">
        <v>18588</v>
      </c>
      <c r="B9399" t="s">
        <v>18589</v>
      </c>
      <c r="C9399" t="s">
        <v>79</v>
      </c>
      <c r="D9399" t="s">
        <v>74</v>
      </c>
      <c r="E9399" s="6">
        <v>-27794</v>
      </c>
      <c r="F9399" t="s">
        <v>747</v>
      </c>
      <c r="G9399" t="s">
        <v>48</v>
      </c>
      <c r="H9399" t="s">
        <v>28</v>
      </c>
      <c r="I9399" t="s">
        <v>18590</v>
      </c>
      <c r="J9399" t="str">
        <f>HYPERLINK("https://www.boe.es/gazeta/dias/1823/11/25/pdfs/GMD-1823-1163.pdf#page=3","Abrir facsímil")</f>
        <v>Abrir facsímil</v>
      </c>
      <c r="K9399" t="s">
        <v>30</v>
      </c>
    </row>
    <row r="9400" spans="1:11" ht="42" customHeight="1">
      <c r="A9400" t="s">
        <v>18591</v>
      </c>
      <c r="B9400" t="s">
        <v>18592</v>
      </c>
      <c r="C9400" t="s">
        <v>79</v>
      </c>
      <c r="D9400" t="s">
        <v>74</v>
      </c>
      <c r="E9400" s="6">
        <v>-27883</v>
      </c>
      <c r="F9400" t="s">
        <v>2318</v>
      </c>
      <c r="G9400" t="s">
        <v>39</v>
      </c>
      <c r="H9400" t="s">
        <v>28</v>
      </c>
      <c r="I9400" t="s">
        <v>18593</v>
      </c>
      <c r="J9400" t="str">
        <f>HYPERLINK("https://www.boe.es/gazeta/dias/1823/08/28/pdfs/GMD-1823-663.pdf#page=1","Abrir facsímil")</f>
        <v>Abrir facsímil</v>
      </c>
      <c r="K9400" t="s">
        <v>30</v>
      </c>
    </row>
    <row r="9401" spans="1:11" ht="42" customHeight="1">
      <c r="A9401" t="s">
        <v>18594</v>
      </c>
      <c r="B9401" t="s">
        <v>18595</v>
      </c>
      <c r="C9401" t="s">
        <v>17</v>
      </c>
      <c r="D9401" t="s">
        <v>18</v>
      </c>
      <c r="E9401" s="6">
        <v>-28112</v>
      </c>
      <c r="F9401" t="s">
        <v>43</v>
      </c>
      <c r="G9401" t="s">
        <v>39</v>
      </c>
      <c r="H9401" t="s">
        <v>21</v>
      </c>
      <c r="I9401" t="s">
        <v>18596</v>
      </c>
      <c r="J9401" t="str">
        <f>HYPERLINK("https://www.boe.es/gazeta/dias/1823/01/11/pdfs/GMD-1823-11.pdf#page=1","Abrir facsímil")</f>
        <v>Abrir facsímil</v>
      </c>
      <c r="K9401" t="s">
        <v>23</v>
      </c>
    </row>
    <row r="9402" spans="1:11" ht="42" customHeight="1">
      <c r="A9402" t="s">
        <v>18597</v>
      </c>
      <c r="B9402" t="s">
        <v>18597</v>
      </c>
      <c r="C9402" t="s">
        <v>56</v>
      </c>
      <c r="D9402" t="s">
        <v>57</v>
      </c>
      <c r="E9402" s="6">
        <v>-28082</v>
      </c>
      <c r="F9402" t="s">
        <v>468</v>
      </c>
      <c r="G9402" t="s">
        <v>27</v>
      </c>
      <c r="H9402" t="s">
        <v>21</v>
      </c>
      <c r="I9402" t="s">
        <v>18598</v>
      </c>
      <c r="J9402" t="str">
        <f>HYPERLINK("https://www.boe.es/gazeta/dias/1823/02/10/pdfs/GMD-1823-44.pdf#page=2","Abrir facsímil")</f>
        <v>Abrir facsímil</v>
      </c>
      <c r="K9402" t="s">
        <v>23</v>
      </c>
    </row>
    <row r="9403" spans="1:11" ht="42" customHeight="1">
      <c r="A9403" t="s">
        <v>18599</v>
      </c>
      <c r="B9403" t="s">
        <v>18600</v>
      </c>
      <c r="C9403" t="s">
        <v>17</v>
      </c>
      <c r="D9403" t="s">
        <v>18</v>
      </c>
      <c r="E9403" s="6">
        <v>-28052</v>
      </c>
      <c r="F9403" t="s">
        <v>1025</v>
      </c>
      <c r="G9403" t="s">
        <v>1794</v>
      </c>
      <c r="H9403" t="s">
        <v>21</v>
      </c>
      <c r="I9403" t="s">
        <v>18601</v>
      </c>
      <c r="J9403" t="str">
        <f>HYPERLINK("https://www.boe.es/gazeta/dias/1823/03/12/pdfs/GMD-1823-75.pdf#page=1","Abrir facsímil")</f>
        <v>Abrir facsímil</v>
      </c>
      <c r="K9403" t="s">
        <v>23</v>
      </c>
    </row>
    <row r="9404" spans="1:11" ht="42" customHeight="1">
      <c r="A9404" t="s">
        <v>18602</v>
      </c>
      <c r="B9404" t="s">
        <v>18602</v>
      </c>
      <c r="C9404" t="s">
        <v>109</v>
      </c>
      <c r="D9404" t="s">
        <v>74</v>
      </c>
      <c r="E9404" s="6">
        <v>-27951</v>
      </c>
      <c r="F9404" t="s">
        <v>548</v>
      </c>
      <c r="G9404" t="s">
        <v>27</v>
      </c>
      <c r="H9404" t="s">
        <v>21</v>
      </c>
      <c r="I9404" t="s">
        <v>18603</v>
      </c>
      <c r="J9404" t="str">
        <f>HYPERLINK("https://www.boe.es/gazeta/dias/1823/06/21/pdfs/GES-1823-69.pdf#page=2","Abrir facsímil")</f>
        <v>Abrir facsímil</v>
      </c>
      <c r="K9404" t="s">
        <v>23</v>
      </c>
    </row>
    <row r="9405" spans="1:11" ht="42" customHeight="1">
      <c r="A9405" t="s">
        <v>18604</v>
      </c>
      <c r="B9405" t="s">
        <v>18604</v>
      </c>
      <c r="C9405" t="s">
        <v>56</v>
      </c>
      <c r="D9405" t="s">
        <v>57</v>
      </c>
      <c r="E9405" s="6">
        <v>-28111</v>
      </c>
      <c r="F9405" t="s">
        <v>275</v>
      </c>
      <c r="G9405" t="s">
        <v>39</v>
      </c>
      <c r="H9405" t="s">
        <v>21</v>
      </c>
      <c r="I9405" t="s">
        <v>18605</v>
      </c>
      <c r="J9405" t="str">
        <f>HYPERLINK("https://www.boe.es/gazeta/dias/1823/01/12/pdfs/GMD-1823-12.pdf#page=1","Abrir facsímil")</f>
        <v>Abrir facsímil</v>
      </c>
      <c r="K9405" t="s">
        <v>23</v>
      </c>
    </row>
    <row r="9406" spans="1:11" ht="42" customHeight="1">
      <c r="A9406" t="s">
        <v>18604</v>
      </c>
      <c r="B9406" t="s">
        <v>18604</v>
      </c>
      <c r="C9406" t="s">
        <v>109</v>
      </c>
      <c r="D9406" t="s">
        <v>74</v>
      </c>
      <c r="E9406" s="6">
        <v>-28111</v>
      </c>
      <c r="F9406" t="s">
        <v>275</v>
      </c>
      <c r="G9406" t="s">
        <v>27</v>
      </c>
      <c r="H9406" t="s">
        <v>21</v>
      </c>
      <c r="I9406" t="s">
        <v>18606</v>
      </c>
      <c r="J9406" t="str">
        <f>HYPERLINK("https://www.boe.es/gazeta/dias/1823/01/12/pdfs/GMD-1823-12.pdf#page=2","Abrir facsímil")</f>
        <v>Abrir facsímil</v>
      </c>
      <c r="K9406" t="s">
        <v>23</v>
      </c>
    </row>
    <row r="9407" spans="1:11" ht="42" customHeight="1">
      <c r="A9407" t="s">
        <v>18604</v>
      </c>
      <c r="B9407" t="s">
        <v>18604</v>
      </c>
      <c r="C9407" t="s">
        <v>56</v>
      </c>
      <c r="D9407" t="s">
        <v>57</v>
      </c>
      <c r="E9407" s="6">
        <v>-28057</v>
      </c>
      <c r="F9407" t="s">
        <v>301</v>
      </c>
      <c r="G9407" t="s">
        <v>20</v>
      </c>
      <c r="H9407" t="s">
        <v>21</v>
      </c>
      <c r="I9407" t="s">
        <v>18607</v>
      </c>
      <c r="J9407" t="str">
        <f>HYPERLINK("https://www.boe.es/gazeta/dias/1823/03/07/pdfs/GMD-1823-70.pdf#page=4","Abrir facsímil")</f>
        <v>Abrir facsímil</v>
      </c>
      <c r="K9407" t="s">
        <v>23</v>
      </c>
    </row>
    <row r="9408" spans="1:11" ht="42" customHeight="1">
      <c r="A9408" t="s">
        <v>18604</v>
      </c>
      <c r="B9408" t="s">
        <v>18604</v>
      </c>
      <c r="C9408" t="s">
        <v>73</v>
      </c>
      <c r="D9408" t="s">
        <v>74</v>
      </c>
      <c r="E9408" s="6">
        <v>-28003</v>
      </c>
      <c r="F9408" t="s">
        <v>26</v>
      </c>
      <c r="G9408" t="s">
        <v>20</v>
      </c>
      <c r="H9408" t="s">
        <v>21</v>
      </c>
      <c r="I9408" t="s">
        <v>18608</v>
      </c>
      <c r="J9408" t="str">
        <f>HYPERLINK("https://www.boe.es/gazeta/dias/1823/04/30/pdfs/GES-1823-20.pdf#page=4","Abrir facsímil")</f>
        <v>Abrir facsímil</v>
      </c>
      <c r="K9408" t="s">
        <v>23</v>
      </c>
    </row>
    <row r="9409" spans="1:11" ht="42" customHeight="1">
      <c r="A9409" t="s">
        <v>18604</v>
      </c>
      <c r="B9409" t="s">
        <v>18604</v>
      </c>
      <c r="C9409" t="s">
        <v>17</v>
      </c>
      <c r="D9409" t="s">
        <v>18</v>
      </c>
      <c r="E9409" s="6">
        <v>-28003</v>
      </c>
      <c r="F9409" t="s">
        <v>26</v>
      </c>
      <c r="G9409" t="s">
        <v>34</v>
      </c>
      <c r="H9409" t="s">
        <v>21</v>
      </c>
      <c r="I9409" t="s">
        <v>18609</v>
      </c>
      <c r="J9409" t="str">
        <f>HYPERLINK("https://www.boe.es/gazeta/dias/1823/04/30/pdfs/GES-1823-20.pdf#page=5","Abrir facsímil")</f>
        <v>Abrir facsímil</v>
      </c>
      <c r="K9409" t="s">
        <v>23</v>
      </c>
    </row>
    <row r="9410" spans="1:11" ht="42" customHeight="1">
      <c r="A9410" t="s">
        <v>18604</v>
      </c>
      <c r="B9410" t="s">
        <v>18604</v>
      </c>
      <c r="C9410" t="s">
        <v>109</v>
      </c>
      <c r="D9410" t="s">
        <v>74</v>
      </c>
      <c r="E9410" s="6">
        <v>-27995</v>
      </c>
      <c r="F9410" t="s">
        <v>320</v>
      </c>
      <c r="G9410" t="s">
        <v>39</v>
      </c>
      <c r="H9410" t="s">
        <v>21</v>
      </c>
      <c r="I9410" t="s">
        <v>18610</v>
      </c>
      <c r="J9410" t="str">
        <f>HYPERLINK("https://www.boe.es/gazeta/dias/1823/05/08/pdfs/GES-1823-28.pdf#page=1","Abrir facsímil")</f>
        <v>Abrir facsímil</v>
      </c>
      <c r="K9410" t="s">
        <v>23</v>
      </c>
    </row>
    <row r="9411" spans="1:11" ht="42" customHeight="1">
      <c r="A9411" t="s">
        <v>18604</v>
      </c>
      <c r="B9411" t="s">
        <v>18604</v>
      </c>
      <c r="C9411" t="s">
        <v>79</v>
      </c>
      <c r="D9411" t="s">
        <v>74</v>
      </c>
      <c r="E9411" s="6">
        <v>-27985</v>
      </c>
      <c r="F9411" t="s">
        <v>951</v>
      </c>
      <c r="G9411" t="s">
        <v>48</v>
      </c>
      <c r="H9411" t="s">
        <v>21</v>
      </c>
      <c r="I9411" t="s">
        <v>18611</v>
      </c>
      <c r="J9411" t="str">
        <f>HYPERLINK("https://www.boe.es/gazeta/dias/1823/05/18/pdfs/GES-1823-38.pdf#page=3","Abrir facsímil")</f>
        <v>Abrir facsímil</v>
      </c>
      <c r="K9411" t="s">
        <v>23</v>
      </c>
    </row>
    <row r="9412" spans="1:11" ht="42" customHeight="1">
      <c r="A9412" t="s">
        <v>18604</v>
      </c>
      <c r="B9412" t="s">
        <v>18604</v>
      </c>
      <c r="C9412" t="s">
        <v>56</v>
      </c>
      <c r="D9412" t="s">
        <v>57</v>
      </c>
      <c r="E9412" s="6">
        <v>-27972</v>
      </c>
      <c r="F9412" t="s">
        <v>429</v>
      </c>
      <c r="G9412" t="s">
        <v>48</v>
      </c>
      <c r="H9412" t="s">
        <v>21</v>
      </c>
      <c r="I9412" t="s">
        <v>18612</v>
      </c>
      <c r="J9412" t="str">
        <f>HYPERLINK("https://www.boe.es/gazeta/dias/1823/05/31/pdfs/GES-1823-54.pdf#page=3","Abrir facsímil")</f>
        <v>Abrir facsímil</v>
      </c>
      <c r="K9412" t="s">
        <v>23</v>
      </c>
    </row>
    <row r="9413" spans="1:11" ht="42" customHeight="1">
      <c r="A9413" t="s">
        <v>18604</v>
      </c>
      <c r="B9413" t="s">
        <v>18604</v>
      </c>
      <c r="C9413" t="s">
        <v>109</v>
      </c>
      <c r="D9413" t="s">
        <v>74</v>
      </c>
      <c r="E9413" s="6">
        <v>-27944</v>
      </c>
      <c r="F9413" t="s">
        <v>2823</v>
      </c>
      <c r="G9413" t="s">
        <v>48</v>
      </c>
      <c r="H9413" t="s">
        <v>21</v>
      </c>
      <c r="I9413" t="s">
        <v>18613</v>
      </c>
      <c r="J9413" t="str">
        <f>HYPERLINK("https://www.boe.es/gazeta/dias/1823/06/28/pdfs/GES-1823-78.pdf#page=3","Abrir facsímil")</f>
        <v>Abrir facsímil</v>
      </c>
      <c r="K9413" t="s">
        <v>23</v>
      </c>
    </row>
    <row r="9414" spans="1:11" ht="42" customHeight="1">
      <c r="A9414" t="s">
        <v>18604</v>
      </c>
      <c r="B9414" t="s">
        <v>18604</v>
      </c>
      <c r="C9414" t="s">
        <v>109</v>
      </c>
      <c r="D9414" t="s">
        <v>74</v>
      </c>
      <c r="E9414" s="6">
        <v>-27929</v>
      </c>
      <c r="F9414" t="s">
        <v>598</v>
      </c>
      <c r="G9414" t="s">
        <v>27</v>
      </c>
      <c r="H9414" t="s">
        <v>21</v>
      </c>
      <c r="I9414" t="s">
        <v>18614</v>
      </c>
      <c r="J9414" t="str">
        <f>HYPERLINK("https://www.boe.es/gazeta/dias/1823/07/13/pdfs/GES-1823-93.pdf#page=2","Abrir facsímil")</f>
        <v>Abrir facsímil</v>
      </c>
      <c r="K9414" t="s">
        <v>23</v>
      </c>
    </row>
    <row r="9415" spans="1:11" ht="42" customHeight="1">
      <c r="A9415" t="s">
        <v>18604</v>
      </c>
      <c r="B9415" t="s">
        <v>18604</v>
      </c>
      <c r="C9415" t="s">
        <v>109</v>
      </c>
      <c r="D9415" t="s">
        <v>74</v>
      </c>
      <c r="E9415" s="6">
        <v>-27872</v>
      </c>
      <c r="F9415" t="s">
        <v>374</v>
      </c>
      <c r="G9415" t="s">
        <v>39</v>
      </c>
      <c r="H9415" t="s">
        <v>21</v>
      </c>
      <c r="I9415" t="s">
        <v>18615</v>
      </c>
      <c r="J9415" t="str">
        <f>HYPERLINK("https://www.boe.es/gazeta/dias/1823/09/08/pdfs/GES-1823-152.pdf#page=1","Abrir facsímil")</f>
        <v>Abrir facsímil</v>
      </c>
      <c r="K9415" t="s">
        <v>23</v>
      </c>
    </row>
    <row r="9416" spans="1:11" ht="42" customHeight="1">
      <c r="A9416" t="s">
        <v>18604</v>
      </c>
      <c r="B9416" t="s">
        <v>18604</v>
      </c>
      <c r="C9416" t="s">
        <v>17</v>
      </c>
      <c r="D9416" t="s">
        <v>18</v>
      </c>
      <c r="E9416" s="6">
        <v>-27855</v>
      </c>
      <c r="F9416" t="s">
        <v>380</v>
      </c>
      <c r="G9416" t="s">
        <v>27</v>
      </c>
      <c r="H9416" t="s">
        <v>21</v>
      </c>
      <c r="I9416" t="s">
        <v>18616</v>
      </c>
      <c r="J9416" t="str">
        <f>HYPERLINK("https://www.boe.es/gazeta/dias/1823/09/25/pdfs/GMD-1823-853.pdf#page=2","Abrir facsímil")</f>
        <v>Abrir facsímil</v>
      </c>
      <c r="K9416" t="s">
        <v>23</v>
      </c>
    </row>
    <row r="9417" spans="1:11" ht="42" customHeight="1">
      <c r="A9417" t="s">
        <v>18617</v>
      </c>
      <c r="B9417" t="s">
        <v>18618</v>
      </c>
      <c r="C9417" t="s">
        <v>17</v>
      </c>
      <c r="D9417" t="s">
        <v>18</v>
      </c>
      <c r="E9417" s="6">
        <v>-27944</v>
      </c>
      <c r="F9417" t="s">
        <v>658</v>
      </c>
      <c r="G9417" t="s">
        <v>59</v>
      </c>
      <c r="H9417" t="s">
        <v>21</v>
      </c>
      <c r="I9417" t="s">
        <v>18619</v>
      </c>
      <c r="J9417" t="str">
        <f>HYPERLINK("https://www.boe.es/gazeta/dias/1823/06/28/pdfs/GMD-1823-303.pdf#page=6","Abrir facsímil")</f>
        <v>Abrir facsímil</v>
      </c>
      <c r="K9417" t="s">
        <v>23</v>
      </c>
    </row>
    <row r="9418" spans="1:11" ht="42" customHeight="1">
      <c r="A9418" t="s">
        <v>18620</v>
      </c>
      <c r="B9418" t="s">
        <v>18620</v>
      </c>
      <c r="C9418" t="s">
        <v>73</v>
      </c>
      <c r="D9418" t="s">
        <v>74</v>
      </c>
      <c r="E9418" s="6">
        <v>-28117</v>
      </c>
      <c r="F9418" t="s">
        <v>271</v>
      </c>
      <c r="G9418" t="s">
        <v>48</v>
      </c>
      <c r="H9418" t="s">
        <v>21</v>
      </c>
      <c r="I9418" t="s">
        <v>18621</v>
      </c>
      <c r="J9418" t="str">
        <f>HYPERLINK("https://www.boe.es/gazeta/dias/1823/01/06/pdfs/GMD-1823-6.pdf#page=3","Abrir facsímil")</f>
        <v>Abrir facsímil</v>
      </c>
      <c r="K9418" t="s">
        <v>23</v>
      </c>
    </row>
    <row r="9419" spans="1:11" ht="42" customHeight="1">
      <c r="A9419" t="s">
        <v>18622</v>
      </c>
      <c r="B9419" t="s">
        <v>18622</v>
      </c>
      <c r="C9419" t="s">
        <v>293</v>
      </c>
      <c r="D9419" t="s">
        <v>74</v>
      </c>
      <c r="E9419" s="6">
        <v>-28117</v>
      </c>
      <c r="F9419" t="s">
        <v>271</v>
      </c>
      <c r="G9419" t="s">
        <v>48</v>
      </c>
      <c r="H9419" t="s">
        <v>21</v>
      </c>
      <c r="I9419" t="s">
        <v>18623</v>
      </c>
      <c r="J9419" t="str">
        <f>HYPERLINK("https://www.boe.es/gazeta/dias/1823/01/06/pdfs/GMD-1823-6.pdf#page=3","Abrir facsímil")</f>
        <v>Abrir facsímil</v>
      </c>
      <c r="K9419" t="s">
        <v>23</v>
      </c>
    </row>
    <row r="9420" spans="1:11" ht="42" customHeight="1">
      <c r="A9420" t="s">
        <v>18624</v>
      </c>
      <c r="B9420" t="s">
        <v>18624</v>
      </c>
      <c r="C9420" t="s">
        <v>56</v>
      </c>
      <c r="D9420" t="s">
        <v>57</v>
      </c>
      <c r="E9420" s="6">
        <v>-28028</v>
      </c>
      <c r="F9420" t="s">
        <v>893</v>
      </c>
      <c r="G9420" t="s">
        <v>39</v>
      </c>
      <c r="H9420" t="s">
        <v>21</v>
      </c>
      <c r="I9420" t="s">
        <v>18625</v>
      </c>
      <c r="J9420" t="str">
        <f>HYPERLINK("https://www.boe.es/gazeta/dias/1823/04/05/pdfs/GMD-1823-99.pdf#page=1","Abrir facsímil")</f>
        <v>Abrir facsímil</v>
      </c>
      <c r="K9420" t="s">
        <v>23</v>
      </c>
    </row>
    <row r="9421" spans="1:11" ht="42" customHeight="1">
      <c r="A9421" t="s">
        <v>18624</v>
      </c>
      <c r="B9421" t="s">
        <v>18624</v>
      </c>
      <c r="C9421" t="s">
        <v>73</v>
      </c>
      <c r="D9421" t="s">
        <v>74</v>
      </c>
      <c r="E9421" s="6">
        <v>-27958</v>
      </c>
      <c r="F9421" t="s">
        <v>2203</v>
      </c>
      <c r="G9421" t="s">
        <v>39</v>
      </c>
      <c r="H9421" t="s">
        <v>21</v>
      </c>
      <c r="I9421" t="s">
        <v>18626</v>
      </c>
      <c r="J9421" t="str">
        <f>HYPERLINK("https://www.boe.es/gazeta/dias/1823/06/14/pdfs/GMD-1823-153.pdf#page=1","Abrir facsímil")</f>
        <v>Abrir facsímil</v>
      </c>
      <c r="K9421" t="s">
        <v>23</v>
      </c>
    </row>
    <row r="9422" spans="1:11" ht="42" customHeight="1">
      <c r="A9422" t="s">
        <v>18624</v>
      </c>
      <c r="B9422" t="s">
        <v>18624</v>
      </c>
      <c r="C9422" t="s">
        <v>56</v>
      </c>
      <c r="D9422" t="s">
        <v>57</v>
      </c>
      <c r="E9422" s="6">
        <v>-27832</v>
      </c>
      <c r="F9422" t="s">
        <v>1815</v>
      </c>
      <c r="G9422" t="s">
        <v>39</v>
      </c>
      <c r="H9422" t="s">
        <v>21</v>
      </c>
      <c r="I9422" t="s">
        <v>18627</v>
      </c>
      <c r="J9422" t="str">
        <f>HYPERLINK("https://www.boe.es/gazeta/dias/1823/10/18/pdfs/GMD-1823-993.pdf#page=1","Abrir facsímil")</f>
        <v>Abrir facsímil</v>
      </c>
      <c r="K9422" t="s">
        <v>23</v>
      </c>
    </row>
    <row r="9423" spans="1:11" ht="42" customHeight="1">
      <c r="A9423" t="s">
        <v>18628</v>
      </c>
      <c r="B9423" t="s">
        <v>18628</v>
      </c>
      <c r="C9423" t="s">
        <v>17</v>
      </c>
      <c r="D9423" t="s">
        <v>18</v>
      </c>
      <c r="E9423" s="6">
        <v>-28105</v>
      </c>
      <c r="F9423" t="s">
        <v>502</v>
      </c>
      <c r="G9423" t="s">
        <v>39</v>
      </c>
      <c r="H9423" t="s">
        <v>21</v>
      </c>
      <c r="I9423" t="s">
        <v>18629</v>
      </c>
      <c r="J9423" t="str">
        <f>HYPERLINK("https://www.boe.es/gazeta/dias/1823/01/18/pdfs/GMD-1823-18.pdf#page=1","Abrir facsímil")</f>
        <v>Abrir facsímil</v>
      </c>
      <c r="K9423" t="s">
        <v>23</v>
      </c>
    </row>
    <row r="9424" spans="1:11" ht="42" customHeight="1">
      <c r="A9424" t="s">
        <v>18630</v>
      </c>
      <c r="B9424" t="s">
        <v>18630</v>
      </c>
      <c r="C9424" t="s">
        <v>79</v>
      </c>
      <c r="D9424" t="s">
        <v>74</v>
      </c>
      <c r="E9424" s="6">
        <v>-27762</v>
      </c>
      <c r="F9424" t="s">
        <v>1614</v>
      </c>
      <c r="G9424" t="s">
        <v>27</v>
      </c>
      <c r="H9424" t="s">
        <v>21</v>
      </c>
      <c r="I9424" t="s">
        <v>18631</v>
      </c>
      <c r="J9424" t="str">
        <f>HYPERLINK("https://www.boe.es/gazeta/dias/1823/12/27/pdfs/GMD-1823-1303.pdf#page=2","Abrir facsímil")</f>
        <v>Abrir facsímil</v>
      </c>
      <c r="K9424" t="s">
        <v>23</v>
      </c>
    </row>
    <row r="9425" spans="1:11" ht="42" customHeight="1">
      <c r="A9425" t="s">
        <v>18632</v>
      </c>
      <c r="B9425" t="s">
        <v>18633</v>
      </c>
      <c r="C9425" t="s">
        <v>17</v>
      </c>
      <c r="D9425" t="s">
        <v>18</v>
      </c>
      <c r="E9425" s="6">
        <v>-27839</v>
      </c>
      <c r="F9425" t="s">
        <v>263</v>
      </c>
      <c r="G9425" t="s">
        <v>39</v>
      </c>
      <c r="H9425" t="s">
        <v>21</v>
      </c>
      <c r="I9425" t="s">
        <v>18634</v>
      </c>
      <c r="J9425" t="str">
        <f>HYPERLINK("https://www.boe.es/gazeta/dias/1823/10/11/pdfs/GMD-1823-963.pdf#page=1","Abrir facsímil")</f>
        <v>Abrir facsímil</v>
      </c>
      <c r="K9425" t="s">
        <v>23</v>
      </c>
    </row>
    <row r="9426" spans="1:11" ht="42" customHeight="1">
      <c r="A9426" t="s">
        <v>18635</v>
      </c>
      <c r="B9426" t="s">
        <v>18636</v>
      </c>
      <c r="C9426" t="s">
        <v>79</v>
      </c>
      <c r="D9426" t="s">
        <v>74</v>
      </c>
      <c r="E9426" s="6">
        <v>-28064</v>
      </c>
      <c r="F9426" t="s">
        <v>1190</v>
      </c>
      <c r="G9426" t="s">
        <v>20</v>
      </c>
      <c r="H9426" t="s">
        <v>21</v>
      </c>
      <c r="I9426" t="s">
        <v>18637</v>
      </c>
      <c r="J9426" t="str">
        <f>HYPERLINK("https://www.boe.es/gazeta/dias/1823/02/28/pdfs/GMD-1823-62.pdf#page=4","Abrir facsímil")</f>
        <v>Abrir facsímil</v>
      </c>
      <c r="K9426" t="s">
        <v>23</v>
      </c>
    </row>
    <row r="9427" spans="1:11" ht="42" customHeight="1">
      <c r="A9427" t="s">
        <v>18638</v>
      </c>
      <c r="B9427" t="s">
        <v>18638</v>
      </c>
      <c r="C9427" t="s">
        <v>56</v>
      </c>
      <c r="D9427" t="s">
        <v>57</v>
      </c>
      <c r="E9427" s="6">
        <v>-27916</v>
      </c>
      <c r="F9427" t="s">
        <v>772</v>
      </c>
      <c r="G9427" t="s">
        <v>27</v>
      </c>
      <c r="H9427" t="s">
        <v>21</v>
      </c>
      <c r="I9427" t="s">
        <v>18639</v>
      </c>
      <c r="J9427" t="str">
        <f>HYPERLINK("https://www.boe.es/gazeta/dias/1823/07/26/pdfs/GES-1823-107.pdf#page=2","Abrir facsímil")</f>
        <v>Abrir facsímil</v>
      </c>
      <c r="K9427" t="s">
        <v>23</v>
      </c>
    </row>
    <row r="9428" spans="1:11" ht="42" customHeight="1">
      <c r="A9428" t="s">
        <v>18640</v>
      </c>
      <c r="B9428" t="s">
        <v>18641</v>
      </c>
      <c r="C9428" t="s">
        <v>56</v>
      </c>
      <c r="D9428" t="s">
        <v>57</v>
      </c>
      <c r="E9428" s="6">
        <v>-27891</v>
      </c>
      <c r="F9428" t="s">
        <v>825</v>
      </c>
      <c r="G9428" t="s">
        <v>48</v>
      </c>
      <c r="H9428" t="s">
        <v>21</v>
      </c>
      <c r="I9428" t="s">
        <v>18642</v>
      </c>
      <c r="J9428" t="str">
        <f>HYPERLINK("https://www.boe.es/gazeta/dias/1823/08/20/pdfs/GES-1823-133.pdf#page=3","Abrir facsímil")</f>
        <v>Abrir facsímil</v>
      </c>
      <c r="K9428" t="s">
        <v>23</v>
      </c>
    </row>
    <row r="9429" spans="1:11" ht="42" customHeight="1">
      <c r="A9429" t="s">
        <v>18640</v>
      </c>
      <c r="B9429" t="s">
        <v>18641</v>
      </c>
      <c r="C9429" t="s">
        <v>56</v>
      </c>
      <c r="D9429" t="s">
        <v>57</v>
      </c>
      <c r="E9429" s="6">
        <v>-27871</v>
      </c>
      <c r="F9429" t="s">
        <v>1330</v>
      </c>
      <c r="G9429" t="s">
        <v>20</v>
      </c>
      <c r="H9429" t="s">
        <v>21</v>
      </c>
      <c r="I9429" t="s">
        <v>18643</v>
      </c>
      <c r="J9429" t="str">
        <f>HYPERLINK("https://www.boe.es/gazeta/dias/1823/09/09/pdfs/GMD-1823-733.pdf#page=4","Abrir facsímil")</f>
        <v>Abrir facsímil</v>
      </c>
      <c r="K9429" t="s">
        <v>23</v>
      </c>
    </row>
    <row r="9430" spans="1:11" ht="42" customHeight="1">
      <c r="A9430" t="s">
        <v>18640</v>
      </c>
      <c r="B9430" t="s">
        <v>18641</v>
      </c>
      <c r="C9430" t="s">
        <v>56</v>
      </c>
      <c r="D9430" t="s">
        <v>117</v>
      </c>
      <c r="E9430" s="6">
        <v>-27849</v>
      </c>
      <c r="F9430" t="s">
        <v>7082</v>
      </c>
      <c r="G9430" t="s">
        <v>39</v>
      </c>
      <c r="H9430" t="s">
        <v>21</v>
      </c>
      <c r="I9430" t="s">
        <v>18644</v>
      </c>
      <c r="J9430" t="str">
        <f>HYPERLINK("https://www.boe.es/gazeta/dias/1823/10/01/pdfs/GMD-1823-883E.pdf#page=1","Abrir facsímil")</f>
        <v>Abrir facsímil</v>
      </c>
      <c r="K9430" t="s">
        <v>23</v>
      </c>
    </row>
    <row r="9431" spans="1:11" ht="42" customHeight="1">
      <c r="A9431" t="s">
        <v>18640</v>
      </c>
      <c r="B9431" t="s">
        <v>18641</v>
      </c>
      <c r="C9431" t="s">
        <v>56</v>
      </c>
      <c r="D9431" t="s">
        <v>117</v>
      </c>
      <c r="E9431" s="6">
        <v>-27845</v>
      </c>
      <c r="F9431" t="s">
        <v>1590</v>
      </c>
      <c r="G9431" t="s">
        <v>39</v>
      </c>
      <c r="H9431" t="s">
        <v>21</v>
      </c>
      <c r="I9431" t="s">
        <v>18645</v>
      </c>
      <c r="J9431" t="str">
        <f>HYPERLINK("https://www.boe.es/gazeta/dias/1823/10/05/pdfs/GMD-1823-923E.pdf#page=1","Abrir facsímil")</f>
        <v>Abrir facsímil</v>
      </c>
      <c r="K9431" t="s">
        <v>23</v>
      </c>
    </row>
    <row r="9432" spans="1:11" ht="42" customHeight="1">
      <c r="A9432" t="s">
        <v>18646</v>
      </c>
      <c r="B9432" t="s">
        <v>18647</v>
      </c>
      <c r="C9432" t="s">
        <v>17</v>
      </c>
      <c r="D9432" t="s">
        <v>18</v>
      </c>
      <c r="E9432" s="6">
        <v>-27843</v>
      </c>
      <c r="F9432" t="s">
        <v>790</v>
      </c>
      <c r="G9432" t="s">
        <v>48</v>
      </c>
      <c r="H9432" t="s">
        <v>21</v>
      </c>
      <c r="I9432" t="s">
        <v>18648</v>
      </c>
      <c r="J9432" t="str">
        <f>HYPERLINK("https://www.boe.es/gazeta/dias/1823/10/07/pdfs/GMD-1823-933.pdf#page=3","Abrir facsímil")</f>
        <v>Abrir facsímil</v>
      </c>
      <c r="K9432" t="s">
        <v>23</v>
      </c>
    </row>
    <row r="9433" spans="1:11" ht="42" customHeight="1">
      <c r="A9433" t="s">
        <v>18640</v>
      </c>
      <c r="B9433" t="s">
        <v>18641</v>
      </c>
      <c r="C9433" t="s">
        <v>56</v>
      </c>
      <c r="D9433" t="s">
        <v>57</v>
      </c>
      <c r="E9433" s="6">
        <v>-27836</v>
      </c>
      <c r="F9433" t="s">
        <v>4069</v>
      </c>
      <c r="G9433" t="s">
        <v>48</v>
      </c>
      <c r="H9433" t="s">
        <v>21</v>
      </c>
      <c r="I9433" t="s">
        <v>18649</v>
      </c>
      <c r="J9433" t="str">
        <f>HYPERLINK("https://www.boe.es/gazeta/dias/1823/10/14/pdfs/GMD-1823-973.pdf#page=3","Abrir facsímil")</f>
        <v>Abrir facsímil</v>
      </c>
      <c r="K9433" t="s">
        <v>23</v>
      </c>
    </row>
    <row r="9434" spans="1:11" ht="42" customHeight="1">
      <c r="A9434" t="s">
        <v>18646</v>
      </c>
      <c r="B9434" t="s">
        <v>18647</v>
      </c>
      <c r="C9434" t="s">
        <v>17</v>
      </c>
      <c r="D9434" t="s">
        <v>18</v>
      </c>
      <c r="E9434" s="6">
        <v>-27834</v>
      </c>
      <c r="F9434" t="s">
        <v>188</v>
      </c>
      <c r="G9434" t="s">
        <v>39</v>
      </c>
      <c r="H9434" t="s">
        <v>21</v>
      </c>
      <c r="I9434" t="s">
        <v>18650</v>
      </c>
      <c r="J9434" t="str">
        <f>HYPERLINK("https://www.boe.es/gazeta/dias/1823/10/16/pdfs/GMD-1823-983.pdf#page=1","Abrir facsímil")</f>
        <v>Abrir facsímil</v>
      </c>
      <c r="K9434" t="s">
        <v>23</v>
      </c>
    </row>
    <row r="9435" spans="1:11" ht="42" customHeight="1">
      <c r="A9435" t="s">
        <v>18640</v>
      </c>
      <c r="B9435" t="s">
        <v>18641</v>
      </c>
      <c r="C9435" t="s">
        <v>79</v>
      </c>
      <c r="D9435" t="s">
        <v>74</v>
      </c>
      <c r="E9435" s="6">
        <v>-27822</v>
      </c>
      <c r="F9435" t="s">
        <v>992</v>
      </c>
      <c r="G9435" t="s">
        <v>39</v>
      </c>
      <c r="H9435" t="s">
        <v>21</v>
      </c>
      <c r="I9435" t="s">
        <v>18651</v>
      </c>
      <c r="J9435" t="str">
        <f>HYPERLINK("https://www.boe.es/gazeta/dias/1823/10/28/pdfs/GMD-1823-1033.pdf#page=1","Abrir facsímil")</f>
        <v>Abrir facsímil</v>
      </c>
      <c r="K9435" t="s">
        <v>23</v>
      </c>
    </row>
    <row r="9436" spans="1:11" ht="42" customHeight="1">
      <c r="A9436" t="s">
        <v>18646</v>
      </c>
      <c r="B9436" t="s">
        <v>18647</v>
      </c>
      <c r="C9436" t="s">
        <v>56</v>
      </c>
      <c r="D9436" t="s">
        <v>57</v>
      </c>
      <c r="E9436" s="6">
        <v>-27818</v>
      </c>
      <c r="F9436" t="s">
        <v>1597</v>
      </c>
      <c r="G9436" t="s">
        <v>48</v>
      </c>
      <c r="H9436" t="s">
        <v>21</v>
      </c>
      <c r="I9436" t="s">
        <v>18652</v>
      </c>
      <c r="J9436" t="str">
        <f>HYPERLINK("https://www.boe.es/gazeta/dias/1823/11/01/pdfs/GMD-1823-1053.pdf#page=3","Abrir facsímil")</f>
        <v>Abrir facsímil</v>
      </c>
      <c r="K9436" t="s">
        <v>23</v>
      </c>
    </row>
    <row r="9437" spans="1:11" ht="42" customHeight="1">
      <c r="A9437" t="s">
        <v>18646</v>
      </c>
      <c r="B9437" t="s">
        <v>18647</v>
      </c>
      <c r="C9437" t="s">
        <v>17</v>
      </c>
      <c r="D9437" t="s">
        <v>18</v>
      </c>
      <c r="E9437" s="6">
        <v>-27815</v>
      </c>
      <c r="F9437" t="s">
        <v>1266</v>
      </c>
      <c r="G9437" t="s">
        <v>39</v>
      </c>
      <c r="H9437" t="s">
        <v>21</v>
      </c>
      <c r="I9437" t="s">
        <v>18653</v>
      </c>
      <c r="J9437" t="str">
        <f>HYPERLINK("https://www.boe.es/gazeta/dias/1823/11/04/pdfs/GMD-1823-1063.pdf#page=1","Abrir facsímil")</f>
        <v>Abrir facsímil</v>
      </c>
      <c r="K9437" t="s">
        <v>23</v>
      </c>
    </row>
    <row r="9438" spans="1:11" ht="42" customHeight="1">
      <c r="A9438" t="s">
        <v>18640</v>
      </c>
      <c r="B9438" t="s">
        <v>18641</v>
      </c>
      <c r="C9438" t="s">
        <v>17</v>
      </c>
      <c r="D9438" t="s">
        <v>18</v>
      </c>
      <c r="E9438" s="6">
        <v>-27815</v>
      </c>
      <c r="F9438" t="s">
        <v>1266</v>
      </c>
      <c r="G9438" t="s">
        <v>48</v>
      </c>
      <c r="H9438" t="s">
        <v>21</v>
      </c>
      <c r="I9438" t="s">
        <v>18654</v>
      </c>
      <c r="J9438" t="str">
        <f>HYPERLINK("https://www.boe.es/gazeta/dias/1823/11/04/pdfs/GMD-1823-1063.pdf#page=3","Abrir facsímil")</f>
        <v>Abrir facsímil</v>
      </c>
      <c r="K9438" t="s">
        <v>23</v>
      </c>
    </row>
    <row r="9439" spans="1:11" ht="42" customHeight="1">
      <c r="A9439" t="s">
        <v>18640</v>
      </c>
      <c r="B9439" t="s">
        <v>18641</v>
      </c>
      <c r="C9439" t="s">
        <v>17</v>
      </c>
      <c r="D9439" t="s">
        <v>18</v>
      </c>
      <c r="E9439" s="6">
        <v>-27811</v>
      </c>
      <c r="F9439" t="s">
        <v>834</v>
      </c>
      <c r="G9439" t="s">
        <v>48</v>
      </c>
      <c r="H9439" t="s">
        <v>21</v>
      </c>
      <c r="I9439" t="s">
        <v>18655</v>
      </c>
      <c r="J9439" t="str">
        <f>HYPERLINK("https://www.boe.es/gazeta/dias/1823/11/08/pdfs/GMD-1823-1083.pdf#page=3","Abrir facsímil")</f>
        <v>Abrir facsímil</v>
      </c>
      <c r="K9439" t="s">
        <v>23</v>
      </c>
    </row>
    <row r="9440" spans="1:11" ht="42" customHeight="1">
      <c r="A9440" t="s">
        <v>18640</v>
      </c>
      <c r="B9440" t="s">
        <v>18641</v>
      </c>
      <c r="C9440" t="s">
        <v>56</v>
      </c>
      <c r="D9440" t="s">
        <v>57</v>
      </c>
      <c r="E9440" s="6">
        <v>-27801</v>
      </c>
      <c r="F9440" t="s">
        <v>800</v>
      </c>
      <c r="G9440" t="s">
        <v>27</v>
      </c>
      <c r="H9440" t="s">
        <v>21</v>
      </c>
      <c r="I9440" t="s">
        <v>18656</v>
      </c>
      <c r="J9440" t="str">
        <f>HYPERLINK("https://www.boe.es/gazeta/dias/1823/11/18/pdfs/GMD-1823-1133.pdf#page=2","Abrir facsímil")</f>
        <v>Abrir facsímil</v>
      </c>
      <c r="K9440" t="s">
        <v>23</v>
      </c>
    </row>
    <row r="9441" spans="1:11" ht="42" customHeight="1">
      <c r="A9441" t="s">
        <v>18646</v>
      </c>
      <c r="B9441" t="s">
        <v>18647</v>
      </c>
      <c r="C9441" t="s">
        <v>17</v>
      </c>
      <c r="D9441" t="s">
        <v>18</v>
      </c>
      <c r="E9441" s="6">
        <v>-27799</v>
      </c>
      <c r="F9441" t="s">
        <v>3388</v>
      </c>
      <c r="G9441" t="s">
        <v>39</v>
      </c>
      <c r="H9441" t="s">
        <v>21</v>
      </c>
      <c r="I9441" t="s">
        <v>18657</v>
      </c>
      <c r="J9441" t="str">
        <f>HYPERLINK("https://www.boe.es/gazeta/dias/1823/11/20/pdfs/GMD-1823-1143.pdf#page=1","Abrir facsímil")</f>
        <v>Abrir facsímil</v>
      </c>
      <c r="K9441" t="s">
        <v>23</v>
      </c>
    </row>
    <row r="9442" spans="1:11" ht="42" customHeight="1">
      <c r="A9442" t="s">
        <v>18646</v>
      </c>
      <c r="B9442" t="s">
        <v>18647</v>
      </c>
      <c r="C9442" t="s">
        <v>79</v>
      </c>
      <c r="D9442" t="s">
        <v>74</v>
      </c>
      <c r="E9442" s="6">
        <v>-27787</v>
      </c>
      <c r="F9442" t="s">
        <v>865</v>
      </c>
      <c r="G9442" t="s">
        <v>39</v>
      </c>
      <c r="H9442" t="s">
        <v>21</v>
      </c>
      <c r="I9442" t="s">
        <v>18658</v>
      </c>
      <c r="J9442" t="str">
        <f>HYPERLINK("https://www.boe.es/gazeta/dias/1823/12/02/pdfs/GMD-1823-1193.pdf#page=1","Abrir facsímil")</f>
        <v>Abrir facsímil</v>
      </c>
      <c r="K9442" t="s">
        <v>23</v>
      </c>
    </row>
    <row r="9443" spans="1:11" ht="42" customHeight="1">
      <c r="A9443" t="s">
        <v>18646</v>
      </c>
      <c r="B9443" t="s">
        <v>18647</v>
      </c>
      <c r="C9443" t="s">
        <v>56</v>
      </c>
      <c r="D9443" t="s">
        <v>57</v>
      </c>
      <c r="E9443" s="6">
        <v>-27785</v>
      </c>
      <c r="F9443" t="s">
        <v>1397</v>
      </c>
      <c r="G9443" t="s">
        <v>48</v>
      </c>
      <c r="H9443" t="s">
        <v>21</v>
      </c>
      <c r="I9443" t="s">
        <v>18659</v>
      </c>
      <c r="J9443" t="str">
        <f>HYPERLINK("https://www.boe.es/gazeta/dias/1823/12/04/pdfs/GMD-1823-1203.pdf#page=3","Abrir facsímil")</f>
        <v>Abrir facsímil</v>
      </c>
      <c r="K9443" t="s">
        <v>23</v>
      </c>
    </row>
    <row r="9444" spans="1:11" ht="42" customHeight="1">
      <c r="A9444" t="s">
        <v>18660</v>
      </c>
      <c r="B9444" t="s">
        <v>18661</v>
      </c>
      <c r="C9444" t="s">
        <v>56</v>
      </c>
      <c r="D9444" t="s">
        <v>57</v>
      </c>
      <c r="E9444" s="6">
        <v>-27972</v>
      </c>
      <c r="F9444" t="s">
        <v>1515</v>
      </c>
      <c r="G9444" t="s">
        <v>39</v>
      </c>
      <c r="H9444" t="s">
        <v>21</v>
      </c>
      <c r="I9444" t="s">
        <v>18662</v>
      </c>
      <c r="J9444" t="str">
        <f>HYPERLINK("https://www.boe.es/gazeta/dias/1823/05/31/pdfs/GMD-1823-33.pdf#page=1","Abrir facsímil")</f>
        <v>Abrir facsímil</v>
      </c>
      <c r="K9444" t="s">
        <v>23</v>
      </c>
    </row>
    <row r="9445" spans="1:11" ht="42" customHeight="1">
      <c r="A9445" t="s">
        <v>18660</v>
      </c>
      <c r="B9445" t="s">
        <v>18661</v>
      </c>
      <c r="C9445" t="s">
        <v>56</v>
      </c>
      <c r="D9445" t="s">
        <v>57</v>
      </c>
      <c r="E9445" s="6">
        <v>-27967</v>
      </c>
      <c r="F9445" t="s">
        <v>2493</v>
      </c>
      <c r="G9445" t="s">
        <v>39</v>
      </c>
      <c r="H9445" t="s">
        <v>21</v>
      </c>
      <c r="I9445" t="s">
        <v>18663</v>
      </c>
      <c r="J9445" t="str">
        <f>HYPERLINK("https://www.boe.es/gazeta/dias/1823/06/05/pdfs/GMD-1823-63.pdf#page=1","Abrir facsímil")</f>
        <v>Abrir facsímil</v>
      </c>
      <c r="K9445" t="s">
        <v>23</v>
      </c>
    </row>
    <row r="9446" spans="1:11" ht="42" customHeight="1">
      <c r="A9446" t="s">
        <v>18660</v>
      </c>
      <c r="B9446" t="s">
        <v>18661</v>
      </c>
      <c r="C9446" t="s">
        <v>73</v>
      </c>
      <c r="D9446" t="s">
        <v>74</v>
      </c>
      <c r="E9446" s="6">
        <v>-27927</v>
      </c>
      <c r="F9446" t="s">
        <v>1426</v>
      </c>
      <c r="G9446" t="s">
        <v>20</v>
      </c>
      <c r="H9446" t="s">
        <v>21</v>
      </c>
      <c r="I9446" t="s">
        <v>18664</v>
      </c>
      <c r="J9446" t="str">
        <f>HYPERLINK("https://www.boe.es/gazeta/dias/1823/07/15/pdfs/GES-1823-95.pdf#page=4","Abrir facsímil")</f>
        <v>Abrir facsímil</v>
      </c>
      <c r="K9446" t="s">
        <v>23</v>
      </c>
    </row>
    <row r="9447" spans="1:11" ht="42" customHeight="1">
      <c r="A9447" t="s">
        <v>18660</v>
      </c>
      <c r="B9447" t="s">
        <v>18661</v>
      </c>
      <c r="C9447" t="s">
        <v>109</v>
      </c>
      <c r="D9447" t="s">
        <v>74</v>
      </c>
      <c r="E9447" s="6">
        <v>-27888</v>
      </c>
      <c r="F9447" t="s">
        <v>232</v>
      </c>
      <c r="G9447" t="s">
        <v>27</v>
      </c>
      <c r="H9447" t="s">
        <v>21</v>
      </c>
      <c r="I9447" t="s">
        <v>18665</v>
      </c>
      <c r="J9447" t="str">
        <f>HYPERLINK("https://www.boe.es/gazeta/dias/1823/08/23/pdfs/GMD-1823-633.pdf#page=2","Abrir facsímil")</f>
        <v>Abrir facsímil</v>
      </c>
      <c r="K9447" t="s">
        <v>23</v>
      </c>
    </row>
    <row r="9448" spans="1:11" ht="42" customHeight="1">
      <c r="A9448" t="s">
        <v>18666</v>
      </c>
      <c r="B9448" t="s">
        <v>18667</v>
      </c>
      <c r="C9448" t="s">
        <v>109</v>
      </c>
      <c r="D9448" t="s">
        <v>74</v>
      </c>
      <c r="E9448" s="6">
        <v>-27999</v>
      </c>
      <c r="F9448" t="s">
        <v>97</v>
      </c>
      <c r="G9448" t="s">
        <v>20</v>
      </c>
      <c r="H9448" t="s">
        <v>21</v>
      </c>
      <c r="I9448" t="s">
        <v>18668</v>
      </c>
      <c r="J9448" t="str">
        <f>HYPERLINK("https://www.boe.es/gazeta/dias/1823/05/04/pdfs/GES-1823-24.pdf#page=4","Abrir facsímil")</f>
        <v>Abrir facsímil</v>
      </c>
      <c r="K9448" t="s">
        <v>23</v>
      </c>
    </row>
    <row r="9449" spans="1:11" ht="42" customHeight="1">
      <c r="A9449" t="s">
        <v>18669</v>
      </c>
      <c r="B9449" t="s">
        <v>18670</v>
      </c>
      <c r="C9449" t="s">
        <v>17</v>
      </c>
      <c r="D9449" t="s">
        <v>18</v>
      </c>
      <c r="E9449" s="6">
        <v>-28023</v>
      </c>
      <c r="F9449" t="s">
        <v>384</v>
      </c>
      <c r="G9449" t="s">
        <v>20</v>
      </c>
      <c r="H9449" t="s">
        <v>21</v>
      </c>
      <c r="I9449" t="s">
        <v>18671</v>
      </c>
      <c r="J9449" t="str">
        <f>HYPERLINK("https://www.boe.es/gazeta/dias/1823/04/10/pdfs/GMD-1823-105.pdf#page=4","Abrir facsímil")</f>
        <v>Abrir facsímil</v>
      </c>
      <c r="K9449" t="s">
        <v>23</v>
      </c>
    </row>
    <row r="9450" spans="1:11" ht="42" customHeight="1">
      <c r="A9450" t="s">
        <v>18672</v>
      </c>
      <c r="B9450" t="s">
        <v>18673</v>
      </c>
      <c r="C9450" t="s">
        <v>84</v>
      </c>
      <c r="D9450" t="s">
        <v>74</v>
      </c>
      <c r="E9450" s="6">
        <v>-28002</v>
      </c>
      <c r="F9450" t="s">
        <v>245</v>
      </c>
      <c r="G9450" t="s">
        <v>20</v>
      </c>
      <c r="H9450" t="s">
        <v>21</v>
      </c>
      <c r="I9450" t="s">
        <v>18674</v>
      </c>
      <c r="J9450" t="str">
        <f>HYPERLINK("https://www.boe.es/gazeta/dias/1823/05/01/pdfs/GMD-1823-82.pdf#page=4","Abrir facsímil")</f>
        <v>Abrir facsímil</v>
      </c>
      <c r="K9450" t="s">
        <v>23</v>
      </c>
    </row>
    <row r="9451" spans="1:11" ht="42" customHeight="1">
      <c r="A9451" t="s">
        <v>18675</v>
      </c>
      <c r="B9451" t="s">
        <v>18676</v>
      </c>
      <c r="C9451" t="s">
        <v>56</v>
      </c>
      <c r="D9451" t="s">
        <v>57</v>
      </c>
      <c r="E9451" s="6">
        <v>-28062</v>
      </c>
      <c r="F9451" t="s">
        <v>1357</v>
      </c>
      <c r="G9451" t="s">
        <v>20</v>
      </c>
      <c r="H9451" t="s">
        <v>21</v>
      </c>
      <c r="I9451" t="s">
        <v>18677</v>
      </c>
      <c r="J9451" t="str">
        <f>HYPERLINK("https://www.boe.es/gazeta/dias/1823/03/02/pdfs/GMD-1823-65.pdf#page=4","Abrir facsímil")</f>
        <v>Abrir facsímil</v>
      </c>
      <c r="K9451" t="s">
        <v>23</v>
      </c>
    </row>
    <row r="9452" spans="1:11" ht="42" customHeight="1">
      <c r="A9452" t="s">
        <v>18678</v>
      </c>
      <c r="B9452" t="s">
        <v>18678</v>
      </c>
      <c r="C9452" t="s">
        <v>79</v>
      </c>
      <c r="D9452" t="s">
        <v>74</v>
      </c>
      <c r="E9452" s="6">
        <v>-28077</v>
      </c>
      <c r="F9452" t="s">
        <v>536</v>
      </c>
      <c r="G9452" t="s">
        <v>59</v>
      </c>
      <c r="H9452" t="s">
        <v>21</v>
      </c>
      <c r="I9452" t="s">
        <v>18679</v>
      </c>
      <c r="J9452" t="str">
        <f>HYPERLINK("https://www.boe.es/gazeta/dias/1823/02/15/pdfs/GMD-1823-49.pdf#page=6","Abrir facsímil")</f>
        <v>Abrir facsímil</v>
      </c>
      <c r="K9452" t="s">
        <v>23</v>
      </c>
    </row>
    <row r="9453" spans="1:11" ht="42" customHeight="1">
      <c r="A9453" t="s">
        <v>18680</v>
      </c>
      <c r="B9453" t="s">
        <v>18680</v>
      </c>
      <c r="C9453" t="s">
        <v>56</v>
      </c>
      <c r="D9453" t="s">
        <v>57</v>
      </c>
      <c r="E9453" s="6">
        <v>-28084</v>
      </c>
      <c r="F9453" t="s">
        <v>1049</v>
      </c>
      <c r="G9453" t="s">
        <v>3129</v>
      </c>
      <c r="H9453" t="s">
        <v>21</v>
      </c>
      <c r="I9453" t="s">
        <v>18681</v>
      </c>
      <c r="J9453" t="str">
        <f>HYPERLINK("https://www.boe.es/gazeta/dias/1823/02/08/pdfs/GMD-1823-41.pdf#page=2","Abrir facsímil")</f>
        <v>Abrir facsímil</v>
      </c>
      <c r="K9453" t="s">
        <v>23</v>
      </c>
    </row>
    <row r="9454" spans="1:11" ht="42" customHeight="1">
      <c r="A9454" t="s">
        <v>18682</v>
      </c>
      <c r="B9454" t="s">
        <v>18682</v>
      </c>
      <c r="C9454" t="s">
        <v>17</v>
      </c>
      <c r="D9454" t="s">
        <v>18</v>
      </c>
      <c r="E9454" s="6">
        <v>-27899</v>
      </c>
      <c r="F9454" t="s">
        <v>215</v>
      </c>
      <c r="G9454" t="s">
        <v>48</v>
      </c>
      <c r="H9454" t="s">
        <v>21</v>
      </c>
      <c r="I9454" t="s">
        <v>18683</v>
      </c>
      <c r="J9454" t="str">
        <f>HYPERLINK("https://www.boe.es/gazeta/dias/1823/08/12/pdfs/GMD-1823-583.pdf#page=3","Abrir facsímil")</f>
        <v>Abrir facsímil</v>
      </c>
      <c r="K9454" t="s">
        <v>23</v>
      </c>
    </row>
    <row r="9455" spans="1:11" ht="42" customHeight="1">
      <c r="A9455" t="s">
        <v>18684</v>
      </c>
      <c r="B9455" t="s">
        <v>18685</v>
      </c>
      <c r="C9455" t="s">
        <v>17</v>
      </c>
      <c r="D9455" t="s">
        <v>18</v>
      </c>
      <c r="E9455" s="6">
        <v>-27899</v>
      </c>
      <c r="F9455" t="s">
        <v>215</v>
      </c>
      <c r="G9455" t="s">
        <v>48</v>
      </c>
      <c r="H9455" t="s">
        <v>28</v>
      </c>
      <c r="I9455" t="s">
        <v>18686</v>
      </c>
      <c r="J9455" t="str">
        <f>HYPERLINK("https://www.boe.es/gazeta/dias/1823/08/12/pdfs/GMD-1823-583.pdf#page=3","Abrir facsímil")</f>
        <v>Abrir facsímil</v>
      </c>
      <c r="K9455" t="s">
        <v>30</v>
      </c>
    </row>
    <row r="9456" spans="1:11" ht="42" customHeight="1">
      <c r="A9456" t="s">
        <v>18687</v>
      </c>
      <c r="B9456" t="s">
        <v>18688</v>
      </c>
      <c r="C9456" t="s">
        <v>17</v>
      </c>
      <c r="D9456" t="s">
        <v>18</v>
      </c>
      <c r="E9456" s="6">
        <v>-27860</v>
      </c>
      <c r="F9456" t="s">
        <v>744</v>
      </c>
      <c r="G9456" t="s">
        <v>745</v>
      </c>
      <c r="H9456" t="s">
        <v>21</v>
      </c>
      <c r="I9456" t="s">
        <v>18689</v>
      </c>
      <c r="J9456" t="str">
        <f>HYPERLINK("https://www.boe.es/gazeta/dias/1823/09/20/pdfs/GES-1823-164.pdf#page=2","Abrir facsímil")</f>
        <v>Abrir facsímil</v>
      </c>
      <c r="K9456" t="s">
        <v>23</v>
      </c>
    </row>
    <row r="9457" spans="1:11" ht="42" customHeight="1">
      <c r="A9457" t="s">
        <v>18690</v>
      </c>
      <c r="B9457" t="s">
        <v>18691</v>
      </c>
      <c r="C9457" t="s">
        <v>109</v>
      </c>
      <c r="D9457" t="s">
        <v>74</v>
      </c>
      <c r="E9457" s="6">
        <v>-27984</v>
      </c>
      <c r="F9457" t="s">
        <v>335</v>
      </c>
      <c r="G9457" t="s">
        <v>27</v>
      </c>
      <c r="H9457" t="s">
        <v>21</v>
      </c>
      <c r="I9457" t="s">
        <v>18692</v>
      </c>
      <c r="J9457" t="str">
        <f>HYPERLINK("https://www.boe.es/gazeta/dias/1823/05/19/pdfs/GES-1823-39.pdf#page=2","Abrir facsímil")</f>
        <v>Abrir facsímil</v>
      </c>
      <c r="K9457" t="s">
        <v>23</v>
      </c>
    </row>
    <row r="9458" spans="1:11" ht="42" customHeight="1">
      <c r="A9458" t="s">
        <v>18693</v>
      </c>
      <c r="B9458" t="s">
        <v>18694</v>
      </c>
      <c r="C9458" t="s">
        <v>109</v>
      </c>
      <c r="D9458" t="s">
        <v>74</v>
      </c>
      <c r="E9458" s="6">
        <v>-27778</v>
      </c>
      <c r="F9458" t="s">
        <v>1343</v>
      </c>
      <c r="G9458" t="s">
        <v>39</v>
      </c>
      <c r="H9458" t="s">
        <v>21</v>
      </c>
      <c r="I9458" t="s">
        <v>18695</v>
      </c>
      <c r="J9458" t="str">
        <f>HYPERLINK("https://www.boe.es/gazeta/dias/1823/12/11/pdfs/GMD-1823-1233.pdf#page=1","Abrir facsímil")</f>
        <v>Abrir facsímil</v>
      </c>
      <c r="K9458" t="s">
        <v>23</v>
      </c>
    </row>
    <row r="9459" spans="1:11" ht="42" customHeight="1">
      <c r="A9459" t="s">
        <v>18696</v>
      </c>
      <c r="B9459" t="s">
        <v>18697</v>
      </c>
      <c r="C9459" t="s">
        <v>56</v>
      </c>
      <c r="D9459" t="s">
        <v>57</v>
      </c>
      <c r="E9459" s="6">
        <v>-28032</v>
      </c>
      <c r="F9459" t="s">
        <v>668</v>
      </c>
      <c r="G9459" t="s">
        <v>20</v>
      </c>
      <c r="H9459" t="s">
        <v>21</v>
      </c>
      <c r="I9459" t="s">
        <v>18698</v>
      </c>
      <c r="J9459" t="str">
        <f>HYPERLINK("https://www.boe.es/gazeta/dias/1823/04/01/pdfs/GMD-1823-95.pdf#page=4","Abrir facsímil")</f>
        <v>Abrir facsímil</v>
      </c>
      <c r="K9459" t="s">
        <v>23</v>
      </c>
    </row>
    <row r="9460" spans="1:11" ht="42" customHeight="1">
      <c r="A9460" t="s">
        <v>18696</v>
      </c>
      <c r="B9460" t="s">
        <v>18697</v>
      </c>
      <c r="C9460" t="s">
        <v>84</v>
      </c>
      <c r="D9460" t="s">
        <v>74</v>
      </c>
      <c r="E9460" s="6">
        <v>-28030</v>
      </c>
      <c r="F9460" t="s">
        <v>145</v>
      </c>
      <c r="G9460" t="s">
        <v>20</v>
      </c>
      <c r="H9460" t="s">
        <v>21</v>
      </c>
      <c r="I9460" t="s">
        <v>18699</v>
      </c>
      <c r="J9460" t="str">
        <f>HYPERLINK("https://www.boe.es/gazeta/dias/1823/04/03/pdfs/GMD-1823-97.pdf#page=4","Abrir facsímil")</f>
        <v>Abrir facsímil</v>
      </c>
      <c r="K9460" t="s">
        <v>23</v>
      </c>
    </row>
    <row r="9461" spans="1:11" ht="42" customHeight="1">
      <c r="A9461" t="s">
        <v>18700</v>
      </c>
      <c r="B9461" t="s">
        <v>18700</v>
      </c>
      <c r="C9461" t="s">
        <v>109</v>
      </c>
      <c r="D9461" t="s">
        <v>74</v>
      </c>
      <c r="E9461" s="6">
        <v>-27855</v>
      </c>
      <c r="F9461" t="s">
        <v>380</v>
      </c>
      <c r="G9461" t="s">
        <v>48</v>
      </c>
      <c r="H9461" t="s">
        <v>21</v>
      </c>
      <c r="I9461" t="s">
        <v>18701</v>
      </c>
      <c r="J9461" t="str">
        <f>HYPERLINK("https://www.boe.es/gazeta/dias/1823/09/25/pdfs/GMD-1823-853.pdf#page=3","Abrir facsímil")</f>
        <v>Abrir facsímil</v>
      </c>
      <c r="K9461" t="s">
        <v>23</v>
      </c>
    </row>
    <row r="9462" spans="1:11" ht="42" customHeight="1">
      <c r="A9462" t="s">
        <v>18702</v>
      </c>
      <c r="B9462" t="s">
        <v>18703</v>
      </c>
      <c r="C9462" t="s">
        <v>17</v>
      </c>
      <c r="D9462" t="s">
        <v>18</v>
      </c>
      <c r="E9462" s="6">
        <v>-27897</v>
      </c>
      <c r="F9462" t="s">
        <v>1569</v>
      </c>
      <c r="G9462" t="s">
        <v>48</v>
      </c>
      <c r="H9462" t="s">
        <v>21</v>
      </c>
      <c r="I9462" t="s">
        <v>18704</v>
      </c>
      <c r="J9462" t="str">
        <f>HYPERLINK("https://www.boe.es/gazeta/dias/1823/08/14/pdfs/GMD-1823-593.pdf#page=3","Abrir facsímil")</f>
        <v>Abrir facsímil</v>
      </c>
      <c r="K9462" t="s">
        <v>23</v>
      </c>
    </row>
    <row r="9463" spans="1:11" ht="42" customHeight="1">
      <c r="A9463" t="s">
        <v>18705</v>
      </c>
      <c r="B9463" t="s">
        <v>18705</v>
      </c>
      <c r="C9463" t="s">
        <v>109</v>
      </c>
      <c r="D9463" t="s">
        <v>74</v>
      </c>
      <c r="E9463" s="6">
        <v>-27997</v>
      </c>
      <c r="F9463" t="s">
        <v>937</v>
      </c>
      <c r="G9463" t="s">
        <v>48</v>
      </c>
      <c r="H9463" t="s">
        <v>21</v>
      </c>
      <c r="I9463" t="s">
        <v>18706</v>
      </c>
      <c r="J9463" t="str">
        <f>HYPERLINK("https://www.boe.es/gazeta/dias/1823/05/06/pdfs/GMD-1823-102.pdf#page=3","Abrir facsímil")</f>
        <v>Abrir facsímil</v>
      </c>
      <c r="K9463" t="s">
        <v>23</v>
      </c>
    </row>
    <row r="9464" spans="1:11" ht="42" customHeight="1">
      <c r="A9464" t="s">
        <v>18707</v>
      </c>
      <c r="B9464" t="s">
        <v>18707</v>
      </c>
      <c r="C9464" t="s">
        <v>73</v>
      </c>
      <c r="D9464" t="s">
        <v>74</v>
      </c>
      <c r="E9464" s="6">
        <v>-28057</v>
      </c>
      <c r="F9464" t="s">
        <v>301</v>
      </c>
      <c r="G9464" t="s">
        <v>20</v>
      </c>
      <c r="H9464" t="s">
        <v>21</v>
      </c>
      <c r="I9464" t="s">
        <v>18708</v>
      </c>
      <c r="J9464" t="str">
        <f>HYPERLINK("https://www.boe.es/gazeta/dias/1823/03/07/pdfs/GMD-1823-70.pdf#page=4","Abrir facsímil")</f>
        <v>Abrir facsímil</v>
      </c>
      <c r="K9464" t="s">
        <v>23</v>
      </c>
    </row>
    <row r="9465" spans="1:11" ht="42" customHeight="1">
      <c r="A9465" t="s">
        <v>18709</v>
      </c>
      <c r="B9465" t="s">
        <v>18709</v>
      </c>
      <c r="C9465" t="s">
        <v>17</v>
      </c>
      <c r="D9465" t="s">
        <v>18</v>
      </c>
      <c r="E9465" s="6">
        <v>-28051</v>
      </c>
      <c r="F9465" t="s">
        <v>305</v>
      </c>
      <c r="G9465" t="s">
        <v>48</v>
      </c>
      <c r="H9465" t="s">
        <v>21</v>
      </c>
      <c r="I9465" t="s">
        <v>18710</v>
      </c>
      <c r="J9465" t="str">
        <f>HYPERLINK("https://www.boe.es/gazeta/dias/1823/03/13/pdfs/GMD-1823-76.pdf#page=3","Abrir facsímil")</f>
        <v>Abrir facsímil</v>
      </c>
      <c r="K9465" t="s">
        <v>23</v>
      </c>
    </row>
    <row r="9466" spans="1:11" ht="42" customHeight="1">
      <c r="A9466" t="s">
        <v>18711</v>
      </c>
      <c r="B9466" t="s">
        <v>18711</v>
      </c>
      <c r="C9466" t="s">
        <v>79</v>
      </c>
      <c r="D9466" t="s">
        <v>74</v>
      </c>
      <c r="E9466" s="6">
        <v>-28051</v>
      </c>
      <c r="F9466" t="s">
        <v>305</v>
      </c>
      <c r="G9466" t="s">
        <v>48</v>
      </c>
      <c r="H9466" t="s">
        <v>21</v>
      </c>
      <c r="I9466" t="s">
        <v>18712</v>
      </c>
      <c r="J9466" t="str">
        <f>HYPERLINK("https://www.boe.es/gazeta/dias/1823/03/13/pdfs/GMD-1823-76.pdf#page=3","Abrir facsímil")</f>
        <v>Abrir facsímil</v>
      </c>
      <c r="K9466" t="s">
        <v>23</v>
      </c>
    </row>
    <row r="9467" spans="1:11" ht="42" customHeight="1">
      <c r="A9467" t="s">
        <v>18713</v>
      </c>
      <c r="B9467" t="s">
        <v>18713</v>
      </c>
      <c r="C9467" t="s">
        <v>17</v>
      </c>
      <c r="D9467" t="s">
        <v>18</v>
      </c>
      <c r="E9467" s="6">
        <v>-28086</v>
      </c>
      <c r="F9467" t="s">
        <v>289</v>
      </c>
      <c r="G9467" t="s">
        <v>20</v>
      </c>
      <c r="H9467" t="s">
        <v>21</v>
      </c>
      <c r="I9467" t="s">
        <v>18714</v>
      </c>
      <c r="J9467" t="str">
        <f>HYPERLINK("https://www.boe.es/gazeta/dias/1823/02/06/pdfs/GMD-1823-39.pdf#page=4","Abrir facsímil")</f>
        <v>Abrir facsímil</v>
      </c>
      <c r="K9467" t="s">
        <v>23</v>
      </c>
    </row>
    <row r="9468" spans="1:11" ht="42" customHeight="1">
      <c r="A9468" t="s">
        <v>18713</v>
      </c>
      <c r="B9468" t="s">
        <v>18713</v>
      </c>
      <c r="C9468" t="s">
        <v>109</v>
      </c>
      <c r="D9468" t="s">
        <v>74</v>
      </c>
      <c r="E9468" s="6">
        <v>-27968</v>
      </c>
      <c r="F9468" t="s">
        <v>1160</v>
      </c>
      <c r="G9468" t="s">
        <v>27</v>
      </c>
      <c r="H9468" t="s">
        <v>21</v>
      </c>
      <c r="I9468" t="s">
        <v>18715</v>
      </c>
      <c r="J9468" t="str">
        <f>HYPERLINK("https://www.boe.es/gazeta/dias/1823/06/04/pdfs/GES-1823-58.pdf#page=2","Abrir facsímil")</f>
        <v>Abrir facsímil</v>
      </c>
      <c r="K9468" t="s">
        <v>23</v>
      </c>
    </row>
    <row r="9469" spans="1:11" ht="42" customHeight="1">
      <c r="A9469" t="s">
        <v>18713</v>
      </c>
      <c r="B9469" t="s">
        <v>18713</v>
      </c>
      <c r="C9469" t="s">
        <v>73</v>
      </c>
      <c r="D9469" t="s">
        <v>74</v>
      </c>
      <c r="E9469" s="6">
        <v>-27948</v>
      </c>
      <c r="F9469" t="s">
        <v>959</v>
      </c>
      <c r="G9469" t="s">
        <v>27</v>
      </c>
      <c r="H9469" t="s">
        <v>21</v>
      </c>
      <c r="I9469" t="s">
        <v>18716</v>
      </c>
      <c r="J9469" t="str">
        <f>HYPERLINK("https://www.boe.es/gazeta/dias/1823/06/24/pdfs/GES-1823-72.pdf#page=2","Abrir facsímil")</f>
        <v>Abrir facsímil</v>
      </c>
      <c r="K9469" t="s">
        <v>23</v>
      </c>
    </row>
    <row r="9470" spans="1:11" ht="42" customHeight="1">
      <c r="A9470" t="s">
        <v>18713</v>
      </c>
      <c r="B9470" t="s">
        <v>18713</v>
      </c>
      <c r="C9470" t="s">
        <v>17</v>
      </c>
      <c r="D9470" t="s">
        <v>18</v>
      </c>
      <c r="E9470" s="6">
        <v>-27933</v>
      </c>
      <c r="F9470" t="s">
        <v>1079</v>
      </c>
      <c r="G9470" t="s">
        <v>48</v>
      </c>
      <c r="H9470" t="s">
        <v>21</v>
      </c>
      <c r="I9470" t="s">
        <v>18717</v>
      </c>
      <c r="J9470" t="str">
        <f>HYPERLINK("https://www.boe.es/gazeta/dias/1823/07/09/pdfs/GES-1823-89.pdf#page=3","Abrir facsímil")</f>
        <v>Abrir facsímil</v>
      </c>
      <c r="K9470" t="s">
        <v>23</v>
      </c>
    </row>
    <row r="9471" spans="1:11" ht="42" customHeight="1">
      <c r="A9471" t="s">
        <v>18718</v>
      </c>
      <c r="B9471" t="s">
        <v>18719</v>
      </c>
      <c r="C9471" t="s">
        <v>17</v>
      </c>
      <c r="D9471" t="s">
        <v>18</v>
      </c>
      <c r="E9471" s="6">
        <v>-27892</v>
      </c>
      <c r="F9471" t="s">
        <v>1571</v>
      </c>
      <c r="G9471" t="s">
        <v>48</v>
      </c>
      <c r="H9471" t="s">
        <v>21</v>
      </c>
      <c r="I9471" t="s">
        <v>18720</v>
      </c>
      <c r="J9471" t="str">
        <f>HYPERLINK("https://www.boe.es/gazeta/dias/1823/08/19/pdfs/GMD-1823-613.pdf#page=3","Abrir facsímil")</f>
        <v>Abrir facsímil</v>
      </c>
      <c r="K9471" t="s">
        <v>23</v>
      </c>
    </row>
    <row r="9472" spans="1:11" ht="42" customHeight="1">
      <c r="A9472" t="s">
        <v>18721</v>
      </c>
      <c r="B9472" t="s">
        <v>18722</v>
      </c>
      <c r="C9472" t="s">
        <v>17</v>
      </c>
      <c r="D9472" t="s">
        <v>18</v>
      </c>
      <c r="E9472" s="6">
        <v>-27975</v>
      </c>
      <c r="F9472" t="s">
        <v>47</v>
      </c>
      <c r="G9472" t="s">
        <v>27</v>
      </c>
      <c r="H9472" t="s">
        <v>21</v>
      </c>
      <c r="I9472" t="s">
        <v>18723</v>
      </c>
      <c r="J9472" t="str">
        <f>HYPERLINK("https://www.boe.es/gazeta/dias/1823/05/28/pdfs/GES-1823-50.pdf#page=2","Abrir facsímil")</f>
        <v>Abrir facsímil</v>
      </c>
      <c r="K9472" t="s">
        <v>23</v>
      </c>
    </row>
    <row r="9473" spans="1:11" ht="42" customHeight="1">
      <c r="A9473" t="s">
        <v>18724</v>
      </c>
      <c r="B9473" t="s">
        <v>18725</v>
      </c>
      <c r="C9473" t="s">
        <v>79</v>
      </c>
      <c r="D9473" t="s">
        <v>74</v>
      </c>
      <c r="E9473" s="6">
        <v>-28004</v>
      </c>
      <c r="F9473" t="s">
        <v>313</v>
      </c>
      <c r="G9473" t="s">
        <v>27</v>
      </c>
      <c r="H9473" t="s">
        <v>21</v>
      </c>
      <c r="I9473" t="s">
        <v>18726</v>
      </c>
      <c r="J9473" t="str">
        <f>HYPERLINK("https://www.boe.es/gazeta/dias/1823/04/29/pdfs/GMD-1823-72.pdf#page=2","Abrir facsímil")</f>
        <v>Abrir facsímil</v>
      </c>
      <c r="K9473" t="s">
        <v>23</v>
      </c>
    </row>
    <row r="9474" spans="1:11" ht="42" customHeight="1">
      <c r="A9474" t="s">
        <v>18724</v>
      </c>
      <c r="B9474" t="s">
        <v>18725</v>
      </c>
      <c r="C9474" t="s">
        <v>79</v>
      </c>
      <c r="D9474" t="s">
        <v>74</v>
      </c>
      <c r="E9474" s="6">
        <v>-28001</v>
      </c>
      <c r="F9474" t="s">
        <v>768</v>
      </c>
      <c r="G9474" t="s">
        <v>34</v>
      </c>
      <c r="H9474" t="s">
        <v>21</v>
      </c>
      <c r="I9474" t="s">
        <v>18727</v>
      </c>
      <c r="J9474" t="str">
        <f>HYPERLINK("https://www.boe.es/gazeta/dias/1823/05/02/pdfs/GES-1823-22.pdf#page=5","Abrir facsímil")</f>
        <v>Abrir facsímil</v>
      </c>
      <c r="K9474" t="s">
        <v>23</v>
      </c>
    </row>
    <row r="9475" spans="1:11" ht="42" customHeight="1">
      <c r="A9475" t="s">
        <v>18728</v>
      </c>
      <c r="B9475" t="s">
        <v>18729</v>
      </c>
      <c r="C9475" t="s">
        <v>56</v>
      </c>
      <c r="D9475" t="s">
        <v>57</v>
      </c>
      <c r="E9475" s="6">
        <v>-28028</v>
      </c>
      <c r="F9475" t="s">
        <v>893</v>
      </c>
      <c r="G9475" t="s">
        <v>27</v>
      </c>
      <c r="H9475" t="s">
        <v>21</v>
      </c>
      <c r="I9475" t="s">
        <v>18730</v>
      </c>
      <c r="J9475" t="str">
        <f>HYPERLINK("https://www.boe.es/gazeta/dias/1823/04/05/pdfs/GMD-1823-99.pdf#page=2","Abrir facsímil")</f>
        <v>Abrir facsímil</v>
      </c>
      <c r="K9475" t="s">
        <v>23</v>
      </c>
    </row>
    <row r="9476" spans="1:11" ht="42" customHeight="1">
      <c r="A9476" t="s">
        <v>18731</v>
      </c>
      <c r="B9476" t="s">
        <v>18731</v>
      </c>
      <c r="C9476" t="s">
        <v>17</v>
      </c>
      <c r="D9476" t="s">
        <v>18</v>
      </c>
      <c r="E9476" s="6">
        <v>-27930</v>
      </c>
      <c r="F9476" t="s">
        <v>3578</v>
      </c>
      <c r="G9476" t="s">
        <v>48</v>
      </c>
      <c r="H9476" t="s">
        <v>21</v>
      </c>
      <c r="I9476" t="s">
        <v>18732</v>
      </c>
      <c r="J9476" t="str">
        <f>HYPERLINK("https://www.boe.es/gazeta/dias/1823/07/12/pdfs/GMD-1823-393.pdf#page=3","Abrir facsímil")</f>
        <v>Abrir facsímil</v>
      </c>
      <c r="K9476" t="s">
        <v>23</v>
      </c>
    </row>
    <row r="9477" spans="1:11" ht="42" customHeight="1">
      <c r="A9477" t="s">
        <v>18733</v>
      </c>
      <c r="B9477" t="s">
        <v>18734</v>
      </c>
      <c r="C9477" t="s">
        <v>17</v>
      </c>
      <c r="D9477" t="s">
        <v>18</v>
      </c>
      <c r="E9477" s="6">
        <v>-27984</v>
      </c>
      <c r="F9477" t="s">
        <v>335</v>
      </c>
      <c r="G9477" t="s">
        <v>27</v>
      </c>
      <c r="H9477" t="s">
        <v>21</v>
      </c>
      <c r="I9477" t="s">
        <v>18735</v>
      </c>
      <c r="J9477" t="str">
        <f>HYPERLINK("https://www.boe.es/gazeta/dias/1823/05/19/pdfs/GES-1823-39.pdf#page=2","Abrir facsímil")</f>
        <v>Abrir facsímil</v>
      </c>
      <c r="K9477" t="s">
        <v>23</v>
      </c>
    </row>
    <row r="9478" spans="1:11" ht="42" customHeight="1">
      <c r="A9478" t="s">
        <v>18736</v>
      </c>
      <c r="B9478" t="s">
        <v>18737</v>
      </c>
      <c r="C9478" t="s">
        <v>56</v>
      </c>
      <c r="D9478" t="s">
        <v>57</v>
      </c>
      <c r="E9478" s="6">
        <v>-27964</v>
      </c>
      <c r="F9478" t="s">
        <v>58</v>
      </c>
      <c r="G9478" t="s">
        <v>59</v>
      </c>
      <c r="H9478" t="s">
        <v>21</v>
      </c>
      <c r="I9478" t="s">
        <v>18738</v>
      </c>
      <c r="J9478" t="str">
        <f>HYPERLINK("https://www.boe.es/gazeta/dias/1823/06/08/pdfs/GES-1823-62.pdf#page=6","Abrir facsímil")</f>
        <v>Abrir facsímil</v>
      </c>
      <c r="K9478" t="s">
        <v>23</v>
      </c>
    </row>
    <row r="9479" spans="1:11" ht="42" customHeight="1">
      <c r="A9479" t="s">
        <v>18739</v>
      </c>
      <c r="B9479" t="s">
        <v>18740</v>
      </c>
      <c r="C9479" t="s">
        <v>79</v>
      </c>
      <c r="D9479" t="s">
        <v>74</v>
      </c>
      <c r="E9479" s="6">
        <v>-27907</v>
      </c>
      <c r="F9479" t="s">
        <v>370</v>
      </c>
      <c r="G9479" t="s">
        <v>20</v>
      </c>
      <c r="H9479" t="s">
        <v>21</v>
      </c>
      <c r="I9479" t="s">
        <v>18741</v>
      </c>
      <c r="J9479" t="str">
        <f>HYPERLINK("https://www.boe.es/gazeta/dias/1823/08/04/pdfs/GES-1823-116.pdf#page=4","Abrir facsímil")</f>
        <v>Abrir facsímil</v>
      </c>
      <c r="K9479" t="s">
        <v>23</v>
      </c>
    </row>
    <row r="9480" spans="1:11" ht="42" customHeight="1">
      <c r="A9480" t="s">
        <v>18742</v>
      </c>
      <c r="B9480" t="s">
        <v>18743</v>
      </c>
      <c r="C9480" t="s">
        <v>17</v>
      </c>
      <c r="D9480" t="s">
        <v>18</v>
      </c>
      <c r="E9480" s="6">
        <v>-28065</v>
      </c>
      <c r="F9480" t="s">
        <v>686</v>
      </c>
      <c r="G9480" t="s">
        <v>20</v>
      </c>
      <c r="H9480" t="s">
        <v>21</v>
      </c>
      <c r="I9480" t="s">
        <v>18744</v>
      </c>
      <c r="J9480" t="str">
        <f>HYPERLINK("https://www.boe.es/gazeta/dias/1823/02/27/pdfs/GMD-1823-61.pdf#page=4","Abrir facsímil")</f>
        <v>Abrir facsímil</v>
      </c>
      <c r="K9480" t="s">
        <v>23</v>
      </c>
    </row>
    <row r="9481" spans="1:11" ht="42" customHeight="1">
      <c r="A9481" t="s">
        <v>18745</v>
      </c>
      <c r="B9481" t="s">
        <v>18746</v>
      </c>
      <c r="C9481" t="s">
        <v>56</v>
      </c>
      <c r="D9481" t="s">
        <v>117</v>
      </c>
      <c r="E9481" s="6">
        <v>-27845</v>
      </c>
      <c r="F9481" t="s">
        <v>1590</v>
      </c>
      <c r="G9481" t="s">
        <v>39</v>
      </c>
      <c r="H9481" t="s">
        <v>21</v>
      </c>
      <c r="I9481" t="s">
        <v>18747</v>
      </c>
      <c r="J9481" t="str">
        <f>HYPERLINK("https://www.boe.es/gazeta/dias/1823/10/05/pdfs/GMD-1823-923E.pdf#page=1","Abrir facsímil")</f>
        <v>Abrir facsímil</v>
      </c>
      <c r="K9481" t="s">
        <v>23</v>
      </c>
    </row>
    <row r="9482" spans="1:11" ht="42" customHeight="1">
      <c r="A9482" t="s">
        <v>18748</v>
      </c>
      <c r="B9482" t="s">
        <v>18749</v>
      </c>
      <c r="C9482" t="s">
        <v>56</v>
      </c>
      <c r="D9482" t="s">
        <v>57</v>
      </c>
      <c r="E9482" s="6">
        <v>-27927</v>
      </c>
      <c r="F9482" t="s">
        <v>1426</v>
      </c>
      <c r="G9482" t="s">
        <v>20</v>
      </c>
      <c r="H9482" t="s">
        <v>21</v>
      </c>
      <c r="I9482" t="s">
        <v>18750</v>
      </c>
      <c r="J9482" t="str">
        <f>HYPERLINK("https://www.boe.es/gazeta/dias/1823/07/15/pdfs/GES-1823-95.pdf#page=4","Abrir facsímil")</f>
        <v>Abrir facsímil</v>
      </c>
      <c r="K9482" t="s">
        <v>23</v>
      </c>
    </row>
    <row r="9483" spans="1:11" ht="42" customHeight="1">
      <c r="A9483" t="s">
        <v>18748</v>
      </c>
      <c r="B9483" t="s">
        <v>18749</v>
      </c>
      <c r="C9483" t="s">
        <v>17</v>
      </c>
      <c r="D9483" t="s">
        <v>18</v>
      </c>
      <c r="E9483" s="6">
        <v>-27909</v>
      </c>
      <c r="F9483" t="s">
        <v>1525</v>
      </c>
      <c r="G9483" t="s">
        <v>39</v>
      </c>
      <c r="H9483" t="s">
        <v>21</v>
      </c>
      <c r="I9483" t="s">
        <v>18751</v>
      </c>
      <c r="J9483" t="str">
        <f>HYPERLINK("https://www.boe.es/gazeta/dias/1823/08/02/pdfs/GMD-1823-513.pdf#page=1","Abrir facsímil")</f>
        <v>Abrir facsímil</v>
      </c>
      <c r="K9483" t="s">
        <v>23</v>
      </c>
    </row>
    <row r="9484" spans="1:11" ht="42" customHeight="1">
      <c r="A9484" t="s">
        <v>18748</v>
      </c>
      <c r="B9484" t="s">
        <v>18749</v>
      </c>
      <c r="C9484" t="s">
        <v>79</v>
      </c>
      <c r="D9484" t="s">
        <v>74</v>
      </c>
      <c r="E9484" s="6">
        <v>-27785</v>
      </c>
      <c r="F9484" t="s">
        <v>1397</v>
      </c>
      <c r="G9484" t="s">
        <v>39</v>
      </c>
      <c r="H9484" t="s">
        <v>21</v>
      </c>
      <c r="I9484" t="s">
        <v>18752</v>
      </c>
      <c r="J9484" t="str">
        <f>HYPERLINK("https://www.boe.es/gazeta/dias/1823/12/04/pdfs/GMD-1823-1203.pdf#page=1","Abrir facsímil")</f>
        <v>Abrir facsímil</v>
      </c>
      <c r="K9484" t="s">
        <v>23</v>
      </c>
    </row>
    <row r="9485" spans="1:11" ht="42" customHeight="1">
      <c r="A9485" t="s">
        <v>18753</v>
      </c>
      <c r="B9485" t="s">
        <v>18754</v>
      </c>
      <c r="C9485" t="s">
        <v>17</v>
      </c>
      <c r="D9485" t="s">
        <v>18</v>
      </c>
      <c r="E9485" s="6">
        <v>-28025</v>
      </c>
      <c r="F9485" t="s">
        <v>477</v>
      </c>
      <c r="G9485" t="s">
        <v>20</v>
      </c>
      <c r="H9485" t="s">
        <v>21</v>
      </c>
      <c r="I9485" t="s">
        <v>18755</v>
      </c>
      <c r="J9485" t="str">
        <f>HYPERLINK("https://www.boe.es/gazeta/dias/1823/04/08/pdfs/GMD-1823-103.pdf#page=4","Abrir facsímil")</f>
        <v>Abrir facsímil</v>
      </c>
      <c r="K9485" t="s">
        <v>23</v>
      </c>
    </row>
    <row r="9486" spans="1:11" ht="42" customHeight="1">
      <c r="A9486" t="s">
        <v>18756</v>
      </c>
      <c r="B9486" t="s">
        <v>18757</v>
      </c>
      <c r="C9486" t="s">
        <v>17</v>
      </c>
      <c r="D9486" t="s">
        <v>18</v>
      </c>
      <c r="E9486" s="6">
        <v>-27904</v>
      </c>
      <c r="F9486" t="s">
        <v>1748</v>
      </c>
      <c r="G9486" t="s">
        <v>39</v>
      </c>
      <c r="H9486" t="s">
        <v>21</v>
      </c>
      <c r="I9486" t="s">
        <v>18758</v>
      </c>
      <c r="J9486" t="str">
        <f>HYPERLINK("https://www.boe.es/gazeta/dias/1823/08/07/pdfs/GES-1823-120.pdf#page=1","Abrir facsímil")</f>
        <v>Abrir facsímil</v>
      </c>
      <c r="K9486" t="s">
        <v>23</v>
      </c>
    </row>
    <row r="9487" spans="1:11" ht="42" customHeight="1">
      <c r="A9487" t="s">
        <v>18759</v>
      </c>
      <c r="B9487" t="s">
        <v>18759</v>
      </c>
      <c r="C9487" t="s">
        <v>17</v>
      </c>
      <c r="D9487" t="s">
        <v>18</v>
      </c>
      <c r="E9487" s="6">
        <v>-28072</v>
      </c>
      <c r="F9487" t="s">
        <v>4439</v>
      </c>
      <c r="G9487" t="s">
        <v>20</v>
      </c>
      <c r="H9487" t="s">
        <v>21</v>
      </c>
      <c r="I9487" t="s">
        <v>18760</v>
      </c>
      <c r="J9487" t="str">
        <f>HYPERLINK("https://www.boe.es/gazeta/dias/1823/02/20/pdfs/GMD-1823-54.pdf#page=4","Abrir facsímil")</f>
        <v>Abrir facsímil</v>
      </c>
      <c r="K9487" t="s">
        <v>23</v>
      </c>
    </row>
    <row r="9488" spans="1:11" ht="42" customHeight="1">
      <c r="A9488" t="s">
        <v>18759</v>
      </c>
      <c r="B9488" t="s">
        <v>18759</v>
      </c>
      <c r="C9488" t="s">
        <v>17</v>
      </c>
      <c r="D9488" t="s">
        <v>18</v>
      </c>
      <c r="E9488" s="6">
        <v>-28025</v>
      </c>
      <c r="F9488" t="s">
        <v>477</v>
      </c>
      <c r="G9488" t="s">
        <v>27</v>
      </c>
      <c r="H9488" t="s">
        <v>21</v>
      </c>
      <c r="I9488" t="s">
        <v>18761</v>
      </c>
      <c r="J9488" t="str">
        <f>HYPERLINK("https://www.boe.es/gazeta/dias/1823/04/08/pdfs/GMD-1823-103.pdf#page=2","Abrir facsímil")</f>
        <v>Abrir facsímil</v>
      </c>
      <c r="K9488" t="s">
        <v>23</v>
      </c>
    </row>
    <row r="9489" spans="1:11" ht="42" customHeight="1">
      <c r="A9489" t="s">
        <v>18759</v>
      </c>
      <c r="B9489" t="s">
        <v>18759</v>
      </c>
      <c r="C9489" t="s">
        <v>17</v>
      </c>
      <c r="D9489" t="s">
        <v>18</v>
      </c>
      <c r="E9489" s="6">
        <v>-28017</v>
      </c>
      <c r="F9489" t="s">
        <v>2912</v>
      </c>
      <c r="G9489" t="s">
        <v>39</v>
      </c>
      <c r="H9489" t="s">
        <v>21</v>
      </c>
      <c r="I9489" t="s">
        <v>18762</v>
      </c>
      <c r="J9489" t="str">
        <f>HYPERLINK("https://www.boe.es/gazeta/dias/1823/04/16/pdfs/GES-1823-6.pdf#page=1","Abrir facsímil")</f>
        <v>Abrir facsímil</v>
      </c>
      <c r="K9489" t="s">
        <v>23</v>
      </c>
    </row>
    <row r="9490" spans="1:11" ht="42" customHeight="1">
      <c r="A9490" t="s">
        <v>18759</v>
      </c>
      <c r="B9490" t="s">
        <v>18759</v>
      </c>
      <c r="C9490" t="s">
        <v>17</v>
      </c>
      <c r="D9490" t="s">
        <v>18</v>
      </c>
      <c r="E9490" s="6">
        <v>-27860</v>
      </c>
      <c r="F9490" t="s">
        <v>998</v>
      </c>
      <c r="G9490" t="s">
        <v>34</v>
      </c>
      <c r="H9490" t="s">
        <v>21</v>
      </c>
      <c r="I9490" t="s">
        <v>18763</v>
      </c>
      <c r="J9490" t="str">
        <f>HYPERLINK("https://www.boe.es/gazeta/dias/1823/09/20/pdfs/GMD-1823-813.pdf#page=5","Abrir facsímil")</f>
        <v>Abrir facsímil</v>
      </c>
      <c r="K9490" t="s">
        <v>23</v>
      </c>
    </row>
    <row r="9491" spans="1:11" ht="42" customHeight="1">
      <c r="A9491" t="s">
        <v>18764</v>
      </c>
      <c r="B9491" t="s">
        <v>18765</v>
      </c>
      <c r="C9491" t="s">
        <v>17</v>
      </c>
      <c r="D9491" t="s">
        <v>18</v>
      </c>
      <c r="E9491" s="6">
        <v>-27982</v>
      </c>
      <c r="F9491" t="s">
        <v>340</v>
      </c>
      <c r="G9491" t="s">
        <v>27</v>
      </c>
      <c r="H9491" t="s">
        <v>21</v>
      </c>
      <c r="I9491" t="s">
        <v>18766</v>
      </c>
      <c r="J9491" t="str">
        <f>HYPERLINK("https://www.boe.es/gazeta/dias/1823/05/21/pdfs/GES-1823-42.pdf#page=2","Abrir facsímil")</f>
        <v>Abrir facsímil</v>
      </c>
      <c r="K9491" t="s">
        <v>23</v>
      </c>
    </row>
    <row r="9492" spans="1:11" ht="42" customHeight="1">
      <c r="A9492" t="s">
        <v>18767</v>
      </c>
      <c r="B9492" t="s">
        <v>18768</v>
      </c>
      <c r="C9492" t="s">
        <v>109</v>
      </c>
      <c r="D9492" t="s">
        <v>74</v>
      </c>
      <c r="E9492" s="6">
        <v>-27981</v>
      </c>
      <c r="F9492" t="s">
        <v>1521</v>
      </c>
      <c r="G9492" t="s">
        <v>2395</v>
      </c>
      <c r="H9492" t="s">
        <v>21</v>
      </c>
      <c r="I9492" t="s">
        <v>18769</v>
      </c>
      <c r="J9492" t="str">
        <f>HYPERLINK("https://www.boe.es/gazeta/dias/1823/05/22/pdfs/GES-1823-43.pdf#page=2","Abrir facsímil")</f>
        <v>Abrir facsímil</v>
      </c>
      <c r="K9492" t="s">
        <v>23</v>
      </c>
    </row>
    <row r="9493" spans="1:11" ht="42" customHeight="1">
      <c r="A9493" t="s">
        <v>18770</v>
      </c>
      <c r="B9493" t="s">
        <v>18771</v>
      </c>
      <c r="C9493" t="s">
        <v>17</v>
      </c>
      <c r="D9493" t="s">
        <v>18</v>
      </c>
      <c r="E9493" s="6">
        <v>-27983</v>
      </c>
      <c r="F9493" t="s">
        <v>337</v>
      </c>
      <c r="G9493" t="s">
        <v>48</v>
      </c>
      <c r="H9493" t="s">
        <v>21</v>
      </c>
      <c r="I9493" t="s">
        <v>18772</v>
      </c>
      <c r="J9493" t="str">
        <f>HYPERLINK("https://www.boe.es/gazeta/dias/1823/05/20/pdfs/GES-1823-40.pdf#page=3","Abrir facsímil")</f>
        <v>Abrir facsímil</v>
      </c>
      <c r="K9493" t="s">
        <v>23</v>
      </c>
    </row>
    <row r="9494" spans="1:11" ht="42" customHeight="1">
      <c r="A9494" t="s">
        <v>18770</v>
      </c>
      <c r="B9494" t="s">
        <v>18771</v>
      </c>
      <c r="C9494" t="s">
        <v>17</v>
      </c>
      <c r="D9494" t="s">
        <v>18</v>
      </c>
      <c r="E9494" s="6">
        <v>-27982</v>
      </c>
      <c r="F9494" t="s">
        <v>340</v>
      </c>
      <c r="G9494" t="s">
        <v>27</v>
      </c>
      <c r="H9494" t="s">
        <v>21</v>
      </c>
      <c r="I9494" t="s">
        <v>18773</v>
      </c>
      <c r="J9494" t="str">
        <f>HYPERLINK("https://www.boe.es/gazeta/dias/1823/05/21/pdfs/GES-1823-42.pdf#page=2","Abrir facsímil")</f>
        <v>Abrir facsímil</v>
      </c>
      <c r="K9494" t="s">
        <v>23</v>
      </c>
    </row>
    <row r="9495" spans="1:11" ht="42" customHeight="1">
      <c r="A9495" t="s">
        <v>18774</v>
      </c>
      <c r="B9495" t="s">
        <v>18775</v>
      </c>
      <c r="C9495" t="s">
        <v>17</v>
      </c>
      <c r="D9495" t="s">
        <v>18</v>
      </c>
      <c r="E9495" s="6">
        <v>-28094</v>
      </c>
      <c r="F9495" t="s">
        <v>93</v>
      </c>
      <c r="G9495" t="s">
        <v>20</v>
      </c>
      <c r="H9495" t="s">
        <v>21</v>
      </c>
      <c r="I9495" t="s">
        <v>18776</v>
      </c>
      <c r="J9495" t="str">
        <f>HYPERLINK("https://www.boe.es/gazeta/dias/1823/01/29/pdfs/GMD-1823-30.pdf#page=4","Abrir facsímil")</f>
        <v>Abrir facsímil</v>
      </c>
      <c r="K9495" t="s">
        <v>23</v>
      </c>
    </row>
    <row r="9496" spans="1:11" ht="42" customHeight="1">
      <c r="A9496" t="s">
        <v>18774</v>
      </c>
      <c r="B9496" t="s">
        <v>18775</v>
      </c>
      <c r="C9496" t="s">
        <v>17</v>
      </c>
      <c r="D9496" t="s">
        <v>18</v>
      </c>
      <c r="E9496" s="6">
        <v>-28051</v>
      </c>
      <c r="F9496" t="s">
        <v>305</v>
      </c>
      <c r="G9496" t="s">
        <v>20</v>
      </c>
      <c r="H9496" t="s">
        <v>21</v>
      </c>
      <c r="I9496" t="s">
        <v>18777</v>
      </c>
      <c r="J9496" t="str">
        <f>HYPERLINK("https://www.boe.es/gazeta/dias/1823/03/13/pdfs/GMD-1823-76.pdf#page=4","Abrir facsímil")</f>
        <v>Abrir facsímil</v>
      </c>
      <c r="K9496" t="s">
        <v>23</v>
      </c>
    </row>
    <row r="9497" spans="1:11" ht="42" customHeight="1">
      <c r="A9497" t="s">
        <v>18774</v>
      </c>
      <c r="B9497" t="s">
        <v>18775</v>
      </c>
      <c r="C9497" t="s">
        <v>17</v>
      </c>
      <c r="D9497" t="s">
        <v>18</v>
      </c>
      <c r="E9497" s="6">
        <v>-28008</v>
      </c>
      <c r="F9497" t="s">
        <v>309</v>
      </c>
      <c r="G9497" t="s">
        <v>39</v>
      </c>
      <c r="H9497" t="s">
        <v>21</v>
      </c>
      <c r="I9497" t="s">
        <v>18778</v>
      </c>
      <c r="J9497" t="str">
        <f>HYPERLINK("https://www.boe.es/gazeta/dias/1823/04/25/pdfs/GES-1823-15.pdf#page=1","Abrir facsímil")</f>
        <v>Abrir facsímil</v>
      </c>
      <c r="K9497" t="s">
        <v>23</v>
      </c>
    </row>
    <row r="9498" spans="1:11" ht="42" customHeight="1">
      <c r="A9498" t="s">
        <v>18779</v>
      </c>
      <c r="B9498" t="s">
        <v>18780</v>
      </c>
      <c r="C9498" t="s">
        <v>293</v>
      </c>
      <c r="D9498" t="s">
        <v>74</v>
      </c>
      <c r="E9498" s="6">
        <v>-27985</v>
      </c>
      <c r="F9498" t="s">
        <v>951</v>
      </c>
      <c r="G9498" t="s">
        <v>39</v>
      </c>
      <c r="H9498" t="s">
        <v>21</v>
      </c>
      <c r="I9498" t="s">
        <v>18781</v>
      </c>
      <c r="J9498" t="str">
        <f>HYPERLINK("https://www.boe.es/gazeta/dias/1823/05/18/pdfs/GES-1823-38.pdf#page=1","Abrir facsímil")</f>
        <v>Abrir facsímil</v>
      </c>
      <c r="K9498" t="s">
        <v>23</v>
      </c>
    </row>
    <row r="9499" spans="1:11" ht="42" customHeight="1">
      <c r="A9499" t="s">
        <v>18782</v>
      </c>
      <c r="B9499" t="s">
        <v>18783</v>
      </c>
      <c r="C9499" t="s">
        <v>17</v>
      </c>
      <c r="D9499" t="s">
        <v>18</v>
      </c>
      <c r="E9499" s="6">
        <v>-27920</v>
      </c>
      <c r="F9499" t="s">
        <v>1334</v>
      </c>
      <c r="G9499" t="s">
        <v>276</v>
      </c>
      <c r="H9499" t="s">
        <v>21</v>
      </c>
      <c r="I9499" t="s">
        <v>18784</v>
      </c>
      <c r="J9499" t="str">
        <f>HYPERLINK("https://www.boe.es/gazeta/dias/1823/07/22/pdfs/GMD-1823-443.pdf#page=7","Abrir facsímil")</f>
        <v>Abrir facsímil</v>
      </c>
      <c r="K9499" t="s">
        <v>23</v>
      </c>
    </row>
    <row r="9500" spans="1:11" ht="42" customHeight="1">
      <c r="A9500" t="s">
        <v>18785</v>
      </c>
      <c r="B9500" t="s">
        <v>18786</v>
      </c>
      <c r="C9500" t="s">
        <v>56</v>
      </c>
      <c r="D9500" t="s">
        <v>57</v>
      </c>
      <c r="E9500" s="6">
        <v>-27820</v>
      </c>
      <c r="F9500" t="s">
        <v>6283</v>
      </c>
      <c r="G9500" t="s">
        <v>39</v>
      </c>
      <c r="H9500" t="s">
        <v>21</v>
      </c>
      <c r="I9500" t="s">
        <v>18787</v>
      </c>
      <c r="J9500" t="str">
        <f>HYPERLINK("https://www.boe.es/gazeta/dias/1823/10/30/pdfs/GMD-1823-1043.pdf#page=1","Abrir facsímil")</f>
        <v>Abrir facsímil</v>
      </c>
      <c r="K9500" t="s">
        <v>23</v>
      </c>
    </row>
    <row r="9501" spans="1:11" ht="42" customHeight="1">
      <c r="A9501" t="s">
        <v>18788</v>
      </c>
      <c r="B9501" t="s">
        <v>18789</v>
      </c>
      <c r="C9501" t="s">
        <v>79</v>
      </c>
      <c r="D9501" t="s">
        <v>74</v>
      </c>
      <c r="E9501" s="6">
        <v>-28100</v>
      </c>
      <c r="F9501" t="s">
        <v>737</v>
      </c>
      <c r="G9501" t="s">
        <v>27</v>
      </c>
      <c r="H9501" t="s">
        <v>21</v>
      </c>
      <c r="I9501" t="s">
        <v>18790</v>
      </c>
      <c r="J9501" t="str">
        <f>HYPERLINK("https://www.boe.es/gazeta/dias/1823/01/23/pdfs/GMD-1823-24.pdf#page=2","Abrir facsímil")</f>
        <v>Abrir facsímil</v>
      </c>
      <c r="K9501" t="s">
        <v>23</v>
      </c>
    </row>
    <row r="9502" spans="1:11" ht="42" customHeight="1">
      <c r="A9502" t="s">
        <v>18791</v>
      </c>
      <c r="B9502" t="s">
        <v>18792</v>
      </c>
      <c r="C9502" t="s">
        <v>56</v>
      </c>
      <c r="D9502" t="s">
        <v>57</v>
      </c>
      <c r="E9502" s="6">
        <v>-27931</v>
      </c>
      <c r="F9502" t="s">
        <v>1833</v>
      </c>
      <c r="G9502" t="s">
        <v>39</v>
      </c>
      <c r="H9502" t="s">
        <v>21</v>
      </c>
      <c r="I9502" t="s">
        <v>18793</v>
      </c>
      <c r="J9502" t="str">
        <f>HYPERLINK("https://www.boe.es/gazeta/dias/1823/07/11/pdfs/GES-1823-91.pdf#page=1","Abrir facsímil")</f>
        <v>Abrir facsímil</v>
      </c>
      <c r="K9502" t="s">
        <v>23</v>
      </c>
    </row>
    <row r="9503" spans="1:11" ht="42" customHeight="1">
      <c r="A9503" t="s">
        <v>18791</v>
      </c>
      <c r="B9503" t="s">
        <v>18792</v>
      </c>
      <c r="C9503" t="s">
        <v>109</v>
      </c>
      <c r="D9503" t="s">
        <v>74</v>
      </c>
      <c r="E9503" s="6">
        <v>-27930</v>
      </c>
      <c r="F9503" t="s">
        <v>2334</v>
      </c>
      <c r="G9503" t="s">
        <v>48</v>
      </c>
      <c r="H9503" t="s">
        <v>21</v>
      </c>
      <c r="I9503" t="s">
        <v>18794</v>
      </c>
      <c r="J9503" t="str">
        <f>HYPERLINK("https://www.boe.es/gazeta/dias/1823/07/12/pdfs/GES-1823-92.pdf#page=3","Abrir facsímil")</f>
        <v>Abrir facsímil</v>
      </c>
      <c r="K9503" t="s">
        <v>23</v>
      </c>
    </row>
    <row r="9504" spans="1:11" ht="42" customHeight="1">
      <c r="A9504" t="s">
        <v>18791</v>
      </c>
      <c r="B9504" t="s">
        <v>18792</v>
      </c>
      <c r="C9504" t="s">
        <v>109</v>
      </c>
      <c r="D9504" t="s">
        <v>74</v>
      </c>
      <c r="E9504" s="6">
        <v>-27904</v>
      </c>
      <c r="F9504" t="s">
        <v>1748</v>
      </c>
      <c r="G9504" t="s">
        <v>48</v>
      </c>
      <c r="H9504" t="s">
        <v>21</v>
      </c>
      <c r="I9504" t="s">
        <v>18795</v>
      </c>
      <c r="J9504" t="str">
        <f>HYPERLINK("https://www.boe.es/gazeta/dias/1823/08/07/pdfs/GES-1823-120.pdf#page=3","Abrir facsímil")</f>
        <v>Abrir facsímil</v>
      </c>
      <c r="K9504" t="s">
        <v>23</v>
      </c>
    </row>
    <row r="9505" spans="1:11" ht="42" customHeight="1">
      <c r="A9505" t="s">
        <v>18796</v>
      </c>
      <c r="B9505" t="s">
        <v>18797</v>
      </c>
      <c r="C9505" t="s">
        <v>109</v>
      </c>
      <c r="D9505" t="s">
        <v>74</v>
      </c>
      <c r="E9505" s="6">
        <v>-27881</v>
      </c>
      <c r="F9505" t="s">
        <v>485</v>
      </c>
      <c r="G9505" t="s">
        <v>20</v>
      </c>
      <c r="H9505" t="s">
        <v>21</v>
      </c>
      <c r="I9505" t="s">
        <v>18798</v>
      </c>
      <c r="J9505" t="str">
        <f>HYPERLINK("https://www.boe.es/gazeta/dias/1823/08/30/pdfs/GES-1823-143.pdf#page=4","Abrir facsímil")</f>
        <v>Abrir facsímil</v>
      </c>
      <c r="K9505" t="s">
        <v>23</v>
      </c>
    </row>
    <row r="9506" spans="1:11" ht="42" customHeight="1">
      <c r="A9506" t="s">
        <v>18799</v>
      </c>
      <c r="B9506" t="s">
        <v>18800</v>
      </c>
      <c r="C9506" t="s">
        <v>17</v>
      </c>
      <c r="D9506" t="s">
        <v>18</v>
      </c>
      <c r="E9506" s="6">
        <v>-27841</v>
      </c>
      <c r="F9506" t="s">
        <v>721</v>
      </c>
      <c r="G9506" t="s">
        <v>20</v>
      </c>
      <c r="H9506" t="s">
        <v>21</v>
      </c>
      <c r="I9506" t="s">
        <v>18801</v>
      </c>
      <c r="J9506" t="str">
        <f>HYPERLINK("https://www.boe.es/gazeta/dias/1823/10/09/pdfs/GMD-1823-953.pdf#page=4","Abrir facsímil")</f>
        <v>Abrir facsímil</v>
      </c>
      <c r="K9506" t="s">
        <v>23</v>
      </c>
    </row>
    <row r="9507" spans="1:11" ht="42" customHeight="1">
      <c r="A9507" t="s">
        <v>18802</v>
      </c>
      <c r="B9507" t="s">
        <v>18803</v>
      </c>
      <c r="C9507" t="s">
        <v>109</v>
      </c>
      <c r="D9507" t="s">
        <v>74</v>
      </c>
      <c r="E9507" s="6">
        <v>-27792</v>
      </c>
      <c r="F9507" t="s">
        <v>611</v>
      </c>
      <c r="G9507" t="s">
        <v>20</v>
      </c>
      <c r="H9507" t="s">
        <v>21</v>
      </c>
      <c r="I9507" t="s">
        <v>18804</v>
      </c>
      <c r="J9507" t="str">
        <f>HYPERLINK("https://www.boe.es/gazeta/dias/1823/11/27/pdfs/GMD-1823-1173.pdf#page=4","Abrir facsímil")</f>
        <v>Abrir facsímil</v>
      </c>
      <c r="K9507" t="s">
        <v>23</v>
      </c>
    </row>
    <row r="9508" spans="1:11" ht="42" customHeight="1">
      <c r="A9508" t="s">
        <v>18805</v>
      </c>
      <c r="B9508" t="s">
        <v>18806</v>
      </c>
      <c r="C9508" t="s">
        <v>17</v>
      </c>
      <c r="D9508" t="s">
        <v>18</v>
      </c>
      <c r="E9508" s="6">
        <v>-27930</v>
      </c>
      <c r="F9508" t="s">
        <v>2334</v>
      </c>
      <c r="G9508" t="s">
        <v>48</v>
      </c>
      <c r="H9508" t="s">
        <v>21</v>
      </c>
      <c r="I9508" t="s">
        <v>18807</v>
      </c>
      <c r="J9508" t="str">
        <f>HYPERLINK("https://www.boe.es/gazeta/dias/1823/07/12/pdfs/GES-1823-92.pdf#page=3","Abrir facsímil")</f>
        <v>Abrir facsímil</v>
      </c>
      <c r="K9508" t="s">
        <v>23</v>
      </c>
    </row>
    <row r="9509" spans="1:11" ht="42" customHeight="1">
      <c r="A9509" t="s">
        <v>18808</v>
      </c>
      <c r="B9509" t="s">
        <v>18809</v>
      </c>
      <c r="C9509" t="s">
        <v>79</v>
      </c>
      <c r="D9509" t="s">
        <v>74</v>
      </c>
      <c r="E9509" s="6">
        <v>-27906</v>
      </c>
      <c r="F9509" t="s">
        <v>1527</v>
      </c>
      <c r="G9509" t="s">
        <v>59</v>
      </c>
      <c r="H9509" t="s">
        <v>21</v>
      </c>
      <c r="I9509" t="s">
        <v>18810</v>
      </c>
      <c r="J9509" t="str">
        <f>HYPERLINK("https://www.boe.es/gazeta/dias/1823/08/05/pdfs/GMD-1823-533.pdf#page=6","Abrir facsímil")</f>
        <v>Abrir facsímil</v>
      </c>
      <c r="K9509" t="s">
        <v>23</v>
      </c>
    </row>
    <row r="9510" spans="1:11" ht="42" customHeight="1">
      <c r="A9510" t="s">
        <v>18811</v>
      </c>
      <c r="B9510" t="s">
        <v>18811</v>
      </c>
      <c r="C9510" t="s">
        <v>56</v>
      </c>
      <c r="D9510" t="s">
        <v>57</v>
      </c>
      <c r="E9510" s="6">
        <v>-27951</v>
      </c>
      <c r="F9510" t="s">
        <v>548</v>
      </c>
      <c r="G9510" t="s">
        <v>20</v>
      </c>
      <c r="H9510" t="s">
        <v>21</v>
      </c>
      <c r="I9510" t="s">
        <v>18812</v>
      </c>
      <c r="J9510" t="str">
        <f>HYPERLINK("https://www.boe.es/gazeta/dias/1823/06/21/pdfs/GES-1823-69.pdf#page=4","Abrir facsímil")</f>
        <v>Abrir facsímil</v>
      </c>
      <c r="K9510" t="s">
        <v>23</v>
      </c>
    </row>
    <row r="9511" spans="1:11" ht="42" customHeight="1">
      <c r="A9511" t="s">
        <v>18813</v>
      </c>
      <c r="B9511" t="s">
        <v>18814</v>
      </c>
      <c r="C9511" t="s">
        <v>17</v>
      </c>
      <c r="D9511" t="s">
        <v>18</v>
      </c>
      <c r="E9511" s="6">
        <v>-27996</v>
      </c>
      <c r="F9511" t="s">
        <v>695</v>
      </c>
      <c r="G9511" t="s">
        <v>39</v>
      </c>
      <c r="H9511" t="s">
        <v>21</v>
      </c>
      <c r="I9511" t="s">
        <v>18815</v>
      </c>
      <c r="J9511" t="str">
        <f>HYPERLINK("https://www.boe.es/gazeta/dias/1823/05/07/pdfs/GES-1823-27.pdf#page=1","Abrir facsímil")</f>
        <v>Abrir facsímil</v>
      </c>
      <c r="K9511" t="s">
        <v>23</v>
      </c>
    </row>
    <row r="9512" spans="1:11" ht="42" customHeight="1">
      <c r="A9512" t="s">
        <v>18816</v>
      </c>
      <c r="B9512" t="s">
        <v>18816</v>
      </c>
      <c r="C9512" t="s">
        <v>17</v>
      </c>
      <c r="D9512" t="s">
        <v>18</v>
      </c>
      <c r="E9512" s="6">
        <v>-27910</v>
      </c>
      <c r="F9512" t="s">
        <v>38</v>
      </c>
      <c r="G9512" t="s">
        <v>20</v>
      </c>
      <c r="H9512" t="s">
        <v>21</v>
      </c>
      <c r="I9512" t="s">
        <v>18817</v>
      </c>
      <c r="J9512" t="str">
        <f>HYPERLINK("https://www.boe.es/gazeta/dias/1823/08/01/pdfs/GES-1823-113.pdf#page=4","Abrir facsímil")</f>
        <v>Abrir facsímil</v>
      </c>
      <c r="K9512" t="s">
        <v>23</v>
      </c>
    </row>
    <row r="9513" spans="1:11" ht="42" customHeight="1">
      <c r="A9513" t="s">
        <v>18818</v>
      </c>
      <c r="B9513" t="s">
        <v>18818</v>
      </c>
      <c r="C9513" t="s">
        <v>79</v>
      </c>
      <c r="D9513" t="s">
        <v>74</v>
      </c>
      <c r="E9513" s="6">
        <v>-28115</v>
      </c>
      <c r="F9513" t="s">
        <v>579</v>
      </c>
      <c r="G9513" t="s">
        <v>27</v>
      </c>
      <c r="H9513" t="s">
        <v>21</v>
      </c>
      <c r="I9513" t="s">
        <v>18819</v>
      </c>
      <c r="J9513" t="str">
        <f>HYPERLINK("https://www.boe.es/gazeta/dias/1823/01/08/pdfs/GMD-1823-8.pdf#page=2","Abrir facsímil")</f>
        <v>Abrir facsímil</v>
      </c>
      <c r="K9513" t="s">
        <v>23</v>
      </c>
    </row>
    <row r="9514" spans="1:11" ht="42" customHeight="1">
      <c r="A9514" t="s">
        <v>18818</v>
      </c>
      <c r="B9514" t="s">
        <v>18818</v>
      </c>
      <c r="C9514" t="s">
        <v>79</v>
      </c>
      <c r="D9514" t="s">
        <v>74</v>
      </c>
      <c r="E9514" s="6">
        <v>-28114</v>
      </c>
      <c r="F9514" t="s">
        <v>153</v>
      </c>
      <c r="G9514" t="s">
        <v>20</v>
      </c>
      <c r="H9514" t="s">
        <v>21</v>
      </c>
      <c r="I9514" t="s">
        <v>18820</v>
      </c>
      <c r="J9514" t="str">
        <f>HYPERLINK("https://www.boe.es/gazeta/dias/1823/01/09/pdfs/GMD-1823-9.pdf#page=4","Abrir facsímil")</f>
        <v>Abrir facsímil</v>
      </c>
      <c r="K9514" t="s">
        <v>23</v>
      </c>
    </row>
    <row r="9515" spans="1:11" ht="42" customHeight="1">
      <c r="A9515" t="s">
        <v>18818</v>
      </c>
      <c r="B9515" t="s">
        <v>18818</v>
      </c>
      <c r="C9515" t="s">
        <v>17</v>
      </c>
      <c r="D9515" t="s">
        <v>18</v>
      </c>
      <c r="E9515" s="6">
        <v>-28097</v>
      </c>
      <c r="F9515" t="s">
        <v>1368</v>
      </c>
      <c r="G9515" t="s">
        <v>27</v>
      </c>
      <c r="H9515" t="s">
        <v>21</v>
      </c>
      <c r="I9515" t="s">
        <v>18821</v>
      </c>
      <c r="J9515" t="str">
        <f>HYPERLINK("https://www.boe.es/gazeta/dias/1823/01/26/pdfs/GMD-1823-27.pdf#page=2","Abrir facsímil")</f>
        <v>Abrir facsímil</v>
      </c>
      <c r="K9515" t="s">
        <v>23</v>
      </c>
    </row>
    <row r="9516" spans="1:11" ht="42" customHeight="1">
      <c r="A9516" t="s">
        <v>18818</v>
      </c>
      <c r="B9516" t="s">
        <v>18818</v>
      </c>
      <c r="C9516" t="s">
        <v>17</v>
      </c>
      <c r="D9516" t="s">
        <v>18</v>
      </c>
      <c r="E9516" s="6">
        <v>-28092</v>
      </c>
      <c r="F9516" t="s">
        <v>105</v>
      </c>
      <c r="G9516" t="s">
        <v>27</v>
      </c>
      <c r="H9516" t="s">
        <v>21</v>
      </c>
      <c r="I9516" t="s">
        <v>18822</v>
      </c>
      <c r="J9516" t="str">
        <f>HYPERLINK("https://www.boe.es/gazeta/dias/1823/01/31/pdfs/GMD-1823-32.pdf#page=2","Abrir facsímil")</f>
        <v>Abrir facsímil</v>
      </c>
      <c r="K9516" t="s">
        <v>23</v>
      </c>
    </row>
    <row r="9517" spans="1:11" ht="42" customHeight="1">
      <c r="A9517" t="s">
        <v>18818</v>
      </c>
      <c r="B9517" t="s">
        <v>18818</v>
      </c>
      <c r="C9517" t="s">
        <v>79</v>
      </c>
      <c r="D9517" t="s">
        <v>74</v>
      </c>
      <c r="E9517" s="6">
        <v>-28083</v>
      </c>
      <c r="F9517" t="s">
        <v>291</v>
      </c>
      <c r="G9517" t="s">
        <v>39</v>
      </c>
      <c r="H9517" t="s">
        <v>21</v>
      </c>
      <c r="I9517" t="s">
        <v>18823</v>
      </c>
      <c r="J9517" t="str">
        <f>HYPERLINK("https://www.boe.es/gazeta/dias/1823/02/09/pdfs/GMD-1823-43.pdf#page=1","Abrir facsímil")</f>
        <v>Abrir facsímil</v>
      </c>
      <c r="K9517" t="s">
        <v>23</v>
      </c>
    </row>
    <row r="9518" spans="1:11" ht="42" customHeight="1">
      <c r="A9518" t="s">
        <v>18818</v>
      </c>
      <c r="B9518" t="s">
        <v>18818</v>
      </c>
      <c r="C9518" t="s">
        <v>109</v>
      </c>
      <c r="D9518" t="s">
        <v>74</v>
      </c>
      <c r="E9518" s="6">
        <v>-28077</v>
      </c>
      <c r="F9518" t="s">
        <v>536</v>
      </c>
      <c r="G9518" t="s">
        <v>39</v>
      </c>
      <c r="H9518" t="s">
        <v>21</v>
      </c>
      <c r="I9518" t="s">
        <v>18824</v>
      </c>
      <c r="J9518" t="str">
        <f>HYPERLINK("https://www.boe.es/gazeta/dias/1823/02/15/pdfs/GMD-1823-49.pdf#page=1","Abrir facsímil")</f>
        <v>Abrir facsímil</v>
      </c>
      <c r="K9518" t="s">
        <v>23</v>
      </c>
    </row>
    <row r="9519" spans="1:11" ht="42" customHeight="1">
      <c r="A9519" t="s">
        <v>18818</v>
      </c>
      <c r="B9519" t="s">
        <v>18818</v>
      </c>
      <c r="C9519" t="s">
        <v>56</v>
      </c>
      <c r="D9519" t="s">
        <v>57</v>
      </c>
      <c r="E9519" s="6">
        <v>-28073</v>
      </c>
      <c r="F9519" t="s">
        <v>204</v>
      </c>
      <c r="G9519" t="s">
        <v>27</v>
      </c>
      <c r="H9519" t="s">
        <v>21</v>
      </c>
      <c r="I9519" t="s">
        <v>18825</v>
      </c>
      <c r="J9519" t="str">
        <f>HYPERLINK("https://www.boe.es/gazeta/dias/1823/02/19/pdfs/GMD-1823-53.pdf#page=2","Abrir facsímil")</f>
        <v>Abrir facsímil</v>
      </c>
      <c r="K9519" t="s">
        <v>23</v>
      </c>
    </row>
    <row r="9520" spans="1:11" ht="42" customHeight="1">
      <c r="A9520" t="s">
        <v>18818</v>
      </c>
      <c r="B9520" t="s">
        <v>18818</v>
      </c>
      <c r="C9520" t="s">
        <v>109</v>
      </c>
      <c r="D9520" t="s">
        <v>74</v>
      </c>
      <c r="E9520" s="6">
        <v>-28057</v>
      </c>
      <c r="F9520" t="s">
        <v>301</v>
      </c>
      <c r="G9520" t="s">
        <v>20</v>
      </c>
      <c r="H9520" t="s">
        <v>21</v>
      </c>
      <c r="I9520" t="s">
        <v>18826</v>
      </c>
      <c r="J9520" t="str">
        <f>HYPERLINK("https://www.boe.es/gazeta/dias/1823/03/07/pdfs/GMD-1823-70.pdf#page=4","Abrir facsímil")</f>
        <v>Abrir facsímil</v>
      </c>
      <c r="K9520" t="s">
        <v>23</v>
      </c>
    </row>
    <row r="9521" spans="1:11" ht="42" customHeight="1">
      <c r="A9521" t="s">
        <v>18818</v>
      </c>
      <c r="B9521" t="s">
        <v>18818</v>
      </c>
      <c r="C9521" t="s">
        <v>79</v>
      </c>
      <c r="D9521" t="s">
        <v>74</v>
      </c>
      <c r="E9521" s="6">
        <v>-28046</v>
      </c>
      <c r="F9521" t="s">
        <v>85</v>
      </c>
      <c r="G9521" t="s">
        <v>48</v>
      </c>
      <c r="H9521" t="s">
        <v>21</v>
      </c>
      <c r="I9521" t="s">
        <v>18827</v>
      </c>
      <c r="J9521" t="str">
        <f>HYPERLINK("https://www.boe.es/gazeta/dias/1823/03/18/pdfs/GMD-1823-81.pdf#page=3","Abrir facsímil")</f>
        <v>Abrir facsímil</v>
      </c>
      <c r="K9521" t="s">
        <v>23</v>
      </c>
    </row>
    <row r="9522" spans="1:11" ht="42" customHeight="1">
      <c r="A9522" t="s">
        <v>18818</v>
      </c>
      <c r="B9522" t="s">
        <v>18818</v>
      </c>
      <c r="C9522" t="s">
        <v>17</v>
      </c>
      <c r="D9522" t="s">
        <v>18</v>
      </c>
      <c r="E9522" s="6">
        <v>-28009</v>
      </c>
      <c r="F9522" t="s">
        <v>307</v>
      </c>
      <c r="G9522" t="s">
        <v>34</v>
      </c>
      <c r="H9522" t="s">
        <v>21</v>
      </c>
      <c r="I9522" t="s">
        <v>18828</v>
      </c>
      <c r="J9522" t="str">
        <f>HYPERLINK("https://www.boe.es/gazeta/dias/1823/04/24/pdfs/GES-1823-14.pdf#page=5","Abrir facsímil")</f>
        <v>Abrir facsímil</v>
      </c>
      <c r="K9522" t="s">
        <v>23</v>
      </c>
    </row>
    <row r="9523" spans="1:11" ht="42" customHeight="1">
      <c r="A9523" t="s">
        <v>18818</v>
      </c>
      <c r="B9523" t="s">
        <v>18818</v>
      </c>
      <c r="C9523" t="s">
        <v>109</v>
      </c>
      <c r="D9523" t="s">
        <v>74</v>
      </c>
      <c r="E9523" s="6">
        <v>-28004</v>
      </c>
      <c r="F9523" t="s">
        <v>33</v>
      </c>
      <c r="G9523" t="s">
        <v>39</v>
      </c>
      <c r="H9523" t="s">
        <v>21</v>
      </c>
      <c r="I9523" t="s">
        <v>18829</v>
      </c>
      <c r="J9523" t="str">
        <f>HYPERLINK("https://www.boe.es/gazeta/dias/1823/04/29/pdfs/GES-1823-19.pdf#page=1","Abrir facsímil")</f>
        <v>Abrir facsímil</v>
      </c>
      <c r="K9523" t="s">
        <v>23</v>
      </c>
    </row>
    <row r="9524" spans="1:11" ht="42" customHeight="1">
      <c r="A9524" t="s">
        <v>18818</v>
      </c>
      <c r="B9524" t="s">
        <v>18818</v>
      </c>
      <c r="C9524" t="s">
        <v>79</v>
      </c>
      <c r="D9524" t="s">
        <v>74</v>
      </c>
      <c r="E9524" s="6">
        <v>-28004</v>
      </c>
      <c r="F9524" t="s">
        <v>33</v>
      </c>
      <c r="G9524" t="s">
        <v>27</v>
      </c>
      <c r="H9524" t="s">
        <v>21</v>
      </c>
      <c r="I9524" t="s">
        <v>18830</v>
      </c>
      <c r="J9524" t="str">
        <f>HYPERLINK("https://www.boe.es/gazeta/dias/1823/04/29/pdfs/GES-1823-19.pdf#page=2","Abrir facsímil")</f>
        <v>Abrir facsímil</v>
      </c>
      <c r="K9524" t="s">
        <v>23</v>
      </c>
    </row>
    <row r="9525" spans="1:11" ht="42" customHeight="1">
      <c r="A9525" t="s">
        <v>18818</v>
      </c>
      <c r="B9525" t="s">
        <v>18818</v>
      </c>
      <c r="C9525" t="s">
        <v>17</v>
      </c>
      <c r="D9525" t="s">
        <v>18</v>
      </c>
      <c r="E9525" s="6">
        <v>-27994</v>
      </c>
      <c r="F9525" t="s">
        <v>714</v>
      </c>
      <c r="G9525" t="s">
        <v>276</v>
      </c>
      <c r="H9525" t="s">
        <v>21</v>
      </c>
      <c r="I9525" t="s">
        <v>18831</v>
      </c>
      <c r="J9525" t="str">
        <f>HYPERLINK("https://www.boe.es/gazeta/dias/1823/05/09/pdfs/GES-1823-29.pdf#page=7","Abrir facsímil")</f>
        <v>Abrir facsímil</v>
      </c>
      <c r="K9525" t="s">
        <v>23</v>
      </c>
    </row>
    <row r="9526" spans="1:11" ht="42" customHeight="1">
      <c r="A9526" t="s">
        <v>18818</v>
      </c>
      <c r="B9526" t="s">
        <v>18818</v>
      </c>
      <c r="C9526" t="s">
        <v>17</v>
      </c>
      <c r="D9526" t="s">
        <v>18</v>
      </c>
      <c r="E9526" s="6">
        <v>-27988</v>
      </c>
      <c r="F9526" t="s">
        <v>2022</v>
      </c>
      <c r="G9526" t="s">
        <v>27</v>
      </c>
      <c r="H9526" t="s">
        <v>21</v>
      </c>
      <c r="I9526" t="s">
        <v>18832</v>
      </c>
      <c r="J9526" t="str">
        <f>HYPERLINK("https://www.boe.es/gazeta/dias/1823/05/15/pdfs/GMD-1823-142.pdf#page=2","Abrir facsímil")</f>
        <v>Abrir facsímil</v>
      </c>
      <c r="K9526" t="s">
        <v>23</v>
      </c>
    </row>
    <row r="9527" spans="1:11" ht="42" customHeight="1">
      <c r="A9527" t="s">
        <v>18818</v>
      </c>
      <c r="B9527" t="s">
        <v>18818</v>
      </c>
      <c r="C9527" t="s">
        <v>17</v>
      </c>
      <c r="D9527" t="s">
        <v>18</v>
      </c>
      <c r="E9527" s="6">
        <v>-27988</v>
      </c>
      <c r="F9527" t="s">
        <v>2022</v>
      </c>
      <c r="G9527" t="s">
        <v>48</v>
      </c>
      <c r="H9527" t="s">
        <v>21</v>
      </c>
      <c r="I9527" t="s">
        <v>18833</v>
      </c>
      <c r="J9527" t="str">
        <f>HYPERLINK("https://www.boe.es/gazeta/dias/1823/05/15/pdfs/GMD-1823-142.pdf#page=3","Abrir facsímil")</f>
        <v>Abrir facsímil</v>
      </c>
      <c r="K9527" t="s">
        <v>23</v>
      </c>
    </row>
    <row r="9528" spans="1:11" ht="42" customHeight="1">
      <c r="A9528" t="s">
        <v>18818</v>
      </c>
      <c r="B9528" t="s">
        <v>18818</v>
      </c>
      <c r="C9528" t="s">
        <v>325</v>
      </c>
      <c r="D9528" t="s">
        <v>74</v>
      </c>
      <c r="E9528" s="6">
        <v>-27981</v>
      </c>
      <c r="F9528" t="s">
        <v>1521</v>
      </c>
      <c r="G9528" t="s">
        <v>2395</v>
      </c>
      <c r="H9528" t="s">
        <v>21</v>
      </c>
      <c r="I9528" t="s">
        <v>18834</v>
      </c>
      <c r="J9528" t="str">
        <f>HYPERLINK("https://www.boe.es/gazeta/dias/1823/05/22/pdfs/GES-1823-43.pdf#page=2","Abrir facsímil")</f>
        <v>Abrir facsímil</v>
      </c>
      <c r="K9528" t="s">
        <v>23</v>
      </c>
    </row>
    <row r="9529" spans="1:11" ht="42" customHeight="1">
      <c r="A9529" t="s">
        <v>18818</v>
      </c>
      <c r="B9529" t="s">
        <v>18818</v>
      </c>
      <c r="C9529" t="s">
        <v>109</v>
      </c>
      <c r="D9529" t="s">
        <v>74</v>
      </c>
      <c r="E9529" s="6">
        <v>-27980</v>
      </c>
      <c r="F9529" t="s">
        <v>1068</v>
      </c>
      <c r="G9529" t="s">
        <v>34</v>
      </c>
      <c r="H9529" t="s">
        <v>21</v>
      </c>
      <c r="I9529" t="s">
        <v>18835</v>
      </c>
      <c r="J9529" t="str">
        <f>HYPERLINK("https://www.boe.es/gazeta/dias/1823/05/23/pdfs/GES-1823-44.pdf#page=5","Abrir facsímil")</f>
        <v>Abrir facsímil</v>
      </c>
      <c r="K9529" t="s">
        <v>23</v>
      </c>
    </row>
    <row r="9530" spans="1:11" ht="42" customHeight="1">
      <c r="A9530" t="s">
        <v>18818</v>
      </c>
      <c r="B9530" t="s">
        <v>18818</v>
      </c>
      <c r="C9530" t="s">
        <v>17</v>
      </c>
      <c r="D9530" t="s">
        <v>18</v>
      </c>
      <c r="E9530" s="6">
        <v>-27969</v>
      </c>
      <c r="F9530" t="s">
        <v>855</v>
      </c>
      <c r="G9530" t="s">
        <v>48</v>
      </c>
      <c r="H9530" t="s">
        <v>21</v>
      </c>
      <c r="I9530" t="s">
        <v>18836</v>
      </c>
      <c r="J9530" t="str">
        <f>HYPERLINK("https://www.boe.es/gazeta/dias/1823/06/03/pdfs/GES-1823-57.pdf#page=3","Abrir facsímil")</f>
        <v>Abrir facsímil</v>
      </c>
      <c r="K9530" t="s">
        <v>23</v>
      </c>
    </row>
    <row r="9531" spans="1:11" ht="42" customHeight="1">
      <c r="A9531" t="s">
        <v>18818</v>
      </c>
      <c r="B9531" t="s">
        <v>18818</v>
      </c>
      <c r="C9531" t="s">
        <v>56</v>
      </c>
      <c r="D9531" t="s">
        <v>57</v>
      </c>
      <c r="E9531" s="6">
        <v>-27968</v>
      </c>
      <c r="F9531" t="s">
        <v>1160</v>
      </c>
      <c r="G9531" t="s">
        <v>27</v>
      </c>
      <c r="H9531" t="s">
        <v>21</v>
      </c>
      <c r="I9531" t="s">
        <v>18837</v>
      </c>
      <c r="J9531" t="str">
        <f>HYPERLINK("https://www.boe.es/gazeta/dias/1823/06/04/pdfs/GES-1823-58.pdf#page=2","Abrir facsímil")</f>
        <v>Abrir facsímil</v>
      </c>
      <c r="K9531" t="s">
        <v>23</v>
      </c>
    </row>
    <row r="9532" spans="1:11" ht="42" customHeight="1">
      <c r="A9532" t="s">
        <v>18818</v>
      </c>
      <c r="B9532" t="s">
        <v>18818</v>
      </c>
      <c r="C9532" t="s">
        <v>109</v>
      </c>
      <c r="D9532" t="s">
        <v>74</v>
      </c>
      <c r="E9532" s="6">
        <v>-27966</v>
      </c>
      <c r="F9532" t="s">
        <v>675</v>
      </c>
      <c r="G9532" t="s">
        <v>20</v>
      </c>
      <c r="H9532" t="s">
        <v>21</v>
      </c>
      <c r="I9532" t="s">
        <v>18838</v>
      </c>
      <c r="J9532" t="str">
        <f>HYPERLINK("https://www.boe.es/gazeta/dias/1823/06/06/pdfs/GES-1823-60.pdf#page=4","Abrir facsímil")</f>
        <v>Abrir facsímil</v>
      </c>
      <c r="K9532" t="s">
        <v>23</v>
      </c>
    </row>
    <row r="9533" spans="1:11" ht="42" customHeight="1">
      <c r="A9533" t="s">
        <v>18818</v>
      </c>
      <c r="B9533" t="s">
        <v>18818</v>
      </c>
      <c r="C9533" t="s">
        <v>73</v>
      </c>
      <c r="D9533" t="s">
        <v>74</v>
      </c>
      <c r="E9533" s="6">
        <v>-27963</v>
      </c>
      <c r="F9533" t="s">
        <v>344</v>
      </c>
      <c r="G9533" t="s">
        <v>48</v>
      </c>
      <c r="H9533" t="s">
        <v>21</v>
      </c>
      <c r="I9533" t="s">
        <v>18839</v>
      </c>
      <c r="J9533" t="str">
        <f>HYPERLINK("https://www.boe.es/gazeta/dias/1823/06/09/pdfs/GES-1823-63.pdf#page=3","Abrir facsímil")</f>
        <v>Abrir facsímil</v>
      </c>
      <c r="K9533" t="s">
        <v>23</v>
      </c>
    </row>
    <row r="9534" spans="1:11" ht="42" customHeight="1">
      <c r="A9534" t="s">
        <v>18818</v>
      </c>
      <c r="B9534" t="s">
        <v>18818</v>
      </c>
      <c r="C9534" t="s">
        <v>84</v>
      </c>
      <c r="D9534" t="s">
        <v>74</v>
      </c>
      <c r="E9534" s="6">
        <v>-27963</v>
      </c>
      <c r="F9534" t="s">
        <v>344</v>
      </c>
      <c r="G9534" t="s">
        <v>59</v>
      </c>
      <c r="H9534" t="s">
        <v>21</v>
      </c>
      <c r="I9534" t="s">
        <v>18840</v>
      </c>
      <c r="J9534" t="str">
        <f>HYPERLINK("https://www.boe.es/gazeta/dias/1823/06/09/pdfs/GES-1823-63.pdf#page=6","Abrir facsímil")</f>
        <v>Abrir facsímil</v>
      </c>
      <c r="K9534" t="s">
        <v>23</v>
      </c>
    </row>
    <row r="9535" spans="1:11" ht="42" customHeight="1">
      <c r="A9535" t="s">
        <v>18818</v>
      </c>
      <c r="B9535" t="s">
        <v>18818</v>
      </c>
      <c r="C9535" t="s">
        <v>84</v>
      </c>
      <c r="D9535" t="s">
        <v>74</v>
      </c>
      <c r="E9535" s="6">
        <v>-27947</v>
      </c>
      <c r="F9535" t="s">
        <v>2144</v>
      </c>
      <c r="G9535" t="s">
        <v>27</v>
      </c>
      <c r="H9535" t="s">
        <v>21</v>
      </c>
      <c r="I9535" t="s">
        <v>18841</v>
      </c>
      <c r="J9535" t="str">
        <f>HYPERLINK("https://www.boe.es/gazeta/dias/1823/06/25/pdfs/GES-1823-75.pdf#page=2","Abrir facsímil")</f>
        <v>Abrir facsímil</v>
      </c>
      <c r="K9535" t="s">
        <v>23</v>
      </c>
    </row>
    <row r="9536" spans="1:11" ht="42" customHeight="1">
      <c r="A9536" t="s">
        <v>18842</v>
      </c>
      <c r="B9536" t="s">
        <v>18842</v>
      </c>
      <c r="C9536" t="s">
        <v>56</v>
      </c>
      <c r="D9536" t="s">
        <v>57</v>
      </c>
      <c r="E9536" s="6">
        <v>-27945</v>
      </c>
      <c r="F9536" t="s">
        <v>628</v>
      </c>
      <c r="G9536" t="s">
        <v>27</v>
      </c>
      <c r="H9536" t="s">
        <v>21</v>
      </c>
      <c r="I9536" t="s">
        <v>18843</v>
      </c>
      <c r="J9536" t="str">
        <f>HYPERLINK("https://www.boe.es/gazeta/dias/1823/06/27/pdfs/GES-1823-77.pdf#page=2","Abrir facsímil")</f>
        <v>Abrir facsímil</v>
      </c>
      <c r="K9536" t="s">
        <v>23</v>
      </c>
    </row>
    <row r="9537" spans="1:11" ht="42" customHeight="1">
      <c r="A9537" t="s">
        <v>18818</v>
      </c>
      <c r="B9537" t="s">
        <v>18818</v>
      </c>
      <c r="C9537" t="s">
        <v>56</v>
      </c>
      <c r="D9537" t="s">
        <v>57</v>
      </c>
      <c r="E9537" s="6">
        <v>-27941</v>
      </c>
      <c r="F9537" t="s">
        <v>527</v>
      </c>
      <c r="G9537" t="s">
        <v>39</v>
      </c>
      <c r="H9537" t="s">
        <v>21</v>
      </c>
      <c r="I9537" t="s">
        <v>18844</v>
      </c>
      <c r="J9537" t="str">
        <f>HYPERLINK("https://www.boe.es/gazeta/dias/1823/07/01/pdfs/GES-1823-81.pdf#page=1","Abrir facsímil")</f>
        <v>Abrir facsímil</v>
      </c>
      <c r="K9537" t="s">
        <v>23</v>
      </c>
    </row>
    <row r="9538" spans="1:11" ht="42" customHeight="1">
      <c r="A9538" t="s">
        <v>18818</v>
      </c>
      <c r="B9538" t="s">
        <v>18818</v>
      </c>
      <c r="C9538" t="s">
        <v>56</v>
      </c>
      <c r="D9538" t="s">
        <v>57</v>
      </c>
      <c r="E9538" s="6">
        <v>-27941</v>
      </c>
      <c r="F9538" t="s">
        <v>527</v>
      </c>
      <c r="G9538" t="s">
        <v>27</v>
      </c>
      <c r="H9538" t="s">
        <v>21</v>
      </c>
      <c r="I9538" t="s">
        <v>18845</v>
      </c>
      <c r="J9538" t="str">
        <f>HYPERLINK("https://www.boe.es/gazeta/dias/1823/07/01/pdfs/GES-1823-81.pdf#page=2","Abrir facsímil")</f>
        <v>Abrir facsímil</v>
      </c>
      <c r="K9538" t="s">
        <v>23</v>
      </c>
    </row>
    <row r="9539" spans="1:11" ht="42" customHeight="1">
      <c r="A9539" t="s">
        <v>18818</v>
      </c>
      <c r="B9539" t="s">
        <v>18818</v>
      </c>
      <c r="C9539" t="s">
        <v>17</v>
      </c>
      <c r="D9539" t="s">
        <v>18</v>
      </c>
      <c r="E9539" s="6">
        <v>-27941</v>
      </c>
      <c r="F9539" t="s">
        <v>527</v>
      </c>
      <c r="G9539" t="s">
        <v>48</v>
      </c>
      <c r="H9539" t="s">
        <v>21</v>
      </c>
      <c r="I9539" t="s">
        <v>18846</v>
      </c>
      <c r="J9539" t="str">
        <f>HYPERLINK("https://www.boe.es/gazeta/dias/1823/07/01/pdfs/GES-1823-81.pdf#page=3","Abrir facsímil")</f>
        <v>Abrir facsímil</v>
      </c>
      <c r="K9539" t="s">
        <v>23</v>
      </c>
    </row>
    <row r="9540" spans="1:11" ht="42" customHeight="1">
      <c r="A9540" t="s">
        <v>18818</v>
      </c>
      <c r="B9540" t="s">
        <v>18818</v>
      </c>
      <c r="C9540" t="s">
        <v>109</v>
      </c>
      <c r="D9540" t="s">
        <v>74</v>
      </c>
      <c r="E9540" s="6">
        <v>-27931</v>
      </c>
      <c r="F9540" t="s">
        <v>1833</v>
      </c>
      <c r="G9540" t="s">
        <v>39</v>
      </c>
      <c r="H9540" t="s">
        <v>21</v>
      </c>
      <c r="I9540" t="s">
        <v>18847</v>
      </c>
      <c r="J9540" t="str">
        <f>HYPERLINK("https://www.boe.es/gazeta/dias/1823/07/11/pdfs/GES-1823-91.pdf#page=1","Abrir facsímil")</f>
        <v>Abrir facsímil</v>
      </c>
      <c r="K9540" t="s">
        <v>23</v>
      </c>
    </row>
    <row r="9541" spans="1:11" ht="42" customHeight="1">
      <c r="A9541" t="s">
        <v>18842</v>
      </c>
      <c r="B9541" t="s">
        <v>18842</v>
      </c>
      <c r="C9541" t="s">
        <v>17</v>
      </c>
      <c r="D9541" t="s">
        <v>18</v>
      </c>
      <c r="E9541" s="6">
        <v>-27929</v>
      </c>
      <c r="F9541" t="s">
        <v>598</v>
      </c>
      <c r="G9541" t="s">
        <v>27</v>
      </c>
      <c r="H9541" t="s">
        <v>21</v>
      </c>
      <c r="I9541" t="s">
        <v>18848</v>
      </c>
      <c r="J9541" t="str">
        <f>HYPERLINK("https://www.boe.es/gazeta/dias/1823/07/13/pdfs/GES-1823-93.pdf#page=2","Abrir facsímil")</f>
        <v>Abrir facsímil</v>
      </c>
      <c r="K9541" t="s">
        <v>23</v>
      </c>
    </row>
    <row r="9542" spans="1:11" ht="42" customHeight="1">
      <c r="A9542" t="s">
        <v>18818</v>
      </c>
      <c r="B9542" t="s">
        <v>18818</v>
      </c>
      <c r="C9542" t="s">
        <v>17</v>
      </c>
      <c r="D9542" t="s">
        <v>18</v>
      </c>
      <c r="E9542" s="6">
        <v>-27929</v>
      </c>
      <c r="F9542" t="s">
        <v>598</v>
      </c>
      <c r="G9542" t="s">
        <v>48</v>
      </c>
      <c r="H9542" t="s">
        <v>21</v>
      </c>
      <c r="I9542" t="s">
        <v>18849</v>
      </c>
      <c r="J9542" t="str">
        <f>HYPERLINK("https://www.boe.es/gazeta/dias/1823/07/13/pdfs/GES-1823-93.pdf#page=3","Abrir facsímil")</f>
        <v>Abrir facsímil</v>
      </c>
      <c r="K9542" t="s">
        <v>23</v>
      </c>
    </row>
    <row r="9543" spans="1:11" ht="42" customHeight="1">
      <c r="A9543" t="s">
        <v>18818</v>
      </c>
      <c r="B9543" t="s">
        <v>18818</v>
      </c>
      <c r="C9543" t="s">
        <v>17</v>
      </c>
      <c r="D9543" t="s">
        <v>18</v>
      </c>
      <c r="E9543" s="6">
        <v>-27927</v>
      </c>
      <c r="F9543" t="s">
        <v>1426</v>
      </c>
      <c r="G9543" t="s">
        <v>39</v>
      </c>
      <c r="H9543" t="s">
        <v>21</v>
      </c>
      <c r="I9543" t="s">
        <v>18850</v>
      </c>
      <c r="J9543" t="str">
        <f>HYPERLINK("https://www.boe.es/gazeta/dias/1823/07/15/pdfs/GES-1823-95.pdf#page=1","Abrir facsímil")</f>
        <v>Abrir facsímil</v>
      </c>
      <c r="K9543" t="s">
        <v>23</v>
      </c>
    </row>
    <row r="9544" spans="1:11" ht="42" customHeight="1">
      <c r="A9544" t="s">
        <v>18818</v>
      </c>
      <c r="B9544" t="s">
        <v>18818</v>
      </c>
      <c r="C9544" t="s">
        <v>79</v>
      </c>
      <c r="D9544" t="s">
        <v>74</v>
      </c>
      <c r="E9544" s="6">
        <v>-27925</v>
      </c>
      <c r="F9544" t="s">
        <v>89</v>
      </c>
      <c r="G9544" t="s">
        <v>27</v>
      </c>
      <c r="H9544" t="s">
        <v>21</v>
      </c>
      <c r="I9544" t="s">
        <v>18851</v>
      </c>
      <c r="J9544" t="str">
        <f>HYPERLINK("https://www.boe.es/gazeta/dias/1823/07/17/pdfs/GES-1823-97.pdf#page=2","Abrir facsímil")</f>
        <v>Abrir facsímil</v>
      </c>
      <c r="K9544" t="s">
        <v>23</v>
      </c>
    </row>
    <row r="9545" spans="1:11" ht="42" customHeight="1">
      <c r="A9545" t="s">
        <v>18818</v>
      </c>
      <c r="B9545" t="s">
        <v>18818</v>
      </c>
      <c r="C9545" t="s">
        <v>56</v>
      </c>
      <c r="D9545" t="s">
        <v>57</v>
      </c>
      <c r="E9545" s="6">
        <v>-27922</v>
      </c>
      <c r="F9545" t="s">
        <v>1959</v>
      </c>
      <c r="G9545" t="s">
        <v>48</v>
      </c>
      <c r="H9545" t="s">
        <v>21</v>
      </c>
      <c r="I9545" t="s">
        <v>18852</v>
      </c>
      <c r="J9545" t="str">
        <f>HYPERLINK("https://www.boe.es/gazeta/dias/1823/07/20/pdfs/GES-1823-101.pdf#page=3","Abrir facsímil")</f>
        <v>Abrir facsímil</v>
      </c>
      <c r="K9545" t="s">
        <v>23</v>
      </c>
    </row>
    <row r="9546" spans="1:11" ht="42" customHeight="1">
      <c r="A9546" t="s">
        <v>18818</v>
      </c>
      <c r="B9546" t="s">
        <v>18818</v>
      </c>
      <c r="C9546" t="s">
        <v>84</v>
      </c>
      <c r="D9546" t="s">
        <v>74</v>
      </c>
      <c r="E9546" s="6">
        <v>-27921</v>
      </c>
      <c r="F9546" t="s">
        <v>356</v>
      </c>
      <c r="G9546" t="s">
        <v>39</v>
      </c>
      <c r="H9546" t="s">
        <v>21</v>
      </c>
      <c r="I9546" t="s">
        <v>18853</v>
      </c>
      <c r="J9546" t="str">
        <f>HYPERLINK("https://www.boe.es/gazeta/dias/1823/07/21/pdfs/GES-1823-102.pdf#page=1","Abrir facsímil")</f>
        <v>Abrir facsímil</v>
      </c>
      <c r="K9546" t="s">
        <v>23</v>
      </c>
    </row>
    <row r="9547" spans="1:11" ht="42" customHeight="1">
      <c r="A9547" t="s">
        <v>18818</v>
      </c>
      <c r="B9547" t="s">
        <v>18818</v>
      </c>
      <c r="C9547" t="s">
        <v>109</v>
      </c>
      <c r="D9547" t="s">
        <v>74</v>
      </c>
      <c r="E9547" s="6">
        <v>-27917</v>
      </c>
      <c r="F9547" t="s">
        <v>363</v>
      </c>
      <c r="G9547" t="s">
        <v>48</v>
      </c>
      <c r="H9547" t="s">
        <v>21</v>
      </c>
      <c r="I9547" t="s">
        <v>18854</v>
      </c>
      <c r="J9547" t="str">
        <f>HYPERLINK("https://www.boe.es/gazeta/dias/1823/07/25/pdfs/GES-1823-106.pdf#page=3","Abrir facsímil")</f>
        <v>Abrir facsímil</v>
      </c>
      <c r="K9547" t="s">
        <v>23</v>
      </c>
    </row>
    <row r="9548" spans="1:11" ht="42" customHeight="1">
      <c r="A9548" t="s">
        <v>18818</v>
      </c>
      <c r="B9548" t="s">
        <v>18818</v>
      </c>
      <c r="C9548" t="s">
        <v>79</v>
      </c>
      <c r="D9548" t="s">
        <v>74</v>
      </c>
      <c r="E9548" s="6">
        <v>-27913</v>
      </c>
      <c r="F9548" t="s">
        <v>821</v>
      </c>
      <c r="G9548" t="s">
        <v>39</v>
      </c>
      <c r="H9548" t="s">
        <v>21</v>
      </c>
      <c r="I9548" t="s">
        <v>18855</v>
      </c>
      <c r="J9548" t="str">
        <f>HYPERLINK("https://www.boe.es/gazeta/dias/1823/07/29/pdfs/GES-1823-110.pdf#page=1","Abrir facsímil")</f>
        <v>Abrir facsímil</v>
      </c>
      <c r="K9548" t="s">
        <v>23</v>
      </c>
    </row>
    <row r="9549" spans="1:11" ht="42" customHeight="1">
      <c r="A9549" t="s">
        <v>18818</v>
      </c>
      <c r="B9549" t="s">
        <v>18818</v>
      </c>
      <c r="C9549" t="s">
        <v>56</v>
      </c>
      <c r="D9549" t="s">
        <v>57</v>
      </c>
      <c r="E9549" s="6">
        <v>-27912</v>
      </c>
      <c r="F9549" t="s">
        <v>365</v>
      </c>
      <c r="G9549" t="s">
        <v>366</v>
      </c>
      <c r="H9549" t="s">
        <v>21</v>
      </c>
      <c r="I9549" t="s">
        <v>18856</v>
      </c>
      <c r="J9549" t="str">
        <f>HYPERLINK("https://www.boe.es/gazeta/dias/1823/07/30/pdfs/GES-1823-111.pdf#page=4","Abrir facsímil")</f>
        <v>Abrir facsímil</v>
      </c>
      <c r="K9549" t="s">
        <v>23</v>
      </c>
    </row>
    <row r="9550" spans="1:11" ht="42" customHeight="1">
      <c r="A9550" t="s">
        <v>18818</v>
      </c>
      <c r="B9550" t="s">
        <v>18818</v>
      </c>
      <c r="C9550" t="s">
        <v>56</v>
      </c>
      <c r="D9550" t="s">
        <v>57</v>
      </c>
      <c r="E9550" s="6">
        <v>-27905</v>
      </c>
      <c r="F9550" t="s">
        <v>236</v>
      </c>
      <c r="G9550" t="s">
        <v>27</v>
      </c>
      <c r="H9550" t="s">
        <v>21</v>
      </c>
      <c r="I9550" t="s">
        <v>18857</v>
      </c>
      <c r="J9550" t="str">
        <f>HYPERLINK("https://www.boe.es/gazeta/dias/1823/08/06/pdfs/GES-1823-119.pdf#page=2","Abrir facsímil")</f>
        <v>Abrir facsímil</v>
      </c>
      <c r="K9550" t="s">
        <v>23</v>
      </c>
    </row>
    <row r="9551" spans="1:11" ht="42" customHeight="1">
      <c r="A9551" t="s">
        <v>18818</v>
      </c>
      <c r="B9551" t="s">
        <v>18818</v>
      </c>
      <c r="C9551" t="s">
        <v>109</v>
      </c>
      <c r="D9551" t="s">
        <v>74</v>
      </c>
      <c r="E9551" s="6">
        <v>-27872</v>
      </c>
      <c r="F9551" t="s">
        <v>374</v>
      </c>
      <c r="G9551" t="s">
        <v>27</v>
      </c>
      <c r="H9551" t="s">
        <v>21</v>
      </c>
      <c r="I9551" t="s">
        <v>18858</v>
      </c>
      <c r="J9551" t="str">
        <f>HYPERLINK("https://www.boe.es/gazeta/dias/1823/09/08/pdfs/GES-1823-152.pdf#page=2","Abrir facsímil")</f>
        <v>Abrir facsímil</v>
      </c>
      <c r="K9551" t="s">
        <v>23</v>
      </c>
    </row>
    <row r="9552" spans="1:11" ht="42" customHeight="1">
      <c r="A9552" t="s">
        <v>18859</v>
      </c>
      <c r="B9552" t="s">
        <v>18860</v>
      </c>
      <c r="C9552" t="s">
        <v>84</v>
      </c>
      <c r="D9552" t="s">
        <v>74</v>
      </c>
      <c r="E9552" s="6">
        <v>-27913</v>
      </c>
      <c r="F9552" t="s">
        <v>821</v>
      </c>
      <c r="G9552" t="s">
        <v>39</v>
      </c>
      <c r="H9552" t="s">
        <v>21</v>
      </c>
      <c r="I9552" t="s">
        <v>18861</v>
      </c>
      <c r="J9552" t="str">
        <f>HYPERLINK("https://www.boe.es/gazeta/dias/1823/07/29/pdfs/GES-1823-110.pdf#page=1","Abrir facsímil")</f>
        <v>Abrir facsímil</v>
      </c>
      <c r="K9552" t="s">
        <v>23</v>
      </c>
    </row>
    <row r="9553" spans="1:11" ht="42" customHeight="1">
      <c r="A9553" t="s">
        <v>18862</v>
      </c>
      <c r="B9553" t="s">
        <v>18863</v>
      </c>
      <c r="C9553" t="s">
        <v>56</v>
      </c>
      <c r="D9553" t="s">
        <v>57</v>
      </c>
      <c r="E9553" s="6">
        <v>-27873</v>
      </c>
      <c r="F9553" t="s">
        <v>160</v>
      </c>
      <c r="G9553" t="s">
        <v>20</v>
      </c>
      <c r="H9553" t="s">
        <v>21</v>
      </c>
      <c r="I9553" t="s">
        <v>18864</v>
      </c>
      <c r="J9553" t="str">
        <f>HYPERLINK("https://www.boe.es/gazeta/dias/1823/09/07/pdfs/GES-1823-151.pdf#page=4","Abrir facsímil")</f>
        <v>Abrir facsímil</v>
      </c>
      <c r="K9553" t="s">
        <v>23</v>
      </c>
    </row>
    <row r="9554" spans="1:11" ht="42" customHeight="1">
      <c r="A9554" t="s">
        <v>18865</v>
      </c>
      <c r="B9554" t="s">
        <v>18865</v>
      </c>
      <c r="C9554" t="s">
        <v>17</v>
      </c>
      <c r="D9554" t="s">
        <v>18</v>
      </c>
      <c r="E9554" s="6">
        <v>-27984</v>
      </c>
      <c r="F9554" t="s">
        <v>335</v>
      </c>
      <c r="G9554" t="s">
        <v>27</v>
      </c>
      <c r="H9554" t="s">
        <v>21</v>
      </c>
      <c r="I9554" t="s">
        <v>18866</v>
      </c>
      <c r="J9554" t="str">
        <f>HYPERLINK("https://www.boe.es/gazeta/dias/1823/05/19/pdfs/GES-1823-39.pdf#page=2","Abrir facsímil")</f>
        <v>Abrir facsímil</v>
      </c>
      <c r="K9554" t="s">
        <v>23</v>
      </c>
    </row>
    <row r="9555" spans="1:11" ht="42" customHeight="1">
      <c r="A9555" t="s">
        <v>18865</v>
      </c>
      <c r="B9555" t="s">
        <v>18865</v>
      </c>
      <c r="C9555" t="s">
        <v>73</v>
      </c>
      <c r="D9555" t="s">
        <v>74</v>
      </c>
      <c r="E9555" s="6">
        <v>-27978</v>
      </c>
      <c r="F9555" t="s">
        <v>342</v>
      </c>
      <c r="G9555" t="s">
        <v>59</v>
      </c>
      <c r="H9555" t="s">
        <v>21</v>
      </c>
      <c r="I9555" t="s">
        <v>18867</v>
      </c>
      <c r="J9555" t="str">
        <f>HYPERLINK("https://www.boe.es/gazeta/dias/1823/05/25/pdfs/GES-1823-46.pdf#page=6","Abrir facsímil")</f>
        <v>Abrir facsímil</v>
      </c>
      <c r="K9555" t="s">
        <v>23</v>
      </c>
    </row>
    <row r="9556" spans="1:11" ht="42" customHeight="1">
      <c r="A9556" t="s">
        <v>18865</v>
      </c>
      <c r="B9556" t="s">
        <v>18865</v>
      </c>
      <c r="C9556" t="s">
        <v>17</v>
      </c>
      <c r="D9556" t="s">
        <v>18</v>
      </c>
      <c r="E9556" s="6">
        <v>-27933</v>
      </c>
      <c r="F9556" t="s">
        <v>1079</v>
      </c>
      <c r="G9556" t="s">
        <v>48</v>
      </c>
      <c r="H9556" t="s">
        <v>21</v>
      </c>
      <c r="I9556" t="s">
        <v>18868</v>
      </c>
      <c r="J9556" t="str">
        <f>HYPERLINK("https://www.boe.es/gazeta/dias/1823/07/09/pdfs/GES-1823-89.pdf#page=3","Abrir facsímil")</f>
        <v>Abrir facsímil</v>
      </c>
      <c r="K9556" t="s">
        <v>23</v>
      </c>
    </row>
    <row r="9557" spans="1:11" ht="42" customHeight="1">
      <c r="A9557" t="s">
        <v>18865</v>
      </c>
      <c r="B9557" t="s">
        <v>18865</v>
      </c>
      <c r="C9557" t="s">
        <v>17</v>
      </c>
      <c r="D9557" t="s">
        <v>18</v>
      </c>
      <c r="E9557" s="6">
        <v>-27933</v>
      </c>
      <c r="F9557" t="s">
        <v>1079</v>
      </c>
      <c r="G9557" t="s">
        <v>20</v>
      </c>
      <c r="H9557" t="s">
        <v>21</v>
      </c>
      <c r="I9557" t="s">
        <v>18869</v>
      </c>
      <c r="J9557" t="str">
        <f>HYPERLINK("https://www.boe.es/gazeta/dias/1823/07/09/pdfs/GES-1823-89.pdf#page=4","Abrir facsímil")</f>
        <v>Abrir facsímil</v>
      </c>
      <c r="K9557" t="s">
        <v>23</v>
      </c>
    </row>
    <row r="9558" spans="1:11" ht="42" customHeight="1">
      <c r="A9558" t="s">
        <v>18865</v>
      </c>
      <c r="B9558" t="s">
        <v>18865</v>
      </c>
      <c r="C9558" t="s">
        <v>79</v>
      </c>
      <c r="D9558" t="s">
        <v>74</v>
      </c>
      <c r="E9558" s="6">
        <v>-27848</v>
      </c>
      <c r="F9558" t="s">
        <v>1083</v>
      </c>
      <c r="G9558" t="s">
        <v>27</v>
      </c>
      <c r="H9558" t="s">
        <v>21</v>
      </c>
      <c r="I9558" t="s">
        <v>18870</v>
      </c>
      <c r="J9558" t="str">
        <f>HYPERLINK("https://www.boe.es/gazeta/dias/1823/10/02/pdfs/GES-1823-176.pdf#page=2","Abrir facsímil")</f>
        <v>Abrir facsímil</v>
      </c>
      <c r="K9558" t="s">
        <v>23</v>
      </c>
    </row>
    <row r="9559" spans="1:11" ht="42" customHeight="1">
      <c r="A9559" t="s">
        <v>18871</v>
      </c>
      <c r="B9559" t="s">
        <v>18872</v>
      </c>
      <c r="C9559" t="s">
        <v>17</v>
      </c>
      <c r="D9559" t="s">
        <v>18</v>
      </c>
      <c r="E9559" s="6">
        <v>-28068</v>
      </c>
      <c r="F9559" t="s">
        <v>1325</v>
      </c>
      <c r="G9559" t="s">
        <v>20</v>
      </c>
      <c r="H9559" t="s">
        <v>21</v>
      </c>
      <c r="I9559" t="s">
        <v>18873</v>
      </c>
      <c r="J9559" t="str">
        <f>HYPERLINK("https://www.boe.es/gazeta/dias/1823/02/24/pdfs/GMD-1823-58.pdf#page=4","Abrir facsímil")</f>
        <v>Abrir facsímil</v>
      </c>
      <c r="K9559" t="s">
        <v>23</v>
      </c>
    </row>
    <row r="9560" spans="1:11" ht="42" customHeight="1">
      <c r="A9560" t="s">
        <v>18871</v>
      </c>
      <c r="B9560" t="s">
        <v>18872</v>
      </c>
      <c r="C9560" t="s">
        <v>17</v>
      </c>
      <c r="D9560" t="s">
        <v>18</v>
      </c>
      <c r="E9560" s="6">
        <v>-27968</v>
      </c>
      <c r="F9560" t="s">
        <v>1160</v>
      </c>
      <c r="G9560" t="s">
        <v>1676</v>
      </c>
      <c r="H9560" t="s">
        <v>21</v>
      </c>
      <c r="I9560" t="s">
        <v>18874</v>
      </c>
      <c r="J9560" t="str">
        <f>HYPERLINK("https://www.boe.es/gazeta/dias/1823/06/04/pdfs/GES-1823-58.pdf#page=6","Abrir facsímil")</f>
        <v>Abrir facsímil</v>
      </c>
      <c r="K9560" t="s">
        <v>23</v>
      </c>
    </row>
    <row r="9561" spans="1:11" ht="42" customHeight="1">
      <c r="A9561" t="s">
        <v>18871</v>
      </c>
      <c r="B9561" t="s">
        <v>18872</v>
      </c>
      <c r="C9561" t="s">
        <v>17</v>
      </c>
      <c r="D9561" t="s">
        <v>18</v>
      </c>
      <c r="E9561" s="6">
        <v>-27909</v>
      </c>
      <c r="F9561" t="s">
        <v>948</v>
      </c>
      <c r="G9561" t="s">
        <v>27</v>
      </c>
      <c r="H9561" t="s">
        <v>21</v>
      </c>
      <c r="I9561" t="s">
        <v>18875</v>
      </c>
      <c r="J9561" t="str">
        <f>HYPERLINK("https://www.boe.es/gazeta/dias/1823/08/02/pdfs/GES-1823-114.pdf#page=2","Abrir facsímil")</f>
        <v>Abrir facsímil</v>
      </c>
      <c r="K9561" t="s">
        <v>23</v>
      </c>
    </row>
    <row r="9562" spans="1:11" ht="42" customHeight="1">
      <c r="A9562" t="s">
        <v>18876</v>
      </c>
      <c r="B9562" t="s">
        <v>18877</v>
      </c>
      <c r="C9562" t="s">
        <v>17</v>
      </c>
      <c r="D9562" t="s">
        <v>18</v>
      </c>
      <c r="E9562" s="6">
        <v>-27911</v>
      </c>
      <c r="F9562" t="s">
        <v>368</v>
      </c>
      <c r="G9562" t="s">
        <v>20</v>
      </c>
      <c r="H9562" t="s">
        <v>21</v>
      </c>
      <c r="I9562" t="s">
        <v>18878</v>
      </c>
      <c r="J9562" t="str">
        <f>HYPERLINK("https://www.boe.es/gazeta/dias/1823/07/31/pdfs/GES-1823-112.pdf#page=4","Abrir facsímil")</f>
        <v>Abrir facsímil</v>
      </c>
      <c r="K9562" t="s">
        <v>23</v>
      </c>
    </row>
    <row r="9563" spans="1:11" ht="42" customHeight="1">
      <c r="A9563" t="s">
        <v>18876</v>
      </c>
      <c r="B9563" t="s">
        <v>18877</v>
      </c>
      <c r="C9563" t="s">
        <v>17</v>
      </c>
      <c r="D9563" t="s">
        <v>18</v>
      </c>
      <c r="E9563" s="6">
        <v>-27848</v>
      </c>
      <c r="F9563" t="s">
        <v>2665</v>
      </c>
      <c r="G9563" t="s">
        <v>27</v>
      </c>
      <c r="H9563" t="s">
        <v>21</v>
      </c>
      <c r="I9563" t="s">
        <v>18879</v>
      </c>
      <c r="J9563" t="str">
        <f>HYPERLINK("https://www.boe.es/gazeta/dias/1823/10/02/pdfs/GMD-1823-893.pdf#page=2","Abrir facsímil")</f>
        <v>Abrir facsímil</v>
      </c>
      <c r="K9563" t="s">
        <v>23</v>
      </c>
    </row>
    <row r="9564" spans="1:11" ht="42" customHeight="1">
      <c r="A9564" t="s">
        <v>18880</v>
      </c>
      <c r="B9564" t="s">
        <v>18881</v>
      </c>
      <c r="C9564" t="s">
        <v>17</v>
      </c>
      <c r="D9564" t="s">
        <v>18</v>
      </c>
      <c r="E9564" s="6">
        <v>-27953</v>
      </c>
      <c r="F9564" t="s">
        <v>1783</v>
      </c>
      <c r="G9564" t="s">
        <v>48</v>
      </c>
      <c r="H9564" t="s">
        <v>21</v>
      </c>
      <c r="I9564" t="s">
        <v>18882</v>
      </c>
      <c r="J9564" t="str">
        <f>HYPERLINK("https://www.boe.es/gazeta/dias/1823/06/19/pdfs/GES-1823-67.pdf#page=3","Abrir facsímil")</f>
        <v>Abrir facsímil</v>
      </c>
      <c r="K9564" t="s">
        <v>23</v>
      </c>
    </row>
    <row r="9565" spans="1:11" ht="42" customHeight="1">
      <c r="A9565" t="s">
        <v>18880</v>
      </c>
      <c r="B9565" t="s">
        <v>18881</v>
      </c>
      <c r="C9565" t="s">
        <v>17</v>
      </c>
      <c r="D9565" t="s">
        <v>18</v>
      </c>
      <c r="E9565" s="6">
        <v>-27933</v>
      </c>
      <c r="F9565" t="s">
        <v>1079</v>
      </c>
      <c r="G9565" t="s">
        <v>48</v>
      </c>
      <c r="H9565" t="s">
        <v>21</v>
      </c>
      <c r="I9565" t="s">
        <v>18883</v>
      </c>
      <c r="J9565" t="str">
        <f>HYPERLINK("https://www.boe.es/gazeta/dias/1823/07/09/pdfs/GES-1823-89.pdf#page=3","Abrir facsímil")</f>
        <v>Abrir facsímil</v>
      </c>
      <c r="K9565" t="s">
        <v>23</v>
      </c>
    </row>
    <row r="9566" spans="1:11" ht="42" customHeight="1">
      <c r="A9566" t="s">
        <v>18884</v>
      </c>
      <c r="B9566" t="s">
        <v>18884</v>
      </c>
      <c r="C9566" t="s">
        <v>56</v>
      </c>
      <c r="D9566" t="s">
        <v>57</v>
      </c>
      <c r="E9566" s="6">
        <v>-28061</v>
      </c>
      <c r="F9566" t="s">
        <v>704</v>
      </c>
      <c r="G9566" t="s">
        <v>27</v>
      </c>
      <c r="H9566" t="s">
        <v>21</v>
      </c>
      <c r="I9566" t="s">
        <v>18885</v>
      </c>
      <c r="J9566" t="str">
        <f>HYPERLINK("https://www.boe.es/gazeta/dias/1823/03/03/pdfs/GMD-1823-66.pdf#page=2","Abrir facsímil")</f>
        <v>Abrir facsímil</v>
      </c>
      <c r="K9566" t="s">
        <v>23</v>
      </c>
    </row>
    <row r="9567" spans="1:11" ht="42" customHeight="1">
      <c r="A9567" t="s">
        <v>18884</v>
      </c>
      <c r="B9567" t="s">
        <v>18884</v>
      </c>
      <c r="C9567" t="s">
        <v>293</v>
      </c>
      <c r="D9567" t="s">
        <v>74</v>
      </c>
      <c r="E9567" s="6">
        <v>-28058</v>
      </c>
      <c r="F9567" t="s">
        <v>1282</v>
      </c>
      <c r="G9567" t="s">
        <v>39</v>
      </c>
      <c r="H9567" t="s">
        <v>21</v>
      </c>
      <c r="I9567" t="s">
        <v>18886</v>
      </c>
      <c r="J9567" t="str">
        <f>HYPERLINK("https://www.boe.es/gazeta/dias/1823/03/06/pdfs/GMD-1823-69.pdf#page=1","Abrir facsímil")</f>
        <v>Abrir facsímil</v>
      </c>
      <c r="K9567" t="s">
        <v>23</v>
      </c>
    </row>
    <row r="9568" spans="1:11" ht="42" customHeight="1">
      <c r="A9568" t="s">
        <v>18887</v>
      </c>
      <c r="B9568" t="s">
        <v>18887</v>
      </c>
      <c r="C9568" t="s">
        <v>17</v>
      </c>
      <c r="D9568" t="s">
        <v>18</v>
      </c>
      <c r="E9568" s="6">
        <v>-28056</v>
      </c>
      <c r="F9568" t="s">
        <v>572</v>
      </c>
      <c r="G9568" t="s">
        <v>34</v>
      </c>
      <c r="H9568" t="s">
        <v>21</v>
      </c>
      <c r="I9568" t="s">
        <v>18888</v>
      </c>
      <c r="J9568" t="str">
        <f>HYPERLINK("https://www.boe.es/gazeta/dias/1823/03/08/pdfs/GMD-1823-71.pdf#page=5","Abrir facsímil")</f>
        <v>Abrir facsímil</v>
      </c>
      <c r="K9568" t="s">
        <v>23</v>
      </c>
    </row>
    <row r="9569" spans="1:11" ht="42" customHeight="1">
      <c r="A9569" t="s">
        <v>18887</v>
      </c>
      <c r="B9569" t="s">
        <v>18887</v>
      </c>
      <c r="C9569" t="s">
        <v>79</v>
      </c>
      <c r="D9569" t="s">
        <v>74</v>
      </c>
      <c r="E9569" s="6">
        <v>-27997</v>
      </c>
      <c r="F9569" t="s">
        <v>317</v>
      </c>
      <c r="G9569" t="s">
        <v>318</v>
      </c>
      <c r="H9569" t="s">
        <v>21</v>
      </c>
      <c r="I9569" t="s">
        <v>18889</v>
      </c>
      <c r="J9569" t="str">
        <f>HYPERLINK("https://www.boe.es/gazeta/dias/1823/05/06/pdfs/GES-1823-26.pdf#page=3","Abrir facsímil")</f>
        <v>Abrir facsímil</v>
      </c>
      <c r="K9569" t="s">
        <v>23</v>
      </c>
    </row>
    <row r="9570" spans="1:11" ht="42" customHeight="1">
      <c r="A9570" t="s">
        <v>18887</v>
      </c>
      <c r="B9570" t="s">
        <v>18887</v>
      </c>
      <c r="C9570" t="s">
        <v>17</v>
      </c>
      <c r="D9570" t="s">
        <v>18</v>
      </c>
      <c r="E9570" s="6">
        <v>-27989</v>
      </c>
      <c r="F9570" t="s">
        <v>1134</v>
      </c>
      <c r="G9570" t="s">
        <v>48</v>
      </c>
      <c r="H9570" t="s">
        <v>21</v>
      </c>
      <c r="I9570" t="s">
        <v>18890</v>
      </c>
      <c r="J9570" t="str">
        <f>HYPERLINK("https://www.boe.es/gazeta/dias/1823/05/14/pdfs/GES-1823-34.pdf#page=3","Abrir facsímil")</f>
        <v>Abrir facsímil</v>
      </c>
      <c r="K9570" t="s">
        <v>23</v>
      </c>
    </row>
    <row r="9571" spans="1:11" ht="42" customHeight="1">
      <c r="A9571" t="s">
        <v>18887</v>
      </c>
      <c r="B9571" t="s">
        <v>18887</v>
      </c>
      <c r="C9571" t="s">
        <v>109</v>
      </c>
      <c r="D9571" t="s">
        <v>74</v>
      </c>
      <c r="E9571" s="6">
        <v>-27986</v>
      </c>
      <c r="F9571" t="s">
        <v>75</v>
      </c>
      <c r="G9571" t="s">
        <v>48</v>
      </c>
      <c r="H9571" t="s">
        <v>21</v>
      </c>
      <c r="I9571" t="s">
        <v>18891</v>
      </c>
      <c r="J9571" t="str">
        <f>HYPERLINK("https://www.boe.es/gazeta/dias/1823/05/17/pdfs/GES-1823-37.pdf#page=3","Abrir facsímil")</f>
        <v>Abrir facsímil</v>
      </c>
      <c r="K9571" t="s">
        <v>23</v>
      </c>
    </row>
    <row r="9572" spans="1:11" ht="42" customHeight="1">
      <c r="A9572" t="s">
        <v>18887</v>
      </c>
      <c r="B9572" t="s">
        <v>18887</v>
      </c>
      <c r="C9572" t="s">
        <v>56</v>
      </c>
      <c r="D9572" t="s">
        <v>57</v>
      </c>
      <c r="E9572" s="6">
        <v>-27979</v>
      </c>
      <c r="F9572" t="s">
        <v>1071</v>
      </c>
      <c r="G9572" t="s">
        <v>39</v>
      </c>
      <c r="H9572" t="s">
        <v>21</v>
      </c>
      <c r="I9572" t="s">
        <v>18892</v>
      </c>
      <c r="J9572" t="str">
        <f>HYPERLINK("https://www.boe.es/gazeta/dias/1823/05/24/pdfs/GES-1823-45.pdf#page=1","Abrir facsímil")</f>
        <v>Abrir facsímil</v>
      </c>
      <c r="K9572" t="s">
        <v>23</v>
      </c>
    </row>
    <row r="9573" spans="1:11" ht="42" customHeight="1">
      <c r="A9573" t="s">
        <v>18887</v>
      </c>
      <c r="B9573" t="s">
        <v>18887</v>
      </c>
      <c r="C9573" t="s">
        <v>56</v>
      </c>
      <c r="D9573" t="s">
        <v>57</v>
      </c>
      <c r="E9573" s="6">
        <v>-27978</v>
      </c>
      <c r="F9573" t="s">
        <v>342</v>
      </c>
      <c r="G9573" t="s">
        <v>27</v>
      </c>
      <c r="H9573" t="s">
        <v>21</v>
      </c>
      <c r="I9573" t="s">
        <v>18893</v>
      </c>
      <c r="J9573" t="str">
        <f>HYPERLINK("https://www.boe.es/gazeta/dias/1823/05/25/pdfs/GES-1823-46.pdf#page=2","Abrir facsímil")</f>
        <v>Abrir facsímil</v>
      </c>
      <c r="K9573" t="s">
        <v>23</v>
      </c>
    </row>
    <row r="9574" spans="1:11" ht="42" customHeight="1">
      <c r="A9574" t="s">
        <v>18887</v>
      </c>
      <c r="B9574" t="s">
        <v>18887</v>
      </c>
      <c r="C9574" t="s">
        <v>17</v>
      </c>
      <c r="D9574" t="s">
        <v>18</v>
      </c>
      <c r="E9574" s="6">
        <v>-27960</v>
      </c>
      <c r="F9574" t="s">
        <v>741</v>
      </c>
      <c r="G9574" t="s">
        <v>27</v>
      </c>
      <c r="H9574" t="s">
        <v>21</v>
      </c>
      <c r="I9574" t="s">
        <v>18894</v>
      </c>
      <c r="J9574" t="str">
        <f>HYPERLINK("https://www.boe.es/gazeta/dias/1823/06/12/pdfs/GES-1823-66.pdf#page=2","Abrir facsímil")</f>
        <v>Abrir facsímil</v>
      </c>
      <c r="K9574" t="s">
        <v>23</v>
      </c>
    </row>
    <row r="9575" spans="1:11" ht="42" customHeight="1">
      <c r="A9575" t="s">
        <v>18887</v>
      </c>
      <c r="B9575" t="s">
        <v>18887</v>
      </c>
      <c r="C9575" t="s">
        <v>109</v>
      </c>
      <c r="D9575" t="s">
        <v>117</v>
      </c>
      <c r="E9575" s="6">
        <v>-27952</v>
      </c>
      <c r="F9575" t="s">
        <v>1844</v>
      </c>
      <c r="G9575" t="s">
        <v>39</v>
      </c>
      <c r="H9575" t="s">
        <v>21</v>
      </c>
      <c r="I9575" t="s">
        <v>18895</v>
      </c>
      <c r="J9575" t="str">
        <f>HYPERLINK("https://www.boe.es/gazeta/dias/1823/06/20/pdfs/GMD-1823-213E.pdf#page=1","Abrir facsímil")</f>
        <v>Abrir facsímil</v>
      </c>
      <c r="K9575" t="s">
        <v>23</v>
      </c>
    </row>
    <row r="9576" spans="1:11" ht="42" customHeight="1">
      <c r="A9576" t="s">
        <v>18887</v>
      </c>
      <c r="B9576" t="s">
        <v>18887</v>
      </c>
      <c r="C9576" t="s">
        <v>79</v>
      </c>
      <c r="D9576" t="s">
        <v>74</v>
      </c>
      <c r="E9576" s="6">
        <v>-27941</v>
      </c>
      <c r="F9576" t="s">
        <v>527</v>
      </c>
      <c r="G9576" t="s">
        <v>27</v>
      </c>
      <c r="H9576" t="s">
        <v>21</v>
      </c>
      <c r="I9576" t="s">
        <v>18896</v>
      </c>
      <c r="J9576" t="str">
        <f>HYPERLINK("https://www.boe.es/gazeta/dias/1823/07/01/pdfs/GES-1823-81.pdf#page=2","Abrir facsímil")</f>
        <v>Abrir facsímil</v>
      </c>
      <c r="K9576" t="s">
        <v>23</v>
      </c>
    </row>
    <row r="9577" spans="1:11" ht="42" customHeight="1">
      <c r="A9577" t="s">
        <v>18887</v>
      </c>
      <c r="B9577" t="s">
        <v>18887</v>
      </c>
      <c r="C9577" t="s">
        <v>56</v>
      </c>
      <c r="D9577" t="s">
        <v>57</v>
      </c>
      <c r="E9577" s="6">
        <v>-27918</v>
      </c>
      <c r="F9577" t="s">
        <v>3181</v>
      </c>
      <c r="G9577" t="s">
        <v>39</v>
      </c>
      <c r="H9577" t="s">
        <v>21</v>
      </c>
      <c r="I9577" t="s">
        <v>18897</v>
      </c>
      <c r="J9577" t="str">
        <f>HYPERLINK("https://www.boe.es/gazeta/dias/1823/07/24/pdfs/GES-1823-105.pdf#page=1","Abrir facsímil")</f>
        <v>Abrir facsímil</v>
      </c>
      <c r="K9577" t="s">
        <v>23</v>
      </c>
    </row>
    <row r="9578" spans="1:11" ht="42" customHeight="1">
      <c r="A9578" t="s">
        <v>18887</v>
      </c>
      <c r="B9578" t="s">
        <v>18887</v>
      </c>
      <c r="C9578" t="s">
        <v>293</v>
      </c>
      <c r="D9578" t="s">
        <v>74</v>
      </c>
      <c r="E9578" s="6">
        <v>-27913</v>
      </c>
      <c r="F9578" t="s">
        <v>821</v>
      </c>
      <c r="G9578" t="s">
        <v>39</v>
      </c>
      <c r="H9578" t="s">
        <v>21</v>
      </c>
      <c r="I9578" t="s">
        <v>18898</v>
      </c>
      <c r="J9578" t="str">
        <f>HYPERLINK("https://www.boe.es/gazeta/dias/1823/07/29/pdfs/GES-1823-110.pdf#page=1","Abrir facsímil")</f>
        <v>Abrir facsímil</v>
      </c>
      <c r="K9578" t="s">
        <v>23</v>
      </c>
    </row>
    <row r="9579" spans="1:11" ht="42" customHeight="1">
      <c r="A9579" t="s">
        <v>18899</v>
      </c>
      <c r="B9579" t="s">
        <v>18899</v>
      </c>
      <c r="C9579" t="s">
        <v>84</v>
      </c>
      <c r="D9579" t="s">
        <v>74</v>
      </c>
      <c r="E9579" s="6">
        <v>-27963</v>
      </c>
      <c r="F9579" t="s">
        <v>344</v>
      </c>
      <c r="G9579" t="s">
        <v>59</v>
      </c>
      <c r="H9579" t="s">
        <v>21</v>
      </c>
      <c r="I9579" t="s">
        <v>18900</v>
      </c>
      <c r="J9579" t="str">
        <f>HYPERLINK("https://www.boe.es/gazeta/dias/1823/06/09/pdfs/GES-1823-63.pdf#page=6","Abrir facsímil")</f>
        <v>Abrir facsímil</v>
      </c>
      <c r="K9579" t="s">
        <v>23</v>
      </c>
    </row>
    <row r="9580" spans="1:11" ht="42" customHeight="1">
      <c r="A9580" t="s">
        <v>18899</v>
      </c>
      <c r="B9580" t="s">
        <v>18899</v>
      </c>
      <c r="C9580" t="s">
        <v>17</v>
      </c>
      <c r="D9580" t="s">
        <v>18</v>
      </c>
      <c r="E9580" s="6">
        <v>-27927</v>
      </c>
      <c r="F9580" t="s">
        <v>1426</v>
      </c>
      <c r="G9580" t="s">
        <v>27</v>
      </c>
      <c r="H9580" t="s">
        <v>21</v>
      </c>
      <c r="I9580" t="s">
        <v>18901</v>
      </c>
      <c r="J9580" t="str">
        <f>HYPERLINK("https://www.boe.es/gazeta/dias/1823/07/15/pdfs/GES-1823-95.pdf#page=2","Abrir facsímil")</f>
        <v>Abrir facsímil</v>
      </c>
      <c r="K9580" t="s">
        <v>23</v>
      </c>
    </row>
    <row r="9581" spans="1:11" ht="42" customHeight="1">
      <c r="A9581" t="s">
        <v>18902</v>
      </c>
      <c r="B9581" t="s">
        <v>18902</v>
      </c>
      <c r="C9581" t="s">
        <v>56</v>
      </c>
      <c r="D9581" t="s">
        <v>57</v>
      </c>
      <c r="E9581" s="6">
        <v>-28094</v>
      </c>
      <c r="F9581" t="s">
        <v>93</v>
      </c>
      <c r="G9581" t="s">
        <v>27</v>
      </c>
      <c r="H9581" t="s">
        <v>21</v>
      </c>
      <c r="I9581" t="s">
        <v>18903</v>
      </c>
      <c r="J9581" t="str">
        <f>HYPERLINK("https://www.boe.es/gazeta/dias/1823/01/29/pdfs/GMD-1823-30.pdf#page=2","Abrir facsímil")</f>
        <v>Abrir facsímil</v>
      </c>
      <c r="K9581" t="s">
        <v>23</v>
      </c>
    </row>
    <row r="9582" spans="1:11" ht="42" customHeight="1">
      <c r="A9582" t="s">
        <v>18904</v>
      </c>
      <c r="B9582" t="s">
        <v>18905</v>
      </c>
      <c r="C9582" t="s">
        <v>84</v>
      </c>
      <c r="D9582" t="s">
        <v>74</v>
      </c>
      <c r="E9582" s="6">
        <v>-28118</v>
      </c>
      <c r="F9582" t="s">
        <v>252</v>
      </c>
      <c r="G9582" t="s">
        <v>59</v>
      </c>
      <c r="H9582" t="s">
        <v>21</v>
      </c>
      <c r="I9582" t="s">
        <v>18906</v>
      </c>
      <c r="J9582" t="str">
        <f>HYPERLINK("https://www.boe.es/gazeta/dias/1823/01/05/pdfs/GMD-1823-5.pdf#page=6","Abrir facsímil")</f>
        <v>Abrir facsímil</v>
      </c>
      <c r="K9582" t="s">
        <v>23</v>
      </c>
    </row>
    <row r="9583" spans="1:11" ht="42" customHeight="1">
      <c r="A9583" t="s">
        <v>18907</v>
      </c>
      <c r="B9583" t="s">
        <v>18908</v>
      </c>
      <c r="C9583" t="s">
        <v>17</v>
      </c>
      <c r="D9583" t="s">
        <v>18</v>
      </c>
      <c r="E9583" s="6">
        <v>-27889</v>
      </c>
      <c r="F9583" t="s">
        <v>1306</v>
      </c>
      <c r="G9583" t="s">
        <v>20</v>
      </c>
      <c r="H9583" t="s">
        <v>21</v>
      </c>
      <c r="I9583" t="s">
        <v>18909</v>
      </c>
      <c r="J9583" t="str">
        <f>HYPERLINK("https://www.boe.es/gazeta/dias/1823/08/22/pdfs/GES-1823-135.pdf#page=4","Abrir facsímil")</f>
        <v>Abrir facsímil</v>
      </c>
      <c r="K9583" t="s">
        <v>23</v>
      </c>
    </row>
    <row r="9584" spans="1:11" ht="42" customHeight="1">
      <c r="A9584" t="s">
        <v>18910</v>
      </c>
      <c r="B9584" t="s">
        <v>18911</v>
      </c>
      <c r="C9584" t="s">
        <v>79</v>
      </c>
      <c r="D9584" t="s">
        <v>74</v>
      </c>
      <c r="E9584" s="6">
        <v>-27944</v>
      </c>
      <c r="F9584" t="s">
        <v>658</v>
      </c>
      <c r="G9584" t="s">
        <v>59</v>
      </c>
      <c r="H9584" t="s">
        <v>21</v>
      </c>
      <c r="I9584" t="s">
        <v>18912</v>
      </c>
      <c r="J9584" t="str">
        <f>HYPERLINK("https://www.boe.es/gazeta/dias/1823/06/28/pdfs/GMD-1823-303.pdf#page=6","Abrir facsímil")</f>
        <v>Abrir facsímil</v>
      </c>
      <c r="K9584" t="s">
        <v>23</v>
      </c>
    </row>
    <row r="9585" spans="1:11" ht="42" customHeight="1">
      <c r="A9585" t="s">
        <v>18913</v>
      </c>
      <c r="B9585" t="s">
        <v>18913</v>
      </c>
      <c r="C9585" t="s">
        <v>17</v>
      </c>
      <c r="D9585" t="s">
        <v>117</v>
      </c>
      <c r="E9585" s="6">
        <v>-27963</v>
      </c>
      <c r="F9585" t="s">
        <v>18914</v>
      </c>
      <c r="G9585" t="s">
        <v>39</v>
      </c>
      <c r="H9585" t="s">
        <v>21</v>
      </c>
      <c r="I9585" t="s">
        <v>18915</v>
      </c>
      <c r="J9585" t="str">
        <f>HYPERLINK("https://www.boe.es/gazeta/dias/1823/06/09/pdfs/GMD-1823-93E.pdf#page=1","Abrir facsímil")</f>
        <v>Abrir facsímil</v>
      </c>
      <c r="K9585" t="s">
        <v>23</v>
      </c>
    </row>
    <row r="9586" spans="1:11" ht="42" customHeight="1">
      <c r="A9586" t="s">
        <v>18916</v>
      </c>
      <c r="B9586" t="s">
        <v>18917</v>
      </c>
      <c r="C9586" t="s">
        <v>17</v>
      </c>
      <c r="D9586" t="s">
        <v>117</v>
      </c>
      <c r="E9586" s="6">
        <v>-27960</v>
      </c>
      <c r="F9586" t="s">
        <v>6554</v>
      </c>
      <c r="G9586" t="s">
        <v>39</v>
      </c>
      <c r="H9586" t="s">
        <v>21</v>
      </c>
      <c r="I9586" t="s">
        <v>18918</v>
      </c>
      <c r="J9586" t="str">
        <f>HYPERLINK("https://www.boe.es/gazeta/dias/1823/06/12/pdfs/GMD-1823-133E.pdf#page=1","Abrir facsímil")</f>
        <v>Abrir facsímil</v>
      </c>
      <c r="K9586" t="s">
        <v>23</v>
      </c>
    </row>
    <row r="9587" spans="1:11" ht="42" customHeight="1">
      <c r="A9587" t="s">
        <v>18919</v>
      </c>
      <c r="B9587" t="s">
        <v>18920</v>
      </c>
      <c r="C9587" t="s">
        <v>17</v>
      </c>
      <c r="D9587" t="s">
        <v>18</v>
      </c>
      <c r="E9587" s="6">
        <v>-27892</v>
      </c>
      <c r="F9587" t="s">
        <v>1571</v>
      </c>
      <c r="G9587" t="s">
        <v>27</v>
      </c>
      <c r="H9587" t="s">
        <v>21</v>
      </c>
      <c r="I9587" t="s">
        <v>18921</v>
      </c>
      <c r="J9587" t="str">
        <f>HYPERLINK("https://www.boe.es/gazeta/dias/1823/08/19/pdfs/GMD-1823-613.pdf#page=2","Abrir facsímil")</f>
        <v>Abrir facsímil</v>
      </c>
      <c r="K9587" t="s">
        <v>23</v>
      </c>
    </row>
    <row r="9588" spans="1:11" ht="42" customHeight="1">
      <c r="A9588" t="s">
        <v>18922</v>
      </c>
      <c r="B9588" t="s">
        <v>18922</v>
      </c>
      <c r="C9588" t="s">
        <v>17</v>
      </c>
      <c r="D9588" t="s">
        <v>18</v>
      </c>
      <c r="E9588" s="6">
        <v>-27892</v>
      </c>
      <c r="F9588" t="s">
        <v>1571</v>
      </c>
      <c r="G9588" t="s">
        <v>27</v>
      </c>
      <c r="H9588" t="s">
        <v>21</v>
      </c>
      <c r="I9588" t="s">
        <v>18923</v>
      </c>
      <c r="J9588" t="str">
        <f>HYPERLINK("https://www.boe.es/gazeta/dias/1823/08/19/pdfs/GMD-1823-613.pdf#page=2","Abrir facsímil")</f>
        <v>Abrir facsímil</v>
      </c>
      <c r="K9588" t="s">
        <v>23</v>
      </c>
    </row>
    <row r="9589" spans="1:11" ht="42" customHeight="1">
      <c r="A9589" t="s">
        <v>18924</v>
      </c>
      <c r="B9589" t="s">
        <v>18925</v>
      </c>
      <c r="C9589" t="s">
        <v>79</v>
      </c>
      <c r="D9589" t="s">
        <v>74</v>
      </c>
      <c r="E9589" s="6">
        <v>-28001</v>
      </c>
      <c r="F9589" t="s">
        <v>768</v>
      </c>
      <c r="G9589" t="s">
        <v>34</v>
      </c>
      <c r="H9589" t="s">
        <v>21</v>
      </c>
      <c r="I9589" t="s">
        <v>18926</v>
      </c>
      <c r="J9589" t="str">
        <f>HYPERLINK("https://www.boe.es/gazeta/dias/1823/05/02/pdfs/GES-1823-22.pdf#page=5","Abrir facsímil")</f>
        <v>Abrir facsímil</v>
      </c>
      <c r="K9589" t="s">
        <v>23</v>
      </c>
    </row>
    <row r="9590" spans="1:11" ht="42" customHeight="1">
      <c r="A9590" t="s">
        <v>18927</v>
      </c>
      <c r="B9590" t="s">
        <v>18928</v>
      </c>
      <c r="C9590" t="s">
        <v>79</v>
      </c>
      <c r="D9590" t="s">
        <v>74</v>
      </c>
      <c r="E9590" s="6">
        <v>-28093</v>
      </c>
      <c r="F9590" t="s">
        <v>1044</v>
      </c>
      <c r="G9590" t="s">
        <v>34</v>
      </c>
      <c r="H9590" t="s">
        <v>21</v>
      </c>
      <c r="I9590" t="s">
        <v>18929</v>
      </c>
      <c r="J9590" t="str">
        <f>HYPERLINK("https://www.boe.es/gazeta/dias/1823/01/30/pdfs/GMD-1823-31.pdf#page=5","Abrir facsímil")</f>
        <v>Abrir facsímil</v>
      </c>
      <c r="K9590" t="s">
        <v>23</v>
      </c>
    </row>
    <row r="9591" spans="1:11" ht="42" customHeight="1">
      <c r="A9591" t="s">
        <v>18930</v>
      </c>
      <c r="B9591" t="s">
        <v>18931</v>
      </c>
      <c r="C9591" t="s">
        <v>79</v>
      </c>
      <c r="D9591" t="s">
        <v>74</v>
      </c>
      <c r="E9591" s="6">
        <v>-28004</v>
      </c>
      <c r="F9591" t="s">
        <v>313</v>
      </c>
      <c r="G9591" t="s">
        <v>27</v>
      </c>
      <c r="H9591" t="s">
        <v>21</v>
      </c>
      <c r="I9591" t="s">
        <v>18932</v>
      </c>
      <c r="J9591" t="str">
        <f>HYPERLINK("https://www.boe.es/gazeta/dias/1823/04/29/pdfs/GMD-1823-72.pdf#page=2","Abrir facsímil")</f>
        <v>Abrir facsímil</v>
      </c>
      <c r="K9591" t="s">
        <v>23</v>
      </c>
    </row>
    <row r="9592" spans="1:11" ht="42" customHeight="1">
      <c r="A9592" t="s">
        <v>18933</v>
      </c>
      <c r="B9592" t="s">
        <v>18933</v>
      </c>
      <c r="C9592" t="s">
        <v>17</v>
      </c>
      <c r="D9592" t="s">
        <v>18</v>
      </c>
      <c r="E9592" s="6">
        <v>-28104</v>
      </c>
      <c r="F9592" t="s">
        <v>114</v>
      </c>
      <c r="G9592" t="s">
        <v>59</v>
      </c>
      <c r="H9592" t="s">
        <v>21</v>
      </c>
      <c r="I9592" t="s">
        <v>18934</v>
      </c>
      <c r="J9592" t="str">
        <f>HYPERLINK("https://www.boe.es/gazeta/dias/1823/01/19/pdfs/GMD-1823-19.pdf#page=6","Abrir facsímil")</f>
        <v>Abrir facsímil</v>
      </c>
      <c r="K9592" t="s">
        <v>23</v>
      </c>
    </row>
    <row r="9593" spans="1:11" ht="42" customHeight="1">
      <c r="A9593" t="s">
        <v>18933</v>
      </c>
      <c r="B9593" t="s">
        <v>18933</v>
      </c>
      <c r="C9593" t="s">
        <v>79</v>
      </c>
      <c r="D9593" t="s">
        <v>74</v>
      </c>
      <c r="E9593" s="6">
        <v>-28101</v>
      </c>
      <c r="F9593" t="s">
        <v>1041</v>
      </c>
      <c r="G9593" t="s">
        <v>20</v>
      </c>
      <c r="H9593" t="s">
        <v>21</v>
      </c>
      <c r="I9593" t="s">
        <v>18935</v>
      </c>
      <c r="J9593" t="str">
        <f>HYPERLINK("https://www.boe.es/gazeta/dias/1823/01/22/pdfs/GMD-1823-23.pdf#page=4","Abrir facsímil")</f>
        <v>Abrir facsímil</v>
      </c>
      <c r="K9593" t="s">
        <v>23</v>
      </c>
    </row>
    <row r="9594" spans="1:11" ht="42" customHeight="1">
      <c r="A9594" t="s">
        <v>18933</v>
      </c>
      <c r="B9594" t="s">
        <v>18933</v>
      </c>
      <c r="C9594" t="s">
        <v>17</v>
      </c>
      <c r="D9594" t="s">
        <v>18</v>
      </c>
      <c r="E9594" s="6">
        <v>-28001</v>
      </c>
      <c r="F9594" t="s">
        <v>768</v>
      </c>
      <c r="G9594" t="s">
        <v>27</v>
      </c>
      <c r="H9594" t="s">
        <v>21</v>
      </c>
      <c r="I9594" t="s">
        <v>18936</v>
      </c>
      <c r="J9594" t="str">
        <f>HYPERLINK("https://www.boe.es/gazeta/dias/1823/05/02/pdfs/GES-1823-22.pdf#page=2","Abrir facsímil")</f>
        <v>Abrir facsímil</v>
      </c>
      <c r="K9594" t="s">
        <v>23</v>
      </c>
    </row>
    <row r="9595" spans="1:11" ht="42" customHeight="1">
      <c r="A9595" t="s">
        <v>18933</v>
      </c>
      <c r="B9595" t="s">
        <v>18933</v>
      </c>
      <c r="C9595" t="s">
        <v>84</v>
      </c>
      <c r="D9595" t="s">
        <v>74</v>
      </c>
      <c r="E9595" s="6">
        <v>-27973</v>
      </c>
      <c r="F9595" t="s">
        <v>758</v>
      </c>
      <c r="G9595" t="s">
        <v>20</v>
      </c>
      <c r="H9595" t="s">
        <v>21</v>
      </c>
      <c r="I9595" t="s">
        <v>18937</v>
      </c>
      <c r="J9595" t="str">
        <f>HYPERLINK("https://www.boe.es/gazeta/dias/1823/05/30/pdfs/GES-1823-53.pdf#page=4","Abrir facsímil")</f>
        <v>Abrir facsímil</v>
      </c>
      <c r="K9595" t="s">
        <v>23</v>
      </c>
    </row>
    <row r="9596" spans="1:11" ht="42" customHeight="1">
      <c r="A9596" t="s">
        <v>18938</v>
      </c>
      <c r="B9596" t="s">
        <v>18938</v>
      </c>
      <c r="C9596" t="s">
        <v>56</v>
      </c>
      <c r="D9596" t="s">
        <v>57</v>
      </c>
      <c r="E9596" s="6">
        <v>-27944</v>
      </c>
      <c r="F9596" t="s">
        <v>2823</v>
      </c>
      <c r="G9596" t="s">
        <v>39</v>
      </c>
      <c r="H9596" t="s">
        <v>21</v>
      </c>
      <c r="I9596" t="s">
        <v>18939</v>
      </c>
      <c r="J9596" t="str">
        <f>HYPERLINK("https://www.boe.es/gazeta/dias/1823/06/28/pdfs/GES-1823-78.pdf#page=1","Abrir facsímil")</f>
        <v>Abrir facsímil</v>
      </c>
      <c r="K9596" t="s">
        <v>23</v>
      </c>
    </row>
    <row r="9597" spans="1:11" ht="42" customHeight="1">
      <c r="A9597" t="s">
        <v>18938</v>
      </c>
      <c r="B9597" t="s">
        <v>18938</v>
      </c>
      <c r="C9597" t="s">
        <v>79</v>
      </c>
      <c r="D9597" t="s">
        <v>74</v>
      </c>
      <c r="E9597" s="6">
        <v>-27893</v>
      </c>
      <c r="F9597" t="s">
        <v>1893</v>
      </c>
      <c r="G9597" t="s">
        <v>48</v>
      </c>
      <c r="H9597" t="s">
        <v>21</v>
      </c>
      <c r="I9597" t="s">
        <v>18940</v>
      </c>
      <c r="J9597" t="str">
        <f>HYPERLINK("https://www.boe.es/gazeta/dias/1823/08/18/pdfs/GES-1823-131.pdf#page=3","Abrir facsímil")</f>
        <v>Abrir facsímil</v>
      </c>
      <c r="K9597" t="s">
        <v>23</v>
      </c>
    </row>
    <row r="9598" spans="1:11" ht="42" customHeight="1">
      <c r="A9598" t="s">
        <v>18941</v>
      </c>
      <c r="B9598" t="s">
        <v>18942</v>
      </c>
      <c r="C9598" t="s">
        <v>17</v>
      </c>
      <c r="D9598" t="s">
        <v>18</v>
      </c>
      <c r="E9598" s="6">
        <v>-27829</v>
      </c>
      <c r="F9598" t="s">
        <v>228</v>
      </c>
      <c r="G9598" t="s">
        <v>20</v>
      </c>
      <c r="H9598" t="s">
        <v>21</v>
      </c>
      <c r="I9598" t="s">
        <v>18943</v>
      </c>
      <c r="J9598" t="str">
        <f>HYPERLINK("https://www.boe.es/gazeta/dias/1823/10/21/pdfs/GMD-1823-1003.pdf#page=4","Abrir facsímil")</f>
        <v>Abrir facsímil</v>
      </c>
      <c r="K9598" t="s">
        <v>23</v>
      </c>
    </row>
    <row r="9599" spans="1:11" ht="42" customHeight="1">
      <c r="A9599" t="s">
        <v>18944</v>
      </c>
      <c r="B9599" t="s">
        <v>18945</v>
      </c>
      <c r="C9599" t="s">
        <v>56</v>
      </c>
      <c r="D9599" t="s">
        <v>57</v>
      </c>
      <c r="E9599" s="6">
        <v>-28043</v>
      </c>
      <c r="F9599" t="s">
        <v>69</v>
      </c>
      <c r="G9599" t="s">
        <v>59</v>
      </c>
      <c r="H9599" t="s">
        <v>28</v>
      </c>
      <c r="I9599" t="s">
        <v>18946</v>
      </c>
      <c r="J9599" t="str">
        <f>HYPERLINK("https://www.boe.es/gazeta/dias/1823/03/21/pdfs/GMD-1823-84.pdf#page=6","Abrir facsímil")</f>
        <v>Abrir facsímil</v>
      </c>
      <c r="K9599" t="s">
        <v>30</v>
      </c>
    </row>
    <row r="9600" spans="1:11" ht="42" customHeight="1">
      <c r="A9600" t="s">
        <v>18947</v>
      </c>
      <c r="B9600" t="s">
        <v>18948</v>
      </c>
      <c r="C9600" t="s">
        <v>56</v>
      </c>
      <c r="D9600" t="s">
        <v>57</v>
      </c>
      <c r="E9600" s="6">
        <v>-27759</v>
      </c>
      <c r="F9600" t="s">
        <v>415</v>
      </c>
      <c r="G9600" t="s">
        <v>20</v>
      </c>
      <c r="H9600" t="s">
        <v>21</v>
      </c>
      <c r="I9600" t="s">
        <v>18949</v>
      </c>
      <c r="J9600" t="str">
        <f>HYPERLINK("https://www.boe.es/gazeta/dias/1823/12/30/pdfs/GMD-1823-1313.pdf#page=4","Abrir facsímil")</f>
        <v>Abrir facsímil</v>
      </c>
      <c r="K9600" t="s">
        <v>23</v>
      </c>
    </row>
    <row r="9601" spans="1:11" ht="42" customHeight="1">
      <c r="A9601" t="s">
        <v>18950</v>
      </c>
      <c r="B9601" t="s">
        <v>18951</v>
      </c>
      <c r="C9601" t="s">
        <v>17</v>
      </c>
      <c r="D9601" t="s">
        <v>18</v>
      </c>
      <c r="E9601" s="6">
        <v>-27876</v>
      </c>
      <c r="F9601" t="s">
        <v>8384</v>
      </c>
      <c r="G9601" t="s">
        <v>39</v>
      </c>
      <c r="H9601" t="s">
        <v>21</v>
      </c>
      <c r="I9601" t="s">
        <v>18952</v>
      </c>
      <c r="J9601" t="str">
        <f>HYPERLINK("https://www.boe.es/gazeta/dias/1823/09/04/pdfs/GMD-1823-693.pdf#page=1","Abrir facsímil")</f>
        <v>Abrir facsímil</v>
      </c>
      <c r="K9601" t="s">
        <v>23</v>
      </c>
    </row>
    <row r="9602" spans="1:11" ht="42" customHeight="1">
      <c r="A9602" t="s">
        <v>18953</v>
      </c>
      <c r="B9602" t="s">
        <v>18954</v>
      </c>
      <c r="C9602" t="s">
        <v>79</v>
      </c>
      <c r="D9602" t="s">
        <v>74</v>
      </c>
      <c r="E9602" s="6">
        <v>-27922</v>
      </c>
      <c r="F9602" t="s">
        <v>1959</v>
      </c>
      <c r="G9602" t="s">
        <v>27</v>
      </c>
      <c r="H9602" t="s">
        <v>21</v>
      </c>
      <c r="I9602" t="s">
        <v>18955</v>
      </c>
      <c r="J9602" t="str">
        <f>HYPERLINK("https://www.boe.es/gazeta/dias/1823/07/20/pdfs/GES-1823-101.pdf#page=2","Abrir facsímil")</f>
        <v>Abrir facsímil</v>
      </c>
      <c r="K9602" t="s">
        <v>23</v>
      </c>
    </row>
    <row r="9603" spans="1:11" ht="42" customHeight="1">
      <c r="A9603" t="s">
        <v>18956</v>
      </c>
      <c r="B9603" t="s">
        <v>18957</v>
      </c>
      <c r="C9603" t="s">
        <v>79</v>
      </c>
      <c r="D9603" t="s">
        <v>74</v>
      </c>
      <c r="E9603" s="6">
        <v>-28056</v>
      </c>
      <c r="F9603" t="s">
        <v>572</v>
      </c>
      <c r="G9603" t="s">
        <v>59</v>
      </c>
      <c r="H9603" t="s">
        <v>21</v>
      </c>
      <c r="I9603" t="s">
        <v>18958</v>
      </c>
      <c r="J9603" t="str">
        <f>HYPERLINK("https://www.boe.es/gazeta/dias/1823/03/08/pdfs/GMD-1823-71.pdf#page=6","Abrir facsímil")</f>
        <v>Abrir facsímil</v>
      </c>
      <c r="K9603" t="s">
        <v>23</v>
      </c>
    </row>
    <row r="9604" spans="1:11" ht="42" customHeight="1">
      <c r="A9604" t="s">
        <v>18959</v>
      </c>
      <c r="B9604" t="s">
        <v>18960</v>
      </c>
      <c r="C9604" t="s">
        <v>56</v>
      </c>
      <c r="D9604" t="s">
        <v>57</v>
      </c>
      <c r="E9604" s="6">
        <v>-28055</v>
      </c>
      <c r="F9604" t="s">
        <v>313</v>
      </c>
      <c r="G9604" t="s">
        <v>20</v>
      </c>
      <c r="H9604" t="s">
        <v>21</v>
      </c>
      <c r="I9604" t="s">
        <v>18961</v>
      </c>
      <c r="J9604" t="str">
        <f>HYPERLINK("https://www.boe.es/gazeta/dias/1823/03/09/pdfs/GMD-1823-72.pdf#page=4","Abrir facsímil")</f>
        <v>Abrir facsímil</v>
      </c>
      <c r="K9604" t="s">
        <v>23</v>
      </c>
    </row>
    <row r="9605" spans="1:11" ht="42" customHeight="1">
      <c r="A9605" t="s">
        <v>18962</v>
      </c>
      <c r="B9605" t="s">
        <v>18963</v>
      </c>
      <c r="C9605" t="s">
        <v>56</v>
      </c>
      <c r="D9605" t="s">
        <v>57</v>
      </c>
      <c r="E9605" s="6">
        <v>-28095</v>
      </c>
      <c r="F9605" t="s">
        <v>1770</v>
      </c>
      <c r="G9605" t="s">
        <v>20</v>
      </c>
      <c r="H9605" t="s">
        <v>21</v>
      </c>
      <c r="I9605" t="s">
        <v>18964</v>
      </c>
      <c r="J9605" t="str">
        <f>HYPERLINK("https://www.boe.es/gazeta/dias/1823/01/28/pdfs/GMD-1823-29.pdf#page=4","Abrir facsímil")</f>
        <v>Abrir facsímil</v>
      </c>
      <c r="K9605" t="s">
        <v>23</v>
      </c>
    </row>
    <row r="9606" spans="1:11" ht="42" customHeight="1">
      <c r="A9606" t="s">
        <v>18965</v>
      </c>
      <c r="B9606" t="s">
        <v>18965</v>
      </c>
      <c r="C9606" t="s">
        <v>79</v>
      </c>
      <c r="D9606" t="s">
        <v>74</v>
      </c>
      <c r="E9606" s="6">
        <v>-28122</v>
      </c>
      <c r="F9606" t="s">
        <v>269</v>
      </c>
      <c r="G9606" t="s">
        <v>27</v>
      </c>
      <c r="H9606" t="s">
        <v>21</v>
      </c>
      <c r="I9606" t="s">
        <v>18966</v>
      </c>
      <c r="J9606" t="str">
        <f>HYPERLINK("https://www.boe.es/gazeta/dias/1823/01/01/pdfs/GMD-1823-1.pdf#page=2","Abrir facsímil")</f>
        <v>Abrir facsímil</v>
      </c>
      <c r="K9606" t="s">
        <v>23</v>
      </c>
    </row>
    <row r="9607" spans="1:11" ht="42" customHeight="1">
      <c r="A9607" t="s">
        <v>18965</v>
      </c>
      <c r="B9607" t="s">
        <v>18965</v>
      </c>
      <c r="C9607" t="s">
        <v>293</v>
      </c>
      <c r="D9607" t="s">
        <v>74</v>
      </c>
      <c r="E9607" s="6">
        <v>-28084</v>
      </c>
      <c r="F9607" t="s">
        <v>1049</v>
      </c>
      <c r="G9607" t="s">
        <v>3129</v>
      </c>
      <c r="H9607" t="s">
        <v>21</v>
      </c>
      <c r="I9607" t="s">
        <v>18967</v>
      </c>
      <c r="J9607" t="str">
        <f>HYPERLINK("https://www.boe.es/gazeta/dias/1823/02/08/pdfs/GMD-1823-41.pdf#page=2","Abrir facsímil")</f>
        <v>Abrir facsímil</v>
      </c>
      <c r="K9607" t="s">
        <v>23</v>
      </c>
    </row>
    <row r="9608" spans="1:11" ht="42" customHeight="1">
      <c r="A9608" t="s">
        <v>18965</v>
      </c>
      <c r="B9608" t="s">
        <v>18965</v>
      </c>
      <c r="C9608" t="s">
        <v>17</v>
      </c>
      <c r="D9608" t="s">
        <v>18</v>
      </c>
      <c r="E9608" s="6">
        <v>-28083</v>
      </c>
      <c r="F9608" t="s">
        <v>291</v>
      </c>
      <c r="G9608" t="s">
        <v>48</v>
      </c>
      <c r="H9608" t="s">
        <v>21</v>
      </c>
      <c r="I9608" t="s">
        <v>18968</v>
      </c>
      <c r="J9608" t="str">
        <f>HYPERLINK("https://www.boe.es/gazeta/dias/1823/02/09/pdfs/GMD-1823-43.pdf#page=3","Abrir facsímil")</f>
        <v>Abrir facsímil</v>
      </c>
      <c r="K9608" t="s">
        <v>23</v>
      </c>
    </row>
    <row r="9609" spans="1:11" ht="42" customHeight="1">
      <c r="A9609" t="s">
        <v>18965</v>
      </c>
      <c r="B9609" t="s">
        <v>18965</v>
      </c>
      <c r="C9609" t="s">
        <v>73</v>
      </c>
      <c r="D9609" t="s">
        <v>74</v>
      </c>
      <c r="E9609" s="6">
        <v>-28082</v>
      </c>
      <c r="F9609" t="s">
        <v>468</v>
      </c>
      <c r="G9609" t="s">
        <v>27</v>
      </c>
      <c r="H9609" t="s">
        <v>21</v>
      </c>
      <c r="I9609" t="s">
        <v>18969</v>
      </c>
      <c r="J9609" t="str">
        <f>HYPERLINK("https://www.boe.es/gazeta/dias/1823/02/10/pdfs/GMD-1823-44.pdf#page=2","Abrir facsímil")</f>
        <v>Abrir facsímil</v>
      </c>
      <c r="K9609" t="s">
        <v>23</v>
      </c>
    </row>
    <row r="9610" spans="1:11" ht="42" customHeight="1">
      <c r="A9610" t="s">
        <v>18965</v>
      </c>
      <c r="B9610" t="s">
        <v>18965</v>
      </c>
      <c r="C9610" t="s">
        <v>56</v>
      </c>
      <c r="D9610" t="s">
        <v>57</v>
      </c>
      <c r="E9610" s="6">
        <v>-28071</v>
      </c>
      <c r="F9610" t="s">
        <v>587</v>
      </c>
      <c r="G9610" t="s">
        <v>27</v>
      </c>
      <c r="H9610" t="s">
        <v>21</v>
      </c>
      <c r="I9610" t="s">
        <v>18970</v>
      </c>
      <c r="J9610" t="str">
        <f>HYPERLINK("https://www.boe.es/gazeta/dias/1823/02/21/pdfs/GMD-1823-55.pdf#page=2","Abrir facsímil")</f>
        <v>Abrir facsímil</v>
      </c>
      <c r="K9610" t="s">
        <v>23</v>
      </c>
    </row>
    <row r="9611" spans="1:11" ht="42" customHeight="1">
      <c r="A9611" t="s">
        <v>18965</v>
      </c>
      <c r="B9611" t="s">
        <v>18965</v>
      </c>
      <c r="C9611" t="s">
        <v>56</v>
      </c>
      <c r="D9611" t="s">
        <v>57</v>
      </c>
      <c r="E9611" s="6">
        <v>-28066</v>
      </c>
      <c r="F9611" t="s">
        <v>19</v>
      </c>
      <c r="G9611" t="s">
        <v>48</v>
      </c>
      <c r="H9611" t="s">
        <v>21</v>
      </c>
      <c r="I9611" t="s">
        <v>18971</v>
      </c>
      <c r="J9611" t="str">
        <f>HYPERLINK("https://www.boe.es/gazeta/dias/1823/02/26/pdfs/GMD-1823-60.pdf#page=3","Abrir facsímil")</f>
        <v>Abrir facsímil</v>
      </c>
      <c r="K9611" t="s">
        <v>23</v>
      </c>
    </row>
    <row r="9612" spans="1:11" ht="42" customHeight="1">
      <c r="A9612" t="s">
        <v>18965</v>
      </c>
      <c r="B9612" t="s">
        <v>18965</v>
      </c>
      <c r="C9612" t="s">
        <v>109</v>
      </c>
      <c r="D9612" t="s">
        <v>74</v>
      </c>
      <c r="E9612" s="6">
        <v>-28009</v>
      </c>
      <c r="F9612" t="s">
        <v>307</v>
      </c>
      <c r="G9612" t="s">
        <v>2107</v>
      </c>
      <c r="H9612" t="s">
        <v>21</v>
      </c>
      <c r="I9612" t="s">
        <v>18972</v>
      </c>
      <c r="J9612" t="str">
        <f>HYPERLINK("https://www.boe.es/gazeta/dias/1823/04/24/pdfs/GES-1823-14.pdf#page=4","Abrir facsímil")</f>
        <v>Abrir facsímil</v>
      </c>
      <c r="K9612" t="s">
        <v>23</v>
      </c>
    </row>
    <row r="9613" spans="1:11" ht="42" customHeight="1">
      <c r="A9613" t="s">
        <v>18965</v>
      </c>
      <c r="B9613" t="s">
        <v>18965</v>
      </c>
      <c r="C9613" t="s">
        <v>56</v>
      </c>
      <c r="D9613" t="s">
        <v>57</v>
      </c>
      <c r="E9613" s="6">
        <v>-28009</v>
      </c>
      <c r="F9613" t="s">
        <v>307</v>
      </c>
      <c r="G9613" t="s">
        <v>34</v>
      </c>
      <c r="H9613" t="s">
        <v>21</v>
      </c>
      <c r="I9613" t="s">
        <v>18973</v>
      </c>
      <c r="J9613" t="str">
        <f>HYPERLINK("https://www.boe.es/gazeta/dias/1823/04/24/pdfs/GES-1823-14.pdf#page=5","Abrir facsímil")</f>
        <v>Abrir facsímil</v>
      </c>
      <c r="K9613" t="s">
        <v>23</v>
      </c>
    </row>
    <row r="9614" spans="1:11" ht="42" customHeight="1">
      <c r="A9614" t="s">
        <v>18965</v>
      </c>
      <c r="B9614" t="s">
        <v>18965</v>
      </c>
      <c r="C9614" t="s">
        <v>56</v>
      </c>
      <c r="D9614" t="s">
        <v>57</v>
      </c>
      <c r="E9614" s="6">
        <v>-28004</v>
      </c>
      <c r="F9614" t="s">
        <v>313</v>
      </c>
      <c r="G9614" t="s">
        <v>48</v>
      </c>
      <c r="H9614" t="s">
        <v>21</v>
      </c>
      <c r="I9614" t="s">
        <v>18974</v>
      </c>
      <c r="J9614" t="str">
        <f>HYPERLINK("https://www.boe.es/gazeta/dias/1823/04/29/pdfs/GMD-1823-72.pdf#page=3","Abrir facsímil")</f>
        <v>Abrir facsímil</v>
      </c>
      <c r="K9614" t="s">
        <v>23</v>
      </c>
    </row>
    <row r="9615" spans="1:11" ht="42" customHeight="1">
      <c r="A9615" t="s">
        <v>18965</v>
      </c>
      <c r="B9615" t="s">
        <v>18965</v>
      </c>
      <c r="C9615" t="s">
        <v>17</v>
      </c>
      <c r="D9615" t="s">
        <v>18</v>
      </c>
      <c r="E9615" s="6">
        <v>-28001</v>
      </c>
      <c r="F9615" t="s">
        <v>768</v>
      </c>
      <c r="G9615" t="s">
        <v>4465</v>
      </c>
      <c r="H9615" t="s">
        <v>21</v>
      </c>
      <c r="I9615" t="s">
        <v>18975</v>
      </c>
      <c r="J9615" t="str">
        <f>HYPERLINK("https://www.boe.es/gazeta/dias/1823/05/02/pdfs/GES-1823-22.pdf#page=4","Abrir facsímil")</f>
        <v>Abrir facsímil</v>
      </c>
      <c r="K9615" t="s">
        <v>23</v>
      </c>
    </row>
    <row r="9616" spans="1:11" ht="42" customHeight="1">
      <c r="A9616" t="s">
        <v>18965</v>
      </c>
      <c r="B9616" t="s">
        <v>18965</v>
      </c>
      <c r="C9616" t="s">
        <v>17</v>
      </c>
      <c r="D9616" t="s">
        <v>18</v>
      </c>
      <c r="E9616" s="6">
        <v>-28001</v>
      </c>
      <c r="F9616" t="s">
        <v>768</v>
      </c>
      <c r="G9616" t="s">
        <v>27</v>
      </c>
      <c r="H9616" t="s">
        <v>21</v>
      </c>
      <c r="I9616" t="s">
        <v>18976</v>
      </c>
      <c r="J9616" t="str">
        <f>HYPERLINK("https://www.boe.es/gazeta/dias/1823/05/02/pdfs/GES-1823-22.pdf#page=2","Abrir facsímil")</f>
        <v>Abrir facsímil</v>
      </c>
      <c r="K9616" t="s">
        <v>23</v>
      </c>
    </row>
    <row r="9617" spans="1:11" ht="42" customHeight="1">
      <c r="A9617" t="s">
        <v>18965</v>
      </c>
      <c r="B9617" t="s">
        <v>18965</v>
      </c>
      <c r="C9617" t="s">
        <v>293</v>
      </c>
      <c r="D9617" t="s">
        <v>74</v>
      </c>
      <c r="E9617" s="6">
        <v>-28001</v>
      </c>
      <c r="F9617" t="s">
        <v>768</v>
      </c>
      <c r="G9617" t="s">
        <v>48</v>
      </c>
      <c r="H9617" t="s">
        <v>21</v>
      </c>
      <c r="I9617" t="s">
        <v>18977</v>
      </c>
      <c r="J9617" t="str">
        <f>HYPERLINK("https://www.boe.es/gazeta/dias/1823/05/02/pdfs/GES-1823-22.pdf#page=3","Abrir facsímil")</f>
        <v>Abrir facsímil</v>
      </c>
      <c r="K9617" t="s">
        <v>23</v>
      </c>
    </row>
    <row r="9618" spans="1:11" ht="42" customHeight="1">
      <c r="A9618" t="s">
        <v>18965</v>
      </c>
      <c r="B9618" t="s">
        <v>18965</v>
      </c>
      <c r="C9618" t="s">
        <v>17</v>
      </c>
      <c r="D9618" t="s">
        <v>18</v>
      </c>
      <c r="E9618" s="6">
        <v>-27995</v>
      </c>
      <c r="F9618" t="s">
        <v>320</v>
      </c>
      <c r="G9618" t="s">
        <v>59</v>
      </c>
      <c r="H9618" t="s">
        <v>21</v>
      </c>
      <c r="I9618" t="s">
        <v>18978</v>
      </c>
      <c r="J9618" t="str">
        <f>HYPERLINK("https://www.boe.es/gazeta/dias/1823/05/08/pdfs/GES-1823-28.pdf#page=6","Abrir facsímil")</f>
        <v>Abrir facsímil</v>
      </c>
      <c r="K9618" t="s">
        <v>23</v>
      </c>
    </row>
    <row r="9619" spans="1:11" ht="42" customHeight="1">
      <c r="A9619" t="s">
        <v>18965</v>
      </c>
      <c r="B9619" t="s">
        <v>18965</v>
      </c>
      <c r="C9619" t="s">
        <v>109</v>
      </c>
      <c r="D9619" t="s">
        <v>74</v>
      </c>
      <c r="E9619" s="6">
        <v>-27995</v>
      </c>
      <c r="F9619" t="s">
        <v>326</v>
      </c>
      <c r="G9619" t="s">
        <v>48</v>
      </c>
      <c r="H9619" t="s">
        <v>21</v>
      </c>
      <c r="I9619" t="s">
        <v>18979</v>
      </c>
      <c r="J9619" t="str">
        <f>HYPERLINK("https://www.boe.es/gazeta/dias/1823/05/08/pdfs/GMD-1823-112.pdf#page=3","Abrir facsímil")</f>
        <v>Abrir facsímil</v>
      </c>
      <c r="K9619" t="s">
        <v>23</v>
      </c>
    </row>
    <row r="9620" spans="1:11" ht="42" customHeight="1">
      <c r="A9620" t="s">
        <v>18965</v>
      </c>
      <c r="B9620" t="s">
        <v>18965</v>
      </c>
      <c r="C9620" t="s">
        <v>84</v>
      </c>
      <c r="D9620" t="s">
        <v>74</v>
      </c>
      <c r="E9620" s="6">
        <v>-27994</v>
      </c>
      <c r="F9620" t="s">
        <v>714</v>
      </c>
      <c r="G9620" t="s">
        <v>27</v>
      </c>
      <c r="H9620" t="s">
        <v>21</v>
      </c>
      <c r="I9620" t="s">
        <v>18980</v>
      </c>
      <c r="J9620" t="str">
        <f>HYPERLINK("https://www.boe.es/gazeta/dias/1823/05/09/pdfs/GES-1823-29.pdf#page=2","Abrir facsímil")</f>
        <v>Abrir facsímil</v>
      </c>
      <c r="K9620" t="s">
        <v>23</v>
      </c>
    </row>
    <row r="9621" spans="1:11" ht="42" customHeight="1">
      <c r="A9621" t="s">
        <v>18965</v>
      </c>
      <c r="B9621" t="s">
        <v>18965</v>
      </c>
      <c r="C9621" t="s">
        <v>17</v>
      </c>
      <c r="D9621" t="s">
        <v>18</v>
      </c>
      <c r="E9621" s="6">
        <v>-27993</v>
      </c>
      <c r="F9621" t="s">
        <v>977</v>
      </c>
      <c r="G9621" t="s">
        <v>978</v>
      </c>
      <c r="H9621" t="s">
        <v>21</v>
      </c>
      <c r="I9621" t="s">
        <v>18981</v>
      </c>
      <c r="J9621" t="str">
        <f>HYPERLINK("https://www.boe.es/gazeta/dias/1823/05/10/pdfs/GES-1823-30.pdf#page=4","Abrir facsímil")</f>
        <v>Abrir facsímil</v>
      </c>
      <c r="K9621" t="s">
        <v>23</v>
      </c>
    </row>
    <row r="9622" spans="1:11" ht="42" customHeight="1">
      <c r="A9622" t="s">
        <v>18965</v>
      </c>
      <c r="B9622" t="s">
        <v>18965</v>
      </c>
      <c r="C9622" t="s">
        <v>56</v>
      </c>
      <c r="D9622" t="s">
        <v>57</v>
      </c>
      <c r="E9622" s="6">
        <v>-27993</v>
      </c>
      <c r="F9622" t="s">
        <v>977</v>
      </c>
      <c r="G9622" t="s">
        <v>27</v>
      </c>
      <c r="H9622" t="s">
        <v>21</v>
      </c>
      <c r="I9622" t="s">
        <v>18982</v>
      </c>
      <c r="J9622" t="str">
        <f>HYPERLINK("https://www.boe.es/gazeta/dias/1823/05/10/pdfs/GES-1823-30.pdf#page=2","Abrir facsímil")</f>
        <v>Abrir facsímil</v>
      </c>
      <c r="K9622" t="s">
        <v>23</v>
      </c>
    </row>
    <row r="9623" spans="1:11" ht="42" customHeight="1">
      <c r="A9623" t="s">
        <v>18965</v>
      </c>
      <c r="B9623" t="s">
        <v>18965</v>
      </c>
      <c r="C9623" t="s">
        <v>73</v>
      </c>
      <c r="D9623" t="s">
        <v>74</v>
      </c>
      <c r="E9623" s="6">
        <v>-27989</v>
      </c>
      <c r="F9623" t="s">
        <v>1134</v>
      </c>
      <c r="G9623" t="s">
        <v>48</v>
      </c>
      <c r="H9623" t="s">
        <v>21</v>
      </c>
      <c r="I9623" t="s">
        <v>18983</v>
      </c>
      <c r="J9623" t="str">
        <f>HYPERLINK("https://www.boe.es/gazeta/dias/1823/05/14/pdfs/GES-1823-34.pdf#page=3","Abrir facsímil")</f>
        <v>Abrir facsímil</v>
      </c>
      <c r="K9623" t="s">
        <v>23</v>
      </c>
    </row>
    <row r="9624" spans="1:11" ht="42" customHeight="1">
      <c r="A9624" t="s">
        <v>18965</v>
      </c>
      <c r="B9624" t="s">
        <v>18965</v>
      </c>
      <c r="C9624" t="s">
        <v>109</v>
      </c>
      <c r="D9624" t="s">
        <v>74</v>
      </c>
      <c r="E9624" s="6">
        <v>-27986</v>
      </c>
      <c r="F9624" t="s">
        <v>607</v>
      </c>
      <c r="G9624" t="s">
        <v>39</v>
      </c>
      <c r="H9624" t="s">
        <v>21</v>
      </c>
      <c r="I9624" t="s">
        <v>18984</v>
      </c>
      <c r="J9624" t="str">
        <f>HYPERLINK("https://www.boe.es/gazeta/dias/1823/05/17/pdfs/GMD-1823-152.pdf#page=1","Abrir facsímil")</f>
        <v>Abrir facsímil</v>
      </c>
      <c r="K9624" t="s">
        <v>23</v>
      </c>
    </row>
    <row r="9625" spans="1:11" ht="42" customHeight="1">
      <c r="A9625" t="s">
        <v>18965</v>
      </c>
      <c r="B9625" t="s">
        <v>18965</v>
      </c>
      <c r="C9625" t="s">
        <v>79</v>
      </c>
      <c r="D9625" t="s">
        <v>74</v>
      </c>
      <c r="E9625" s="6">
        <v>-27985</v>
      </c>
      <c r="F9625" t="s">
        <v>951</v>
      </c>
      <c r="G9625" t="s">
        <v>27</v>
      </c>
      <c r="H9625" t="s">
        <v>21</v>
      </c>
      <c r="I9625" t="s">
        <v>18985</v>
      </c>
      <c r="J9625" t="str">
        <f>HYPERLINK("https://www.boe.es/gazeta/dias/1823/05/18/pdfs/GES-1823-38.pdf#page=2","Abrir facsímil")</f>
        <v>Abrir facsímil</v>
      </c>
      <c r="K9625" t="s">
        <v>23</v>
      </c>
    </row>
    <row r="9626" spans="1:11" ht="42" customHeight="1">
      <c r="A9626" t="s">
        <v>18965</v>
      </c>
      <c r="B9626" t="s">
        <v>18965</v>
      </c>
      <c r="C9626" t="s">
        <v>109</v>
      </c>
      <c r="D9626" t="s">
        <v>74</v>
      </c>
      <c r="E9626" s="6">
        <v>-27971</v>
      </c>
      <c r="F9626" t="s">
        <v>4211</v>
      </c>
      <c r="G9626" t="s">
        <v>39</v>
      </c>
      <c r="H9626" t="s">
        <v>21</v>
      </c>
      <c r="I9626" t="s">
        <v>18986</v>
      </c>
      <c r="J9626" t="str">
        <f>HYPERLINK("https://www.boe.es/gazeta/dias/1823/06/01/pdfs/GES-1823-55.pdf#page=1","Abrir facsímil")</f>
        <v>Abrir facsímil</v>
      </c>
      <c r="K9626" t="s">
        <v>23</v>
      </c>
    </row>
    <row r="9627" spans="1:11" ht="42" customHeight="1">
      <c r="A9627" t="s">
        <v>18965</v>
      </c>
      <c r="B9627" t="s">
        <v>18965</v>
      </c>
      <c r="C9627" t="s">
        <v>293</v>
      </c>
      <c r="D9627" t="s">
        <v>74</v>
      </c>
      <c r="E9627" s="6">
        <v>-27968</v>
      </c>
      <c r="F9627" t="s">
        <v>1160</v>
      </c>
      <c r="G9627" t="s">
        <v>27</v>
      </c>
      <c r="H9627" t="s">
        <v>21</v>
      </c>
      <c r="I9627" t="s">
        <v>18987</v>
      </c>
      <c r="J9627" t="str">
        <f>HYPERLINK("https://www.boe.es/gazeta/dias/1823/06/04/pdfs/GES-1823-58.pdf#page=2","Abrir facsímil")</f>
        <v>Abrir facsímil</v>
      </c>
      <c r="K9627" t="s">
        <v>23</v>
      </c>
    </row>
    <row r="9628" spans="1:11" ht="42" customHeight="1">
      <c r="A9628" t="s">
        <v>18965</v>
      </c>
      <c r="B9628" t="s">
        <v>18965</v>
      </c>
      <c r="C9628" t="s">
        <v>56</v>
      </c>
      <c r="D9628" t="s">
        <v>57</v>
      </c>
      <c r="E9628" s="6">
        <v>-27960</v>
      </c>
      <c r="F9628" t="s">
        <v>741</v>
      </c>
      <c r="G9628" t="s">
        <v>34</v>
      </c>
      <c r="H9628" t="s">
        <v>21</v>
      </c>
      <c r="I9628" t="s">
        <v>18988</v>
      </c>
      <c r="J9628" t="str">
        <f>HYPERLINK("https://www.boe.es/gazeta/dias/1823/06/12/pdfs/GES-1823-66.pdf#page=5","Abrir facsímil")</f>
        <v>Abrir facsímil</v>
      </c>
      <c r="K9628" t="s">
        <v>23</v>
      </c>
    </row>
    <row r="9629" spans="1:11" ht="42" customHeight="1">
      <c r="A9629" t="s">
        <v>18965</v>
      </c>
      <c r="B9629" t="s">
        <v>18965</v>
      </c>
      <c r="C9629" t="s">
        <v>73</v>
      </c>
      <c r="D9629" t="s">
        <v>74</v>
      </c>
      <c r="E9629" s="6">
        <v>-27951</v>
      </c>
      <c r="F9629" t="s">
        <v>548</v>
      </c>
      <c r="G9629" t="s">
        <v>27</v>
      </c>
      <c r="H9629" t="s">
        <v>21</v>
      </c>
      <c r="I9629" t="s">
        <v>18989</v>
      </c>
      <c r="J9629" t="str">
        <f>HYPERLINK("https://www.boe.es/gazeta/dias/1823/06/21/pdfs/GES-1823-69.pdf#page=2","Abrir facsímil")</f>
        <v>Abrir facsímil</v>
      </c>
      <c r="K9629" t="s">
        <v>23</v>
      </c>
    </row>
    <row r="9630" spans="1:11" ht="42" customHeight="1">
      <c r="A9630" t="s">
        <v>18965</v>
      </c>
      <c r="B9630" t="s">
        <v>18965</v>
      </c>
      <c r="C9630" t="s">
        <v>109</v>
      </c>
      <c r="D9630" t="s">
        <v>74</v>
      </c>
      <c r="E9630" s="6">
        <v>-27938</v>
      </c>
      <c r="F9630" t="s">
        <v>101</v>
      </c>
      <c r="G9630" t="s">
        <v>27</v>
      </c>
      <c r="H9630" t="s">
        <v>21</v>
      </c>
      <c r="I9630" t="s">
        <v>18990</v>
      </c>
      <c r="J9630" t="str">
        <f>HYPERLINK("https://www.boe.es/gazeta/dias/1823/07/04/pdfs/GES-1823-84.pdf#page=2","Abrir facsímil")</f>
        <v>Abrir facsímil</v>
      </c>
      <c r="K9630" t="s">
        <v>23</v>
      </c>
    </row>
    <row r="9631" spans="1:11" ht="42" customHeight="1">
      <c r="A9631" t="s">
        <v>18965</v>
      </c>
      <c r="B9631" t="s">
        <v>18965</v>
      </c>
      <c r="C9631" t="s">
        <v>17</v>
      </c>
      <c r="D9631" t="s">
        <v>18</v>
      </c>
      <c r="E9631" s="6">
        <v>-27933</v>
      </c>
      <c r="F9631" t="s">
        <v>1079</v>
      </c>
      <c r="G9631" t="s">
        <v>27</v>
      </c>
      <c r="H9631" t="s">
        <v>21</v>
      </c>
      <c r="I9631" t="s">
        <v>18991</v>
      </c>
      <c r="J9631" t="str">
        <f>HYPERLINK("https://www.boe.es/gazeta/dias/1823/07/09/pdfs/GES-1823-89.pdf#page=2","Abrir facsímil")</f>
        <v>Abrir facsímil</v>
      </c>
      <c r="K9631" t="s">
        <v>23</v>
      </c>
    </row>
    <row r="9632" spans="1:11" ht="42" customHeight="1">
      <c r="A9632" t="s">
        <v>18965</v>
      </c>
      <c r="B9632" t="s">
        <v>18965</v>
      </c>
      <c r="C9632" t="s">
        <v>56</v>
      </c>
      <c r="D9632" t="s">
        <v>57</v>
      </c>
      <c r="E9632" s="6">
        <v>-27921</v>
      </c>
      <c r="F9632" t="s">
        <v>356</v>
      </c>
      <c r="G9632" t="s">
        <v>27</v>
      </c>
      <c r="H9632" t="s">
        <v>21</v>
      </c>
      <c r="I9632" t="s">
        <v>18992</v>
      </c>
      <c r="J9632" t="str">
        <f>HYPERLINK("https://www.boe.es/gazeta/dias/1823/07/21/pdfs/GES-1823-102.pdf#page=2","Abrir facsímil")</f>
        <v>Abrir facsímil</v>
      </c>
      <c r="K9632" t="s">
        <v>23</v>
      </c>
    </row>
    <row r="9633" spans="1:11" ht="42" customHeight="1">
      <c r="A9633" t="s">
        <v>18965</v>
      </c>
      <c r="B9633" t="s">
        <v>18965</v>
      </c>
      <c r="C9633" t="s">
        <v>17</v>
      </c>
      <c r="D9633" t="s">
        <v>18</v>
      </c>
      <c r="E9633" s="6">
        <v>-27914</v>
      </c>
      <c r="F9633" t="s">
        <v>776</v>
      </c>
      <c r="G9633" t="s">
        <v>27</v>
      </c>
      <c r="H9633" t="s">
        <v>21</v>
      </c>
      <c r="I9633" t="s">
        <v>18993</v>
      </c>
      <c r="J9633" t="str">
        <f>HYPERLINK("https://www.boe.es/gazeta/dias/1823/07/28/pdfs/GES-1823-109.pdf#page=2","Abrir facsímil")</f>
        <v>Abrir facsímil</v>
      </c>
      <c r="K9633" t="s">
        <v>23</v>
      </c>
    </row>
    <row r="9634" spans="1:11" ht="42" customHeight="1">
      <c r="A9634" t="s">
        <v>18994</v>
      </c>
      <c r="B9634" t="s">
        <v>18995</v>
      </c>
      <c r="C9634" t="s">
        <v>17</v>
      </c>
      <c r="D9634" t="s">
        <v>18</v>
      </c>
      <c r="E9634" s="6">
        <v>-28107</v>
      </c>
      <c r="F9634" t="s">
        <v>278</v>
      </c>
      <c r="G9634" t="s">
        <v>2827</v>
      </c>
      <c r="H9634" t="s">
        <v>21</v>
      </c>
      <c r="I9634" t="s">
        <v>18996</v>
      </c>
      <c r="J9634" t="str">
        <f>HYPERLINK("https://www.boe.es/gazeta/dias/1823/01/16/pdfs/GMD-1823-16.pdf#page=6","Abrir facsímil")</f>
        <v>Abrir facsímil</v>
      </c>
      <c r="K9634" t="s">
        <v>23</v>
      </c>
    </row>
    <row r="9635" spans="1:11" ht="42" customHeight="1">
      <c r="A9635" t="s">
        <v>18997</v>
      </c>
      <c r="B9635" t="s">
        <v>18998</v>
      </c>
      <c r="C9635" t="s">
        <v>79</v>
      </c>
      <c r="D9635" t="s">
        <v>74</v>
      </c>
      <c r="E9635" s="6">
        <v>-27874</v>
      </c>
      <c r="F9635" t="s">
        <v>122</v>
      </c>
      <c r="G9635" t="s">
        <v>39</v>
      </c>
      <c r="H9635" t="s">
        <v>21</v>
      </c>
      <c r="I9635" t="s">
        <v>18999</v>
      </c>
      <c r="J9635" t="str">
        <f>HYPERLINK("https://www.boe.es/gazeta/dias/1823/09/06/pdfs/GMD-1823-713.pdf#page=1","Abrir facsímil")</f>
        <v>Abrir facsímil</v>
      </c>
      <c r="K9635" t="s">
        <v>23</v>
      </c>
    </row>
    <row r="9636" spans="1:11" ht="42" customHeight="1">
      <c r="A9636" t="s">
        <v>19000</v>
      </c>
      <c r="B9636" t="s">
        <v>19001</v>
      </c>
      <c r="C9636" t="s">
        <v>79</v>
      </c>
      <c r="D9636" t="s">
        <v>74</v>
      </c>
      <c r="E9636" s="6">
        <v>-27995</v>
      </c>
      <c r="F9636" t="s">
        <v>326</v>
      </c>
      <c r="G9636" t="s">
        <v>20</v>
      </c>
      <c r="H9636" t="s">
        <v>21</v>
      </c>
      <c r="I9636" t="s">
        <v>19002</v>
      </c>
      <c r="J9636" t="str">
        <f>HYPERLINK("https://www.boe.es/gazeta/dias/1823/05/08/pdfs/GMD-1823-112.pdf#page=4","Abrir facsímil")</f>
        <v>Abrir facsímil</v>
      </c>
      <c r="K9636" t="s">
        <v>23</v>
      </c>
    </row>
    <row r="9637" spans="1:11" ht="42" customHeight="1">
      <c r="A9637" t="s">
        <v>19003</v>
      </c>
      <c r="B9637" t="s">
        <v>19004</v>
      </c>
      <c r="C9637" t="s">
        <v>79</v>
      </c>
      <c r="D9637" t="s">
        <v>74</v>
      </c>
      <c r="E9637" s="6">
        <v>-28089</v>
      </c>
      <c r="F9637" t="s">
        <v>1979</v>
      </c>
      <c r="G9637" t="s">
        <v>27</v>
      </c>
      <c r="H9637" t="s">
        <v>21</v>
      </c>
      <c r="I9637" t="s">
        <v>19005</v>
      </c>
      <c r="J9637" t="str">
        <f>HYPERLINK("https://www.boe.es/gazeta/dias/1823/02/03/pdfs/GMD-1823-36.pdf#page=2","Abrir facsímil")</f>
        <v>Abrir facsímil</v>
      </c>
      <c r="K9637" t="s">
        <v>23</v>
      </c>
    </row>
    <row r="9638" spans="1:11" ht="42" customHeight="1">
      <c r="A9638" t="s">
        <v>19006</v>
      </c>
      <c r="B9638" t="s">
        <v>19007</v>
      </c>
      <c r="C9638" t="s">
        <v>17</v>
      </c>
      <c r="D9638" t="s">
        <v>18</v>
      </c>
      <c r="E9638" s="6">
        <v>-27906</v>
      </c>
      <c r="F9638" t="s">
        <v>241</v>
      </c>
      <c r="G9638" t="s">
        <v>59</v>
      </c>
      <c r="H9638" t="s">
        <v>21</v>
      </c>
      <c r="I9638" t="s">
        <v>19008</v>
      </c>
      <c r="J9638" t="str">
        <f>HYPERLINK("https://www.boe.es/gazeta/dias/1823/08/05/pdfs/GES-1823-117.pdf#page=6","Abrir facsímil")</f>
        <v>Abrir facsímil</v>
      </c>
      <c r="K9638" t="s">
        <v>23</v>
      </c>
    </row>
    <row r="9639" spans="1:11" ht="42" customHeight="1">
      <c r="A9639" t="s">
        <v>19009</v>
      </c>
      <c r="B9639" t="s">
        <v>19010</v>
      </c>
      <c r="C9639" t="s">
        <v>17</v>
      </c>
      <c r="D9639" t="s">
        <v>18</v>
      </c>
      <c r="E9639" s="6">
        <v>-27834</v>
      </c>
      <c r="F9639" t="s">
        <v>188</v>
      </c>
      <c r="G9639" t="s">
        <v>48</v>
      </c>
      <c r="H9639" t="s">
        <v>28</v>
      </c>
      <c r="I9639" t="s">
        <v>19011</v>
      </c>
      <c r="J9639" t="str">
        <f>HYPERLINK("https://www.boe.es/gazeta/dias/1823/10/16/pdfs/GMD-1823-983.pdf#page=3","Abrir facsímil")</f>
        <v>Abrir facsímil</v>
      </c>
      <c r="K9639" t="s">
        <v>30</v>
      </c>
    </row>
    <row r="9640" spans="1:11" ht="42" customHeight="1">
      <c r="A9640" t="s">
        <v>19012</v>
      </c>
      <c r="B9640" t="s">
        <v>19013</v>
      </c>
      <c r="C9640" t="s">
        <v>17</v>
      </c>
      <c r="D9640" t="s">
        <v>18</v>
      </c>
      <c r="E9640" s="6">
        <v>-28121</v>
      </c>
      <c r="F9640" t="s">
        <v>575</v>
      </c>
      <c r="G9640" t="s">
        <v>3416</v>
      </c>
      <c r="H9640" t="s">
        <v>21</v>
      </c>
      <c r="I9640" t="s">
        <v>19014</v>
      </c>
      <c r="J9640" t="str">
        <f>HYPERLINK("https://www.boe.es/gazeta/dias/1823/01/02/pdfs/GMD-1823-2.pdf#page=4","Abrir facsímil")</f>
        <v>Abrir facsímil</v>
      </c>
      <c r="K9640" t="s">
        <v>23</v>
      </c>
    </row>
    <row r="9641" spans="1:11" ht="42" customHeight="1">
      <c r="A9641" t="s">
        <v>19012</v>
      </c>
      <c r="B9641" t="s">
        <v>19013</v>
      </c>
      <c r="C9641" t="s">
        <v>73</v>
      </c>
      <c r="D9641" t="s">
        <v>74</v>
      </c>
      <c r="E9641" s="6">
        <v>-27792</v>
      </c>
      <c r="F9641" t="s">
        <v>611</v>
      </c>
      <c r="G9641" t="s">
        <v>20</v>
      </c>
      <c r="H9641" t="s">
        <v>21</v>
      </c>
      <c r="I9641" t="s">
        <v>19015</v>
      </c>
      <c r="J9641" t="str">
        <f>HYPERLINK("https://www.boe.es/gazeta/dias/1823/11/27/pdfs/GMD-1823-1173.pdf#page=4","Abrir facsímil")</f>
        <v>Abrir facsímil</v>
      </c>
      <c r="K9641" t="s">
        <v>23</v>
      </c>
    </row>
    <row r="9642" spans="1:11" ht="42" customHeight="1">
      <c r="A9642" t="s">
        <v>19012</v>
      </c>
      <c r="B9642" t="s">
        <v>19013</v>
      </c>
      <c r="C9642" t="s">
        <v>17</v>
      </c>
      <c r="D9642" t="s">
        <v>18</v>
      </c>
      <c r="E9642" s="6">
        <v>-27785</v>
      </c>
      <c r="F9642" t="s">
        <v>1397</v>
      </c>
      <c r="G9642" t="s">
        <v>20</v>
      </c>
      <c r="H9642" t="s">
        <v>21</v>
      </c>
      <c r="I9642" t="s">
        <v>19016</v>
      </c>
      <c r="J9642" t="str">
        <f>HYPERLINK("https://www.boe.es/gazeta/dias/1823/12/04/pdfs/GMD-1823-1203.pdf#page=4","Abrir facsímil")</f>
        <v>Abrir facsímil</v>
      </c>
      <c r="K9642" t="s">
        <v>23</v>
      </c>
    </row>
    <row r="9643" spans="1:11" ht="42" customHeight="1">
      <c r="A9643" t="s">
        <v>19017</v>
      </c>
      <c r="B9643" t="s">
        <v>19018</v>
      </c>
      <c r="C9643" t="s">
        <v>293</v>
      </c>
      <c r="D9643" t="s">
        <v>74</v>
      </c>
      <c r="E9643" s="6">
        <v>-28112</v>
      </c>
      <c r="F9643" t="s">
        <v>43</v>
      </c>
      <c r="G9643" t="s">
        <v>20</v>
      </c>
      <c r="H9643" t="s">
        <v>21</v>
      </c>
      <c r="I9643" t="s">
        <v>19019</v>
      </c>
      <c r="J9643" t="str">
        <f>HYPERLINK("https://www.boe.es/gazeta/dias/1823/01/11/pdfs/GMD-1823-11.pdf#page=4","Abrir facsímil")</f>
        <v>Abrir facsímil</v>
      </c>
      <c r="K9643" t="s">
        <v>23</v>
      </c>
    </row>
    <row r="9644" spans="1:11" ht="42" customHeight="1">
      <c r="A9644" t="s">
        <v>19017</v>
      </c>
      <c r="B9644" t="s">
        <v>19018</v>
      </c>
      <c r="C9644" t="s">
        <v>17</v>
      </c>
      <c r="D9644" t="s">
        <v>18</v>
      </c>
      <c r="E9644" s="6">
        <v>-28102</v>
      </c>
      <c r="F9644" t="s">
        <v>287</v>
      </c>
      <c r="G9644" t="s">
        <v>27</v>
      </c>
      <c r="H9644" t="s">
        <v>21</v>
      </c>
      <c r="I9644" t="s">
        <v>19020</v>
      </c>
      <c r="J9644" t="str">
        <f>HYPERLINK("https://www.boe.es/gazeta/dias/1823/01/21/pdfs/GMD-1823-22.pdf#page=2","Abrir facsímil")</f>
        <v>Abrir facsímil</v>
      </c>
      <c r="K9644" t="s">
        <v>23</v>
      </c>
    </row>
    <row r="9645" spans="1:11" ht="42" customHeight="1">
      <c r="A9645" t="s">
        <v>19021</v>
      </c>
      <c r="B9645" t="s">
        <v>19022</v>
      </c>
      <c r="C9645" t="s">
        <v>17</v>
      </c>
      <c r="D9645" t="s">
        <v>18</v>
      </c>
      <c r="E9645" s="6">
        <v>-28060</v>
      </c>
      <c r="F9645" t="s">
        <v>180</v>
      </c>
      <c r="G9645" t="s">
        <v>48</v>
      </c>
      <c r="H9645" t="s">
        <v>21</v>
      </c>
      <c r="I9645" t="s">
        <v>19023</v>
      </c>
      <c r="J9645" t="str">
        <f>HYPERLINK("https://www.boe.es/gazeta/dias/1823/03/04/pdfs/GMD-1823-67.pdf#page=3","Abrir facsímil")</f>
        <v>Abrir facsímil</v>
      </c>
      <c r="K9645" t="s">
        <v>23</v>
      </c>
    </row>
    <row r="9646" spans="1:11" ht="42" customHeight="1">
      <c r="A9646" t="s">
        <v>19024</v>
      </c>
      <c r="B9646" t="s">
        <v>19025</v>
      </c>
      <c r="C9646" t="s">
        <v>109</v>
      </c>
      <c r="D9646" t="s">
        <v>74</v>
      </c>
      <c r="E9646" s="6">
        <v>-28097</v>
      </c>
      <c r="F9646" t="s">
        <v>1368</v>
      </c>
      <c r="G9646" t="s">
        <v>20</v>
      </c>
      <c r="H9646" t="s">
        <v>21</v>
      </c>
      <c r="I9646" t="s">
        <v>19026</v>
      </c>
      <c r="J9646" t="str">
        <f>HYPERLINK("https://www.boe.es/gazeta/dias/1823/01/26/pdfs/GMD-1823-27.pdf#page=4","Abrir facsímil")</f>
        <v>Abrir facsímil</v>
      </c>
      <c r="K9646" t="s">
        <v>23</v>
      </c>
    </row>
    <row r="9647" spans="1:11" ht="42" customHeight="1">
      <c r="A9647" t="s">
        <v>19027</v>
      </c>
      <c r="B9647" t="s">
        <v>19028</v>
      </c>
      <c r="C9647" t="s">
        <v>17</v>
      </c>
      <c r="D9647" t="s">
        <v>18</v>
      </c>
      <c r="E9647" s="6">
        <v>-28013</v>
      </c>
      <c r="F9647" t="s">
        <v>2466</v>
      </c>
      <c r="G9647" t="s">
        <v>27</v>
      </c>
      <c r="H9647" t="s">
        <v>21</v>
      </c>
      <c r="I9647" t="s">
        <v>19029</v>
      </c>
      <c r="J9647" t="str">
        <f>HYPERLINK("https://www.boe.es/gazeta/dias/1823/04/20/pdfs/GES-1823-10.pdf#page=2","Abrir facsímil")</f>
        <v>Abrir facsímil</v>
      </c>
      <c r="K9647" t="s">
        <v>23</v>
      </c>
    </row>
    <row r="9648" spans="1:11" ht="42" customHeight="1">
      <c r="A9648" t="s">
        <v>19027</v>
      </c>
      <c r="B9648" t="s">
        <v>19028</v>
      </c>
      <c r="C9648" t="s">
        <v>79</v>
      </c>
      <c r="D9648" t="s">
        <v>74</v>
      </c>
      <c r="E9648" s="6">
        <v>-28009</v>
      </c>
      <c r="F9648" t="s">
        <v>212</v>
      </c>
      <c r="G9648" t="s">
        <v>20</v>
      </c>
      <c r="H9648" t="s">
        <v>21</v>
      </c>
      <c r="I9648" t="s">
        <v>19030</v>
      </c>
      <c r="J9648" t="str">
        <f>HYPERLINK("https://www.boe.es/gazeta/dias/1823/04/24/pdfs/GMD-1823-52.pdf#page=4","Abrir facsímil")</f>
        <v>Abrir facsímil</v>
      </c>
      <c r="K9648" t="s">
        <v>23</v>
      </c>
    </row>
    <row r="9649" spans="1:11" ht="42" customHeight="1">
      <c r="A9649" t="s">
        <v>19027</v>
      </c>
      <c r="B9649" t="s">
        <v>19028</v>
      </c>
      <c r="C9649" t="s">
        <v>17</v>
      </c>
      <c r="D9649" t="s">
        <v>18</v>
      </c>
      <c r="E9649" s="6">
        <v>-28007</v>
      </c>
      <c r="F9649" t="s">
        <v>311</v>
      </c>
      <c r="G9649" t="s">
        <v>48</v>
      </c>
      <c r="H9649" t="s">
        <v>21</v>
      </c>
      <c r="I9649" t="s">
        <v>19031</v>
      </c>
      <c r="J9649" t="str">
        <f>HYPERLINK("https://www.boe.es/gazeta/dias/1823/04/26/pdfs/GES-1823-16.pdf#page=3","Abrir facsímil")</f>
        <v>Abrir facsímil</v>
      </c>
      <c r="K9649" t="s">
        <v>23</v>
      </c>
    </row>
    <row r="9650" spans="1:11" ht="42" customHeight="1">
      <c r="A9650" t="s">
        <v>19027</v>
      </c>
      <c r="B9650" t="s">
        <v>19028</v>
      </c>
      <c r="C9650" t="s">
        <v>17</v>
      </c>
      <c r="D9650" t="s">
        <v>18</v>
      </c>
      <c r="E9650" s="6">
        <v>-28006</v>
      </c>
      <c r="F9650" t="s">
        <v>183</v>
      </c>
      <c r="G9650" t="s">
        <v>34</v>
      </c>
      <c r="H9650" t="s">
        <v>21</v>
      </c>
      <c r="I9650" t="s">
        <v>19032</v>
      </c>
      <c r="J9650" t="str">
        <f>HYPERLINK("https://www.boe.es/gazeta/dias/1823/04/27/pdfs/GES-1823-17.pdf#page=5","Abrir facsímil")</f>
        <v>Abrir facsímil</v>
      </c>
      <c r="K9650" t="s">
        <v>23</v>
      </c>
    </row>
    <row r="9651" spans="1:11" ht="42" customHeight="1">
      <c r="A9651" t="s">
        <v>19027</v>
      </c>
      <c r="B9651" t="s">
        <v>19028</v>
      </c>
      <c r="C9651" t="s">
        <v>17</v>
      </c>
      <c r="D9651" t="s">
        <v>18</v>
      </c>
      <c r="E9651" s="6">
        <v>-28000</v>
      </c>
      <c r="F9651" t="s">
        <v>138</v>
      </c>
      <c r="G9651" t="s">
        <v>20</v>
      </c>
      <c r="H9651" t="s">
        <v>21</v>
      </c>
      <c r="I9651" t="s">
        <v>19033</v>
      </c>
      <c r="J9651" t="str">
        <f>HYPERLINK("https://www.boe.es/gazeta/dias/1823/05/03/pdfs/GMD-1823-92.pdf#page=4","Abrir facsímil")</f>
        <v>Abrir facsímil</v>
      </c>
      <c r="K9651" t="s">
        <v>23</v>
      </c>
    </row>
    <row r="9652" spans="1:11" ht="42" customHeight="1">
      <c r="A9652" t="s">
        <v>19027</v>
      </c>
      <c r="B9652" t="s">
        <v>19028</v>
      </c>
      <c r="C9652" t="s">
        <v>17</v>
      </c>
      <c r="D9652" t="s">
        <v>18</v>
      </c>
      <c r="E9652" s="6">
        <v>-27989</v>
      </c>
      <c r="F9652" t="s">
        <v>1134</v>
      </c>
      <c r="G9652" t="s">
        <v>39</v>
      </c>
      <c r="H9652" t="s">
        <v>21</v>
      </c>
      <c r="I9652" t="s">
        <v>19034</v>
      </c>
      <c r="J9652" t="str">
        <f>HYPERLINK("https://www.boe.es/gazeta/dias/1823/05/14/pdfs/GES-1823-34.pdf#page=1","Abrir facsímil")</f>
        <v>Abrir facsímil</v>
      </c>
      <c r="K9652" t="s">
        <v>23</v>
      </c>
    </row>
    <row r="9653" spans="1:11" ht="42" customHeight="1">
      <c r="A9653" t="s">
        <v>19035</v>
      </c>
      <c r="B9653" t="s">
        <v>19036</v>
      </c>
      <c r="C9653" t="s">
        <v>325</v>
      </c>
      <c r="D9653" t="s">
        <v>74</v>
      </c>
      <c r="E9653" s="6">
        <v>-28029</v>
      </c>
      <c r="F9653" t="s">
        <v>141</v>
      </c>
      <c r="G9653" t="s">
        <v>20</v>
      </c>
      <c r="H9653" t="s">
        <v>28</v>
      </c>
      <c r="I9653" t="s">
        <v>19037</v>
      </c>
      <c r="J9653" t="str">
        <f>HYPERLINK("https://www.boe.es/gazeta/dias/1823/04/04/pdfs/GMD-1823-98.pdf#page=4","Abrir facsímil")</f>
        <v>Abrir facsímil</v>
      </c>
      <c r="K9653" t="s">
        <v>30</v>
      </c>
    </row>
    <row r="9654" spans="1:11" ht="42" customHeight="1">
      <c r="A9654" t="s">
        <v>19038</v>
      </c>
      <c r="B9654" t="s">
        <v>19039</v>
      </c>
      <c r="C9654" t="s">
        <v>79</v>
      </c>
      <c r="D9654" t="s">
        <v>74</v>
      </c>
      <c r="E9654" s="6">
        <v>-27897</v>
      </c>
      <c r="F9654" t="s">
        <v>1569</v>
      </c>
      <c r="G9654" t="s">
        <v>20</v>
      </c>
      <c r="H9654" t="s">
        <v>21</v>
      </c>
      <c r="I9654" t="s">
        <v>19040</v>
      </c>
      <c r="J9654" t="str">
        <f>HYPERLINK("https://www.boe.es/gazeta/dias/1823/08/14/pdfs/GMD-1823-593.pdf#page=4","Abrir facsímil")</f>
        <v>Abrir facsímil</v>
      </c>
      <c r="K9654" t="s">
        <v>23</v>
      </c>
    </row>
    <row r="9655" spans="1:11" ht="42" customHeight="1">
      <c r="A9655" t="s">
        <v>19041</v>
      </c>
      <c r="B9655" t="s">
        <v>19042</v>
      </c>
      <c r="C9655" t="s">
        <v>79</v>
      </c>
      <c r="D9655" t="s">
        <v>74</v>
      </c>
      <c r="E9655" s="6">
        <v>-28045</v>
      </c>
      <c r="F9655" t="s">
        <v>245</v>
      </c>
      <c r="G9655" t="s">
        <v>20</v>
      </c>
      <c r="H9655" t="s">
        <v>21</v>
      </c>
      <c r="I9655" t="s">
        <v>19043</v>
      </c>
      <c r="J9655" t="str">
        <f>HYPERLINK("https://www.boe.es/gazeta/dias/1823/03/19/pdfs/GMD-1823-82.pdf#page=4","Abrir facsímil")</f>
        <v>Abrir facsímil</v>
      </c>
      <c r="K9655" t="s">
        <v>23</v>
      </c>
    </row>
    <row r="9656" spans="1:11" ht="42" customHeight="1">
      <c r="A9656" t="s">
        <v>19044</v>
      </c>
      <c r="B9656" t="s">
        <v>19045</v>
      </c>
      <c r="C9656" t="s">
        <v>17</v>
      </c>
      <c r="D9656" t="s">
        <v>18</v>
      </c>
      <c r="E9656" s="6">
        <v>-27967</v>
      </c>
      <c r="F9656" t="s">
        <v>412</v>
      </c>
      <c r="G9656" t="s">
        <v>59</v>
      </c>
      <c r="H9656" t="s">
        <v>21</v>
      </c>
      <c r="I9656" t="s">
        <v>19046</v>
      </c>
      <c r="J9656" t="str">
        <f>HYPERLINK("https://www.boe.es/gazeta/dias/1823/06/05/pdfs/GES-1823-59.pdf#page=6","Abrir facsímil")</f>
        <v>Abrir facsímil</v>
      </c>
      <c r="K9656" t="s">
        <v>23</v>
      </c>
    </row>
    <row r="9657" spans="1:11" ht="42" customHeight="1">
      <c r="A9657" t="s">
        <v>19047</v>
      </c>
      <c r="B9657" t="s">
        <v>19048</v>
      </c>
      <c r="C9657" t="s">
        <v>17</v>
      </c>
      <c r="D9657" t="s">
        <v>18</v>
      </c>
      <c r="E9657" s="6">
        <v>-27801</v>
      </c>
      <c r="F9657" t="s">
        <v>800</v>
      </c>
      <c r="G9657" t="s">
        <v>48</v>
      </c>
      <c r="H9657" t="s">
        <v>21</v>
      </c>
      <c r="I9657" t="s">
        <v>19049</v>
      </c>
      <c r="J9657" t="str">
        <f>HYPERLINK("https://www.boe.es/gazeta/dias/1823/11/18/pdfs/GMD-1823-1133.pdf#page=3","Abrir facsímil")</f>
        <v>Abrir facsímil</v>
      </c>
      <c r="K9657" t="s">
        <v>23</v>
      </c>
    </row>
    <row r="9658" spans="1:11" ht="42" customHeight="1">
      <c r="A9658" t="s">
        <v>19050</v>
      </c>
      <c r="B9658" t="s">
        <v>19051</v>
      </c>
      <c r="C9658" t="s">
        <v>17</v>
      </c>
      <c r="D9658" t="s">
        <v>18</v>
      </c>
      <c r="E9658" s="6">
        <v>-28032</v>
      </c>
      <c r="F9658" t="s">
        <v>668</v>
      </c>
      <c r="G9658" t="s">
        <v>27</v>
      </c>
      <c r="H9658" t="s">
        <v>21</v>
      </c>
      <c r="I9658" t="s">
        <v>19052</v>
      </c>
      <c r="J9658" t="str">
        <f>HYPERLINK("https://www.boe.es/gazeta/dias/1823/04/01/pdfs/GMD-1823-95.pdf#page=2","Abrir facsímil")</f>
        <v>Abrir facsímil</v>
      </c>
      <c r="K9658" t="s">
        <v>23</v>
      </c>
    </row>
    <row r="9659" spans="1:11" ht="42" customHeight="1">
      <c r="A9659" t="s">
        <v>19053</v>
      </c>
      <c r="B9659" t="s">
        <v>19054</v>
      </c>
      <c r="C9659" t="s">
        <v>79</v>
      </c>
      <c r="D9659" t="s">
        <v>74</v>
      </c>
      <c r="E9659" s="6">
        <v>-28069</v>
      </c>
      <c r="F9659" t="s">
        <v>2006</v>
      </c>
      <c r="G9659" t="s">
        <v>20</v>
      </c>
      <c r="H9659" t="s">
        <v>21</v>
      </c>
      <c r="I9659" t="s">
        <v>19055</v>
      </c>
      <c r="J9659" t="str">
        <f>HYPERLINK("https://www.boe.es/gazeta/dias/1823/02/23/pdfs/GMD-1823-57.pdf#page=4","Abrir facsímil")</f>
        <v>Abrir facsímil</v>
      </c>
      <c r="K9659" t="s">
        <v>23</v>
      </c>
    </row>
    <row r="9660" spans="1:11" ht="42" customHeight="1">
      <c r="A9660" t="s">
        <v>19056</v>
      </c>
      <c r="B9660" t="s">
        <v>19057</v>
      </c>
      <c r="C9660" t="s">
        <v>17</v>
      </c>
      <c r="D9660" t="s">
        <v>18</v>
      </c>
      <c r="E9660" s="6">
        <v>-27991</v>
      </c>
      <c r="F9660" t="s">
        <v>328</v>
      </c>
      <c r="G9660" t="s">
        <v>34</v>
      </c>
      <c r="H9660" t="s">
        <v>21</v>
      </c>
      <c r="I9660" t="s">
        <v>19058</v>
      </c>
      <c r="J9660" t="str">
        <f>HYPERLINK("https://www.boe.es/gazeta/dias/1823/05/12/pdfs/GES-1823-32.pdf#page=5","Abrir facsímil")</f>
        <v>Abrir facsímil</v>
      </c>
      <c r="K9660" t="s">
        <v>23</v>
      </c>
    </row>
    <row r="9661" spans="1:11" ht="42" customHeight="1">
      <c r="A9661" t="s">
        <v>19059</v>
      </c>
      <c r="B9661" t="s">
        <v>19060</v>
      </c>
      <c r="C9661" t="s">
        <v>17</v>
      </c>
      <c r="D9661" t="s">
        <v>18</v>
      </c>
      <c r="E9661" s="6">
        <v>-28113</v>
      </c>
      <c r="F9661" t="s">
        <v>2088</v>
      </c>
      <c r="G9661" t="s">
        <v>7708</v>
      </c>
      <c r="H9661" t="s">
        <v>21</v>
      </c>
      <c r="I9661" t="s">
        <v>19061</v>
      </c>
      <c r="J9661" t="str">
        <f>HYPERLINK("https://www.boe.es/gazeta/dias/1823/01/10/pdfs/GMD-1823-10.pdf#page=8","Abrir facsímil")</f>
        <v>Abrir facsímil</v>
      </c>
      <c r="K9661" t="s">
        <v>23</v>
      </c>
    </row>
    <row r="9662" spans="1:11" ht="42" customHeight="1">
      <c r="A9662" t="s">
        <v>19062</v>
      </c>
      <c r="B9662" t="s">
        <v>19063</v>
      </c>
      <c r="C9662" t="s">
        <v>84</v>
      </c>
      <c r="D9662" t="s">
        <v>74</v>
      </c>
      <c r="E9662" s="6">
        <v>-27907</v>
      </c>
      <c r="F9662" t="s">
        <v>370</v>
      </c>
      <c r="G9662" t="s">
        <v>20</v>
      </c>
      <c r="H9662" t="s">
        <v>28</v>
      </c>
      <c r="I9662" t="s">
        <v>19064</v>
      </c>
      <c r="J9662" t="str">
        <f>HYPERLINK("https://www.boe.es/gazeta/dias/1823/08/04/pdfs/GES-1823-116.pdf#page=4","Abrir facsímil")</f>
        <v>Abrir facsímil</v>
      </c>
      <c r="K9662" t="s">
        <v>30</v>
      </c>
    </row>
    <row r="9663" spans="1:11" ht="42" customHeight="1">
      <c r="A9663" t="s">
        <v>19065</v>
      </c>
      <c r="B9663" t="s">
        <v>19066</v>
      </c>
      <c r="C9663" t="s">
        <v>17</v>
      </c>
      <c r="D9663" t="s">
        <v>18</v>
      </c>
      <c r="E9663" s="6">
        <v>-27984</v>
      </c>
      <c r="F9663" t="s">
        <v>335</v>
      </c>
      <c r="G9663" t="s">
        <v>27</v>
      </c>
      <c r="H9663" t="s">
        <v>21</v>
      </c>
      <c r="I9663" t="s">
        <v>19067</v>
      </c>
      <c r="J9663" t="str">
        <f>HYPERLINK("https://www.boe.es/gazeta/dias/1823/05/19/pdfs/GES-1823-39.pdf#page=2","Abrir facsímil")</f>
        <v>Abrir facsímil</v>
      </c>
      <c r="K9663" t="s">
        <v>23</v>
      </c>
    </row>
    <row r="9664" spans="1:11" ht="42" customHeight="1">
      <c r="A9664" t="s">
        <v>19068</v>
      </c>
      <c r="B9664" t="s">
        <v>19069</v>
      </c>
      <c r="C9664" t="s">
        <v>17</v>
      </c>
      <c r="D9664" t="s">
        <v>18</v>
      </c>
      <c r="E9664" s="6">
        <v>-27901</v>
      </c>
      <c r="F9664" t="s">
        <v>840</v>
      </c>
      <c r="G9664" t="s">
        <v>20</v>
      </c>
      <c r="H9664" t="s">
        <v>21</v>
      </c>
      <c r="I9664" t="s">
        <v>19070</v>
      </c>
      <c r="J9664" t="str">
        <f>HYPERLINK("https://www.boe.es/gazeta/dias/1823/08/10/pdfs/GES-1823-123.pdf#page=4","Abrir facsímil")</f>
        <v>Abrir facsímil</v>
      </c>
      <c r="K9664" t="s">
        <v>23</v>
      </c>
    </row>
    <row r="9665" spans="1:11" ht="42" customHeight="1">
      <c r="A9665" t="s">
        <v>19068</v>
      </c>
      <c r="B9665" t="s">
        <v>19069</v>
      </c>
      <c r="C9665" t="s">
        <v>73</v>
      </c>
      <c r="D9665" t="s">
        <v>74</v>
      </c>
      <c r="E9665" s="6">
        <v>-27879</v>
      </c>
      <c r="F9665" t="s">
        <v>638</v>
      </c>
      <c r="G9665" t="s">
        <v>20</v>
      </c>
      <c r="H9665" t="s">
        <v>21</v>
      </c>
      <c r="I9665" t="s">
        <v>19071</v>
      </c>
      <c r="J9665" t="str">
        <f>HYPERLINK("https://www.boe.es/gazeta/dias/1823/09/01/pdfs/GES-1823-145.pdf#page=4","Abrir facsímil")</f>
        <v>Abrir facsímil</v>
      </c>
      <c r="K9665" t="s">
        <v>23</v>
      </c>
    </row>
    <row r="9666" spans="1:11" ht="42" customHeight="1">
      <c r="A9666" t="s">
        <v>19072</v>
      </c>
      <c r="B9666" t="s">
        <v>19073</v>
      </c>
      <c r="C9666" t="s">
        <v>79</v>
      </c>
      <c r="D9666" t="s">
        <v>74</v>
      </c>
      <c r="E9666" s="6">
        <v>-27927</v>
      </c>
      <c r="F9666" t="s">
        <v>2409</v>
      </c>
      <c r="G9666" t="s">
        <v>39</v>
      </c>
      <c r="H9666" t="s">
        <v>21</v>
      </c>
      <c r="I9666" t="s">
        <v>19074</v>
      </c>
      <c r="J9666" t="str">
        <f>HYPERLINK("https://www.boe.es/gazeta/dias/1823/07/15/pdfs/GMD-1823-403.pdf#page=1","Abrir facsímil")</f>
        <v>Abrir facsímil</v>
      </c>
      <c r="K9666" t="s">
        <v>23</v>
      </c>
    </row>
    <row r="9667" spans="1:11" ht="42" customHeight="1">
      <c r="A9667" t="s">
        <v>19072</v>
      </c>
      <c r="B9667" t="s">
        <v>19073</v>
      </c>
      <c r="C9667" t="s">
        <v>79</v>
      </c>
      <c r="D9667" t="s">
        <v>74</v>
      </c>
      <c r="E9667" s="6">
        <v>-27797</v>
      </c>
      <c r="F9667" t="s">
        <v>3409</v>
      </c>
      <c r="G9667" t="s">
        <v>39</v>
      </c>
      <c r="H9667" t="s">
        <v>21</v>
      </c>
      <c r="I9667" t="s">
        <v>19075</v>
      </c>
      <c r="J9667" t="str">
        <f>HYPERLINK("https://www.boe.es/gazeta/dias/1823/11/22/pdfs/GMD-1823-1153.pdf#page=1","Abrir facsímil")</f>
        <v>Abrir facsímil</v>
      </c>
      <c r="K9667" t="s">
        <v>23</v>
      </c>
    </row>
    <row r="9668" spans="1:11" ht="42" customHeight="1">
      <c r="A9668" t="s">
        <v>19072</v>
      </c>
      <c r="B9668" t="s">
        <v>19073</v>
      </c>
      <c r="C9668" t="s">
        <v>17</v>
      </c>
      <c r="D9668" t="s">
        <v>18</v>
      </c>
      <c r="E9668" s="6">
        <v>-27792</v>
      </c>
      <c r="F9668" t="s">
        <v>611</v>
      </c>
      <c r="G9668" t="s">
        <v>39</v>
      </c>
      <c r="H9668" t="s">
        <v>21</v>
      </c>
      <c r="I9668" t="s">
        <v>19076</v>
      </c>
      <c r="J9668" t="str">
        <f>HYPERLINK("https://www.boe.es/gazeta/dias/1823/11/27/pdfs/GMD-1823-1173.pdf#page=1","Abrir facsímil")</f>
        <v>Abrir facsímil</v>
      </c>
      <c r="K9668" t="s">
        <v>23</v>
      </c>
    </row>
    <row r="9669" spans="1:11" ht="42" customHeight="1">
      <c r="A9669" t="s">
        <v>19077</v>
      </c>
      <c r="B9669" t="s">
        <v>19078</v>
      </c>
      <c r="C9669" t="s">
        <v>17</v>
      </c>
      <c r="D9669" t="s">
        <v>18</v>
      </c>
      <c r="E9669" s="6">
        <v>-27861</v>
      </c>
      <c r="F9669" t="s">
        <v>425</v>
      </c>
      <c r="G9669" t="s">
        <v>39</v>
      </c>
      <c r="H9669" t="s">
        <v>21</v>
      </c>
      <c r="I9669" t="s">
        <v>19079</v>
      </c>
      <c r="J9669" t="str">
        <f>HYPERLINK("https://www.boe.es/gazeta/dias/1823/09/19/pdfs/GES-1823-163.pdf#page=1","Abrir facsímil")</f>
        <v>Abrir facsímil</v>
      </c>
      <c r="K9669" t="s">
        <v>23</v>
      </c>
    </row>
    <row r="9670" spans="1:11" ht="42" customHeight="1">
      <c r="A9670" t="s">
        <v>19080</v>
      </c>
      <c r="B9670" t="s">
        <v>19080</v>
      </c>
      <c r="C9670" t="s">
        <v>17</v>
      </c>
      <c r="D9670" t="s">
        <v>117</v>
      </c>
      <c r="E9670" s="6">
        <v>-27945</v>
      </c>
      <c r="F9670" t="s">
        <v>2633</v>
      </c>
      <c r="G9670" t="s">
        <v>39</v>
      </c>
      <c r="H9670" t="s">
        <v>21</v>
      </c>
      <c r="I9670" t="s">
        <v>19081</v>
      </c>
      <c r="J9670" t="str">
        <f>HYPERLINK("https://www.boe.es/gazeta/dias/1823/06/27/pdfs/GMD-1823-293E.pdf#page=1","Abrir facsímil")</f>
        <v>Abrir facsímil</v>
      </c>
      <c r="K9670" t="s">
        <v>23</v>
      </c>
    </row>
    <row r="9671" spans="1:11" ht="42" customHeight="1">
      <c r="A9671" t="s">
        <v>19082</v>
      </c>
      <c r="B9671" t="s">
        <v>19083</v>
      </c>
      <c r="C9671" t="s">
        <v>79</v>
      </c>
      <c r="D9671" t="s">
        <v>74</v>
      </c>
      <c r="E9671" s="6">
        <v>-28048</v>
      </c>
      <c r="F9671" t="s">
        <v>399</v>
      </c>
      <c r="G9671" t="s">
        <v>20</v>
      </c>
      <c r="H9671" t="s">
        <v>21</v>
      </c>
      <c r="I9671" t="s">
        <v>19084</v>
      </c>
      <c r="J9671" t="str">
        <f>HYPERLINK("https://www.boe.es/gazeta/dias/1823/03/16/pdfs/GMD-1823-79.pdf#page=4","Abrir facsímil")</f>
        <v>Abrir facsímil</v>
      </c>
      <c r="K9671" t="s">
        <v>23</v>
      </c>
    </row>
    <row r="9672" spans="1:11" ht="42" customHeight="1">
      <c r="A9672" t="s">
        <v>19085</v>
      </c>
      <c r="B9672" t="s">
        <v>19086</v>
      </c>
      <c r="C9672" t="s">
        <v>109</v>
      </c>
      <c r="D9672" t="s">
        <v>74</v>
      </c>
      <c r="E9672" s="6">
        <v>-28064</v>
      </c>
      <c r="F9672" t="s">
        <v>1190</v>
      </c>
      <c r="G9672" t="s">
        <v>20</v>
      </c>
      <c r="H9672" t="s">
        <v>21</v>
      </c>
      <c r="I9672" t="s">
        <v>19087</v>
      </c>
      <c r="J9672" t="str">
        <f>HYPERLINK("https://www.boe.es/gazeta/dias/1823/02/28/pdfs/GMD-1823-62.pdf#page=4","Abrir facsímil")</f>
        <v>Abrir facsímil</v>
      </c>
      <c r="K9672" t="s">
        <v>23</v>
      </c>
    </row>
    <row r="9673" spans="1:11" ht="42" customHeight="1">
      <c r="A9673" t="s">
        <v>19088</v>
      </c>
      <c r="B9673" t="s">
        <v>19089</v>
      </c>
      <c r="C9673" t="s">
        <v>84</v>
      </c>
      <c r="D9673" t="s">
        <v>74</v>
      </c>
      <c r="E9673" s="6">
        <v>-28064</v>
      </c>
      <c r="F9673" t="s">
        <v>1190</v>
      </c>
      <c r="G9673" t="s">
        <v>20</v>
      </c>
      <c r="H9673" t="s">
        <v>21</v>
      </c>
      <c r="I9673" t="s">
        <v>19090</v>
      </c>
      <c r="J9673" t="str">
        <f>HYPERLINK("https://www.boe.es/gazeta/dias/1823/02/28/pdfs/GMD-1823-62.pdf#page=4","Abrir facsímil")</f>
        <v>Abrir facsímil</v>
      </c>
      <c r="K9673" t="s">
        <v>23</v>
      </c>
    </row>
    <row r="9674" spans="1:11" ht="42" customHeight="1">
      <c r="A9674" t="s">
        <v>19091</v>
      </c>
      <c r="B9674" t="s">
        <v>19092</v>
      </c>
      <c r="C9674" t="s">
        <v>56</v>
      </c>
      <c r="D9674" t="s">
        <v>57</v>
      </c>
      <c r="E9674" s="6">
        <v>-28042</v>
      </c>
      <c r="F9674" t="s">
        <v>1218</v>
      </c>
      <c r="G9674" t="s">
        <v>20</v>
      </c>
      <c r="H9674" t="s">
        <v>21</v>
      </c>
      <c r="I9674" t="s">
        <v>19093</v>
      </c>
      <c r="J9674" t="str">
        <f>HYPERLINK("https://www.boe.es/gazeta/dias/1823/03/22/pdfs/GMD-1823-85.pdf#page=4","Abrir facsímil")</f>
        <v>Abrir facsímil</v>
      </c>
      <c r="K9674" t="s">
        <v>23</v>
      </c>
    </row>
    <row r="9675" spans="1:11" ht="42" customHeight="1">
      <c r="A9675" t="s">
        <v>19091</v>
      </c>
      <c r="B9675" t="s">
        <v>19092</v>
      </c>
      <c r="C9675" t="s">
        <v>79</v>
      </c>
      <c r="D9675" t="s">
        <v>74</v>
      </c>
      <c r="E9675" s="6">
        <v>-28031</v>
      </c>
      <c r="F9675" t="s">
        <v>1211</v>
      </c>
      <c r="G9675" t="s">
        <v>20</v>
      </c>
      <c r="H9675" t="s">
        <v>21</v>
      </c>
      <c r="I9675" t="s">
        <v>19094</v>
      </c>
      <c r="J9675" t="str">
        <f>HYPERLINK("https://www.boe.es/gazeta/dias/1823/04/02/pdfs/GMD-1823-96.pdf#page=4","Abrir facsímil")</f>
        <v>Abrir facsímil</v>
      </c>
      <c r="K9675" t="s">
        <v>23</v>
      </c>
    </row>
    <row r="9676" spans="1:11" ht="42" customHeight="1">
      <c r="A9676" t="s">
        <v>19095</v>
      </c>
      <c r="B9676" t="s">
        <v>19096</v>
      </c>
      <c r="C9676" t="s">
        <v>17</v>
      </c>
      <c r="D9676" t="s">
        <v>18</v>
      </c>
      <c r="E9676" s="6">
        <v>-28066</v>
      </c>
      <c r="F9676" t="s">
        <v>19</v>
      </c>
      <c r="G9676" t="s">
        <v>20</v>
      </c>
      <c r="H9676" t="s">
        <v>21</v>
      </c>
      <c r="I9676" t="s">
        <v>19097</v>
      </c>
      <c r="J9676" t="str">
        <f>HYPERLINK("https://www.boe.es/gazeta/dias/1823/02/26/pdfs/GMD-1823-60.pdf#page=4","Abrir facsímil")</f>
        <v>Abrir facsímil</v>
      </c>
      <c r="K9676" t="s">
        <v>23</v>
      </c>
    </row>
    <row r="9677" spans="1:11" ht="42" customHeight="1">
      <c r="A9677" t="s">
        <v>19098</v>
      </c>
      <c r="B9677" t="s">
        <v>19098</v>
      </c>
      <c r="C9677" t="s">
        <v>17</v>
      </c>
      <c r="D9677" t="s">
        <v>18</v>
      </c>
      <c r="E9677" s="6">
        <v>-27871</v>
      </c>
      <c r="F9677" t="s">
        <v>1330</v>
      </c>
      <c r="G9677" t="s">
        <v>48</v>
      </c>
      <c r="H9677" t="s">
        <v>21</v>
      </c>
      <c r="I9677" t="s">
        <v>19099</v>
      </c>
      <c r="J9677" t="str">
        <f>HYPERLINK("https://www.boe.es/gazeta/dias/1823/09/09/pdfs/GMD-1823-733.pdf#page=3","Abrir facsímil")</f>
        <v>Abrir facsímil</v>
      </c>
      <c r="K9677" t="s">
        <v>23</v>
      </c>
    </row>
    <row r="9678" spans="1:11" ht="42" customHeight="1">
      <c r="A9678" t="s">
        <v>19098</v>
      </c>
      <c r="B9678" t="s">
        <v>19098</v>
      </c>
      <c r="C9678" t="s">
        <v>17</v>
      </c>
      <c r="D9678" t="s">
        <v>18</v>
      </c>
      <c r="E9678" s="6">
        <v>-27860</v>
      </c>
      <c r="F9678" t="s">
        <v>744</v>
      </c>
      <c r="G9678" t="s">
        <v>39</v>
      </c>
      <c r="H9678" t="s">
        <v>21</v>
      </c>
      <c r="I9678" t="s">
        <v>19100</v>
      </c>
      <c r="J9678" t="str">
        <f>HYPERLINK("https://www.boe.es/gazeta/dias/1823/09/20/pdfs/GES-1823-164.pdf#page=1","Abrir facsímil")</f>
        <v>Abrir facsímil</v>
      </c>
      <c r="K9678" t="s">
        <v>23</v>
      </c>
    </row>
    <row r="9679" spans="1:11" ht="42" customHeight="1">
      <c r="A9679" t="s">
        <v>19101</v>
      </c>
      <c r="B9679" t="s">
        <v>19101</v>
      </c>
      <c r="C9679" t="s">
        <v>56</v>
      </c>
      <c r="D9679" t="s">
        <v>57</v>
      </c>
      <c r="E9679" s="6">
        <v>-27935</v>
      </c>
      <c r="F9679" t="s">
        <v>350</v>
      </c>
      <c r="G9679" t="s">
        <v>27</v>
      </c>
      <c r="H9679" t="s">
        <v>21</v>
      </c>
      <c r="I9679" t="s">
        <v>19102</v>
      </c>
      <c r="J9679" t="str">
        <f>HYPERLINK("https://www.boe.es/gazeta/dias/1823/07/07/pdfs/GES-1823-87.pdf#page=2","Abrir facsímil")</f>
        <v>Abrir facsímil</v>
      </c>
      <c r="K9679" t="s">
        <v>23</v>
      </c>
    </row>
    <row r="9680" spans="1:11" ht="42" customHeight="1">
      <c r="A9680" t="s">
        <v>19103</v>
      </c>
      <c r="B9680" t="s">
        <v>19103</v>
      </c>
      <c r="C9680" t="s">
        <v>109</v>
      </c>
      <c r="D9680" t="s">
        <v>74</v>
      </c>
      <c r="E9680" s="6">
        <v>-27910</v>
      </c>
      <c r="F9680" t="s">
        <v>38</v>
      </c>
      <c r="G9680" t="s">
        <v>48</v>
      </c>
      <c r="H9680" t="s">
        <v>21</v>
      </c>
      <c r="I9680" t="s">
        <v>19104</v>
      </c>
      <c r="J9680" t="str">
        <f>HYPERLINK("https://www.boe.es/gazeta/dias/1823/08/01/pdfs/GES-1823-113.pdf#page=3","Abrir facsímil")</f>
        <v>Abrir facsímil</v>
      </c>
      <c r="K9680" t="s">
        <v>23</v>
      </c>
    </row>
    <row r="9681" spans="1:11" ht="42" customHeight="1">
      <c r="A9681" t="s">
        <v>19105</v>
      </c>
      <c r="B9681" t="s">
        <v>19105</v>
      </c>
      <c r="C9681" t="s">
        <v>79</v>
      </c>
      <c r="D9681" t="s">
        <v>74</v>
      </c>
      <c r="E9681" s="6">
        <v>-28114</v>
      </c>
      <c r="F9681" t="s">
        <v>153</v>
      </c>
      <c r="G9681" t="s">
        <v>48</v>
      </c>
      <c r="H9681" t="s">
        <v>21</v>
      </c>
      <c r="I9681" t="s">
        <v>19106</v>
      </c>
      <c r="J9681" t="str">
        <f>HYPERLINK("https://www.boe.es/gazeta/dias/1823/01/09/pdfs/GMD-1823-9.pdf#page=3","Abrir facsímil")</f>
        <v>Abrir facsímil</v>
      </c>
      <c r="K9681" t="s">
        <v>23</v>
      </c>
    </row>
    <row r="9682" spans="1:11" ht="42" customHeight="1">
      <c r="A9682" t="s">
        <v>19105</v>
      </c>
      <c r="B9682" t="s">
        <v>19105</v>
      </c>
      <c r="C9682" t="s">
        <v>17</v>
      </c>
      <c r="D9682" t="s">
        <v>18</v>
      </c>
      <c r="E9682" s="6">
        <v>-28091</v>
      </c>
      <c r="F9682" t="s">
        <v>1047</v>
      </c>
      <c r="G9682" t="s">
        <v>27</v>
      </c>
      <c r="H9682" t="s">
        <v>21</v>
      </c>
      <c r="I9682" t="s">
        <v>19107</v>
      </c>
      <c r="J9682" t="str">
        <f>HYPERLINK("https://www.boe.es/gazeta/dias/1823/02/01/pdfs/GMD-1823-34.pdf#page=2","Abrir facsímil")</f>
        <v>Abrir facsímil</v>
      </c>
      <c r="K9682" t="s">
        <v>23</v>
      </c>
    </row>
    <row r="9683" spans="1:11" ht="42" customHeight="1">
      <c r="A9683" t="s">
        <v>19105</v>
      </c>
      <c r="B9683" t="s">
        <v>19105</v>
      </c>
      <c r="C9683" t="s">
        <v>17</v>
      </c>
      <c r="D9683" t="s">
        <v>18</v>
      </c>
      <c r="E9683" s="6">
        <v>-28081</v>
      </c>
      <c r="F9683" t="s">
        <v>170</v>
      </c>
      <c r="G9683" t="s">
        <v>48</v>
      </c>
      <c r="H9683" t="s">
        <v>21</v>
      </c>
      <c r="I9683" t="s">
        <v>19108</v>
      </c>
      <c r="J9683" t="str">
        <f>HYPERLINK("https://www.boe.es/gazeta/dias/1823/02/11/pdfs/GMD-1823-45.pdf#page=3","Abrir facsímil")</f>
        <v>Abrir facsímil</v>
      </c>
      <c r="K9683" t="s">
        <v>23</v>
      </c>
    </row>
    <row r="9684" spans="1:11" ht="42" customHeight="1">
      <c r="A9684" t="s">
        <v>19109</v>
      </c>
      <c r="B9684" t="s">
        <v>19109</v>
      </c>
      <c r="C9684" t="s">
        <v>79</v>
      </c>
      <c r="D9684" t="s">
        <v>74</v>
      </c>
      <c r="E9684" s="6">
        <v>-28074</v>
      </c>
      <c r="F9684" t="s">
        <v>212</v>
      </c>
      <c r="G9684" t="s">
        <v>39</v>
      </c>
      <c r="H9684" t="s">
        <v>21</v>
      </c>
      <c r="I9684" t="s">
        <v>19110</v>
      </c>
      <c r="J9684" t="str">
        <f>HYPERLINK("https://www.boe.es/gazeta/dias/1823/02/18/pdfs/GMD-1823-52.pdf#page=1","Abrir facsímil")</f>
        <v>Abrir facsímil</v>
      </c>
      <c r="K9684" t="s">
        <v>23</v>
      </c>
    </row>
    <row r="9685" spans="1:11" ht="42" customHeight="1">
      <c r="A9685" t="s">
        <v>19105</v>
      </c>
      <c r="B9685" t="s">
        <v>19105</v>
      </c>
      <c r="C9685" t="s">
        <v>79</v>
      </c>
      <c r="D9685" t="s">
        <v>74</v>
      </c>
      <c r="E9685" s="6">
        <v>-28059</v>
      </c>
      <c r="F9685" t="s">
        <v>149</v>
      </c>
      <c r="G9685" t="s">
        <v>20</v>
      </c>
      <c r="H9685" t="s">
        <v>21</v>
      </c>
      <c r="I9685" t="s">
        <v>19111</v>
      </c>
      <c r="J9685" t="str">
        <f>HYPERLINK("https://www.boe.es/gazeta/dias/1823/03/05/pdfs/GMD-1823-68.pdf#page=4","Abrir facsímil")</f>
        <v>Abrir facsímil</v>
      </c>
      <c r="K9685" t="s">
        <v>23</v>
      </c>
    </row>
    <row r="9686" spans="1:11" ht="42" customHeight="1">
      <c r="A9686" t="s">
        <v>19105</v>
      </c>
      <c r="B9686" t="s">
        <v>19105</v>
      </c>
      <c r="C9686" t="s">
        <v>56</v>
      </c>
      <c r="D9686" t="s">
        <v>57</v>
      </c>
      <c r="E9686" s="6">
        <v>-27917</v>
      </c>
      <c r="F9686" t="s">
        <v>363</v>
      </c>
      <c r="G9686" t="s">
        <v>48</v>
      </c>
      <c r="H9686" t="s">
        <v>21</v>
      </c>
      <c r="I9686" t="s">
        <v>19112</v>
      </c>
      <c r="J9686" t="str">
        <f>HYPERLINK("https://www.boe.es/gazeta/dias/1823/07/25/pdfs/GES-1823-106.pdf#page=3","Abrir facsímil")</f>
        <v>Abrir facsímil</v>
      </c>
      <c r="K9686" t="s">
        <v>23</v>
      </c>
    </row>
    <row r="9687" spans="1:11" ht="42" customHeight="1">
      <c r="A9687" t="s">
        <v>19105</v>
      </c>
      <c r="B9687" t="s">
        <v>19105</v>
      </c>
      <c r="C9687" t="s">
        <v>109</v>
      </c>
      <c r="D9687" t="s">
        <v>74</v>
      </c>
      <c r="E9687" s="6">
        <v>-27911</v>
      </c>
      <c r="F9687" t="s">
        <v>368</v>
      </c>
      <c r="G9687" t="s">
        <v>48</v>
      </c>
      <c r="H9687" t="s">
        <v>21</v>
      </c>
      <c r="I9687" t="s">
        <v>19113</v>
      </c>
      <c r="J9687" t="str">
        <f>HYPERLINK("https://www.boe.es/gazeta/dias/1823/07/31/pdfs/GES-1823-112.pdf#page=3","Abrir facsímil")</f>
        <v>Abrir facsímil</v>
      </c>
      <c r="K9687" t="s">
        <v>23</v>
      </c>
    </row>
    <row r="9688" spans="1:11" ht="42" customHeight="1">
      <c r="A9688" t="s">
        <v>19105</v>
      </c>
      <c r="B9688" t="s">
        <v>19105</v>
      </c>
      <c r="C9688" t="s">
        <v>109</v>
      </c>
      <c r="D9688" t="s">
        <v>74</v>
      </c>
      <c r="E9688" s="6">
        <v>-27910</v>
      </c>
      <c r="F9688" t="s">
        <v>38</v>
      </c>
      <c r="G9688" t="s">
        <v>48</v>
      </c>
      <c r="H9688" t="s">
        <v>21</v>
      </c>
      <c r="I9688" t="s">
        <v>19114</v>
      </c>
      <c r="J9688" t="str">
        <f>HYPERLINK("https://www.boe.es/gazeta/dias/1823/08/01/pdfs/GES-1823-113.pdf#page=3","Abrir facsímil")</f>
        <v>Abrir facsímil</v>
      </c>
      <c r="K9688" t="s">
        <v>23</v>
      </c>
    </row>
    <row r="9689" spans="1:11" ht="42" customHeight="1">
      <c r="A9689" t="s">
        <v>19115</v>
      </c>
      <c r="B9689" t="s">
        <v>19115</v>
      </c>
      <c r="C9689" t="s">
        <v>17</v>
      </c>
      <c r="D9689" t="s">
        <v>18</v>
      </c>
      <c r="E9689" s="6">
        <v>-28091</v>
      </c>
      <c r="F9689" t="s">
        <v>1047</v>
      </c>
      <c r="G9689" t="s">
        <v>39</v>
      </c>
      <c r="H9689" t="s">
        <v>21</v>
      </c>
      <c r="I9689" t="s">
        <v>19116</v>
      </c>
      <c r="J9689" t="str">
        <f>HYPERLINK("https://www.boe.es/gazeta/dias/1823/02/01/pdfs/GMD-1823-34.pdf#page=1","Abrir facsímil")</f>
        <v>Abrir facsímil</v>
      </c>
      <c r="K9689" t="s">
        <v>23</v>
      </c>
    </row>
    <row r="9690" spans="1:11" ht="42" customHeight="1">
      <c r="A9690" t="s">
        <v>19117</v>
      </c>
      <c r="B9690" t="s">
        <v>19117</v>
      </c>
      <c r="C9690" t="s">
        <v>17</v>
      </c>
      <c r="D9690" t="s">
        <v>18</v>
      </c>
      <c r="E9690" s="6">
        <v>-28071</v>
      </c>
      <c r="F9690" t="s">
        <v>587</v>
      </c>
      <c r="G9690" t="s">
        <v>27</v>
      </c>
      <c r="H9690" t="s">
        <v>21</v>
      </c>
      <c r="I9690" t="s">
        <v>19118</v>
      </c>
      <c r="J9690" t="str">
        <f>HYPERLINK("https://www.boe.es/gazeta/dias/1823/02/21/pdfs/GMD-1823-55.pdf#page=2","Abrir facsímil")</f>
        <v>Abrir facsímil</v>
      </c>
      <c r="K9690" t="s">
        <v>23</v>
      </c>
    </row>
    <row r="9691" spans="1:11" ht="42" customHeight="1">
      <c r="A9691" t="s">
        <v>19115</v>
      </c>
      <c r="B9691" t="s">
        <v>19115</v>
      </c>
      <c r="C9691" t="s">
        <v>17</v>
      </c>
      <c r="D9691" t="s">
        <v>18</v>
      </c>
      <c r="E9691" s="6">
        <v>-28071</v>
      </c>
      <c r="F9691" t="s">
        <v>587</v>
      </c>
      <c r="G9691" t="s">
        <v>48</v>
      </c>
      <c r="H9691" t="s">
        <v>21</v>
      </c>
      <c r="I9691" t="s">
        <v>19119</v>
      </c>
      <c r="J9691" t="str">
        <f>HYPERLINK("https://www.boe.es/gazeta/dias/1823/02/21/pdfs/GMD-1823-55.pdf#page=3","Abrir facsímil")</f>
        <v>Abrir facsímil</v>
      </c>
      <c r="K9691" t="s">
        <v>23</v>
      </c>
    </row>
    <row r="9692" spans="1:11" ht="42" customHeight="1">
      <c r="A9692" t="s">
        <v>19120</v>
      </c>
      <c r="B9692" t="s">
        <v>19121</v>
      </c>
      <c r="C9692" t="s">
        <v>79</v>
      </c>
      <c r="D9692" t="s">
        <v>74</v>
      </c>
      <c r="E9692" s="6">
        <v>-27773</v>
      </c>
      <c r="F9692" t="s">
        <v>513</v>
      </c>
      <c r="G9692" t="s">
        <v>48</v>
      </c>
      <c r="H9692" t="s">
        <v>21</v>
      </c>
      <c r="I9692" t="s">
        <v>19122</v>
      </c>
      <c r="J9692" t="str">
        <f>HYPERLINK("https://www.boe.es/gazeta/dias/1823/12/16/pdfs/GMD-1823-1253.pdf#page=3","Abrir facsímil")</f>
        <v>Abrir facsímil</v>
      </c>
      <c r="K9692" t="s">
        <v>23</v>
      </c>
    </row>
    <row r="9693" spans="1:11" ht="42" customHeight="1">
      <c r="A9693" t="s">
        <v>19123</v>
      </c>
      <c r="B9693" t="s">
        <v>19124</v>
      </c>
      <c r="C9693" t="s">
        <v>17</v>
      </c>
      <c r="D9693" t="s">
        <v>18</v>
      </c>
      <c r="E9693" s="6">
        <v>-27923</v>
      </c>
      <c r="F9693" t="s">
        <v>354</v>
      </c>
      <c r="G9693" t="s">
        <v>39</v>
      </c>
      <c r="H9693" t="s">
        <v>21</v>
      </c>
      <c r="I9693" t="s">
        <v>19125</v>
      </c>
      <c r="J9693" t="str">
        <f>HYPERLINK("https://www.boe.es/gazeta/dias/1823/07/19/pdfs/GES-1823-100.pdf#page=1","Abrir facsímil")</f>
        <v>Abrir facsímil</v>
      </c>
      <c r="K9693" t="s">
        <v>23</v>
      </c>
    </row>
    <row r="9694" spans="1:11" ht="42" customHeight="1">
      <c r="A9694" t="s">
        <v>19126</v>
      </c>
      <c r="B9694" t="s">
        <v>19126</v>
      </c>
      <c r="C9694" t="s">
        <v>17</v>
      </c>
      <c r="D9694" t="s">
        <v>18</v>
      </c>
      <c r="E9694" s="6">
        <v>-28083</v>
      </c>
      <c r="F9694" t="s">
        <v>291</v>
      </c>
      <c r="G9694" t="s">
        <v>27</v>
      </c>
      <c r="H9694" t="s">
        <v>21</v>
      </c>
      <c r="I9694" t="s">
        <v>19127</v>
      </c>
      <c r="J9694" t="str">
        <f>HYPERLINK("https://www.boe.es/gazeta/dias/1823/02/09/pdfs/GMD-1823-43.pdf#page=2","Abrir facsímil")</f>
        <v>Abrir facsímil</v>
      </c>
      <c r="K9694" t="s">
        <v>23</v>
      </c>
    </row>
    <row r="9695" spans="1:11" ht="42" customHeight="1">
      <c r="A9695" t="s">
        <v>19128</v>
      </c>
      <c r="B9695" t="s">
        <v>19128</v>
      </c>
      <c r="C9695" t="s">
        <v>56</v>
      </c>
      <c r="D9695" t="s">
        <v>57</v>
      </c>
      <c r="E9695" s="6">
        <v>-28084</v>
      </c>
      <c r="F9695" t="s">
        <v>1049</v>
      </c>
      <c r="G9695" t="s">
        <v>20</v>
      </c>
      <c r="H9695" t="s">
        <v>21</v>
      </c>
      <c r="I9695" t="s">
        <v>19129</v>
      </c>
      <c r="J9695" t="str">
        <f>HYPERLINK("https://www.boe.es/gazeta/dias/1823/02/08/pdfs/GMD-1823-41.pdf#page=4","Abrir facsímil")</f>
        <v>Abrir facsímil</v>
      </c>
      <c r="K9695" t="s">
        <v>23</v>
      </c>
    </row>
    <row r="9696" spans="1:11" ht="42" customHeight="1">
      <c r="A9696" t="s">
        <v>19128</v>
      </c>
      <c r="B9696" t="s">
        <v>19128</v>
      </c>
      <c r="C9696" t="s">
        <v>17</v>
      </c>
      <c r="D9696" t="s">
        <v>18</v>
      </c>
      <c r="E9696" s="6">
        <v>-27860</v>
      </c>
      <c r="F9696" t="s">
        <v>744</v>
      </c>
      <c r="G9696" t="s">
        <v>20</v>
      </c>
      <c r="H9696" t="s">
        <v>21</v>
      </c>
      <c r="I9696" t="s">
        <v>19130</v>
      </c>
      <c r="J9696" t="str">
        <f>HYPERLINK("https://www.boe.es/gazeta/dias/1823/09/20/pdfs/GES-1823-164.pdf#page=4","Abrir facsímil")</f>
        <v>Abrir facsímil</v>
      </c>
      <c r="K9696" t="s">
        <v>23</v>
      </c>
    </row>
    <row r="9697" spans="1:11" ht="42" customHeight="1">
      <c r="A9697" t="s">
        <v>19131</v>
      </c>
      <c r="B9697" t="s">
        <v>19131</v>
      </c>
      <c r="C9697" t="s">
        <v>79</v>
      </c>
      <c r="D9697" t="s">
        <v>74</v>
      </c>
      <c r="E9697" s="6">
        <v>-28085</v>
      </c>
      <c r="F9697" t="s">
        <v>458</v>
      </c>
      <c r="G9697" t="s">
        <v>59</v>
      </c>
      <c r="H9697" t="s">
        <v>21</v>
      </c>
      <c r="I9697" t="s">
        <v>19132</v>
      </c>
      <c r="J9697" t="str">
        <f>HYPERLINK("https://www.boe.es/gazeta/dias/1823/02/07/pdfs/GMD-1823-40.pdf#page=6","Abrir facsímil")</f>
        <v>Abrir facsímil</v>
      </c>
      <c r="K9697" t="s">
        <v>23</v>
      </c>
    </row>
    <row r="9698" spans="1:11" ht="42" customHeight="1">
      <c r="A9698" t="s">
        <v>19131</v>
      </c>
      <c r="B9698" t="s">
        <v>19131</v>
      </c>
      <c r="C9698" t="s">
        <v>17</v>
      </c>
      <c r="D9698" t="s">
        <v>18</v>
      </c>
      <c r="E9698" s="6">
        <v>-28025</v>
      </c>
      <c r="F9698" t="s">
        <v>477</v>
      </c>
      <c r="G9698" t="s">
        <v>20</v>
      </c>
      <c r="H9698" t="s">
        <v>21</v>
      </c>
      <c r="I9698" t="s">
        <v>19133</v>
      </c>
      <c r="J9698" t="str">
        <f>HYPERLINK("https://www.boe.es/gazeta/dias/1823/04/08/pdfs/GMD-1823-103.pdf#page=4","Abrir facsímil")</f>
        <v>Abrir facsímil</v>
      </c>
      <c r="K9698" t="s">
        <v>23</v>
      </c>
    </row>
    <row r="9699" spans="1:11" ht="42" customHeight="1">
      <c r="A9699" t="s">
        <v>19131</v>
      </c>
      <c r="B9699" t="s">
        <v>19131</v>
      </c>
      <c r="C9699" t="s">
        <v>73</v>
      </c>
      <c r="D9699" t="s">
        <v>74</v>
      </c>
      <c r="E9699" s="6">
        <v>-27993</v>
      </c>
      <c r="F9699" t="s">
        <v>977</v>
      </c>
      <c r="G9699" t="s">
        <v>27</v>
      </c>
      <c r="H9699" t="s">
        <v>21</v>
      </c>
      <c r="I9699" t="s">
        <v>19134</v>
      </c>
      <c r="J9699" t="str">
        <f>HYPERLINK("https://www.boe.es/gazeta/dias/1823/05/10/pdfs/GES-1823-30.pdf#page=2","Abrir facsímil")</f>
        <v>Abrir facsímil</v>
      </c>
      <c r="K9699" t="s">
        <v>23</v>
      </c>
    </row>
    <row r="9700" spans="1:11" ht="42" customHeight="1">
      <c r="A9700" t="s">
        <v>19131</v>
      </c>
      <c r="B9700" t="s">
        <v>19131</v>
      </c>
      <c r="C9700" t="s">
        <v>17</v>
      </c>
      <c r="D9700" t="s">
        <v>18</v>
      </c>
      <c r="E9700" s="6">
        <v>-27804</v>
      </c>
      <c r="F9700" t="s">
        <v>836</v>
      </c>
      <c r="G9700" t="s">
        <v>20</v>
      </c>
      <c r="H9700" t="s">
        <v>21</v>
      </c>
      <c r="I9700" t="s">
        <v>19135</v>
      </c>
      <c r="J9700" t="str">
        <f>HYPERLINK("https://www.boe.es/gazeta/dias/1823/11/15/pdfs/GMD-1823-1123.pdf#page=4","Abrir facsímil")</f>
        <v>Abrir facsímil</v>
      </c>
      <c r="K9700" t="s">
        <v>23</v>
      </c>
    </row>
    <row r="9701" spans="1:11" ht="42" customHeight="1">
      <c r="A9701" t="s">
        <v>19136</v>
      </c>
      <c r="B9701" t="s">
        <v>19137</v>
      </c>
      <c r="C9701" t="s">
        <v>17</v>
      </c>
      <c r="D9701" t="s">
        <v>18</v>
      </c>
      <c r="E9701" s="6">
        <v>-28061</v>
      </c>
      <c r="F9701" t="s">
        <v>704</v>
      </c>
      <c r="G9701" t="s">
        <v>59</v>
      </c>
      <c r="H9701" t="s">
        <v>21</v>
      </c>
      <c r="I9701" t="s">
        <v>19138</v>
      </c>
      <c r="J9701" t="str">
        <f>HYPERLINK("https://www.boe.es/gazeta/dias/1823/03/03/pdfs/GMD-1823-66.pdf#page=6","Abrir facsímil")</f>
        <v>Abrir facsímil</v>
      </c>
      <c r="K9701" t="s">
        <v>23</v>
      </c>
    </row>
    <row r="9702" spans="1:11" ht="42" customHeight="1">
      <c r="A9702" t="s">
        <v>19139</v>
      </c>
      <c r="B9702" t="s">
        <v>19140</v>
      </c>
      <c r="C9702" t="s">
        <v>79</v>
      </c>
      <c r="D9702" t="s">
        <v>74</v>
      </c>
      <c r="E9702" s="6">
        <v>-28121</v>
      </c>
      <c r="F9702" t="s">
        <v>575</v>
      </c>
      <c r="G9702" t="s">
        <v>576</v>
      </c>
      <c r="H9702" t="s">
        <v>21</v>
      </c>
      <c r="I9702" t="s">
        <v>19141</v>
      </c>
      <c r="J9702" t="str">
        <f>HYPERLINK("https://www.boe.es/gazeta/dias/1823/01/02/pdfs/GMD-1823-2.pdf#page=2","Abrir facsímil")</f>
        <v>Abrir facsímil</v>
      </c>
      <c r="K9702" t="s">
        <v>23</v>
      </c>
    </row>
    <row r="9703" spans="1:11" ht="42" customHeight="1">
      <c r="A9703" t="s">
        <v>19142</v>
      </c>
      <c r="B9703" t="s">
        <v>19143</v>
      </c>
      <c r="C9703" t="s">
        <v>109</v>
      </c>
      <c r="D9703" t="s">
        <v>74</v>
      </c>
      <c r="E9703" s="6">
        <v>-28064</v>
      </c>
      <c r="F9703" t="s">
        <v>1190</v>
      </c>
      <c r="G9703" t="s">
        <v>20</v>
      </c>
      <c r="H9703" t="s">
        <v>21</v>
      </c>
      <c r="I9703" t="s">
        <v>19144</v>
      </c>
      <c r="J9703" t="str">
        <f>HYPERLINK("https://www.boe.es/gazeta/dias/1823/02/28/pdfs/GMD-1823-62.pdf#page=4","Abrir facsímil")</f>
        <v>Abrir facsímil</v>
      </c>
      <c r="K9703" t="s">
        <v>23</v>
      </c>
    </row>
    <row r="9704" spans="1:11" ht="42" customHeight="1">
      <c r="A9704" t="s">
        <v>19145</v>
      </c>
      <c r="B9704" t="s">
        <v>19146</v>
      </c>
      <c r="C9704" t="s">
        <v>17</v>
      </c>
      <c r="D9704" t="s">
        <v>18</v>
      </c>
      <c r="E9704" s="6">
        <v>-27861</v>
      </c>
      <c r="F9704" t="s">
        <v>425</v>
      </c>
      <c r="G9704" t="s">
        <v>39</v>
      </c>
      <c r="H9704" t="s">
        <v>21</v>
      </c>
      <c r="I9704" t="s">
        <v>19147</v>
      </c>
      <c r="J9704" t="str">
        <f>HYPERLINK("https://www.boe.es/gazeta/dias/1823/09/19/pdfs/GES-1823-163.pdf#page=1","Abrir facsímil")</f>
        <v>Abrir facsímil</v>
      </c>
      <c r="K9704" t="s">
        <v>23</v>
      </c>
    </row>
    <row r="9705" spans="1:11" ht="42" customHeight="1">
      <c r="A9705" t="s">
        <v>19148</v>
      </c>
      <c r="B9705" t="s">
        <v>19149</v>
      </c>
      <c r="C9705" t="s">
        <v>17</v>
      </c>
      <c r="D9705" t="s">
        <v>18</v>
      </c>
      <c r="E9705" s="6">
        <v>-28016</v>
      </c>
      <c r="F9705" t="s">
        <v>2259</v>
      </c>
      <c r="G9705" t="s">
        <v>20</v>
      </c>
      <c r="H9705" t="s">
        <v>21</v>
      </c>
      <c r="I9705" t="s">
        <v>19150</v>
      </c>
      <c r="J9705" t="str">
        <f>HYPERLINK("https://www.boe.es/gazeta/dias/1823/04/17/pdfs/GES-1823-7.pdf#page=4","Abrir facsímil")</f>
        <v>Abrir facsímil</v>
      </c>
      <c r="K9705" t="s">
        <v>23</v>
      </c>
    </row>
    <row r="9706" spans="1:11" ht="42" customHeight="1">
      <c r="A9706" t="s">
        <v>19151</v>
      </c>
      <c r="B9706" t="s">
        <v>19152</v>
      </c>
      <c r="C9706" t="s">
        <v>84</v>
      </c>
      <c r="D9706" t="s">
        <v>74</v>
      </c>
      <c r="E9706" s="6">
        <v>-28118</v>
      </c>
      <c r="F9706" t="s">
        <v>252</v>
      </c>
      <c r="G9706" t="s">
        <v>59</v>
      </c>
      <c r="H9706" t="s">
        <v>21</v>
      </c>
      <c r="I9706" t="s">
        <v>19153</v>
      </c>
      <c r="J9706" t="str">
        <f>HYPERLINK("https://www.boe.es/gazeta/dias/1823/01/05/pdfs/GMD-1823-5.pdf#page=6","Abrir facsímil")</f>
        <v>Abrir facsímil</v>
      </c>
      <c r="K9706" t="s">
        <v>23</v>
      </c>
    </row>
    <row r="9707" spans="1:11" ht="42" customHeight="1">
      <c r="A9707" t="s">
        <v>19154</v>
      </c>
      <c r="B9707" t="s">
        <v>19155</v>
      </c>
      <c r="C9707" t="s">
        <v>56</v>
      </c>
      <c r="D9707" t="s">
        <v>57</v>
      </c>
      <c r="E9707" s="6">
        <v>-28043</v>
      </c>
      <c r="F9707" t="s">
        <v>69</v>
      </c>
      <c r="G9707" t="s">
        <v>59</v>
      </c>
      <c r="H9707" t="s">
        <v>21</v>
      </c>
      <c r="I9707" t="s">
        <v>19156</v>
      </c>
      <c r="J9707" t="str">
        <f>HYPERLINK("https://www.boe.es/gazeta/dias/1823/03/21/pdfs/GMD-1823-84.pdf#page=6","Abrir facsímil")</f>
        <v>Abrir facsímil</v>
      </c>
      <c r="K9707" t="s">
        <v>23</v>
      </c>
    </row>
    <row r="9708" spans="1:11" ht="42" customHeight="1">
      <c r="A9708" t="s">
        <v>19157</v>
      </c>
      <c r="B9708" t="s">
        <v>19157</v>
      </c>
      <c r="C9708" t="s">
        <v>17</v>
      </c>
      <c r="D9708" t="s">
        <v>18</v>
      </c>
      <c r="E9708" s="6">
        <v>-28048</v>
      </c>
      <c r="F9708" t="s">
        <v>399</v>
      </c>
      <c r="G9708" t="s">
        <v>20</v>
      </c>
      <c r="H9708" t="s">
        <v>21</v>
      </c>
      <c r="I9708" t="s">
        <v>19158</v>
      </c>
      <c r="J9708" t="str">
        <f>HYPERLINK("https://www.boe.es/gazeta/dias/1823/03/16/pdfs/GMD-1823-79.pdf#page=4","Abrir facsímil")</f>
        <v>Abrir facsímil</v>
      </c>
      <c r="K9708" t="s">
        <v>23</v>
      </c>
    </row>
    <row r="9709" spans="1:11" ht="42" customHeight="1">
      <c r="A9709" t="s">
        <v>19159</v>
      </c>
      <c r="B9709" t="s">
        <v>19160</v>
      </c>
      <c r="C9709" t="s">
        <v>17</v>
      </c>
      <c r="D9709" t="s">
        <v>18</v>
      </c>
      <c r="E9709" s="6">
        <v>-27762</v>
      </c>
      <c r="F9709" t="s">
        <v>1614</v>
      </c>
      <c r="G9709" t="s">
        <v>48</v>
      </c>
      <c r="H9709" t="s">
        <v>21</v>
      </c>
      <c r="I9709" t="s">
        <v>19161</v>
      </c>
      <c r="J9709" t="str">
        <f>HYPERLINK("https://www.boe.es/gazeta/dias/1823/12/27/pdfs/GMD-1823-1303.pdf#page=3","Abrir facsímil")</f>
        <v>Abrir facsímil</v>
      </c>
      <c r="K9709" t="s">
        <v>23</v>
      </c>
    </row>
    <row r="9710" spans="1:11" ht="42" customHeight="1">
      <c r="A9710" t="s">
        <v>19162</v>
      </c>
      <c r="B9710" t="s">
        <v>19162</v>
      </c>
      <c r="C9710" t="s">
        <v>109</v>
      </c>
      <c r="D9710" t="s">
        <v>74</v>
      </c>
      <c r="E9710" s="6">
        <v>-28074</v>
      </c>
      <c r="F9710" t="s">
        <v>212</v>
      </c>
      <c r="G9710" t="s">
        <v>296</v>
      </c>
      <c r="H9710" t="s">
        <v>21</v>
      </c>
      <c r="I9710" t="s">
        <v>19163</v>
      </c>
      <c r="J9710" t="str">
        <f>HYPERLINK("https://www.boe.es/gazeta/dias/1823/02/18/pdfs/GMD-1823-52.pdf#page=2","Abrir facsímil")</f>
        <v>Abrir facsímil</v>
      </c>
      <c r="K9710" t="s">
        <v>23</v>
      </c>
    </row>
    <row r="9711" spans="1:11" ht="42" customHeight="1">
      <c r="A9711" t="s">
        <v>19164</v>
      </c>
      <c r="B9711" t="s">
        <v>19164</v>
      </c>
      <c r="C9711" t="s">
        <v>17</v>
      </c>
      <c r="D9711" t="s">
        <v>18</v>
      </c>
      <c r="E9711" s="6">
        <v>-27944</v>
      </c>
      <c r="F9711" t="s">
        <v>658</v>
      </c>
      <c r="G9711" t="s">
        <v>39</v>
      </c>
      <c r="H9711" t="s">
        <v>21</v>
      </c>
      <c r="I9711" t="s">
        <v>19165</v>
      </c>
      <c r="J9711" t="str">
        <f>HYPERLINK("https://www.boe.es/gazeta/dias/1823/06/28/pdfs/GMD-1823-303.pdf#page=1","Abrir facsímil")</f>
        <v>Abrir facsímil</v>
      </c>
      <c r="K9711" t="s">
        <v>23</v>
      </c>
    </row>
    <row r="9712" spans="1:11" ht="42" customHeight="1">
      <c r="A9712" t="s">
        <v>19166</v>
      </c>
      <c r="B9712" t="s">
        <v>19167</v>
      </c>
      <c r="C9712" t="s">
        <v>17</v>
      </c>
      <c r="D9712" t="s">
        <v>18</v>
      </c>
      <c r="E9712" s="6">
        <v>-27909</v>
      </c>
      <c r="F9712" t="s">
        <v>948</v>
      </c>
      <c r="G9712" t="s">
        <v>27</v>
      </c>
      <c r="H9712" t="s">
        <v>21</v>
      </c>
      <c r="I9712" t="s">
        <v>19168</v>
      </c>
      <c r="J9712" t="str">
        <f>HYPERLINK("https://www.boe.es/gazeta/dias/1823/08/02/pdfs/GES-1823-114.pdf#page=2","Abrir facsímil")</f>
        <v>Abrir facsímil</v>
      </c>
      <c r="K9712" t="s">
        <v>23</v>
      </c>
    </row>
    <row r="9713" spans="1:11" ht="42" customHeight="1">
      <c r="A9713" t="s">
        <v>19169</v>
      </c>
      <c r="B9713" t="s">
        <v>19169</v>
      </c>
      <c r="C9713" t="s">
        <v>17</v>
      </c>
      <c r="D9713" t="s">
        <v>18</v>
      </c>
      <c r="E9713" s="6">
        <v>-28060</v>
      </c>
      <c r="F9713" t="s">
        <v>180</v>
      </c>
      <c r="G9713" t="s">
        <v>181</v>
      </c>
      <c r="H9713" t="s">
        <v>21</v>
      </c>
      <c r="I9713" t="s">
        <v>19170</v>
      </c>
      <c r="J9713" t="str">
        <f>HYPERLINK("https://www.boe.es/gazeta/dias/1823/03/04/pdfs/GMD-1823-67.pdf#page=6","Abrir facsímil")</f>
        <v>Abrir facsímil</v>
      </c>
      <c r="K9713" t="s">
        <v>23</v>
      </c>
    </row>
    <row r="9714" spans="1:11" ht="42" customHeight="1">
      <c r="A9714" t="s">
        <v>19171</v>
      </c>
      <c r="B9714" t="s">
        <v>19172</v>
      </c>
      <c r="C9714" t="s">
        <v>17</v>
      </c>
      <c r="D9714" t="s">
        <v>18</v>
      </c>
      <c r="E9714" s="6">
        <v>-28015</v>
      </c>
      <c r="F9714" t="s">
        <v>985</v>
      </c>
      <c r="G9714" t="s">
        <v>48</v>
      </c>
      <c r="H9714" t="s">
        <v>21</v>
      </c>
      <c r="I9714" t="s">
        <v>19173</v>
      </c>
      <c r="J9714" t="str">
        <f>HYPERLINK("https://www.boe.es/gazeta/dias/1823/04/18/pdfs/GES-1823-8.pdf#page=3","Abrir facsímil")</f>
        <v>Abrir facsímil</v>
      </c>
      <c r="K9714" t="s">
        <v>23</v>
      </c>
    </row>
    <row r="9715" spans="1:11" ht="42" customHeight="1">
      <c r="A9715" t="s">
        <v>19174</v>
      </c>
      <c r="B9715" t="s">
        <v>19174</v>
      </c>
      <c r="C9715" t="s">
        <v>79</v>
      </c>
      <c r="D9715" t="s">
        <v>74</v>
      </c>
      <c r="E9715" s="6">
        <v>-28053</v>
      </c>
      <c r="F9715" t="s">
        <v>303</v>
      </c>
      <c r="G9715" t="s">
        <v>27</v>
      </c>
      <c r="H9715" t="s">
        <v>21</v>
      </c>
      <c r="I9715" t="s">
        <v>19175</v>
      </c>
      <c r="J9715" t="str">
        <f>HYPERLINK("https://www.boe.es/gazeta/dias/1823/03/11/pdfs/GMD-1823-74.pdf#page=2","Abrir facsímil")</f>
        <v>Abrir facsímil</v>
      </c>
      <c r="K9715" t="s">
        <v>23</v>
      </c>
    </row>
    <row r="9716" spans="1:11" ht="42" customHeight="1">
      <c r="A9716" t="s">
        <v>19176</v>
      </c>
      <c r="B9716" t="s">
        <v>19177</v>
      </c>
      <c r="C9716" t="s">
        <v>79</v>
      </c>
      <c r="D9716" t="s">
        <v>74</v>
      </c>
      <c r="E9716" s="6">
        <v>-27944</v>
      </c>
      <c r="F9716" t="s">
        <v>658</v>
      </c>
      <c r="G9716" t="s">
        <v>48</v>
      </c>
      <c r="H9716" t="s">
        <v>21</v>
      </c>
      <c r="I9716" t="s">
        <v>19178</v>
      </c>
      <c r="J9716" t="str">
        <f>HYPERLINK("https://www.boe.es/gazeta/dias/1823/06/28/pdfs/GMD-1823-303.pdf#page=3","Abrir facsímil")</f>
        <v>Abrir facsímil</v>
      </c>
      <c r="K9716" t="s">
        <v>23</v>
      </c>
    </row>
    <row r="9717" spans="1:11" ht="42" customHeight="1">
      <c r="A9717" t="s">
        <v>19179</v>
      </c>
      <c r="B9717" t="s">
        <v>19180</v>
      </c>
      <c r="C9717" t="s">
        <v>109</v>
      </c>
      <c r="D9717" t="s">
        <v>74</v>
      </c>
      <c r="E9717" s="6">
        <v>-28057</v>
      </c>
      <c r="F9717" t="s">
        <v>301</v>
      </c>
      <c r="G9717" t="s">
        <v>27</v>
      </c>
      <c r="H9717" t="s">
        <v>21</v>
      </c>
      <c r="I9717" t="s">
        <v>19181</v>
      </c>
      <c r="J9717" t="str">
        <f>HYPERLINK("https://www.boe.es/gazeta/dias/1823/03/07/pdfs/GMD-1823-70.pdf#page=2","Abrir facsímil")</f>
        <v>Abrir facsímil</v>
      </c>
      <c r="K9717" t="s">
        <v>23</v>
      </c>
    </row>
    <row r="9718" spans="1:11" ht="42" customHeight="1">
      <c r="A9718" t="s">
        <v>19182</v>
      </c>
      <c r="B9718" t="s">
        <v>19183</v>
      </c>
      <c r="C9718" t="s">
        <v>17</v>
      </c>
      <c r="D9718" t="s">
        <v>18</v>
      </c>
      <c r="E9718" s="6">
        <v>-27892</v>
      </c>
      <c r="F9718" t="s">
        <v>1571</v>
      </c>
      <c r="G9718" t="s">
        <v>27</v>
      </c>
      <c r="H9718" t="s">
        <v>21</v>
      </c>
      <c r="I9718" t="s">
        <v>19184</v>
      </c>
      <c r="J9718" t="str">
        <f>HYPERLINK("https://www.boe.es/gazeta/dias/1823/08/19/pdfs/GMD-1823-613.pdf#page=2","Abrir facsímil")</f>
        <v>Abrir facsímil</v>
      </c>
      <c r="K9718" t="s">
        <v>23</v>
      </c>
    </row>
    <row r="9719" spans="1:11" ht="42" customHeight="1">
      <c r="A9719" t="s">
        <v>19185</v>
      </c>
      <c r="B9719" t="s">
        <v>19186</v>
      </c>
      <c r="C9719" t="s">
        <v>56</v>
      </c>
      <c r="D9719" t="s">
        <v>57</v>
      </c>
      <c r="E9719" s="6">
        <v>-28047</v>
      </c>
      <c r="F9719" t="s">
        <v>2269</v>
      </c>
      <c r="G9719" t="s">
        <v>20</v>
      </c>
      <c r="H9719" t="s">
        <v>21</v>
      </c>
      <c r="I9719" t="s">
        <v>19187</v>
      </c>
      <c r="J9719" t="str">
        <f>HYPERLINK("https://www.boe.es/gazeta/dias/1823/03/17/pdfs/GMD-1823-80.pdf#page=4","Abrir facsímil")</f>
        <v>Abrir facsímil</v>
      </c>
      <c r="K9719" t="s">
        <v>23</v>
      </c>
    </row>
    <row r="9720" spans="1:11" ht="42" customHeight="1">
      <c r="A9720" t="s">
        <v>19188</v>
      </c>
      <c r="B9720" t="s">
        <v>19188</v>
      </c>
      <c r="C9720" t="s">
        <v>79</v>
      </c>
      <c r="D9720" t="s">
        <v>74</v>
      </c>
      <c r="E9720" s="6">
        <v>-28119</v>
      </c>
      <c r="F9720" t="s">
        <v>545</v>
      </c>
      <c r="G9720" t="s">
        <v>27</v>
      </c>
      <c r="H9720" t="s">
        <v>21</v>
      </c>
      <c r="I9720" t="s">
        <v>19189</v>
      </c>
      <c r="J9720" t="str">
        <f>HYPERLINK("https://www.boe.es/gazeta/dias/1823/01/04/pdfs/GMD-1823-4.pdf#page=2","Abrir facsímil")</f>
        <v>Abrir facsímil</v>
      </c>
      <c r="K9720" t="s">
        <v>23</v>
      </c>
    </row>
    <row r="9721" spans="1:11" ht="42" customHeight="1">
      <c r="A9721" t="s">
        <v>19188</v>
      </c>
      <c r="B9721" t="s">
        <v>19188</v>
      </c>
      <c r="C9721" t="s">
        <v>79</v>
      </c>
      <c r="D9721" t="s">
        <v>74</v>
      </c>
      <c r="E9721" s="6">
        <v>-28119</v>
      </c>
      <c r="F9721" t="s">
        <v>545</v>
      </c>
      <c r="G9721" t="s">
        <v>48</v>
      </c>
      <c r="H9721" t="s">
        <v>21</v>
      </c>
      <c r="I9721" t="s">
        <v>19190</v>
      </c>
      <c r="J9721" t="str">
        <f>HYPERLINK("https://www.boe.es/gazeta/dias/1823/01/04/pdfs/GMD-1823-4.pdf#page=3","Abrir facsímil")</f>
        <v>Abrir facsímil</v>
      </c>
      <c r="K9721" t="s">
        <v>23</v>
      </c>
    </row>
    <row r="9722" spans="1:11" ht="42" customHeight="1">
      <c r="A9722" t="s">
        <v>19188</v>
      </c>
      <c r="B9722" t="s">
        <v>19188</v>
      </c>
      <c r="C9722" t="s">
        <v>79</v>
      </c>
      <c r="D9722" t="s">
        <v>74</v>
      </c>
      <c r="E9722" s="6">
        <v>-28078</v>
      </c>
      <c r="F9722" t="s">
        <v>508</v>
      </c>
      <c r="G9722" t="s">
        <v>27</v>
      </c>
      <c r="H9722" t="s">
        <v>21</v>
      </c>
      <c r="I9722" t="s">
        <v>19191</v>
      </c>
      <c r="J9722" t="str">
        <f>HYPERLINK("https://www.boe.es/gazeta/dias/1823/02/14/pdfs/GMD-1823-48.pdf#page=2","Abrir facsímil")</f>
        <v>Abrir facsímil</v>
      </c>
      <c r="K9722" t="s">
        <v>23</v>
      </c>
    </row>
    <row r="9723" spans="1:11" ht="42" customHeight="1">
      <c r="A9723" t="s">
        <v>19192</v>
      </c>
      <c r="B9723" t="s">
        <v>19193</v>
      </c>
      <c r="C9723" t="s">
        <v>17</v>
      </c>
      <c r="D9723" t="s">
        <v>18</v>
      </c>
      <c r="E9723" s="6">
        <v>-28045</v>
      </c>
      <c r="F9723" t="s">
        <v>245</v>
      </c>
      <c r="G9723" t="s">
        <v>27</v>
      </c>
      <c r="H9723" t="s">
        <v>21</v>
      </c>
      <c r="I9723" t="s">
        <v>19194</v>
      </c>
      <c r="J9723" t="str">
        <f>HYPERLINK("https://www.boe.es/gazeta/dias/1823/03/19/pdfs/GMD-1823-82.pdf#page=2","Abrir facsímil")</f>
        <v>Abrir facsímil</v>
      </c>
      <c r="K9723" t="s">
        <v>23</v>
      </c>
    </row>
    <row r="9724" spans="1:11" ht="42" customHeight="1">
      <c r="A9724" t="s">
        <v>19195</v>
      </c>
      <c r="B9724" t="s">
        <v>19196</v>
      </c>
      <c r="C9724" t="s">
        <v>17</v>
      </c>
      <c r="D9724" t="s">
        <v>18</v>
      </c>
      <c r="E9724" s="6">
        <v>-27992</v>
      </c>
      <c r="F9724" t="s">
        <v>565</v>
      </c>
      <c r="G9724" t="s">
        <v>20</v>
      </c>
      <c r="H9724" t="s">
        <v>21</v>
      </c>
      <c r="I9724" t="s">
        <v>19197</v>
      </c>
      <c r="J9724" t="str">
        <f>HYPERLINK("https://www.boe.es/gazeta/dias/1823/05/11/pdfs/GES-1823-31.pdf#page=4","Abrir facsímil")</f>
        <v>Abrir facsímil</v>
      </c>
      <c r="K9724" t="s">
        <v>23</v>
      </c>
    </row>
    <row r="9725" spans="1:11" ht="42" customHeight="1">
      <c r="A9725" t="s">
        <v>19198</v>
      </c>
      <c r="B9725" t="s">
        <v>19199</v>
      </c>
      <c r="C9725" t="s">
        <v>17</v>
      </c>
      <c r="D9725" t="s">
        <v>18</v>
      </c>
      <c r="E9725" s="6">
        <v>-28116</v>
      </c>
      <c r="F9725" t="s">
        <v>134</v>
      </c>
      <c r="G9725" t="s">
        <v>59</v>
      </c>
      <c r="H9725" t="s">
        <v>21</v>
      </c>
      <c r="I9725" t="s">
        <v>19200</v>
      </c>
      <c r="J9725" t="str">
        <f>HYPERLINK("https://www.boe.es/gazeta/dias/1823/01/07/pdfs/GMD-1823-7.pdf#page=6","Abrir facsímil")</f>
        <v>Abrir facsímil</v>
      </c>
      <c r="K9725" t="s">
        <v>23</v>
      </c>
    </row>
    <row r="9726" spans="1:11" ht="42" customHeight="1">
      <c r="A9726" t="s">
        <v>19201</v>
      </c>
      <c r="B9726" t="s">
        <v>19202</v>
      </c>
      <c r="C9726" t="s">
        <v>17</v>
      </c>
      <c r="D9726" t="s">
        <v>117</v>
      </c>
      <c r="E9726" s="6">
        <v>-27975</v>
      </c>
      <c r="F9726" t="s">
        <v>1922</v>
      </c>
      <c r="G9726" t="s">
        <v>39</v>
      </c>
      <c r="H9726" t="s">
        <v>21</v>
      </c>
      <c r="I9726" t="s">
        <v>19203</v>
      </c>
      <c r="J9726" t="str">
        <f>HYPERLINK("https://www.boe.es/gazeta/dias/1823/05/28/pdfs/GES-1823-51E.pdf#page=1","Abrir facsímil")</f>
        <v>Abrir facsímil</v>
      </c>
      <c r="K9726" t="s">
        <v>23</v>
      </c>
    </row>
    <row r="9727" spans="1:11" ht="42" customHeight="1">
      <c r="A9727" t="s">
        <v>19204</v>
      </c>
      <c r="B9727" t="s">
        <v>19205</v>
      </c>
      <c r="C9727" t="s">
        <v>17</v>
      </c>
      <c r="D9727" t="s">
        <v>18</v>
      </c>
      <c r="E9727" s="6">
        <v>-28093</v>
      </c>
      <c r="F9727" t="s">
        <v>1044</v>
      </c>
      <c r="G9727" t="s">
        <v>59</v>
      </c>
      <c r="H9727" t="s">
        <v>21</v>
      </c>
      <c r="I9727" t="s">
        <v>19206</v>
      </c>
      <c r="J9727" t="str">
        <f>HYPERLINK("https://www.boe.es/gazeta/dias/1823/01/30/pdfs/GMD-1823-31.pdf#page=6","Abrir facsímil")</f>
        <v>Abrir facsímil</v>
      </c>
      <c r="K9727" t="s">
        <v>23</v>
      </c>
    </row>
    <row r="9728" spans="1:11" ht="42" customHeight="1">
      <c r="A9728" t="s">
        <v>19207</v>
      </c>
      <c r="B9728" t="s">
        <v>19208</v>
      </c>
      <c r="C9728" t="s">
        <v>17</v>
      </c>
      <c r="D9728" t="s">
        <v>18</v>
      </c>
      <c r="E9728" s="6">
        <v>-27874</v>
      </c>
      <c r="F9728" t="s">
        <v>122</v>
      </c>
      <c r="G9728" t="s">
        <v>48</v>
      </c>
      <c r="H9728" t="s">
        <v>21</v>
      </c>
      <c r="I9728" t="s">
        <v>19209</v>
      </c>
      <c r="J9728" t="str">
        <f>HYPERLINK("https://www.boe.es/gazeta/dias/1823/09/06/pdfs/GMD-1823-713.pdf#page=3","Abrir facsímil")</f>
        <v>Abrir facsímil</v>
      </c>
      <c r="K9728" t="s">
        <v>23</v>
      </c>
    </row>
    <row r="9729" spans="1:11" ht="42" customHeight="1">
      <c r="A9729" t="s">
        <v>19210</v>
      </c>
      <c r="B9729" t="s">
        <v>19211</v>
      </c>
      <c r="C9729" t="s">
        <v>79</v>
      </c>
      <c r="D9729" t="s">
        <v>74</v>
      </c>
      <c r="E9729" s="6">
        <v>-28118</v>
      </c>
      <c r="F9729" t="s">
        <v>252</v>
      </c>
      <c r="G9729" t="s">
        <v>59</v>
      </c>
      <c r="H9729" t="s">
        <v>21</v>
      </c>
      <c r="I9729" t="s">
        <v>19212</v>
      </c>
      <c r="J9729" t="str">
        <f>HYPERLINK("https://www.boe.es/gazeta/dias/1823/01/05/pdfs/GMD-1823-5.pdf#page=6","Abrir facsímil")</f>
        <v>Abrir facsímil</v>
      </c>
      <c r="K9729" t="s">
        <v>23</v>
      </c>
    </row>
    <row r="9730" spans="1:11" ht="42" customHeight="1">
      <c r="A9730" t="s">
        <v>19213</v>
      </c>
      <c r="B9730" t="s">
        <v>19213</v>
      </c>
      <c r="C9730" t="s">
        <v>17</v>
      </c>
      <c r="D9730" t="s">
        <v>18</v>
      </c>
      <c r="E9730" s="6">
        <v>-27912</v>
      </c>
      <c r="F9730" t="s">
        <v>365</v>
      </c>
      <c r="G9730" t="s">
        <v>366</v>
      </c>
      <c r="H9730" t="s">
        <v>21</v>
      </c>
      <c r="I9730" t="s">
        <v>19214</v>
      </c>
      <c r="J9730" t="str">
        <f>HYPERLINK("https://www.boe.es/gazeta/dias/1823/07/30/pdfs/GES-1823-111.pdf#page=4","Abrir facsímil")</f>
        <v>Abrir facsímil</v>
      </c>
      <c r="K9730" t="s">
        <v>23</v>
      </c>
    </row>
    <row r="9731" spans="1:11" ht="42" customHeight="1">
      <c r="A9731" t="s">
        <v>19215</v>
      </c>
      <c r="B9731" t="s">
        <v>19215</v>
      </c>
      <c r="C9731" t="s">
        <v>73</v>
      </c>
      <c r="D9731" t="s">
        <v>74</v>
      </c>
      <c r="E9731" s="6">
        <v>-28114</v>
      </c>
      <c r="F9731" t="s">
        <v>153</v>
      </c>
      <c r="G9731" t="s">
        <v>48</v>
      </c>
      <c r="H9731" t="s">
        <v>21</v>
      </c>
      <c r="I9731" t="s">
        <v>19216</v>
      </c>
      <c r="J9731" t="str">
        <f>HYPERLINK("https://www.boe.es/gazeta/dias/1823/01/09/pdfs/GMD-1823-9.pdf#page=3","Abrir facsímil")</f>
        <v>Abrir facsímil</v>
      </c>
      <c r="K9731" t="s">
        <v>23</v>
      </c>
    </row>
    <row r="9732" spans="1:11" ht="42" customHeight="1">
      <c r="A9732" t="s">
        <v>19217</v>
      </c>
      <c r="B9732" t="s">
        <v>19217</v>
      </c>
      <c r="C9732" t="s">
        <v>17</v>
      </c>
      <c r="D9732" t="s">
        <v>18</v>
      </c>
      <c r="E9732" s="6">
        <v>-27890</v>
      </c>
      <c r="F9732" t="s">
        <v>8359</v>
      </c>
      <c r="G9732" t="s">
        <v>27</v>
      </c>
      <c r="H9732" t="s">
        <v>21</v>
      </c>
      <c r="I9732" t="s">
        <v>19218</v>
      </c>
      <c r="J9732" t="str">
        <f>HYPERLINK("https://www.boe.es/gazeta/dias/1823/08/21/pdfs/GES-1823-134.pdf#page=2","Abrir facsímil")</f>
        <v>Abrir facsímil</v>
      </c>
      <c r="K9732" t="s">
        <v>23</v>
      </c>
    </row>
    <row r="9733" spans="1:11" ht="42" customHeight="1">
      <c r="A9733" t="s">
        <v>19219</v>
      </c>
      <c r="B9733" t="s">
        <v>19220</v>
      </c>
      <c r="C9733" t="s">
        <v>79</v>
      </c>
      <c r="D9733" t="s">
        <v>74</v>
      </c>
      <c r="E9733" s="6">
        <v>-28077</v>
      </c>
      <c r="F9733" t="s">
        <v>536</v>
      </c>
      <c r="G9733" t="s">
        <v>59</v>
      </c>
      <c r="H9733" t="s">
        <v>21</v>
      </c>
      <c r="I9733" t="s">
        <v>19221</v>
      </c>
      <c r="J9733" t="str">
        <f>HYPERLINK("https://www.boe.es/gazeta/dias/1823/02/15/pdfs/GMD-1823-49.pdf#page=6","Abrir facsímil")</f>
        <v>Abrir facsímil</v>
      </c>
      <c r="K9733" t="s">
        <v>23</v>
      </c>
    </row>
    <row r="9734" spans="1:11" ht="42" customHeight="1">
      <c r="A9734" t="s">
        <v>19222</v>
      </c>
      <c r="B9734" t="s">
        <v>19223</v>
      </c>
      <c r="C9734" t="s">
        <v>79</v>
      </c>
      <c r="D9734" t="s">
        <v>74</v>
      </c>
      <c r="E9734" s="6">
        <v>-27937</v>
      </c>
      <c r="F9734" t="s">
        <v>897</v>
      </c>
      <c r="G9734" t="s">
        <v>34</v>
      </c>
      <c r="H9734" t="s">
        <v>21</v>
      </c>
      <c r="I9734" t="s">
        <v>19224</v>
      </c>
      <c r="J9734" t="str">
        <f>HYPERLINK("https://www.boe.es/gazeta/dias/1823/07/05/pdfs/GMD-1823-343.pdf#page=5","Abrir facsímil")</f>
        <v>Abrir facsímil</v>
      </c>
      <c r="K9734" t="s">
        <v>23</v>
      </c>
    </row>
    <row r="9735" spans="1:11" ht="42" customHeight="1">
      <c r="A9735" t="s">
        <v>19225</v>
      </c>
      <c r="B9735" t="s">
        <v>19225</v>
      </c>
      <c r="C9735" t="s">
        <v>17</v>
      </c>
      <c r="D9735" t="s">
        <v>18</v>
      </c>
      <c r="E9735" s="6">
        <v>-27853</v>
      </c>
      <c r="F9735" t="s">
        <v>2626</v>
      </c>
      <c r="G9735" t="s">
        <v>27</v>
      </c>
      <c r="H9735" t="s">
        <v>21</v>
      </c>
      <c r="I9735" t="s">
        <v>19226</v>
      </c>
      <c r="J9735" t="str">
        <f>HYPERLINK("https://www.boe.es/gazeta/dias/1823/09/27/pdfs/GES-1823-171.pdf#page=2","Abrir facsímil")</f>
        <v>Abrir facsímil</v>
      </c>
      <c r="K9735" t="s">
        <v>23</v>
      </c>
    </row>
    <row r="9736" spans="1:11" ht="42" customHeight="1">
      <c r="A9736" t="s">
        <v>19227</v>
      </c>
      <c r="B9736" t="s">
        <v>19227</v>
      </c>
      <c r="C9736" t="s">
        <v>17</v>
      </c>
      <c r="D9736" t="s">
        <v>18</v>
      </c>
      <c r="E9736" s="6">
        <v>-27986</v>
      </c>
      <c r="F9736" t="s">
        <v>75</v>
      </c>
      <c r="G9736" t="s">
        <v>59</v>
      </c>
      <c r="H9736" t="s">
        <v>21</v>
      </c>
      <c r="I9736" t="s">
        <v>19228</v>
      </c>
      <c r="J9736" t="str">
        <f>HYPERLINK("https://www.boe.es/gazeta/dias/1823/05/17/pdfs/GES-1823-37.pdf#page=6","Abrir facsímil")</f>
        <v>Abrir facsímil</v>
      </c>
      <c r="K9736" t="s">
        <v>23</v>
      </c>
    </row>
    <row r="9737" spans="1:11" ht="42" customHeight="1">
      <c r="A9737" t="s">
        <v>19229</v>
      </c>
      <c r="B9737" t="s">
        <v>19229</v>
      </c>
      <c r="C9737" t="s">
        <v>17</v>
      </c>
      <c r="D9737" t="s">
        <v>18</v>
      </c>
      <c r="E9737" s="6">
        <v>-27952</v>
      </c>
      <c r="F9737" t="s">
        <v>929</v>
      </c>
      <c r="G9737" t="s">
        <v>27</v>
      </c>
      <c r="H9737" t="s">
        <v>21</v>
      </c>
      <c r="I9737" t="s">
        <v>19230</v>
      </c>
      <c r="J9737" t="str">
        <f>HYPERLINK("https://www.boe.es/gazeta/dias/1823/06/20/pdfs/GES-1823-68.pdf#page=2","Abrir facsímil")</f>
        <v>Abrir facsímil</v>
      </c>
      <c r="K9737" t="s">
        <v>23</v>
      </c>
    </row>
    <row r="9738" spans="1:11" ht="42" customHeight="1">
      <c r="A9738" t="s">
        <v>19231</v>
      </c>
      <c r="B9738" t="s">
        <v>19231</v>
      </c>
      <c r="C9738" t="s">
        <v>79</v>
      </c>
      <c r="D9738" t="s">
        <v>74</v>
      </c>
      <c r="E9738" s="6">
        <v>-28101</v>
      </c>
      <c r="F9738" t="s">
        <v>1041</v>
      </c>
      <c r="G9738" t="s">
        <v>39</v>
      </c>
      <c r="H9738" t="s">
        <v>21</v>
      </c>
      <c r="I9738" t="s">
        <v>19232</v>
      </c>
      <c r="J9738" t="str">
        <f>HYPERLINK("https://www.boe.es/gazeta/dias/1823/01/22/pdfs/GMD-1823-23.pdf#page=1","Abrir facsímil")</f>
        <v>Abrir facsímil</v>
      </c>
      <c r="K9738" t="s">
        <v>23</v>
      </c>
    </row>
    <row r="9739" spans="1:11" ht="42" customHeight="1">
      <c r="A9739" t="s">
        <v>19233</v>
      </c>
      <c r="B9739" t="s">
        <v>19233</v>
      </c>
      <c r="C9739" t="s">
        <v>17</v>
      </c>
      <c r="D9739" t="s">
        <v>18</v>
      </c>
      <c r="E9739" s="6">
        <v>-27895</v>
      </c>
      <c r="F9739" t="s">
        <v>5642</v>
      </c>
      <c r="G9739" t="s">
        <v>39</v>
      </c>
      <c r="H9739" t="s">
        <v>21</v>
      </c>
      <c r="I9739" t="s">
        <v>19234</v>
      </c>
      <c r="J9739" t="str">
        <f>HYPERLINK("https://www.boe.es/gazeta/dias/1823/08/16/pdfs/GMD-1823-603.pdf#page=1","Abrir facsímil")</f>
        <v>Abrir facsímil</v>
      </c>
      <c r="K9739" t="s">
        <v>23</v>
      </c>
    </row>
    <row r="9740" spans="1:11" ht="42" customHeight="1">
      <c r="A9740" t="s">
        <v>19235</v>
      </c>
      <c r="B9740" t="s">
        <v>19236</v>
      </c>
      <c r="C9740" t="s">
        <v>17</v>
      </c>
      <c r="D9740" t="s">
        <v>18</v>
      </c>
      <c r="E9740" s="6">
        <v>-27864</v>
      </c>
      <c r="F9740" t="s">
        <v>395</v>
      </c>
      <c r="G9740" t="s">
        <v>39</v>
      </c>
      <c r="H9740" t="s">
        <v>21</v>
      </c>
      <c r="I9740" t="s">
        <v>19237</v>
      </c>
      <c r="J9740" t="str">
        <f>HYPERLINK("https://www.boe.es/gazeta/dias/1823/09/16/pdfs/GMD-1823-783.pdf#page=1","Abrir facsímil")</f>
        <v>Abrir facsímil</v>
      </c>
      <c r="K9740" t="s">
        <v>23</v>
      </c>
    </row>
    <row r="9741" spans="1:11" ht="42" customHeight="1">
      <c r="A9741" t="s">
        <v>19238</v>
      </c>
      <c r="B9741" t="s">
        <v>19238</v>
      </c>
      <c r="C9741" t="s">
        <v>109</v>
      </c>
      <c r="D9741" t="s">
        <v>74</v>
      </c>
      <c r="E9741" s="6">
        <v>-28058</v>
      </c>
      <c r="F9741" t="s">
        <v>1282</v>
      </c>
      <c r="G9741" t="s">
        <v>48</v>
      </c>
      <c r="H9741" t="s">
        <v>21</v>
      </c>
      <c r="I9741" t="s">
        <v>19239</v>
      </c>
      <c r="J9741" t="str">
        <f>HYPERLINK("https://www.boe.es/gazeta/dias/1823/03/06/pdfs/GMD-1823-69.pdf#page=3","Abrir facsímil")</f>
        <v>Abrir facsímil</v>
      </c>
      <c r="K9741" t="s">
        <v>23</v>
      </c>
    </row>
    <row r="9742" spans="1:11" ht="42" customHeight="1">
      <c r="A9742" t="s">
        <v>19238</v>
      </c>
      <c r="B9742" t="s">
        <v>19238</v>
      </c>
      <c r="C9742" t="s">
        <v>73</v>
      </c>
      <c r="D9742" t="s">
        <v>74</v>
      </c>
      <c r="E9742" s="6">
        <v>-28008</v>
      </c>
      <c r="F9742" t="s">
        <v>309</v>
      </c>
      <c r="G9742" t="s">
        <v>27</v>
      </c>
      <c r="H9742" t="s">
        <v>21</v>
      </c>
      <c r="I9742" t="s">
        <v>19240</v>
      </c>
      <c r="J9742" t="str">
        <f>HYPERLINK("https://www.boe.es/gazeta/dias/1823/04/25/pdfs/GES-1823-15.pdf#page=2","Abrir facsímil")</f>
        <v>Abrir facsímil</v>
      </c>
      <c r="K9742" t="s">
        <v>23</v>
      </c>
    </row>
    <row r="9743" spans="1:11" ht="42" customHeight="1">
      <c r="A9743" t="s">
        <v>19241</v>
      </c>
      <c r="B9743" t="s">
        <v>19242</v>
      </c>
      <c r="C9743" t="s">
        <v>17</v>
      </c>
      <c r="D9743" t="s">
        <v>18</v>
      </c>
      <c r="E9743" s="6">
        <v>-28013</v>
      </c>
      <c r="F9743" t="s">
        <v>2466</v>
      </c>
      <c r="G9743" t="s">
        <v>2467</v>
      </c>
      <c r="H9743" t="s">
        <v>21</v>
      </c>
      <c r="I9743" t="s">
        <v>19243</v>
      </c>
      <c r="J9743" t="str">
        <f>HYPERLINK("https://www.boe.es/gazeta/dias/1823/04/20/pdfs/GES-1823-10.pdf#page=3","Abrir facsímil")</f>
        <v>Abrir facsímil</v>
      </c>
      <c r="K9743" t="s">
        <v>23</v>
      </c>
    </row>
    <row r="9744" spans="1:11" ht="42" customHeight="1">
      <c r="A9744" t="s">
        <v>19244</v>
      </c>
      <c r="B9744" t="s">
        <v>19244</v>
      </c>
      <c r="C9744" t="s">
        <v>79</v>
      </c>
      <c r="D9744" t="s">
        <v>74</v>
      </c>
      <c r="E9744" s="6">
        <v>-28107</v>
      </c>
      <c r="F9744" t="s">
        <v>278</v>
      </c>
      <c r="G9744" t="s">
        <v>39</v>
      </c>
      <c r="H9744" t="s">
        <v>21</v>
      </c>
      <c r="I9744" t="s">
        <v>19245</v>
      </c>
      <c r="J9744" t="str">
        <f>HYPERLINK("https://www.boe.es/gazeta/dias/1823/01/16/pdfs/GMD-1823-16.pdf#page=1","Abrir facsímil")</f>
        <v>Abrir facsímil</v>
      </c>
      <c r="K9744" t="s">
        <v>23</v>
      </c>
    </row>
    <row r="9745" spans="1:11" ht="42" customHeight="1">
      <c r="A9745" t="s">
        <v>19246</v>
      </c>
      <c r="B9745" t="s">
        <v>19247</v>
      </c>
      <c r="C9745" t="s">
        <v>84</v>
      </c>
      <c r="D9745" t="s">
        <v>74</v>
      </c>
      <c r="E9745" s="6">
        <v>-27915</v>
      </c>
      <c r="F9745" t="s">
        <v>524</v>
      </c>
      <c r="G9745" t="s">
        <v>27</v>
      </c>
      <c r="H9745" t="s">
        <v>21</v>
      </c>
      <c r="I9745" t="s">
        <v>19248</v>
      </c>
      <c r="J9745" t="str">
        <f>HYPERLINK("https://www.boe.es/gazeta/dias/1823/07/27/pdfs/GES-1823-108.pdf#page=2","Abrir facsímil")</f>
        <v>Abrir facsímil</v>
      </c>
      <c r="K9745" t="s">
        <v>23</v>
      </c>
    </row>
    <row r="9746" spans="1:11" ht="42" customHeight="1">
      <c r="A9746" t="s">
        <v>19249</v>
      </c>
      <c r="B9746" t="s">
        <v>19250</v>
      </c>
      <c r="C9746" t="s">
        <v>17</v>
      </c>
      <c r="D9746" t="s">
        <v>18</v>
      </c>
      <c r="E9746" s="6">
        <v>-27916</v>
      </c>
      <c r="F9746" t="s">
        <v>772</v>
      </c>
      <c r="G9746" t="s">
        <v>39</v>
      </c>
      <c r="H9746" t="s">
        <v>21</v>
      </c>
      <c r="I9746" t="s">
        <v>19251</v>
      </c>
      <c r="J9746" t="str">
        <f>HYPERLINK("https://www.boe.es/gazeta/dias/1823/07/26/pdfs/GES-1823-107.pdf#page=1","Abrir facsímil")</f>
        <v>Abrir facsímil</v>
      </c>
      <c r="K9746" t="s">
        <v>23</v>
      </c>
    </row>
    <row r="9747" spans="1:11" ht="42" customHeight="1">
      <c r="A9747" t="s">
        <v>19252</v>
      </c>
      <c r="B9747" t="s">
        <v>19253</v>
      </c>
      <c r="C9747" t="s">
        <v>17</v>
      </c>
      <c r="D9747" t="s">
        <v>18</v>
      </c>
      <c r="E9747" s="6">
        <v>-27982</v>
      </c>
      <c r="F9747" t="s">
        <v>340</v>
      </c>
      <c r="G9747" t="s">
        <v>39</v>
      </c>
      <c r="H9747" t="s">
        <v>21</v>
      </c>
      <c r="I9747" t="s">
        <v>19254</v>
      </c>
      <c r="J9747" t="str">
        <f>HYPERLINK("https://www.boe.es/gazeta/dias/1823/05/21/pdfs/GES-1823-42.pdf#page=1","Abrir facsímil")</f>
        <v>Abrir facsímil</v>
      </c>
      <c r="K9747" t="s">
        <v>23</v>
      </c>
    </row>
    <row r="9748" spans="1:11" ht="42" customHeight="1">
      <c r="A9748" t="s">
        <v>19255</v>
      </c>
      <c r="B9748" t="s">
        <v>19256</v>
      </c>
      <c r="C9748" t="s">
        <v>17</v>
      </c>
      <c r="D9748" t="s">
        <v>18</v>
      </c>
      <c r="E9748" s="6">
        <v>-27937</v>
      </c>
      <c r="F9748" t="s">
        <v>730</v>
      </c>
      <c r="G9748" t="s">
        <v>39</v>
      </c>
      <c r="H9748" t="s">
        <v>21</v>
      </c>
      <c r="I9748" t="s">
        <v>19257</v>
      </c>
      <c r="J9748" t="str">
        <f>HYPERLINK("https://www.boe.es/gazeta/dias/1823/07/05/pdfs/GES-1823-85.pdf#page=1","Abrir facsímil")</f>
        <v>Abrir facsímil</v>
      </c>
      <c r="K9748" t="s">
        <v>23</v>
      </c>
    </row>
    <row r="9749" spans="1:11" ht="42" customHeight="1">
      <c r="A9749" t="s">
        <v>19258</v>
      </c>
      <c r="B9749" t="s">
        <v>19259</v>
      </c>
      <c r="C9749" t="s">
        <v>56</v>
      </c>
      <c r="D9749" t="s">
        <v>117</v>
      </c>
      <c r="E9749" s="6">
        <v>-27952</v>
      </c>
      <c r="F9749" t="s">
        <v>1844</v>
      </c>
      <c r="G9749" t="s">
        <v>27</v>
      </c>
      <c r="H9749" t="s">
        <v>21</v>
      </c>
      <c r="I9749" t="s">
        <v>19260</v>
      </c>
      <c r="J9749" t="str">
        <f>HYPERLINK("https://www.boe.es/gazeta/dias/1823/06/20/pdfs/GMD-1823-213E.pdf#page=2","Abrir facsímil")</f>
        <v>Abrir facsímil</v>
      </c>
      <c r="K9749" t="s">
        <v>23</v>
      </c>
    </row>
    <row r="9750" spans="1:11" ht="42" customHeight="1">
      <c r="A9750" t="s">
        <v>19261</v>
      </c>
      <c r="B9750" t="s">
        <v>19262</v>
      </c>
      <c r="C9750" t="s">
        <v>17</v>
      </c>
      <c r="D9750" t="s">
        <v>18</v>
      </c>
      <c r="E9750" s="6">
        <v>-27984</v>
      </c>
      <c r="F9750" t="s">
        <v>335</v>
      </c>
      <c r="G9750" t="s">
        <v>27</v>
      </c>
      <c r="H9750" t="s">
        <v>21</v>
      </c>
      <c r="I9750" t="s">
        <v>19263</v>
      </c>
      <c r="J9750" t="str">
        <f>HYPERLINK("https://www.boe.es/gazeta/dias/1823/05/19/pdfs/GES-1823-39.pdf#page=2","Abrir facsímil")</f>
        <v>Abrir facsímil</v>
      </c>
      <c r="K9750" t="s">
        <v>23</v>
      </c>
    </row>
    <row r="9751" spans="1:11" ht="42" customHeight="1">
      <c r="A9751" t="s">
        <v>19264</v>
      </c>
      <c r="B9751" t="s">
        <v>19265</v>
      </c>
      <c r="C9751" t="s">
        <v>79</v>
      </c>
      <c r="D9751" t="s">
        <v>74</v>
      </c>
      <c r="E9751" s="6">
        <v>-27952</v>
      </c>
      <c r="F9751" t="s">
        <v>929</v>
      </c>
      <c r="G9751" t="s">
        <v>39</v>
      </c>
      <c r="H9751" t="s">
        <v>21</v>
      </c>
      <c r="I9751" t="s">
        <v>19266</v>
      </c>
      <c r="J9751" t="str">
        <f>HYPERLINK("https://www.boe.es/gazeta/dias/1823/06/20/pdfs/GES-1823-68.pdf#page=1","Abrir facsímil")</f>
        <v>Abrir facsímil</v>
      </c>
      <c r="K9751" t="s">
        <v>23</v>
      </c>
    </row>
    <row r="9752" spans="1:11" ht="42" customHeight="1">
      <c r="A9752" t="s">
        <v>19267</v>
      </c>
      <c r="B9752" t="s">
        <v>19268</v>
      </c>
      <c r="C9752" t="s">
        <v>17</v>
      </c>
      <c r="D9752" t="s">
        <v>18</v>
      </c>
      <c r="E9752" s="6">
        <v>-27999</v>
      </c>
      <c r="F9752" t="s">
        <v>97</v>
      </c>
      <c r="G9752" t="s">
        <v>20</v>
      </c>
      <c r="H9752" t="s">
        <v>21</v>
      </c>
      <c r="I9752" t="s">
        <v>19269</v>
      </c>
      <c r="J9752" t="str">
        <f>HYPERLINK("https://www.boe.es/gazeta/dias/1823/05/04/pdfs/GES-1823-24.pdf#page=4","Abrir facsímil")</f>
        <v>Abrir facsímil</v>
      </c>
      <c r="K9752" t="s">
        <v>23</v>
      </c>
    </row>
    <row r="9753" spans="1:11" ht="42" customHeight="1">
      <c r="A9753" t="s">
        <v>19270</v>
      </c>
      <c r="B9753" t="s">
        <v>19271</v>
      </c>
      <c r="C9753" t="s">
        <v>17</v>
      </c>
      <c r="D9753" t="s">
        <v>18</v>
      </c>
      <c r="E9753" s="6">
        <v>-27970</v>
      </c>
      <c r="F9753" t="s">
        <v>1030</v>
      </c>
      <c r="G9753" t="s">
        <v>48</v>
      </c>
      <c r="H9753" t="s">
        <v>21</v>
      </c>
      <c r="I9753" t="s">
        <v>19272</v>
      </c>
      <c r="J9753" t="str">
        <f>HYPERLINK("https://www.boe.es/gazeta/dias/1823/06/02/pdfs/GES-1823-56.pdf#page=3","Abrir facsímil")</f>
        <v>Abrir facsímil</v>
      </c>
      <c r="K9753" t="s">
        <v>23</v>
      </c>
    </row>
    <row r="9754" spans="1:11" ht="42" customHeight="1">
      <c r="A9754" t="s">
        <v>19273</v>
      </c>
      <c r="B9754" t="s">
        <v>19274</v>
      </c>
      <c r="C9754" t="s">
        <v>79</v>
      </c>
      <c r="D9754" t="s">
        <v>74</v>
      </c>
      <c r="E9754" s="6">
        <v>-27911</v>
      </c>
      <c r="F9754" t="s">
        <v>368</v>
      </c>
      <c r="G9754" t="s">
        <v>27</v>
      </c>
      <c r="H9754" t="s">
        <v>21</v>
      </c>
      <c r="I9754" t="s">
        <v>19275</v>
      </c>
      <c r="J9754" t="str">
        <f>HYPERLINK("https://www.boe.es/gazeta/dias/1823/07/31/pdfs/GES-1823-112.pdf#page=2","Abrir facsímil")</f>
        <v>Abrir facsímil</v>
      </c>
      <c r="K9754" t="s">
        <v>23</v>
      </c>
    </row>
    <row r="9755" spans="1:11" ht="42" customHeight="1">
      <c r="A9755" t="s">
        <v>19276</v>
      </c>
      <c r="B9755" t="s">
        <v>19277</v>
      </c>
      <c r="C9755" t="s">
        <v>17</v>
      </c>
      <c r="D9755" t="s">
        <v>18</v>
      </c>
      <c r="E9755" s="6">
        <v>-27977</v>
      </c>
      <c r="F9755" t="s">
        <v>1489</v>
      </c>
      <c r="G9755" t="s">
        <v>1490</v>
      </c>
      <c r="H9755" t="s">
        <v>21</v>
      </c>
      <c r="I9755" t="s">
        <v>19278</v>
      </c>
      <c r="J9755" t="str">
        <f>HYPERLINK("https://www.boe.es/gazeta/dias/1823/05/26/pdfs/GES-1823-47.pdf#page=6","Abrir facsímil")</f>
        <v>Abrir facsímil</v>
      </c>
      <c r="K9755" t="s">
        <v>23</v>
      </c>
    </row>
    <row r="9756" spans="1:11" ht="42" customHeight="1">
      <c r="A9756" t="s">
        <v>19279</v>
      </c>
      <c r="B9756" t="s">
        <v>19280</v>
      </c>
      <c r="C9756" t="s">
        <v>17</v>
      </c>
      <c r="D9756" t="s">
        <v>18</v>
      </c>
      <c r="E9756" s="6">
        <v>-28044</v>
      </c>
      <c r="F9756" t="s">
        <v>1930</v>
      </c>
      <c r="G9756" t="s">
        <v>20</v>
      </c>
      <c r="H9756" t="s">
        <v>21</v>
      </c>
      <c r="I9756" t="s">
        <v>19281</v>
      </c>
      <c r="J9756" t="str">
        <f>HYPERLINK("https://www.boe.es/gazeta/dias/1823/03/20/pdfs/GMD-1823-83.pdf#page=4","Abrir facsímil")</f>
        <v>Abrir facsímil</v>
      </c>
      <c r="K9756" t="s">
        <v>23</v>
      </c>
    </row>
    <row r="9757" spans="1:11" ht="42" customHeight="1">
      <c r="A9757" t="s">
        <v>19282</v>
      </c>
      <c r="B9757" t="s">
        <v>19283</v>
      </c>
      <c r="C9757" t="s">
        <v>79</v>
      </c>
      <c r="D9757" t="s">
        <v>74</v>
      </c>
      <c r="E9757" s="6">
        <v>-28119</v>
      </c>
      <c r="F9757" t="s">
        <v>545</v>
      </c>
      <c r="G9757" t="s">
        <v>59</v>
      </c>
      <c r="H9757" t="s">
        <v>21</v>
      </c>
      <c r="I9757" t="s">
        <v>19284</v>
      </c>
      <c r="J9757" t="str">
        <f>HYPERLINK("https://www.boe.es/gazeta/dias/1823/01/04/pdfs/GMD-1823-4.pdf#page=6","Abrir facsímil")</f>
        <v>Abrir facsímil</v>
      </c>
      <c r="K9757" t="s">
        <v>23</v>
      </c>
    </row>
    <row r="9758" spans="1:11" ht="42" customHeight="1">
      <c r="A9758" t="s">
        <v>19285</v>
      </c>
      <c r="B9758" t="s">
        <v>19286</v>
      </c>
      <c r="C9758" t="s">
        <v>17</v>
      </c>
      <c r="D9758" t="s">
        <v>18</v>
      </c>
      <c r="E9758" s="6">
        <v>-27891</v>
      </c>
      <c r="F9758" t="s">
        <v>825</v>
      </c>
      <c r="G9758" t="s">
        <v>20</v>
      </c>
      <c r="H9758" t="s">
        <v>21</v>
      </c>
      <c r="I9758" t="s">
        <v>19287</v>
      </c>
      <c r="J9758" t="str">
        <f>HYPERLINK("https://www.boe.es/gazeta/dias/1823/08/20/pdfs/GES-1823-133.pdf#page=4","Abrir facsímil")</f>
        <v>Abrir facsímil</v>
      </c>
      <c r="K9758" t="s">
        <v>23</v>
      </c>
    </row>
    <row r="9759" spans="1:11" ht="42" customHeight="1">
      <c r="A9759" t="s">
        <v>19288</v>
      </c>
      <c r="B9759" t="s">
        <v>19289</v>
      </c>
      <c r="C9759" t="s">
        <v>17</v>
      </c>
      <c r="D9759" t="s">
        <v>18</v>
      </c>
      <c r="E9759" s="6">
        <v>-27888</v>
      </c>
      <c r="F9759" t="s">
        <v>232</v>
      </c>
      <c r="G9759" t="s">
        <v>59</v>
      </c>
      <c r="H9759" t="s">
        <v>28</v>
      </c>
      <c r="I9759" t="s">
        <v>19290</v>
      </c>
      <c r="J9759" t="str">
        <f>HYPERLINK("https://www.boe.es/gazeta/dias/1823/08/23/pdfs/GMD-1823-633.pdf#page=6","Abrir facsímil")</f>
        <v>Abrir facsímil</v>
      </c>
      <c r="K9759" t="s">
        <v>30</v>
      </c>
    </row>
    <row r="9760" spans="1:11" ht="42" customHeight="1">
      <c r="A9760" t="s">
        <v>19291</v>
      </c>
      <c r="B9760" t="s">
        <v>19292</v>
      </c>
      <c r="C9760" t="s">
        <v>109</v>
      </c>
      <c r="D9760" t="s">
        <v>74</v>
      </c>
      <c r="E9760" s="6">
        <v>-28118</v>
      </c>
      <c r="F9760" t="s">
        <v>252</v>
      </c>
      <c r="G9760" t="s">
        <v>59</v>
      </c>
      <c r="H9760" t="s">
        <v>21</v>
      </c>
      <c r="I9760" t="s">
        <v>19293</v>
      </c>
      <c r="J9760" t="str">
        <f>HYPERLINK("https://www.boe.es/gazeta/dias/1823/01/05/pdfs/GMD-1823-5.pdf#page=6","Abrir facsímil")</f>
        <v>Abrir facsímil</v>
      </c>
      <c r="K9760" t="s">
        <v>23</v>
      </c>
    </row>
    <row r="9761" spans="1:11" ht="42" customHeight="1">
      <c r="A9761" t="s">
        <v>19294</v>
      </c>
      <c r="B9761" t="s">
        <v>19295</v>
      </c>
      <c r="C9761" t="s">
        <v>17</v>
      </c>
      <c r="D9761" t="s">
        <v>18</v>
      </c>
      <c r="E9761" s="6">
        <v>-27922</v>
      </c>
      <c r="F9761" t="s">
        <v>1959</v>
      </c>
      <c r="G9761" t="s">
        <v>48</v>
      </c>
      <c r="H9761" t="s">
        <v>21</v>
      </c>
      <c r="I9761" t="s">
        <v>19296</v>
      </c>
      <c r="J9761" t="str">
        <f>HYPERLINK("https://www.boe.es/gazeta/dias/1823/07/20/pdfs/GES-1823-101.pdf#page=3","Abrir facsímil")</f>
        <v>Abrir facsímil</v>
      </c>
      <c r="K9761" t="s">
        <v>23</v>
      </c>
    </row>
    <row r="9762" spans="1:11" ht="42" customHeight="1">
      <c r="A9762" t="s">
        <v>19297</v>
      </c>
      <c r="B9762" t="s">
        <v>19298</v>
      </c>
      <c r="C9762" t="s">
        <v>56</v>
      </c>
      <c r="D9762" t="s">
        <v>57</v>
      </c>
      <c r="E9762" s="6">
        <v>-27999</v>
      </c>
      <c r="F9762" t="s">
        <v>97</v>
      </c>
      <c r="G9762" t="s">
        <v>20</v>
      </c>
      <c r="H9762" t="s">
        <v>21</v>
      </c>
      <c r="I9762" t="s">
        <v>19299</v>
      </c>
      <c r="J9762" t="str">
        <f>HYPERLINK("https://www.boe.es/gazeta/dias/1823/05/04/pdfs/GES-1823-24.pdf#page=4","Abrir facsímil")</f>
        <v>Abrir facsímil</v>
      </c>
      <c r="K9762" t="s">
        <v>23</v>
      </c>
    </row>
    <row r="9763" spans="1:11" ht="42" customHeight="1">
      <c r="A9763" t="s">
        <v>19300</v>
      </c>
      <c r="B9763" t="s">
        <v>19301</v>
      </c>
      <c r="C9763" t="s">
        <v>17</v>
      </c>
      <c r="D9763" t="s">
        <v>18</v>
      </c>
      <c r="E9763" s="6">
        <v>-28003</v>
      </c>
      <c r="F9763" t="s">
        <v>26</v>
      </c>
      <c r="G9763" t="s">
        <v>27</v>
      </c>
      <c r="H9763" t="s">
        <v>21</v>
      </c>
      <c r="I9763" t="s">
        <v>19302</v>
      </c>
      <c r="J9763" t="str">
        <f>HYPERLINK("https://www.boe.es/gazeta/dias/1823/04/30/pdfs/GES-1823-20.pdf#page=2","Abrir facsímil")</f>
        <v>Abrir facsímil</v>
      </c>
      <c r="K9763" t="s">
        <v>23</v>
      </c>
    </row>
    <row r="9764" spans="1:11" ht="42" customHeight="1">
      <c r="A9764" t="s">
        <v>19303</v>
      </c>
      <c r="B9764" t="s">
        <v>19304</v>
      </c>
      <c r="C9764" t="s">
        <v>17</v>
      </c>
      <c r="D9764" t="s">
        <v>18</v>
      </c>
      <c r="E9764" s="6">
        <v>-28056</v>
      </c>
      <c r="F9764" t="s">
        <v>572</v>
      </c>
      <c r="G9764" t="s">
        <v>20</v>
      </c>
      <c r="H9764" t="s">
        <v>21</v>
      </c>
      <c r="I9764" t="s">
        <v>19305</v>
      </c>
      <c r="J9764" t="str">
        <f>HYPERLINK("https://www.boe.es/gazeta/dias/1823/03/08/pdfs/GMD-1823-71.pdf#page=4","Abrir facsímil")</f>
        <v>Abrir facsímil</v>
      </c>
      <c r="K9764" t="s">
        <v>23</v>
      </c>
    </row>
    <row r="9765" spans="1:11" ht="42" customHeight="1">
      <c r="A9765" t="s">
        <v>19306</v>
      </c>
      <c r="B9765" t="s">
        <v>19307</v>
      </c>
      <c r="C9765" t="s">
        <v>84</v>
      </c>
      <c r="D9765" t="s">
        <v>74</v>
      </c>
      <c r="E9765" s="6">
        <v>-27951</v>
      </c>
      <c r="F9765" t="s">
        <v>548</v>
      </c>
      <c r="G9765" t="s">
        <v>27</v>
      </c>
      <c r="H9765" t="s">
        <v>21</v>
      </c>
      <c r="I9765" t="s">
        <v>19308</v>
      </c>
      <c r="J9765" t="str">
        <f>HYPERLINK("https://www.boe.es/gazeta/dias/1823/06/21/pdfs/GES-1823-69.pdf#page=2","Abrir facsímil")</f>
        <v>Abrir facsímil</v>
      </c>
      <c r="K9765" t="s">
        <v>23</v>
      </c>
    </row>
    <row r="9766" spans="1:11" ht="42" customHeight="1">
      <c r="A9766" t="s">
        <v>19309</v>
      </c>
      <c r="B9766" t="s">
        <v>19310</v>
      </c>
      <c r="C9766" t="s">
        <v>17</v>
      </c>
      <c r="D9766" t="s">
        <v>18</v>
      </c>
      <c r="E9766" s="6">
        <v>-28077</v>
      </c>
      <c r="F9766" t="s">
        <v>536</v>
      </c>
      <c r="G9766" t="s">
        <v>59</v>
      </c>
      <c r="H9766" t="s">
        <v>28</v>
      </c>
      <c r="I9766" t="s">
        <v>19311</v>
      </c>
      <c r="J9766" t="str">
        <f>HYPERLINK("https://www.boe.es/gazeta/dias/1823/02/15/pdfs/GMD-1823-49.pdf#page=6","Abrir facsímil")</f>
        <v>Abrir facsímil</v>
      </c>
      <c r="K9766" t="s">
        <v>30</v>
      </c>
    </row>
    <row r="9767" spans="1:11" ht="42" customHeight="1">
      <c r="A9767" t="s">
        <v>19312</v>
      </c>
      <c r="B9767" t="s">
        <v>19313</v>
      </c>
      <c r="C9767" t="s">
        <v>17</v>
      </c>
      <c r="D9767" t="s">
        <v>18</v>
      </c>
      <c r="E9767" s="6">
        <v>-27949</v>
      </c>
      <c r="F9767" t="s">
        <v>1162</v>
      </c>
      <c r="G9767" t="s">
        <v>20</v>
      </c>
      <c r="H9767" t="s">
        <v>21</v>
      </c>
      <c r="I9767" t="s">
        <v>19314</v>
      </c>
      <c r="J9767" t="str">
        <f>HYPERLINK("https://www.boe.es/gazeta/dias/1823/06/23/pdfs/GES-1823-71.pdf#page=4","Abrir facsímil")</f>
        <v>Abrir facsímil</v>
      </c>
      <c r="K9767" t="s">
        <v>23</v>
      </c>
    </row>
    <row r="9768" spans="1:11" ht="42" customHeight="1">
      <c r="A9768" t="s">
        <v>19315</v>
      </c>
      <c r="B9768" t="s">
        <v>19315</v>
      </c>
      <c r="C9768" t="s">
        <v>17</v>
      </c>
      <c r="D9768" t="s">
        <v>18</v>
      </c>
      <c r="E9768" s="6">
        <v>-28122</v>
      </c>
      <c r="F9768" t="s">
        <v>269</v>
      </c>
      <c r="G9768" t="s">
        <v>48</v>
      </c>
      <c r="H9768" t="s">
        <v>21</v>
      </c>
      <c r="I9768" t="s">
        <v>19316</v>
      </c>
      <c r="J9768" t="str">
        <f>HYPERLINK("https://www.boe.es/gazeta/dias/1823/01/01/pdfs/GMD-1823-1.pdf#page=3","Abrir facsímil")</f>
        <v>Abrir facsímil</v>
      </c>
      <c r="K9768" t="s">
        <v>23</v>
      </c>
    </row>
    <row r="9769" spans="1:11" ht="42" customHeight="1">
      <c r="A9769" t="s">
        <v>19317</v>
      </c>
      <c r="B9769" t="s">
        <v>19317</v>
      </c>
      <c r="C9769" t="s">
        <v>17</v>
      </c>
      <c r="D9769" t="s">
        <v>18</v>
      </c>
      <c r="E9769" s="6">
        <v>-28076</v>
      </c>
      <c r="F9769" t="s">
        <v>1638</v>
      </c>
      <c r="G9769" t="s">
        <v>59</v>
      </c>
      <c r="H9769" t="s">
        <v>21</v>
      </c>
      <c r="I9769" t="s">
        <v>19318</v>
      </c>
      <c r="J9769" t="str">
        <f>HYPERLINK("https://www.boe.es/gazeta/dias/1823/02/16/pdfs/GMD-1823-50.pdf#page=6","Abrir facsímil")</f>
        <v>Abrir facsímil</v>
      </c>
      <c r="K9769" t="s">
        <v>23</v>
      </c>
    </row>
    <row r="9770" spans="1:11" ht="42" customHeight="1">
      <c r="A9770" t="s">
        <v>19319</v>
      </c>
      <c r="B9770" t="s">
        <v>19319</v>
      </c>
      <c r="C9770" t="s">
        <v>56</v>
      </c>
      <c r="D9770" t="s">
        <v>57</v>
      </c>
      <c r="E9770" s="6">
        <v>-27949</v>
      </c>
      <c r="F9770" t="s">
        <v>1162</v>
      </c>
      <c r="G9770" t="s">
        <v>48</v>
      </c>
      <c r="H9770" t="s">
        <v>21</v>
      </c>
      <c r="I9770" t="s">
        <v>19320</v>
      </c>
      <c r="J9770" t="str">
        <f>HYPERLINK("https://www.boe.es/gazeta/dias/1823/06/23/pdfs/GES-1823-71.pdf#page=3","Abrir facsímil")</f>
        <v>Abrir facsímil</v>
      </c>
      <c r="K9770" t="s">
        <v>23</v>
      </c>
    </row>
    <row r="9771" spans="1:11" ht="42" customHeight="1">
      <c r="A9771" t="s">
        <v>19321</v>
      </c>
      <c r="B9771" t="s">
        <v>19321</v>
      </c>
      <c r="C9771" t="s">
        <v>109</v>
      </c>
      <c r="D9771" t="s">
        <v>74</v>
      </c>
      <c r="E9771" s="6">
        <v>-27995</v>
      </c>
      <c r="F9771" t="s">
        <v>326</v>
      </c>
      <c r="G9771" t="s">
        <v>39</v>
      </c>
      <c r="H9771" t="s">
        <v>21</v>
      </c>
      <c r="I9771" t="s">
        <v>19322</v>
      </c>
      <c r="J9771" t="str">
        <f>HYPERLINK("https://www.boe.es/gazeta/dias/1823/05/08/pdfs/GMD-1823-112.pdf#page=1","Abrir facsímil")</f>
        <v>Abrir facsímil</v>
      </c>
      <c r="K9771" t="s">
        <v>23</v>
      </c>
    </row>
    <row r="9772" spans="1:11" ht="42" customHeight="1">
      <c r="A9772" t="s">
        <v>19323</v>
      </c>
      <c r="B9772" t="s">
        <v>19324</v>
      </c>
      <c r="C9772" t="s">
        <v>17</v>
      </c>
      <c r="D9772" t="s">
        <v>18</v>
      </c>
      <c r="E9772" s="6">
        <v>-27884</v>
      </c>
      <c r="F9772" t="s">
        <v>61</v>
      </c>
      <c r="G9772" t="s">
        <v>48</v>
      </c>
      <c r="H9772" t="s">
        <v>21</v>
      </c>
      <c r="I9772" t="s">
        <v>19325</v>
      </c>
      <c r="J9772" t="str">
        <f>HYPERLINK("https://www.boe.es/gazeta/dias/1823/08/27/pdfs/GES-1823-140.pdf#page=3","Abrir facsímil")</f>
        <v>Abrir facsímil</v>
      </c>
      <c r="K9772" t="s">
        <v>23</v>
      </c>
    </row>
    <row r="9773" spans="1:11" ht="42" customHeight="1">
      <c r="A9773" t="s">
        <v>19326</v>
      </c>
      <c r="B9773" t="s">
        <v>19327</v>
      </c>
      <c r="C9773" t="s">
        <v>79</v>
      </c>
      <c r="D9773" t="s">
        <v>74</v>
      </c>
      <c r="E9773" s="6">
        <v>-27862</v>
      </c>
      <c r="F9773" t="s">
        <v>1530</v>
      </c>
      <c r="G9773" t="s">
        <v>20</v>
      </c>
      <c r="H9773" t="s">
        <v>21</v>
      </c>
      <c r="I9773" t="s">
        <v>19328</v>
      </c>
      <c r="J9773" t="str">
        <f>HYPERLINK("https://www.boe.es/gazeta/dias/1823/09/18/pdfs/GMD-1823-803.pdf#page=4","Abrir facsímil")</f>
        <v>Abrir facsímil</v>
      </c>
      <c r="K9773" t="s">
        <v>23</v>
      </c>
    </row>
    <row r="9774" spans="1:11" ht="42" customHeight="1">
      <c r="A9774" t="s">
        <v>19329</v>
      </c>
      <c r="B9774" t="s">
        <v>19329</v>
      </c>
      <c r="C9774" t="s">
        <v>325</v>
      </c>
      <c r="D9774" t="s">
        <v>74</v>
      </c>
      <c r="E9774" s="6">
        <v>-27995</v>
      </c>
      <c r="F9774" t="s">
        <v>326</v>
      </c>
      <c r="G9774" t="s">
        <v>27</v>
      </c>
      <c r="H9774" t="s">
        <v>21</v>
      </c>
      <c r="I9774" t="s">
        <v>19330</v>
      </c>
      <c r="J9774" t="str">
        <f>HYPERLINK("https://www.boe.es/gazeta/dias/1823/05/08/pdfs/GMD-1823-112.pdf#page=2","Abrir facsímil")</f>
        <v>Abrir facsímil</v>
      </c>
      <c r="K9774" t="s">
        <v>23</v>
      </c>
    </row>
    <row r="9775" spans="1:11" ht="42" customHeight="1">
      <c r="A9775" t="s">
        <v>19331</v>
      </c>
      <c r="B9775" t="s">
        <v>19331</v>
      </c>
      <c r="C9775" t="s">
        <v>56</v>
      </c>
      <c r="D9775" t="s">
        <v>57</v>
      </c>
      <c r="E9775" s="6">
        <v>-28041</v>
      </c>
      <c r="F9775" t="s">
        <v>873</v>
      </c>
      <c r="G9775" t="s">
        <v>366</v>
      </c>
      <c r="H9775" t="s">
        <v>21</v>
      </c>
      <c r="I9775" t="s">
        <v>19332</v>
      </c>
      <c r="J9775" t="str">
        <f>HYPERLINK("https://www.boe.es/gazeta/dias/1823/03/23/pdfs/GMD-1823-86.pdf#page=4","Abrir facsímil")</f>
        <v>Abrir facsímil</v>
      </c>
      <c r="K9775" t="s">
        <v>23</v>
      </c>
    </row>
    <row r="9776" spans="1:11" ht="42" customHeight="1">
      <c r="A9776" t="s">
        <v>19333</v>
      </c>
      <c r="B9776" t="s">
        <v>19333</v>
      </c>
      <c r="C9776" t="s">
        <v>17</v>
      </c>
      <c r="D9776" t="s">
        <v>18</v>
      </c>
      <c r="E9776" s="6">
        <v>-27988</v>
      </c>
      <c r="F9776" t="s">
        <v>2022</v>
      </c>
      <c r="G9776" t="s">
        <v>48</v>
      </c>
      <c r="H9776" t="s">
        <v>21</v>
      </c>
      <c r="I9776" t="s">
        <v>19334</v>
      </c>
      <c r="J9776" t="str">
        <f>HYPERLINK("https://www.boe.es/gazeta/dias/1823/05/15/pdfs/GMD-1823-142.pdf#page=3","Abrir facsímil")</f>
        <v>Abrir facsímil</v>
      </c>
      <c r="K9776" t="s">
        <v>23</v>
      </c>
    </row>
    <row r="9777" spans="1:11" ht="42" customHeight="1">
      <c r="A9777" t="s">
        <v>19333</v>
      </c>
      <c r="B9777" t="s">
        <v>19333</v>
      </c>
      <c r="C9777" t="s">
        <v>17</v>
      </c>
      <c r="D9777" t="s">
        <v>18</v>
      </c>
      <c r="E9777" s="6">
        <v>-27928</v>
      </c>
      <c r="F9777" t="s">
        <v>1316</v>
      </c>
      <c r="G9777" t="s">
        <v>3173</v>
      </c>
      <c r="H9777" t="s">
        <v>21</v>
      </c>
      <c r="I9777" t="s">
        <v>19335</v>
      </c>
      <c r="J9777" t="str">
        <f>HYPERLINK("https://www.boe.es/gazeta/dias/1823/07/14/pdfs/GES-1823-94.pdf#page=1","Abrir facsímil")</f>
        <v>Abrir facsímil</v>
      </c>
      <c r="K9777" t="s">
        <v>23</v>
      </c>
    </row>
    <row r="9778" spans="1:11" ht="42" customHeight="1">
      <c r="A9778" t="s">
        <v>19333</v>
      </c>
      <c r="B9778" t="s">
        <v>19333</v>
      </c>
      <c r="C9778" t="s">
        <v>17</v>
      </c>
      <c r="D9778" t="s">
        <v>18</v>
      </c>
      <c r="E9778" s="6">
        <v>-27927</v>
      </c>
      <c r="F9778" t="s">
        <v>1426</v>
      </c>
      <c r="G9778" t="s">
        <v>39</v>
      </c>
      <c r="H9778" t="s">
        <v>21</v>
      </c>
      <c r="I9778" t="s">
        <v>19336</v>
      </c>
      <c r="J9778" t="str">
        <f>HYPERLINK("https://www.boe.es/gazeta/dias/1823/07/15/pdfs/GES-1823-95.pdf#page=1","Abrir facsímil")</f>
        <v>Abrir facsímil</v>
      </c>
      <c r="K9778" t="s">
        <v>23</v>
      </c>
    </row>
    <row r="9779" spans="1:11" ht="42" customHeight="1">
      <c r="A9779" t="s">
        <v>19333</v>
      </c>
      <c r="B9779" t="s">
        <v>19333</v>
      </c>
      <c r="C9779" t="s">
        <v>17</v>
      </c>
      <c r="D9779" t="s">
        <v>18</v>
      </c>
      <c r="E9779" s="6">
        <v>-27906</v>
      </c>
      <c r="F9779" t="s">
        <v>241</v>
      </c>
      <c r="G9779" t="s">
        <v>48</v>
      </c>
      <c r="H9779" t="s">
        <v>21</v>
      </c>
      <c r="I9779" t="s">
        <v>19337</v>
      </c>
      <c r="J9779" t="str">
        <f>HYPERLINK("https://www.boe.es/gazeta/dias/1823/08/05/pdfs/GES-1823-117.pdf#page=3","Abrir facsímil")</f>
        <v>Abrir facsímil</v>
      </c>
      <c r="K9779" t="s">
        <v>23</v>
      </c>
    </row>
    <row r="9780" spans="1:11" ht="42" customHeight="1">
      <c r="A9780" t="s">
        <v>19333</v>
      </c>
      <c r="B9780" t="s">
        <v>19333</v>
      </c>
      <c r="C9780" t="s">
        <v>17</v>
      </c>
      <c r="D9780" t="s">
        <v>18</v>
      </c>
      <c r="E9780" s="6">
        <v>-27882</v>
      </c>
      <c r="F9780" t="s">
        <v>5179</v>
      </c>
      <c r="G9780" t="s">
        <v>20</v>
      </c>
      <c r="H9780" t="s">
        <v>21</v>
      </c>
      <c r="I9780" t="s">
        <v>19338</v>
      </c>
      <c r="J9780" t="str">
        <f>HYPERLINK("https://www.boe.es/gazeta/dias/1823/08/29/pdfs/GES-1823-142.pdf#page=4","Abrir facsímil")</f>
        <v>Abrir facsímil</v>
      </c>
      <c r="K9780" t="s">
        <v>23</v>
      </c>
    </row>
    <row r="9781" spans="1:11" ht="42" customHeight="1">
      <c r="A9781" t="s">
        <v>19333</v>
      </c>
      <c r="B9781" t="s">
        <v>19333</v>
      </c>
      <c r="C9781" t="s">
        <v>56</v>
      </c>
      <c r="D9781" t="s">
        <v>117</v>
      </c>
      <c r="E9781" s="6">
        <v>-27863</v>
      </c>
      <c r="F9781" t="s">
        <v>19339</v>
      </c>
      <c r="G9781" t="s">
        <v>39</v>
      </c>
      <c r="H9781" t="s">
        <v>21</v>
      </c>
      <c r="I9781" t="s">
        <v>19340</v>
      </c>
      <c r="J9781" t="str">
        <f>HYPERLINK("https://www.boe.es/gazeta/dias/1823/09/17/pdfs/GMD-1823-793E.pdf#page=1","Abrir facsímil")</f>
        <v>Abrir facsímil</v>
      </c>
      <c r="K9781" t="s">
        <v>23</v>
      </c>
    </row>
    <row r="9782" spans="1:11" ht="42" customHeight="1">
      <c r="A9782" t="s">
        <v>19333</v>
      </c>
      <c r="B9782" t="s">
        <v>19333</v>
      </c>
      <c r="C9782" t="s">
        <v>17</v>
      </c>
      <c r="D9782" t="s">
        <v>117</v>
      </c>
      <c r="E9782" s="6">
        <v>-27845</v>
      </c>
      <c r="F9782" t="s">
        <v>1590</v>
      </c>
      <c r="G9782" t="s">
        <v>39</v>
      </c>
      <c r="H9782" t="s">
        <v>21</v>
      </c>
      <c r="I9782" t="s">
        <v>19341</v>
      </c>
      <c r="J9782" t="str">
        <f>HYPERLINK("https://www.boe.es/gazeta/dias/1823/10/05/pdfs/GMD-1823-923E.pdf#page=1","Abrir facsímil")</f>
        <v>Abrir facsímil</v>
      </c>
      <c r="K9782" t="s">
        <v>23</v>
      </c>
    </row>
    <row r="9783" spans="1:11" ht="42" customHeight="1">
      <c r="A9783" t="s">
        <v>19333</v>
      </c>
      <c r="B9783" t="s">
        <v>19333</v>
      </c>
      <c r="C9783" t="s">
        <v>17</v>
      </c>
      <c r="D9783" t="s">
        <v>18</v>
      </c>
      <c r="E9783" s="6">
        <v>-27843</v>
      </c>
      <c r="F9783" t="s">
        <v>790</v>
      </c>
      <c r="G9783" t="s">
        <v>39</v>
      </c>
      <c r="H9783" t="s">
        <v>21</v>
      </c>
      <c r="I9783" t="s">
        <v>19342</v>
      </c>
      <c r="J9783" t="str">
        <f>HYPERLINK("https://www.boe.es/gazeta/dias/1823/10/07/pdfs/GMD-1823-933.pdf#page=1","Abrir facsímil")</f>
        <v>Abrir facsímil</v>
      </c>
      <c r="K9783" t="s">
        <v>23</v>
      </c>
    </row>
    <row r="9784" spans="1:11" ht="42" customHeight="1">
      <c r="A9784" t="s">
        <v>19333</v>
      </c>
      <c r="B9784" t="s">
        <v>19333</v>
      </c>
      <c r="C9784" t="s">
        <v>56</v>
      </c>
      <c r="D9784" t="s">
        <v>57</v>
      </c>
      <c r="E9784" s="6">
        <v>-27815</v>
      </c>
      <c r="F9784" t="s">
        <v>1266</v>
      </c>
      <c r="G9784" t="s">
        <v>39</v>
      </c>
      <c r="H9784" t="s">
        <v>21</v>
      </c>
      <c r="I9784" t="s">
        <v>19343</v>
      </c>
      <c r="J9784" t="str">
        <f>HYPERLINK("https://www.boe.es/gazeta/dias/1823/11/04/pdfs/GMD-1823-1063.pdf#page=1","Abrir facsímil")</f>
        <v>Abrir facsímil</v>
      </c>
      <c r="K9784" t="s">
        <v>23</v>
      </c>
    </row>
    <row r="9785" spans="1:11" ht="42" customHeight="1">
      <c r="A9785" t="s">
        <v>19333</v>
      </c>
      <c r="B9785" t="s">
        <v>19333</v>
      </c>
      <c r="C9785" t="s">
        <v>17</v>
      </c>
      <c r="D9785" t="s">
        <v>117</v>
      </c>
      <c r="E9785" s="6">
        <v>-27811</v>
      </c>
      <c r="F9785" t="s">
        <v>3590</v>
      </c>
      <c r="G9785" t="s">
        <v>39</v>
      </c>
      <c r="H9785" t="s">
        <v>21</v>
      </c>
      <c r="I9785" t="s">
        <v>19344</v>
      </c>
      <c r="J9785" t="str">
        <f>HYPERLINK("https://www.boe.es/gazeta/dias/1823/11/08/pdfs/GMD-1823-1093E.pdf#page=1","Abrir facsímil")</f>
        <v>Abrir facsímil</v>
      </c>
      <c r="K9785" t="s">
        <v>23</v>
      </c>
    </row>
    <row r="9786" spans="1:11" ht="42" customHeight="1">
      <c r="A9786" t="s">
        <v>19333</v>
      </c>
      <c r="B9786" t="s">
        <v>19333</v>
      </c>
      <c r="C9786" t="s">
        <v>17</v>
      </c>
      <c r="D9786" t="s">
        <v>18</v>
      </c>
      <c r="E9786" s="6">
        <v>-27792</v>
      </c>
      <c r="F9786" t="s">
        <v>611</v>
      </c>
      <c r="G9786" t="s">
        <v>39</v>
      </c>
      <c r="H9786" t="s">
        <v>21</v>
      </c>
      <c r="I9786" t="s">
        <v>19345</v>
      </c>
      <c r="J9786" t="str">
        <f>HYPERLINK("https://www.boe.es/gazeta/dias/1823/11/27/pdfs/GMD-1823-1173.pdf#page=1","Abrir facsímil")</f>
        <v>Abrir facsímil</v>
      </c>
      <c r="K9786" t="s">
        <v>23</v>
      </c>
    </row>
    <row r="9787" spans="1:11" ht="42" customHeight="1">
      <c r="A9787" t="s">
        <v>19346</v>
      </c>
      <c r="B9787" t="s">
        <v>19346</v>
      </c>
      <c r="C9787" t="s">
        <v>56</v>
      </c>
      <c r="D9787" t="s">
        <v>57</v>
      </c>
      <c r="E9787" s="6">
        <v>-27995</v>
      </c>
      <c r="F9787" t="s">
        <v>326</v>
      </c>
      <c r="G9787" t="s">
        <v>27</v>
      </c>
      <c r="H9787" t="s">
        <v>21</v>
      </c>
      <c r="I9787" t="s">
        <v>19347</v>
      </c>
      <c r="J9787" t="str">
        <f>HYPERLINK("https://www.boe.es/gazeta/dias/1823/05/08/pdfs/GMD-1823-112.pdf#page=2","Abrir facsímil")</f>
        <v>Abrir facsímil</v>
      </c>
      <c r="K9787" t="s">
        <v>23</v>
      </c>
    </row>
    <row r="9788" spans="1:11" ht="42" customHeight="1">
      <c r="A9788" t="s">
        <v>19348</v>
      </c>
      <c r="B9788" t="s">
        <v>19349</v>
      </c>
      <c r="C9788" t="s">
        <v>17</v>
      </c>
      <c r="D9788" t="s">
        <v>18</v>
      </c>
      <c r="E9788" s="6">
        <v>-27964</v>
      </c>
      <c r="F9788" t="s">
        <v>58</v>
      </c>
      <c r="G9788" t="s">
        <v>34</v>
      </c>
      <c r="H9788" t="s">
        <v>21</v>
      </c>
      <c r="I9788" t="s">
        <v>19350</v>
      </c>
      <c r="J9788" t="str">
        <f>HYPERLINK("https://www.boe.es/gazeta/dias/1823/06/08/pdfs/GES-1823-62.pdf#page=5","Abrir facsímil")</f>
        <v>Abrir facsímil</v>
      </c>
      <c r="K9788" t="s">
        <v>23</v>
      </c>
    </row>
    <row r="9789" spans="1:11" ht="42" customHeight="1">
      <c r="A9789" t="s">
        <v>19351</v>
      </c>
      <c r="B9789" t="s">
        <v>19352</v>
      </c>
      <c r="C9789" t="s">
        <v>17</v>
      </c>
      <c r="D9789" t="s">
        <v>18</v>
      </c>
      <c r="E9789" s="6">
        <v>-27970</v>
      </c>
      <c r="F9789" t="s">
        <v>1030</v>
      </c>
      <c r="G9789" t="s">
        <v>20</v>
      </c>
      <c r="H9789" t="s">
        <v>21</v>
      </c>
      <c r="I9789" t="s">
        <v>19353</v>
      </c>
      <c r="J9789" t="str">
        <f>HYPERLINK("https://www.boe.es/gazeta/dias/1823/06/02/pdfs/GES-1823-56.pdf#page=4","Abrir facsímil")</f>
        <v>Abrir facsímil</v>
      </c>
      <c r="K9789" t="s">
        <v>23</v>
      </c>
    </row>
    <row r="9790" spans="1:11" ht="42" customHeight="1">
      <c r="A9790" t="s">
        <v>19354</v>
      </c>
      <c r="B9790" t="s">
        <v>19355</v>
      </c>
      <c r="C9790" t="s">
        <v>17</v>
      </c>
      <c r="D9790" t="s">
        <v>18</v>
      </c>
      <c r="E9790" s="6">
        <v>-27939</v>
      </c>
      <c r="F9790" t="s">
        <v>1403</v>
      </c>
      <c r="G9790" t="s">
        <v>715</v>
      </c>
      <c r="H9790" t="s">
        <v>21</v>
      </c>
      <c r="I9790" t="s">
        <v>19356</v>
      </c>
      <c r="J9790" t="str">
        <f>HYPERLINK("https://www.boe.es/gazeta/dias/1823/07/03/pdfs/GMD-1823-333.pdf#page=8","Abrir facsímil")</f>
        <v>Abrir facsímil</v>
      </c>
      <c r="K9790" t="s">
        <v>23</v>
      </c>
    </row>
    <row r="9791" spans="1:11" ht="42" customHeight="1">
      <c r="A9791" t="s">
        <v>19357</v>
      </c>
      <c r="B9791" t="s">
        <v>19357</v>
      </c>
      <c r="C9791" t="s">
        <v>56</v>
      </c>
      <c r="D9791" t="s">
        <v>57</v>
      </c>
      <c r="E9791" s="6">
        <v>-28041</v>
      </c>
      <c r="F9791" t="s">
        <v>873</v>
      </c>
      <c r="G9791" t="s">
        <v>366</v>
      </c>
      <c r="H9791" t="s">
        <v>21</v>
      </c>
      <c r="I9791" t="s">
        <v>19358</v>
      </c>
      <c r="J9791" t="str">
        <f>HYPERLINK("https://www.boe.es/gazeta/dias/1823/03/23/pdfs/GMD-1823-86.pdf#page=4","Abrir facsímil")</f>
        <v>Abrir facsímil</v>
      </c>
      <c r="K9791" t="s">
        <v>23</v>
      </c>
    </row>
    <row r="9792" spans="1:11" ht="42" customHeight="1">
      <c r="A9792" t="s">
        <v>19359</v>
      </c>
      <c r="B9792" t="s">
        <v>19360</v>
      </c>
      <c r="C9792" t="s">
        <v>56</v>
      </c>
      <c r="D9792" t="s">
        <v>117</v>
      </c>
      <c r="E9792" s="6">
        <v>-27962</v>
      </c>
      <c r="F9792" t="s">
        <v>16905</v>
      </c>
      <c r="G9792" t="s">
        <v>39</v>
      </c>
      <c r="H9792" t="s">
        <v>21</v>
      </c>
      <c r="I9792" t="s">
        <v>19361</v>
      </c>
      <c r="J9792" t="str">
        <f>HYPERLINK("https://www.boe.es/gazeta/dias/1823/06/10/pdfs/GMD-1823-113E.pdf#page=1","Abrir facsímil")</f>
        <v>Abrir facsímil</v>
      </c>
      <c r="K9792" t="s">
        <v>23</v>
      </c>
    </row>
    <row r="9793" spans="1:11" ht="42" customHeight="1">
      <c r="A9793" t="s">
        <v>19359</v>
      </c>
      <c r="B9793" t="s">
        <v>19360</v>
      </c>
      <c r="C9793" t="s">
        <v>56</v>
      </c>
      <c r="D9793" t="s">
        <v>57</v>
      </c>
      <c r="E9793" s="6">
        <v>-27864</v>
      </c>
      <c r="F9793" t="s">
        <v>395</v>
      </c>
      <c r="G9793" t="s">
        <v>20</v>
      </c>
      <c r="H9793" t="s">
        <v>21</v>
      </c>
      <c r="I9793" t="s">
        <v>19362</v>
      </c>
      <c r="J9793" t="str">
        <f>HYPERLINK("https://www.boe.es/gazeta/dias/1823/09/16/pdfs/GMD-1823-783.pdf#page=4","Abrir facsímil")</f>
        <v>Abrir facsímil</v>
      </c>
      <c r="K9793" t="s">
        <v>23</v>
      </c>
    </row>
    <row r="9794" spans="1:11" ht="42" customHeight="1">
      <c r="A9794" t="s">
        <v>19363</v>
      </c>
      <c r="B9794" t="s">
        <v>19364</v>
      </c>
      <c r="C9794" t="s">
        <v>1477</v>
      </c>
      <c r="D9794" t="s">
        <v>57</v>
      </c>
      <c r="E9794" s="6">
        <v>-28099</v>
      </c>
      <c r="F9794" t="s">
        <v>1689</v>
      </c>
      <c r="G9794" t="s">
        <v>20</v>
      </c>
      <c r="H9794" t="s">
        <v>21</v>
      </c>
      <c r="I9794" t="s">
        <v>19365</v>
      </c>
      <c r="J9794" t="str">
        <f>HYPERLINK("https://www.boe.es/gazeta/dias/1823/01/24/pdfs/GMD-1823-25.pdf#page=4","Abrir facsímil")</f>
        <v>Abrir facsímil</v>
      </c>
      <c r="K9794" t="s">
        <v>23</v>
      </c>
    </row>
    <row r="9795" spans="1:11" ht="42" customHeight="1">
      <c r="A9795" t="s">
        <v>19366</v>
      </c>
      <c r="B9795" t="s">
        <v>19367</v>
      </c>
      <c r="C9795" t="s">
        <v>109</v>
      </c>
      <c r="D9795" t="s">
        <v>74</v>
      </c>
      <c r="E9795" s="6">
        <v>-28048</v>
      </c>
      <c r="F9795" t="s">
        <v>399</v>
      </c>
      <c r="G9795" t="s">
        <v>20</v>
      </c>
      <c r="H9795" t="s">
        <v>21</v>
      </c>
      <c r="I9795" t="s">
        <v>19368</v>
      </c>
      <c r="J9795" t="str">
        <f>HYPERLINK("https://www.boe.es/gazeta/dias/1823/03/16/pdfs/GMD-1823-79.pdf#page=4","Abrir facsímil")</f>
        <v>Abrir facsímil</v>
      </c>
      <c r="K9795" t="s">
        <v>23</v>
      </c>
    </row>
    <row r="9796" spans="1:11" ht="42" customHeight="1">
      <c r="A9796" t="s">
        <v>19369</v>
      </c>
      <c r="B9796" t="s">
        <v>19370</v>
      </c>
      <c r="C9796" t="s">
        <v>79</v>
      </c>
      <c r="D9796" t="s">
        <v>74</v>
      </c>
      <c r="E9796" s="6">
        <v>-28057</v>
      </c>
      <c r="F9796" t="s">
        <v>301</v>
      </c>
      <c r="G9796" t="s">
        <v>20</v>
      </c>
      <c r="H9796" t="s">
        <v>21</v>
      </c>
      <c r="I9796" t="s">
        <v>19371</v>
      </c>
      <c r="J9796" t="str">
        <f>HYPERLINK("https://www.boe.es/gazeta/dias/1823/03/07/pdfs/GMD-1823-70.pdf#page=4","Abrir facsímil")</f>
        <v>Abrir facsímil</v>
      </c>
      <c r="K9796" t="s">
        <v>23</v>
      </c>
    </row>
    <row r="9797" spans="1:11" ht="42" customHeight="1">
      <c r="A9797" t="s">
        <v>19369</v>
      </c>
      <c r="B9797" t="s">
        <v>19370</v>
      </c>
      <c r="C9797" t="s">
        <v>17</v>
      </c>
      <c r="D9797" t="s">
        <v>18</v>
      </c>
      <c r="E9797" s="6">
        <v>-28056</v>
      </c>
      <c r="F9797" t="s">
        <v>572</v>
      </c>
      <c r="G9797" t="s">
        <v>59</v>
      </c>
      <c r="H9797" t="s">
        <v>21</v>
      </c>
      <c r="I9797" t="s">
        <v>19372</v>
      </c>
      <c r="J9797" t="str">
        <f>HYPERLINK("https://www.boe.es/gazeta/dias/1823/03/08/pdfs/GMD-1823-71.pdf#page=6","Abrir facsímil")</f>
        <v>Abrir facsímil</v>
      </c>
      <c r="K9797" t="s">
        <v>23</v>
      </c>
    </row>
    <row r="9798" spans="1:11" ht="42" customHeight="1">
      <c r="A9798" t="s">
        <v>19369</v>
      </c>
      <c r="B9798" t="s">
        <v>19370</v>
      </c>
      <c r="C9798" t="s">
        <v>17</v>
      </c>
      <c r="D9798" t="s">
        <v>18</v>
      </c>
      <c r="E9798" s="6">
        <v>-28044</v>
      </c>
      <c r="F9798" t="s">
        <v>1930</v>
      </c>
      <c r="G9798" t="s">
        <v>20</v>
      </c>
      <c r="H9798" t="s">
        <v>21</v>
      </c>
      <c r="I9798" t="s">
        <v>19373</v>
      </c>
      <c r="J9798" t="str">
        <f>HYPERLINK("https://www.boe.es/gazeta/dias/1823/03/20/pdfs/GMD-1823-83.pdf#page=4","Abrir facsímil")</f>
        <v>Abrir facsímil</v>
      </c>
      <c r="K9798" t="s">
        <v>23</v>
      </c>
    </row>
    <row r="9799" spans="1:11" ht="42" customHeight="1">
      <c r="A9799" t="s">
        <v>19369</v>
      </c>
      <c r="B9799" t="s">
        <v>19370</v>
      </c>
      <c r="C9799" t="s">
        <v>109</v>
      </c>
      <c r="D9799" t="s">
        <v>74</v>
      </c>
      <c r="E9799" s="6">
        <v>-28037</v>
      </c>
      <c r="F9799" t="s">
        <v>192</v>
      </c>
      <c r="G9799" t="s">
        <v>48</v>
      </c>
      <c r="H9799" t="s">
        <v>21</v>
      </c>
      <c r="I9799" t="s">
        <v>19374</v>
      </c>
      <c r="J9799" t="str">
        <f>HYPERLINK("https://www.boe.es/gazeta/dias/1823/03/27/pdfs/GMD-1823-90.pdf#page=3","Abrir facsímil")</f>
        <v>Abrir facsímil</v>
      </c>
      <c r="K9799" t="s">
        <v>23</v>
      </c>
    </row>
    <row r="9800" spans="1:11" ht="42" customHeight="1">
      <c r="A9800" t="s">
        <v>19369</v>
      </c>
      <c r="B9800" t="s">
        <v>19370</v>
      </c>
      <c r="C9800" t="s">
        <v>79</v>
      </c>
      <c r="D9800" t="s">
        <v>74</v>
      </c>
      <c r="E9800" s="6">
        <v>-28021</v>
      </c>
      <c r="F9800" t="s">
        <v>1054</v>
      </c>
      <c r="G9800" t="s">
        <v>1055</v>
      </c>
      <c r="H9800" t="s">
        <v>21</v>
      </c>
      <c r="I9800" t="s">
        <v>19375</v>
      </c>
      <c r="J9800" t="str">
        <f>HYPERLINK("https://www.boe.es/gazeta/dias/1823/04/12/pdfs/GMD-1823-107.pdf#page=4","Abrir facsímil")</f>
        <v>Abrir facsímil</v>
      </c>
      <c r="K9800" t="s">
        <v>23</v>
      </c>
    </row>
    <row r="9801" spans="1:11" ht="42" customHeight="1">
      <c r="A9801" t="s">
        <v>19376</v>
      </c>
      <c r="B9801" t="s">
        <v>19376</v>
      </c>
      <c r="C9801" t="s">
        <v>17</v>
      </c>
      <c r="D9801" t="s">
        <v>18</v>
      </c>
      <c r="E9801" s="6">
        <v>-28101</v>
      </c>
      <c r="F9801" t="s">
        <v>1041</v>
      </c>
      <c r="G9801" t="s">
        <v>48</v>
      </c>
      <c r="H9801" t="s">
        <v>21</v>
      </c>
      <c r="I9801" t="s">
        <v>19377</v>
      </c>
      <c r="J9801" t="str">
        <f>HYPERLINK("https://www.boe.es/gazeta/dias/1823/01/22/pdfs/GMD-1823-23.pdf#page=3","Abrir facsímil")</f>
        <v>Abrir facsímil</v>
      </c>
      <c r="K9801" t="s">
        <v>23</v>
      </c>
    </row>
    <row r="9802" spans="1:11" ht="42" customHeight="1">
      <c r="A9802" t="s">
        <v>19378</v>
      </c>
      <c r="B9802" t="s">
        <v>19378</v>
      </c>
      <c r="C9802" t="s">
        <v>17</v>
      </c>
      <c r="D9802" t="s">
        <v>18</v>
      </c>
      <c r="E9802" s="6">
        <v>-28059</v>
      </c>
      <c r="F9802" t="s">
        <v>149</v>
      </c>
      <c r="G9802" t="s">
        <v>27</v>
      </c>
      <c r="H9802" t="s">
        <v>21</v>
      </c>
      <c r="I9802" t="s">
        <v>19379</v>
      </c>
      <c r="J9802" t="str">
        <f>HYPERLINK("https://www.boe.es/gazeta/dias/1823/03/05/pdfs/GMD-1823-68.pdf#page=2","Abrir facsímil")</f>
        <v>Abrir facsímil</v>
      </c>
      <c r="K9802" t="s">
        <v>23</v>
      </c>
    </row>
    <row r="9803" spans="1:11" ht="42" customHeight="1">
      <c r="A9803" t="s">
        <v>19380</v>
      </c>
      <c r="B9803" t="s">
        <v>19381</v>
      </c>
      <c r="C9803" t="s">
        <v>56</v>
      </c>
      <c r="D9803" t="s">
        <v>57</v>
      </c>
      <c r="E9803" s="6">
        <v>-28047</v>
      </c>
      <c r="F9803" t="s">
        <v>2269</v>
      </c>
      <c r="G9803" t="s">
        <v>48</v>
      </c>
      <c r="H9803" t="s">
        <v>21</v>
      </c>
      <c r="I9803" t="s">
        <v>19382</v>
      </c>
      <c r="J9803" t="str">
        <f>HYPERLINK("https://www.boe.es/gazeta/dias/1823/03/17/pdfs/GMD-1823-80.pdf#page=3","Abrir facsímil")</f>
        <v>Abrir facsímil</v>
      </c>
      <c r="K9803" t="s">
        <v>23</v>
      </c>
    </row>
    <row r="9804" spans="1:11" ht="42" customHeight="1">
      <c r="A9804" t="s">
        <v>19383</v>
      </c>
      <c r="B9804" t="s">
        <v>19383</v>
      </c>
      <c r="C9804" t="s">
        <v>56</v>
      </c>
      <c r="D9804" t="s">
        <v>57</v>
      </c>
      <c r="E9804" s="6">
        <v>-27951</v>
      </c>
      <c r="F9804" t="s">
        <v>548</v>
      </c>
      <c r="G9804" t="s">
        <v>20</v>
      </c>
      <c r="H9804" t="s">
        <v>21</v>
      </c>
      <c r="I9804" t="s">
        <v>19384</v>
      </c>
      <c r="J9804" t="str">
        <f>HYPERLINK("https://www.boe.es/gazeta/dias/1823/06/21/pdfs/GES-1823-69.pdf#page=4","Abrir facsímil")</f>
        <v>Abrir facsímil</v>
      </c>
      <c r="K9804" t="s">
        <v>23</v>
      </c>
    </row>
    <row r="9805" spans="1:11" ht="42" customHeight="1">
      <c r="A9805" t="s">
        <v>19385</v>
      </c>
      <c r="B9805" t="s">
        <v>19385</v>
      </c>
      <c r="C9805" t="s">
        <v>17</v>
      </c>
      <c r="D9805" t="s">
        <v>18</v>
      </c>
      <c r="E9805" s="6">
        <v>-27864</v>
      </c>
      <c r="F9805" t="s">
        <v>395</v>
      </c>
      <c r="G9805" t="s">
        <v>39</v>
      </c>
      <c r="H9805" t="s">
        <v>21</v>
      </c>
      <c r="I9805" t="s">
        <v>19386</v>
      </c>
      <c r="J9805" t="str">
        <f>HYPERLINK("https://www.boe.es/gazeta/dias/1823/09/16/pdfs/GMD-1823-783.pdf#page=1","Abrir facsímil")</f>
        <v>Abrir facsímil</v>
      </c>
      <c r="K9805" t="s">
        <v>23</v>
      </c>
    </row>
    <row r="9806" spans="1:11" ht="42" customHeight="1">
      <c r="A9806" t="s">
        <v>19385</v>
      </c>
      <c r="B9806" t="s">
        <v>19385</v>
      </c>
      <c r="C9806" t="s">
        <v>17</v>
      </c>
      <c r="D9806" t="s">
        <v>18</v>
      </c>
      <c r="E9806" s="6">
        <v>-27860</v>
      </c>
      <c r="F9806" t="s">
        <v>744</v>
      </c>
      <c r="G9806" t="s">
        <v>745</v>
      </c>
      <c r="H9806" t="s">
        <v>21</v>
      </c>
      <c r="I9806" t="s">
        <v>19387</v>
      </c>
      <c r="J9806" t="str">
        <f>HYPERLINK("https://www.boe.es/gazeta/dias/1823/09/20/pdfs/GES-1823-164.pdf#page=2","Abrir facsímil")</f>
        <v>Abrir facsímil</v>
      </c>
      <c r="K9806" t="s">
        <v>23</v>
      </c>
    </row>
    <row r="9807" spans="1:11" ht="42" customHeight="1">
      <c r="A9807" t="s">
        <v>19388</v>
      </c>
      <c r="B9807" t="s">
        <v>19389</v>
      </c>
      <c r="C9807" t="s">
        <v>73</v>
      </c>
      <c r="D9807" t="s">
        <v>74</v>
      </c>
      <c r="E9807" s="6">
        <v>-28094</v>
      </c>
      <c r="F9807" t="s">
        <v>93</v>
      </c>
      <c r="G9807" t="s">
        <v>20</v>
      </c>
      <c r="H9807" t="s">
        <v>21</v>
      </c>
      <c r="I9807" t="s">
        <v>19390</v>
      </c>
      <c r="J9807" t="str">
        <f>HYPERLINK("https://www.boe.es/gazeta/dias/1823/01/29/pdfs/GMD-1823-30.pdf#page=4","Abrir facsímil")</f>
        <v>Abrir facsímil</v>
      </c>
      <c r="K9807" t="s">
        <v>23</v>
      </c>
    </row>
    <row r="9808" spans="1:11" ht="42" customHeight="1">
      <c r="A9808" t="s">
        <v>19388</v>
      </c>
      <c r="B9808" t="s">
        <v>19389</v>
      </c>
      <c r="C9808" t="s">
        <v>109</v>
      </c>
      <c r="D9808" t="s">
        <v>74</v>
      </c>
      <c r="E9808" s="6">
        <v>-28059</v>
      </c>
      <c r="F9808" t="s">
        <v>149</v>
      </c>
      <c r="G9808" t="s">
        <v>20</v>
      </c>
      <c r="H9808" t="s">
        <v>21</v>
      </c>
      <c r="I9808" t="s">
        <v>19391</v>
      </c>
      <c r="J9808" t="str">
        <f>HYPERLINK("https://www.boe.es/gazeta/dias/1823/03/05/pdfs/GMD-1823-68.pdf#page=4","Abrir facsímil")</f>
        <v>Abrir facsímil</v>
      </c>
      <c r="K9808" t="s">
        <v>23</v>
      </c>
    </row>
    <row r="9809" spans="1:11" ht="42" customHeight="1">
      <c r="A9809" t="s">
        <v>19392</v>
      </c>
      <c r="B9809" t="s">
        <v>19393</v>
      </c>
      <c r="C9809" t="s">
        <v>79</v>
      </c>
      <c r="D9809" t="s">
        <v>74</v>
      </c>
      <c r="E9809" s="6">
        <v>-27937</v>
      </c>
      <c r="F9809" t="s">
        <v>897</v>
      </c>
      <c r="G9809" t="s">
        <v>34</v>
      </c>
      <c r="H9809" t="s">
        <v>21</v>
      </c>
      <c r="I9809" t="s">
        <v>19394</v>
      </c>
      <c r="J9809" t="str">
        <f>HYPERLINK("https://www.boe.es/gazeta/dias/1823/07/05/pdfs/GMD-1823-343.pdf#page=5","Abrir facsímil")</f>
        <v>Abrir facsímil</v>
      </c>
      <c r="K9809" t="s">
        <v>23</v>
      </c>
    </row>
    <row r="9810" spans="1:11" ht="42" customHeight="1">
      <c r="A9810" t="s">
        <v>19395</v>
      </c>
      <c r="B9810" t="s">
        <v>19396</v>
      </c>
      <c r="C9810" t="s">
        <v>17</v>
      </c>
      <c r="D9810" t="s">
        <v>18</v>
      </c>
      <c r="E9810" s="6">
        <v>-27902</v>
      </c>
      <c r="F9810" t="s">
        <v>259</v>
      </c>
      <c r="G9810" t="s">
        <v>20</v>
      </c>
      <c r="H9810" t="s">
        <v>21</v>
      </c>
      <c r="I9810" t="s">
        <v>19397</v>
      </c>
      <c r="J9810" t="str">
        <f>HYPERLINK("https://www.boe.es/gazeta/dias/1823/08/09/pdfs/GMD-1823-563.pdf#page=4","Abrir facsímil")</f>
        <v>Abrir facsímil</v>
      </c>
      <c r="K9810" t="s">
        <v>23</v>
      </c>
    </row>
    <row r="9811" spans="1:11" ht="42" customHeight="1">
      <c r="A9811" t="s">
        <v>19398</v>
      </c>
      <c r="B9811" t="s">
        <v>19399</v>
      </c>
      <c r="C9811" t="s">
        <v>17</v>
      </c>
      <c r="D9811" t="s">
        <v>18</v>
      </c>
      <c r="E9811" s="6">
        <v>-27983</v>
      </c>
      <c r="F9811" t="s">
        <v>337</v>
      </c>
      <c r="G9811" t="s">
        <v>27</v>
      </c>
      <c r="H9811" t="s">
        <v>21</v>
      </c>
      <c r="I9811" t="s">
        <v>19400</v>
      </c>
      <c r="J9811" t="str">
        <f>HYPERLINK("https://www.boe.es/gazeta/dias/1823/05/20/pdfs/GES-1823-40.pdf#page=2","Abrir facsímil")</f>
        <v>Abrir facsímil</v>
      </c>
      <c r="K9811" t="s">
        <v>23</v>
      </c>
    </row>
    <row r="9812" spans="1:11" ht="42" customHeight="1">
      <c r="A9812" t="s">
        <v>19401</v>
      </c>
      <c r="B9812" t="s">
        <v>19401</v>
      </c>
      <c r="C9812" t="s">
        <v>56</v>
      </c>
      <c r="D9812" t="s">
        <v>57</v>
      </c>
      <c r="E9812" s="6">
        <v>-28115</v>
      </c>
      <c r="F9812" t="s">
        <v>579</v>
      </c>
      <c r="G9812" t="s">
        <v>1458</v>
      </c>
      <c r="H9812" t="s">
        <v>21</v>
      </c>
      <c r="I9812" t="s">
        <v>19402</v>
      </c>
      <c r="J9812" t="str">
        <f>HYPERLINK("https://www.boe.es/gazeta/dias/1823/01/08/pdfs/GMD-1823-8.pdf#page=4","Abrir facsímil")</f>
        <v>Abrir facsímil</v>
      </c>
      <c r="K9812" t="s">
        <v>23</v>
      </c>
    </row>
    <row r="9813" spans="1:11" ht="42" customHeight="1">
      <c r="A9813" t="s">
        <v>19403</v>
      </c>
      <c r="B9813" t="s">
        <v>19404</v>
      </c>
      <c r="C9813" t="s">
        <v>79</v>
      </c>
      <c r="D9813" t="s">
        <v>74</v>
      </c>
      <c r="E9813" s="6">
        <v>-28104</v>
      </c>
      <c r="F9813" t="s">
        <v>114</v>
      </c>
      <c r="G9813" t="s">
        <v>34</v>
      </c>
      <c r="H9813" t="s">
        <v>21</v>
      </c>
      <c r="I9813" t="s">
        <v>19405</v>
      </c>
      <c r="J9813" t="str">
        <f>HYPERLINK("https://www.boe.es/gazeta/dias/1823/01/19/pdfs/GMD-1823-19.pdf#page=5","Abrir facsímil")</f>
        <v>Abrir facsímil</v>
      </c>
      <c r="K9813" t="s">
        <v>23</v>
      </c>
    </row>
    <row r="9814" spans="1:11" ht="42" customHeight="1">
      <c r="A9814" t="s">
        <v>19406</v>
      </c>
      <c r="B9814" t="s">
        <v>19406</v>
      </c>
      <c r="C9814" t="s">
        <v>109</v>
      </c>
      <c r="D9814" t="s">
        <v>74</v>
      </c>
      <c r="E9814" s="6">
        <v>-28119</v>
      </c>
      <c r="F9814" t="s">
        <v>545</v>
      </c>
      <c r="G9814" t="s">
        <v>27</v>
      </c>
      <c r="H9814" t="s">
        <v>21</v>
      </c>
      <c r="I9814" t="s">
        <v>19407</v>
      </c>
      <c r="J9814" t="str">
        <f>HYPERLINK("https://www.boe.es/gazeta/dias/1823/01/04/pdfs/GMD-1823-4.pdf#page=2","Abrir facsímil")</f>
        <v>Abrir facsímil</v>
      </c>
      <c r="K9814" t="s">
        <v>23</v>
      </c>
    </row>
    <row r="9815" spans="1:11" ht="42" customHeight="1">
      <c r="A9815" t="s">
        <v>19406</v>
      </c>
      <c r="B9815" t="s">
        <v>19406</v>
      </c>
      <c r="C9815" t="s">
        <v>56</v>
      </c>
      <c r="D9815" t="s">
        <v>57</v>
      </c>
      <c r="E9815" s="6">
        <v>-28115</v>
      </c>
      <c r="F9815" t="s">
        <v>579</v>
      </c>
      <c r="G9815" t="s">
        <v>27</v>
      </c>
      <c r="H9815" t="s">
        <v>21</v>
      </c>
      <c r="I9815" t="s">
        <v>19408</v>
      </c>
      <c r="J9815" t="str">
        <f>HYPERLINK("https://www.boe.es/gazeta/dias/1823/01/08/pdfs/GMD-1823-8.pdf#page=2","Abrir facsímil")</f>
        <v>Abrir facsímil</v>
      </c>
      <c r="K9815" t="s">
        <v>23</v>
      </c>
    </row>
    <row r="9816" spans="1:11" ht="42" customHeight="1">
      <c r="A9816" t="s">
        <v>19406</v>
      </c>
      <c r="B9816" t="s">
        <v>19406</v>
      </c>
      <c r="C9816" t="s">
        <v>17</v>
      </c>
      <c r="D9816" t="s">
        <v>18</v>
      </c>
      <c r="E9816" s="6">
        <v>-28105</v>
      </c>
      <c r="F9816" t="s">
        <v>502</v>
      </c>
      <c r="G9816" t="s">
        <v>27</v>
      </c>
      <c r="H9816" t="s">
        <v>21</v>
      </c>
      <c r="I9816" t="s">
        <v>19409</v>
      </c>
      <c r="J9816" t="str">
        <f>HYPERLINK("https://www.boe.es/gazeta/dias/1823/01/18/pdfs/GMD-1823-18.pdf#page=2","Abrir facsímil")</f>
        <v>Abrir facsímil</v>
      </c>
      <c r="K9816" t="s">
        <v>23</v>
      </c>
    </row>
    <row r="9817" spans="1:11" ht="42" customHeight="1">
      <c r="A9817" t="s">
        <v>19406</v>
      </c>
      <c r="B9817" t="s">
        <v>19406</v>
      </c>
      <c r="C9817" t="s">
        <v>17</v>
      </c>
      <c r="D9817" t="s">
        <v>18</v>
      </c>
      <c r="E9817" s="6">
        <v>-28103</v>
      </c>
      <c r="F9817" t="s">
        <v>285</v>
      </c>
      <c r="G9817" t="s">
        <v>27</v>
      </c>
      <c r="H9817" t="s">
        <v>21</v>
      </c>
      <c r="I9817" t="s">
        <v>19410</v>
      </c>
      <c r="J9817" t="str">
        <f>HYPERLINK("https://www.boe.es/gazeta/dias/1823/01/20/pdfs/GMD-1823-20.pdf#page=2","Abrir facsímil")</f>
        <v>Abrir facsímil</v>
      </c>
      <c r="K9817" t="s">
        <v>23</v>
      </c>
    </row>
    <row r="9818" spans="1:11" ht="42" customHeight="1">
      <c r="A9818" t="s">
        <v>19406</v>
      </c>
      <c r="B9818" t="s">
        <v>19406</v>
      </c>
      <c r="C9818" t="s">
        <v>293</v>
      </c>
      <c r="D9818" t="s">
        <v>74</v>
      </c>
      <c r="E9818" s="6">
        <v>-28093</v>
      </c>
      <c r="F9818" t="s">
        <v>1044</v>
      </c>
      <c r="G9818" t="s">
        <v>27</v>
      </c>
      <c r="H9818" t="s">
        <v>21</v>
      </c>
      <c r="I9818" t="s">
        <v>19411</v>
      </c>
      <c r="J9818" t="str">
        <f>HYPERLINK("https://www.boe.es/gazeta/dias/1823/01/30/pdfs/GMD-1823-31.pdf#page=2","Abrir facsímil")</f>
        <v>Abrir facsímil</v>
      </c>
      <c r="K9818" t="s">
        <v>23</v>
      </c>
    </row>
    <row r="9819" spans="1:11" ht="42" customHeight="1">
      <c r="A9819" t="s">
        <v>19406</v>
      </c>
      <c r="B9819" t="s">
        <v>19406</v>
      </c>
      <c r="C9819" t="s">
        <v>109</v>
      </c>
      <c r="D9819" t="s">
        <v>74</v>
      </c>
      <c r="E9819" s="6">
        <v>-28075</v>
      </c>
      <c r="F9819" t="s">
        <v>2327</v>
      </c>
      <c r="G9819" t="s">
        <v>27</v>
      </c>
      <c r="H9819" t="s">
        <v>21</v>
      </c>
      <c r="I9819" t="s">
        <v>19412</v>
      </c>
      <c r="J9819" t="str">
        <f>HYPERLINK("https://www.boe.es/gazeta/dias/1823/02/17/pdfs/GMD-1823-51.pdf#page=2","Abrir facsímil")</f>
        <v>Abrir facsímil</v>
      </c>
      <c r="K9819" t="s">
        <v>23</v>
      </c>
    </row>
    <row r="9820" spans="1:11" ht="42" customHeight="1">
      <c r="A9820" t="s">
        <v>19406</v>
      </c>
      <c r="B9820" t="s">
        <v>19406</v>
      </c>
      <c r="C9820" t="s">
        <v>109</v>
      </c>
      <c r="D9820" t="s">
        <v>74</v>
      </c>
      <c r="E9820" s="6">
        <v>-28073</v>
      </c>
      <c r="F9820" t="s">
        <v>204</v>
      </c>
      <c r="G9820" t="s">
        <v>27</v>
      </c>
      <c r="H9820" t="s">
        <v>21</v>
      </c>
      <c r="I9820" t="s">
        <v>19413</v>
      </c>
      <c r="J9820" t="str">
        <f>HYPERLINK("https://www.boe.es/gazeta/dias/1823/02/19/pdfs/GMD-1823-53.pdf#page=2","Abrir facsímil")</f>
        <v>Abrir facsímil</v>
      </c>
      <c r="K9820" t="s">
        <v>23</v>
      </c>
    </row>
    <row r="9821" spans="1:11" ht="42" customHeight="1">
      <c r="A9821" t="s">
        <v>19406</v>
      </c>
      <c r="B9821" t="s">
        <v>19406</v>
      </c>
      <c r="C9821" t="s">
        <v>17</v>
      </c>
      <c r="D9821" t="s">
        <v>18</v>
      </c>
      <c r="E9821" s="6">
        <v>-28058</v>
      </c>
      <c r="F9821" t="s">
        <v>1282</v>
      </c>
      <c r="G9821" t="s">
        <v>48</v>
      </c>
      <c r="H9821" t="s">
        <v>21</v>
      </c>
      <c r="I9821" t="s">
        <v>19414</v>
      </c>
      <c r="J9821" t="str">
        <f>HYPERLINK("https://www.boe.es/gazeta/dias/1823/03/06/pdfs/GMD-1823-69.pdf#page=3","Abrir facsímil")</f>
        <v>Abrir facsímil</v>
      </c>
      <c r="K9821" t="s">
        <v>23</v>
      </c>
    </row>
    <row r="9822" spans="1:11" ht="42" customHeight="1">
      <c r="A9822" t="s">
        <v>19406</v>
      </c>
      <c r="B9822" t="s">
        <v>19406</v>
      </c>
      <c r="C9822" t="s">
        <v>79</v>
      </c>
      <c r="D9822" t="s">
        <v>74</v>
      </c>
      <c r="E9822" s="6">
        <v>-28057</v>
      </c>
      <c r="F9822" t="s">
        <v>301</v>
      </c>
      <c r="G9822" t="s">
        <v>20</v>
      </c>
      <c r="H9822" t="s">
        <v>21</v>
      </c>
      <c r="I9822" t="s">
        <v>19415</v>
      </c>
      <c r="J9822" t="str">
        <f>HYPERLINK("https://www.boe.es/gazeta/dias/1823/03/07/pdfs/GMD-1823-70.pdf#page=4","Abrir facsímil")</f>
        <v>Abrir facsímil</v>
      </c>
      <c r="K9822" t="s">
        <v>23</v>
      </c>
    </row>
    <row r="9823" spans="1:11" ht="42" customHeight="1">
      <c r="A9823" t="s">
        <v>19406</v>
      </c>
      <c r="B9823" t="s">
        <v>19406</v>
      </c>
      <c r="C9823" t="s">
        <v>325</v>
      </c>
      <c r="D9823" t="s">
        <v>74</v>
      </c>
      <c r="E9823" s="6">
        <v>-28006</v>
      </c>
      <c r="F9823" t="s">
        <v>183</v>
      </c>
      <c r="G9823" t="s">
        <v>39</v>
      </c>
      <c r="H9823" t="s">
        <v>21</v>
      </c>
      <c r="I9823" t="s">
        <v>19416</v>
      </c>
      <c r="J9823" t="str">
        <f>HYPERLINK("https://www.boe.es/gazeta/dias/1823/04/27/pdfs/GES-1823-17.pdf#page=1","Abrir facsímil")</f>
        <v>Abrir facsímil</v>
      </c>
      <c r="K9823" t="s">
        <v>23</v>
      </c>
    </row>
    <row r="9824" spans="1:11" ht="42" customHeight="1">
      <c r="A9824" t="s">
        <v>19406</v>
      </c>
      <c r="B9824" t="s">
        <v>19406</v>
      </c>
      <c r="C9824" t="s">
        <v>109</v>
      </c>
      <c r="D9824" t="s">
        <v>74</v>
      </c>
      <c r="E9824" s="6">
        <v>-28004</v>
      </c>
      <c r="F9824" t="s">
        <v>33</v>
      </c>
      <c r="G9824" t="s">
        <v>48</v>
      </c>
      <c r="H9824" t="s">
        <v>21</v>
      </c>
      <c r="I9824" t="s">
        <v>19417</v>
      </c>
      <c r="J9824" t="str">
        <f>HYPERLINK("https://www.boe.es/gazeta/dias/1823/04/29/pdfs/GES-1823-19.pdf#page=3","Abrir facsímil")</f>
        <v>Abrir facsímil</v>
      </c>
      <c r="K9824" t="s">
        <v>23</v>
      </c>
    </row>
    <row r="9825" spans="1:11" ht="42" customHeight="1">
      <c r="A9825" t="s">
        <v>19406</v>
      </c>
      <c r="B9825" t="s">
        <v>19406</v>
      </c>
      <c r="C9825" t="s">
        <v>56</v>
      </c>
      <c r="D9825" t="s">
        <v>57</v>
      </c>
      <c r="E9825" s="6">
        <v>-27966</v>
      </c>
      <c r="F9825" t="s">
        <v>675</v>
      </c>
      <c r="G9825" t="s">
        <v>48</v>
      </c>
      <c r="H9825" t="s">
        <v>21</v>
      </c>
      <c r="I9825" t="s">
        <v>19418</v>
      </c>
      <c r="J9825" t="str">
        <f>HYPERLINK("https://www.boe.es/gazeta/dias/1823/06/06/pdfs/GES-1823-60.pdf#page=3","Abrir facsímil")</f>
        <v>Abrir facsímil</v>
      </c>
      <c r="K9825" t="s">
        <v>23</v>
      </c>
    </row>
    <row r="9826" spans="1:11" ht="42" customHeight="1">
      <c r="A9826" t="s">
        <v>19419</v>
      </c>
      <c r="B9826" t="s">
        <v>19420</v>
      </c>
      <c r="C9826" t="s">
        <v>17</v>
      </c>
      <c r="D9826" t="s">
        <v>18</v>
      </c>
      <c r="E9826" s="6">
        <v>-28074</v>
      </c>
      <c r="F9826" t="s">
        <v>212</v>
      </c>
      <c r="G9826" t="s">
        <v>34</v>
      </c>
      <c r="H9826" t="s">
        <v>21</v>
      </c>
      <c r="I9826" t="s">
        <v>19421</v>
      </c>
      <c r="J9826" t="str">
        <f>HYPERLINK("https://www.boe.es/gazeta/dias/1823/02/18/pdfs/GMD-1823-52.pdf#page=5","Abrir facsímil")</f>
        <v>Abrir facsímil</v>
      </c>
      <c r="K9826" t="s">
        <v>23</v>
      </c>
    </row>
    <row r="9827" spans="1:11" ht="42" customHeight="1">
      <c r="A9827" t="s">
        <v>19422</v>
      </c>
      <c r="B9827" t="s">
        <v>19423</v>
      </c>
      <c r="C9827" t="s">
        <v>17</v>
      </c>
      <c r="D9827" t="s">
        <v>18</v>
      </c>
      <c r="E9827" s="6">
        <v>-27883</v>
      </c>
      <c r="F9827" t="s">
        <v>2838</v>
      </c>
      <c r="G9827" t="s">
        <v>39</v>
      </c>
      <c r="H9827" t="s">
        <v>21</v>
      </c>
      <c r="I9827" t="s">
        <v>19424</v>
      </c>
      <c r="J9827" t="str">
        <f>HYPERLINK("https://www.boe.es/gazeta/dias/1823/08/28/pdfs/GES-1823-141.pdf#page=1","Abrir facsímil")</f>
        <v>Abrir facsímil</v>
      </c>
      <c r="K9827" t="s">
        <v>23</v>
      </c>
    </row>
    <row r="9828" spans="1:11" ht="42" customHeight="1">
      <c r="A9828" t="s">
        <v>19425</v>
      </c>
      <c r="B9828" t="s">
        <v>19426</v>
      </c>
      <c r="C9828" t="s">
        <v>17</v>
      </c>
      <c r="D9828" t="s">
        <v>18</v>
      </c>
      <c r="E9828" s="6">
        <v>-28115</v>
      </c>
      <c r="F9828" t="s">
        <v>579</v>
      </c>
      <c r="G9828" t="s">
        <v>1458</v>
      </c>
      <c r="H9828" t="s">
        <v>21</v>
      </c>
      <c r="I9828" t="s">
        <v>19427</v>
      </c>
      <c r="J9828" t="str">
        <f>HYPERLINK("https://www.boe.es/gazeta/dias/1823/01/08/pdfs/GMD-1823-8.pdf#page=4","Abrir facsímil")</f>
        <v>Abrir facsímil</v>
      </c>
      <c r="K9828" t="s">
        <v>23</v>
      </c>
    </row>
    <row r="9829" spans="1:11" ht="42" customHeight="1">
      <c r="A9829" t="s">
        <v>19428</v>
      </c>
      <c r="B9829" t="s">
        <v>19428</v>
      </c>
      <c r="C9829" t="s">
        <v>79</v>
      </c>
      <c r="D9829" t="s">
        <v>74</v>
      </c>
      <c r="E9829" s="6">
        <v>-28056</v>
      </c>
      <c r="F9829" t="s">
        <v>572</v>
      </c>
      <c r="G9829" t="s">
        <v>34</v>
      </c>
      <c r="H9829" t="s">
        <v>21</v>
      </c>
      <c r="I9829" t="s">
        <v>19429</v>
      </c>
      <c r="J9829" t="str">
        <f>HYPERLINK("https://www.boe.es/gazeta/dias/1823/03/08/pdfs/GMD-1823-71.pdf#page=5","Abrir facsímil")</f>
        <v>Abrir facsímil</v>
      </c>
      <c r="K9829" t="s">
        <v>23</v>
      </c>
    </row>
    <row r="9830" spans="1:11" ht="42" customHeight="1">
      <c r="A9830" t="s">
        <v>19430</v>
      </c>
      <c r="B9830" t="s">
        <v>19431</v>
      </c>
      <c r="C9830" t="s">
        <v>17</v>
      </c>
      <c r="D9830" t="s">
        <v>18</v>
      </c>
      <c r="E9830" s="6">
        <v>-28032</v>
      </c>
      <c r="F9830" t="s">
        <v>668</v>
      </c>
      <c r="G9830" t="s">
        <v>39</v>
      </c>
      <c r="H9830" t="s">
        <v>21</v>
      </c>
      <c r="I9830" t="s">
        <v>19432</v>
      </c>
      <c r="J9830" t="str">
        <f>HYPERLINK("https://www.boe.es/gazeta/dias/1823/04/01/pdfs/GMD-1823-95.pdf#page=1","Abrir facsímil")</f>
        <v>Abrir facsímil</v>
      </c>
      <c r="K9830" t="s">
        <v>23</v>
      </c>
    </row>
    <row r="9831" spans="1:11" ht="42" customHeight="1">
      <c r="A9831" t="s">
        <v>19433</v>
      </c>
      <c r="B9831" t="s">
        <v>19433</v>
      </c>
      <c r="C9831" t="s">
        <v>56</v>
      </c>
      <c r="D9831" t="s">
        <v>57</v>
      </c>
      <c r="E9831" s="6">
        <v>-27960</v>
      </c>
      <c r="F9831" t="s">
        <v>741</v>
      </c>
      <c r="G9831" t="s">
        <v>27</v>
      </c>
      <c r="H9831" t="s">
        <v>21</v>
      </c>
      <c r="I9831" t="s">
        <v>19434</v>
      </c>
      <c r="J9831" t="str">
        <f>HYPERLINK("https://www.boe.es/gazeta/dias/1823/06/12/pdfs/GES-1823-66.pdf#page=2","Abrir facsímil")</f>
        <v>Abrir facsímil</v>
      </c>
      <c r="K9831" t="s">
        <v>23</v>
      </c>
    </row>
    <row r="9832" spans="1:11" ht="42" customHeight="1">
      <c r="A9832" t="s">
        <v>19435</v>
      </c>
      <c r="B9832" t="s">
        <v>19435</v>
      </c>
      <c r="C9832" t="s">
        <v>56</v>
      </c>
      <c r="D9832" t="s">
        <v>57</v>
      </c>
      <c r="E9832" s="6">
        <v>-28074</v>
      </c>
      <c r="F9832" t="s">
        <v>212</v>
      </c>
      <c r="G9832" t="s">
        <v>20</v>
      </c>
      <c r="H9832" t="s">
        <v>21</v>
      </c>
      <c r="I9832" t="s">
        <v>19436</v>
      </c>
      <c r="J9832" t="str">
        <f>HYPERLINK("https://www.boe.es/gazeta/dias/1823/02/18/pdfs/GMD-1823-52.pdf#page=4","Abrir facsímil")</f>
        <v>Abrir facsímil</v>
      </c>
      <c r="K9832" t="s">
        <v>23</v>
      </c>
    </row>
    <row r="9833" spans="1:11" ht="42" customHeight="1">
      <c r="A9833" t="s">
        <v>19437</v>
      </c>
      <c r="B9833" t="s">
        <v>19437</v>
      </c>
      <c r="C9833" t="s">
        <v>79</v>
      </c>
      <c r="D9833" t="s">
        <v>74</v>
      </c>
      <c r="E9833" s="6">
        <v>-28078</v>
      </c>
      <c r="F9833" t="s">
        <v>508</v>
      </c>
      <c r="G9833" t="s">
        <v>27</v>
      </c>
      <c r="H9833" t="s">
        <v>21</v>
      </c>
      <c r="I9833" t="s">
        <v>19438</v>
      </c>
      <c r="J9833" t="str">
        <f>HYPERLINK("https://www.boe.es/gazeta/dias/1823/02/14/pdfs/GMD-1823-48.pdf#page=2","Abrir facsímil")</f>
        <v>Abrir facsímil</v>
      </c>
      <c r="K9833" t="s">
        <v>23</v>
      </c>
    </row>
    <row r="9834" spans="1:11" ht="42" customHeight="1">
      <c r="A9834" t="s">
        <v>19437</v>
      </c>
      <c r="B9834" t="s">
        <v>19437</v>
      </c>
      <c r="C9834" t="s">
        <v>325</v>
      </c>
      <c r="D9834" t="s">
        <v>74</v>
      </c>
      <c r="E9834" s="6">
        <v>-28074</v>
      </c>
      <c r="F9834" t="s">
        <v>212</v>
      </c>
      <c r="G9834" t="s">
        <v>48</v>
      </c>
      <c r="H9834" t="s">
        <v>21</v>
      </c>
      <c r="I9834" t="s">
        <v>19439</v>
      </c>
      <c r="J9834" t="str">
        <f>HYPERLINK("https://www.boe.es/gazeta/dias/1823/02/18/pdfs/GMD-1823-52.pdf#page=3","Abrir facsímil")</f>
        <v>Abrir facsímil</v>
      </c>
      <c r="K9834" t="s">
        <v>23</v>
      </c>
    </row>
    <row r="9835" spans="1:11" ht="42" customHeight="1">
      <c r="A9835" t="s">
        <v>19440</v>
      </c>
      <c r="B9835" t="s">
        <v>19440</v>
      </c>
      <c r="C9835" t="s">
        <v>109</v>
      </c>
      <c r="D9835" t="s">
        <v>74</v>
      </c>
      <c r="E9835" s="6">
        <v>-28115</v>
      </c>
      <c r="F9835" t="s">
        <v>579</v>
      </c>
      <c r="G9835" t="s">
        <v>27</v>
      </c>
      <c r="H9835" t="s">
        <v>21</v>
      </c>
      <c r="I9835" t="s">
        <v>19441</v>
      </c>
      <c r="J9835" t="str">
        <f>HYPERLINK("https://www.boe.es/gazeta/dias/1823/01/08/pdfs/GMD-1823-8.pdf#page=2","Abrir facsímil")</f>
        <v>Abrir facsímil</v>
      </c>
      <c r="K9835" t="s">
        <v>23</v>
      </c>
    </row>
    <row r="9836" spans="1:11" ht="42" customHeight="1">
      <c r="A9836" t="s">
        <v>19442</v>
      </c>
      <c r="B9836" t="s">
        <v>19442</v>
      </c>
      <c r="C9836" t="s">
        <v>17</v>
      </c>
      <c r="D9836" t="s">
        <v>18</v>
      </c>
      <c r="E9836" s="6">
        <v>-28058</v>
      </c>
      <c r="F9836" t="s">
        <v>1282</v>
      </c>
      <c r="G9836" t="s">
        <v>48</v>
      </c>
      <c r="H9836" t="s">
        <v>21</v>
      </c>
      <c r="I9836" t="s">
        <v>19443</v>
      </c>
      <c r="J9836" t="str">
        <f>HYPERLINK("https://www.boe.es/gazeta/dias/1823/03/06/pdfs/GMD-1823-69.pdf#page=3","Abrir facsímil")</f>
        <v>Abrir facsímil</v>
      </c>
      <c r="K9836" t="s">
        <v>23</v>
      </c>
    </row>
    <row r="9837" spans="1:11" ht="42" customHeight="1">
      <c r="A9837" t="s">
        <v>19444</v>
      </c>
      <c r="B9837" t="s">
        <v>19444</v>
      </c>
      <c r="C9837" t="s">
        <v>17</v>
      </c>
      <c r="D9837" t="s">
        <v>18</v>
      </c>
      <c r="E9837" s="6">
        <v>-28114</v>
      </c>
      <c r="F9837" t="s">
        <v>153</v>
      </c>
      <c r="G9837" t="s">
        <v>20</v>
      </c>
      <c r="H9837" t="s">
        <v>21</v>
      </c>
      <c r="I9837" t="s">
        <v>19445</v>
      </c>
      <c r="J9837" t="str">
        <f>HYPERLINK("https://www.boe.es/gazeta/dias/1823/01/09/pdfs/GMD-1823-9.pdf#page=4","Abrir facsímil")</f>
        <v>Abrir facsímil</v>
      </c>
      <c r="K9837" t="s">
        <v>23</v>
      </c>
    </row>
    <row r="9838" spans="1:11" ht="42" customHeight="1">
      <c r="A9838" t="s">
        <v>19446</v>
      </c>
      <c r="B9838" t="s">
        <v>19446</v>
      </c>
      <c r="C9838" t="s">
        <v>17</v>
      </c>
      <c r="D9838" t="s">
        <v>18</v>
      </c>
      <c r="E9838" s="6">
        <v>-28100</v>
      </c>
      <c r="F9838" t="s">
        <v>737</v>
      </c>
      <c r="G9838" t="s">
        <v>48</v>
      </c>
      <c r="H9838" t="s">
        <v>21</v>
      </c>
      <c r="I9838" t="s">
        <v>19447</v>
      </c>
      <c r="J9838" t="str">
        <f>HYPERLINK("https://www.boe.es/gazeta/dias/1823/01/23/pdfs/GMD-1823-24.pdf#page=3","Abrir facsímil")</f>
        <v>Abrir facsímil</v>
      </c>
      <c r="K9838" t="s">
        <v>23</v>
      </c>
    </row>
    <row r="9839" spans="1:11" ht="42" customHeight="1">
      <c r="A9839" t="s">
        <v>19446</v>
      </c>
      <c r="B9839" t="s">
        <v>19446</v>
      </c>
      <c r="C9839" t="s">
        <v>79</v>
      </c>
      <c r="D9839" t="s">
        <v>74</v>
      </c>
      <c r="E9839" s="6">
        <v>-28076</v>
      </c>
      <c r="F9839" t="s">
        <v>1638</v>
      </c>
      <c r="G9839" t="s">
        <v>48</v>
      </c>
      <c r="H9839" t="s">
        <v>21</v>
      </c>
      <c r="I9839" t="s">
        <v>19448</v>
      </c>
      <c r="J9839" t="str">
        <f>HYPERLINK("https://www.boe.es/gazeta/dias/1823/02/16/pdfs/GMD-1823-50.pdf#page=3","Abrir facsímil")</f>
        <v>Abrir facsímil</v>
      </c>
      <c r="K9839" t="s">
        <v>23</v>
      </c>
    </row>
    <row r="9840" spans="1:11" ht="42" customHeight="1">
      <c r="A9840" t="s">
        <v>19446</v>
      </c>
      <c r="B9840" t="s">
        <v>19446</v>
      </c>
      <c r="C9840" t="s">
        <v>17</v>
      </c>
      <c r="D9840" t="s">
        <v>18</v>
      </c>
      <c r="E9840" s="6">
        <v>-28076</v>
      </c>
      <c r="F9840" t="s">
        <v>1638</v>
      </c>
      <c r="G9840" t="s">
        <v>20</v>
      </c>
      <c r="H9840" t="s">
        <v>21</v>
      </c>
      <c r="I9840" t="s">
        <v>19449</v>
      </c>
      <c r="J9840" t="str">
        <f>HYPERLINK("https://www.boe.es/gazeta/dias/1823/02/16/pdfs/GMD-1823-50.pdf#page=4","Abrir facsímil")</f>
        <v>Abrir facsímil</v>
      </c>
      <c r="K9840" t="s">
        <v>23</v>
      </c>
    </row>
    <row r="9841" spans="1:11" ht="42" customHeight="1">
      <c r="A9841" t="s">
        <v>19446</v>
      </c>
      <c r="B9841" t="s">
        <v>19446</v>
      </c>
      <c r="C9841" t="s">
        <v>17</v>
      </c>
      <c r="D9841" t="s">
        <v>18</v>
      </c>
      <c r="E9841" s="6">
        <v>-27989</v>
      </c>
      <c r="F9841" t="s">
        <v>1134</v>
      </c>
      <c r="G9841" t="s">
        <v>20</v>
      </c>
      <c r="H9841" t="s">
        <v>21</v>
      </c>
      <c r="I9841" t="s">
        <v>19450</v>
      </c>
      <c r="J9841" t="str">
        <f>HYPERLINK("https://www.boe.es/gazeta/dias/1823/05/14/pdfs/GES-1823-34.pdf#page=4","Abrir facsímil")</f>
        <v>Abrir facsímil</v>
      </c>
      <c r="K9841" t="s">
        <v>23</v>
      </c>
    </row>
    <row r="9842" spans="1:11" ht="42" customHeight="1">
      <c r="A9842" t="s">
        <v>19446</v>
      </c>
      <c r="B9842" t="s">
        <v>19446</v>
      </c>
      <c r="C9842" t="s">
        <v>109</v>
      </c>
      <c r="D9842" t="s">
        <v>74</v>
      </c>
      <c r="E9842" s="6">
        <v>-27986</v>
      </c>
      <c r="F9842" t="s">
        <v>75</v>
      </c>
      <c r="G9842" t="s">
        <v>20</v>
      </c>
      <c r="H9842" t="s">
        <v>21</v>
      </c>
      <c r="I9842" t="s">
        <v>19451</v>
      </c>
      <c r="J9842" t="str">
        <f>HYPERLINK("https://www.boe.es/gazeta/dias/1823/05/17/pdfs/GES-1823-37.pdf#page=4","Abrir facsímil")</f>
        <v>Abrir facsímil</v>
      </c>
      <c r="K9842" t="s">
        <v>23</v>
      </c>
    </row>
    <row r="9843" spans="1:11" ht="42" customHeight="1">
      <c r="A9843" t="s">
        <v>19446</v>
      </c>
      <c r="B9843" t="s">
        <v>19446</v>
      </c>
      <c r="C9843" t="s">
        <v>293</v>
      </c>
      <c r="D9843" t="s">
        <v>74</v>
      </c>
      <c r="E9843" s="6">
        <v>-27975</v>
      </c>
      <c r="F9843" t="s">
        <v>47</v>
      </c>
      <c r="G9843" t="s">
        <v>39</v>
      </c>
      <c r="H9843" t="s">
        <v>21</v>
      </c>
      <c r="I9843" t="s">
        <v>19452</v>
      </c>
      <c r="J9843" t="str">
        <f>HYPERLINK("https://www.boe.es/gazeta/dias/1823/05/28/pdfs/GES-1823-50.pdf#page=1","Abrir facsímil")</f>
        <v>Abrir facsímil</v>
      </c>
      <c r="K9843" t="s">
        <v>23</v>
      </c>
    </row>
    <row r="9844" spans="1:11" ht="42" customHeight="1">
      <c r="A9844" t="s">
        <v>19446</v>
      </c>
      <c r="B9844" t="s">
        <v>19446</v>
      </c>
      <c r="C9844" t="s">
        <v>293</v>
      </c>
      <c r="D9844" t="s">
        <v>74</v>
      </c>
      <c r="E9844" s="6">
        <v>-27940</v>
      </c>
      <c r="F9844" t="s">
        <v>348</v>
      </c>
      <c r="G9844" t="s">
        <v>39</v>
      </c>
      <c r="H9844" t="s">
        <v>21</v>
      </c>
      <c r="I9844" t="s">
        <v>19453</v>
      </c>
      <c r="J9844" t="str">
        <f>HYPERLINK("https://www.boe.es/gazeta/dias/1823/07/02/pdfs/GES-1823-82.pdf#page=1","Abrir facsímil")</f>
        <v>Abrir facsímil</v>
      </c>
      <c r="K9844" t="s">
        <v>23</v>
      </c>
    </row>
    <row r="9845" spans="1:11" ht="42" customHeight="1">
      <c r="A9845" t="s">
        <v>19446</v>
      </c>
      <c r="B9845" t="s">
        <v>19446</v>
      </c>
      <c r="C9845" t="s">
        <v>73</v>
      </c>
      <c r="D9845" t="s">
        <v>74</v>
      </c>
      <c r="E9845" s="6">
        <v>-27910</v>
      </c>
      <c r="F9845" t="s">
        <v>38</v>
      </c>
      <c r="G9845" t="s">
        <v>27</v>
      </c>
      <c r="H9845" t="s">
        <v>21</v>
      </c>
      <c r="I9845" t="s">
        <v>19454</v>
      </c>
      <c r="J9845" t="str">
        <f>HYPERLINK("https://www.boe.es/gazeta/dias/1823/08/01/pdfs/GES-1823-113.pdf#page=2","Abrir facsímil")</f>
        <v>Abrir facsímil</v>
      </c>
      <c r="K9845" t="s">
        <v>23</v>
      </c>
    </row>
    <row r="9846" spans="1:11" ht="42" customHeight="1">
      <c r="A9846" t="s">
        <v>19446</v>
      </c>
      <c r="B9846" t="s">
        <v>19446</v>
      </c>
      <c r="C9846" t="s">
        <v>56</v>
      </c>
      <c r="D9846" t="s">
        <v>57</v>
      </c>
      <c r="E9846" s="6">
        <v>-27909</v>
      </c>
      <c r="F9846" t="s">
        <v>948</v>
      </c>
      <c r="G9846" t="s">
        <v>20</v>
      </c>
      <c r="H9846" t="s">
        <v>21</v>
      </c>
      <c r="I9846" t="s">
        <v>19455</v>
      </c>
      <c r="J9846" t="str">
        <f>HYPERLINK("https://www.boe.es/gazeta/dias/1823/08/02/pdfs/GES-1823-114.pdf#page=4","Abrir facsímil")</f>
        <v>Abrir facsímil</v>
      </c>
      <c r="K9846" t="s">
        <v>23</v>
      </c>
    </row>
    <row r="9847" spans="1:11" ht="42" customHeight="1">
      <c r="A9847" t="s">
        <v>19456</v>
      </c>
      <c r="B9847" t="s">
        <v>19456</v>
      </c>
      <c r="C9847" t="s">
        <v>17</v>
      </c>
      <c r="D9847" t="s">
        <v>18</v>
      </c>
      <c r="E9847" s="6">
        <v>-27967</v>
      </c>
      <c r="F9847" t="s">
        <v>412</v>
      </c>
      <c r="G9847" t="s">
        <v>27</v>
      </c>
      <c r="H9847" t="s">
        <v>21</v>
      </c>
      <c r="I9847" t="s">
        <v>19457</v>
      </c>
      <c r="J9847" t="str">
        <f>HYPERLINK("https://www.boe.es/gazeta/dias/1823/06/05/pdfs/GES-1823-59.pdf#page=2","Abrir facsímil")</f>
        <v>Abrir facsímil</v>
      </c>
      <c r="K9847" t="s">
        <v>23</v>
      </c>
    </row>
    <row r="9848" spans="1:11" ht="42" customHeight="1">
      <c r="A9848" t="s">
        <v>19456</v>
      </c>
      <c r="B9848" t="s">
        <v>19456</v>
      </c>
      <c r="C9848" t="s">
        <v>17</v>
      </c>
      <c r="D9848" t="s">
        <v>18</v>
      </c>
      <c r="E9848" s="6">
        <v>-27967</v>
      </c>
      <c r="F9848" t="s">
        <v>412</v>
      </c>
      <c r="G9848" t="s">
        <v>34</v>
      </c>
      <c r="H9848" t="s">
        <v>21</v>
      </c>
      <c r="I9848" t="s">
        <v>19458</v>
      </c>
      <c r="J9848" t="str">
        <f>HYPERLINK("https://www.boe.es/gazeta/dias/1823/06/05/pdfs/GES-1823-59.pdf#page=5","Abrir facsímil")</f>
        <v>Abrir facsímil</v>
      </c>
      <c r="K9848" t="s">
        <v>23</v>
      </c>
    </row>
    <row r="9849" spans="1:11" ht="42" customHeight="1">
      <c r="A9849" t="s">
        <v>19456</v>
      </c>
      <c r="B9849" t="s">
        <v>19456</v>
      </c>
      <c r="C9849" t="s">
        <v>17</v>
      </c>
      <c r="D9849" t="s">
        <v>18</v>
      </c>
      <c r="E9849" s="6">
        <v>-27966</v>
      </c>
      <c r="F9849" t="s">
        <v>675</v>
      </c>
      <c r="G9849" t="s">
        <v>39</v>
      </c>
      <c r="H9849" t="s">
        <v>21</v>
      </c>
      <c r="I9849" t="s">
        <v>19459</v>
      </c>
      <c r="J9849" t="str">
        <f>HYPERLINK("https://www.boe.es/gazeta/dias/1823/06/06/pdfs/GES-1823-60.pdf#page=1","Abrir facsímil")</f>
        <v>Abrir facsímil</v>
      </c>
      <c r="K9849" t="s">
        <v>23</v>
      </c>
    </row>
    <row r="9850" spans="1:11" ht="42" customHeight="1">
      <c r="A9850" t="s">
        <v>19456</v>
      </c>
      <c r="B9850" t="s">
        <v>19456</v>
      </c>
      <c r="C9850" t="s">
        <v>17</v>
      </c>
      <c r="D9850" t="s">
        <v>18</v>
      </c>
      <c r="E9850" s="6">
        <v>-27965</v>
      </c>
      <c r="F9850" t="s">
        <v>208</v>
      </c>
      <c r="G9850" t="s">
        <v>39</v>
      </c>
      <c r="H9850" t="s">
        <v>21</v>
      </c>
      <c r="I9850" t="s">
        <v>19460</v>
      </c>
      <c r="J9850" t="str">
        <f>HYPERLINK("https://www.boe.es/gazeta/dias/1823/06/07/pdfs/GES-1823-61.pdf#page=1","Abrir facsímil")</f>
        <v>Abrir facsímil</v>
      </c>
      <c r="K9850" t="s">
        <v>23</v>
      </c>
    </row>
    <row r="9851" spans="1:11" ht="42" customHeight="1">
      <c r="A9851" t="s">
        <v>19461</v>
      </c>
      <c r="B9851" t="s">
        <v>19462</v>
      </c>
      <c r="C9851" t="s">
        <v>17</v>
      </c>
      <c r="D9851" t="s">
        <v>18</v>
      </c>
      <c r="E9851" s="6">
        <v>-27996</v>
      </c>
      <c r="F9851" t="s">
        <v>695</v>
      </c>
      <c r="G9851" t="s">
        <v>20</v>
      </c>
      <c r="H9851" t="s">
        <v>21</v>
      </c>
      <c r="I9851" t="s">
        <v>19463</v>
      </c>
      <c r="J9851" t="str">
        <f>HYPERLINK("https://www.boe.es/gazeta/dias/1823/05/07/pdfs/GES-1823-27.pdf#page=4","Abrir facsímil")</f>
        <v>Abrir facsímil</v>
      </c>
      <c r="K9851" t="s">
        <v>23</v>
      </c>
    </row>
    <row r="9852" spans="1:11" ht="42" customHeight="1">
      <c r="A9852" t="s">
        <v>19464</v>
      </c>
      <c r="B9852" t="s">
        <v>19465</v>
      </c>
      <c r="C9852" t="s">
        <v>79</v>
      </c>
      <c r="D9852" t="s">
        <v>74</v>
      </c>
      <c r="E9852" s="6">
        <v>-27889</v>
      </c>
      <c r="F9852" t="s">
        <v>1306</v>
      </c>
      <c r="G9852" t="s">
        <v>20</v>
      </c>
      <c r="H9852" t="s">
        <v>21</v>
      </c>
      <c r="I9852" t="s">
        <v>19466</v>
      </c>
      <c r="J9852" t="str">
        <f>HYPERLINK("https://www.boe.es/gazeta/dias/1823/08/22/pdfs/GES-1823-135.pdf#page=4","Abrir facsímil")</f>
        <v>Abrir facsímil</v>
      </c>
      <c r="K9852" t="s">
        <v>23</v>
      </c>
    </row>
    <row r="9853" spans="1:11" ht="42" customHeight="1">
      <c r="A9853" t="s">
        <v>19467</v>
      </c>
      <c r="B9853" t="s">
        <v>19468</v>
      </c>
      <c r="C9853" t="s">
        <v>17</v>
      </c>
      <c r="D9853" t="s">
        <v>18</v>
      </c>
      <c r="E9853" s="6">
        <v>-28027</v>
      </c>
      <c r="F9853" t="s">
        <v>4234</v>
      </c>
      <c r="G9853" t="s">
        <v>27</v>
      </c>
      <c r="H9853" t="s">
        <v>21</v>
      </c>
      <c r="I9853" t="s">
        <v>19469</v>
      </c>
      <c r="J9853" t="str">
        <f>HYPERLINK("https://www.boe.es/gazeta/dias/1823/04/06/pdfs/GMD-1823-101.pdf#page=2","Abrir facsímil")</f>
        <v>Abrir facsímil</v>
      </c>
      <c r="K9853" t="s">
        <v>23</v>
      </c>
    </row>
    <row r="9854" spans="1:11" ht="42" customHeight="1">
      <c r="A9854" t="s">
        <v>19470</v>
      </c>
      <c r="B9854" t="s">
        <v>19471</v>
      </c>
      <c r="C9854" t="s">
        <v>293</v>
      </c>
      <c r="D9854" t="s">
        <v>74</v>
      </c>
      <c r="E9854" s="6">
        <v>-28033</v>
      </c>
      <c r="F9854" t="s">
        <v>1372</v>
      </c>
      <c r="G9854" t="s">
        <v>27</v>
      </c>
      <c r="H9854" t="s">
        <v>21</v>
      </c>
      <c r="I9854" t="s">
        <v>19472</v>
      </c>
      <c r="J9854" t="str">
        <f>HYPERLINK("https://www.boe.es/gazeta/dias/1823/03/31/pdfs/GMD-1823-94.pdf#page=2","Abrir facsímil")</f>
        <v>Abrir facsímil</v>
      </c>
      <c r="K9854" t="s">
        <v>23</v>
      </c>
    </row>
    <row r="9855" spans="1:11" ht="42" customHeight="1">
      <c r="A9855" t="s">
        <v>19470</v>
      </c>
      <c r="B9855" t="s">
        <v>19471</v>
      </c>
      <c r="C9855" t="s">
        <v>17</v>
      </c>
      <c r="D9855" t="s">
        <v>18</v>
      </c>
      <c r="E9855" s="6">
        <v>-28027</v>
      </c>
      <c r="F9855" t="s">
        <v>4234</v>
      </c>
      <c r="G9855" t="s">
        <v>27</v>
      </c>
      <c r="H9855" t="s">
        <v>21</v>
      </c>
      <c r="I9855" t="s">
        <v>19473</v>
      </c>
      <c r="J9855" t="str">
        <f>HYPERLINK("https://www.boe.es/gazeta/dias/1823/04/06/pdfs/GMD-1823-101.pdf#page=2","Abrir facsímil")</f>
        <v>Abrir facsímil</v>
      </c>
      <c r="K9855" t="s">
        <v>23</v>
      </c>
    </row>
    <row r="9856" spans="1:11" ht="42" customHeight="1">
      <c r="A9856" t="s">
        <v>19474</v>
      </c>
      <c r="B9856" t="s">
        <v>19474</v>
      </c>
      <c r="C9856" t="s">
        <v>17</v>
      </c>
      <c r="D9856" t="s">
        <v>18</v>
      </c>
      <c r="E9856" s="6">
        <v>-28101</v>
      </c>
      <c r="F9856" t="s">
        <v>1041</v>
      </c>
      <c r="G9856" t="s">
        <v>48</v>
      </c>
      <c r="H9856" t="s">
        <v>21</v>
      </c>
      <c r="I9856" t="s">
        <v>19475</v>
      </c>
      <c r="J9856" t="str">
        <f>HYPERLINK("https://www.boe.es/gazeta/dias/1823/01/22/pdfs/GMD-1823-23.pdf#page=3","Abrir facsímil")</f>
        <v>Abrir facsímil</v>
      </c>
      <c r="K9856" t="s">
        <v>23</v>
      </c>
    </row>
    <row r="9857" spans="1:11" ht="42" customHeight="1">
      <c r="A9857" t="s">
        <v>19476</v>
      </c>
      <c r="B9857" t="s">
        <v>19476</v>
      </c>
      <c r="C9857" t="s">
        <v>84</v>
      </c>
      <c r="D9857" t="s">
        <v>74</v>
      </c>
      <c r="E9857" s="6">
        <v>-27964</v>
      </c>
      <c r="F9857" t="s">
        <v>58</v>
      </c>
      <c r="G9857" t="s">
        <v>20</v>
      </c>
      <c r="H9857" t="s">
        <v>21</v>
      </c>
      <c r="I9857" t="s">
        <v>19477</v>
      </c>
      <c r="J9857" t="str">
        <f>HYPERLINK("https://www.boe.es/gazeta/dias/1823/06/08/pdfs/GES-1823-62.pdf#page=4","Abrir facsímil")</f>
        <v>Abrir facsímil</v>
      </c>
      <c r="K9857" t="s">
        <v>23</v>
      </c>
    </row>
    <row r="9858" spans="1:11" ht="42" customHeight="1">
      <c r="A9858" t="s">
        <v>19478</v>
      </c>
      <c r="B9858" t="s">
        <v>19479</v>
      </c>
      <c r="C9858" t="s">
        <v>17</v>
      </c>
      <c r="D9858" t="s">
        <v>18</v>
      </c>
      <c r="E9858" s="6">
        <v>-28092</v>
      </c>
      <c r="F9858" t="s">
        <v>105</v>
      </c>
      <c r="G9858" t="s">
        <v>20</v>
      </c>
      <c r="H9858" t="s">
        <v>21</v>
      </c>
      <c r="I9858" t="s">
        <v>19480</v>
      </c>
      <c r="J9858" t="str">
        <f>HYPERLINK("https://www.boe.es/gazeta/dias/1823/01/31/pdfs/GMD-1823-32.pdf#page=4","Abrir facsímil")</f>
        <v>Abrir facsímil</v>
      </c>
      <c r="K9858" t="s">
        <v>23</v>
      </c>
    </row>
    <row r="9859" spans="1:11" ht="42" customHeight="1">
      <c r="A9859" t="s">
        <v>19478</v>
      </c>
      <c r="B9859" t="s">
        <v>19479</v>
      </c>
      <c r="C9859" t="s">
        <v>17</v>
      </c>
      <c r="D9859" t="s">
        <v>18</v>
      </c>
      <c r="E9859" s="6">
        <v>-27960</v>
      </c>
      <c r="F9859" t="s">
        <v>741</v>
      </c>
      <c r="G9859" t="s">
        <v>39</v>
      </c>
      <c r="H9859" t="s">
        <v>21</v>
      </c>
      <c r="I9859" t="s">
        <v>19481</v>
      </c>
      <c r="J9859" t="str">
        <f>HYPERLINK("https://www.boe.es/gazeta/dias/1823/06/12/pdfs/GES-1823-66.pdf#page=1","Abrir facsímil")</f>
        <v>Abrir facsímil</v>
      </c>
      <c r="K9859" t="s">
        <v>23</v>
      </c>
    </row>
    <row r="9860" spans="1:11" ht="42" customHeight="1">
      <c r="A9860" t="s">
        <v>19482</v>
      </c>
      <c r="B9860" t="s">
        <v>19482</v>
      </c>
      <c r="C9860" t="s">
        <v>17</v>
      </c>
      <c r="D9860" t="s">
        <v>18</v>
      </c>
      <c r="E9860" s="6">
        <v>-28074</v>
      </c>
      <c r="F9860" t="s">
        <v>212</v>
      </c>
      <c r="G9860" t="s">
        <v>39</v>
      </c>
      <c r="H9860" t="s">
        <v>21</v>
      </c>
      <c r="I9860" t="s">
        <v>19483</v>
      </c>
      <c r="J9860" t="str">
        <f>HYPERLINK("https://www.boe.es/gazeta/dias/1823/02/18/pdfs/GMD-1823-52.pdf#page=1","Abrir facsímil")</f>
        <v>Abrir facsímil</v>
      </c>
      <c r="K9860" t="s">
        <v>23</v>
      </c>
    </row>
    <row r="9861" spans="1:11" ht="42" customHeight="1">
      <c r="A9861" t="s">
        <v>19484</v>
      </c>
      <c r="B9861" t="s">
        <v>19484</v>
      </c>
      <c r="C9861" t="s">
        <v>17</v>
      </c>
      <c r="D9861" t="s">
        <v>18</v>
      </c>
      <c r="E9861" s="6">
        <v>-28059</v>
      </c>
      <c r="F9861" t="s">
        <v>149</v>
      </c>
      <c r="G9861" t="s">
        <v>27</v>
      </c>
      <c r="H9861" t="s">
        <v>21</v>
      </c>
      <c r="I9861" t="s">
        <v>19485</v>
      </c>
      <c r="J9861" t="str">
        <f>HYPERLINK("https://www.boe.es/gazeta/dias/1823/03/05/pdfs/GMD-1823-68.pdf#page=2","Abrir facsímil")</f>
        <v>Abrir facsímil</v>
      </c>
      <c r="K9861" t="s">
        <v>23</v>
      </c>
    </row>
    <row r="9862" spans="1:11" ht="42" customHeight="1">
      <c r="A9862" t="s">
        <v>19484</v>
      </c>
      <c r="B9862" t="s">
        <v>19484</v>
      </c>
      <c r="C9862" t="s">
        <v>79</v>
      </c>
      <c r="D9862" t="s">
        <v>74</v>
      </c>
      <c r="E9862" s="6">
        <v>-27967</v>
      </c>
      <c r="F9862" t="s">
        <v>412</v>
      </c>
      <c r="G9862" t="s">
        <v>39</v>
      </c>
      <c r="H9862" t="s">
        <v>21</v>
      </c>
      <c r="I9862" t="s">
        <v>19486</v>
      </c>
      <c r="J9862" t="str">
        <f>HYPERLINK("https://www.boe.es/gazeta/dias/1823/06/05/pdfs/GES-1823-59.pdf#page=1","Abrir facsímil")</f>
        <v>Abrir facsímil</v>
      </c>
      <c r="K9862" t="s">
        <v>23</v>
      </c>
    </row>
    <row r="9863" spans="1:11" ht="42" customHeight="1">
      <c r="A9863" t="s">
        <v>19487</v>
      </c>
      <c r="B9863" t="s">
        <v>19487</v>
      </c>
      <c r="C9863" t="s">
        <v>56</v>
      </c>
      <c r="D9863" t="s">
        <v>57</v>
      </c>
      <c r="E9863" s="6">
        <v>-28062</v>
      </c>
      <c r="F9863" t="s">
        <v>1357</v>
      </c>
      <c r="G9863" t="s">
        <v>48</v>
      </c>
      <c r="H9863" t="s">
        <v>21</v>
      </c>
      <c r="I9863" t="s">
        <v>19488</v>
      </c>
      <c r="J9863" t="str">
        <f>HYPERLINK("https://www.boe.es/gazeta/dias/1823/03/02/pdfs/GMD-1823-65.pdf#page=3","Abrir facsímil")</f>
        <v>Abrir facsímil</v>
      </c>
      <c r="K9863" t="s">
        <v>23</v>
      </c>
    </row>
    <row r="9864" spans="1:11" ht="42" customHeight="1">
      <c r="A9864" t="s">
        <v>19489</v>
      </c>
      <c r="B9864" t="s">
        <v>19489</v>
      </c>
      <c r="C9864" t="s">
        <v>17</v>
      </c>
      <c r="D9864" t="s">
        <v>18</v>
      </c>
      <c r="E9864" s="6">
        <v>-28117</v>
      </c>
      <c r="F9864" t="s">
        <v>271</v>
      </c>
      <c r="G9864" t="s">
        <v>59</v>
      </c>
      <c r="H9864" t="s">
        <v>21</v>
      </c>
      <c r="I9864" t="s">
        <v>19490</v>
      </c>
      <c r="J9864" t="str">
        <f>HYPERLINK("https://www.boe.es/gazeta/dias/1823/01/06/pdfs/GMD-1823-6.pdf#page=6","Abrir facsímil")</f>
        <v>Abrir facsímil</v>
      </c>
      <c r="K9864" t="s">
        <v>23</v>
      </c>
    </row>
    <row r="9865" spans="1:11" ht="42" customHeight="1">
      <c r="A9865" t="s">
        <v>19489</v>
      </c>
      <c r="B9865" t="s">
        <v>19489</v>
      </c>
      <c r="C9865" t="s">
        <v>17</v>
      </c>
      <c r="D9865" t="s">
        <v>18</v>
      </c>
      <c r="E9865" s="6">
        <v>-28084</v>
      </c>
      <c r="F9865" t="s">
        <v>1049</v>
      </c>
      <c r="G9865" t="s">
        <v>48</v>
      </c>
      <c r="H9865" t="s">
        <v>21</v>
      </c>
      <c r="I9865" t="s">
        <v>19491</v>
      </c>
      <c r="J9865" t="str">
        <f>HYPERLINK("https://www.boe.es/gazeta/dias/1823/02/08/pdfs/GMD-1823-41.pdf#page=3","Abrir facsímil")</f>
        <v>Abrir facsímil</v>
      </c>
      <c r="K9865" t="s">
        <v>23</v>
      </c>
    </row>
    <row r="9866" spans="1:11" ht="42" customHeight="1">
      <c r="A9866" t="s">
        <v>19489</v>
      </c>
      <c r="B9866" t="s">
        <v>19489</v>
      </c>
      <c r="C9866" t="s">
        <v>73</v>
      </c>
      <c r="D9866" t="s">
        <v>74</v>
      </c>
      <c r="E9866" s="6">
        <v>-28057</v>
      </c>
      <c r="F9866" t="s">
        <v>301</v>
      </c>
      <c r="G9866" t="s">
        <v>20</v>
      </c>
      <c r="H9866" t="s">
        <v>21</v>
      </c>
      <c r="I9866" t="s">
        <v>19492</v>
      </c>
      <c r="J9866" t="str">
        <f>HYPERLINK("https://www.boe.es/gazeta/dias/1823/03/07/pdfs/GMD-1823-70.pdf#page=4","Abrir facsímil")</f>
        <v>Abrir facsímil</v>
      </c>
      <c r="K9866" t="s">
        <v>23</v>
      </c>
    </row>
    <row r="9867" spans="1:11" ht="42" customHeight="1">
      <c r="A9867" t="s">
        <v>19493</v>
      </c>
      <c r="B9867" t="s">
        <v>19494</v>
      </c>
      <c r="C9867" t="s">
        <v>17</v>
      </c>
      <c r="D9867" t="s">
        <v>18</v>
      </c>
      <c r="E9867" s="6">
        <v>-27964</v>
      </c>
      <c r="F9867" t="s">
        <v>58</v>
      </c>
      <c r="G9867" t="s">
        <v>59</v>
      </c>
      <c r="H9867" t="s">
        <v>21</v>
      </c>
      <c r="I9867" t="s">
        <v>19495</v>
      </c>
      <c r="J9867" t="str">
        <f>HYPERLINK("https://www.boe.es/gazeta/dias/1823/06/08/pdfs/GES-1823-62.pdf#page=6","Abrir facsímil")</f>
        <v>Abrir facsímil</v>
      </c>
      <c r="K9867" t="s">
        <v>23</v>
      </c>
    </row>
    <row r="9868" spans="1:11" ht="42" customHeight="1">
      <c r="A9868" t="s">
        <v>19496</v>
      </c>
      <c r="B9868" t="s">
        <v>19497</v>
      </c>
      <c r="C9868" t="s">
        <v>17</v>
      </c>
      <c r="D9868" t="s">
        <v>18</v>
      </c>
      <c r="E9868" s="6">
        <v>-28064</v>
      </c>
      <c r="F9868" t="s">
        <v>1190</v>
      </c>
      <c r="G9868" t="s">
        <v>20</v>
      </c>
      <c r="H9868" t="s">
        <v>21</v>
      </c>
      <c r="I9868" t="s">
        <v>19498</v>
      </c>
      <c r="J9868" t="str">
        <f>HYPERLINK("https://www.boe.es/gazeta/dias/1823/02/28/pdfs/GMD-1823-62.pdf#page=4","Abrir facsímil")</f>
        <v>Abrir facsímil</v>
      </c>
      <c r="K9868" t="s">
        <v>23</v>
      </c>
    </row>
    <row r="9869" spans="1:11" ht="42" customHeight="1">
      <c r="A9869" t="s">
        <v>19499</v>
      </c>
      <c r="B9869" t="s">
        <v>19500</v>
      </c>
      <c r="C9869" t="s">
        <v>56</v>
      </c>
      <c r="D9869" t="s">
        <v>57</v>
      </c>
      <c r="E9869" s="6">
        <v>-27891</v>
      </c>
      <c r="F9869" t="s">
        <v>825</v>
      </c>
      <c r="G9869" t="s">
        <v>20</v>
      </c>
      <c r="H9869" t="s">
        <v>28</v>
      </c>
      <c r="I9869" t="s">
        <v>19501</v>
      </c>
      <c r="J9869" t="str">
        <f>HYPERLINK("https://www.boe.es/gazeta/dias/1823/08/20/pdfs/GES-1823-133.pdf#page=4","Abrir facsímil")</f>
        <v>Abrir facsímil</v>
      </c>
      <c r="K9869" t="s">
        <v>30</v>
      </c>
    </row>
    <row r="9870" spans="1:11" ht="42" customHeight="1">
      <c r="A9870" t="s">
        <v>19502</v>
      </c>
      <c r="B9870" t="s">
        <v>19503</v>
      </c>
      <c r="C9870" t="s">
        <v>109</v>
      </c>
      <c r="D9870" t="s">
        <v>74</v>
      </c>
      <c r="E9870" s="6">
        <v>-27997</v>
      </c>
      <c r="F9870" t="s">
        <v>317</v>
      </c>
      <c r="G9870" t="s">
        <v>39</v>
      </c>
      <c r="H9870" t="s">
        <v>21</v>
      </c>
      <c r="I9870" t="s">
        <v>19504</v>
      </c>
      <c r="J9870" t="str">
        <f>HYPERLINK("https://www.boe.es/gazeta/dias/1823/05/06/pdfs/GES-1823-26.pdf#page=1","Abrir facsímil")</f>
        <v>Abrir facsímil</v>
      </c>
      <c r="K9870" t="s">
        <v>23</v>
      </c>
    </row>
    <row r="9871" spans="1:11" ht="42" customHeight="1">
      <c r="A9871" t="s">
        <v>19505</v>
      </c>
      <c r="B9871" t="s">
        <v>19506</v>
      </c>
      <c r="C9871" t="s">
        <v>17</v>
      </c>
      <c r="D9871" t="s">
        <v>18</v>
      </c>
      <c r="E9871" s="6">
        <v>-27864</v>
      </c>
      <c r="F9871" t="s">
        <v>395</v>
      </c>
      <c r="G9871" t="s">
        <v>20</v>
      </c>
      <c r="H9871" t="s">
        <v>21</v>
      </c>
      <c r="I9871" t="s">
        <v>19507</v>
      </c>
      <c r="J9871" t="str">
        <f>HYPERLINK("https://www.boe.es/gazeta/dias/1823/09/16/pdfs/GMD-1823-783.pdf#page=4","Abrir facsímil")</f>
        <v>Abrir facsímil</v>
      </c>
      <c r="K9871" t="s">
        <v>23</v>
      </c>
    </row>
    <row r="9872" spans="1:11" ht="42" customHeight="1">
      <c r="A9872" t="s">
        <v>19508</v>
      </c>
      <c r="B9872" t="s">
        <v>19508</v>
      </c>
      <c r="C9872" t="s">
        <v>79</v>
      </c>
      <c r="D9872" t="s">
        <v>74</v>
      </c>
      <c r="E9872" s="6">
        <v>-28079</v>
      </c>
      <c r="F9872" t="s">
        <v>178</v>
      </c>
      <c r="G9872" t="s">
        <v>39</v>
      </c>
      <c r="H9872" t="s">
        <v>21</v>
      </c>
      <c r="I9872" t="s">
        <v>19509</v>
      </c>
      <c r="J9872" t="str">
        <f>HYPERLINK("https://www.boe.es/gazeta/dias/1823/02/13/pdfs/GMD-1823-47.pdf#page=1","Abrir facsímil")</f>
        <v>Abrir facsímil</v>
      </c>
      <c r="K9872" t="s">
        <v>23</v>
      </c>
    </row>
    <row r="9873" spans="1:11" ht="42" customHeight="1">
      <c r="A9873" t="s">
        <v>19510</v>
      </c>
      <c r="B9873" t="s">
        <v>19511</v>
      </c>
      <c r="C9873" t="s">
        <v>17</v>
      </c>
      <c r="D9873" t="s">
        <v>18</v>
      </c>
      <c r="E9873" s="6">
        <v>-28053</v>
      </c>
      <c r="F9873" t="s">
        <v>303</v>
      </c>
      <c r="G9873" t="s">
        <v>48</v>
      </c>
      <c r="H9873" t="s">
        <v>28</v>
      </c>
      <c r="I9873" t="s">
        <v>19512</v>
      </c>
      <c r="J9873" t="str">
        <f>HYPERLINK("https://www.boe.es/gazeta/dias/1823/03/11/pdfs/GMD-1823-74.pdf#page=3","Abrir facsímil")</f>
        <v>Abrir facsímil</v>
      </c>
      <c r="K9873" t="s">
        <v>30</v>
      </c>
    </row>
    <row r="9874" spans="1:11" ht="42" customHeight="1">
      <c r="A9874" t="s">
        <v>19513</v>
      </c>
      <c r="B9874" t="s">
        <v>19514</v>
      </c>
      <c r="C9874" t="s">
        <v>17</v>
      </c>
      <c r="D9874" t="s">
        <v>18</v>
      </c>
      <c r="E9874" s="6">
        <v>-27995</v>
      </c>
      <c r="F9874" t="s">
        <v>320</v>
      </c>
      <c r="G9874" t="s">
        <v>59</v>
      </c>
      <c r="H9874" t="s">
        <v>21</v>
      </c>
      <c r="I9874" t="s">
        <v>19515</v>
      </c>
      <c r="J9874" t="str">
        <f>HYPERLINK("https://www.boe.es/gazeta/dias/1823/05/08/pdfs/GES-1823-28.pdf#page=6","Abrir facsímil")</f>
        <v>Abrir facsímil</v>
      </c>
      <c r="K9874" t="s">
        <v>23</v>
      </c>
    </row>
    <row r="9875" spans="1:11" ht="42" customHeight="1">
      <c r="A9875" t="s">
        <v>19516</v>
      </c>
      <c r="B9875" t="s">
        <v>19517</v>
      </c>
      <c r="C9875" t="s">
        <v>79</v>
      </c>
      <c r="D9875" t="s">
        <v>74</v>
      </c>
      <c r="E9875" s="6">
        <v>-28082</v>
      </c>
      <c r="F9875" t="s">
        <v>468</v>
      </c>
      <c r="G9875" t="s">
        <v>59</v>
      </c>
      <c r="H9875" t="s">
        <v>28</v>
      </c>
      <c r="I9875" t="s">
        <v>19518</v>
      </c>
      <c r="J9875" t="str">
        <f>HYPERLINK("https://www.boe.es/gazeta/dias/1823/02/10/pdfs/GMD-1823-44.pdf#page=6","Abrir facsímil")</f>
        <v>Abrir facsímil</v>
      </c>
      <c r="K9875" t="s">
        <v>30</v>
      </c>
    </row>
    <row r="9876" spans="1:11" ht="42" customHeight="1">
      <c r="A9876" t="s">
        <v>19519</v>
      </c>
      <c r="B9876" t="s">
        <v>19520</v>
      </c>
      <c r="C9876" t="s">
        <v>79</v>
      </c>
      <c r="D9876" t="s">
        <v>74</v>
      </c>
      <c r="E9876" s="6">
        <v>-28002</v>
      </c>
      <c r="F9876" t="s">
        <v>315</v>
      </c>
      <c r="G9876" t="s">
        <v>34</v>
      </c>
      <c r="H9876" t="s">
        <v>21</v>
      </c>
      <c r="I9876" t="s">
        <v>19521</v>
      </c>
      <c r="J9876" t="str">
        <f>HYPERLINK("https://www.boe.es/gazeta/dias/1823/05/01/pdfs/GES-1823-21.pdf#page=5","Abrir facsímil")</f>
        <v>Abrir facsímil</v>
      </c>
      <c r="K9876" t="s">
        <v>23</v>
      </c>
    </row>
    <row r="9877" spans="1:11" ht="42" customHeight="1">
      <c r="A9877" t="s">
        <v>19522</v>
      </c>
      <c r="B9877" t="s">
        <v>19522</v>
      </c>
      <c r="C9877" t="s">
        <v>17</v>
      </c>
      <c r="D9877" t="s">
        <v>18</v>
      </c>
      <c r="E9877" s="6">
        <v>-27992</v>
      </c>
      <c r="F9877" t="s">
        <v>565</v>
      </c>
      <c r="G9877" t="s">
        <v>39</v>
      </c>
      <c r="H9877" t="s">
        <v>21</v>
      </c>
      <c r="I9877" t="s">
        <v>19523</v>
      </c>
      <c r="J9877" t="str">
        <f>HYPERLINK("https://www.boe.es/gazeta/dias/1823/05/11/pdfs/GES-1823-31.pdf#page=1","Abrir facsímil")</f>
        <v>Abrir facsímil</v>
      </c>
      <c r="K9877" t="s">
        <v>23</v>
      </c>
    </row>
    <row r="9878" spans="1:11" ht="42" customHeight="1">
      <c r="A9878" t="s">
        <v>19522</v>
      </c>
      <c r="B9878" t="s">
        <v>19522</v>
      </c>
      <c r="C9878" t="s">
        <v>17</v>
      </c>
      <c r="D9878" t="s">
        <v>18</v>
      </c>
      <c r="E9878" s="6">
        <v>-27973</v>
      </c>
      <c r="F9878" t="s">
        <v>758</v>
      </c>
      <c r="G9878" t="s">
        <v>48</v>
      </c>
      <c r="H9878" t="s">
        <v>21</v>
      </c>
      <c r="I9878" t="s">
        <v>19524</v>
      </c>
      <c r="J9878" t="str">
        <f>HYPERLINK("https://www.boe.es/gazeta/dias/1823/05/30/pdfs/GES-1823-53.pdf#page=3","Abrir facsímil")</f>
        <v>Abrir facsímil</v>
      </c>
      <c r="K9878" t="s">
        <v>23</v>
      </c>
    </row>
    <row r="9879" spans="1:11" ht="42" customHeight="1">
      <c r="A9879" t="s">
        <v>19525</v>
      </c>
      <c r="B9879" t="s">
        <v>19526</v>
      </c>
      <c r="C9879" t="s">
        <v>17</v>
      </c>
      <c r="D9879" t="s">
        <v>18</v>
      </c>
      <c r="E9879" s="6">
        <v>-27984</v>
      </c>
      <c r="F9879" t="s">
        <v>335</v>
      </c>
      <c r="G9879" t="s">
        <v>27</v>
      </c>
      <c r="H9879" t="s">
        <v>21</v>
      </c>
      <c r="I9879" t="s">
        <v>19527</v>
      </c>
      <c r="J9879" t="str">
        <f>HYPERLINK("https://www.boe.es/gazeta/dias/1823/05/19/pdfs/GES-1823-39.pdf#page=2","Abrir facsímil")</f>
        <v>Abrir facsímil</v>
      </c>
      <c r="K9879" t="s">
        <v>23</v>
      </c>
    </row>
    <row r="9880" spans="1:11" ht="42" customHeight="1">
      <c r="A9880" t="s">
        <v>19528</v>
      </c>
      <c r="B9880" t="s">
        <v>19529</v>
      </c>
      <c r="C9880" t="s">
        <v>56</v>
      </c>
      <c r="D9880" t="s">
        <v>57</v>
      </c>
      <c r="E9880" s="6">
        <v>-28066</v>
      </c>
      <c r="F9880" t="s">
        <v>19</v>
      </c>
      <c r="G9880" t="s">
        <v>20</v>
      </c>
      <c r="H9880" t="s">
        <v>21</v>
      </c>
      <c r="I9880" t="s">
        <v>19530</v>
      </c>
      <c r="J9880" t="str">
        <f>HYPERLINK("https://www.boe.es/gazeta/dias/1823/02/26/pdfs/GMD-1823-60.pdf#page=4","Abrir facsímil")</f>
        <v>Abrir facsímil</v>
      </c>
      <c r="K9880" t="s">
        <v>23</v>
      </c>
    </row>
    <row r="9881" spans="1:11" ht="42" customHeight="1">
      <c r="A9881" t="s">
        <v>19531</v>
      </c>
      <c r="B9881" t="s">
        <v>19532</v>
      </c>
      <c r="C9881" t="s">
        <v>293</v>
      </c>
      <c r="D9881" t="s">
        <v>74</v>
      </c>
      <c r="E9881" s="6">
        <v>-28112</v>
      </c>
      <c r="F9881" t="s">
        <v>43</v>
      </c>
      <c r="G9881" t="s">
        <v>27</v>
      </c>
      <c r="H9881" t="s">
        <v>21</v>
      </c>
      <c r="I9881" t="s">
        <v>19533</v>
      </c>
      <c r="J9881" t="str">
        <f>HYPERLINK("https://www.boe.es/gazeta/dias/1823/01/11/pdfs/GMD-1823-11.pdf#page=2","Abrir facsímil")</f>
        <v>Abrir facsímil</v>
      </c>
      <c r="K9881" t="s">
        <v>23</v>
      </c>
    </row>
    <row r="9882" spans="1:11" ht="42" customHeight="1">
      <c r="A9882" t="s">
        <v>19534</v>
      </c>
      <c r="B9882" t="s">
        <v>19535</v>
      </c>
      <c r="C9882" t="s">
        <v>109</v>
      </c>
      <c r="D9882" t="s">
        <v>74</v>
      </c>
      <c r="E9882" s="6">
        <v>-27992</v>
      </c>
      <c r="F9882" t="s">
        <v>565</v>
      </c>
      <c r="G9882" t="s">
        <v>1279</v>
      </c>
      <c r="H9882" t="s">
        <v>21</v>
      </c>
      <c r="I9882" t="s">
        <v>19536</v>
      </c>
      <c r="J9882" t="str">
        <f>HYPERLINK("https://www.boe.es/gazeta/dias/1823/05/11/pdfs/GES-1823-31.pdf#page=2","Abrir facsímil")</f>
        <v>Abrir facsímil</v>
      </c>
      <c r="K9882" t="s">
        <v>23</v>
      </c>
    </row>
    <row r="9883" spans="1:11" ht="42" customHeight="1">
      <c r="A9883" t="s">
        <v>19537</v>
      </c>
      <c r="B9883" t="s">
        <v>19537</v>
      </c>
      <c r="C9883" t="s">
        <v>17</v>
      </c>
      <c r="D9883" t="s">
        <v>18</v>
      </c>
      <c r="E9883" s="6">
        <v>-28004</v>
      </c>
      <c r="F9883" t="s">
        <v>313</v>
      </c>
      <c r="G9883" t="s">
        <v>48</v>
      </c>
      <c r="H9883" t="s">
        <v>21</v>
      </c>
      <c r="I9883" t="s">
        <v>19538</v>
      </c>
      <c r="J9883" t="str">
        <f>HYPERLINK("https://www.boe.es/gazeta/dias/1823/04/29/pdfs/GMD-1823-72.pdf#page=3","Abrir facsímil")</f>
        <v>Abrir facsímil</v>
      </c>
      <c r="K9883" t="s">
        <v>23</v>
      </c>
    </row>
    <row r="9884" spans="1:11" ht="42" customHeight="1">
      <c r="A9884" t="s">
        <v>19539</v>
      </c>
      <c r="B9884" t="s">
        <v>19540</v>
      </c>
      <c r="C9884" t="s">
        <v>17</v>
      </c>
      <c r="D9884" t="s">
        <v>18</v>
      </c>
      <c r="E9884" s="6">
        <v>-28004</v>
      </c>
      <c r="F9884" t="s">
        <v>33</v>
      </c>
      <c r="G9884" t="s">
        <v>2827</v>
      </c>
      <c r="H9884" t="s">
        <v>21</v>
      </c>
      <c r="I9884" t="s">
        <v>19541</v>
      </c>
      <c r="J9884" t="str">
        <f>HYPERLINK("https://www.boe.es/gazeta/dias/1823/04/29/pdfs/GES-1823-19.pdf#page=6","Abrir facsímil")</f>
        <v>Abrir facsímil</v>
      </c>
      <c r="K9884" t="s">
        <v>23</v>
      </c>
    </row>
    <row r="9885" spans="1:11" ht="42" customHeight="1">
      <c r="A9885" t="s">
        <v>19542</v>
      </c>
      <c r="B9885" t="s">
        <v>19543</v>
      </c>
      <c r="C9885" t="s">
        <v>17</v>
      </c>
      <c r="D9885" t="s">
        <v>18</v>
      </c>
      <c r="E9885" s="6">
        <v>-28097</v>
      </c>
      <c r="F9885" t="s">
        <v>1368</v>
      </c>
      <c r="G9885" t="s">
        <v>20</v>
      </c>
      <c r="H9885" t="s">
        <v>21</v>
      </c>
      <c r="I9885" t="s">
        <v>19544</v>
      </c>
      <c r="J9885" t="str">
        <f>HYPERLINK("https://www.boe.es/gazeta/dias/1823/01/26/pdfs/GMD-1823-27.pdf#page=4","Abrir facsímil")</f>
        <v>Abrir facsímil</v>
      </c>
      <c r="K9885" t="s">
        <v>23</v>
      </c>
    </row>
    <row r="9886" spans="1:11" ht="42" customHeight="1">
      <c r="A9886" t="s">
        <v>19545</v>
      </c>
      <c r="B9886" t="s">
        <v>19546</v>
      </c>
      <c r="C9886" t="s">
        <v>17</v>
      </c>
      <c r="D9886" t="s">
        <v>18</v>
      </c>
      <c r="E9886" s="6">
        <v>-28034</v>
      </c>
      <c r="F9886" t="s">
        <v>6937</v>
      </c>
      <c r="G9886" t="s">
        <v>20</v>
      </c>
      <c r="H9886" t="s">
        <v>21</v>
      </c>
      <c r="I9886" t="s">
        <v>19547</v>
      </c>
      <c r="J9886" t="str">
        <f>HYPERLINK("https://www.boe.es/gazeta/dias/1823/03/30/pdfs/GMD-1823-93.pdf#page=4","Abrir facsímil")</f>
        <v>Abrir facsímil</v>
      </c>
      <c r="K9886" t="s">
        <v>23</v>
      </c>
    </row>
    <row r="9887" spans="1:11" ht="42" customHeight="1">
      <c r="A9887" t="s">
        <v>19548</v>
      </c>
      <c r="B9887" t="s">
        <v>19548</v>
      </c>
      <c r="C9887" t="s">
        <v>79</v>
      </c>
      <c r="D9887" t="s">
        <v>74</v>
      </c>
      <c r="E9887" s="6">
        <v>-28011</v>
      </c>
      <c r="F9887" t="s">
        <v>3326</v>
      </c>
      <c r="G9887" t="s">
        <v>20</v>
      </c>
      <c r="H9887" t="s">
        <v>21</v>
      </c>
      <c r="I9887" t="s">
        <v>19549</v>
      </c>
      <c r="J9887" t="str">
        <f>HYPERLINK("https://www.boe.es/gazeta/dias/1823/04/22/pdfs/GES-1823-12.pdf#page=4","Abrir facsímil")</f>
        <v>Abrir facsímil</v>
      </c>
      <c r="K9887" t="s">
        <v>23</v>
      </c>
    </row>
    <row r="9888" spans="1:11" ht="42" customHeight="1">
      <c r="A9888" t="s">
        <v>19548</v>
      </c>
      <c r="B9888" t="s">
        <v>19548</v>
      </c>
      <c r="C9888" t="s">
        <v>17</v>
      </c>
      <c r="D9888" t="s">
        <v>18</v>
      </c>
      <c r="E9888" s="6">
        <v>-27930</v>
      </c>
      <c r="F9888" t="s">
        <v>2334</v>
      </c>
      <c r="G9888" t="s">
        <v>20</v>
      </c>
      <c r="H9888" t="s">
        <v>21</v>
      </c>
      <c r="I9888" t="s">
        <v>19550</v>
      </c>
      <c r="J9888" t="str">
        <f>HYPERLINK("https://www.boe.es/gazeta/dias/1823/07/12/pdfs/GES-1823-92.pdf#page=4","Abrir facsímil")</f>
        <v>Abrir facsímil</v>
      </c>
      <c r="K9888" t="s">
        <v>23</v>
      </c>
    </row>
    <row r="9889" spans="1:11" ht="42" customHeight="1">
      <c r="A9889" t="s">
        <v>19551</v>
      </c>
      <c r="B9889" t="s">
        <v>19552</v>
      </c>
      <c r="C9889" t="s">
        <v>17</v>
      </c>
      <c r="D9889" t="s">
        <v>18</v>
      </c>
      <c r="E9889" s="6">
        <v>-28100</v>
      </c>
      <c r="F9889" t="s">
        <v>737</v>
      </c>
      <c r="G9889" t="s">
        <v>20</v>
      </c>
      <c r="H9889" t="s">
        <v>21</v>
      </c>
      <c r="I9889" t="s">
        <v>19553</v>
      </c>
      <c r="J9889" t="str">
        <f>HYPERLINK("https://www.boe.es/gazeta/dias/1823/01/23/pdfs/GMD-1823-24.pdf#page=4","Abrir facsímil")</f>
        <v>Abrir facsímil</v>
      </c>
      <c r="K9889" t="s">
        <v>23</v>
      </c>
    </row>
    <row r="9890" spans="1:11" ht="42" customHeight="1">
      <c r="A9890" t="s">
        <v>19554</v>
      </c>
      <c r="B9890" t="s">
        <v>19555</v>
      </c>
      <c r="C9890" t="s">
        <v>17</v>
      </c>
      <c r="D9890" t="s">
        <v>18</v>
      </c>
      <c r="E9890" s="6">
        <v>-27841</v>
      </c>
      <c r="F9890" t="s">
        <v>721</v>
      </c>
      <c r="G9890" t="s">
        <v>39</v>
      </c>
      <c r="H9890" t="s">
        <v>21</v>
      </c>
      <c r="I9890" t="s">
        <v>19556</v>
      </c>
      <c r="J9890" t="str">
        <f>HYPERLINK("https://www.boe.es/gazeta/dias/1823/10/09/pdfs/GMD-1823-953.pdf#page=1","Abrir facsímil")</f>
        <v>Abrir facsímil</v>
      </c>
      <c r="K9890" t="s">
        <v>23</v>
      </c>
    </row>
    <row r="9891" spans="1:11" ht="42" customHeight="1">
      <c r="A9891" t="s">
        <v>19557</v>
      </c>
      <c r="B9891" t="s">
        <v>19558</v>
      </c>
      <c r="C9891" t="s">
        <v>56</v>
      </c>
      <c r="D9891" t="s">
        <v>57</v>
      </c>
      <c r="E9891" s="6">
        <v>-28085</v>
      </c>
      <c r="F9891" t="s">
        <v>458</v>
      </c>
      <c r="G9891" t="s">
        <v>59</v>
      </c>
      <c r="H9891" t="s">
        <v>21</v>
      </c>
      <c r="I9891" t="s">
        <v>19559</v>
      </c>
      <c r="J9891" t="str">
        <f>HYPERLINK("https://www.boe.es/gazeta/dias/1823/02/07/pdfs/GMD-1823-40.pdf#page=6","Abrir facsímil")</f>
        <v>Abrir facsímil</v>
      </c>
      <c r="K9891" t="s">
        <v>23</v>
      </c>
    </row>
    <row r="9892" spans="1:11" ht="42" customHeight="1">
      <c r="A9892" t="s">
        <v>19560</v>
      </c>
      <c r="B9892" t="s">
        <v>19561</v>
      </c>
      <c r="C9892" t="s">
        <v>17</v>
      </c>
      <c r="D9892" t="s">
        <v>18</v>
      </c>
      <c r="E9892" s="6">
        <v>-28028</v>
      </c>
      <c r="F9892" t="s">
        <v>893</v>
      </c>
      <c r="G9892" t="s">
        <v>20</v>
      </c>
      <c r="H9892" t="s">
        <v>21</v>
      </c>
      <c r="I9892" t="s">
        <v>19562</v>
      </c>
      <c r="J9892" t="str">
        <f>HYPERLINK("https://www.boe.es/gazeta/dias/1823/04/05/pdfs/GMD-1823-99.pdf#page=4","Abrir facsímil")</f>
        <v>Abrir facsímil</v>
      </c>
      <c r="K9892" t="s">
        <v>23</v>
      </c>
    </row>
    <row r="9893" spans="1:11" ht="42" customHeight="1">
      <c r="A9893" t="s">
        <v>19563</v>
      </c>
      <c r="B9893" t="s">
        <v>19564</v>
      </c>
      <c r="C9893" t="s">
        <v>17</v>
      </c>
      <c r="D9893" t="s">
        <v>18</v>
      </c>
      <c r="E9893" s="6">
        <v>-28018</v>
      </c>
      <c r="F9893" t="s">
        <v>2613</v>
      </c>
      <c r="G9893" t="s">
        <v>4093</v>
      </c>
      <c r="H9893" t="s">
        <v>21</v>
      </c>
      <c r="I9893" t="s">
        <v>19565</v>
      </c>
      <c r="J9893" t="str">
        <f>HYPERLINK("https://www.boe.es/gazeta/dias/1823/04/15/pdfs/GES-1823-5.pdf#page=6","Abrir facsímil")</f>
        <v>Abrir facsímil</v>
      </c>
      <c r="K9893" t="s">
        <v>23</v>
      </c>
    </row>
    <row r="9894" spans="1:11" ht="42" customHeight="1">
      <c r="A9894" t="s">
        <v>19560</v>
      </c>
      <c r="B9894" t="s">
        <v>19561</v>
      </c>
      <c r="C9894" t="s">
        <v>17</v>
      </c>
      <c r="D9894" t="s">
        <v>18</v>
      </c>
      <c r="E9894" s="6">
        <v>-28017</v>
      </c>
      <c r="F9894" t="s">
        <v>2912</v>
      </c>
      <c r="G9894" t="s">
        <v>20</v>
      </c>
      <c r="H9894" t="s">
        <v>21</v>
      </c>
      <c r="I9894" t="s">
        <v>19566</v>
      </c>
      <c r="J9894" t="str">
        <f>HYPERLINK("https://www.boe.es/gazeta/dias/1823/04/16/pdfs/GES-1823-6.pdf#page=4","Abrir facsímil")</f>
        <v>Abrir facsímil</v>
      </c>
      <c r="K9894" t="s">
        <v>23</v>
      </c>
    </row>
    <row r="9895" spans="1:11" ht="42" customHeight="1">
      <c r="A9895" t="s">
        <v>19563</v>
      </c>
      <c r="B9895" t="s">
        <v>19564</v>
      </c>
      <c r="C9895" t="s">
        <v>17</v>
      </c>
      <c r="D9895" t="s">
        <v>18</v>
      </c>
      <c r="E9895" s="6">
        <v>-27980</v>
      </c>
      <c r="F9895" t="s">
        <v>1068</v>
      </c>
      <c r="G9895" t="s">
        <v>59</v>
      </c>
      <c r="H9895" t="s">
        <v>21</v>
      </c>
      <c r="I9895" t="s">
        <v>19567</v>
      </c>
      <c r="J9895" t="str">
        <f>HYPERLINK("https://www.boe.es/gazeta/dias/1823/05/23/pdfs/GES-1823-44.pdf#page=6","Abrir facsímil")</f>
        <v>Abrir facsímil</v>
      </c>
      <c r="K9895" t="s">
        <v>23</v>
      </c>
    </row>
    <row r="9896" spans="1:11" ht="42" customHeight="1">
      <c r="A9896" t="s">
        <v>19568</v>
      </c>
      <c r="B9896" t="s">
        <v>19569</v>
      </c>
      <c r="C9896" t="s">
        <v>56</v>
      </c>
      <c r="D9896" t="s">
        <v>57</v>
      </c>
      <c r="E9896" s="6">
        <v>-27930</v>
      </c>
      <c r="F9896" t="s">
        <v>2334</v>
      </c>
      <c r="G9896" t="s">
        <v>20</v>
      </c>
      <c r="H9896" t="s">
        <v>21</v>
      </c>
      <c r="I9896" t="s">
        <v>19570</v>
      </c>
      <c r="J9896" t="str">
        <f>HYPERLINK("https://www.boe.es/gazeta/dias/1823/07/12/pdfs/GES-1823-92.pdf#page=4","Abrir facsímil")</f>
        <v>Abrir facsímil</v>
      </c>
      <c r="K9896" t="s">
        <v>23</v>
      </c>
    </row>
    <row r="9897" spans="1:11" ht="42" customHeight="1">
      <c r="A9897" t="s">
        <v>19571</v>
      </c>
      <c r="B9897" t="s">
        <v>19572</v>
      </c>
      <c r="C9897" t="s">
        <v>17</v>
      </c>
      <c r="D9897" t="s">
        <v>18</v>
      </c>
      <c r="E9897" s="6">
        <v>-28065</v>
      </c>
      <c r="F9897" t="s">
        <v>686</v>
      </c>
      <c r="G9897" t="s">
        <v>48</v>
      </c>
      <c r="H9897" t="s">
        <v>28</v>
      </c>
      <c r="I9897" t="s">
        <v>19573</v>
      </c>
      <c r="J9897" t="str">
        <f>HYPERLINK("https://www.boe.es/gazeta/dias/1823/02/27/pdfs/GMD-1823-61.pdf#page=3","Abrir facsímil")</f>
        <v>Abrir facsímil</v>
      </c>
      <c r="K9897" t="s">
        <v>30</v>
      </c>
    </row>
    <row r="9898" spans="1:11" ht="42" customHeight="1">
      <c r="A9898" t="s">
        <v>19574</v>
      </c>
      <c r="B9898" t="s">
        <v>19574</v>
      </c>
      <c r="C9898" t="s">
        <v>17</v>
      </c>
      <c r="D9898" t="s">
        <v>18</v>
      </c>
      <c r="E9898" s="6">
        <v>-28015</v>
      </c>
      <c r="F9898" t="s">
        <v>985</v>
      </c>
      <c r="G9898" t="s">
        <v>48</v>
      </c>
      <c r="H9898" t="s">
        <v>21</v>
      </c>
      <c r="I9898" t="s">
        <v>19575</v>
      </c>
      <c r="J9898" t="str">
        <f>HYPERLINK("https://www.boe.es/gazeta/dias/1823/04/18/pdfs/GES-1823-8.pdf#page=3","Abrir facsímil")</f>
        <v>Abrir facsímil</v>
      </c>
      <c r="K9898" t="s">
        <v>23</v>
      </c>
    </row>
    <row r="9899" spans="1:11" ht="42" customHeight="1">
      <c r="A9899" t="s">
        <v>19576</v>
      </c>
      <c r="B9899" t="s">
        <v>19576</v>
      </c>
      <c r="C9899" t="s">
        <v>79</v>
      </c>
      <c r="D9899" t="s">
        <v>74</v>
      </c>
      <c r="E9899" s="6">
        <v>-27849</v>
      </c>
      <c r="F9899" t="s">
        <v>7011</v>
      </c>
      <c r="G9899" t="s">
        <v>20</v>
      </c>
      <c r="H9899" t="s">
        <v>21</v>
      </c>
      <c r="I9899" t="s">
        <v>19577</v>
      </c>
      <c r="J9899" t="str">
        <f>HYPERLINK("https://www.boe.es/gazeta/dias/1823/10/01/pdfs/GES-1823-175.pdf#page=4","Abrir facsímil")</f>
        <v>Abrir facsímil</v>
      </c>
      <c r="K9899" t="s">
        <v>23</v>
      </c>
    </row>
    <row r="9900" spans="1:11" ht="42" customHeight="1">
      <c r="A9900" t="s">
        <v>19578</v>
      </c>
      <c r="B9900" t="s">
        <v>19579</v>
      </c>
      <c r="C9900" t="s">
        <v>17</v>
      </c>
      <c r="D9900" t="s">
        <v>18</v>
      </c>
      <c r="E9900" s="6">
        <v>-27878</v>
      </c>
      <c r="F9900" t="s">
        <v>1581</v>
      </c>
      <c r="G9900" t="s">
        <v>20</v>
      </c>
      <c r="H9900" t="s">
        <v>21</v>
      </c>
      <c r="I9900" t="s">
        <v>19580</v>
      </c>
      <c r="J9900" t="str">
        <f>HYPERLINK("https://www.boe.es/gazeta/dias/1823/09/02/pdfs/GMD-1823-683.pdf#page=4","Abrir facsímil")</f>
        <v>Abrir facsímil</v>
      </c>
      <c r="K9900" t="s">
        <v>23</v>
      </c>
    </row>
    <row r="9901" spans="1:11" ht="42" customHeight="1">
      <c r="A9901" t="s">
        <v>19581</v>
      </c>
      <c r="B9901" t="s">
        <v>19582</v>
      </c>
      <c r="C9901" t="s">
        <v>79</v>
      </c>
      <c r="D9901" t="s">
        <v>74</v>
      </c>
      <c r="E9901" s="6">
        <v>-27963</v>
      </c>
      <c r="F9901" t="s">
        <v>344</v>
      </c>
      <c r="G9901" t="s">
        <v>48</v>
      </c>
      <c r="H9901" t="s">
        <v>21</v>
      </c>
      <c r="I9901" t="s">
        <v>19583</v>
      </c>
      <c r="J9901" t="str">
        <f>HYPERLINK("https://www.boe.es/gazeta/dias/1823/06/09/pdfs/GES-1823-63.pdf#page=3","Abrir facsímil")</f>
        <v>Abrir facsímil</v>
      </c>
      <c r="K9901" t="s">
        <v>23</v>
      </c>
    </row>
    <row r="9902" spans="1:11" ht="42" customHeight="1">
      <c r="A9902" t="s">
        <v>19584</v>
      </c>
      <c r="B9902" t="s">
        <v>19584</v>
      </c>
      <c r="C9902" t="s">
        <v>17</v>
      </c>
      <c r="D9902" t="s">
        <v>18</v>
      </c>
      <c r="E9902" s="6">
        <v>-27916</v>
      </c>
      <c r="F9902" t="s">
        <v>1558</v>
      </c>
      <c r="G9902" t="s">
        <v>39</v>
      </c>
      <c r="H9902" t="s">
        <v>21</v>
      </c>
      <c r="I9902" t="s">
        <v>19585</v>
      </c>
      <c r="J9902" t="str">
        <f>HYPERLINK("https://www.boe.es/gazeta/dias/1823/07/26/pdfs/GMD-1823-473.pdf#page=1","Abrir facsímil")</f>
        <v>Abrir facsímil</v>
      </c>
      <c r="K9902" t="s">
        <v>23</v>
      </c>
    </row>
    <row r="9903" spans="1:11" ht="42" customHeight="1">
      <c r="A9903" t="s">
        <v>19586</v>
      </c>
      <c r="B9903" t="s">
        <v>19587</v>
      </c>
      <c r="C9903" t="s">
        <v>109</v>
      </c>
      <c r="D9903" t="s">
        <v>74</v>
      </c>
      <c r="E9903" s="6">
        <v>-28063</v>
      </c>
      <c r="F9903" t="s">
        <v>2493</v>
      </c>
      <c r="G9903" t="s">
        <v>48</v>
      </c>
      <c r="H9903" t="s">
        <v>21</v>
      </c>
      <c r="I9903" t="s">
        <v>19588</v>
      </c>
      <c r="J9903" t="str">
        <f>HYPERLINK("https://www.boe.es/gazeta/dias/1823/03/01/pdfs/GMD-1823-63.pdf#page=3","Abrir facsímil")</f>
        <v>Abrir facsímil</v>
      </c>
      <c r="K9903" t="s">
        <v>23</v>
      </c>
    </row>
    <row r="9904" spans="1:11" ht="42" customHeight="1">
      <c r="A9904" t="s">
        <v>19589</v>
      </c>
      <c r="B9904" t="s">
        <v>19590</v>
      </c>
      <c r="C9904" t="s">
        <v>17</v>
      </c>
      <c r="D9904" t="s">
        <v>117</v>
      </c>
      <c r="E9904" s="6">
        <v>-27943</v>
      </c>
      <c r="F9904" t="s">
        <v>2511</v>
      </c>
      <c r="G9904" t="s">
        <v>39</v>
      </c>
      <c r="H9904" t="s">
        <v>21</v>
      </c>
      <c r="I9904" t="s">
        <v>19591</v>
      </c>
      <c r="J9904" t="str">
        <f>HYPERLINK("https://www.boe.es/gazeta/dias/1823/06/29/pdfs/GMD-1823-313E.pdf#page=1","Abrir facsímil")</f>
        <v>Abrir facsímil</v>
      </c>
      <c r="K9904" t="s">
        <v>23</v>
      </c>
    </row>
    <row r="9905" spans="1:11" ht="42" customHeight="1">
      <c r="A9905" t="s">
        <v>19592</v>
      </c>
      <c r="B9905" t="s">
        <v>19593</v>
      </c>
      <c r="C9905" t="s">
        <v>17</v>
      </c>
      <c r="D9905" t="s">
        <v>117</v>
      </c>
      <c r="E9905" s="6">
        <v>-27943</v>
      </c>
      <c r="F9905" t="s">
        <v>2511</v>
      </c>
      <c r="G9905" t="s">
        <v>39</v>
      </c>
      <c r="H9905" t="s">
        <v>21</v>
      </c>
      <c r="I9905" t="s">
        <v>19594</v>
      </c>
      <c r="J9905" t="str">
        <f>HYPERLINK("https://www.boe.es/gazeta/dias/1823/06/29/pdfs/GMD-1823-313E.pdf#page=1","Abrir facsímil")</f>
        <v>Abrir facsímil</v>
      </c>
      <c r="K9905" t="s">
        <v>23</v>
      </c>
    </row>
    <row r="9906" spans="1:11" ht="42" customHeight="1">
      <c r="A9906" t="s">
        <v>19595</v>
      </c>
      <c r="B9906" t="s">
        <v>19595</v>
      </c>
      <c r="C9906" t="s">
        <v>17</v>
      </c>
      <c r="D9906" t="s">
        <v>18</v>
      </c>
      <c r="E9906" s="6">
        <v>-28002</v>
      </c>
      <c r="F9906" t="s">
        <v>245</v>
      </c>
      <c r="G9906" t="s">
        <v>27</v>
      </c>
      <c r="H9906" t="s">
        <v>21</v>
      </c>
      <c r="I9906" t="s">
        <v>19596</v>
      </c>
      <c r="J9906" t="str">
        <f>HYPERLINK("https://www.boe.es/gazeta/dias/1823/05/01/pdfs/GMD-1823-82.pdf#page=2","Abrir facsímil")</f>
        <v>Abrir facsímil</v>
      </c>
      <c r="K9906" t="s">
        <v>23</v>
      </c>
    </row>
    <row r="9907" spans="1:11" ht="42" customHeight="1">
      <c r="A9907" t="s">
        <v>19597</v>
      </c>
      <c r="B9907" t="s">
        <v>19597</v>
      </c>
      <c r="C9907" t="s">
        <v>79</v>
      </c>
      <c r="D9907" t="s">
        <v>74</v>
      </c>
      <c r="E9907" s="6">
        <v>-27951</v>
      </c>
      <c r="F9907" t="s">
        <v>548</v>
      </c>
      <c r="G9907" t="s">
        <v>27</v>
      </c>
      <c r="H9907" t="s">
        <v>21</v>
      </c>
      <c r="I9907" t="s">
        <v>19598</v>
      </c>
      <c r="J9907" t="str">
        <f>HYPERLINK("https://www.boe.es/gazeta/dias/1823/06/21/pdfs/GES-1823-69.pdf#page=2","Abrir facsímil")</f>
        <v>Abrir facsímil</v>
      </c>
      <c r="K9907" t="s">
        <v>23</v>
      </c>
    </row>
    <row r="9908" spans="1:11" ht="42" customHeight="1">
      <c r="A9908" t="s">
        <v>19599</v>
      </c>
      <c r="B9908" t="s">
        <v>19599</v>
      </c>
      <c r="C9908" t="s">
        <v>56</v>
      </c>
      <c r="D9908" t="s">
        <v>57</v>
      </c>
      <c r="E9908" s="6">
        <v>-28043</v>
      </c>
      <c r="F9908" t="s">
        <v>69</v>
      </c>
      <c r="G9908" t="s">
        <v>59</v>
      </c>
      <c r="H9908" t="s">
        <v>21</v>
      </c>
      <c r="I9908" t="s">
        <v>19600</v>
      </c>
      <c r="J9908" t="str">
        <f>HYPERLINK("https://www.boe.es/gazeta/dias/1823/03/21/pdfs/GMD-1823-84.pdf#page=6","Abrir facsímil")</f>
        <v>Abrir facsímil</v>
      </c>
      <c r="K9908" t="s">
        <v>23</v>
      </c>
    </row>
    <row r="9909" spans="1:11" ht="42" customHeight="1">
      <c r="A9909" t="s">
        <v>19601</v>
      </c>
      <c r="B9909" t="s">
        <v>19602</v>
      </c>
      <c r="C9909" t="s">
        <v>56</v>
      </c>
      <c r="D9909" t="s">
        <v>57</v>
      </c>
      <c r="E9909" s="6">
        <v>-28118</v>
      </c>
      <c r="F9909" t="s">
        <v>252</v>
      </c>
      <c r="G9909" t="s">
        <v>253</v>
      </c>
      <c r="H9909" t="s">
        <v>21</v>
      </c>
      <c r="I9909" t="s">
        <v>19603</v>
      </c>
      <c r="J9909" t="str">
        <f>HYPERLINK("https://www.boe.es/gazeta/dias/1823/01/05/pdfs/GMD-1823-5.pdf#page=2","Abrir facsímil")</f>
        <v>Abrir facsímil</v>
      </c>
      <c r="K9909" t="s">
        <v>23</v>
      </c>
    </row>
    <row r="9910" spans="1:11" ht="42" customHeight="1">
      <c r="A9910" t="s">
        <v>19604</v>
      </c>
      <c r="B9910" t="s">
        <v>19604</v>
      </c>
      <c r="C9910" t="s">
        <v>17</v>
      </c>
      <c r="D9910" t="s">
        <v>18</v>
      </c>
      <c r="E9910" s="6">
        <v>-28073</v>
      </c>
      <c r="F9910" t="s">
        <v>204</v>
      </c>
      <c r="G9910" t="s">
        <v>27</v>
      </c>
      <c r="H9910" t="s">
        <v>21</v>
      </c>
      <c r="I9910" t="s">
        <v>19605</v>
      </c>
      <c r="J9910" t="str">
        <f>HYPERLINK("https://www.boe.es/gazeta/dias/1823/02/19/pdfs/GMD-1823-53.pdf#page=2","Abrir facsímil")</f>
        <v>Abrir facsímil</v>
      </c>
      <c r="K9910" t="s">
        <v>23</v>
      </c>
    </row>
    <row r="9911" spans="1:11" ht="42" customHeight="1">
      <c r="A9911" t="s">
        <v>19606</v>
      </c>
      <c r="B9911" t="s">
        <v>19607</v>
      </c>
      <c r="C9911" t="s">
        <v>17</v>
      </c>
      <c r="D9911" t="s">
        <v>18</v>
      </c>
      <c r="E9911" s="6">
        <v>-27878</v>
      </c>
      <c r="F9911" t="s">
        <v>1581</v>
      </c>
      <c r="G9911" t="s">
        <v>39</v>
      </c>
      <c r="H9911" t="s">
        <v>21</v>
      </c>
      <c r="I9911" t="s">
        <v>19608</v>
      </c>
      <c r="J9911" t="str">
        <f>HYPERLINK("https://www.boe.es/gazeta/dias/1823/09/02/pdfs/GMD-1823-683.pdf#page=1","Abrir facsímil")</f>
        <v>Abrir facsímil</v>
      </c>
      <c r="K9911" t="s">
        <v>23</v>
      </c>
    </row>
    <row r="9912" spans="1:11" ht="42" customHeight="1">
      <c r="A9912" t="s">
        <v>19609</v>
      </c>
      <c r="B9912" t="s">
        <v>19610</v>
      </c>
      <c r="C9912" t="s">
        <v>56</v>
      </c>
      <c r="D9912" t="s">
        <v>57</v>
      </c>
      <c r="E9912" s="6">
        <v>-27913</v>
      </c>
      <c r="F9912" t="s">
        <v>829</v>
      </c>
      <c r="G9912" t="s">
        <v>20</v>
      </c>
      <c r="H9912" t="s">
        <v>28</v>
      </c>
      <c r="I9912" t="s">
        <v>19611</v>
      </c>
      <c r="J9912" t="str">
        <f>HYPERLINK("https://www.boe.es/gazeta/dias/1823/07/29/pdfs/GMD-1823-483.pdf#page=4","Abrir facsímil")</f>
        <v>Abrir facsímil</v>
      </c>
      <c r="K9912" t="s">
        <v>30</v>
      </c>
    </row>
    <row r="9913" spans="1:11" ht="42" customHeight="1">
      <c r="A9913" t="s">
        <v>19612</v>
      </c>
      <c r="B9913" t="s">
        <v>19612</v>
      </c>
      <c r="C9913" t="s">
        <v>17</v>
      </c>
      <c r="D9913" t="s">
        <v>18</v>
      </c>
      <c r="E9913" s="6">
        <v>-27980</v>
      </c>
      <c r="F9913" t="s">
        <v>1068</v>
      </c>
      <c r="G9913" t="s">
        <v>20</v>
      </c>
      <c r="H9913" t="s">
        <v>21</v>
      </c>
      <c r="I9913" t="s">
        <v>19613</v>
      </c>
      <c r="J9913" t="str">
        <f>HYPERLINK("https://www.boe.es/gazeta/dias/1823/05/23/pdfs/GES-1823-44.pdf#page=4","Abrir facsímil")</f>
        <v>Abrir facsímil</v>
      </c>
      <c r="K9913" t="s">
        <v>23</v>
      </c>
    </row>
    <row r="9914" spans="1:11" ht="42" customHeight="1">
      <c r="A9914" t="s">
        <v>19614</v>
      </c>
      <c r="B9914" t="s">
        <v>19615</v>
      </c>
      <c r="C9914" t="s">
        <v>79</v>
      </c>
      <c r="D9914" t="s">
        <v>74</v>
      </c>
      <c r="E9914" s="6">
        <v>-27963</v>
      </c>
      <c r="F9914" t="s">
        <v>344</v>
      </c>
      <c r="G9914" t="s">
        <v>34</v>
      </c>
      <c r="H9914" t="s">
        <v>21</v>
      </c>
      <c r="I9914" t="s">
        <v>19616</v>
      </c>
      <c r="J9914" t="str">
        <f>HYPERLINK("https://www.boe.es/gazeta/dias/1823/06/09/pdfs/GES-1823-63.pdf#page=5","Abrir facsímil")</f>
        <v>Abrir facsímil</v>
      </c>
      <c r="K9914" t="s">
        <v>23</v>
      </c>
    </row>
    <row r="9915" spans="1:11" ht="42" customHeight="1">
      <c r="A9915" t="s">
        <v>19617</v>
      </c>
      <c r="B9915" t="s">
        <v>19618</v>
      </c>
      <c r="C9915" t="s">
        <v>17</v>
      </c>
      <c r="D9915" t="s">
        <v>18</v>
      </c>
      <c r="E9915" s="6">
        <v>-27944</v>
      </c>
      <c r="F9915" t="s">
        <v>658</v>
      </c>
      <c r="G9915" t="s">
        <v>48</v>
      </c>
      <c r="H9915" t="s">
        <v>21</v>
      </c>
      <c r="I9915" t="s">
        <v>19619</v>
      </c>
      <c r="J9915" t="str">
        <f>HYPERLINK("https://www.boe.es/gazeta/dias/1823/06/28/pdfs/GMD-1823-303.pdf#page=3","Abrir facsímil")</f>
        <v>Abrir facsímil</v>
      </c>
      <c r="K9915" t="s">
        <v>23</v>
      </c>
    </row>
    <row r="9916" spans="1:11" ht="42" customHeight="1">
      <c r="A9916" t="s">
        <v>19620</v>
      </c>
      <c r="B9916" t="s">
        <v>19621</v>
      </c>
      <c r="C9916" t="s">
        <v>79</v>
      </c>
      <c r="D9916" t="s">
        <v>74</v>
      </c>
      <c r="E9916" s="6">
        <v>-27895</v>
      </c>
      <c r="F9916" t="s">
        <v>734</v>
      </c>
      <c r="G9916" t="s">
        <v>48</v>
      </c>
      <c r="H9916" t="s">
        <v>28</v>
      </c>
      <c r="I9916" t="s">
        <v>19622</v>
      </c>
      <c r="J9916" t="str">
        <f>HYPERLINK("https://www.boe.es/gazeta/dias/1823/08/16/pdfs/GES-1823-129.pdf#page=3","Abrir facsímil")</f>
        <v>Abrir facsímil</v>
      </c>
      <c r="K9916" t="s">
        <v>30</v>
      </c>
    </row>
    <row r="9917" spans="1:11" ht="42" customHeight="1">
      <c r="A9917" t="s">
        <v>19623</v>
      </c>
      <c r="B9917" t="s">
        <v>19624</v>
      </c>
      <c r="C9917" t="s">
        <v>17</v>
      </c>
      <c r="D9917" t="s">
        <v>18</v>
      </c>
      <c r="E9917" s="6">
        <v>-27943</v>
      </c>
      <c r="F9917" t="s">
        <v>346</v>
      </c>
      <c r="G9917" t="s">
        <v>20</v>
      </c>
      <c r="H9917" t="s">
        <v>21</v>
      </c>
      <c r="I9917" t="s">
        <v>19625</v>
      </c>
      <c r="J9917" t="str">
        <f>HYPERLINK("https://www.boe.es/gazeta/dias/1823/06/29/pdfs/GES-1823-79.pdf#page=4","Abrir facsímil")</f>
        <v>Abrir facsímil</v>
      </c>
      <c r="K9917" t="s">
        <v>23</v>
      </c>
    </row>
    <row r="9918" spans="1:11" ht="42" customHeight="1">
      <c r="A9918" t="s">
        <v>19626</v>
      </c>
      <c r="B9918" t="s">
        <v>19627</v>
      </c>
      <c r="C9918" t="s">
        <v>79</v>
      </c>
      <c r="D9918" t="s">
        <v>74</v>
      </c>
      <c r="E9918" s="6">
        <v>-27920</v>
      </c>
      <c r="F9918" t="s">
        <v>1334</v>
      </c>
      <c r="G9918" t="s">
        <v>715</v>
      </c>
      <c r="H9918" t="s">
        <v>21</v>
      </c>
      <c r="I9918" t="s">
        <v>19628</v>
      </c>
      <c r="J9918" t="str">
        <f>HYPERLINK("https://www.boe.es/gazeta/dias/1823/07/22/pdfs/GMD-1823-443.pdf#page=8","Abrir facsímil")</f>
        <v>Abrir facsímil</v>
      </c>
      <c r="K9918" t="s">
        <v>23</v>
      </c>
    </row>
    <row r="9919" spans="1:11" ht="42" customHeight="1">
      <c r="A9919" t="s">
        <v>19629</v>
      </c>
      <c r="B9919" t="s">
        <v>19630</v>
      </c>
      <c r="C9919" t="s">
        <v>109</v>
      </c>
      <c r="D9919" t="s">
        <v>74</v>
      </c>
      <c r="E9919" s="6">
        <v>-27920</v>
      </c>
      <c r="F9919" t="s">
        <v>1334</v>
      </c>
      <c r="G9919" t="s">
        <v>715</v>
      </c>
      <c r="H9919" t="s">
        <v>21</v>
      </c>
      <c r="I9919" t="s">
        <v>19631</v>
      </c>
      <c r="J9919" t="str">
        <f>HYPERLINK("https://www.boe.es/gazeta/dias/1823/07/22/pdfs/GMD-1823-443.pdf#page=8","Abrir facsímil")</f>
        <v>Abrir facsímil</v>
      </c>
      <c r="K9919" t="s">
        <v>23</v>
      </c>
    </row>
    <row r="9920" spans="1:11" ht="42" customHeight="1">
      <c r="A9920" t="s">
        <v>19632</v>
      </c>
      <c r="B9920" t="s">
        <v>19632</v>
      </c>
      <c r="C9920" t="s">
        <v>17</v>
      </c>
      <c r="D9920" t="s">
        <v>18</v>
      </c>
      <c r="E9920" s="6">
        <v>-27995</v>
      </c>
      <c r="F9920" t="s">
        <v>320</v>
      </c>
      <c r="G9920" t="s">
        <v>321</v>
      </c>
      <c r="H9920" t="s">
        <v>21</v>
      </c>
      <c r="I9920" t="s">
        <v>19633</v>
      </c>
      <c r="J9920" t="str">
        <f>HYPERLINK("https://www.boe.es/gazeta/dias/1823/05/08/pdfs/GES-1823-28.pdf#page=3","Abrir facsímil")</f>
        <v>Abrir facsímil</v>
      </c>
      <c r="K9920" t="s">
        <v>23</v>
      </c>
    </row>
    <row r="9921" spans="1:11" ht="42" customHeight="1">
      <c r="A9921" t="s">
        <v>19634</v>
      </c>
      <c r="B9921" t="s">
        <v>19634</v>
      </c>
      <c r="C9921" t="s">
        <v>109</v>
      </c>
      <c r="D9921" t="s">
        <v>74</v>
      </c>
      <c r="E9921" s="6">
        <v>-27949</v>
      </c>
      <c r="F9921" t="s">
        <v>1162</v>
      </c>
      <c r="G9921" t="s">
        <v>48</v>
      </c>
      <c r="H9921" t="s">
        <v>21</v>
      </c>
      <c r="I9921" t="s">
        <v>19635</v>
      </c>
      <c r="J9921" t="str">
        <f>HYPERLINK("https://www.boe.es/gazeta/dias/1823/06/23/pdfs/GES-1823-71.pdf#page=3","Abrir facsímil")</f>
        <v>Abrir facsímil</v>
      </c>
      <c r="K9921" t="s">
        <v>23</v>
      </c>
    </row>
    <row r="9922" spans="1:11" ht="42" customHeight="1">
      <c r="A9922" t="s">
        <v>19636</v>
      </c>
      <c r="B9922" t="s">
        <v>19637</v>
      </c>
      <c r="C9922" t="s">
        <v>79</v>
      </c>
      <c r="D9922" t="s">
        <v>74</v>
      </c>
      <c r="E9922" s="6">
        <v>-28032</v>
      </c>
      <c r="F9922" t="s">
        <v>668</v>
      </c>
      <c r="G9922" t="s">
        <v>39</v>
      </c>
      <c r="H9922" t="s">
        <v>21</v>
      </c>
      <c r="I9922" t="s">
        <v>19638</v>
      </c>
      <c r="J9922" t="str">
        <f>HYPERLINK("https://www.boe.es/gazeta/dias/1823/04/01/pdfs/GMD-1823-95.pdf#page=1","Abrir facsímil")</f>
        <v>Abrir facsímil</v>
      </c>
      <c r="K9922" t="s">
        <v>23</v>
      </c>
    </row>
    <row r="9923" spans="1:11" ht="42" customHeight="1">
      <c r="A9923" t="s">
        <v>19639</v>
      </c>
      <c r="B9923" t="s">
        <v>19640</v>
      </c>
      <c r="C9923" t="s">
        <v>84</v>
      </c>
      <c r="D9923" t="s">
        <v>74</v>
      </c>
      <c r="E9923" s="6">
        <v>-28024</v>
      </c>
      <c r="F9923" t="s">
        <v>1659</v>
      </c>
      <c r="G9923" t="s">
        <v>11526</v>
      </c>
      <c r="H9923" t="s">
        <v>21</v>
      </c>
      <c r="I9923" t="s">
        <v>19641</v>
      </c>
      <c r="J9923" t="str">
        <f>HYPERLINK("https://www.boe.es/gazeta/dias/1823/04/09/pdfs/GMD-1823-104.pdf#page=4","Abrir facsímil")</f>
        <v>Abrir facsímil</v>
      </c>
      <c r="K9923" t="s">
        <v>23</v>
      </c>
    </row>
    <row r="9924" spans="1:11" ht="42" customHeight="1">
      <c r="A9924" t="s">
        <v>19642</v>
      </c>
      <c r="B9924" t="s">
        <v>19643</v>
      </c>
      <c r="C9924" t="s">
        <v>56</v>
      </c>
      <c r="D9924" t="s">
        <v>57</v>
      </c>
      <c r="E9924" s="6">
        <v>-28115</v>
      </c>
      <c r="F9924" t="s">
        <v>579</v>
      </c>
      <c r="G9924" t="s">
        <v>1458</v>
      </c>
      <c r="H9924" t="s">
        <v>21</v>
      </c>
      <c r="I9924" t="s">
        <v>19644</v>
      </c>
      <c r="J9924" t="str">
        <f>HYPERLINK("https://www.boe.es/gazeta/dias/1823/01/08/pdfs/GMD-1823-8.pdf#page=4","Abrir facsímil")</f>
        <v>Abrir facsímil</v>
      </c>
      <c r="K9924" t="s">
        <v>23</v>
      </c>
    </row>
    <row r="9925" spans="1:11" ht="42" customHeight="1">
      <c r="A9925" t="s">
        <v>19645</v>
      </c>
      <c r="B9925" t="s">
        <v>19646</v>
      </c>
      <c r="C9925" t="s">
        <v>17</v>
      </c>
      <c r="D9925" t="s">
        <v>18</v>
      </c>
      <c r="E9925" s="6">
        <v>-27877</v>
      </c>
      <c r="F9925" t="s">
        <v>844</v>
      </c>
      <c r="G9925" t="s">
        <v>20</v>
      </c>
      <c r="H9925" t="s">
        <v>28</v>
      </c>
      <c r="I9925" t="s">
        <v>19647</v>
      </c>
      <c r="J9925" t="str">
        <f>HYPERLINK("https://www.boe.es/gazeta/dias/1823/09/03/pdfs/GES-1823-147.pdf#page=4","Abrir facsímil")</f>
        <v>Abrir facsímil</v>
      </c>
      <c r="K9925" t="s">
        <v>30</v>
      </c>
    </row>
    <row r="9926" spans="1:11" ht="42" customHeight="1">
      <c r="A9926" t="s">
        <v>19648</v>
      </c>
      <c r="B9926" t="s">
        <v>19649</v>
      </c>
      <c r="C9926" t="s">
        <v>17</v>
      </c>
      <c r="D9926" t="s">
        <v>18</v>
      </c>
      <c r="E9926" s="6">
        <v>-27910</v>
      </c>
      <c r="F9926" t="s">
        <v>38</v>
      </c>
      <c r="G9926" t="s">
        <v>39</v>
      </c>
      <c r="H9926" t="s">
        <v>21</v>
      </c>
      <c r="I9926" t="s">
        <v>19650</v>
      </c>
      <c r="J9926" t="str">
        <f>HYPERLINK("https://www.boe.es/gazeta/dias/1823/08/01/pdfs/GES-1823-113.pdf#page=1","Abrir facsímil")</f>
        <v>Abrir facsímil</v>
      </c>
      <c r="K9926" t="s">
        <v>23</v>
      </c>
    </row>
    <row r="9927" spans="1:11" ht="42" customHeight="1">
      <c r="A9927" t="s">
        <v>19651</v>
      </c>
      <c r="B9927" t="s">
        <v>19651</v>
      </c>
      <c r="C9927" t="s">
        <v>17</v>
      </c>
      <c r="D9927" t="s">
        <v>18</v>
      </c>
      <c r="E9927" s="6">
        <v>-27863</v>
      </c>
      <c r="F9927" t="s">
        <v>651</v>
      </c>
      <c r="G9927" t="s">
        <v>27</v>
      </c>
      <c r="H9927" t="s">
        <v>21</v>
      </c>
      <c r="I9927" t="s">
        <v>19652</v>
      </c>
      <c r="J9927" t="str">
        <f>HYPERLINK("https://www.boe.es/gazeta/dias/1823/09/17/pdfs/GES-1823-161.pdf#page=2","Abrir facsímil")</f>
        <v>Abrir facsímil</v>
      </c>
      <c r="K9927" t="s">
        <v>23</v>
      </c>
    </row>
    <row r="9928" spans="1:11" ht="42" customHeight="1">
      <c r="A9928" t="s">
        <v>19651</v>
      </c>
      <c r="B9928" t="s">
        <v>19651</v>
      </c>
      <c r="C9928" t="s">
        <v>17</v>
      </c>
      <c r="D9928" t="s">
        <v>18</v>
      </c>
      <c r="E9928" s="6">
        <v>-27861</v>
      </c>
      <c r="F9928" t="s">
        <v>425</v>
      </c>
      <c r="G9928" t="s">
        <v>27</v>
      </c>
      <c r="H9928" t="s">
        <v>21</v>
      </c>
      <c r="I9928" t="s">
        <v>19653</v>
      </c>
      <c r="J9928" t="str">
        <f>HYPERLINK("https://www.boe.es/gazeta/dias/1823/09/19/pdfs/GES-1823-163.pdf#page=2","Abrir facsímil")</f>
        <v>Abrir facsímil</v>
      </c>
      <c r="K9928" t="s">
        <v>23</v>
      </c>
    </row>
    <row r="9929" spans="1:11" ht="42" customHeight="1">
      <c r="A9929" t="s">
        <v>19654</v>
      </c>
      <c r="B9929" t="s">
        <v>19655</v>
      </c>
      <c r="C9929" t="s">
        <v>17</v>
      </c>
      <c r="D9929" t="s">
        <v>18</v>
      </c>
      <c r="E9929" s="6">
        <v>-27863</v>
      </c>
      <c r="F9929" t="s">
        <v>651</v>
      </c>
      <c r="G9929" t="s">
        <v>27</v>
      </c>
      <c r="H9929" t="s">
        <v>21</v>
      </c>
      <c r="I9929" t="s">
        <v>19656</v>
      </c>
      <c r="J9929" t="str">
        <f>HYPERLINK("https://www.boe.es/gazeta/dias/1823/09/17/pdfs/GES-1823-161.pdf#page=2","Abrir facsímil")</f>
        <v>Abrir facsímil</v>
      </c>
      <c r="K9929" t="s">
        <v>23</v>
      </c>
    </row>
    <row r="9930" spans="1:11" ht="42" customHeight="1">
      <c r="A9930" t="s">
        <v>19657</v>
      </c>
      <c r="B9930" t="s">
        <v>19658</v>
      </c>
      <c r="C9930" t="s">
        <v>17</v>
      </c>
      <c r="D9930" t="s">
        <v>18</v>
      </c>
      <c r="E9930" s="6">
        <v>-27887</v>
      </c>
      <c r="F9930" t="s">
        <v>1196</v>
      </c>
      <c r="G9930" t="s">
        <v>20</v>
      </c>
      <c r="H9930" t="s">
        <v>21</v>
      </c>
      <c r="I9930" t="s">
        <v>19659</v>
      </c>
      <c r="J9930" t="str">
        <f>HYPERLINK("https://www.boe.es/gazeta/dias/1823/08/24/pdfs/GES-1823-137.pdf#page=4","Abrir facsímil")</f>
        <v>Abrir facsímil</v>
      </c>
      <c r="K9930" t="s">
        <v>23</v>
      </c>
    </row>
    <row r="9931" spans="1:11" ht="42" customHeight="1">
      <c r="A9931" t="s">
        <v>19660</v>
      </c>
      <c r="B9931" t="s">
        <v>19661</v>
      </c>
      <c r="C9931" t="s">
        <v>17</v>
      </c>
      <c r="D9931" t="s">
        <v>18</v>
      </c>
      <c r="E9931" s="6">
        <v>-27932</v>
      </c>
      <c r="F9931" t="s">
        <v>786</v>
      </c>
      <c r="G9931" t="s">
        <v>59</v>
      </c>
      <c r="H9931" t="s">
        <v>21</v>
      </c>
      <c r="I9931" t="s">
        <v>19662</v>
      </c>
      <c r="J9931" t="str">
        <f>HYPERLINK("https://www.boe.es/gazeta/dias/1823/07/10/pdfs/GMD-1823-363.pdf#page=6","Abrir facsímil")</f>
        <v>Abrir facsímil</v>
      </c>
      <c r="K9931" t="s">
        <v>23</v>
      </c>
    </row>
    <row r="9932" spans="1:11" ht="42" customHeight="1">
      <c r="A9932" t="s">
        <v>19663</v>
      </c>
      <c r="B9932" t="s">
        <v>19664</v>
      </c>
      <c r="C9932" t="s">
        <v>17</v>
      </c>
      <c r="D9932" t="s">
        <v>18</v>
      </c>
      <c r="E9932" s="6">
        <v>-27988</v>
      </c>
      <c r="F9932" t="s">
        <v>692</v>
      </c>
      <c r="G9932" t="s">
        <v>39</v>
      </c>
      <c r="H9932" t="s">
        <v>21</v>
      </c>
      <c r="I9932" t="s">
        <v>19665</v>
      </c>
      <c r="J9932" t="str">
        <f>HYPERLINK("https://www.boe.es/gazeta/dias/1823/05/15/pdfs/GES-1823-35.pdf#page=1","Abrir facsímil")</f>
        <v>Abrir facsímil</v>
      </c>
      <c r="K9932" t="s">
        <v>23</v>
      </c>
    </row>
    <row r="9933" spans="1:11" ht="42" customHeight="1">
      <c r="A9933" t="s">
        <v>19666</v>
      </c>
      <c r="B9933" t="s">
        <v>19667</v>
      </c>
      <c r="C9933" t="s">
        <v>73</v>
      </c>
      <c r="D9933" t="s">
        <v>74</v>
      </c>
      <c r="E9933" s="6">
        <v>-28047</v>
      </c>
      <c r="F9933" t="s">
        <v>2269</v>
      </c>
      <c r="G9933" t="s">
        <v>48</v>
      </c>
      <c r="H9933" t="s">
        <v>21</v>
      </c>
      <c r="I9933" t="s">
        <v>19668</v>
      </c>
      <c r="J9933" t="str">
        <f>HYPERLINK("https://www.boe.es/gazeta/dias/1823/03/17/pdfs/GMD-1823-80.pdf#page=3","Abrir facsímil")</f>
        <v>Abrir facsímil</v>
      </c>
      <c r="K9933" t="s">
        <v>23</v>
      </c>
    </row>
    <row r="9934" spans="1:11" ht="42" customHeight="1">
      <c r="A9934" t="s">
        <v>19669</v>
      </c>
      <c r="B9934" t="s">
        <v>19670</v>
      </c>
      <c r="C9934" t="s">
        <v>17</v>
      </c>
      <c r="D9934" t="s">
        <v>18</v>
      </c>
      <c r="E9934" s="6">
        <v>-28073</v>
      </c>
      <c r="F9934" t="s">
        <v>204</v>
      </c>
      <c r="G9934" t="s">
        <v>20</v>
      </c>
      <c r="H9934" t="s">
        <v>21</v>
      </c>
      <c r="I9934" t="s">
        <v>19671</v>
      </c>
      <c r="J9934" t="str">
        <f>HYPERLINK("https://www.boe.es/gazeta/dias/1823/02/19/pdfs/GMD-1823-53.pdf#page=4","Abrir facsímil")</f>
        <v>Abrir facsímil</v>
      </c>
      <c r="K9934" t="s">
        <v>23</v>
      </c>
    </row>
    <row r="9935" spans="1:11" ht="42" customHeight="1">
      <c r="A9935" t="s">
        <v>19669</v>
      </c>
      <c r="B9935" t="s">
        <v>19670</v>
      </c>
      <c r="C9935" t="s">
        <v>17</v>
      </c>
      <c r="D9935" t="s">
        <v>18</v>
      </c>
      <c r="E9935" s="6">
        <v>-28058</v>
      </c>
      <c r="F9935" t="s">
        <v>1282</v>
      </c>
      <c r="G9935" t="s">
        <v>59</v>
      </c>
      <c r="H9935" t="s">
        <v>21</v>
      </c>
      <c r="I9935" t="s">
        <v>19672</v>
      </c>
      <c r="J9935" t="str">
        <f>HYPERLINK("https://www.boe.es/gazeta/dias/1823/03/06/pdfs/GMD-1823-69.pdf#page=6","Abrir facsímil")</f>
        <v>Abrir facsímil</v>
      </c>
      <c r="K9935" t="s">
        <v>23</v>
      </c>
    </row>
    <row r="9936" spans="1:11" ht="42" customHeight="1">
      <c r="A9936" t="s">
        <v>19669</v>
      </c>
      <c r="B9936" t="s">
        <v>19670</v>
      </c>
      <c r="C9936" t="s">
        <v>1477</v>
      </c>
      <c r="D9936" t="s">
        <v>57</v>
      </c>
      <c r="E9936" s="6">
        <v>-28037</v>
      </c>
      <c r="F9936" t="s">
        <v>192</v>
      </c>
      <c r="G9936" t="s">
        <v>48</v>
      </c>
      <c r="H9936" t="s">
        <v>21</v>
      </c>
      <c r="I9936" t="s">
        <v>19673</v>
      </c>
      <c r="J9936" t="str">
        <f>HYPERLINK("https://www.boe.es/gazeta/dias/1823/03/27/pdfs/GMD-1823-90.pdf#page=3","Abrir facsímil")</f>
        <v>Abrir facsímil</v>
      </c>
      <c r="K9936" t="s">
        <v>23</v>
      </c>
    </row>
    <row r="9937" spans="1:11" ht="42" customHeight="1">
      <c r="A9937" t="s">
        <v>19674</v>
      </c>
      <c r="B9937" t="s">
        <v>19675</v>
      </c>
      <c r="C9937" t="s">
        <v>17</v>
      </c>
      <c r="D9937" t="s">
        <v>18</v>
      </c>
      <c r="E9937" s="6">
        <v>-28049</v>
      </c>
      <c r="F9937" t="s">
        <v>198</v>
      </c>
      <c r="G9937" t="s">
        <v>20</v>
      </c>
      <c r="H9937" t="s">
        <v>21</v>
      </c>
      <c r="I9937" t="s">
        <v>19676</v>
      </c>
      <c r="J9937" t="str">
        <f>HYPERLINK("https://www.boe.es/gazeta/dias/1823/03/15/pdfs/GMD-1823-78.pdf#page=4","Abrir facsímil")</f>
        <v>Abrir facsímil</v>
      </c>
      <c r="K9937" t="s">
        <v>23</v>
      </c>
    </row>
    <row r="9938" spans="1:11" ht="42" customHeight="1">
      <c r="A9938" t="s">
        <v>19677</v>
      </c>
      <c r="B9938" t="s">
        <v>19678</v>
      </c>
      <c r="C9938" t="s">
        <v>17</v>
      </c>
      <c r="D9938" t="s">
        <v>18</v>
      </c>
      <c r="E9938" s="6">
        <v>-27920</v>
      </c>
      <c r="F9938" t="s">
        <v>1334</v>
      </c>
      <c r="G9938" t="s">
        <v>20</v>
      </c>
      <c r="H9938" t="s">
        <v>21</v>
      </c>
      <c r="I9938" t="s">
        <v>19679</v>
      </c>
      <c r="J9938" t="str">
        <f>HYPERLINK("https://www.boe.es/gazeta/dias/1823/07/22/pdfs/GMD-1823-443.pdf#page=4","Abrir facsímil")</f>
        <v>Abrir facsímil</v>
      </c>
      <c r="K9938" t="s">
        <v>23</v>
      </c>
    </row>
    <row r="9939" spans="1:11" ht="42" customHeight="1">
      <c r="A9939" t="s">
        <v>19680</v>
      </c>
      <c r="B9939" t="s">
        <v>19680</v>
      </c>
      <c r="C9939" t="s">
        <v>109</v>
      </c>
      <c r="D9939" t="s">
        <v>74</v>
      </c>
      <c r="E9939" s="6">
        <v>-28046</v>
      </c>
      <c r="F9939" t="s">
        <v>85</v>
      </c>
      <c r="G9939" t="s">
        <v>27</v>
      </c>
      <c r="H9939" t="s">
        <v>21</v>
      </c>
      <c r="I9939" t="s">
        <v>19681</v>
      </c>
      <c r="J9939" t="str">
        <f>HYPERLINK("https://www.boe.es/gazeta/dias/1823/03/18/pdfs/GMD-1823-81.pdf#page=2","Abrir facsímil")</f>
        <v>Abrir facsímil</v>
      </c>
      <c r="K9939" t="s">
        <v>23</v>
      </c>
    </row>
    <row r="9940" spans="1:11" ht="42" customHeight="1">
      <c r="A9940" t="s">
        <v>19682</v>
      </c>
      <c r="B9940" t="s">
        <v>19683</v>
      </c>
      <c r="C9940" t="s">
        <v>17</v>
      </c>
      <c r="D9940" t="s">
        <v>18</v>
      </c>
      <c r="E9940" s="6">
        <v>-28007</v>
      </c>
      <c r="F9940" t="s">
        <v>1190</v>
      </c>
      <c r="G9940" t="s">
        <v>20</v>
      </c>
      <c r="H9940" t="s">
        <v>21</v>
      </c>
      <c r="I9940" t="s">
        <v>19684</v>
      </c>
      <c r="J9940" t="str">
        <f>HYPERLINK("https://www.boe.es/gazeta/dias/1823/04/26/pdfs/GMD-1823-62.pdf#page=4","Abrir facsímil")</f>
        <v>Abrir facsímil</v>
      </c>
      <c r="K9940" t="s">
        <v>23</v>
      </c>
    </row>
    <row r="9941" spans="1:11" ht="42" customHeight="1">
      <c r="A9941" t="s">
        <v>19682</v>
      </c>
      <c r="B9941" t="s">
        <v>19683</v>
      </c>
      <c r="C9941" t="s">
        <v>17</v>
      </c>
      <c r="D9941" t="s">
        <v>18</v>
      </c>
      <c r="E9941" s="6">
        <v>-28003</v>
      </c>
      <c r="F9941" t="s">
        <v>26</v>
      </c>
      <c r="G9941" t="s">
        <v>27</v>
      </c>
      <c r="H9941" t="s">
        <v>21</v>
      </c>
      <c r="I9941" t="s">
        <v>19685</v>
      </c>
      <c r="J9941" t="str">
        <f>HYPERLINK("https://www.boe.es/gazeta/dias/1823/04/30/pdfs/GES-1823-20.pdf#page=2","Abrir facsímil")</f>
        <v>Abrir facsímil</v>
      </c>
      <c r="K9941" t="s">
        <v>23</v>
      </c>
    </row>
    <row r="9942" spans="1:11" ht="42" customHeight="1">
      <c r="A9942" t="s">
        <v>19686</v>
      </c>
      <c r="B9942" t="s">
        <v>19686</v>
      </c>
      <c r="C9942" t="s">
        <v>17</v>
      </c>
      <c r="D9942" t="s">
        <v>18</v>
      </c>
      <c r="E9942" s="6">
        <v>-28102</v>
      </c>
      <c r="F9942" t="s">
        <v>287</v>
      </c>
      <c r="G9942" t="s">
        <v>20</v>
      </c>
      <c r="H9942" t="s">
        <v>21</v>
      </c>
      <c r="I9942" t="s">
        <v>19687</v>
      </c>
      <c r="J9942" t="str">
        <f>HYPERLINK("https://www.boe.es/gazeta/dias/1823/01/21/pdfs/GMD-1823-22.pdf#page=4","Abrir facsímil")</f>
        <v>Abrir facsímil</v>
      </c>
      <c r="K9942" t="s">
        <v>23</v>
      </c>
    </row>
    <row r="9943" spans="1:11" ht="42" customHeight="1">
      <c r="A9943" t="s">
        <v>19688</v>
      </c>
      <c r="B9943" t="s">
        <v>19688</v>
      </c>
      <c r="C9943" t="s">
        <v>56</v>
      </c>
      <c r="D9943" t="s">
        <v>57</v>
      </c>
      <c r="E9943" s="6">
        <v>-28097</v>
      </c>
      <c r="F9943" t="s">
        <v>1368</v>
      </c>
      <c r="G9943" t="s">
        <v>48</v>
      </c>
      <c r="H9943" t="s">
        <v>21</v>
      </c>
      <c r="I9943" t="s">
        <v>19689</v>
      </c>
      <c r="J9943" t="str">
        <f>HYPERLINK("https://www.boe.es/gazeta/dias/1823/01/26/pdfs/GMD-1823-27.pdf#page=3","Abrir facsímil")</f>
        <v>Abrir facsímil</v>
      </c>
      <c r="K9943" t="s">
        <v>23</v>
      </c>
    </row>
    <row r="9944" spans="1:11" ht="42" customHeight="1">
      <c r="A9944" t="s">
        <v>19690</v>
      </c>
      <c r="B9944" t="s">
        <v>19691</v>
      </c>
      <c r="C9944" t="s">
        <v>79</v>
      </c>
      <c r="D9944" t="s">
        <v>74</v>
      </c>
      <c r="E9944" s="6">
        <v>-28102</v>
      </c>
      <c r="F9944" t="s">
        <v>287</v>
      </c>
      <c r="G9944" t="s">
        <v>20</v>
      </c>
      <c r="H9944" t="s">
        <v>21</v>
      </c>
      <c r="I9944" t="s">
        <v>19692</v>
      </c>
      <c r="J9944" t="str">
        <f>HYPERLINK("https://www.boe.es/gazeta/dias/1823/01/21/pdfs/GMD-1823-22.pdf#page=4","Abrir facsímil")</f>
        <v>Abrir facsímil</v>
      </c>
      <c r="K9944" t="s">
        <v>23</v>
      </c>
    </row>
    <row r="9945" spans="1:11" ht="42" customHeight="1">
      <c r="A9945" t="s">
        <v>19693</v>
      </c>
      <c r="B9945" t="s">
        <v>19693</v>
      </c>
      <c r="C9945" t="s">
        <v>73</v>
      </c>
      <c r="D9945" t="s">
        <v>74</v>
      </c>
      <c r="E9945" s="6">
        <v>-28114</v>
      </c>
      <c r="F9945" t="s">
        <v>153</v>
      </c>
      <c r="G9945" t="s">
        <v>48</v>
      </c>
      <c r="H9945" t="s">
        <v>21</v>
      </c>
      <c r="I9945" t="s">
        <v>19694</v>
      </c>
      <c r="J9945" t="str">
        <f>HYPERLINK("https://www.boe.es/gazeta/dias/1823/01/09/pdfs/GMD-1823-9.pdf#page=3","Abrir facsímil")</f>
        <v>Abrir facsímil</v>
      </c>
      <c r="K9945" t="s">
        <v>23</v>
      </c>
    </row>
    <row r="9946" spans="1:11" ht="42" customHeight="1">
      <c r="A9946" t="s">
        <v>19695</v>
      </c>
      <c r="B9946" t="s">
        <v>19695</v>
      </c>
      <c r="C9946" t="s">
        <v>56</v>
      </c>
      <c r="D9946" t="s">
        <v>57</v>
      </c>
      <c r="E9946" s="6">
        <v>-27983</v>
      </c>
      <c r="F9946" t="s">
        <v>337</v>
      </c>
      <c r="G9946" t="s">
        <v>20</v>
      </c>
      <c r="H9946" t="s">
        <v>21</v>
      </c>
      <c r="I9946" t="s">
        <v>19696</v>
      </c>
      <c r="J9946" t="str">
        <f>HYPERLINK("https://www.boe.es/gazeta/dias/1823/05/20/pdfs/GES-1823-40.pdf#page=4","Abrir facsímil")</f>
        <v>Abrir facsímil</v>
      </c>
      <c r="K9946" t="s">
        <v>23</v>
      </c>
    </row>
    <row r="9947" spans="1:11" ht="42" customHeight="1">
      <c r="A9947" t="s">
        <v>19697</v>
      </c>
      <c r="B9947" t="s">
        <v>19697</v>
      </c>
      <c r="C9947" t="s">
        <v>109</v>
      </c>
      <c r="D9947" t="s">
        <v>74</v>
      </c>
      <c r="E9947" s="6">
        <v>-28119</v>
      </c>
      <c r="F9947" t="s">
        <v>545</v>
      </c>
      <c r="G9947" t="s">
        <v>20</v>
      </c>
      <c r="H9947" t="s">
        <v>21</v>
      </c>
      <c r="I9947" t="s">
        <v>19698</v>
      </c>
      <c r="J9947" t="str">
        <f>HYPERLINK("https://www.boe.es/gazeta/dias/1823/01/04/pdfs/GMD-1823-4.pdf#page=4","Abrir facsímil")</f>
        <v>Abrir facsímil</v>
      </c>
      <c r="K9947" t="s">
        <v>23</v>
      </c>
    </row>
    <row r="9948" spans="1:11" ht="42" customHeight="1">
      <c r="A9948" t="s">
        <v>19697</v>
      </c>
      <c r="B9948" t="s">
        <v>19697</v>
      </c>
      <c r="C9948" t="s">
        <v>17</v>
      </c>
      <c r="D9948" t="s">
        <v>18</v>
      </c>
      <c r="E9948" s="6">
        <v>-28115</v>
      </c>
      <c r="F9948" t="s">
        <v>579</v>
      </c>
      <c r="G9948" t="s">
        <v>27</v>
      </c>
      <c r="H9948" t="s">
        <v>21</v>
      </c>
      <c r="I9948" t="s">
        <v>19699</v>
      </c>
      <c r="J9948" t="str">
        <f>HYPERLINK("https://www.boe.es/gazeta/dias/1823/01/08/pdfs/GMD-1823-8.pdf#page=2","Abrir facsímil")</f>
        <v>Abrir facsímil</v>
      </c>
      <c r="K9948" t="s">
        <v>23</v>
      </c>
    </row>
    <row r="9949" spans="1:11" ht="42" customHeight="1">
      <c r="A9949" t="s">
        <v>19697</v>
      </c>
      <c r="B9949" t="s">
        <v>19697</v>
      </c>
      <c r="C9949" t="s">
        <v>79</v>
      </c>
      <c r="D9949" t="s">
        <v>74</v>
      </c>
      <c r="E9949" s="6">
        <v>-28090</v>
      </c>
      <c r="F9949" t="s">
        <v>174</v>
      </c>
      <c r="G9949" t="s">
        <v>48</v>
      </c>
      <c r="H9949" t="s">
        <v>21</v>
      </c>
      <c r="I9949" t="s">
        <v>19700</v>
      </c>
      <c r="J9949" t="str">
        <f>HYPERLINK("https://www.boe.es/gazeta/dias/1823/02/02/pdfs/GMD-1823-35.pdf#page=3","Abrir facsímil")</f>
        <v>Abrir facsímil</v>
      </c>
      <c r="K9949" t="s">
        <v>23</v>
      </c>
    </row>
    <row r="9950" spans="1:11" ht="42" customHeight="1">
      <c r="A9950" t="s">
        <v>19697</v>
      </c>
      <c r="B9950" t="s">
        <v>19697</v>
      </c>
      <c r="C9950" t="s">
        <v>73</v>
      </c>
      <c r="D9950" t="s">
        <v>74</v>
      </c>
      <c r="E9950" s="6">
        <v>-28057</v>
      </c>
      <c r="F9950" t="s">
        <v>301</v>
      </c>
      <c r="G9950" t="s">
        <v>20</v>
      </c>
      <c r="H9950" t="s">
        <v>21</v>
      </c>
      <c r="I9950" t="s">
        <v>19701</v>
      </c>
      <c r="J9950" t="str">
        <f>HYPERLINK("https://www.boe.es/gazeta/dias/1823/03/07/pdfs/GMD-1823-70.pdf#page=4","Abrir facsímil")</f>
        <v>Abrir facsímil</v>
      </c>
      <c r="K9950" t="s">
        <v>23</v>
      </c>
    </row>
    <row r="9951" spans="1:11" ht="42" customHeight="1">
      <c r="A9951" t="s">
        <v>19697</v>
      </c>
      <c r="B9951" t="s">
        <v>19697</v>
      </c>
      <c r="C9951" t="s">
        <v>73</v>
      </c>
      <c r="D9951" t="s">
        <v>74</v>
      </c>
      <c r="E9951" s="6">
        <v>-28044</v>
      </c>
      <c r="F9951" t="s">
        <v>1930</v>
      </c>
      <c r="G9951" t="s">
        <v>20</v>
      </c>
      <c r="H9951" t="s">
        <v>21</v>
      </c>
      <c r="I9951" t="s">
        <v>19702</v>
      </c>
      <c r="J9951" t="str">
        <f>HYPERLINK("https://www.boe.es/gazeta/dias/1823/03/20/pdfs/GMD-1823-83.pdf#page=4","Abrir facsímil")</f>
        <v>Abrir facsímil</v>
      </c>
      <c r="K9951" t="s">
        <v>23</v>
      </c>
    </row>
    <row r="9952" spans="1:11" ht="42" customHeight="1">
      <c r="A9952" t="s">
        <v>19697</v>
      </c>
      <c r="B9952" t="s">
        <v>19697</v>
      </c>
      <c r="C9952" t="s">
        <v>109</v>
      </c>
      <c r="D9952" t="s">
        <v>74</v>
      </c>
      <c r="E9952" s="6">
        <v>-28003</v>
      </c>
      <c r="F9952" t="s">
        <v>26</v>
      </c>
      <c r="G9952" t="s">
        <v>1114</v>
      </c>
      <c r="H9952" t="s">
        <v>21</v>
      </c>
      <c r="I9952" t="s">
        <v>19703</v>
      </c>
      <c r="J9952" t="str">
        <f>HYPERLINK("https://www.boe.es/gazeta/dias/1823/04/30/pdfs/GES-1823-20.pdf#page=6","Abrir facsímil")</f>
        <v>Abrir facsímil</v>
      </c>
      <c r="K9952" t="s">
        <v>23</v>
      </c>
    </row>
    <row r="9953" spans="1:11" ht="42" customHeight="1">
      <c r="A9953" t="s">
        <v>19697</v>
      </c>
      <c r="B9953" t="s">
        <v>19697</v>
      </c>
      <c r="C9953" t="s">
        <v>56</v>
      </c>
      <c r="D9953" t="s">
        <v>57</v>
      </c>
      <c r="E9953" s="6">
        <v>-27995</v>
      </c>
      <c r="F9953" t="s">
        <v>320</v>
      </c>
      <c r="G9953" t="s">
        <v>321</v>
      </c>
      <c r="H9953" t="s">
        <v>21</v>
      </c>
      <c r="I9953" t="s">
        <v>19704</v>
      </c>
      <c r="J9953" t="str">
        <f>HYPERLINK("https://www.boe.es/gazeta/dias/1823/05/08/pdfs/GES-1823-28.pdf#page=3","Abrir facsímil")</f>
        <v>Abrir facsímil</v>
      </c>
      <c r="K9953" t="s">
        <v>23</v>
      </c>
    </row>
    <row r="9954" spans="1:11" ht="42" customHeight="1">
      <c r="A9954" t="s">
        <v>19697</v>
      </c>
      <c r="B9954" t="s">
        <v>19697</v>
      </c>
      <c r="C9954" t="s">
        <v>79</v>
      </c>
      <c r="D9954" t="s">
        <v>74</v>
      </c>
      <c r="E9954" s="6">
        <v>-27994</v>
      </c>
      <c r="F9954" t="s">
        <v>714</v>
      </c>
      <c r="G9954" t="s">
        <v>20</v>
      </c>
      <c r="H9954" t="s">
        <v>21</v>
      </c>
      <c r="I9954" t="s">
        <v>19705</v>
      </c>
      <c r="J9954" t="str">
        <f>HYPERLINK("https://www.boe.es/gazeta/dias/1823/05/09/pdfs/GES-1823-29.pdf#page=4","Abrir facsímil")</f>
        <v>Abrir facsímil</v>
      </c>
      <c r="K9954" t="s">
        <v>23</v>
      </c>
    </row>
    <row r="9955" spans="1:11" ht="42" customHeight="1">
      <c r="A9955" t="s">
        <v>19697</v>
      </c>
      <c r="B9955" t="s">
        <v>19697</v>
      </c>
      <c r="C9955" t="s">
        <v>73</v>
      </c>
      <c r="D9955" t="s">
        <v>74</v>
      </c>
      <c r="E9955" s="6">
        <v>-27992</v>
      </c>
      <c r="F9955" t="s">
        <v>565</v>
      </c>
      <c r="G9955" t="s">
        <v>48</v>
      </c>
      <c r="H9955" t="s">
        <v>21</v>
      </c>
      <c r="I9955" t="s">
        <v>19706</v>
      </c>
      <c r="J9955" t="str">
        <f>HYPERLINK("https://www.boe.es/gazeta/dias/1823/05/11/pdfs/GES-1823-31.pdf#page=3","Abrir facsímil")</f>
        <v>Abrir facsímil</v>
      </c>
      <c r="K9955" t="s">
        <v>23</v>
      </c>
    </row>
    <row r="9956" spans="1:11" ht="42" customHeight="1">
      <c r="A9956" t="s">
        <v>19697</v>
      </c>
      <c r="B9956" t="s">
        <v>19697</v>
      </c>
      <c r="C9956" t="s">
        <v>17</v>
      </c>
      <c r="D9956" t="s">
        <v>18</v>
      </c>
      <c r="E9956" s="6">
        <v>-27986</v>
      </c>
      <c r="F9956" t="s">
        <v>607</v>
      </c>
      <c r="G9956" t="s">
        <v>20</v>
      </c>
      <c r="H9956" t="s">
        <v>21</v>
      </c>
      <c r="I9956" t="s">
        <v>19707</v>
      </c>
      <c r="J9956" t="str">
        <f>HYPERLINK("https://www.boe.es/gazeta/dias/1823/05/17/pdfs/GMD-1823-152.pdf#page=4","Abrir facsímil")</f>
        <v>Abrir facsímil</v>
      </c>
      <c r="K9956" t="s">
        <v>23</v>
      </c>
    </row>
    <row r="9957" spans="1:11" ht="42" customHeight="1">
      <c r="A9957" t="s">
        <v>19697</v>
      </c>
      <c r="B9957" t="s">
        <v>19697</v>
      </c>
      <c r="C9957" t="s">
        <v>56</v>
      </c>
      <c r="D9957" t="s">
        <v>57</v>
      </c>
      <c r="E9957" s="6">
        <v>-27968</v>
      </c>
      <c r="F9957" t="s">
        <v>1160</v>
      </c>
      <c r="G9957" t="s">
        <v>39</v>
      </c>
      <c r="H9957" t="s">
        <v>21</v>
      </c>
      <c r="I9957" t="s">
        <v>19708</v>
      </c>
      <c r="J9957" t="str">
        <f>HYPERLINK("https://www.boe.es/gazeta/dias/1823/06/04/pdfs/GES-1823-58.pdf#page=1","Abrir facsímil")</f>
        <v>Abrir facsímil</v>
      </c>
      <c r="K9957" t="s">
        <v>23</v>
      </c>
    </row>
    <row r="9958" spans="1:11" ht="42" customHeight="1">
      <c r="A9958" t="s">
        <v>19697</v>
      </c>
      <c r="B9958" t="s">
        <v>19697</v>
      </c>
      <c r="C9958" t="s">
        <v>73</v>
      </c>
      <c r="D9958" t="s">
        <v>74</v>
      </c>
      <c r="E9958" s="6">
        <v>-27968</v>
      </c>
      <c r="F9958" t="s">
        <v>1160</v>
      </c>
      <c r="G9958" t="s">
        <v>27</v>
      </c>
      <c r="H9958" t="s">
        <v>21</v>
      </c>
      <c r="I9958" t="s">
        <v>19709</v>
      </c>
      <c r="J9958" t="str">
        <f>HYPERLINK("https://www.boe.es/gazeta/dias/1823/06/04/pdfs/GES-1823-58.pdf#page=2","Abrir facsímil")</f>
        <v>Abrir facsímil</v>
      </c>
      <c r="K9958" t="s">
        <v>23</v>
      </c>
    </row>
    <row r="9959" spans="1:11" ht="42" customHeight="1">
      <c r="A9959" t="s">
        <v>19697</v>
      </c>
      <c r="B9959" t="s">
        <v>19697</v>
      </c>
      <c r="C9959" t="s">
        <v>17</v>
      </c>
      <c r="D9959" t="s">
        <v>18</v>
      </c>
      <c r="E9959" s="6">
        <v>-27963</v>
      </c>
      <c r="F9959" t="s">
        <v>344</v>
      </c>
      <c r="G9959" t="s">
        <v>27</v>
      </c>
      <c r="H9959" t="s">
        <v>21</v>
      </c>
      <c r="I9959" t="s">
        <v>19710</v>
      </c>
      <c r="J9959" t="str">
        <f>HYPERLINK("https://www.boe.es/gazeta/dias/1823/06/09/pdfs/GES-1823-63.pdf#page=2","Abrir facsímil")</f>
        <v>Abrir facsímil</v>
      </c>
      <c r="K9959" t="s">
        <v>23</v>
      </c>
    </row>
    <row r="9960" spans="1:11" ht="42" customHeight="1">
      <c r="A9960" t="s">
        <v>19697</v>
      </c>
      <c r="B9960" t="s">
        <v>19697</v>
      </c>
      <c r="C9960" t="s">
        <v>109</v>
      </c>
      <c r="D9960" t="s">
        <v>74</v>
      </c>
      <c r="E9960" s="6">
        <v>-27937</v>
      </c>
      <c r="F9960" t="s">
        <v>730</v>
      </c>
      <c r="G9960" t="s">
        <v>39</v>
      </c>
      <c r="H9960" t="s">
        <v>21</v>
      </c>
      <c r="I9960" t="s">
        <v>19711</v>
      </c>
      <c r="J9960" t="str">
        <f>HYPERLINK("https://www.boe.es/gazeta/dias/1823/07/05/pdfs/GES-1823-85.pdf#page=1","Abrir facsímil")</f>
        <v>Abrir facsímil</v>
      </c>
      <c r="K9960" t="s">
        <v>23</v>
      </c>
    </row>
    <row r="9961" spans="1:11" ht="42" customHeight="1">
      <c r="A9961" t="s">
        <v>19697</v>
      </c>
      <c r="B9961" t="s">
        <v>19697</v>
      </c>
      <c r="C9961" t="s">
        <v>79</v>
      </c>
      <c r="D9961" t="s">
        <v>74</v>
      </c>
      <c r="E9961" s="6">
        <v>-27935</v>
      </c>
      <c r="F9961" t="s">
        <v>350</v>
      </c>
      <c r="G9961" t="s">
        <v>39</v>
      </c>
      <c r="H9961" t="s">
        <v>21</v>
      </c>
      <c r="I9961" t="s">
        <v>19712</v>
      </c>
      <c r="J9961" t="str">
        <f>HYPERLINK("https://www.boe.es/gazeta/dias/1823/07/07/pdfs/GES-1823-87.pdf#page=1","Abrir facsímil")</f>
        <v>Abrir facsímil</v>
      </c>
      <c r="K9961" t="s">
        <v>23</v>
      </c>
    </row>
    <row r="9962" spans="1:11" ht="42" customHeight="1">
      <c r="A9962" t="s">
        <v>19697</v>
      </c>
      <c r="B9962" t="s">
        <v>19697</v>
      </c>
      <c r="C9962" t="s">
        <v>109</v>
      </c>
      <c r="D9962" t="s">
        <v>74</v>
      </c>
      <c r="E9962" s="6">
        <v>-27930</v>
      </c>
      <c r="F9962" t="s">
        <v>2334</v>
      </c>
      <c r="G9962" t="s">
        <v>27</v>
      </c>
      <c r="H9962" t="s">
        <v>21</v>
      </c>
      <c r="I9962" t="s">
        <v>19713</v>
      </c>
      <c r="J9962" t="str">
        <f>HYPERLINK("https://www.boe.es/gazeta/dias/1823/07/12/pdfs/GES-1823-92.pdf#page=2","Abrir facsímil")</f>
        <v>Abrir facsímil</v>
      </c>
      <c r="K9962" t="s">
        <v>23</v>
      </c>
    </row>
    <row r="9963" spans="1:11" ht="42" customHeight="1">
      <c r="A9963" t="s">
        <v>19697</v>
      </c>
      <c r="B9963" t="s">
        <v>19697</v>
      </c>
      <c r="C9963" t="s">
        <v>109</v>
      </c>
      <c r="D9963" t="s">
        <v>74</v>
      </c>
      <c r="E9963" s="6">
        <v>-27917</v>
      </c>
      <c r="F9963" t="s">
        <v>363</v>
      </c>
      <c r="G9963" t="s">
        <v>48</v>
      </c>
      <c r="H9963" t="s">
        <v>21</v>
      </c>
      <c r="I9963" t="s">
        <v>19714</v>
      </c>
      <c r="J9963" t="str">
        <f>HYPERLINK("https://www.boe.es/gazeta/dias/1823/07/25/pdfs/GES-1823-106.pdf#page=3","Abrir facsímil")</f>
        <v>Abrir facsímil</v>
      </c>
      <c r="K9963" t="s">
        <v>23</v>
      </c>
    </row>
    <row r="9964" spans="1:11" ht="42" customHeight="1">
      <c r="A9964" t="s">
        <v>19697</v>
      </c>
      <c r="B9964" t="s">
        <v>19697</v>
      </c>
      <c r="C9964" t="s">
        <v>109</v>
      </c>
      <c r="D9964" t="s">
        <v>74</v>
      </c>
      <c r="E9964" s="6">
        <v>-27910</v>
      </c>
      <c r="F9964" t="s">
        <v>38</v>
      </c>
      <c r="G9964" t="s">
        <v>48</v>
      </c>
      <c r="H9964" t="s">
        <v>21</v>
      </c>
      <c r="I9964" t="s">
        <v>19715</v>
      </c>
      <c r="J9964" t="str">
        <f>HYPERLINK("https://www.boe.es/gazeta/dias/1823/08/01/pdfs/GES-1823-113.pdf#page=3","Abrir facsímil")</f>
        <v>Abrir facsímil</v>
      </c>
      <c r="K9964" t="s">
        <v>23</v>
      </c>
    </row>
    <row r="9965" spans="1:11" ht="42" customHeight="1">
      <c r="A9965" t="s">
        <v>19716</v>
      </c>
      <c r="B9965" t="s">
        <v>19716</v>
      </c>
      <c r="C9965" t="s">
        <v>109</v>
      </c>
      <c r="D9965" t="s">
        <v>74</v>
      </c>
      <c r="E9965" s="6">
        <v>-28008</v>
      </c>
      <c r="F9965" t="s">
        <v>309</v>
      </c>
      <c r="G9965" t="s">
        <v>48</v>
      </c>
      <c r="H9965" t="s">
        <v>21</v>
      </c>
      <c r="I9965" t="s">
        <v>19717</v>
      </c>
      <c r="J9965" t="str">
        <f>HYPERLINK("https://www.boe.es/gazeta/dias/1823/04/25/pdfs/GES-1823-15.pdf#page=3","Abrir facsímil")</f>
        <v>Abrir facsímil</v>
      </c>
      <c r="K9965" t="s">
        <v>23</v>
      </c>
    </row>
    <row r="9966" spans="1:11" ht="42" customHeight="1">
      <c r="A9966" t="s">
        <v>19718</v>
      </c>
      <c r="B9966" t="s">
        <v>19718</v>
      </c>
      <c r="C9966" t="s">
        <v>109</v>
      </c>
      <c r="D9966" t="s">
        <v>74</v>
      </c>
      <c r="E9966" s="6">
        <v>-27941</v>
      </c>
      <c r="F9966" t="s">
        <v>527</v>
      </c>
      <c r="G9966" t="s">
        <v>48</v>
      </c>
      <c r="H9966" t="s">
        <v>21</v>
      </c>
      <c r="I9966" t="s">
        <v>19719</v>
      </c>
      <c r="J9966" t="str">
        <f>HYPERLINK("https://www.boe.es/gazeta/dias/1823/07/01/pdfs/GES-1823-81.pdf#page=3","Abrir facsímil")</f>
        <v>Abrir facsímil</v>
      </c>
      <c r="K9966" t="s">
        <v>23</v>
      </c>
    </row>
    <row r="9967" spans="1:11" ht="42" customHeight="1">
      <c r="A9967" t="s">
        <v>19720</v>
      </c>
      <c r="B9967" t="s">
        <v>19720</v>
      </c>
      <c r="C9967" t="s">
        <v>17</v>
      </c>
      <c r="D9967" t="s">
        <v>18</v>
      </c>
      <c r="E9967" s="6">
        <v>-27979</v>
      </c>
      <c r="F9967" t="s">
        <v>1071</v>
      </c>
      <c r="G9967" t="s">
        <v>34</v>
      </c>
      <c r="H9967" t="s">
        <v>21</v>
      </c>
      <c r="I9967" t="s">
        <v>19721</v>
      </c>
      <c r="J9967" t="str">
        <f>HYPERLINK("https://www.boe.es/gazeta/dias/1823/05/24/pdfs/GES-1823-45.pdf#page=5","Abrir facsímil")</f>
        <v>Abrir facsímil</v>
      </c>
      <c r="K9967" t="s">
        <v>23</v>
      </c>
    </row>
    <row r="9968" spans="1:11" ht="42" customHeight="1">
      <c r="A9968" t="s">
        <v>19722</v>
      </c>
      <c r="B9968" t="s">
        <v>19722</v>
      </c>
      <c r="C9968" t="s">
        <v>17</v>
      </c>
      <c r="D9968" t="s">
        <v>18</v>
      </c>
      <c r="E9968" s="6">
        <v>-27841</v>
      </c>
      <c r="F9968" t="s">
        <v>721</v>
      </c>
      <c r="G9968" t="s">
        <v>27</v>
      </c>
      <c r="H9968" t="s">
        <v>21</v>
      </c>
      <c r="I9968" t="s">
        <v>19723</v>
      </c>
      <c r="J9968" t="str">
        <f>HYPERLINK("https://www.boe.es/gazeta/dias/1823/10/09/pdfs/GMD-1823-953.pdf#page=2","Abrir facsímil")</f>
        <v>Abrir facsímil</v>
      </c>
      <c r="K9968" t="s">
        <v>23</v>
      </c>
    </row>
    <row r="9969" spans="1:11" ht="42" customHeight="1">
      <c r="A9969" t="s">
        <v>19724</v>
      </c>
      <c r="B9969" t="s">
        <v>19724</v>
      </c>
      <c r="C9969" t="s">
        <v>56</v>
      </c>
      <c r="D9969" t="s">
        <v>57</v>
      </c>
      <c r="E9969" s="6">
        <v>-27935</v>
      </c>
      <c r="F9969" t="s">
        <v>350</v>
      </c>
      <c r="G9969" t="s">
        <v>39</v>
      </c>
      <c r="H9969" t="s">
        <v>21</v>
      </c>
      <c r="I9969" t="s">
        <v>19725</v>
      </c>
      <c r="J9969" t="str">
        <f>HYPERLINK("https://www.boe.es/gazeta/dias/1823/07/07/pdfs/GES-1823-87.pdf#page=1","Abrir facsímil")</f>
        <v>Abrir facsímil</v>
      </c>
      <c r="K9969" t="s">
        <v>23</v>
      </c>
    </row>
    <row r="9970" spans="1:11" ht="42" customHeight="1">
      <c r="A9970" t="s">
        <v>19726</v>
      </c>
      <c r="B9970" t="s">
        <v>19727</v>
      </c>
      <c r="C9970" t="s">
        <v>84</v>
      </c>
      <c r="D9970" t="s">
        <v>74</v>
      </c>
      <c r="E9970" s="6">
        <v>-27907</v>
      </c>
      <c r="F9970" t="s">
        <v>370</v>
      </c>
      <c r="G9970" t="s">
        <v>20</v>
      </c>
      <c r="H9970" t="s">
        <v>28</v>
      </c>
      <c r="I9970" t="s">
        <v>19728</v>
      </c>
      <c r="J9970" t="str">
        <f>HYPERLINK("https://www.boe.es/gazeta/dias/1823/08/04/pdfs/GES-1823-116.pdf#page=4","Abrir facsímil")</f>
        <v>Abrir facsímil</v>
      </c>
      <c r="K9970" t="s">
        <v>30</v>
      </c>
    </row>
    <row r="9971" spans="1:11" ht="42" customHeight="1">
      <c r="A9971" t="s">
        <v>19729</v>
      </c>
      <c r="B9971" t="s">
        <v>19729</v>
      </c>
      <c r="C9971" t="s">
        <v>56</v>
      </c>
      <c r="D9971" t="s">
        <v>57</v>
      </c>
      <c r="E9971" s="6">
        <v>-27963</v>
      </c>
      <c r="F9971" t="s">
        <v>344</v>
      </c>
      <c r="G9971" t="s">
        <v>20</v>
      </c>
      <c r="H9971" t="s">
        <v>21</v>
      </c>
      <c r="I9971" t="s">
        <v>19730</v>
      </c>
      <c r="J9971" t="str">
        <f>HYPERLINK("https://www.boe.es/gazeta/dias/1823/06/09/pdfs/GES-1823-63.pdf#page=4","Abrir facsímil")</f>
        <v>Abrir facsímil</v>
      </c>
      <c r="K9971" t="s">
        <v>23</v>
      </c>
    </row>
    <row r="9972" spans="1:11" ht="42" customHeight="1">
      <c r="A9972" t="s">
        <v>19731</v>
      </c>
      <c r="B9972" t="s">
        <v>19731</v>
      </c>
      <c r="C9972" t="s">
        <v>84</v>
      </c>
      <c r="D9972" t="s">
        <v>74</v>
      </c>
      <c r="E9972" s="6">
        <v>-28117</v>
      </c>
      <c r="F9972" t="s">
        <v>271</v>
      </c>
      <c r="G9972" t="s">
        <v>27</v>
      </c>
      <c r="H9972" t="s">
        <v>21</v>
      </c>
      <c r="I9972" t="s">
        <v>19732</v>
      </c>
      <c r="J9972" t="str">
        <f>HYPERLINK("https://www.boe.es/gazeta/dias/1823/01/06/pdfs/GMD-1823-6.pdf#page=2","Abrir facsímil")</f>
        <v>Abrir facsímil</v>
      </c>
      <c r="K9972" t="s">
        <v>23</v>
      </c>
    </row>
    <row r="9973" spans="1:11" ht="42" customHeight="1">
      <c r="A9973" t="s">
        <v>19731</v>
      </c>
      <c r="B9973" t="s">
        <v>19731</v>
      </c>
      <c r="C9973" t="s">
        <v>79</v>
      </c>
      <c r="D9973" t="s">
        <v>74</v>
      </c>
      <c r="E9973" s="6">
        <v>-28117</v>
      </c>
      <c r="F9973" t="s">
        <v>271</v>
      </c>
      <c r="G9973" t="s">
        <v>48</v>
      </c>
      <c r="H9973" t="s">
        <v>21</v>
      </c>
      <c r="I9973" t="s">
        <v>19733</v>
      </c>
      <c r="J9973" t="str">
        <f>HYPERLINK("https://www.boe.es/gazeta/dias/1823/01/06/pdfs/GMD-1823-6.pdf#page=3","Abrir facsímil")</f>
        <v>Abrir facsímil</v>
      </c>
      <c r="K9973" t="s">
        <v>23</v>
      </c>
    </row>
    <row r="9974" spans="1:11" ht="42" customHeight="1">
      <c r="A9974" t="s">
        <v>19731</v>
      </c>
      <c r="B9974" t="s">
        <v>19731</v>
      </c>
      <c r="C9974" t="s">
        <v>79</v>
      </c>
      <c r="D9974" t="s">
        <v>74</v>
      </c>
      <c r="E9974" s="6">
        <v>-28078</v>
      </c>
      <c r="F9974" t="s">
        <v>508</v>
      </c>
      <c r="G9974" t="s">
        <v>27</v>
      </c>
      <c r="H9974" t="s">
        <v>21</v>
      </c>
      <c r="I9974" t="s">
        <v>19734</v>
      </c>
      <c r="J9974" t="str">
        <f>HYPERLINK("https://www.boe.es/gazeta/dias/1823/02/14/pdfs/GMD-1823-48.pdf#page=2","Abrir facsímil")</f>
        <v>Abrir facsímil</v>
      </c>
      <c r="K9974" t="s">
        <v>23</v>
      </c>
    </row>
    <row r="9975" spans="1:11" ht="42" customHeight="1">
      <c r="A9975" t="s">
        <v>19731</v>
      </c>
      <c r="B9975" t="s">
        <v>19731</v>
      </c>
      <c r="C9975" t="s">
        <v>56</v>
      </c>
      <c r="D9975" t="s">
        <v>57</v>
      </c>
      <c r="E9975" s="6">
        <v>-28074</v>
      </c>
      <c r="F9975" t="s">
        <v>212</v>
      </c>
      <c r="G9975" t="s">
        <v>39</v>
      </c>
      <c r="H9975" t="s">
        <v>21</v>
      </c>
      <c r="I9975" t="s">
        <v>19735</v>
      </c>
      <c r="J9975" t="str">
        <f>HYPERLINK("https://www.boe.es/gazeta/dias/1823/02/18/pdfs/GMD-1823-52.pdf#page=1","Abrir facsímil")</f>
        <v>Abrir facsímil</v>
      </c>
      <c r="K9975" t="s">
        <v>23</v>
      </c>
    </row>
    <row r="9976" spans="1:11" ht="42" customHeight="1">
      <c r="A9976" t="s">
        <v>19731</v>
      </c>
      <c r="B9976" t="s">
        <v>19731</v>
      </c>
      <c r="C9976" t="s">
        <v>79</v>
      </c>
      <c r="D9976" t="s">
        <v>74</v>
      </c>
      <c r="E9976" s="6">
        <v>-28071</v>
      </c>
      <c r="F9976" t="s">
        <v>587</v>
      </c>
      <c r="G9976" t="s">
        <v>27</v>
      </c>
      <c r="H9976" t="s">
        <v>21</v>
      </c>
      <c r="I9976" t="s">
        <v>19736</v>
      </c>
      <c r="J9976" t="str">
        <f>HYPERLINK("https://www.boe.es/gazeta/dias/1823/02/21/pdfs/GMD-1823-55.pdf#page=2","Abrir facsímil")</f>
        <v>Abrir facsímil</v>
      </c>
      <c r="K9976" t="s">
        <v>23</v>
      </c>
    </row>
    <row r="9977" spans="1:11" ht="42" customHeight="1">
      <c r="A9977" t="s">
        <v>19731</v>
      </c>
      <c r="B9977" t="s">
        <v>19731</v>
      </c>
      <c r="C9977" t="s">
        <v>84</v>
      </c>
      <c r="D9977" t="s">
        <v>74</v>
      </c>
      <c r="E9977" s="6">
        <v>-28059</v>
      </c>
      <c r="F9977" t="s">
        <v>149</v>
      </c>
      <c r="G9977" t="s">
        <v>48</v>
      </c>
      <c r="H9977" t="s">
        <v>21</v>
      </c>
      <c r="I9977" t="s">
        <v>19737</v>
      </c>
      <c r="J9977" t="str">
        <f>HYPERLINK("https://www.boe.es/gazeta/dias/1823/03/05/pdfs/GMD-1823-68.pdf#page=3","Abrir facsímil")</f>
        <v>Abrir facsímil</v>
      </c>
      <c r="K9977" t="s">
        <v>23</v>
      </c>
    </row>
    <row r="9978" spans="1:11" ht="42" customHeight="1">
      <c r="A9978" t="s">
        <v>19731</v>
      </c>
      <c r="B9978" t="s">
        <v>19731</v>
      </c>
      <c r="C9978" t="s">
        <v>56</v>
      </c>
      <c r="D9978" t="s">
        <v>57</v>
      </c>
      <c r="E9978" s="6">
        <v>-28057</v>
      </c>
      <c r="F9978" t="s">
        <v>301</v>
      </c>
      <c r="G9978" t="s">
        <v>20</v>
      </c>
      <c r="H9978" t="s">
        <v>21</v>
      </c>
      <c r="I9978" t="s">
        <v>19738</v>
      </c>
      <c r="J9978" t="str">
        <f>HYPERLINK("https://www.boe.es/gazeta/dias/1823/03/07/pdfs/GMD-1823-70.pdf#page=4","Abrir facsímil")</f>
        <v>Abrir facsímil</v>
      </c>
      <c r="K9978" t="s">
        <v>23</v>
      </c>
    </row>
    <row r="9979" spans="1:11" ht="42" customHeight="1">
      <c r="A9979" t="s">
        <v>19731</v>
      </c>
      <c r="B9979" t="s">
        <v>19731</v>
      </c>
      <c r="C9979" t="s">
        <v>56</v>
      </c>
      <c r="D9979" t="s">
        <v>57</v>
      </c>
      <c r="E9979" s="6">
        <v>-28051</v>
      </c>
      <c r="F9979" t="s">
        <v>305</v>
      </c>
      <c r="G9979" t="s">
        <v>48</v>
      </c>
      <c r="H9979" t="s">
        <v>21</v>
      </c>
      <c r="I9979" t="s">
        <v>19739</v>
      </c>
      <c r="J9979" t="str">
        <f>HYPERLINK("https://www.boe.es/gazeta/dias/1823/03/13/pdfs/GMD-1823-76.pdf#page=3","Abrir facsímil")</f>
        <v>Abrir facsímil</v>
      </c>
      <c r="K9979" t="s">
        <v>23</v>
      </c>
    </row>
    <row r="9980" spans="1:11" ht="42" customHeight="1">
      <c r="A9980" t="s">
        <v>19731</v>
      </c>
      <c r="B9980" t="s">
        <v>19731</v>
      </c>
      <c r="C9980" t="s">
        <v>56</v>
      </c>
      <c r="D9980" t="s">
        <v>57</v>
      </c>
      <c r="E9980" s="6">
        <v>-28047</v>
      </c>
      <c r="F9980" t="s">
        <v>2269</v>
      </c>
      <c r="G9980" t="s">
        <v>48</v>
      </c>
      <c r="H9980" t="s">
        <v>21</v>
      </c>
      <c r="I9980" t="s">
        <v>19740</v>
      </c>
      <c r="J9980" t="str">
        <f>HYPERLINK("https://www.boe.es/gazeta/dias/1823/03/17/pdfs/GMD-1823-80.pdf#page=3","Abrir facsímil")</f>
        <v>Abrir facsímil</v>
      </c>
      <c r="K9980" t="s">
        <v>23</v>
      </c>
    </row>
    <row r="9981" spans="1:11" ht="42" customHeight="1">
      <c r="A9981" t="s">
        <v>19731</v>
      </c>
      <c r="B9981" t="s">
        <v>19731</v>
      </c>
      <c r="C9981" t="s">
        <v>109</v>
      </c>
      <c r="D9981" t="s">
        <v>74</v>
      </c>
      <c r="E9981" s="6">
        <v>-27988</v>
      </c>
      <c r="F9981" t="s">
        <v>692</v>
      </c>
      <c r="G9981" t="s">
        <v>48</v>
      </c>
      <c r="H9981" t="s">
        <v>21</v>
      </c>
      <c r="I9981" t="s">
        <v>19741</v>
      </c>
      <c r="J9981" t="str">
        <f>HYPERLINK("https://www.boe.es/gazeta/dias/1823/05/15/pdfs/GES-1823-35.pdf#page=3","Abrir facsímil")</f>
        <v>Abrir facsímil</v>
      </c>
      <c r="K9981" t="s">
        <v>23</v>
      </c>
    </row>
    <row r="9982" spans="1:11" ht="42" customHeight="1">
      <c r="A9982" t="s">
        <v>19731</v>
      </c>
      <c r="B9982" t="s">
        <v>19731</v>
      </c>
      <c r="C9982" t="s">
        <v>73</v>
      </c>
      <c r="D9982" t="s">
        <v>74</v>
      </c>
      <c r="E9982" s="6">
        <v>-27986</v>
      </c>
      <c r="F9982" t="s">
        <v>75</v>
      </c>
      <c r="G9982" t="s">
        <v>20</v>
      </c>
      <c r="H9982" t="s">
        <v>21</v>
      </c>
      <c r="I9982" t="s">
        <v>19742</v>
      </c>
      <c r="J9982" t="str">
        <f>HYPERLINK("https://www.boe.es/gazeta/dias/1823/05/17/pdfs/GES-1823-37.pdf#page=4","Abrir facsímil")</f>
        <v>Abrir facsímil</v>
      </c>
      <c r="K9982" t="s">
        <v>23</v>
      </c>
    </row>
    <row r="9983" spans="1:11" ht="42" customHeight="1">
      <c r="A9983" t="s">
        <v>19731</v>
      </c>
      <c r="B9983" t="s">
        <v>19731</v>
      </c>
      <c r="C9983" t="s">
        <v>73</v>
      </c>
      <c r="D9983" t="s">
        <v>74</v>
      </c>
      <c r="E9983" s="6">
        <v>-27984</v>
      </c>
      <c r="F9983" t="s">
        <v>335</v>
      </c>
      <c r="G9983" t="s">
        <v>20</v>
      </c>
      <c r="H9983" t="s">
        <v>21</v>
      </c>
      <c r="I9983" t="s">
        <v>19743</v>
      </c>
      <c r="J9983" t="str">
        <f>HYPERLINK("https://www.boe.es/gazeta/dias/1823/05/19/pdfs/GES-1823-39.pdf#page=4","Abrir facsímil")</f>
        <v>Abrir facsímil</v>
      </c>
      <c r="K9983" t="s">
        <v>23</v>
      </c>
    </row>
    <row r="9984" spans="1:11" ht="42" customHeight="1">
      <c r="A9984" t="s">
        <v>19731</v>
      </c>
      <c r="B9984" t="s">
        <v>19731</v>
      </c>
      <c r="C9984" t="s">
        <v>17</v>
      </c>
      <c r="D9984" t="s">
        <v>18</v>
      </c>
      <c r="E9984" s="6">
        <v>-27982</v>
      </c>
      <c r="F9984" t="s">
        <v>340</v>
      </c>
      <c r="G9984" t="s">
        <v>590</v>
      </c>
      <c r="H9984" t="s">
        <v>21</v>
      </c>
      <c r="I9984" t="s">
        <v>19744</v>
      </c>
      <c r="J9984" t="str">
        <f>HYPERLINK("https://www.boe.es/gazeta/dias/1823/05/21/pdfs/GES-1823-42.pdf#page=5","Abrir facsímil")</f>
        <v>Abrir facsímil</v>
      </c>
      <c r="K9984" t="s">
        <v>23</v>
      </c>
    </row>
    <row r="9985" spans="1:11" ht="42" customHeight="1">
      <c r="A9985" t="s">
        <v>19731</v>
      </c>
      <c r="B9985" t="s">
        <v>19731</v>
      </c>
      <c r="C9985" t="s">
        <v>17</v>
      </c>
      <c r="D9985" t="s">
        <v>18</v>
      </c>
      <c r="E9985" s="6">
        <v>-27979</v>
      </c>
      <c r="F9985" t="s">
        <v>1071</v>
      </c>
      <c r="G9985" t="s">
        <v>34</v>
      </c>
      <c r="H9985" t="s">
        <v>21</v>
      </c>
      <c r="I9985" t="s">
        <v>19745</v>
      </c>
      <c r="J9985" t="str">
        <f>HYPERLINK("https://www.boe.es/gazeta/dias/1823/05/24/pdfs/GES-1823-45.pdf#page=5","Abrir facsímil")</f>
        <v>Abrir facsímil</v>
      </c>
      <c r="K9985" t="s">
        <v>23</v>
      </c>
    </row>
    <row r="9986" spans="1:11" ht="42" customHeight="1">
      <c r="A9986" t="s">
        <v>19731</v>
      </c>
      <c r="B9986" t="s">
        <v>19731</v>
      </c>
      <c r="C9986" t="s">
        <v>56</v>
      </c>
      <c r="D9986" t="s">
        <v>57</v>
      </c>
      <c r="E9986" s="6">
        <v>-27978</v>
      </c>
      <c r="F9986" t="s">
        <v>342</v>
      </c>
      <c r="G9986" t="s">
        <v>27</v>
      </c>
      <c r="H9986" t="s">
        <v>21</v>
      </c>
      <c r="I9986" t="s">
        <v>19746</v>
      </c>
      <c r="J9986" t="str">
        <f>HYPERLINK("https://www.boe.es/gazeta/dias/1823/05/25/pdfs/GES-1823-46.pdf#page=2","Abrir facsímil")</f>
        <v>Abrir facsímil</v>
      </c>
      <c r="K9986" t="s">
        <v>23</v>
      </c>
    </row>
    <row r="9987" spans="1:11" ht="42" customHeight="1">
      <c r="A9987" t="s">
        <v>19731</v>
      </c>
      <c r="B9987" t="s">
        <v>19731</v>
      </c>
      <c r="C9987" t="s">
        <v>109</v>
      </c>
      <c r="D9987" t="s">
        <v>74</v>
      </c>
      <c r="E9987" s="6">
        <v>-27976</v>
      </c>
      <c r="F9987" t="s">
        <v>1156</v>
      </c>
      <c r="G9987" t="s">
        <v>27</v>
      </c>
      <c r="H9987" t="s">
        <v>21</v>
      </c>
      <c r="I9987" t="s">
        <v>19747</v>
      </c>
      <c r="J9987" t="str">
        <f>HYPERLINK("https://www.boe.es/gazeta/dias/1823/05/27/pdfs/GES-1823-49.pdf#page=2","Abrir facsímil")</f>
        <v>Abrir facsímil</v>
      </c>
      <c r="K9987" t="s">
        <v>23</v>
      </c>
    </row>
    <row r="9988" spans="1:11" ht="42" customHeight="1">
      <c r="A9988" t="s">
        <v>19731</v>
      </c>
      <c r="B9988" t="s">
        <v>19731</v>
      </c>
      <c r="C9988" t="s">
        <v>109</v>
      </c>
      <c r="D9988" t="s">
        <v>74</v>
      </c>
      <c r="E9988" s="6">
        <v>-27976</v>
      </c>
      <c r="F9988" t="s">
        <v>1156</v>
      </c>
      <c r="G9988" t="s">
        <v>20</v>
      </c>
      <c r="H9988" t="s">
        <v>21</v>
      </c>
      <c r="I9988" t="s">
        <v>19748</v>
      </c>
      <c r="J9988" t="str">
        <f>HYPERLINK("https://www.boe.es/gazeta/dias/1823/05/27/pdfs/GES-1823-49.pdf#page=4","Abrir facsímil")</f>
        <v>Abrir facsímil</v>
      </c>
      <c r="K9988" t="s">
        <v>23</v>
      </c>
    </row>
    <row r="9989" spans="1:11" ht="42" customHeight="1">
      <c r="A9989" t="s">
        <v>19731</v>
      </c>
      <c r="B9989" t="s">
        <v>19731</v>
      </c>
      <c r="C9989" t="s">
        <v>73</v>
      </c>
      <c r="D9989" t="s">
        <v>74</v>
      </c>
      <c r="E9989" s="6">
        <v>-27966</v>
      </c>
      <c r="F9989" t="s">
        <v>675</v>
      </c>
      <c r="G9989" t="s">
        <v>48</v>
      </c>
      <c r="H9989" t="s">
        <v>21</v>
      </c>
      <c r="I9989" t="s">
        <v>19749</v>
      </c>
      <c r="J9989" t="str">
        <f>HYPERLINK("https://www.boe.es/gazeta/dias/1823/06/06/pdfs/GES-1823-60.pdf#page=3","Abrir facsímil")</f>
        <v>Abrir facsímil</v>
      </c>
      <c r="K9989" t="s">
        <v>23</v>
      </c>
    </row>
    <row r="9990" spans="1:11" ht="42" customHeight="1">
      <c r="A9990" t="s">
        <v>19731</v>
      </c>
      <c r="B9990" t="s">
        <v>19731</v>
      </c>
      <c r="C9990" t="s">
        <v>79</v>
      </c>
      <c r="D9990" t="s">
        <v>74</v>
      </c>
      <c r="E9990" s="6">
        <v>-27951</v>
      </c>
      <c r="F9990" t="s">
        <v>548</v>
      </c>
      <c r="G9990" t="s">
        <v>39</v>
      </c>
      <c r="H9990" t="s">
        <v>21</v>
      </c>
      <c r="I9990" t="s">
        <v>19750</v>
      </c>
      <c r="J9990" t="str">
        <f>HYPERLINK("https://www.boe.es/gazeta/dias/1823/06/21/pdfs/GES-1823-69.pdf#page=1","Abrir facsímil")</f>
        <v>Abrir facsímil</v>
      </c>
      <c r="K9990" t="s">
        <v>23</v>
      </c>
    </row>
    <row r="9991" spans="1:11" ht="42" customHeight="1">
      <c r="A9991" t="s">
        <v>19731</v>
      </c>
      <c r="B9991" t="s">
        <v>19731</v>
      </c>
      <c r="C9991" t="s">
        <v>79</v>
      </c>
      <c r="D9991" t="s">
        <v>74</v>
      </c>
      <c r="E9991" s="6">
        <v>-27941</v>
      </c>
      <c r="F9991" t="s">
        <v>527</v>
      </c>
      <c r="G9991" t="s">
        <v>48</v>
      </c>
      <c r="H9991" t="s">
        <v>21</v>
      </c>
      <c r="I9991" t="s">
        <v>19751</v>
      </c>
      <c r="J9991" t="str">
        <f>HYPERLINK("https://www.boe.es/gazeta/dias/1823/07/01/pdfs/GES-1823-81.pdf#page=3","Abrir facsímil")</f>
        <v>Abrir facsímil</v>
      </c>
      <c r="K9991" t="s">
        <v>23</v>
      </c>
    </row>
    <row r="9992" spans="1:11" ht="42" customHeight="1">
      <c r="A9992" t="s">
        <v>19731</v>
      </c>
      <c r="B9992" t="s">
        <v>19731</v>
      </c>
      <c r="C9992" t="s">
        <v>17</v>
      </c>
      <c r="D9992" t="s">
        <v>18</v>
      </c>
      <c r="E9992" s="6">
        <v>-27940</v>
      </c>
      <c r="F9992" t="s">
        <v>348</v>
      </c>
      <c r="G9992" t="s">
        <v>48</v>
      </c>
      <c r="H9992" t="s">
        <v>21</v>
      </c>
      <c r="I9992" t="s">
        <v>19752</v>
      </c>
      <c r="J9992" t="str">
        <f>HYPERLINK("https://www.boe.es/gazeta/dias/1823/07/02/pdfs/GES-1823-82.pdf#page=3","Abrir facsímil")</f>
        <v>Abrir facsímil</v>
      </c>
      <c r="K9992" t="s">
        <v>23</v>
      </c>
    </row>
    <row r="9993" spans="1:11" ht="42" customHeight="1">
      <c r="A9993" t="s">
        <v>19731</v>
      </c>
      <c r="B9993" t="s">
        <v>19731</v>
      </c>
      <c r="C9993" t="s">
        <v>56</v>
      </c>
      <c r="D9993" t="s">
        <v>57</v>
      </c>
      <c r="E9993" s="6">
        <v>-27917</v>
      </c>
      <c r="F9993" t="s">
        <v>363</v>
      </c>
      <c r="G9993" t="s">
        <v>48</v>
      </c>
      <c r="H9993" t="s">
        <v>21</v>
      </c>
      <c r="I9993" t="s">
        <v>19753</v>
      </c>
      <c r="J9993" t="str">
        <f>HYPERLINK("https://www.boe.es/gazeta/dias/1823/07/25/pdfs/GES-1823-106.pdf#page=3","Abrir facsímil")</f>
        <v>Abrir facsímil</v>
      </c>
      <c r="K9993" t="s">
        <v>23</v>
      </c>
    </row>
    <row r="9994" spans="1:11" ht="42" customHeight="1">
      <c r="A9994" t="s">
        <v>19731</v>
      </c>
      <c r="B9994" t="s">
        <v>19731</v>
      </c>
      <c r="C9994" t="s">
        <v>17</v>
      </c>
      <c r="D9994" t="s">
        <v>18</v>
      </c>
      <c r="E9994" s="6">
        <v>-27913</v>
      </c>
      <c r="F9994" t="s">
        <v>821</v>
      </c>
      <c r="G9994" t="s">
        <v>39</v>
      </c>
      <c r="H9994" t="s">
        <v>21</v>
      </c>
      <c r="I9994" t="s">
        <v>19754</v>
      </c>
      <c r="J9994" t="str">
        <f>HYPERLINK("https://www.boe.es/gazeta/dias/1823/07/29/pdfs/GES-1823-110.pdf#page=1","Abrir facsímil")</f>
        <v>Abrir facsímil</v>
      </c>
      <c r="K9994" t="s">
        <v>23</v>
      </c>
    </row>
    <row r="9995" spans="1:11" ht="42" customHeight="1">
      <c r="A9995" t="s">
        <v>19731</v>
      </c>
      <c r="B9995" t="s">
        <v>19731</v>
      </c>
      <c r="C9995" t="s">
        <v>56</v>
      </c>
      <c r="D9995" t="s">
        <v>57</v>
      </c>
      <c r="E9995" s="6">
        <v>-27873</v>
      </c>
      <c r="F9995" t="s">
        <v>160</v>
      </c>
      <c r="G9995" t="s">
        <v>48</v>
      </c>
      <c r="H9995" t="s">
        <v>21</v>
      </c>
      <c r="I9995" t="s">
        <v>19755</v>
      </c>
      <c r="J9995" t="str">
        <f>HYPERLINK("https://www.boe.es/gazeta/dias/1823/09/07/pdfs/GES-1823-151.pdf#page=3","Abrir facsímil")</f>
        <v>Abrir facsímil</v>
      </c>
      <c r="K9995" t="s">
        <v>23</v>
      </c>
    </row>
    <row r="9996" spans="1:11" ht="42" customHeight="1">
      <c r="A9996" t="s">
        <v>19756</v>
      </c>
      <c r="B9996" t="s">
        <v>19757</v>
      </c>
      <c r="C9996" t="s">
        <v>56</v>
      </c>
      <c r="D9996" t="s">
        <v>57</v>
      </c>
      <c r="E9996" s="6">
        <v>-27873</v>
      </c>
      <c r="F9996" t="s">
        <v>160</v>
      </c>
      <c r="G9996" t="s">
        <v>20</v>
      </c>
      <c r="H9996" t="s">
        <v>21</v>
      </c>
      <c r="I9996" t="s">
        <v>19758</v>
      </c>
      <c r="J9996" t="str">
        <f>HYPERLINK("https://www.boe.es/gazeta/dias/1823/09/07/pdfs/GES-1823-151.pdf#page=4","Abrir facsímil")</f>
        <v>Abrir facsímil</v>
      </c>
      <c r="K9996" t="s">
        <v>23</v>
      </c>
    </row>
    <row r="9997" spans="1:11" ht="42" customHeight="1">
      <c r="A9997" t="s">
        <v>19759</v>
      </c>
      <c r="B9997" t="s">
        <v>19760</v>
      </c>
      <c r="C9997" t="s">
        <v>17</v>
      </c>
      <c r="D9997" t="s">
        <v>18</v>
      </c>
      <c r="E9997" s="6">
        <v>-27993</v>
      </c>
      <c r="F9997" t="s">
        <v>977</v>
      </c>
      <c r="G9997" t="s">
        <v>978</v>
      </c>
      <c r="H9997" t="s">
        <v>21</v>
      </c>
      <c r="I9997" t="s">
        <v>19761</v>
      </c>
      <c r="J9997" t="str">
        <f>HYPERLINK("https://www.boe.es/gazeta/dias/1823/05/10/pdfs/GES-1823-30.pdf#page=4","Abrir facsímil")</f>
        <v>Abrir facsímil</v>
      </c>
      <c r="K9997" t="s">
        <v>23</v>
      </c>
    </row>
    <row r="9998" spans="1:11" ht="42" customHeight="1">
      <c r="A9998" t="s">
        <v>19759</v>
      </c>
      <c r="B9998" t="s">
        <v>19760</v>
      </c>
      <c r="C9998" t="s">
        <v>73</v>
      </c>
      <c r="D9998" t="s">
        <v>74</v>
      </c>
      <c r="E9998" s="6">
        <v>-27841</v>
      </c>
      <c r="F9998" t="s">
        <v>721</v>
      </c>
      <c r="G9998" t="s">
        <v>20</v>
      </c>
      <c r="H9998" t="s">
        <v>21</v>
      </c>
      <c r="I9998" t="s">
        <v>19762</v>
      </c>
      <c r="J9998" t="str">
        <f>HYPERLINK("https://www.boe.es/gazeta/dias/1823/10/09/pdfs/GMD-1823-953.pdf#page=4","Abrir facsímil")</f>
        <v>Abrir facsímil</v>
      </c>
      <c r="K9998" t="s">
        <v>23</v>
      </c>
    </row>
    <row r="9999" spans="1:11" ht="42" customHeight="1">
      <c r="A9999" t="s">
        <v>19763</v>
      </c>
      <c r="B9999" t="s">
        <v>19764</v>
      </c>
      <c r="C9999" t="s">
        <v>84</v>
      </c>
      <c r="D9999" t="s">
        <v>74</v>
      </c>
      <c r="E9999" s="6">
        <v>-27857</v>
      </c>
      <c r="F9999" t="s">
        <v>378</v>
      </c>
      <c r="G9999" t="s">
        <v>59</v>
      </c>
      <c r="H9999" t="s">
        <v>21</v>
      </c>
      <c r="I9999" t="s">
        <v>19765</v>
      </c>
      <c r="J9999" t="str">
        <f>HYPERLINK("https://www.boe.es/gazeta/dias/1823/09/23/pdfs/GMD-1823-833.pdf#page=6","Abrir facsímil")</f>
        <v>Abrir facsímil</v>
      </c>
      <c r="K9999" t="s">
        <v>23</v>
      </c>
    </row>
    <row r="10000" spans="1:11" ht="42" customHeight="1">
      <c r="A10000" t="s">
        <v>19766</v>
      </c>
      <c r="B10000" t="s">
        <v>19766</v>
      </c>
      <c r="C10000" t="s">
        <v>56</v>
      </c>
      <c r="D10000" t="s">
        <v>57</v>
      </c>
      <c r="E10000" s="6">
        <v>-27927</v>
      </c>
      <c r="F10000" t="s">
        <v>1426</v>
      </c>
      <c r="G10000" t="s">
        <v>27</v>
      </c>
      <c r="H10000" t="s">
        <v>21</v>
      </c>
      <c r="I10000" t="s">
        <v>19767</v>
      </c>
      <c r="J10000" t="str">
        <f>HYPERLINK("https://www.boe.es/gazeta/dias/1823/07/15/pdfs/GES-1823-95.pdf#page=2","Abrir facsímil")</f>
        <v>Abrir facsímil</v>
      </c>
      <c r="K10000" t="s">
        <v>23</v>
      </c>
    </row>
    <row r="10001" spans="1:11" ht="42" customHeight="1">
      <c r="A10001" t="s">
        <v>19768</v>
      </c>
      <c r="B10001" t="s">
        <v>19769</v>
      </c>
      <c r="C10001" t="s">
        <v>17</v>
      </c>
      <c r="D10001" t="s">
        <v>18</v>
      </c>
      <c r="E10001" s="6">
        <v>-27982</v>
      </c>
      <c r="F10001" t="s">
        <v>340</v>
      </c>
      <c r="G10001" t="s">
        <v>59</v>
      </c>
      <c r="H10001" t="s">
        <v>21</v>
      </c>
      <c r="I10001" t="s">
        <v>19770</v>
      </c>
      <c r="J10001" t="str">
        <f>HYPERLINK("https://www.boe.es/gazeta/dias/1823/05/21/pdfs/GES-1823-42.pdf#page=6","Abrir facsímil")</f>
        <v>Abrir facsímil</v>
      </c>
      <c r="K10001" t="s">
        <v>23</v>
      </c>
    </row>
    <row r="10002" spans="1:11" ht="42" customHeight="1">
      <c r="A10002" t="s">
        <v>19771</v>
      </c>
      <c r="B10002" t="s">
        <v>19772</v>
      </c>
      <c r="C10002" t="s">
        <v>17</v>
      </c>
      <c r="D10002" t="s">
        <v>18</v>
      </c>
      <c r="E10002" s="6">
        <v>-27967</v>
      </c>
      <c r="F10002" t="s">
        <v>412</v>
      </c>
      <c r="G10002" t="s">
        <v>34</v>
      </c>
      <c r="H10002" t="s">
        <v>21</v>
      </c>
      <c r="I10002" t="s">
        <v>19773</v>
      </c>
      <c r="J10002" t="str">
        <f>HYPERLINK("https://www.boe.es/gazeta/dias/1823/06/05/pdfs/GES-1823-59.pdf#page=5","Abrir facsímil")</f>
        <v>Abrir facsímil</v>
      </c>
      <c r="K10002" t="s">
        <v>23</v>
      </c>
    </row>
    <row r="10003" spans="1:11" ht="42" customHeight="1">
      <c r="A10003" t="s">
        <v>19774</v>
      </c>
      <c r="B10003" t="s">
        <v>19775</v>
      </c>
      <c r="C10003" t="s">
        <v>17</v>
      </c>
      <c r="D10003" t="s">
        <v>18</v>
      </c>
      <c r="E10003" s="6">
        <v>-27877</v>
      </c>
      <c r="F10003" t="s">
        <v>844</v>
      </c>
      <c r="G10003" t="s">
        <v>27</v>
      </c>
      <c r="H10003" t="s">
        <v>21</v>
      </c>
      <c r="I10003" t="s">
        <v>19776</v>
      </c>
      <c r="J10003" t="str">
        <f>HYPERLINK("https://www.boe.es/gazeta/dias/1823/09/03/pdfs/GES-1823-147.pdf#page=2","Abrir facsímil")</f>
        <v>Abrir facsímil</v>
      </c>
      <c r="K10003" t="s">
        <v>23</v>
      </c>
    </row>
    <row r="10004" spans="1:11" ht="42" customHeight="1">
      <c r="A10004" t="s">
        <v>19777</v>
      </c>
      <c r="B10004" t="s">
        <v>19778</v>
      </c>
      <c r="C10004" t="s">
        <v>17</v>
      </c>
      <c r="D10004" t="s">
        <v>18</v>
      </c>
      <c r="E10004" s="6">
        <v>-27984</v>
      </c>
      <c r="F10004" t="s">
        <v>335</v>
      </c>
      <c r="G10004" t="s">
        <v>59</v>
      </c>
      <c r="H10004" t="s">
        <v>21</v>
      </c>
      <c r="I10004" t="s">
        <v>19779</v>
      </c>
      <c r="J10004" t="str">
        <f>HYPERLINK("https://www.boe.es/gazeta/dias/1823/05/19/pdfs/GES-1823-39.pdf#page=6","Abrir facsímil")</f>
        <v>Abrir facsímil</v>
      </c>
      <c r="K10004" t="s">
        <v>23</v>
      </c>
    </row>
    <row r="10005" spans="1:11" ht="42" customHeight="1">
      <c r="A10005" t="s">
        <v>19780</v>
      </c>
      <c r="B10005" t="s">
        <v>19781</v>
      </c>
      <c r="C10005" t="s">
        <v>17</v>
      </c>
      <c r="D10005" t="s">
        <v>18</v>
      </c>
      <c r="E10005" s="6">
        <v>-28002</v>
      </c>
      <c r="F10005" t="s">
        <v>315</v>
      </c>
      <c r="G10005" t="s">
        <v>3998</v>
      </c>
      <c r="H10005" t="s">
        <v>21</v>
      </c>
      <c r="I10005" t="s">
        <v>19782</v>
      </c>
      <c r="J10005" t="str">
        <f>HYPERLINK("https://www.boe.es/gazeta/dias/1823/05/01/pdfs/GES-1823-21.pdf#page=6","Abrir facsímil")</f>
        <v>Abrir facsímil</v>
      </c>
      <c r="K10005" t="s">
        <v>23</v>
      </c>
    </row>
    <row r="10006" spans="1:11" ht="42" customHeight="1">
      <c r="A10006" t="s">
        <v>19783</v>
      </c>
      <c r="B10006" t="s">
        <v>19784</v>
      </c>
      <c r="C10006" t="s">
        <v>17</v>
      </c>
      <c r="D10006" t="s">
        <v>117</v>
      </c>
      <c r="E10006" s="6">
        <v>-27975</v>
      </c>
      <c r="F10006" t="s">
        <v>1922</v>
      </c>
      <c r="G10006" t="s">
        <v>39</v>
      </c>
      <c r="H10006" t="s">
        <v>21</v>
      </c>
      <c r="I10006" t="s">
        <v>19785</v>
      </c>
      <c r="J10006" t="str">
        <f>HYPERLINK("https://www.boe.es/gazeta/dias/1823/05/28/pdfs/GES-1823-51E.pdf#page=1","Abrir facsímil")</f>
        <v>Abrir facsímil</v>
      </c>
      <c r="K10006" t="s">
        <v>23</v>
      </c>
    </row>
    <row r="10007" spans="1:11" ht="42" customHeight="1">
      <c r="A10007" t="s">
        <v>19786</v>
      </c>
      <c r="B10007" t="s">
        <v>19787</v>
      </c>
      <c r="C10007" t="s">
        <v>17</v>
      </c>
      <c r="D10007" t="s">
        <v>18</v>
      </c>
      <c r="E10007" s="6">
        <v>-27881</v>
      </c>
      <c r="F10007" t="s">
        <v>725</v>
      </c>
      <c r="G10007" t="s">
        <v>39</v>
      </c>
      <c r="H10007" t="s">
        <v>21</v>
      </c>
      <c r="I10007" t="s">
        <v>19788</v>
      </c>
      <c r="J10007" t="str">
        <f>HYPERLINK("https://www.boe.es/gazeta/dias/1823/08/30/pdfs/GMD-1823-673.pdf#page=1","Abrir facsímil")</f>
        <v>Abrir facsímil</v>
      </c>
      <c r="K10007" t="s">
        <v>23</v>
      </c>
    </row>
    <row r="10008" spans="1:11" ht="42" customHeight="1">
      <c r="A10008" t="s">
        <v>19789</v>
      </c>
      <c r="B10008" t="s">
        <v>19790</v>
      </c>
      <c r="C10008" t="s">
        <v>17</v>
      </c>
      <c r="D10008" t="s">
        <v>18</v>
      </c>
      <c r="E10008" s="6">
        <v>-28016</v>
      </c>
      <c r="F10008" t="s">
        <v>287</v>
      </c>
      <c r="G10008" t="s">
        <v>27</v>
      </c>
      <c r="H10008" t="s">
        <v>21</v>
      </c>
      <c r="I10008" t="s">
        <v>19791</v>
      </c>
      <c r="J10008" t="str">
        <f>HYPERLINK("https://www.boe.es/gazeta/dias/1823/04/17/pdfs/GMD-1823-22.pdf#page=2","Abrir facsímil")</f>
        <v>Abrir facsímil</v>
      </c>
      <c r="K10008" t="s">
        <v>23</v>
      </c>
    </row>
    <row r="10009" spans="1:11" ht="42" customHeight="1">
      <c r="A10009" t="s">
        <v>19792</v>
      </c>
      <c r="B10009" t="s">
        <v>19793</v>
      </c>
      <c r="C10009" t="s">
        <v>79</v>
      </c>
      <c r="D10009" t="s">
        <v>74</v>
      </c>
      <c r="E10009" s="6">
        <v>-28082</v>
      </c>
      <c r="F10009" t="s">
        <v>468</v>
      </c>
      <c r="G10009" t="s">
        <v>59</v>
      </c>
      <c r="H10009" t="s">
        <v>21</v>
      </c>
      <c r="I10009" t="s">
        <v>19794</v>
      </c>
      <c r="J10009" t="str">
        <f>HYPERLINK("https://www.boe.es/gazeta/dias/1823/02/10/pdfs/GMD-1823-44.pdf#page=6","Abrir facsímil")</f>
        <v>Abrir facsímil</v>
      </c>
      <c r="K10009" t="s">
        <v>23</v>
      </c>
    </row>
    <row r="10010" spans="1:11" ht="42" customHeight="1">
      <c r="A10010" t="s">
        <v>19795</v>
      </c>
      <c r="B10010" t="s">
        <v>19796</v>
      </c>
      <c r="C10010" t="s">
        <v>17</v>
      </c>
      <c r="D10010" t="s">
        <v>18</v>
      </c>
      <c r="E10010" s="6">
        <v>-27937</v>
      </c>
      <c r="F10010" t="s">
        <v>897</v>
      </c>
      <c r="G10010" t="s">
        <v>39</v>
      </c>
      <c r="H10010" t="s">
        <v>21</v>
      </c>
      <c r="I10010" t="s">
        <v>19797</v>
      </c>
      <c r="J10010" t="str">
        <f>HYPERLINK("https://www.boe.es/gazeta/dias/1823/07/05/pdfs/GMD-1823-343.pdf#page=1","Abrir facsímil")</f>
        <v>Abrir facsímil</v>
      </c>
      <c r="K10010" t="s">
        <v>23</v>
      </c>
    </row>
    <row r="10011" spans="1:11" ht="42" customHeight="1">
      <c r="A10011" t="s">
        <v>19798</v>
      </c>
      <c r="B10011" t="s">
        <v>19799</v>
      </c>
      <c r="C10011" t="s">
        <v>79</v>
      </c>
      <c r="D10011" t="s">
        <v>74</v>
      </c>
      <c r="E10011" s="6">
        <v>-28096</v>
      </c>
      <c r="F10011" t="s">
        <v>534</v>
      </c>
      <c r="G10011" t="s">
        <v>27</v>
      </c>
      <c r="H10011" t="s">
        <v>21</v>
      </c>
      <c r="I10011" t="s">
        <v>19800</v>
      </c>
      <c r="J10011" t="str">
        <f>HYPERLINK("https://www.boe.es/gazeta/dias/1823/01/27/pdfs/GMD-1823-28.pdf#page=2","Abrir facsímil")</f>
        <v>Abrir facsímil</v>
      </c>
      <c r="K10011" t="s">
        <v>23</v>
      </c>
    </row>
    <row r="10012" spans="1:11" ht="42" customHeight="1">
      <c r="A10012" t="s">
        <v>19801</v>
      </c>
      <c r="B10012" t="s">
        <v>19802</v>
      </c>
      <c r="C10012" t="s">
        <v>79</v>
      </c>
      <c r="D10012" t="s">
        <v>74</v>
      </c>
      <c r="E10012" s="6">
        <v>-27759</v>
      </c>
      <c r="F10012" t="s">
        <v>415</v>
      </c>
      <c r="G10012" t="s">
        <v>48</v>
      </c>
      <c r="H10012" t="s">
        <v>21</v>
      </c>
      <c r="I10012" t="s">
        <v>19803</v>
      </c>
      <c r="J10012" t="str">
        <f>HYPERLINK("https://www.boe.es/gazeta/dias/1823/12/30/pdfs/GMD-1823-1313.pdf#page=3","Abrir facsímil")</f>
        <v>Abrir facsímil</v>
      </c>
      <c r="K10012" t="s">
        <v>23</v>
      </c>
    </row>
    <row r="10013" spans="1:11" ht="42" customHeight="1">
      <c r="A10013" t="s">
        <v>19804</v>
      </c>
      <c r="B10013" t="s">
        <v>19804</v>
      </c>
      <c r="C10013" t="s">
        <v>293</v>
      </c>
      <c r="D10013" t="s">
        <v>74</v>
      </c>
      <c r="E10013" s="6">
        <v>-28120</v>
      </c>
      <c r="F10013" t="s">
        <v>2772</v>
      </c>
      <c r="G10013" t="s">
        <v>3108</v>
      </c>
      <c r="H10013" t="s">
        <v>21</v>
      </c>
      <c r="I10013" t="s">
        <v>19805</v>
      </c>
      <c r="J10013" t="str">
        <f>HYPERLINK("https://www.boe.es/gazeta/dias/1823/01/03/pdfs/GMD-1823-3.pdf#page=3","Abrir facsímil")</f>
        <v>Abrir facsímil</v>
      </c>
      <c r="K10013" t="s">
        <v>23</v>
      </c>
    </row>
    <row r="10014" spans="1:11" ht="42" customHeight="1">
      <c r="A10014" t="s">
        <v>19804</v>
      </c>
      <c r="B10014" t="s">
        <v>19804</v>
      </c>
      <c r="C10014" t="s">
        <v>293</v>
      </c>
      <c r="D10014" t="s">
        <v>74</v>
      </c>
      <c r="E10014" s="6">
        <v>-28120</v>
      </c>
      <c r="F10014" t="s">
        <v>2772</v>
      </c>
      <c r="G10014" t="s">
        <v>27</v>
      </c>
      <c r="H10014" t="s">
        <v>21</v>
      </c>
      <c r="I10014" t="s">
        <v>19806</v>
      </c>
      <c r="J10014" t="str">
        <f>HYPERLINK("https://www.boe.es/gazeta/dias/1823/01/03/pdfs/GMD-1823-3.pdf#page=2","Abrir facsímil")</f>
        <v>Abrir facsímil</v>
      </c>
      <c r="K10014" t="s">
        <v>23</v>
      </c>
    </row>
    <row r="10015" spans="1:11" ht="42" customHeight="1">
      <c r="A10015" t="s">
        <v>19804</v>
      </c>
      <c r="B10015" t="s">
        <v>19804</v>
      </c>
      <c r="C10015" t="s">
        <v>73</v>
      </c>
      <c r="D10015" t="s">
        <v>74</v>
      </c>
      <c r="E10015" s="6">
        <v>-28116</v>
      </c>
      <c r="F10015" t="s">
        <v>134</v>
      </c>
      <c r="G10015" t="s">
        <v>20</v>
      </c>
      <c r="H10015" t="s">
        <v>21</v>
      </c>
      <c r="I10015" t="s">
        <v>19807</v>
      </c>
      <c r="J10015" t="str">
        <f>HYPERLINK("https://www.boe.es/gazeta/dias/1823/01/07/pdfs/GMD-1823-7.pdf#page=4","Abrir facsímil")</f>
        <v>Abrir facsímil</v>
      </c>
      <c r="K10015" t="s">
        <v>23</v>
      </c>
    </row>
    <row r="10016" spans="1:11" ht="42" customHeight="1">
      <c r="A10016" t="s">
        <v>19804</v>
      </c>
      <c r="B10016" t="s">
        <v>19804</v>
      </c>
      <c r="C10016" t="s">
        <v>79</v>
      </c>
      <c r="D10016" t="s">
        <v>74</v>
      </c>
      <c r="E10016" s="6">
        <v>-28105</v>
      </c>
      <c r="F10016" t="s">
        <v>502</v>
      </c>
      <c r="G10016" t="s">
        <v>48</v>
      </c>
      <c r="H10016" t="s">
        <v>21</v>
      </c>
      <c r="I10016" t="s">
        <v>19808</v>
      </c>
      <c r="J10016" t="str">
        <f>HYPERLINK("https://www.boe.es/gazeta/dias/1823/01/18/pdfs/GMD-1823-18.pdf#page=3","Abrir facsímil")</f>
        <v>Abrir facsímil</v>
      </c>
      <c r="K10016" t="s">
        <v>23</v>
      </c>
    </row>
    <row r="10017" spans="1:11" ht="42" customHeight="1">
      <c r="A10017" t="s">
        <v>19804</v>
      </c>
      <c r="B10017" t="s">
        <v>19804</v>
      </c>
      <c r="C10017" t="s">
        <v>73</v>
      </c>
      <c r="D10017" t="s">
        <v>74</v>
      </c>
      <c r="E10017" s="6">
        <v>-28097</v>
      </c>
      <c r="F10017" t="s">
        <v>1368</v>
      </c>
      <c r="G10017" t="s">
        <v>27</v>
      </c>
      <c r="H10017" t="s">
        <v>21</v>
      </c>
      <c r="I10017" t="s">
        <v>19809</v>
      </c>
      <c r="J10017" t="str">
        <f>HYPERLINK("https://www.boe.es/gazeta/dias/1823/01/26/pdfs/GMD-1823-27.pdf#page=2","Abrir facsímil")</f>
        <v>Abrir facsímil</v>
      </c>
      <c r="K10017" t="s">
        <v>23</v>
      </c>
    </row>
    <row r="10018" spans="1:11" ht="42" customHeight="1">
      <c r="A10018" t="s">
        <v>19804</v>
      </c>
      <c r="B10018" t="s">
        <v>19804</v>
      </c>
      <c r="C10018" t="s">
        <v>17</v>
      </c>
      <c r="D10018" t="s">
        <v>18</v>
      </c>
      <c r="E10018" s="6">
        <v>-28084</v>
      </c>
      <c r="F10018" t="s">
        <v>1049</v>
      </c>
      <c r="G10018" t="s">
        <v>3129</v>
      </c>
      <c r="H10018" t="s">
        <v>21</v>
      </c>
      <c r="I10018" t="s">
        <v>19810</v>
      </c>
      <c r="J10018" t="str">
        <f>HYPERLINK("https://www.boe.es/gazeta/dias/1823/02/08/pdfs/GMD-1823-41.pdf#page=2","Abrir facsímil")</f>
        <v>Abrir facsímil</v>
      </c>
      <c r="K10018" t="s">
        <v>23</v>
      </c>
    </row>
    <row r="10019" spans="1:11" ht="42" customHeight="1">
      <c r="A10019" t="s">
        <v>19804</v>
      </c>
      <c r="B10019" t="s">
        <v>19804</v>
      </c>
      <c r="C10019" t="s">
        <v>17</v>
      </c>
      <c r="D10019" t="s">
        <v>18</v>
      </c>
      <c r="E10019" s="6">
        <v>-28057</v>
      </c>
      <c r="F10019" t="s">
        <v>301</v>
      </c>
      <c r="G10019" t="s">
        <v>20</v>
      </c>
      <c r="H10019" t="s">
        <v>21</v>
      </c>
      <c r="I10019" t="s">
        <v>19811</v>
      </c>
      <c r="J10019" t="str">
        <f>HYPERLINK("https://www.boe.es/gazeta/dias/1823/03/07/pdfs/GMD-1823-70.pdf#page=4","Abrir facsímil")</f>
        <v>Abrir facsímil</v>
      </c>
      <c r="K10019" t="s">
        <v>23</v>
      </c>
    </row>
    <row r="10020" spans="1:11" ht="42" customHeight="1">
      <c r="A10020" t="s">
        <v>19804</v>
      </c>
      <c r="B10020" t="s">
        <v>19804</v>
      </c>
      <c r="C10020" t="s">
        <v>56</v>
      </c>
      <c r="D10020" t="s">
        <v>57</v>
      </c>
      <c r="E10020" s="6">
        <v>-28054</v>
      </c>
      <c r="F10020" t="s">
        <v>1292</v>
      </c>
      <c r="G10020" t="s">
        <v>27</v>
      </c>
      <c r="H10020" t="s">
        <v>21</v>
      </c>
      <c r="I10020" t="s">
        <v>19812</v>
      </c>
      <c r="J10020" t="str">
        <f>HYPERLINK("https://www.boe.es/gazeta/dias/1823/03/10/pdfs/GMD-1823-73.pdf#page=2","Abrir facsímil")</f>
        <v>Abrir facsímil</v>
      </c>
      <c r="K10020" t="s">
        <v>23</v>
      </c>
    </row>
    <row r="10021" spans="1:11" ht="42" customHeight="1">
      <c r="A10021" t="s">
        <v>19804</v>
      </c>
      <c r="B10021" t="s">
        <v>19804</v>
      </c>
      <c r="C10021" t="s">
        <v>109</v>
      </c>
      <c r="D10021" t="s">
        <v>74</v>
      </c>
      <c r="E10021" s="6">
        <v>-28054</v>
      </c>
      <c r="F10021" t="s">
        <v>1292</v>
      </c>
      <c r="G10021" t="s">
        <v>48</v>
      </c>
      <c r="H10021" t="s">
        <v>21</v>
      </c>
      <c r="I10021" t="s">
        <v>19813</v>
      </c>
      <c r="J10021" t="str">
        <f>HYPERLINK("https://www.boe.es/gazeta/dias/1823/03/10/pdfs/GMD-1823-73.pdf#page=3","Abrir facsímil")</f>
        <v>Abrir facsímil</v>
      </c>
      <c r="K10021" t="s">
        <v>23</v>
      </c>
    </row>
    <row r="10022" spans="1:11" ht="42" customHeight="1">
      <c r="A10022" t="s">
        <v>19804</v>
      </c>
      <c r="B10022" t="s">
        <v>19804</v>
      </c>
      <c r="C10022" t="s">
        <v>17</v>
      </c>
      <c r="D10022" t="s">
        <v>18</v>
      </c>
      <c r="E10022" s="6">
        <v>-28049</v>
      </c>
      <c r="F10022" t="s">
        <v>198</v>
      </c>
      <c r="G10022" t="s">
        <v>48</v>
      </c>
      <c r="H10022" t="s">
        <v>21</v>
      </c>
      <c r="I10022" t="s">
        <v>19814</v>
      </c>
      <c r="J10022" t="str">
        <f>HYPERLINK("https://www.boe.es/gazeta/dias/1823/03/15/pdfs/GMD-1823-78.pdf#page=3","Abrir facsímil")</f>
        <v>Abrir facsímil</v>
      </c>
      <c r="K10022" t="s">
        <v>23</v>
      </c>
    </row>
    <row r="10023" spans="1:11" ht="42" customHeight="1">
      <c r="A10023" t="s">
        <v>19804</v>
      </c>
      <c r="B10023" t="s">
        <v>19804</v>
      </c>
      <c r="C10023" t="s">
        <v>56</v>
      </c>
      <c r="D10023" t="s">
        <v>57</v>
      </c>
      <c r="E10023" s="6">
        <v>-28042</v>
      </c>
      <c r="F10023" t="s">
        <v>1218</v>
      </c>
      <c r="G10023" t="s">
        <v>20</v>
      </c>
      <c r="H10023" t="s">
        <v>21</v>
      </c>
      <c r="I10023" t="s">
        <v>19815</v>
      </c>
      <c r="J10023" t="str">
        <f>HYPERLINK("https://www.boe.es/gazeta/dias/1823/03/22/pdfs/GMD-1823-85.pdf#page=4","Abrir facsímil")</f>
        <v>Abrir facsímil</v>
      </c>
      <c r="K10023" t="s">
        <v>23</v>
      </c>
    </row>
    <row r="10024" spans="1:11" ht="42" customHeight="1">
      <c r="A10024" t="s">
        <v>19804</v>
      </c>
      <c r="B10024" t="s">
        <v>19804</v>
      </c>
      <c r="C10024" t="s">
        <v>56</v>
      </c>
      <c r="D10024" t="s">
        <v>57</v>
      </c>
      <c r="E10024" s="6">
        <v>-27990</v>
      </c>
      <c r="F10024" t="s">
        <v>1132</v>
      </c>
      <c r="G10024" t="s">
        <v>27</v>
      </c>
      <c r="H10024" t="s">
        <v>21</v>
      </c>
      <c r="I10024" t="s">
        <v>19816</v>
      </c>
      <c r="J10024" t="str">
        <f>HYPERLINK("https://www.boe.es/gazeta/dias/1823/05/13/pdfs/GES-1823-33.pdf#page=2","Abrir facsímil")</f>
        <v>Abrir facsímil</v>
      </c>
      <c r="K10024" t="s">
        <v>23</v>
      </c>
    </row>
    <row r="10025" spans="1:11" ht="42" customHeight="1">
      <c r="A10025" t="s">
        <v>19804</v>
      </c>
      <c r="B10025" t="s">
        <v>19804</v>
      </c>
      <c r="C10025" t="s">
        <v>17</v>
      </c>
      <c r="D10025" t="s">
        <v>18</v>
      </c>
      <c r="E10025" s="6">
        <v>-27986</v>
      </c>
      <c r="F10025" t="s">
        <v>75</v>
      </c>
      <c r="G10025" t="s">
        <v>48</v>
      </c>
      <c r="H10025" t="s">
        <v>21</v>
      </c>
      <c r="I10025" t="s">
        <v>19817</v>
      </c>
      <c r="J10025" t="str">
        <f>HYPERLINK("https://www.boe.es/gazeta/dias/1823/05/17/pdfs/GES-1823-37.pdf#page=3","Abrir facsímil")</f>
        <v>Abrir facsímil</v>
      </c>
      <c r="K10025" t="s">
        <v>23</v>
      </c>
    </row>
    <row r="10026" spans="1:11" ht="42" customHeight="1">
      <c r="A10026" t="s">
        <v>19804</v>
      </c>
      <c r="B10026" t="s">
        <v>19804</v>
      </c>
      <c r="C10026" t="s">
        <v>79</v>
      </c>
      <c r="D10026" t="s">
        <v>74</v>
      </c>
      <c r="E10026" s="6">
        <v>-27984</v>
      </c>
      <c r="F10026" t="s">
        <v>335</v>
      </c>
      <c r="G10026" t="s">
        <v>48</v>
      </c>
      <c r="H10026" t="s">
        <v>21</v>
      </c>
      <c r="I10026" t="s">
        <v>19818</v>
      </c>
      <c r="J10026" t="str">
        <f>HYPERLINK("https://www.boe.es/gazeta/dias/1823/05/19/pdfs/GES-1823-39.pdf#page=3","Abrir facsímil")</f>
        <v>Abrir facsímil</v>
      </c>
      <c r="K10026" t="s">
        <v>23</v>
      </c>
    </row>
    <row r="10027" spans="1:11" ht="42" customHeight="1">
      <c r="A10027" t="s">
        <v>19804</v>
      </c>
      <c r="B10027" t="s">
        <v>19804</v>
      </c>
      <c r="C10027" t="s">
        <v>17</v>
      </c>
      <c r="D10027" t="s">
        <v>18</v>
      </c>
      <c r="E10027" s="6">
        <v>-27980</v>
      </c>
      <c r="F10027" t="s">
        <v>1068</v>
      </c>
      <c r="G10027" t="s">
        <v>20</v>
      </c>
      <c r="H10027" t="s">
        <v>21</v>
      </c>
      <c r="I10027" t="s">
        <v>19819</v>
      </c>
      <c r="J10027" t="str">
        <f>HYPERLINK("https://www.boe.es/gazeta/dias/1823/05/23/pdfs/GES-1823-44.pdf#page=4","Abrir facsímil")</f>
        <v>Abrir facsímil</v>
      </c>
      <c r="K10027" t="s">
        <v>23</v>
      </c>
    </row>
    <row r="10028" spans="1:11" ht="42" customHeight="1">
      <c r="A10028" t="s">
        <v>19804</v>
      </c>
      <c r="B10028" t="s">
        <v>19804</v>
      </c>
      <c r="C10028" t="s">
        <v>84</v>
      </c>
      <c r="D10028" t="s">
        <v>74</v>
      </c>
      <c r="E10028" s="6">
        <v>-27944</v>
      </c>
      <c r="F10028" t="s">
        <v>2823</v>
      </c>
      <c r="G10028" t="s">
        <v>27</v>
      </c>
      <c r="H10028" t="s">
        <v>21</v>
      </c>
      <c r="I10028" t="s">
        <v>19820</v>
      </c>
      <c r="J10028" t="str">
        <f>HYPERLINK("https://www.boe.es/gazeta/dias/1823/06/28/pdfs/GES-1823-78.pdf#page=2","Abrir facsímil")</f>
        <v>Abrir facsímil</v>
      </c>
      <c r="K10028" t="s">
        <v>23</v>
      </c>
    </row>
    <row r="10029" spans="1:11" ht="42" customHeight="1">
      <c r="A10029" t="s">
        <v>19804</v>
      </c>
      <c r="B10029" t="s">
        <v>19804</v>
      </c>
      <c r="C10029" t="s">
        <v>56</v>
      </c>
      <c r="D10029" t="s">
        <v>57</v>
      </c>
      <c r="E10029" s="6">
        <v>-27941</v>
      </c>
      <c r="F10029" t="s">
        <v>527</v>
      </c>
      <c r="G10029" t="s">
        <v>39</v>
      </c>
      <c r="H10029" t="s">
        <v>21</v>
      </c>
      <c r="I10029" t="s">
        <v>19821</v>
      </c>
      <c r="J10029" t="str">
        <f>HYPERLINK("https://www.boe.es/gazeta/dias/1823/07/01/pdfs/GES-1823-81.pdf#page=1","Abrir facsímil")</f>
        <v>Abrir facsímil</v>
      </c>
      <c r="K10029" t="s">
        <v>23</v>
      </c>
    </row>
    <row r="10030" spans="1:11" ht="42" customHeight="1">
      <c r="A10030" t="s">
        <v>19804</v>
      </c>
      <c r="B10030" t="s">
        <v>19804</v>
      </c>
      <c r="C10030" t="s">
        <v>17</v>
      </c>
      <c r="D10030" t="s">
        <v>18</v>
      </c>
      <c r="E10030" s="6">
        <v>-27922</v>
      </c>
      <c r="F10030" t="s">
        <v>1959</v>
      </c>
      <c r="G10030" t="s">
        <v>48</v>
      </c>
      <c r="H10030" t="s">
        <v>21</v>
      </c>
      <c r="I10030" t="s">
        <v>19822</v>
      </c>
      <c r="J10030" t="str">
        <f>HYPERLINK("https://www.boe.es/gazeta/dias/1823/07/20/pdfs/GES-1823-101.pdf#page=3","Abrir facsímil")</f>
        <v>Abrir facsímil</v>
      </c>
      <c r="K10030" t="s">
        <v>23</v>
      </c>
    </row>
    <row r="10031" spans="1:11" ht="42" customHeight="1">
      <c r="A10031" t="s">
        <v>19804</v>
      </c>
      <c r="B10031" t="s">
        <v>19804</v>
      </c>
      <c r="C10031" t="s">
        <v>17</v>
      </c>
      <c r="D10031" t="s">
        <v>18</v>
      </c>
      <c r="E10031" s="6">
        <v>-27908</v>
      </c>
      <c r="F10031" t="s">
        <v>80</v>
      </c>
      <c r="G10031" t="s">
        <v>27</v>
      </c>
      <c r="H10031" t="s">
        <v>21</v>
      </c>
      <c r="I10031" t="s">
        <v>19823</v>
      </c>
      <c r="J10031" t="str">
        <f>HYPERLINK("https://www.boe.es/gazeta/dias/1823/08/03/pdfs/GES-1823-115.pdf#page=2","Abrir facsímil")</f>
        <v>Abrir facsímil</v>
      </c>
      <c r="K10031" t="s">
        <v>23</v>
      </c>
    </row>
    <row r="10032" spans="1:11" ht="42" customHeight="1">
      <c r="A10032" t="s">
        <v>19804</v>
      </c>
      <c r="B10032" t="s">
        <v>19804</v>
      </c>
      <c r="C10032" t="s">
        <v>73</v>
      </c>
      <c r="D10032" t="s">
        <v>74</v>
      </c>
      <c r="E10032" s="6">
        <v>-27906</v>
      </c>
      <c r="F10032" t="s">
        <v>241</v>
      </c>
      <c r="G10032" t="s">
        <v>39</v>
      </c>
      <c r="H10032" t="s">
        <v>21</v>
      </c>
      <c r="I10032" t="s">
        <v>19824</v>
      </c>
      <c r="J10032" t="str">
        <f>HYPERLINK("https://www.boe.es/gazeta/dias/1823/08/05/pdfs/GES-1823-117.pdf#page=1","Abrir facsímil")</f>
        <v>Abrir facsímil</v>
      </c>
      <c r="K10032" t="s">
        <v>23</v>
      </c>
    </row>
    <row r="10033" spans="1:11" ht="42" customHeight="1">
      <c r="A10033" t="s">
        <v>19825</v>
      </c>
      <c r="B10033" t="s">
        <v>19826</v>
      </c>
      <c r="C10033" t="s">
        <v>56</v>
      </c>
      <c r="D10033" t="s">
        <v>57</v>
      </c>
      <c r="E10033" s="6">
        <v>-27964</v>
      </c>
      <c r="F10033" t="s">
        <v>58</v>
      </c>
      <c r="G10033" t="s">
        <v>48</v>
      </c>
      <c r="H10033" t="s">
        <v>28</v>
      </c>
      <c r="I10033" t="s">
        <v>19827</v>
      </c>
      <c r="J10033" t="str">
        <f>HYPERLINK("https://www.boe.es/gazeta/dias/1823/06/08/pdfs/GES-1823-62.pdf#page=3","Abrir facsímil")</f>
        <v>Abrir facsímil</v>
      </c>
      <c r="K10033" t="s">
        <v>30</v>
      </c>
    </row>
    <row r="10034" spans="1:11" ht="42" customHeight="1">
      <c r="A10034" t="s">
        <v>19828</v>
      </c>
      <c r="B10034" t="s">
        <v>19829</v>
      </c>
      <c r="C10034" t="s">
        <v>56</v>
      </c>
      <c r="D10034" t="s">
        <v>57</v>
      </c>
      <c r="E10034" s="6">
        <v>-27963</v>
      </c>
      <c r="F10034" t="s">
        <v>344</v>
      </c>
      <c r="G10034" t="s">
        <v>48</v>
      </c>
      <c r="H10034" t="s">
        <v>28</v>
      </c>
      <c r="I10034" t="s">
        <v>19830</v>
      </c>
      <c r="J10034" t="str">
        <f>HYPERLINK("https://www.boe.es/gazeta/dias/1823/06/09/pdfs/GES-1823-63.pdf#page=3","Abrir facsímil")</f>
        <v>Abrir facsímil</v>
      </c>
      <c r="K10034" t="s">
        <v>30</v>
      </c>
    </row>
    <row r="10035" spans="1:11" ht="42" customHeight="1">
      <c r="A10035" t="s">
        <v>19831</v>
      </c>
      <c r="B10035" t="s">
        <v>19832</v>
      </c>
      <c r="C10035" t="s">
        <v>56</v>
      </c>
      <c r="D10035" t="s">
        <v>57</v>
      </c>
      <c r="E10035" s="6">
        <v>-27939</v>
      </c>
      <c r="F10035" t="s">
        <v>1076</v>
      </c>
      <c r="G10035" t="s">
        <v>20</v>
      </c>
      <c r="H10035" t="s">
        <v>21</v>
      </c>
      <c r="I10035" t="s">
        <v>19833</v>
      </c>
      <c r="J10035" t="str">
        <f>HYPERLINK("https://www.boe.es/gazeta/dias/1823/07/03/pdfs/GES-1823-83.pdf#page=4","Abrir facsímil")</f>
        <v>Abrir facsímil</v>
      </c>
      <c r="K10035" t="s">
        <v>23</v>
      </c>
    </row>
    <row r="10036" spans="1:11" ht="42" customHeight="1">
      <c r="A10036" t="s">
        <v>19834</v>
      </c>
      <c r="B10036" t="s">
        <v>19835</v>
      </c>
      <c r="C10036" t="s">
        <v>17</v>
      </c>
      <c r="D10036" t="s">
        <v>18</v>
      </c>
      <c r="E10036" s="6">
        <v>-27966</v>
      </c>
      <c r="F10036" t="s">
        <v>675</v>
      </c>
      <c r="G10036" t="s">
        <v>39</v>
      </c>
      <c r="H10036" t="s">
        <v>28</v>
      </c>
      <c r="I10036" t="s">
        <v>19836</v>
      </c>
      <c r="J10036" t="str">
        <f>HYPERLINK("https://www.boe.es/gazeta/dias/1823/06/06/pdfs/GES-1823-60.pdf#page=1","Abrir facsímil")</f>
        <v>Abrir facsímil</v>
      </c>
      <c r="K10036" t="s">
        <v>30</v>
      </c>
    </row>
    <row r="10037" spans="1:11" ht="42" customHeight="1">
      <c r="A10037" t="s">
        <v>19837</v>
      </c>
      <c r="B10037" t="s">
        <v>19838</v>
      </c>
      <c r="C10037" t="s">
        <v>56</v>
      </c>
      <c r="D10037" t="s">
        <v>57</v>
      </c>
      <c r="E10037" s="6">
        <v>-27944</v>
      </c>
      <c r="F10037" t="s">
        <v>658</v>
      </c>
      <c r="G10037" t="s">
        <v>27</v>
      </c>
      <c r="H10037" t="s">
        <v>21</v>
      </c>
      <c r="I10037" t="s">
        <v>19839</v>
      </c>
      <c r="J10037" t="str">
        <f>HYPERLINK("https://www.boe.es/gazeta/dias/1823/06/28/pdfs/GMD-1823-303.pdf#page=2","Abrir facsímil")</f>
        <v>Abrir facsímil</v>
      </c>
      <c r="K10037" t="s">
        <v>23</v>
      </c>
    </row>
    <row r="10038" spans="1:11" ht="42" customHeight="1">
      <c r="A10038" t="s">
        <v>19840</v>
      </c>
      <c r="B10038" t="s">
        <v>19840</v>
      </c>
      <c r="C10038" t="s">
        <v>73</v>
      </c>
      <c r="D10038" t="s">
        <v>74</v>
      </c>
      <c r="E10038" s="6">
        <v>-28087</v>
      </c>
      <c r="F10038" t="s">
        <v>3125</v>
      </c>
      <c r="G10038" t="s">
        <v>39</v>
      </c>
      <c r="H10038" t="s">
        <v>21</v>
      </c>
      <c r="I10038" t="s">
        <v>19841</v>
      </c>
      <c r="J10038" t="str">
        <f>HYPERLINK("https://www.boe.es/gazeta/dias/1823/02/05/pdfs/GMD-1823-38.pdf#page=1","Abrir facsímil")</f>
        <v>Abrir facsímil</v>
      </c>
      <c r="K10038" t="s">
        <v>23</v>
      </c>
    </row>
    <row r="10039" spans="1:11" ht="42" customHeight="1">
      <c r="A10039" t="s">
        <v>19842</v>
      </c>
      <c r="B10039" t="s">
        <v>19843</v>
      </c>
      <c r="C10039" t="s">
        <v>79</v>
      </c>
      <c r="D10039" t="s">
        <v>74</v>
      </c>
      <c r="E10039" s="6">
        <v>-27906</v>
      </c>
      <c r="F10039" t="s">
        <v>241</v>
      </c>
      <c r="G10039" t="s">
        <v>2212</v>
      </c>
      <c r="H10039" t="s">
        <v>21</v>
      </c>
      <c r="I10039" t="s">
        <v>19844</v>
      </c>
      <c r="J10039" t="str">
        <f>HYPERLINK("https://www.boe.es/gazeta/dias/1823/08/05/pdfs/GES-1823-117.pdf#page=2","Abrir facsímil")</f>
        <v>Abrir facsímil</v>
      </c>
      <c r="K10039" t="s">
        <v>23</v>
      </c>
    </row>
    <row r="10040" spans="1:11" ht="42" customHeight="1">
      <c r="A10040" t="s">
        <v>19845</v>
      </c>
      <c r="B10040" t="s">
        <v>19845</v>
      </c>
      <c r="C10040" t="s">
        <v>17</v>
      </c>
      <c r="D10040" t="s">
        <v>18</v>
      </c>
      <c r="E10040" s="6">
        <v>-28018</v>
      </c>
      <c r="F10040" t="s">
        <v>2613</v>
      </c>
      <c r="G10040" t="s">
        <v>27</v>
      </c>
      <c r="H10040" t="s">
        <v>21</v>
      </c>
      <c r="I10040" t="s">
        <v>19846</v>
      </c>
      <c r="J10040" t="str">
        <f>HYPERLINK("https://www.boe.es/gazeta/dias/1823/04/15/pdfs/GES-1823-5.pdf#page=2","Abrir facsímil")</f>
        <v>Abrir facsímil</v>
      </c>
      <c r="K10040" t="s">
        <v>23</v>
      </c>
    </row>
    <row r="10041" spans="1:11" ht="42" customHeight="1">
      <c r="A10041" t="s">
        <v>19847</v>
      </c>
      <c r="B10041" t="s">
        <v>19848</v>
      </c>
      <c r="C10041" t="s">
        <v>17</v>
      </c>
      <c r="D10041" t="s">
        <v>117</v>
      </c>
      <c r="E10041" s="6">
        <v>-27953</v>
      </c>
      <c r="F10041" t="s">
        <v>2684</v>
      </c>
      <c r="G10041" t="s">
        <v>39</v>
      </c>
      <c r="H10041" t="s">
        <v>21</v>
      </c>
      <c r="I10041" t="s">
        <v>19849</v>
      </c>
      <c r="J10041" t="str">
        <f>HYPERLINK("https://www.boe.es/gazeta/dias/1823/06/19/pdfs/GMD-1823-203E.pdf#page=1","Abrir facsímil")</f>
        <v>Abrir facsímil</v>
      </c>
      <c r="K10041" t="s">
        <v>23</v>
      </c>
    </row>
    <row r="10042" spans="1:11" ht="42" customHeight="1">
      <c r="A10042" t="s">
        <v>19850</v>
      </c>
      <c r="B10042" t="s">
        <v>19850</v>
      </c>
      <c r="C10042" t="s">
        <v>73</v>
      </c>
      <c r="D10042" t="s">
        <v>74</v>
      </c>
      <c r="E10042" s="6">
        <v>-28059</v>
      </c>
      <c r="F10042" t="s">
        <v>149</v>
      </c>
      <c r="G10042" t="s">
        <v>48</v>
      </c>
      <c r="H10042" t="s">
        <v>21</v>
      </c>
      <c r="I10042" t="s">
        <v>19851</v>
      </c>
      <c r="J10042" t="str">
        <f>HYPERLINK("https://www.boe.es/gazeta/dias/1823/03/05/pdfs/GMD-1823-68.pdf#page=3","Abrir facsímil")</f>
        <v>Abrir facsímil</v>
      </c>
      <c r="K10042" t="s">
        <v>23</v>
      </c>
    </row>
    <row r="10043" spans="1:11" ht="42" customHeight="1">
      <c r="A10043" t="s">
        <v>19852</v>
      </c>
      <c r="B10043" t="s">
        <v>19852</v>
      </c>
      <c r="C10043" t="s">
        <v>84</v>
      </c>
      <c r="D10043" t="s">
        <v>74</v>
      </c>
      <c r="E10043" s="6">
        <v>-27993</v>
      </c>
      <c r="F10043" t="s">
        <v>977</v>
      </c>
      <c r="G10043" t="s">
        <v>48</v>
      </c>
      <c r="H10043" t="s">
        <v>21</v>
      </c>
      <c r="I10043" t="s">
        <v>19853</v>
      </c>
      <c r="J10043" t="str">
        <f>HYPERLINK("https://www.boe.es/gazeta/dias/1823/05/10/pdfs/GES-1823-30.pdf#page=3","Abrir facsímil")</f>
        <v>Abrir facsímil</v>
      </c>
      <c r="K10043" t="s">
        <v>23</v>
      </c>
    </row>
    <row r="10044" spans="1:11" ht="42" customHeight="1">
      <c r="A10044" t="s">
        <v>19852</v>
      </c>
      <c r="B10044" t="s">
        <v>19852</v>
      </c>
      <c r="C10044" t="s">
        <v>109</v>
      </c>
      <c r="D10044" t="s">
        <v>74</v>
      </c>
      <c r="E10044" s="6">
        <v>-27906</v>
      </c>
      <c r="F10044" t="s">
        <v>1527</v>
      </c>
      <c r="G10044" t="s">
        <v>39</v>
      </c>
      <c r="H10044" t="s">
        <v>21</v>
      </c>
      <c r="I10044" t="s">
        <v>19854</v>
      </c>
      <c r="J10044" t="str">
        <f>HYPERLINK("https://www.boe.es/gazeta/dias/1823/08/05/pdfs/GMD-1823-533.pdf#page=1","Abrir facsímil")</f>
        <v>Abrir facsímil</v>
      </c>
      <c r="K10044" t="s">
        <v>23</v>
      </c>
    </row>
    <row r="10045" spans="1:11" ht="42" customHeight="1">
      <c r="A10045" t="s">
        <v>19855</v>
      </c>
      <c r="B10045" t="s">
        <v>19856</v>
      </c>
      <c r="C10045" t="s">
        <v>109</v>
      </c>
      <c r="D10045" t="s">
        <v>74</v>
      </c>
      <c r="E10045" s="6">
        <v>-27995</v>
      </c>
      <c r="F10045" t="s">
        <v>320</v>
      </c>
      <c r="G10045" t="s">
        <v>59</v>
      </c>
      <c r="H10045" t="s">
        <v>21</v>
      </c>
      <c r="I10045" t="s">
        <v>19857</v>
      </c>
      <c r="J10045" t="str">
        <f>HYPERLINK("https://www.boe.es/gazeta/dias/1823/05/08/pdfs/GES-1823-28.pdf#page=6","Abrir facsímil")</f>
        <v>Abrir facsímil</v>
      </c>
      <c r="K10045" t="s">
        <v>23</v>
      </c>
    </row>
    <row r="10046" spans="1:11" ht="42" customHeight="1">
      <c r="A10046" t="s">
        <v>19858</v>
      </c>
      <c r="B10046" t="s">
        <v>19859</v>
      </c>
      <c r="C10046" t="s">
        <v>17</v>
      </c>
      <c r="D10046" t="s">
        <v>18</v>
      </c>
      <c r="E10046" s="6">
        <v>-28110</v>
      </c>
      <c r="F10046" t="s">
        <v>249</v>
      </c>
      <c r="G10046" t="s">
        <v>39</v>
      </c>
      <c r="H10046" t="s">
        <v>21</v>
      </c>
      <c r="I10046" t="s">
        <v>19860</v>
      </c>
      <c r="J10046" t="str">
        <f>HYPERLINK("https://www.boe.es/gazeta/dias/1823/01/13/pdfs/GMD-1823-13.pdf#page=1","Abrir facsímil")</f>
        <v>Abrir facsímil</v>
      </c>
      <c r="K10046" t="s">
        <v>23</v>
      </c>
    </row>
    <row r="10047" spans="1:11" ht="42" customHeight="1">
      <c r="A10047" t="s">
        <v>19858</v>
      </c>
      <c r="B10047" t="s">
        <v>19859</v>
      </c>
      <c r="C10047" t="s">
        <v>56</v>
      </c>
      <c r="D10047" t="s">
        <v>57</v>
      </c>
      <c r="E10047" s="6">
        <v>-28099</v>
      </c>
      <c r="F10047" t="s">
        <v>1689</v>
      </c>
      <c r="G10047" t="s">
        <v>48</v>
      </c>
      <c r="H10047" t="s">
        <v>21</v>
      </c>
      <c r="I10047" t="s">
        <v>19861</v>
      </c>
      <c r="J10047" t="str">
        <f>HYPERLINK("https://www.boe.es/gazeta/dias/1823/01/24/pdfs/GMD-1823-25.pdf#page=3","Abrir facsímil")</f>
        <v>Abrir facsímil</v>
      </c>
      <c r="K10047" t="s">
        <v>23</v>
      </c>
    </row>
    <row r="10048" spans="1:11" ht="42" customHeight="1">
      <c r="A10048" t="s">
        <v>19858</v>
      </c>
      <c r="B10048" t="s">
        <v>19859</v>
      </c>
      <c r="C10048" t="s">
        <v>17</v>
      </c>
      <c r="D10048" t="s">
        <v>18</v>
      </c>
      <c r="E10048" s="6">
        <v>-28004</v>
      </c>
      <c r="F10048" t="s">
        <v>313</v>
      </c>
      <c r="G10048" t="s">
        <v>48</v>
      </c>
      <c r="H10048" t="s">
        <v>21</v>
      </c>
      <c r="I10048" t="s">
        <v>19862</v>
      </c>
      <c r="J10048" t="str">
        <f>HYPERLINK("https://www.boe.es/gazeta/dias/1823/04/29/pdfs/GMD-1823-72.pdf#page=3","Abrir facsímil")</f>
        <v>Abrir facsímil</v>
      </c>
      <c r="K10048" t="s">
        <v>23</v>
      </c>
    </row>
    <row r="10049" spans="1:11" ht="42" customHeight="1">
      <c r="A10049" t="s">
        <v>19858</v>
      </c>
      <c r="B10049" t="s">
        <v>19859</v>
      </c>
      <c r="C10049" t="s">
        <v>56</v>
      </c>
      <c r="D10049" t="s">
        <v>57</v>
      </c>
      <c r="E10049" s="6">
        <v>-28002</v>
      </c>
      <c r="F10049" t="s">
        <v>315</v>
      </c>
      <c r="G10049" t="s">
        <v>27</v>
      </c>
      <c r="H10049" t="s">
        <v>21</v>
      </c>
      <c r="I10049" t="s">
        <v>19863</v>
      </c>
      <c r="J10049" t="str">
        <f>HYPERLINK("https://www.boe.es/gazeta/dias/1823/05/01/pdfs/GES-1823-21.pdf#page=2","Abrir facsímil")</f>
        <v>Abrir facsímil</v>
      </c>
      <c r="K10049" t="s">
        <v>23</v>
      </c>
    </row>
    <row r="10050" spans="1:11" ht="42" customHeight="1">
      <c r="A10050" t="s">
        <v>19858</v>
      </c>
      <c r="B10050" t="s">
        <v>19859</v>
      </c>
      <c r="C10050" t="s">
        <v>17</v>
      </c>
      <c r="D10050" t="s">
        <v>18</v>
      </c>
      <c r="E10050" s="6">
        <v>-27964</v>
      </c>
      <c r="F10050" t="s">
        <v>58</v>
      </c>
      <c r="G10050" t="s">
        <v>48</v>
      </c>
      <c r="H10050" t="s">
        <v>21</v>
      </c>
      <c r="I10050" t="s">
        <v>19864</v>
      </c>
      <c r="J10050" t="str">
        <f>HYPERLINK("https://www.boe.es/gazeta/dias/1823/06/08/pdfs/GES-1823-62.pdf#page=3","Abrir facsímil")</f>
        <v>Abrir facsímil</v>
      </c>
      <c r="K10050" t="s">
        <v>23</v>
      </c>
    </row>
    <row r="10051" spans="1:11" ht="42" customHeight="1">
      <c r="A10051" t="s">
        <v>19858</v>
      </c>
      <c r="B10051" t="s">
        <v>19859</v>
      </c>
      <c r="C10051" t="s">
        <v>109</v>
      </c>
      <c r="D10051" t="s">
        <v>74</v>
      </c>
      <c r="E10051" s="6">
        <v>-27917</v>
      </c>
      <c r="F10051" t="s">
        <v>363</v>
      </c>
      <c r="G10051" t="s">
        <v>27</v>
      </c>
      <c r="H10051" t="s">
        <v>21</v>
      </c>
      <c r="I10051" t="s">
        <v>19865</v>
      </c>
      <c r="J10051" t="str">
        <f>HYPERLINK("https://www.boe.es/gazeta/dias/1823/07/25/pdfs/GES-1823-106.pdf#page=2","Abrir facsímil")</f>
        <v>Abrir facsímil</v>
      </c>
      <c r="K10051" t="s">
        <v>23</v>
      </c>
    </row>
    <row r="10052" spans="1:11" ht="42" customHeight="1">
      <c r="A10052" t="s">
        <v>19858</v>
      </c>
      <c r="B10052" t="s">
        <v>19859</v>
      </c>
      <c r="C10052" t="s">
        <v>56</v>
      </c>
      <c r="D10052" t="s">
        <v>57</v>
      </c>
      <c r="E10052" s="6">
        <v>-27916</v>
      </c>
      <c r="F10052" t="s">
        <v>772</v>
      </c>
      <c r="G10052" t="s">
        <v>27</v>
      </c>
      <c r="H10052" t="s">
        <v>21</v>
      </c>
      <c r="I10052" t="s">
        <v>19866</v>
      </c>
      <c r="J10052" t="str">
        <f>HYPERLINK("https://www.boe.es/gazeta/dias/1823/07/26/pdfs/GES-1823-107.pdf#page=2","Abrir facsímil")</f>
        <v>Abrir facsímil</v>
      </c>
      <c r="K10052" t="s">
        <v>23</v>
      </c>
    </row>
    <row r="10053" spans="1:11" ht="42" customHeight="1">
      <c r="A10053" t="s">
        <v>19858</v>
      </c>
      <c r="B10053" t="s">
        <v>19859</v>
      </c>
      <c r="C10053" t="s">
        <v>56</v>
      </c>
      <c r="D10053" t="s">
        <v>57</v>
      </c>
      <c r="E10053" s="6">
        <v>-27787</v>
      </c>
      <c r="F10053" t="s">
        <v>865</v>
      </c>
      <c r="G10053" t="s">
        <v>39</v>
      </c>
      <c r="H10053" t="s">
        <v>21</v>
      </c>
      <c r="I10053" t="s">
        <v>19867</v>
      </c>
      <c r="J10053" t="str">
        <f>HYPERLINK("https://www.boe.es/gazeta/dias/1823/12/02/pdfs/GMD-1823-1193.pdf#page=1","Abrir facsímil")</f>
        <v>Abrir facsímil</v>
      </c>
      <c r="K10053" t="s">
        <v>23</v>
      </c>
    </row>
    <row r="10054" spans="1:11" ht="42" customHeight="1">
      <c r="A10054" t="s">
        <v>19868</v>
      </c>
      <c r="B10054" t="s">
        <v>19869</v>
      </c>
      <c r="C10054" t="s">
        <v>17</v>
      </c>
      <c r="D10054" t="s">
        <v>18</v>
      </c>
      <c r="E10054" s="6">
        <v>-28002</v>
      </c>
      <c r="F10054" t="s">
        <v>315</v>
      </c>
      <c r="G10054" t="s">
        <v>1116</v>
      </c>
      <c r="H10054" t="s">
        <v>21</v>
      </c>
      <c r="I10054" t="s">
        <v>19870</v>
      </c>
      <c r="J10054" t="str">
        <f>HYPERLINK("https://www.boe.es/gazeta/dias/1823/05/01/pdfs/GES-1823-21.pdf#page=4","Abrir facsímil")</f>
        <v>Abrir facsímil</v>
      </c>
      <c r="K10054" t="s">
        <v>23</v>
      </c>
    </row>
    <row r="10055" spans="1:11" ht="42" customHeight="1">
      <c r="A10055" t="s">
        <v>19868</v>
      </c>
      <c r="B10055" t="s">
        <v>19869</v>
      </c>
      <c r="C10055" t="s">
        <v>56</v>
      </c>
      <c r="D10055" t="s">
        <v>57</v>
      </c>
      <c r="E10055" s="6">
        <v>-27932</v>
      </c>
      <c r="F10055" t="s">
        <v>707</v>
      </c>
      <c r="G10055" t="s">
        <v>27</v>
      </c>
      <c r="H10055" t="s">
        <v>21</v>
      </c>
      <c r="I10055" t="s">
        <v>19871</v>
      </c>
      <c r="J10055" t="str">
        <f>HYPERLINK("https://www.boe.es/gazeta/dias/1823/07/10/pdfs/GES-1823-90.pdf#page=2","Abrir facsímil")</f>
        <v>Abrir facsímil</v>
      </c>
      <c r="K10055" t="s">
        <v>23</v>
      </c>
    </row>
    <row r="10056" spans="1:11" ht="42" customHeight="1">
      <c r="A10056" t="s">
        <v>19872</v>
      </c>
      <c r="B10056" t="s">
        <v>19873</v>
      </c>
      <c r="C10056" t="s">
        <v>56</v>
      </c>
      <c r="D10056" t="s">
        <v>57</v>
      </c>
      <c r="E10056" s="6">
        <v>-27905</v>
      </c>
      <c r="F10056" t="s">
        <v>236</v>
      </c>
      <c r="G10056" t="s">
        <v>372</v>
      </c>
      <c r="H10056" t="s">
        <v>21</v>
      </c>
      <c r="I10056" t="s">
        <v>19874</v>
      </c>
      <c r="J10056" t="str">
        <f>HYPERLINK("https://www.boe.es/gazeta/dias/1823/08/06/pdfs/GES-1823-119.pdf#page=1","Abrir facsímil")</f>
        <v>Abrir facsímil</v>
      </c>
      <c r="K10056" t="s">
        <v>23</v>
      </c>
    </row>
    <row r="10057" spans="1:11" ht="42" customHeight="1">
      <c r="A10057" t="s">
        <v>19875</v>
      </c>
      <c r="B10057" t="s">
        <v>19876</v>
      </c>
      <c r="C10057" t="s">
        <v>17</v>
      </c>
      <c r="D10057" t="s">
        <v>18</v>
      </c>
      <c r="E10057" s="6">
        <v>-27872</v>
      </c>
      <c r="F10057" t="s">
        <v>374</v>
      </c>
      <c r="G10057" t="s">
        <v>48</v>
      </c>
      <c r="H10057" t="s">
        <v>21</v>
      </c>
      <c r="I10057" t="s">
        <v>19877</v>
      </c>
      <c r="J10057" t="str">
        <f>HYPERLINK("https://www.boe.es/gazeta/dias/1823/09/08/pdfs/GES-1823-152.pdf#page=3","Abrir facsímil")</f>
        <v>Abrir facsímil</v>
      </c>
      <c r="K10057" t="s">
        <v>23</v>
      </c>
    </row>
    <row r="10058" spans="1:11" ht="42" customHeight="1">
      <c r="A10058" t="s">
        <v>19878</v>
      </c>
      <c r="B10058" t="s">
        <v>19878</v>
      </c>
      <c r="C10058" t="s">
        <v>56</v>
      </c>
      <c r="D10058" t="s">
        <v>57</v>
      </c>
      <c r="E10058" s="6">
        <v>-27969</v>
      </c>
      <c r="F10058" t="s">
        <v>855</v>
      </c>
      <c r="G10058" t="s">
        <v>1158</v>
      </c>
      <c r="H10058" t="s">
        <v>21</v>
      </c>
      <c r="I10058" t="s">
        <v>19879</v>
      </c>
      <c r="J10058" t="str">
        <f>HYPERLINK("https://www.boe.es/gazeta/dias/1823/06/03/pdfs/GES-1823-57.pdf#page=2","Abrir facsímil")</f>
        <v>Abrir facsímil</v>
      </c>
      <c r="K10058" t="s">
        <v>23</v>
      </c>
    </row>
    <row r="10059" spans="1:11" ht="42" customHeight="1">
      <c r="A10059" t="s">
        <v>19880</v>
      </c>
      <c r="B10059" t="s">
        <v>19881</v>
      </c>
      <c r="C10059" t="s">
        <v>56</v>
      </c>
      <c r="D10059" t="s">
        <v>57</v>
      </c>
      <c r="E10059" s="6">
        <v>-27951</v>
      </c>
      <c r="F10059" t="s">
        <v>548</v>
      </c>
      <c r="G10059" t="s">
        <v>39</v>
      </c>
      <c r="H10059" t="s">
        <v>21</v>
      </c>
      <c r="I10059" t="s">
        <v>19882</v>
      </c>
      <c r="J10059" t="str">
        <f>HYPERLINK("https://www.boe.es/gazeta/dias/1823/06/21/pdfs/GES-1823-69.pdf#page=1","Abrir facsímil")</f>
        <v>Abrir facsímil</v>
      </c>
      <c r="K10059" t="s">
        <v>23</v>
      </c>
    </row>
    <row r="10060" spans="1:11" ht="42" customHeight="1">
      <c r="A10060" t="s">
        <v>19883</v>
      </c>
      <c r="B10060" t="s">
        <v>19884</v>
      </c>
      <c r="C10060" t="s">
        <v>79</v>
      </c>
      <c r="D10060" t="s">
        <v>74</v>
      </c>
      <c r="E10060" s="6">
        <v>-27899</v>
      </c>
      <c r="F10060" t="s">
        <v>215</v>
      </c>
      <c r="G10060" t="s">
        <v>27</v>
      </c>
      <c r="H10060" t="s">
        <v>21</v>
      </c>
      <c r="I10060" t="s">
        <v>19885</v>
      </c>
      <c r="J10060" t="str">
        <f>HYPERLINK("https://www.boe.es/gazeta/dias/1823/08/12/pdfs/GMD-1823-583.pdf#page=2","Abrir facsímil")</f>
        <v>Abrir facsímil</v>
      </c>
      <c r="K10060" t="s">
        <v>23</v>
      </c>
    </row>
    <row r="10061" spans="1:11" ht="42" customHeight="1">
      <c r="A10061" t="s">
        <v>19886</v>
      </c>
      <c r="B10061" t="s">
        <v>19887</v>
      </c>
      <c r="C10061" t="s">
        <v>293</v>
      </c>
      <c r="D10061" t="s">
        <v>74</v>
      </c>
      <c r="E10061" s="6">
        <v>-27909</v>
      </c>
      <c r="F10061" t="s">
        <v>948</v>
      </c>
      <c r="G10061" t="s">
        <v>27</v>
      </c>
      <c r="H10061" t="s">
        <v>21</v>
      </c>
      <c r="I10061" t="s">
        <v>19888</v>
      </c>
      <c r="J10061" t="str">
        <f>HYPERLINK("https://www.boe.es/gazeta/dias/1823/08/02/pdfs/GES-1823-114.pdf#page=2","Abrir facsímil")</f>
        <v>Abrir facsímil</v>
      </c>
      <c r="K10061" t="s">
        <v>23</v>
      </c>
    </row>
    <row r="10062" spans="1:11" ht="42" customHeight="1">
      <c r="A10062" t="s">
        <v>19889</v>
      </c>
      <c r="B10062" t="s">
        <v>19890</v>
      </c>
      <c r="C10062" t="s">
        <v>79</v>
      </c>
      <c r="D10062" t="s">
        <v>74</v>
      </c>
      <c r="E10062" s="6">
        <v>-27836</v>
      </c>
      <c r="F10062" t="s">
        <v>4069</v>
      </c>
      <c r="G10062" t="s">
        <v>48</v>
      </c>
      <c r="H10062" t="s">
        <v>28</v>
      </c>
      <c r="I10062" t="s">
        <v>19891</v>
      </c>
      <c r="J10062" t="str">
        <f>HYPERLINK("https://www.boe.es/gazeta/dias/1823/10/14/pdfs/GMD-1823-973.pdf#page=3","Abrir facsímil")</f>
        <v>Abrir facsímil</v>
      </c>
      <c r="K10062" t="s">
        <v>30</v>
      </c>
    </row>
    <row r="10063" spans="1:11" ht="42" customHeight="1">
      <c r="A10063" t="s">
        <v>19892</v>
      </c>
      <c r="B10063" t="s">
        <v>19892</v>
      </c>
      <c r="C10063" t="s">
        <v>17</v>
      </c>
      <c r="D10063" t="s">
        <v>18</v>
      </c>
      <c r="E10063" s="6">
        <v>-28029</v>
      </c>
      <c r="F10063" t="s">
        <v>141</v>
      </c>
      <c r="G10063" t="s">
        <v>20</v>
      </c>
      <c r="H10063" t="s">
        <v>21</v>
      </c>
      <c r="I10063" t="s">
        <v>19893</v>
      </c>
      <c r="J10063" t="str">
        <f>HYPERLINK("https://www.boe.es/gazeta/dias/1823/04/04/pdfs/GMD-1823-98.pdf#page=4","Abrir facsímil")</f>
        <v>Abrir facsímil</v>
      </c>
      <c r="K10063" t="s">
        <v>23</v>
      </c>
    </row>
    <row r="10064" spans="1:11" ht="42" customHeight="1">
      <c r="A10064" t="s">
        <v>19894</v>
      </c>
      <c r="B10064" t="s">
        <v>19894</v>
      </c>
      <c r="C10064" t="s">
        <v>17</v>
      </c>
      <c r="D10064" t="s">
        <v>18</v>
      </c>
      <c r="E10064" s="6">
        <v>-27990</v>
      </c>
      <c r="F10064" t="s">
        <v>1132</v>
      </c>
      <c r="G10064" t="s">
        <v>20</v>
      </c>
      <c r="H10064" t="s">
        <v>21</v>
      </c>
      <c r="I10064" t="s">
        <v>19895</v>
      </c>
      <c r="J10064" t="str">
        <f>HYPERLINK("https://www.boe.es/gazeta/dias/1823/05/13/pdfs/GES-1823-33.pdf#page=4","Abrir facsímil")</f>
        <v>Abrir facsímil</v>
      </c>
      <c r="K10064" t="s">
        <v>23</v>
      </c>
    </row>
    <row r="10065" spans="1:11" ht="42" customHeight="1">
      <c r="A10065" t="s">
        <v>19894</v>
      </c>
      <c r="B10065" t="s">
        <v>19894</v>
      </c>
      <c r="C10065" t="s">
        <v>17</v>
      </c>
      <c r="D10065" t="s">
        <v>18</v>
      </c>
      <c r="E10065" s="6">
        <v>-27906</v>
      </c>
      <c r="F10065" t="s">
        <v>1527</v>
      </c>
      <c r="G10065" t="s">
        <v>20</v>
      </c>
      <c r="H10065" t="s">
        <v>21</v>
      </c>
      <c r="I10065" t="s">
        <v>19896</v>
      </c>
      <c r="J10065" t="str">
        <f>HYPERLINK("https://www.boe.es/gazeta/dias/1823/08/05/pdfs/GMD-1823-533.pdf#page=4","Abrir facsímil")</f>
        <v>Abrir facsímil</v>
      </c>
      <c r="K10065" t="s">
        <v>23</v>
      </c>
    </row>
    <row r="10066" spans="1:11" ht="42" customHeight="1">
      <c r="A10066" t="s">
        <v>19897</v>
      </c>
      <c r="B10066" t="s">
        <v>19897</v>
      </c>
      <c r="C10066" t="s">
        <v>109</v>
      </c>
      <c r="D10066" t="s">
        <v>74</v>
      </c>
      <c r="E10066" s="6">
        <v>-28048</v>
      </c>
      <c r="F10066" t="s">
        <v>399</v>
      </c>
      <c r="G10066" t="s">
        <v>34</v>
      </c>
      <c r="H10066" t="s">
        <v>21</v>
      </c>
      <c r="I10066" t="s">
        <v>19898</v>
      </c>
      <c r="J10066" t="str">
        <f>HYPERLINK("https://www.boe.es/gazeta/dias/1823/03/16/pdfs/GMD-1823-79.pdf#page=5","Abrir facsímil")</f>
        <v>Abrir facsímil</v>
      </c>
      <c r="K10066" t="s">
        <v>23</v>
      </c>
    </row>
    <row r="10067" spans="1:11" ht="42" customHeight="1">
      <c r="A10067" t="s">
        <v>19899</v>
      </c>
      <c r="B10067" t="s">
        <v>19900</v>
      </c>
      <c r="C10067" t="s">
        <v>17</v>
      </c>
      <c r="D10067" t="s">
        <v>117</v>
      </c>
      <c r="E10067" s="6">
        <v>-27925</v>
      </c>
      <c r="F10067" t="s">
        <v>3911</v>
      </c>
      <c r="G10067" t="s">
        <v>39</v>
      </c>
      <c r="H10067" t="s">
        <v>21</v>
      </c>
      <c r="I10067" t="s">
        <v>19901</v>
      </c>
      <c r="J10067" t="str">
        <f>HYPERLINK("https://www.boe.es/gazeta/dias/1823/07/17/pdfs/GES-1823-98E.pdf#page=1","Abrir facsímil")</f>
        <v>Abrir facsímil</v>
      </c>
      <c r="K10067" t="s">
        <v>23</v>
      </c>
    </row>
    <row r="10068" spans="1:11" ht="42" customHeight="1">
      <c r="A10068" t="s">
        <v>19902</v>
      </c>
      <c r="B10068" t="s">
        <v>19903</v>
      </c>
      <c r="C10068" t="s">
        <v>17</v>
      </c>
      <c r="D10068" t="s">
        <v>18</v>
      </c>
      <c r="E10068" s="6">
        <v>-27878</v>
      </c>
      <c r="F10068" t="s">
        <v>1581</v>
      </c>
      <c r="G10068" t="s">
        <v>20</v>
      </c>
      <c r="H10068" t="s">
        <v>21</v>
      </c>
      <c r="I10068" t="s">
        <v>19904</v>
      </c>
      <c r="J10068" t="str">
        <f>HYPERLINK("https://www.boe.es/gazeta/dias/1823/09/02/pdfs/GMD-1823-683.pdf#page=4","Abrir facsímil")</f>
        <v>Abrir facsímil</v>
      </c>
      <c r="K10068" t="s">
        <v>23</v>
      </c>
    </row>
    <row r="10069" spans="1:11" ht="42" customHeight="1">
      <c r="A10069" t="s">
        <v>19905</v>
      </c>
      <c r="B10069" t="s">
        <v>19905</v>
      </c>
      <c r="C10069" t="s">
        <v>79</v>
      </c>
      <c r="D10069" t="s">
        <v>74</v>
      </c>
      <c r="E10069" s="6">
        <v>-28069</v>
      </c>
      <c r="F10069" t="s">
        <v>2006</v>
      </c>
      <c r="G10069" t="s">
        <v>39</v>
      </c>
      <c r="H10069" t="s">
        <v>21</v>
      </c>
      <c r="I10069" t="s">
        <v>19906</v>
      </c>
      <c r="J10069" t="str">
        <f>HYPERLINK("https://www.boe.es/gazeta/dias/1823/02/23/pdfs/GMD-1823-57.pdf#page=1","Abrir facsímil")</f>
        <v>Abrir facsímil</v>
      </c>
      <c r="K10069" t="s">
        <v>23</v>
      </c>
    </row>
    <row r="10070" spans="1:11" ht="42" customHeight="1">
      <c r="A10070" t="s">
        <v>19907</v>
      </c>
      <c r="B10070" t="s">
        <v>19908</v>
      </c>
      <c r="C10070" t="s">
        <v>17</v>
      </c>
      <c r="D10070" t="s">
        <v>18</v>
      </c>
      <c r="E10070" s="6">
        <v>-28028</v>
      </c>
      <c r="F10070" t="s">
        <v>893</v>
      </c>
      <c r="G10070" t="s">
        <v>20</v>
      </c>
      <c r="H10070" t="s">
        <v>21</v>
      </c>
      <c r="I10070" t="s">
        <v>19909</v>
      </c>
      <c r="J10070" t="str">
        <f>HYPERLINK("https://www.boe.es/gazeta/dias/1823/04/05/pdfs/GMD-1823-99.pdf#page=4","Abrir facsímil")</f>
        <v>Abrir facsímil</v>
      </c>
      <c r="K10070" t="s">
        <v>23</v>
      </c>
    </row>
    <row r="10071" spans="1:11" ht="42" customHeight="1">
      <c r="A10071" t="s">
        <v>19910</v>
      </c>
      <c r="B10071" t="s">
        <v>19910</v>
      </c>
      <c r="C10071" t="s">
        <v>17</v>
      </c>
      <c r="D10071" t="s">
        <v>18</v>
      </c>
      <c r="E10071" s="6">
        <v>-28063</v>
      </c>
      <c r="F10071" t="s">
        <v>2493</v>
      </c>
      <c r="G10071" t="s">
        <v>39</v>
      </c>
      <c r="H10071" t="s">
        <v>21</v>
      </c>
      <c r="I10071" t="s">
        <v>19911</v>
      </c>
      <c r="J10071" t="str">
        <f>HYPERLINK("https://www.boe.es/gazeta/dias/1823/03/01/pdfs/GMD-1823-63.pdf#page=1","Abrir facsímil")</f>
        <v>Abrir facsímil</v>
      </c>
      <c r="K10071" t="s">
        <v>23</v>
      </c>
    </row>
    <row r="10072" spans="1:11" ht="42" customHeight="1">
      <c r="A10072" t="s">
        <v>19912</v>
      </c>
      <c r="B10072" t="s">
        <v>19912</v>
      </c>
      <c r="C10072" t="s">
        <v>17</v>
      </c>
      <c r="D10072" t="s">
        <v>18</v>
      </c>
      <c r="E10072" s="6">
        <v>-27898</v>
      </c>
      <c r="F10072" t="s">
        <v>5169</v>
      </c>
      <c r="G10072" t="s">
        <v>39</v>
      </c>
      <c r="H10072" t="s">
        <v>21</v>
      </c>
      <c r="I10072" t="s">
        <v>19913</v>
      </c>
      <c r="J10072" t="str">
        <f>HYPERLINK("https://www.boe.es/gazeta/dias/1823/08/13/pdfs/GES-1823-126.pdf#page=1","Abrir facsímil")</f>
        <v>Abrir facsímil</v>
      </c>
      <c r="K10072" t="s">
        <v>23</v>
      </c>
    </row>
    <row r="10073" spans="1:11" ht="42" customHeight="1">
      <c r="A10073" t="s">
        <v>19914</v>
      </c>
      <c r="B10073" t="s">
        <v>19915</v>
      </c>
      <c r="C10073" t="s">
        <v>56</v>
      </c>
      <c r="D10073" t="s">
        <v>57</v>
      </c>
      <c r="E10073" s="6">
        <v>-27938</v>
      </c>
      <c r="F10073" t="s">
        <v>101</v>
      </c>
      <c r="G10073" t="s">
        <v>27</v>
      </c>
      <c r="H10073" t="s">
        <v>21</v>
      </c>
      <c r="I10073" t="s">
        <v>19916</v>
      </c>
      <c r="J10073" t="str">
        <f>HYPERLINK("https://www.boe.es/gazeta/dias/1823/07/04/pdfs/GES-1823-84.pdf#page=2","Abrir facsímil")</f>
        <v>Abrir facsímil</v>
      </c>
      <c r="K10073" t="s">
        <v>23</v>
      </c>
    </row>
    <row r="10074" spans="1:11" ht="42" customHeight="1">
      <c r="A10074" t="s">
        <v>19917</v>
      </c>
      <c r="B10074" t="s">
        <v>19917</v>
      </c>
      <c r="C10074" t="s">
        <v>17</v>
      </c>
      <c r="D10074" t="s">
        <v>18</v>
      </c>
      <c r="E10074" s="6">
        <v>-27913</v>
      </c>
      <c r="F10074" t="s">
        <v>821</v>
      </c>
      <c r="G10074" t="s">
        <v>39</v>
      </c>
      <c r="H10074" t="s">
        <v>21</v>
      </c>
      <c r="I10074" t="s">
        <v>19918</v>
      </c>
      <c r="J10074" t="str">
        <f>HYPERLINK("https://www.boe.es/gazeta/dias/1823/07/29/pdfs/GES-1823-110.pdf#page=1","Abrir facsímil")</f>
        <v>Abrir facsímil</v>
      </c>
      <c r="K10074" t="s">
        <v>23</v>
      </c>
    </row>
    <row r="10075" spans="1:11" ht="42" customHeight="1">
      <c r="A10075" t="s">
        <v>19919</v>
      </c>
      <c r="B10075" t="s">
        <v>19919</v>
      </c>
      <c r="C10075" t="s">
        <v>109</v>
      </c>
      <c r="D10075" t="s">
        <v>74</v>
      </c>
      <c r="E10075" s="6">
        <v>-28009</v>
      </c>
      <c r="F10075" t="s">
        <v>212</v>
      </c>
      <c r="G10075" t="s">
        <v>39</v>
      </c>
      <c r="H10075" t="s">
        <v>21</v>
      </c>
      <c r="I10075" t="s">
        <v>19920</v>
      </c>
      <c r="J10075" t="str">
        <f>HYPERLINK("https://www.boe.es/gazeta/dias/1823/04/24/pdfs/GMD-1823-52.pdf#page=1","Abrir facsímil")</f>
        <v>Abrir facsímil</v>
      </c>
      <c r="K10075" t="s">
        <v>23</v>
      </c>
    </row>
    <row r="10076" spans="1:11" ht="42" customHeight="1">
      <c r="A10076" t="s">
        <v>19921</v>
      </c>
      <c r="B10076" t="s">
        <v>19921</v>
      </c>
      <c r="C10076" t="s">
        <v>109</v>
      </c>
      <c r="D10076" t="s">
        <v>74</v>
      </c>
      <c r="E10076" s="6">
        <v>-28064</v>
      </c>
      <c r="F10076" t="s">
        <v>1190</v>
      </c>
      <c r="G10076" t="s">
        <v>39</v>
      </c>
      <c r="H10076" t="s">
        <v>21</v>
      </c>
      <c r="I10076" t="s">
        <v>19922</v>
      </c>
      <c r="J10076" t="str">
        <f>HYPERLINK("https://www.boe.es/gazeta/dias/1823/02/28/pdfs/GMD-1823-62.pdf#page=1","Abrir facsímil")</f>
        <v>Abrir facsímil</v>
      </c>
      <c r="K10076" t="s">
        <v>23</v>
      </c>
    </row>
    <row r="10077" spans="1:11" ht="42" customHeight="1">
      <c r="A10077" t="s">
        <v>19923</v>
      </c>
      <c r="B10077" t="s">
        <v>19923</v>
      </c>
      <c r="C10077" t="s">
        <v>56</v>
      </c>
      <c r="D10077" t="s">
        <v>57</v>
      </c>
      <c r="E10077" s="6">
        <v>-27909</v>
      </c>
      <c r="F10077" t="s">
        <v>1525</v>
      </c>
      <c r="G10077" t="s">
        <v>27</v>
      </c>
      <c r="H10077" t="s">
        <v>21</v>
      </c>
      <c r="I10077" t="s">
        <v>19924</v>
      </c>
      <c r="J10077" t="str">
        <f>HYPERLINK("https://www.boe.es/gazeta/dias/1823/08/02/pdfs/GMD-1823-513.pdf#page=2","Abrir facsímil")</f>
        <v>Abrir facsímil</v>
      </c>
      <c r="K10077" t="s">
        <v>23</v>
      </c>
    </row>
    <row r="10078" spans="1:11" ht="42" customHeight="1">
      <c r="A10078" t="s">
        <v>19925</v>
      </c>
      <c r="B10078" t="s">
        <v>19925</v>
      </c>
      <c r="C10078" t="s">
        <v>109</v>
      </c>
      <c r="D10078" t="s">
        <v>74</v>
      </c>
      <c r="E10078" s="6">
        <v>-27771</v>
      </c>
      <c r="F10078" t="s">
        <v>1611</v>
      </c>
      <c r="G10078" t="s">
        <v>48</v>
      </c>
      <c r="H10078" t="s">
        <v>21</v>
      </c>
      <c r="I10078" t="s">
        <v>19926</v>
      </c>
      <c r="J10078" t="str">
        <f>HYPERLINK("https://www.boe.es/gazeta/dias/1823/12/18/pdfs/GMD-1823-1263.pdf#page=3","Abrir facsímil")</f>
        <v>Abrir facsímil</v>
      </c>
      <c r="K10078" t="s">
        <v>23</v>
      </c>
    </row>
    <row r="10079" spans="1:11" ht="42" customHeight="1">
      <c r="A10079" t="s">
        <v>19927</v>
      </c>
      <c r="B10079" t="s">
        <v>19927</v>
      </c>
      <c r="C10079" t="s">
        <v>17</v>
      </c>
      <c r="D10079" t="s">
        <v>18</v>
      </c>
      <c r="E10079" s="6">
        <v>-28107</v>
      </c>
      <c r="F10079" t="s">
        <v>278</v>
      </c>
      <c r="G10079" t="s">
        <v>39</v>
      </c>
      <c r="H10079" t="s">
        <v>21</v>
      </c>
      <c r="I10079" t="s">
        <v>19928</v>
      </c>
      <c r="J10079" t="str">
        <f>HYPERLINK("https://www.boe.es/gazeta/dias/1823/01/16/pdfs/GMD-1823-16.pdf#page=1","Abrir facsímil")</f>
        <v>Abrir facsímil</v>
      </c>
      <c r="K10079" t="s">
        <v>23</v>
      </c>
    </row>
    <row r="10080" spans="1:11" ht="42" customHeight="1">
      <c r="A10080" t="s">
        <v>19927</v>
      </c>
      <c r="B10080" t="s">
        <v>19927</v>
      </c>
      <c r="C10080" t="s">
        <v>109</v>
      </c>
      <c r="D10080" t="s">
        <v>74</v>
      </c>
      <c r="E10080" s="6">
        <v>-28105</v>
      </c>
      <c r="F10080" t="s">
        <v>502</v>
      </c>
      <c r="G10080" t="s">
        <v>39</v>
      </c>
      <c r="H10080" t="s">
        <v>21</v>
      </c>
      <c r="I10080" t="s">
        <v>19929</v>
      </c>
      <c r="J10080" t="str">
        <f>HYPERLINK("https://www.boe.es/gazeta/dias/1823/01/18/pdfs/GMD-1823-18.pdf#page=1","Abrir facsímil")</f>
        <v>Abrir facsímil</v>
      </c>
      <c r="K10080" t="s">
        <v>23</v>
      </c>
    </row>
    <row r="10081" spans="1:11" ht="42" customHeight="1">
      <c r="A10081" t="s">
        <v>19927</v>
      </c>
      <c r="B10081" t="s">
        <v>19927</v>
      </c>
      <c r="C10081" t="s">
        <v>109</v>
      </c>
      <c r="D10081" t="s">
        <v>74</v>
      </c>
      <c r="E10081" s="6">
        <v>-28059</v>
      </c>
      <c r="F10081" t="s">
        <v>149</v>
      </c>
      <c r="G10081" t="s">
        <v>39</v>
      </c>
      <c r="H10081" t="s">
        <v>21</v>
      </c>
      <c r="I10081" t="s">
        <v>19930</v>
      </c>
      <c r="J10081" t="str">
        <f>HYPERLINK("https://www.boe.es/gazeta/dias/1823/03/05/pdfs/GMD-1823-68.pdf#page=1","Abrir facsímil")</f>
        <v>Abrir facsímil</v>
      </c>
      <c r="K10081" t="s">
        <v>23</v>
      </c>
    </row>
    <row r="10082" spans="1:11" ht="42" customHeight="1">
      <c r="A10082" t="s">
        <v>19927</v>
      </c>
      <c r="B10082" t="s">
        <v>19927</v>
      </c>
      <c r="C10082" t="s">
        <v>17</v>
      </c>
      <c r="D10082" t="s">
        <v>18</v>
      </c>
      <c r="E10082" s="6">
        <v>-28021</v>
      </c>
      <c r="F10082" t="s">
        <v>2669</v>
      </c>
      <c r="G10082" t="s">
        <v>48</v>
      </c>
      <c r="H10082" t="s">
        <v>21</v>
      </c>
      <c r="I10082" t="s">
        <v>19931</v>
      </c>
      <c r="J10082" t="str">
        <f>HYPERLINK("https://www.boe.es/gazeta/dias/1823/04/12/pdfs/GES-1823-2.pdf#page=3","Abrir facsímil")</f>
        <v>Abrir facsímil</v>
      </c>
      <c r="K10082" t="s">
        <v>23</v>
      </c>
    </row>
    <row r="10083" spans="1:11" ht="42" customHeight="1">
      <c r="A10083" t="s">
        <v>19927</v>
      </c>
      <c r="B10083" t="s">
        <v>19927</v>
      </c>
      <c r="C10083" t="s">
        <v>17</v>
      </c>
      <c r="D10083" t="s">
        <v>18</v>
      </c>
      <c r="E10083" s="6">
        <v>-28018</v>
      </c>
      <c r="F10083" t="s">
        <v>2613</v>
      </c>
      <c r="G10083" t="s">
        <v>39</v>
      </c>
      <c r="H10083" t="s">
        <v>21</v>
      </c>
      <c r="I10083" t="s">
        <v>19932</v>
      </c>
      <c r="J10083" t="str">
        <f>HYPERLINK("https://www.boe.es/gazeta/dias/1823/04/15/pdfs/GES-1823-5.pdf#page=1","Abrir facsímil")</f>
        <v>Abrir facsímil</v>
      </c>
      <c r="K10083" t="s">
        <v>23</v>
      </c>
    </row>
    <row r="10084" spans="1:11" ht="42" customHeight="1">
      <c r="A10084" t="s">
        <v>19927</v>
      </c>
      <c r="B10084" t="s">
        <v>19927</v>
      </c>
      <c r="C10084" t="s">
        <v>79</v>
      </c>
      <c r="D10084" t="s">
        <v>74</v>
      </c>
      <c r="E10084" s="6">
        <v>-28016</v>
      </c>
      <c r="F10084" t="s">
        <v>2259</v>
      </c>
      <c r="G10084" t="s">
        <v>39</v>
      </c>
      <c r="H10084" t="s">
        <v>21</v>
      </c>
      <c r="I10084" t="s">
        <v>19933</v>
      </c>
      <c r="J10084" t="str">
        <f>HYPERLINK("https://www.boe.es/gazeta/dias/1823/04/17/pdfs/GES-1823-7.pdf#page=1","Abrir facsímil")</f>
        <v>Abrir facsímil</v>
      </c>
      <c r="K10084" t="s">
        <v>23</v>
      </c>
    </row>
    <row r="10085" spans="1:11" ht="42" customHeight="1">
      <c r="A10085" t="s">
        <v>19927</v>
      </c>
      <c r="B10085" t="s">
        <v>19927</v>
      </c>
      <c r="C10085" t="s">
        <v>79</v>
      </c>
      <c r="D10085" t="s">
        <v>74</v>
      </c>
      <c r="E10085" s="6">
        <v>-27958</v>
      </c>
      <c r="F10085" t="s">
        <v>2203</v>
      </c>
      <c r="G10085" t="s">
        <v>27</v>
      </c>
      <c r="H10085" t="s">
        <v>21</v>
      </c>
      <c r="I10085" t="s">
        <v>19934</v>
      </c>
      <c r="J10085" t="str">
        <f>HYPERLINK("https://www.boe.es/gazeta/dias/1823/06/14/pdfs/GMD-1823-153.pdf#page=2","Abrir facsímil")</f>
        <v>Abrir facsímil</v>
      </c>
      <c r="K10085" t="s">
        <v>23</v>
      </c>
    </row>
    <row r="10086" spans="1:11" ht="42" customHeight="1">
      <c r="A10086" t="s">
        <v>19927</v>
      </c>
      <c r="B10086" t="s">
        <v>19927</v>
      </c>
      <c r="C10086" t="s">
        <v>56</v>
      </c>
      <c r="D10086" t="s">
        <v>57</v>
      </c>
      <c r="E10086" s="6">
        <v>-27878</v>
      </c>
      <c r="F10086" t="s">
        <v>1581</v>
      </c>
      <c r="G10086" t="s">
        <v>27</v>
      </c>
      <c r="H10086" t="s">
        <v>21</v>
      </c>
      <c r="I10086" t="s">
        <v>19935</v>
      </c>
      <c r="J10086" t="str">
        <f>HYPERLINK("https://www.boe.es/gazeta/dias/1823/09/02/pdfs/GMD-1823-683.pdf#page=2","Abrir facsímil")</f>
        <v>Abrir facsímil</v>
      </c>
      <c r="K10086" t="s">
        <v>23</v>
      </c>
    </row>
    <row r="10087" spans="1:11" ht="42" customHeight="1">
      <c r="A10087" t="s">
        <v>19927</v>
      </c>
      <c r="B10087" t="s">
        <v>19927</v>
      </c>
      <c r="C10087" t="s">
        <v>79</v>
      </c>
      <c r="D10087" t="s">
        <v>74</v>
      </c>
      <c r="E10087" s="6">
        <v>-27860</v>
      </c>
      <c r="F10087" t="s">
        <v>744</v>
      </c>
      <c r="G10087" t="s">
        <v>39</v>
      </c>
      <c r="H10087" t="s">
        <v>21</v>
      </c>
      <c r="I10087" t="s">
        <v>19936</v>
      </c>
      <c r="J10087" t="str">
        <f>HYPERLINK("https://www.boe.es/gazeta/dias/1823/09/20/pdfs/GES-1823-164.pdf#page=1","Abrir facsímil")</f>
        <v>Abrir facsímil</v>
      </c>
      <c r="K10087" t="s">
        <v>23</v>
      </c>
    </row>
    <row r="10088" spans="1:11" ht="42" customHeight="1">
      <c r="A10088" t="s">
        <v>19927</v>
      </c>
      <c r="B10088" t="s">
        <v>19927</v>
      </c>
      <c r="C10088" t="s">
        <v>56</v>
      </c>
      <c r="D10088" t="s">
        <v>57</v>
      </c>
      <c r="E10088" s="6">
        <v>-27858</v>
      </c>
      <c r="F10088" t="s">
        <v>4263</v>
      </c>
      <c r="G10088" t="s">
        <v>27</v>
      </c>
      <c r="H10088" t="s">
        <v>21</v>
      </c>
      <c r="I10088" t="s">
        <v>19937</v>
      </c>
      <c r="J10088" t="str">
        <f>HYPERLINK("https://www.boe.es/gazeta/dias/1823/09/22/pdfs/GES-1823-166.pdf#page=2","Abrir facsímil")</f>
        <v>Abrir facsímil</v>
      </c>
      <c r="K10088" t="s">
        <v>23</v>
      </c>
    </row>
    <row r="10089" spans="1:11" ht="42" customHeight="1">
      <c r="A10089" t="s">
        <v>19927</v>
      </c>
      <c r="B10089" t="s">
        <v>19927</v>
      </c>
      <c r="C10089" t="s">
        <v>79</v>
      </c>
      <c r="D10089" t="s">
        <v>74</v>
      </c>
      <c r="E10089" s="6">
        <v>-27832</v>
      </c>
      <c r="F10089" t="s">
        <v>1815</v>
      </c>
      <c r="G10089" t="s">
        <v>39</v>
      </c>
      <c r="H10089" t="s">
        <v>21</v>
      </c>
      <c r="I10089" t="s">
        <v>19938</v>
      </c>
      <c r="J10089" t="str">
        <f>HYPERLINK("https://www.boe.es/gazeta/dias/1823/10/18/pdfs/GMD-1823-993.pdf#page=1","Abrir facsímil")</f>
        <v>Abrir facsímil</v>
      </c>
      <c r="K10089" t="s">
        <v>23</v>
      </c>
    </row>
    <row r="10090" spans="1:11" ht="42" customHeight="1">
      <c r="A10090" t="s">
        <v>19939</v>
      </c>
      <c r="B10090" t="s">
        <v>19939</v>
      </c>
      <c r="C10090" t="s">
        <v>73</v>
      </c>
      <c r="D10090" t="s">
        <v>74</v>
      </c>
      <c r="E10090" s="6">
        <v>-27896</v>
      </c>
      <c r="F10090" t="s">
        <v>4122</v>
      </c>
      <c r="G10090" t="s">
        <v>39</v>
      </c>
      <c r="H10090" t="s">
        <v>21</v>
      </c>
      <c r="I10090" t="s">
        <v>19940</v>
      </c>
      <c r="J10090" t="str">
        <f>HYPERLINK("https://www.boe.es/gazeta/dias/1823/08/15/pdfs/GES-1823-128.pdf#page=1","Abrir facsímil")</f>
        <v>Abrir facsímil</v>
      </c>
      <c r="K10090" t="s">
        <v>23</v>
      </c>
    </row>
    <row r="10091" spans="1:11" ht="42" customHeight="1">
      <c r="A10091" t="s">
        <v>19941</v>
      </c>
      <c r="B10091" t="s">
        <v>19941</v>
      </c>
      <c r="C10091" t="s">
        <v>17</v>
      </c>
      <c r="D10091" t="s">
        <v>18</v>
      </c>
      <c r="E10091" s="6">
        <v>-28119</v>
      </c>
      <c r="F10091" t="s">
        <v>545</v>
      </c>
      <c r="G10091" t="s">
        <v>39</v>
      </c>
      <c r="H10091" t="s">
        <v>21</v>
      </c>
      <c r="I10091" t="s">
        <v>19942</v>
      </c>
      <c r="J10091" t="str">
        <f>HYPERLINK("https://www.boe.es/gazeta/dias/1823/01/04/pdfs/GMD-1823-4.pdf#page=1","Abrir facsímil")</f>
        <v>Abrir facsímil</v>
      </c>
      <c r="K10091" t="s">
        <v>23</v>
      </c>
    </row>
    <row r="10092" spans="1:11" ht="42" customHeight="1">
      <c r="A10092" t="s">
        <v>19943</v>
      </c>
      <c r="B10092" t="s">
        <v>19943</v>
      </c>
      <c r="C10092" t="s">
        <v>109</v>
      </c>
      <c r="D10092" t="s">
        <v>74</v>
      </c>
      <c r="E10092" s="6">
        <v>-28054</v>
      </c>
      <c r="F10092" t="s">
        <v>1292</v>
      </c>
      <c r="G10092" t="s">
        <v>20</v>
      </c>
      <c r="H10092" t="s">
        <v>21</v>
      </c>
      <c r="I10092" t="s">
        <v>19944</v>
      </c>
      <c r="J10092" t="str">
        <f>HYPERLINK("https://www.boe.es/gazeta/dias/1823/03/10/pdfs/GMD-1823-73.pdf#page=4","Abrir facsímil")</f>
        <v>Abrir facsímil</v>
      </c>
      <c r="K10092" t="s">
        <v>23</v>
      </c>
    </row>
    <row r="10093" spans="1:11" ht="42" customHeight="1">
      <c r="A10093" t="s">
        <v>19945</v>
      </c>
      <c r="B10093" t="s">
        <v>19946</v>
      </c>
      <c r="C10093" t="s">
        <v>56</v>
      </c>
      <c r="D10093" t="s">
        <v>57</v>
      </c>
      <c r="E10093" s="6">
        <v>-27813</v>
      </c>
      <c r="F10093" t="s">
        <v>1600</v>
      </c>
      <c r="G10093" t="s">
        <v>48</v>
      </c>
      <c r="H10093" t="s">
        <v>21</v>
      </c>
      <c r="I10093" t="s">
        <v>19947</v>
      </c>
      <c r="J10093" t="str">
        <f>HYPERLINK("https://www.boe.es/gazeta/dias/1823/11/06/pdfs/GMD-1823-1073.pdf#page=3","Abrir facsímil")</f>
        <v>Abrir facsímil</v>
      </c>
      <c r="K10093" t="s">
        <v>23</v>
      </c>
    </row>
    <row r="10094" spans="1:11" ht="42" customHeight="1">
      <c r="A10094" t="s">
        <v>19948</v>
      </c>
      <c r="B10094" t="s">
        <v>19948</v>
      </c>
      <c r="C10094" t="s">
        <v>17</v>
      </c>
      <c r="D10094" t="s">
        <v>18</v>
      </c>
      <c r="E10094" s="6">
        <v>-28046</v>
      </c>
      <c r="F10094" t="s">
        <v>85</v>
      </c>
      <c r="G10094" t="s">
        <v>39</v>
      </c>
      <c r="H10094" t="s">
        <v>21</v>
      </c>
      <c r="I10094" t="s">
        <v>19949</v>
      </c>
      <c r="J10094" t="str">
        <f>HYPERLINK("https://www.boe.es/gazeta/dias/1823/03/18/pdfs/GMD-1823-81.pdf#page=1","Abrir facsímil")</f>
        <v>Abrir facsímil</v>
      </c>
      <c r="K10094" t="s">
        <v>23</v>
      </c>
    </row>
    <row r="10095" spans="1:11" ht="42" customHeight="1">
      <c r="A10095" t="s">
        <v>19950</v>
      </c>
      <c r="B10095" t="s">
        <v>19950</v>
      </c>
      <c r="C10095" t="s">
        <v>17</v>
      </c>
      <c r="D10095" t="s">
        <v>18</v>
      </c>
      <c r="E10095" s="6">
        <v>-27978</v>
      </c>
      <c r="F10095" t="s">
        <v>342</v>
      </c>
      <c r="G10095" t="s">
        <v>48</v>
      </c>
      <c r="H10095" t="s">
        <v>21</v>
      </c>
      <c r="I10095" t="s">
        <v>19951</v>
      </c>
      <c r="J10095" t="str">
        <f>HYPERLINK("https://www.boe.es/gazeta/dias/1823/05/25/pdfs/GES-1823-46.pdf#page=3","Abrir facsímil")</f>
        <v>Abrir facsímil</v>
      </c>
      <c r="K10095" t="s">
        <v>23</v>
      </c>
    </row>
    <row r="10096" spans="1:11" ht="42" customHeight="1">
      <c r="A10096" t="s">
        <v>19950</v>
      </c>
      <c r="B10096" t="s">
        <v>19950</v>
      </c>
      <c r="C10096" t="s">
        <v>109</v>
      </c>
      <c r="D10096" t="s">
        <v>74</v>
      </c>
      <c r="E10096" s="6">
        <v>-27860</v>
      </c>
      <c r="F10096" t="s">
        <v>998</v>
      </c>
      <c r="G10096" t="s">
        <v>48</v>
      </c>
      <c r="H10096" t="s">
        <v>21</v>
      </c>
      <c r="I10096" t="s">
        <v>19952</v>
      </c>
      <c r="J10096" t="str">
        <f>HYPERLINK("https://www.boe.es/gazeta/dias/1823/09/20/pdfs/GMD-1823-813.pdf#page=3","Abrir facsímil")</f>
        <v>Abrir facsímil</v>
      </c>
      <c r="K10096" t="s">
        <v>23</v>
      </c>
    </row>
    <row r="10097" spans="1:11" ht="42" customHeight="1">
      <c r="A10097" t="s">
        <v>19953</v>
      </c>
      <c r="B10097" t="s">
        <v>19953</v>
      </c>
      <c r="C10097" t="s">
        <v>17</v>
      </c>
      <c r="D10097" t="s">
        <v>18</v>
      </c>
      <c r="E10097" s="6">
        <v>-27904</v>
      </c>
      <c r="F10097" t="s">
        <v>1227</v>
      </c>
      <c r="G10097" t="s">
        <v>27</v>
      </c>
      <c r="H10097" t="s">
        <v>21</v>
      </c>
      <c r="I10097" t="s">
        <v>19954</v>
      </c>
      <c r="J10097" t="str">
        <f>HYPERLINK("https://www.boe.es/gazeta/dias/1823/08/07/pdfs/GMD-1823-543.pdf#page=2","Abrir facsímil")</f>
        <v>Abrir facsímil</v>
      </c>
      <c r="K10097" t="s">
        <v>23</v>
      </c>
    </row>
    <row r="10098" spans="1:11" ht="42" customHeight="1">
      <c r="A10098" t="s">
        <v>19955</v>
      </c>
      <c r="B10098" t="s">
        <v>19955</v>
      </c>
      <c r="C10098" t="s">
        <v>17</v>
      </c>
      <c r="D10098" t="s">
        <v>18</v>
      </c>
      <c r="E10098" s="6">
        <v>-27853</v>
      </c>
      <c r="F10098" t="s">
        <v>2626</v>
      </c>
      <c r="G10098" t="s">
        <v>27</v>
      </c>
      <c r="H10098" t="s">
        <v>21</v>
      </c>
      <c r="I10098" t="s">
        <v>19956</v>
      </c>
      <c r="J10098" t="str">
        <f>HYPERLINK("https://www.boe.es/gazeta/dias/1823/09/27/pdfs/GES-1823-171.pdf#page=2","Abrir facsímil")</f>
        <v>Abrir facsímil</v>
      </c>
      <c r="K10098" t="s">
        <v>23</v>
      </c>
    </row>
    <row r="10099" spans="1:11" ht="42" customHeight="1">
      <c r="A10099" t="s">
        <v>19957</v>
      </c>
      <c r="B10099" t="s">
        <v>19957</v>
      </c>
      <c r="C10099" t="s">
        <v>84</v>
      </c>
      <c r="D10099" t="s">
        <v>74</v>
      </c>
      <c r="E10099" s="6">
        <v>-27822</v>
      </c>
      <c r="F10099" t="s">
        <v>992</v>
      </c>
      <c r="G10099" t="s">
        <v>27</v>
      </c>
      <c r="H10099" t="s">
        <v>21</v>
      </c>
      <c r="I10099" t="s">
        <v>19958</v>
      </c>
      <c r="J10099" t="str">
        <f>HYPERLINK("https://www.boe.es/gazeta/dias/1823/10/28/pdfs/GMD-1823-1033.pdf#page=2","Abrir facsímil")</f>
        <v>Abrir facsímil</v>
      </c>
      <c r="K10099" t="s">
        <v>23</v>
      </c>
    </row>
    <row r="10100" spans="1:11" ht="42" customHeight="1">
      <c r="A10100" t="s">
        <v>19959</v>
      </c>
      <c r="B10100" t="s">
        <v>19960</v>
      </c>
      <c r="C10100" t="s">
        <v>17</v>
      </c>
      <c r="D10100" t="s">
        <v>18</v>
      </c>
      <c r="E10100" s="6">
        <v>-27910</v>
      </c>
      <c r="F10100" t="s">
        <v>38</v>
      </c>
      <c r="G10100" t="s">
        <v>20</v>
      </c>
      <c r="H10100" t="s">
        <v>21</v>
      </c>
      <c r="I10100" t="s">
        <v>19961</v>
      </c>
      <c r="J10100" t="str">
        <f>HYPERLINK("https://www.boe.es/gazeta/dias/1823/08/01/pdfs/GES-1823-113.pdf#page=4","Abrir facsímil")</f>
        <v>Abrir facsímil</v>
      </c>
      <c r="K10100" t="s">
        <v>23</v>
      </c>
    </row>
    <row r="10101" spans="1:11" ht="42" customHeight="1">
      <c r="A10101" t="s">
        <v>19962</v>
      </c>
      <c r="B10101" t="s">
        <v>19963</v>
      </c>
      <c r="C10101" t="s">
        <v>17</v>
      </c>
      <c r="D10101" t="s">
        <v>18</v>
      </c>
      <c r="E10101" s="6">
        <v>-28066</v>
      </c>
      <c r="F10101" t="s">
        <v>19</v>
      </c>
      <c r="G10101" t="s">
        <v>48</v>
      </c>
      <c r="H10101" t="s">
        <v>21</v>
      </c>
      <c r="I10101" t="s">
        <v>19964</v>
      </c>
      <c r="J10101" t="str">
        <f>HYPERLINK("https://www.boe.es/gazeta/dias/1823/02/26/pdfs/GMD-1823-60.pdf#page=3","Abrir facsímil")</f>
        <v>Abrir facsímil</v>
      </c>
      <c r="K10101" t="s">
        <v>23</v>
      </c>
    </row>
    <row r="10102" spans="1:11" ht="42" customHeight="1">
      <c r="A10102" t="s">
        <v>19965</v>
      </c>
      <c r="B10102" t="s">
        <v>19965</v>
      </c>
      <c r="C10102" t="s">
        <v>109</v>
      </c>
      <c r="D10102" t="s">
        <v>74</v>
      </c>
      <c r="E10102" s="6">
        <v>-27995</v>
      </c>
      <c r="F10102" t="s">
        <v>320</v>
      </c>
      <c r="G10102" t="s">
        <v>27</v>
      </c>
      <c r="H10102" t="s">
        <v>21</v>
      </c>
      <c r="I10102" t="s">
        <v>19966</v>
      </c>
      <c r="J10102" t="str">
        <f>HYPERLINK("https://www.boe.es/gazeta/dias/1823/05/08/pdfs/GES-1823-28.pdf#page=2","Abrir facsímil")</f>
        <v>Abrir facsímil</v>
      </c>
      <c r="K10102" t="s">
        <v>23</v>
      </c>
    </row>
    <row r="10103" spans="1:11" ht="42" customHeight="1">
      <c r="A10103" t="s">
        <v>19967</v>
      </c>
      <c r="B10103" t="s">
        <v>19967</v>
      </c>
      <c r="C10103" t="s">
        <v>56</v>
      </c>
      <c r="D10103" t="s">
        <v>57</v>
      </c>
      <c r="E10103" s="6">
        <v>-28098</v>
      </c>
      <c r="F10103" t="s">
        <v>1101</v>
      </c>
      <c r="G10103" t="s">
        <v>39</v>
      </c>
      <c r="H10103" t="s">
        <v>21</v>
      </c>
      <c r="I10103" t="s">
        <v>19968</v>
      </c>
      <c r="J10103" t="str">
        <f>HYPERLINK("https://www.boe.es/gazeta/dias/1823/01/25/pdfs/GMD-1823-26.pdf#page=1","Abrir facsímil")</f>
        <v>Abrir facsímil</v>
      </c>
      <c r="K10103" t="s">
        <v>23</v>
      </c>
    </row>
    <row r="10104" spans="1:11" ht="42" customHeight="1">
      <c r="A10104" t="s">
        <v>19969</v>
      </c>
      <c r="B10104" t="s">
        <v>19969</v>
      </c>
      <c r="C10104" t="s">
        <v>73</v>
      </c>
      <c r="D10104" t="s">
        <v>74</v>
      </c>
      <c r="E10104" s="6">
        <v>-28057</v>
      </c>
      <c r="F10104" t="s">
        <v>301</v>
      </c>
      <c r="G10104" t="s">
        <v>20</v>
      </c>
      <c r="H10104" t="s">
        <v>21</v>
      </c>
      <c r="I10104" t="s">
        <v>19970</v>
      </c>
      <c r="J10104" t="str">
        <f>HYPERLINK("https://www.boe.es/gazeta/dias/1823/03/07/pdfs/GMD-1823-70.pdf#page=4","Abrir facsímil")</f>
        <v>Abrir facsímil</v>
      </c>
      <c r="K10104" t="s">
        <v>23</v>
      </c>
    </row>
    <row r="10105" spans="1:11" ht="42" customHeight="1">
      <c r="A10105" t="s">
        <v>19969</v>
      </c>
      <c r="B10105" t="s">
        <v>19969</v>
      </c>
      <c r="C10105" t="s">
        <v>17</v>
      </c>
      <c r="D10105" t="s">
        <v>18</v>
      </c>
      <c r="E10105" s="6">
        <v>-28056</v>
      </c>
      <c r="F10105" t="s">
        <v>572</v>
      </c>
      <c r="G10105" t="s">
        <v>34</v>
      </c>
      <c r="H10105" t="s">
        <v>21</v>
      </c>
      <c r="I10105" t="s">
        <v>19971</v>
      </c>
      <c r="J10105" t="str">
        <f>HYPERLINK("https://www.boe.es/gazeta/dias/1823/03/08/pdfs/GMD-1823-71.pdf#page=5","Abrir facsímil")</f>
        <v>Abrir facsímil</v>
      </c>
      <c r="K10105" t="s">
        <v>23</v>
      </c>
    </row>
    <row r="10106" spans="1:11" ht="42" customHeight="1">
      <c r="A10106" t="s">
        <v>19969</v>
      </c>
      <c r="B10106" t="s">
        <v>19969</v>
      </c>
      <c r="C10106" t="s">
        <v>79</v>
      </c>
      <c r="D10106" t="s">
        <v>74</v>
      </c>
      <c r="E10106" s="6">
        <v>-27995</v>
      </c>
      <c r="F10106" t="s">
        <v>320</v>
      </c>
      <c r="G10106" t="s">
        <v>27</v>
      </c>
      <c r="H10106" t="s">
        <v>21</v>
      </c>
      <c r="I10106" t="s">
        <v>19972</v>
      </c>
      <c r="J10106" t="str">
        <f>HYPERLINK("https://www.boe.es/gazeta/dias/1823/05/08/pdfs/GES-1823-28.pdf#page=2","Abrir facsímil")</f>
        <v>Abrir facsímil</v>
      </c>
      <c r="K10106" t="s">
        <v>23</v>
      </c>
    </row>
    <row r="10107" spans="1:11" ht="42" customHeight="1">
      <c r="A10107" t="s">
        <v>19969</v>
      </c>
      <c r="B10107" t="s">
        <v>19969</v>
      </c>
      <c r="C10107" t="s">
        <v>293</v>
      </c>
      <c r="D10107" t="s">
        <v>74</v>
      </c>
      <c r="E10107" s="6">
        <v>-27975</v>
      </c>
      <c r="F10107" t="s">
        <v>47</v>
      </c>
      <c r="G10107" t="s">
        <v>39</v>
      </c>
      <c r="H10107" t="s">
        <v>21</v>
      </c>
      <c r="I10107" t="s">
        <v>19973</v>
      </c>
      <c r="J10107" t="str">
        <f>HYPERLINK("https://www.boe.es/gazeta/dias/1823/05/28/pdfs/GES-1823-50.pdf#page=1","Abrir facsímil")</f>
        <v>Abrir facsímil</v>
      </c>
      <c r="K10107" t="s">
        <v>23</v>
      </c>
    </row>
    <row r="10108" spans="1:11" ht="42" customHeight="1">
      <c r="A10108" t="s">
        <v>19969</v>
      </c>
      <c r="B10108" t="s">
        <v>19969</v>
      </c>
      <c r="C10108" t="s">
        <v>79</v>
      </c>
      <c r="D10108" t="s">
        <v>74</v>
      </c>
      <c r="E10108" s="6">
        <v>-27932</v>
      </c>
      <c r="F10108" t="s">
        <v>707</v>
      </c>
      <c r="G10108" t="s">
        <v>39</v>
      </c>
      <c r="H10108" t="s">
        <v>21</v>
      </c>
      <c r="I10108" t="s">
        <v>19974</v>
      </c>
      <c r="J10108" t="str">
        <f>HYPERLINK("https://www.boe.es/gazeta/dias/1823/07/10/pdfs/GES-1823-90.pdf#page=1","Abrir facsímil")</f>
        <v>Abrir facsímil</v>
      </c>
      <c r="K10108" t="s">
        <v>23</v>
      </c>
    </row>
    <row r="10109" spans="1:11" ht="42" customHeight="1">
      <c r="A10109" t="s">
        <v>19969</v>
      </c>
      <c r="B10109" t="s">
        <v>19969</v>
      </c>
      <c r="C10109" t="s">
        <v>79</v>
      </c>
      <c r="D10109" t="s">
        <v>74</v>
      </c>
      <c r="E10109" s="6">
        <v>-27913</v>
      </c>
      <c r="F10109" t="s">
        <v>821</v>
      </c>
      <c r="G10109" t="s">
        <v>1204</v>
      </c>
      <c r="H10109" t="s">
        <v>21</v>
      </c>
      <c r="I10109" t="s">
        <v>19975</v>
      </c>
      <c r="J10109" t="str">
        <f>HYPERLINK("https://www.boe.es/gazeta/dias/1823/07/29/pdfs/GES-1823-110.pdf#page=2","Abrir facsímil")</f>
        <v>Abrir facsímil</v>
      </c>
      <c r="K10109" t="s">
        <v>23</v>
      </c>
    </row>
    <row r="10110" spans="1:11" ht="42" customHeight="1">
      <c r="A10110" t="s">
        <v>19976</v>
      </c>
      <c r="B10110" t="s">
        <v>19977</v>
      </c>
      <c r="C10110" t="s">
        <v>109</v>
      </c>
      <c r="D10110" t="s">
        <v>74</v>
      </c>
      <c r="E10110" s="6">
        <v>-27986</v>
      </c>
      <c r="F10110" t="s">
        <v>75</v>
      </c>
      <c r="G10110" t="s">
        <v>59</v>
      </c>
      <c r="H10110" t="s">
        <v>21</v>
      </c>
      <c r="I10110" t="s">
        <v>19978</v>
      </c>
      <c r="J10110" t="str">
        <f>HYPERLINK("https://www.boe.es/gazeta/dias/1823/05/17/pdfs/GES-1823-37.pdf#page=6","Abrir facsímil")</f>
        <v>Abrir facsímil</v>
      </c>
      <c r="K10110" t="s">
        <v>23</v>
      </c>
    </row>
    <row r="10111" spans="1:11" ht="42" customHeight="1">
      <c r="A10111" t="s">
        <v>19979</v>
      </c>
      <c r="B10111" t="s">
        <v>19980</v>
      </c>
      <c r="C10111" t="s">
        <v>17</v>
      </c>
      <c r="D10111" t="s">
        <v>18</v>
      </c>
      <c r="E10111" s="6">
        <v>-28076</v>
      </c>
      <c r="F10111" t="s">
        <v>1638</v>
      </c>
      <c r="G10111" t="s">
        <v>59</v>
      </c>
      <c r="H10111" t="s">
        <v>21</v>
      </c>
      <c r="I10111" t="s">
        <v>19981</v>
      </c>
      <c r="J10111" t="str">
        <f>HYPERLINK("https://www.boe.es/gazeta/dias/1823/02/16/pdfs/GMD-1823-50.pdf#page=6","Abrir facsímil")</f>
        <v>Abrir facsímil</v>
      </c>
      <c r="K10111" t="s">
        <v>23</v>
      </c>
    </row>
    <row r="10112" spans="1:11" ht="42" customHeight="1">
      <c r="A10112" t="s">
        <v>19982</v>
      </c>
      <c r="B10112" t="s">
        <v>19983</v>
      </c>
      <c r="C10112" t="s">
        <v>325</v>
      </c>
      <c r="D10112" t="s">
        <v>74</v>
      </c>
      <c r="E10112" s="6">
        <v>-28048</v>
      </c>
      <c r="F10112" t="s">
        <v>399</v>
      </c>
      <c r="G10112" t="s">
        <v>20</v>
      </c>
      <c r="H10112" t="s">
        <v>21</v>
      </c>
      <c r="I10112" t="s">
        <v>19984</v>
      </c>
      <c r="J10112" t="str">
        <f>HYPERLINK("https://www.boe.es/gazeta/dias/1823/03/16/pdfs/GMD-1823-79.pdf#page=4","Abrir facsímil")</f>
        <v>Abrir facsímil</v>
      </c>
      <c r="K10112" t="s">
        <v>23</v>
      </c>
    </row>
    <row r="10113" spans="1:11" ht="42" customHeight="1">
      <c r="A10113" t="s">
        <v>19985</v>
      </c>
      <c r="B10113" t="s">
        <v>19986</v>
      </c>
      <c r="C10113" t="s">
        <v>17</v>
      </c>
      <c r="D10113" t="s">
        <v>18</v>
      </c>
      <c r="E10113" s="6">
        <v>-27983</v>
      </c>
      <c r="F10113" t="s">
        <v>337</v>
      </c>
      <c r="G10113" t="s">
        <v>27</v>
      </c>
      <c r="H10113" t="s">
        <v>28</v>
      </c>
      <c r="I10113" t="s">
        <v>19987</v>
      </c>
      <c r="J10113" t="str">
        <f>HYPERLINK("https://www.boe.es/gazeta/dias/1823/05/20/pdfs/GES-1823-40.pdf#page=2","Abrir facsímil")</f>
        <v>Abrir facsímil</v>
      </c>
      <c r="K10113" t="s">
        <v>30</v>
      </c>
    </row>
    <row r="10114" spans="1:11" ht="42" customHeight="1">
      <c r="A10114" t="s">
        <v>19988</v>
      </c>
      <c r="B10114" t="s">
        <v>19989</v>
      </c>
      <c r="C10114" t="s">
        <v>17</v>
      </c>
      <c r="D10114" t="s">
        <v>18</v>
      </c>
      <c r="E10114" s="6">
        <v>-27995</v>
      </c>
      <c r="F10114" t="s">
        <v>320</v>
      </c>
      <c r="G10114" t="s">
        <v>39</v>
      </c>
      <c r="H10114" t="s">
        <v>21</v>
      </c>
      <c r="I10114" t="s">
        <v>19990</v>
      </c>
      <c r="J10114" t="str">
        <f>HYPERLINK("https://www.boe.es/gazeta/dias/1823/05/08/pdfs/GES-1823-28.pdf#page=1","Abrir facsímil")</f>
        <v>Abrir facsímil</v>
      </c>
      <c r="K10114" t="s">
        <v>23</v>
      </c>
    </row>
    <row r="10115" spans="1:11" ht="42" customHeight="1">
      <c r="A10115" t="s">
        <v>19988</v>
      </c>
      <c r="B10115" t="s">
        <v>19989</v>
      </c>
      <c r="C10115" t="s">
        <v>109</v>
      </c>
      <c r="D10115" t="s">
        <v>74</v>
      </c>
      <c r="E10115" s="6">
        <v>-27918</v>
      </c>
      <c r="F10115" t="s">
        <v>3181</v>
      </c>
      <c r="G10115" t="s">
        <v>39</v>
      </c>
      <c r="H10115" t="s">
        <v>21</v>
      </c>
      <c r="I10115" t="s">
        <v>19991</v>
      </c>
      <c r="J10115" t="str">
        <f>HYPERLINK("https://www.boe.es/gazeta/dias/1823/07/24/pdfs/GES-1823-105.pdf#page=1","Abrir facsímil")</f>
        <v>Abrir facsímil</v>
      </c>
      <c r="K10115" t="s">
        <v>23</v>
      </c>
    </row>
    <row r="10116" spans="1:11" ht="42" customHeight="1">
      <c r="A10116" t="s">
        <v>19988</v>
      </c>
      <c r="B10116" t="s">
        <v>19989</v>
      </c>
      <c r="C10116" t="s">
        <v>293</v>
      </c>
      <c r="D10116" t="s">
        <v>74</v>
      </c>
      <c r="E10116" s="6">
        <v>-27916</v>
      </c>
      <c r="F10116" t="s">
        <v>772</v>
      </c>
      <c r="G10116" t="s">
        <v>39</v>
      </c>
      <c r="H10116" t="s">
        <v>21</v>
      </c>
      <c r="I10116" t="s">
        <v>19992</v>
      </c>
      <c r="J10116" t="str">
        <f>HYPERLINK("https://www.boe.es/gazeta/dias/1823/07/26/pdfs/GES-1823-107.pdf#page=1","Abrir facsímil")</f>
        <v>Abrir facsímil</v>
      </c>
      <c r="K10116" t="s">
        <v>23</v>
      </c>
    </row>
    <row r="10117" spans="1:11" ht="42" customHeight="1">
      <c r="A10117" t="s">
        <v>19988</v>
      </c>
      <c r="B10117" t="s">
        <v>19989</v>
      </c>
      <c r="C10117" t="s">
        <v>17</v>
      </c>
      <c r="D10117" t="s">
        <v>18</v>
      </c>
      <c r="E10117" s="6">
        <v>-27907</v>
      </c>
      <c r="F10117" t="s">
        <v>370</v>
      </c>
      <c r="G10117" t="s">
        <v>27</v>
      </c>
      <c r="H10117" t="s">
        <v>21</v>
      </c>
      <c r="I10117" t="s">
        <v>19993</v>
      </c>
      <c r="J10117" t="str">
        <f>HYPERLINK("https://www.boe.es/gazeta/dias/1823/08/04/pdfs/GES-1823-116.pdf#page=2","Abrir facsímil")</f>
        <v>Abrir facsímil</v>
      </c>
      <c r="K10117" t="s">
        <v>23</v>
      </c>
    </row>
    <row r="10118" spans="1:11" ht="42" customHeight="1">
      <c r="A10118" t="s">
        <v>19988</v>
      </c>
      <c r="B10118" t="s">
        <v>19989</v>
      </c>
      <c r="C10118" t="s">
        <v>109</v>
      </c>
      <c r="D10118" t="s">
        <v>74</v>
      </c>
      <c r="E10118" s="6">
        <v>-27907</v>
      </c>
      <c r="F10118" t="s">
        <v>370</v>
      </c>
      <c r="G10118" t="s">
        <v>48</v>
      </c>
      <c r="H10118" t="s">
        <v>21</v>
      </c>
      <c r="I10118" t="s">
        <v>19994</v>
      </c>
      <c r="J10118" t="str">
        <f>HYPERLINK("https://www.boe.es/gazeta/dias/1823/08/04/pdfs/GES-1823-116.pdf#page=3","Abrir facsímil")</f>
        <v>Abrir facsímil</v>
      </c>
      <c r="K10118" t="s">
        <v>23</v>
      </c>
    </row>
    <row r="10119" spans="1:11" ht="42" customHeight="1">
      <c r="A10119" t="s">
        <v>19995</v>
      </c>
      <c r="B10119" t="s">
        <v>19996</v>
      </c>
      <c r="C10119" t="s">
        <v>293</v>
      </c>
      <c r="D10119" t="s">
        <v>74</v>
      </c>
      <c r="E10119" s="6">
        <v>-27984</v>
      </c>
      <c r="F10119" t="s">
        <v>335</v>
      </c>
      <c r="G10119" t="s">
        <v>27</v>
      </c>
      <c r="H10119" t="s">
        <v>21</v>
      </c>
      <c r="I10119" t="s">
        <v>19997</v>
      </c>
      <c r="J10119" t="str">
        <f>HYPERLINK("https://www.boe.es/gazeta/dias/1823/05/19/pdfs/GES-1823-39.pdf#page=2","Abrir facsímil")</f>
        <v>Abrir facsímil</v>
      </c>
      <c r="K10119" t="s">
        <v>23</v>
      </c>
    </row>
    <row r="10120" spans="1:11" ht="42" customHeight="1">
      <c r="A10120" t="s">
        <v>19998</v>
      </c>
      <c r="B10120" t="s">
        <v>19999</v>
      </c>
      <c r="C10120" t="s">
        <v>109</v>
      </c>
      <c r="D10120" t="s">
        <v>74</v>
      </c>
      <c r="E10120" s="6">
        <v>-27934</v>
      </c>
      <c r="F10120" t="s">
        <v>2155</v>
      </c>
      <c r="G10120" t="s">
        <v>48</v>
      </c>
      <c r="H10120" t="s">
        <v>21</v>
      </c>
      <c r="I10120" t="s">
        <v>20000</v>
      </c>
      <c r="J10120" t="str">
        <f>HYPERLINK("https://www.boe.es/gazeta/dias/1823/07/08/pdfs/GES-1823-88.pdf#page=3","Abrir facsímil")</f>
        <v>Abrir facsímil</v>
      </c>
      <c r="K10120" t="s">
        <v>23</v>
      </c>
    </row>
    <row r="10121" spans="1:11" ht="42" customHeight="1">
      <c r="A10121" t="s">
        <v>20001</v>
      </c>
      <c r="B10121" t="s">
        <v>20001</v>
      </c>
      <c r="C10121" t="s">
        <v>79</v>
      </c>
      <c r="D10121" t="s">
        <v>74</v>
      </c>
      <c r="E10121" s="6">
        <v>-28088</v>
      </c>
      <c r="F10121" t="s">
        <v>542</v>
      </c>
      <c r="G10121" t="s">
        <v>20</v>
      </c>
      <c r="H10121" t="s">
        <v>21</v>
      </c>
      <c r="I10121" t="s">
        <v>20002</v>
      </c>
      <c r="J10121" t="str">
        <f>HYPERLINK("https://www.boe.es/gazeta/dias/1823/02/04/pdfs/GMD-1823-37.pdf#page=4","Abrir facsímil")</f>
        <v>Abrir facsímil</v>
      </c>
      <c r="K10121" t="s">
        <v>23</v>
      </c>
    </row>
    <row r="10122" spans="1:11" ht="42" customHeight="1">
      <c r="A10122" t="s">
        <v>20001</v>
      </c>
      <c r="B10122" t="s">
        <v>20001</v>
      </c>
      <c r="C10122" t="s">
        <v>17</v>
      </c>
      <c r="D10122" t="s">
        <v>18</v>
      </c>
      <c r="E10122" s="6">
        <v>-27939</v>
      </c>
      <c r="F10122" t="s">
        <v>1403</v>
      </c>
      <c r="G10122" t="s">
        <v>2756</v>
      </c>
      <c r="H10122" t="s">
        <v>21</v>
      </c>
      <c r="I10122" t="s">
        <v>20003</v>
      </c>
      <c r="J10122" t="str">
        <f>HYPERLINK("https://www.boe.es/gazeta/dias/1823/07/03/pdfs/GMD-1823-333.pdf#page=6","Abrir facsímil")</f>
        <v>Abrir facsímil</v>
      </c>
      <c r="K10122" t="s">
        <v>23</v>
      </c>
    </row>
    <row r="10123" spans="1:11" ht="42" customHeight="1">
      <c r="A10123" t="s">
        <v>20004</v>
      </c>
      <c r="B10123" t="s">
        <v>20005</v>
      </c>
      <c r="C10123" t="s">
        <v>17</v>
      </c>
      <c r="D10123" t="s">
        <v>18</v>
      </c>
      <c r="E10123" s="6">
        <v>-27862</v>
      </c>
      <c r="F10123" t="s">
        <v>1530</v>
      </c>
      <c r="G10123" t="s">
        <v>48</v>
      </c>
      <c r="H10123" t="s">
        <v>21</v>
      </c>
      <c r="I10123" t="s">
        <v>20006</v>
      </c>
      <c r="J10123" t="str">
        <f>HYPERLINK("https://www.boe.es/gazeta/dias/1823/09/18/pdfs/GMD-1823-803.pdf#page=3","Abrir facsímil")</f>
        <v>Abrir facsímil</v>
      </c>
      <c r="K10123" t="s">
        <v>23</v>
      </c>
    </row>
    <row r="10124" spans="1:11" ht="42" customHeight="1">
      <c r="A10124" t="s">
        <v>20007</v>
      </c>
      <c r="B10124" t="s">
        <v>20008</v>
      </c>
      <c r="C10124" t="s">
        <v>17</v>
      </c>
      <c r="D10124" t="s">
        <v>18</v>
      </c>
      <c r="E10124" s="6">
        <v>-28106</v>
      </c>
      <c r="F10124" t="s">
        <v>280</v>
      </c>
      <c r="G10124" t="s">
        <v>20</v>
      </c>
      <c r="H10124" t="s">
        <v>21</v>
      </c>
      <c r="I10124" t="s">
        <v>20009</v>
      </c>
      <c r="J10124" t="str">
        <f>HYPERLINK("https://www.boe.es/gazeta/dias/1823/01/17/pdfs/GMD-1823-17.pdf#page=4","Abrir facsímil")</f>
        <v>Abrir facsímil</v>
      </c>
      <c r="K10124" t="s">
        <v>23</v>
      </c>
    </row>
    <row r="10125" spans="1:11" ht="42" customHeight="1">
      <c r="A10125" t="s">
        <v>20010</v>
      </c>
      <c r="B10125" t="s">
        <v>20010</v>
      </c>
      <c r="C10125" t="s">
        <v>109</v>
      </c>
      <c r="D10125" t="s">
        <v>74</v>
      </c>
      <c r="E10125" s="6">
        <v>-27998</v>
      </c>
      <c r="F10125" t="s">
        <v>1058</v>
      </c>
      <c r="G10125" t="s">
        <v>20</v>
      </c>
      <c r="H10125" t="s">
        <v>21</v>
      </c>
      <c r="I10125" t="s">
        <v>20011</v>
      </c>
      <c r="J10125" t="str">
        <f>HYPERLINK("https://www.boe.es/gazeta/dias/1823/05/05/pdfs/GES-1823-25.pdf#page=4","Abrir facsímil")</f>
        <v>Abrir facsímil</v>
      </c>
      <c r="K10125" t="s">
        <v>23</v>
      </c>
    </row>
    <row r="10126" spans="1:11" ht="42" customHeight="1">
      <c r="A10126" t="s">
        <v>20012</v>
      </c>
      <c r="B10126" t="s">
        <v>20012</v>
      </c>
      <c r="C10126" t="s">
        <v>17</v>
      </c>
      <c r="D10126" t="s">
        <v>18</v>
      </c>
      <c r="E10126" s="6">
        <v>-27792</v>
      </c>
      <c r="F10126" t="s">
        <v>611</v>
      </c>
      <c r="G10126" t="s">
        <v>48</v>
      </c>
      <c r="H10126" t="s">
        <v>21</v>
      </c>
      <c r="I10126" t="s">
        <v>20013</v>
      </c>
      <c r="J10126" t="str">
        <f>HYPERLINK("https://www.boe.es/gazeta/dias/1823/11/27/pdfs/GMD-1823-1173.pdf#page=3","Abrir facsímil")</f>
        <v>Abrir facsímil</v>
      </c>
      <c r="K10126" t="s">
        <v>23</v>
      </c>
    </row>
    <row r="10127" spans="1:11" ht="42" customHeight="1">
      <c r="A10127" t="s">
        <v>20014</v>
      </c>
      <c r="B10127" t="s">
        <v>20015</v>
      </c>
      <c r="C10127" t="s">
        <v>84</v>
      </c>
      <c r="D10127" t="s">
        <v>74</v>
      </c>
      <c r="E10127" s="6">
        <v>-27967</v>
      </c>
      <c r="F10127" t="s">
        <v>412</v>
      </c>
      <c r="G10127" t="s">
        <v>34</v>
      </c>
      <c r="H10127" t="s">
        <v>21</v>
      </c>
      <c r="I10127" t="s">
        <v>20016</v>
      </c>
      <c r="J10127" t="str">
        <f>HYPERLINK("https://www.boe.es/gazeta/dias/1823/06/05/pdfs/GES-1823-59.pdf#page=5","Abrir facsímil")</f>
        <v>Abrir facsímil</v>
      </c>
      <c r="K10127" t="s">
        <v>23</v>
      </c>
    </row>
    <row r="10128" spans="1:11" ht="42" customHeight="1">
      <c r="A10128" t="s">
        <v>20017</v>
      </c>
      <c r="B10128" t="s">
        <v>20018</v>
      </c>
      <c r="C10128" t="s">
        <v>17</v>
      </c>
      <c r="D10128" t="s">
        <v>18</v>
      </c>
      <c r="E10128" s="6">
        <v>-27998</v>
      </c>
      <c r="F10128" t="s">
        <v>1058</v>
      </c>
      <c r="G10128" t="s">
        <v>59</v>
      </c>
      <c r="H10128" t="s">
        <v>21</v>
      </c>
      <c r="I10128" t="s">
        <v>20019</v>
      </c>
      <c r="J10128" t="str">
        <f>HYPERLINK("https://www.boe.es/gazeta/dias/1823/05/05/pdfs/GES-1823-25.pdf#page=6","Abrir facsímil")</f>
        <v>Abrir facsímil</v>
      </c>
      <c r="K10128" t="s">
        <v>23</v>
      </c>
    </row>
    <row r="10129" spans="1:11" ht="42" customHeight="1">
      <c r="A10129" t="s">
        <v>20017</v>
      </c>
      <c r="B10129" t="s">
        <v>20018</v>
      </c>
      <c r="C10129" t="s">
        <v>17</v>
      </c>
      <c r="D10129" t="s">
        <v>18</v>
      </c>
      <c r="E10129" s="6">
        <v>-27991</v>
      </c>
      <c r="F10129" t="s">
        <v>328</v>
      </c>
      <c r="G10129" t="s">
        <v>34</v>
      </c>
      <c r="H10129" t="s">
        <v>21</v>
      </c>
      <c r="I10129" t="s">
        <v>20020</v>
      </c>
      <c r="J10129" t="str">
        <f>HYPERLINK("https://www.boe.es/gazeta/dias/1823/05/12/pdfs/GES-1823-32.pdf#page=5","Abrir facsímil")</f>
        <v>Abrir facsímil</v>
      </c>
      <c r="K10129" t="s">
        <v>23</v>
      </c>
    </row>
    <row r="10130" spans="1:11" ht="42" customHeight="1">
      <c r="A10130" t="s">
        <v>20021</v>
      </c>
      <c r="B10130" t="s">
        <v>20022</v>
      </c>
      <c r="C10130" t="s">
        <v>17</v>
      </c>
      <c r="D10130" t="s">
        <v>18</v>
      </c>
      <c r="E10130" s="6">
        <v>-27872</v>
      </c>
      <c r="F10130" t="s">
        <v>374</v>
      </c>
      <c r="G10130" t="s">
        <v>48</v>
      </c>
      <c r="H10130" t="s">
        <v>21</v>
      </c>
      <c r="I10130" t="s">
        <v>20023</v>
      </c>
      <c r="J10130" t="str">
        <f>HYPERLINK("https://www.boe.es/gazeta/dias/1823/09/08/pdfs/GES-1823-152.pdf#page=3","Abrir facsímil")</f>
        <v>Abrir facsímil</v>
      </c>
      <c r="K10130" t="s">
        <v>23</v>
      </c>
    </row>
    <row r="10131" spans="1:11" ht="42" customHeight="1">
      <c r="A10131" t="s">
        <v>20024</v>
      </c>
      <c r="B10131" t="s">
        <v>20024</v>
      </c>
      <c r="C10131" t="s">
        <v>79</v>
      </c>
      <c r="D10131" t="s">
        <v>74</v>
      </c>
      <c r="E10131" s="6">
        <v>-28112</v>
      </c>
      <c r="F10131" t="s">
        <v>43</v>
      </c>
      <c r="G10131" t="s">
        <v>39</v>
      </c>
      <c r="H10131" t="s">
        <v>21</v>
      </c>
      <c r="I10131" t="s">
        <v>20025</v>
      </c>
      <c r="J10131" t="str">
        <f>HYPERLINK("https://www.boe.es/gazeta/dias/1823/01/11/pdfs/GMD-1823-11.pdf#page=1","Abrir facsímil")</f>
        <v>Abrir facsímil</v>
      </c>
      <c r="K10131" t="s">
        <v>23</v>
      </c>
    </row>
    <row r="10132" spans="1:11" ht="42" customHeight="1">
      <c r="A10132" t="s">
        <v>20026</v>
      </c>
      <c r="B10132" t="s">
        <v>20026</v>
      </c>
      <c r="C10132" t="s">
        <v>73</v>
      </c>
      <c r="D10132" t="s">
        <v>74</v>
      </c>
      <c r="E10132" s="6">
        <v>-28113</v>
      </c>
      <c r="F10132" t="s">
        <v>2088</v>
      </c>
      <c r="G10132" t="s">
        <v>48</v>
      </c>
      <c r="H10132" t="s">
        <v>21</v>
      </c>
      <c r="I10132" t="s">
        <v>20027</v>
      </c>
      <c r="J10132" t="str">
        <f>HYPERLINK("https://www.boe.es/gazeta/dias/1823/01/10/pdfs/GMD-1823-10.pdf#page=3","Abrir facsímil")</f>
        <v>Abrir facsímil</v>
      </c>
      <c r="K10132" t="s">
        <v>23</v>
      </c>
    </row>
    <row r="10133" spans="1:11" ht="42" customHeight="1">
      <c r="A10133" t="s">
        <v>20028</v>
      </c>
      <c r="B10133" t="s">
        <v>20028</v>
      </c>
      <c r="C10133" t="s">
        <v>79</v>
      </c>
      <c r="D10133" t="s">
        <v>74</v>
      </c>
      <c r="E10133" s="6">
        <v>-28112</v>
      </c>
      <c r="F10133" t="s">
        <v>43</v>
      </c>
      <c r="G10133" t="s">
        <v>27</v>
      </c>
      <c r="H10133" t="s">
        <v>21</v>
      </c>
      <c r="I10133" t="s">
        <v>20029</v>
      </c>
      <c r="J10133" t="str">
        <f>HYPERLINK("https://www.boe.es/gazeta/dias/1823/01/11/pdfs/GMD-1823-11.pdf#page=2","Abrir facsímil")</f>
        <v>Abrir facsímil</v>
      </c>
      <c r="K10133" t="s">
        <v>23</v>
      </c>
    </row>
    <row r="10134" spans="1:11" ht="42" customHeight="1">
      <c r="A10134" t="s">
        <v>20026</v>
      </c>
      <c r="B10134" t="s">
        <v>20026</v>
      </c>
      <c r="C10134" t="s">
        <v>17</v>
      </c>
      <c r="D10134" t="s">
        <v>18</v>
      </c>
      <c r="E10134" s="6">
        <v>-28106</v>
      </c>
      <c r="F10134" t="s">
        <v>280</v>
      </c>
      <c r="G10134" t="s">
        <v>281</v>
      </c>
      <c r="H10134" t="s">
        <v>21</v>
      </c>
      <c r="I10134" t="s">
        <v>20030</v>
      </c>
      <c r="J10134" t="str">
        <f>HYPERLINK("https://www.boe.es/gazeta/dias/1823/01/17/pdfs/GMD-1823-17.pdf#page=2","Abrir facsímil")</f>
        <v>Abrir facsímil</v>
      </c>
      <c r="K10134" t="s">
        <v>23</v>
      </c>
    </row>
    <row r="10135" spans="1:11" ht="42" customHeight="1">
      <c r="A10135" t="s">
        <v>20028</v>
      </c>
      <c r="B10135" t="s">
        <v>20028</v>
      </c>
      <c r="C10135" t="s">
        <v>56</v>
      </c>
      <c r="D10135" t="s">
        <v>57</v>
      </c>
      <c r="E10135" s="6">
        <v>-28093</v>
      </c>
      <c r="F10135" t="s">
        <v>1044</v>
      </c>
      <c r="G10135" t="s">
        <v>27</v>
      </c>
      <c r="H10135" t="s">
        <v>21</v>
      </c>
      <c r="I10135" t="s">
        <v>20031</v>
      </c>
      <c r="J10135" t="str">
        <f>HYPERLINK("https://www.boe.es/gazeta/dias/1823/01/30/pdfs/GMD-1823-31.pdf#page=2","Abrir facsímil")</f>
        <v>Abrir facsímil</v>
      </c>
      <c r="K10135" t="s">
        <v>23</v>
      </c>
    </row>
    <row r="10136" spans="1:11" ht="42" customHeight="1">
      <c r="A10136" t="s">
        <v>20026</v>
      </c>
      <c r="B10136" t="s">
        <v>20026</v>
      </c>
      <c r="C10136" t="s">
        <v>109</v>
      </c>
      <c r="D10136" t="s">
        <v>74</v>
      </c>
      <c r="E10136" s="6">
        <v>-28089</v>
      </c>
      <c r="F10136" t="s">
        <v>1979</v>
      </c>
      <c r="G10136" t="s">
        <v>48</v>
      </c>
      <c r="H10136" t="s">
        <v>21</v>
      </c>
      <c r="I10136" t="s">
        <v>20032</v>
      </c>
      <c r="J10136" t="str">
        <f>HYPERLINK("https://www.boe.es/gazeta/dias/1823/02/03/pdfs/GMD-1823-36.pdf#page=3","Abrir facsímil")</f>
        <v>Abrir facsímil</v>
      </c>
      <c r="K10136" t="s">
        <v>23</v>
      </c>
    </row>
    <row r="10137" spans="1:11" ht="42" customHeight="1">
      <c r="A10137" t="s">
        <v>20026</v>
      </c>
      <c r="B10137" t="s">
        <v>20026</v>
      </c>
      <c r="C10137" t="s">
        <v>17</v>
      </c>
      <c r="D10137" t="s">
        <v>18</v>
      </c>
      <c r="E10137" s="6">
        <v>-28087</v>
      </c>
      <c r="F10137" t="s">
        <v>3125</v>
      </c>
      <c r="G10137" t="s">
        <v>20</v>
      </c>
      <c r="H10137" t="s">
        <v>21</v>
      </c>
      <c r="I10137" t="s">
        <v>20033</v>
      </c>
      <c r="J10137" t="str">
        <f>HYPERLINK("https://www.boe.es/gazeta/dias/1823/02/05/pdfs/GMD-1823-38.pdf#page=4","Abrir facsímil")</f>
        <v>Abrir facsímil</v>
      </c>
      <c r="K10137" t="s">
        <v>23</v>
      </c>
    </row>
    <row r="10138" spans="1:11" ht="42" customHeight="1">
      <c r="A10138" t="s">
        <v>20028</v>
      </c>
      <c r="B10138" t="s">
        <v>20028</v>
      </c>
      <c r="C10138" t="s">
        <v>109</v>
      </c>
      <c r="D10138" t="s">
        <v>74</v>
      </c>
      <c r="E10138" s="6">
        <v>-28082</v>
      </c>
      <c r="F10138" t="s">
        <v>468</v>
      </c>
      <c r="G10138" t="s">
        <v>48</v>
      </c>
      <c r="H10138" t="s">
        <v>21</v>
      </c>
      <c r="I10138" t="s">
        <v>20034</v>
      </c>
      <c r="J10138" t="str">
        <f>HYPERLINK("https://www.boe.es/gazeta/dias/1823/02/10/pdfs/GMD-1823-44.pdf#page=3","Abrir facsímil")</f>
        <v>Abrir facsímil</v>
      </c>
      <c r="K10138" t="s">
        <v>23</v>
      </c>
    </row>
    <row r="10139" spans="1:11" ht="42" customHeight="1">
      <c r="A10139" t="s">
        <v>20028</v>
      </c>
      <c r="B10139" t="s">
        <v>20028</v>
      </c>
      <c r="C10139" t="s">
        <v>56</v>
      </c>
      <c r="D10139" t="s">
        <v>57</v>
      </c>
      <c r="E10139" s="6">
        <v>-28060</v>
      </c>
      <c r="F10139" t="s">
        <v>180</v>
      </c>
      <c r="G10139" t="s">
        <v>181</v>
      </c>
      <c r="H10139" t="s">
        <v>21</v>
      </c>
      <c r="I10139" t="s">
        <v>20035</v>
      </c>
      <c r="J10139" t="str">
        <f>HYPERLINK("https://www.boe.es/gazeta/dias/1823/03/04/pdfs/GMD-1823-67.pdf#page=6","Abrir facsímil")</f>
        <v>Abrir facsímil</v>
      </c>
      <c r="K10139" t="s">
        <v>23</v>
      </c>
    </row>
    <row r="10140" spans="1:11" ht="42" customHeight="1">
      <c r="A10140" t="s">
        <v>20026</v>
      </c>
      <c r="B10140" t="s">
        <v>20026</v>
      </c>
      <c r="C10140" t="s">
        <v>109</v>
      </c>
      <c r="D10140" t="s">
        <v>74</v>
      </c>
      <c r="E10140" s="6">
        <v>-28060</v>
      </c>
      <c r="F10140" t="s">
        <v>180</v>
      </c>
      <c r="G10140" t="s">
        <v>48</v>
      </c>
      <c r="H10140" t="s">
        <v>21</v>
      </c>
      <c r="I10140" t="s">
        <v>20036</v>
      </c>
      <c r="J10140" t="str">
        <f>HYPERLINK("https://www.boe.es/gazeta/dias/1823/03/04/pdfs/GMD-1823-67.pdf#page=3","Abrir facsímil")</f>
        <v>Abrir facsímil</v>
      </c>
      <c r="K10140" t="s">
        <v>23</v>
      </c>
    </row>
    <row r="10141" spans="1:11" ht="42" customHeight="1">
      <c r="A10141" t="s">
        <v>20028</v>
      </c>
      <c r="B10141" t="s">
        <v>20028</v>
      </c>
      <c r="C10141" t="s">
        <v>56</v>
      </c>
      <c r="D10141" t="s">
        <v>57</v>
      </c>
      <c r="E10141" s="6">
        <v>-28057</v>
      </c>
      <c r="F10141" t="s">
        <v>301</v>
      </c>
      <c r="G10141" t="s">
        <v>27</v>
      </c>
      <c r="H10141" t="s">
        <v>21</v>
      </c>
      <c r="I10141" t="s">
        <v>20037</v>
      </c>
      <c r="J10141" t="str">
        <f>HYPERLINK("https://www.boe.es/gazeta/dias/1823/03/07/pdfs/GMD-1823-70.pdf#page=2","Abrir facsímil")</f>
        <v>Abrir facsímil</v>
      </c>
      <c r="K10141" t="s">
        <v>23</v>
      </c>
    </row>
    <row r="10142" spans="1:11" ht="42" customHeight="1">
      <c r="A10142" t="s">
        <v>20028</v>
      </c>
      <c r="B10142" t="s">
        <v>20028</v>
      </c>
      <c r="C10142" t="s">
        <v>109</v>
      </c>
      <c r="D10142" t="s">
        <v>74</v>
      </c>
      <c r="E10142" s="6">
        <v>-28057</v>
      </c>
      <c r="F10142" t="s">
        <v>301</v>
      </c>
      <c r="G10142" t="s">
        <v>48</v>
      </c>
      <c r="H10142" t="s">
        <v>21</v>
      </c>
      <c r="I10142" t="s">
        <v>20038</v>
      </c>
      <c r="J10142" t="str">
        <f>HYPERLINK("https://www.boe.es/gazeta/dias/1823/03/07/pdfs/GMD-1823-70.pdf#page=3","Abrir facsímil")</f>
        <v>Abrir facsímil</v>
      </c>
      <c r="K10142" t="s">
        <v>23</v>
      </c>
    </row>
    <row r="10143" spans="1:11" ht="42" customHeight="1">
      <c r="A10143" t="s">
        <v>20028</v>
      </c>
      <c r="B10143" t="s">
        <v>20028</v>
      </c>
      <c r="C10143" t="s">
        <v>109</v>
      </c>
      <c r="D10143" t="s">
        <v>74</v>
      </c>
      <c r="E10143" s="6">
        <v>-28056</v>
      </c>
      <c r="F10143" t="s">
        <v>572</v>
      </c>
      <c r="G10143" t="s">
        <v>48</v>
      </c>
      <c r="H10143" t="s">
        <v>21</v>
      </c>
      <c r="I10143" t="s">
        <v>20039</v>
      </c>
      <c r="J10143" t="str">
        <f>HYPERLINK("https://www.boe.es/gazeta/dias/1823/03/08/pdfs/GMD-1823-71.pdf#page=3","Abrir facsímil")</f>
        <v>Abrir facsímil</v>
      </c>
      <c r="K10143" t="s">
        <v>23</v>
      </c>
    </row>
    <row r="10144" spans="1:11" ht="42" customHeight="1">
      <c r="A10144" t="s">
        <v>20026</v>
      </c>
      <c r="B10144" t="s">
        <v>20026</v>
      </c>
      <c r="C10144" t="s">
        <v>17</v>
      </c>
      <c r="D10144" t="s">
        <v>18</v>
      </c>
      <c r="E10144" s="6">
        <v>-28056</v>
      </c>
      <c r="F10144" t="s">
        <v>572</v>
      </c>
      <c r="G10144" t="s">
        <v>34</v>
      </c>
      <c r="H10144" t="s">
        <v>21</v>
      </c>
      <c r="I10144" t="s">
        <v>20040</v>
      </c>
      <c r="J10144" t="str">
        <f>HYPERLINK("https://www.boe.es/gazeta/dias/1823/03/08/pdfs/GMD-1823-71.pdf#page=5","Abrir facsímil")</f>
        <v>Abrir facsímil</v>
      </c>
      <c r="K10144" t="s">
        <v>23</v>
      </c>
    </row>
    <row r="10145" spans="1:11" ht="42" customHeight="1">
      <c r="A10145" t="s">
        <v>20028</v>
      </c>
      <c r="B10145" t="s">
        <v>20028</v>
      </c>
      <c r="C10145" t="s">
        <v>79</v>
      </c>
      <c r="D10145" t="s">
        <v>74</v>
      </c>
      <c r="E10145" s="6">
        <v>-28053</v>
      </c>
      <c r="F10145" t="s">
        <v>303</v>
      </c>
      <c r="G10145" t="s">
        <v>48</v>
      </c>
      <c r="H10145" t="s">
        <v>21</v>
      </c>
      <c r="I10145" t="s">
        <v>20041</v>
      </c>
      <c r="J10145" t="str">
        <f>HYPERLINK("https://www.boe.es/gazeta/dias/1823/03/11/pdfs/GMD-1823-74.pdf#page=3","Abrir facsímil")</f>
        <v>Abrir facsímil</v>
      </c>
      <c r="K10145" t="s">
        <v>23</v>
      </c>
    </row>
    <row r="10146" spans="1:11" ht="42" customHeight="1">
      <c r="A10146" t="s">
        <v>20026</v>
      </c>
      <c r="B10146" t="s">
        <v>20026</v>
      </c>
      <c r="C10146" t="s">
        <v>79</v>
      </c>
      <c r="D10146" t="s">
        <v>74</v>
      </c>
      <c r="E10146" s="6">
        <v>-28052</v>
      </c>
      <c r="F10146" t="s">
        <v>1025</v>
      </c>
      <c r="G10146" t="s">
        <v>27</v>
      </c>
      <c r="H10146" t="s">
        <v>21</v>
      </c>
      <c r="I10146" t="s">
        <v>20042</v>
      </c>
      <c r="J10146" t="str">
        <f>HYPERLINK("https://www.boe.es/gazeta/dias/1823/03/12/pdfs/GMD-1823-75.pdf#page=2","Abrir facsímil")</f>
        <v>Abrir facsímil</v>
      </c>
      <c r="K10146" t="s">
        <v>23</v>
      </c>
    </row>
    <row r="10147" spans="1:11" ht="42" customHeight="1">
      <c r="A10147" t="s">
        <v>20026</v>
      </c>
      <c r="B10147" t="s">
        <v>20026</v>
      </c>
      <c r="C10147" t="s">
        <v>79</v>
      </c>
      <c r="D10147" t="s">
        <v>74</v>
      </c>
      <c r="E10147" s="6">
        <v>-27998</v>
      </c>
      <c r="F10147" t="s">
        <v>1058</v>
      </c>
      <c r="G10147" t="s">
        <v>34</v>
      </c>
      <c r="H10147" t="s">
        <v>21</v>
      </c>
      <c r="I10147" t="s">
        <v>20043</v>
      </c>
      <c r="J10147" t="str">
        <f>HYPERLINK("https://www.boe.es/gazeta/dias/1823/05/05/pdfs/GES-1823-25.pdf#page=5","Abrir facsímil")</f>
        <v>Abrir facsímil</v>
      </c>
      <c r="K10147" t="s">
        <v>23</v>
      </c>
    </row>
    <row r="10148" spans="1:11" ht="42" customHeight="1">
      <c r="A10148" t="s">
        <v>20026</v>
      </c>
      <c r="B10148" t="s">
        <v>20026</v>
      </c>
      <c r="C10148" t="s">
        <v>56</v>
      </c>
      <c r="D10148" t="s">
        <v>57</v>
      </c>
      <c r="E10148" s="6">
        <v>-27995</v>
      </c>
      <c r="F10148" t="s">
        <v>320</v>
      </c>
      <c r="G10148" t="s">
        <v>20</v>
      </c>
      <c r="H10148" t="s">
        <v>21</v>
      </c>
      <c r="I10148" t="s">
        <v>20044</v>
      </c>
      <c r="J10148" t="str">
        <f>HYPERLINK("https://www.boe.es/gazeta/dias/1823/05/08/pdfs/GES-1823-28.pdf#page=4","Abrir facsímil")</f>
        <v>Abrir facsímil</v>
      </c>
      <c r="K10148" t="s">
        <v>23</v>
      </c>
    </row>
    <row r="10149" spans="1:11" ht="42" customHeight="1">
      <c r="A10149" t="s">
        <v>20026</v>
      </c>
      <c r="B10149" t="s">
        <v>20026</v>
      </c>
      <c r="C10149" t="s">
        <v>79</v>
      </c>
      <c r="D10149" t="s">
        <v>74</v>
      </c>
      <c r="E10149" s="6">
        <v>-27994</v>
      </c>
      <c r="F10149" t="s">
        <v>714</v>
      </c>
      <c r="G10149" t="s">
        <v>20</v>
      </c>
      <c r="H10149" t="s">
        <v>21</v>
      </c>
      <c r="I10149" t="s">
        <v>20045</v>
      </c>
      <c r="J10149" t="str">
        <f>HYPERLINK("https://www.boe.es/gazeta/dias/1823/05/09/pdfs/GES-1823-29.pdf#page=4","Abrir facsímil")</f>
        <v>Abrir facsímil</v>
      </c>
      <c r="K10149" t="s">
        <v>23</v>
      </c>
    </row>
    <row r="10150" spans="1:11" ht="42" customHeight="1">
      <c r="A10150" t="s">
        <v>20026</v>
      </c>
      <c r="B10150" t="s">
        <v>20026</v>
      </c>
      <c r="C10150" t="s">
        <v>109</v>
      </c>
      <c r="D10150" t="s">
        <v>74</v>
      </c>
      <c r="E10150" s="6">
        <v>-27987</v>
      </c>
      <c r="F10150" t="s">
        <v>332</v>
      </c>
      <c r="G10150" t="s">
        <v>20</v>
      </c>
      <c r="H10150" t="s">
        <v>21</v>
      </c>
      <c r="I10150" t="s">
        <v>20046</v>
      </c>
      <c r="J10150" t="str">
        <f>HYPERLINK("https://www.boe.es/gazeta/dias/1823/05/16/pdfs/GES-1823-36.pdf#page=4","Abrir facsímil")</f>
        <v>Abrir facsímil</v>
      </c>
      <c r="K10150" t="s">
        <v>23</v>
      </c>
    </row>
    <row r="10151" spans="1:11" ht="42" customHeight="1">
      <c r="A10151" t="s">
        <v>20028</v>
      </c>
      <c r="B10151" t="s">
        <v>20028</v>
      </c>
      <c r="C10151" t="s">
        <v>56</v>
      </c>
      <c r="D10151" t="s">
        <v>57</v>
      </c>
      <c r="E10151" s="6">
        <v>-27983</v>
      </c>
      <c r="F10151" t="s">
        <v>337</v>
      </c>
      <c r="G10151" t="s">
        <v>48</v>
      </c>
      <c r="H10151" t="s">
        <v>21</v>
      </c>
      <c r="I10151" t="s">
        <v>20047</v>
      </c>
      <c r="J10151" t="str">
        <f>HYPERLINK("https://www.boe.es/gazeta/dias/1823/05/20/pdfs/GES-1823-40.pdf#page=3","Abrir facsímil")</f>
        <v>Abrir facsímil</v>
      </c>
      <c r="K10151" t="s">
        <v>23</v>
      </c>
    </row>
    <row r="10152" spans="1:11" ht="42" customHeight="1">
      <c r="A10152" t="s">
        <v>20026</v>
      </c>
      <c r="B10152" t="s">
        <v>20026</v>
      </c>
      <c r="C10152" t="s">
        <v>56</v>
      </c>
      <c r="D10152" t="s">
        <v>57</v>
      </c>
      <c r="E10152" s="6">
        <v>-27982</v>
      </c>
      <c r="F10152" t="s">
        <v>340</v>
      </c>
      <c r="G10152" t="s">
        <v>27</v>
      </c>
      <c r="H10152" t="s">
        <v>21</v>
      </c>
      <c r="I10152" t="s">
        <v>20048</v>
      </c>
      <c r="J10152" t="str">
        <f>HYPERLINK("https://www.boe.es/gazeta/dias/1823/05/21/pdfs/GES-1823-42.pdf#page=2","Abrir facsímil")</f>
        <v>Abrir facsímil</v>
      </c>
      <c r="K10152" t="s">
        <v>23</v>
      </c>
    </row>
    <row r="10153" spans="1:11" ht="42" customHeight="1">
      <c r="A10153" t="s">
        <v>20028</v>
      </c>
      <c r="B10153" t="s">
        <v>20028</v>
      </c>
      <c r="C10153" t="s">
        <v>79</v>
      </c>
      <c r="D10153" t="s">
        <v>74</v>
      </c>
      <c r="E10153" s="6">
        <v>-27975</v>
      </c>
      <c r="F10153" t="s">
        <v>47</v>
      </c>
      <c r="G10153" t="s">
        <v>39</v>
      </c>
      <c r="H10153" t="s">
        <v>21</v>
      </c>
      <c r="I10153" t="s">
        <v>20049</v>
      </c>
      <c r="J10153" t="str">
        <f>HYPERLINK("https://www.boe.es/gazeta/dias/1823/05/28/pdfs/GES-1823-50.pdf#page=1","Abrir facsímil")</f>
        <v>Abrir facsímil</v>
      </c>
      <c r="K10153" t="s">
        <v>23</v>
      </c>
    </row>
    <row r="10154" spans="1:11" ht="42" customHeight="1">
      <c r="A10154" t="s">
        <v>20028</v>
      </c>
      <c r="B10154" t="s">
        <v>20028</v>
      </c>
      <c r="C10154" t="s">
        <v>109</v>
      </c>
      <c r="D10154" t="s">
        <v>74</v>
      </c>
      <c r="E10154" s="6">
        <v>-27974</v>
      </c>
      <c r="F10154" t="s">
        <v>618</v>
      </c>
      <c r="G10154" t="s">
        <v>39</v>
      </c>
      <c r="H10154" t="s">
        <v>21</v>
      </c>
      <c r="I10154" t="s">
        <v>20050</v>
      </c>
      <c r="J10154" t="str">
        <f>HYPERLINK("https://www.boe.es/gazeta/dias/1823/05/29/pdfs/GES-1823-52.pdf#page=1","Abrir facsímil")</f>
        <v>Abrir facsímil</v>
      </c>
      <c r="K10154" t="s">
        <v>23</v>
      </c>
    </row>
    <row r="10155" spans="1:11" ht="42" customHeight="1">
      <c r="A10155" t="s">
        <v>20028</v>
      </c>
      <c r="B10155" t="s">
        <v>20028</v>
      </c>
      <c r="C10155" t="s">
        <v>73</v>
      </c>
      <c r="D10155" t="s">
        <v>74</v>
      </c>
      <c r="E10155" s="6">
        <v>-27966</v>
      </c>
      <c r="F10155" t="s">
        <v>675</v>
      </c>
      <c r="G10155" t="s">
        <v>48</v>
      </c>
      <c r="H10155" t="s">
        <v>21</v>
      </c>
      <c r="I10155" t="s">
        <v>20051</v>
      </c>
      <c r="J10155" t="str">
        <f>HYPERLINK("https://www.boe.es/gazeta/dias/1823/06/06/pdfs/GES-1823-60.pdf#page=3","Abrir facsímil")</f>
        <v>Abrir facsímil</v>
      </c>
      <c r="K10155" t="s">
        <v>23</v>
      </c>
    </row>
    <row r="10156" spans="1:11" ht="42" customHeight="1">
      <c r="A10156" t="s">
        <v>20028</v>
      </c>
      <c r="B10156" t="s">
        <v>20028</v>
      </c>
      <c r="C10156" t="s">
        <v>79</v>
      </c>
      <c r="D10156" t="s">
        <v>74</v>
      </c>
      <c r="E10156" s="6">
        <v>-27962</v>
      </c>
      <c r="F10156" t="s">
        <v>594</v>
      </c>
      <c r="G10156" t="s">
        <v>39</v>
      </c>
      <c r="H10156" t="s">
        <v>21</v>
      </c>
      <c r="I10156" t="s">
        <v>20052</v>
      </c>
      <c r="J10156" t="str">
        <f>HYPERLINK("https://www.boe.es/gazeta/dias/1823/06/10/pdfs/GES-1823-64.pdf#page=1","Abrir facsímil")</f>
        <v>Abrir facsímil</v>
      </c>
      <c r="K10156" t="s">
        <v>23</v>
      </c>
    </row>
    <row r="10157" spans="1:11" ht="42" customHeight="1">
      <c r="A10157" t="s">
        <v>20028</v>
      </c>
      <c r="B10157" t="s">
        <v>20028</v>
      </c>
      <c r="C10157" t="s">
        <v>17</v>
      </c>
      <c r="D10157" t="s">
        <v>18</v>
      </c>
      <c r="E10157" s="6">
        <v>-27961</v>
      </c>
      <c r="F10157" t="s">
        <v>52</v>
      </c>
      <c r="G10157" t="s">
        <v>39</v>
      </c>
      <c r="H10157" t="s">
        <v>21</v>
      </c>
      <c r="I10157" t="s">
        <v>20053</v>
      </c>
      <c r="J10157" t="str">
        <f>HYPERLINK("https://www.boe.es/gazeta/dias/1823/06/11/pdfs/GES-1823-65.pdf#page=1","Abrir facsímil")</f>
        <v>Abrir facsímil</v>
      </c>
      <c r="K10157" t="s">
        <v>23</v>
      </c>
    </row>
    <row r="10158" spans="1:11" ht="42" customHeight="1">
      <c r="A10158" t="s">
        <v>20028</v>
      </c>
      <c r="B10158" t="s">
        <v>20028</v>
      </c>
      <c r="C10158" t="s">
        <v>109</v>
      </c>
      <c r="D10158" t="s">
        <v>74</v>
      </c>
      <c r="E10158" s="6">
        <v>-27950</v>
      </c>
      <c r="F10158" t="s">
        <v>4513</v>
      </c>
      <c r="G10158" t="s">
        <v>39</v>
      </c>
      <c r="H10158" t="s">
        <v>21</v>
      </c>
      <c r="I10158" t="s">
        <v>20054</v>
      </c>
      <c r="J10158" t="str">
        <f>HYPERLINK("https://www.boe.es/gazeta/dias/1823/06/22/pdfs/GES-1823-70.pdf#page=1","Abrir facsímil")</f>
        <v>Abrir facsímil</v>
      </c>
      <c r="K10158" t="s">
        <v>23</v>
      </c>
    </row>
    <row r="10159" spans="1:11" ht="42" customHeight="1">
      <c r="A10159" t="s">
        <v>20028</v>
      </c>
      <c r="B10159" t="s">
        <v>20028</v>
      </c>
      <c r="C10159" t="s">
        <v>17</v>
      </c>
      <c r="D10159" t="s">
        <v>18</v>
      </c>
      <c r="E10159" s="6">
        <v>-27943</v>
      </c>
      <c r="F10159" t="s">
        <v>346</v>
      </c>
      <c r="G10159" t="s">
        <v>27</v>
      </c>
      <c r="H10159" t="s">
        <v>21</v>
      </c>
      <c r="I10159" t="s">
        <v>20055</v>
      </c>
      <c r="J10159" t="str">
        <f>HYPERLINK("https://www.boe.es/gazeta/dias/1823/06/29/pdfs/GES-1823-79.pdf#page=2","Abrir facsímil")</f>
        <v>Abrir facsímil</v>
      </c>
      <c r="K10159" t="s">
        <v>23</v>
      </c>
    </row>
    <row r="10160" spans="1:11" ht="42" customHeight="1">
      <c r="A10160" t="s">
        <v>20028</v>
      </c>
      <c r="B10160" t="s">
        <v>20028</v>
      </c>
      <c r="C10160" t="s">
        <v>17</v>
      </c>
      <c r="D10160" t="s">
        <v>18</v>
      </c>
      <c r="E10160" s="6">
        <v>-27938</v>
      </c>
      <c r="F10160" t="s">
        <v>101</v>
      </c>
      <c r="G10160" t="s">
        <v>48</v>
      </c>
      <c r="H10160" t="s">
        <v>21</v>
      </c>
      <c r="I10160" t="s">
        <v>20056</v>
      </c>
      <c r="J10160" t="str">
        <f>HYPERLINK("https://www.boe.es/gazeta/dias/1823/07/04/pdfs/GES-1823-84.pdf#page=3","Abrir facsímil")</f>
        <v>Abrir facsímil</v>
      </c>
      <c r="K10160" t="s">
        <v>23</v>
      </c>
    </row>
    <row r="10161" spans="1:11" ht="42" customHeight="1">
      <c r="A10161" t="s">
        <v>20026</v>
      </c>
      <c r="B10161" t="s">
        <v>20026</v>
      </c>
      <c r="C10161" t="s">
        <v>56</v>
      </c>
      <c r="D10161" t="s">
        <v>57</v>
      </c>
      <c r="E10161" s="6">
        <v>-27934</v>
      </c>
      <c r="F10161" t="s">
        <v>2155</v>
      </c>
      <c r="G10161" t="s">
        <v>48</v>
      </c>
      <c r="H10161" t="s">
        <v>21</v>
      </c>
      <c r="I10161" t="s">
        <v>20057</v>
      </c>
      <c r="J10161" t="str">
        <f>HYPERLINK("https://www.boe.es/gazeta/dias/1823/07/08/pdfs/GES-1823-88.pdf#page=3","Abrir facsímil")</f>
        <v>Abrir facsímil</v>
      </c>
      <c r="K10161" t="s">
        <v>23</v>
      </c>
    </row>
    <row r="10162" spans="1:11" ht="42" customHeight="1">
      <c r="A10162" t="s">
        <v>20028</v>
      </c>
      <c r="B10162" t="s">
        <v>20028</v>
      </c>
      <c r="C10162" t="s">
        <v>17</v>
      </c>
      <c r="D10162" t="s">
        <v>18</v>
      </c>
      <c r="E10162" s="6">
        <v>-27929</v>
      </c>
      <c r="F10162" t="s">
        <v>598</v>
      </c>
      <c r="G10162" t="s">
        <v>27</v>
      </c>
      <c r="H10162" t="s">
        <v>21</v>
      </c>
      <c r="I10162" t="s">
        <v>20058</v>
      </c>
      <c r="J10162" t="str">
        <f>HYPERLINK("https://www.boe.es/gazeta/dias/1823/07/13/pdfs/GES-1823-93.pdf#page=2","Abrir facsímil")</f>
        <v>Abrir facsímil</v>
      </c>
      <c r="K10162" t="s">
        <v>23</v>
      </c>
    </row>
    <row r="10163" spans="1:11" ht="42" customHeight="1">
      <c r="A10163" t="s">
        <v>20028</v>
      </c>
      <c r="B10163" t="s">
        <v>20028</v>
      </c>
      <c r="C10163" t="s">
        <v>56</v>
      </c>
      <c r="D10163" t="s">
        <v>57</v>
      </c>
      <c r="E10163" s="6">
        <v>-27923</v>
      </c>
      <c r="F10163" t="s">
        <v>354</v>
      </c>
      <c r="G10163" t="s">
        <v>27</v>
      </c>
      <c r="H10163" t="s">
        <v>21</v>
      </c>
      <c r="I10163" t="s">
        <v>20059</v>
      </c>
      <c r="J10163" t="str">
        <f>HYPERLINK("https://www.boe.es/gazeta/dias/1823/07/19/pdfs/GES-1823-100.pdf#page=2","Abrir facsímil")</f>
        <v>Abrir facsímil</v>
      </c>
      <c r="K10163" t="s">
        <v>23</v>
      </c>
    </row>
    <row r="10164" spans="1:11" ht="42" customHeight="1">
      <c r="A10164" t="s">
        <v>20028</v>
      </c>
      <c r="B10164" t="s">
        <v>20028</v>
      </c>
      <c r="C10164" t="s">
        <v>109</v>
      </c>
      <c r="D10164" t="s">
        <v>74</v>
      </c>
      <c r="E10164" s="6">
        <v>-27921</v>
      </c>
      <c r="F10164" t="s">
        <v>356</v>
      </c>
      <c r="G10164" t="s">
        <v>48</v>
      </c>
      <c r="H10164" t="s">
        <v>21</v>
      </c>
      <c r="I10164" t="s">
        <v>20060</v>
      </c>
      <c r="J10164" t="str">
        <f>HYPERLINK("https://www.boe.es/gazeta/dias/1823/07/21/pdfs/GES-1823-102.pdf#page=3","Abrir facsímil")</f>
        <v>Abrir facsímil</v>
      </c>
      <c r="K10164" t="s">
        <v>23</v>
      </c>
    </row>
    <row r="10165" spans="1:11" ht="42" customHeight="1">
      <c r="A10165" t="s">
        <v>20028</v>
      </c>
      <c r="B10165" t="s">
        <v>20028</v>
      </c>
      <c r="C10165" t="s">
        <v>17</v>
      </c>
      <c r="D10165" t="s">
        <v>18</v>
      </c>
      <c r="E10165" s="6">
        <v>-27920</v>
      </c>
      <c r="F10165" t="s">
        <v>358</v>
      </c>
      <c r="G10165" t="s">
        <v>39</v>
      </c>
      <c r="H10165" t="s">
        <v>21</v>
      </c>
      <c r="I10165" t="s">
        <v>20061</v>
      </c>
      <c r="J10165" t="str">
        <f>HYPERLINK("https://www.boe.es/gazeta/dias/1823/07/22/pdfs/GES-1823-103.pdf#page=1","Abrir facsímil")</f>
        <v>Abrir facsímil</v>
      </c>
      <c r="K10165" t="s">
        <v>23</v>
      </c>
    </row>
    <row r="10166" spans="1:11" ht="42" customHeight="1">
      <c r="A10166" t="s">
        <v>20028</v>
      </c>
      <c r="B10166" t="s">
        <v>20028</v>
      </c>
      <c r="C10166" t="s">
        <v>17</v>
      </c>
      <c r="D10166" t="s">
        <v>18</v>
      </c>
      <c r="E10166" s="6">
        <v>-27917</v>
      </c>
      <c r="F10166" t="s">
        <v>363</v>
      </c>
      <c r="G10166" t="s">
        <v>27</v>
      </c>
      <c r="H10166" t="s">
        <v>21</v>
      </c>
      <c r="I10166" t="s">
        <v>20062</v>
      </c>
      <c r="J10166" t="str">
        <f>HYPERLINK("https://www.boe.es/gazeta/dias/1823/07/25/pdfs/GES-1823-106.pdf#page=2","Abrir facsímil")</f>
        <v>Abrir facsímil</v>
      </c>
      <c r="K10166" t="s">
        <v>23</v>
      </c>
    </row>
    <row r="10167" spans="1:11" ht="42" customHeight="1">
      <c r="A10167" t="s">
        <v>20028</v>
      </c>
      <c r="B10167" t="s">
        <v>20028</v>
      </c>
      <c r="C10167" t="s">
        <v>109</v>
      </c>
      <c r="D10167" t="s">
        <v>74</v>
      </c>
      <c r="E10167" s="6">
        <v>-27905</v>
      </c>
      <c r="F10167" t="s">
        <v>236</v>
      </c>
      <c r="G10167" t="s">
        <v>372</v>
      </c>
      <c r="H10167" t="s">
        <v>21</v>
      </c>
      <c r="I10167" t="s">
        <v>20063</v>
      </c>
      <c r="J10167" t="str">
        <f>HYPERLINK("https://www.boe.es/gazeta/dias/1823/08/06/pdfs/GES-1823-119.pdf#page=1","Abrir facsímil")</f>
        <v>Abrir facsímil</v>
      </c>
      <c r="K10167" t="s">
        <v>23</v>
      </c>
    </row>
    <row r="10168" spans="1:11" ht="42" customHeight="1">
      <c r="A10168" t="s">
        <v>20064</v>
      </c>
      <c r="B10168" t="s">
        <v>20065</v>
      </c>
      <c r="C10168" t="s">
        <v>17</v>
      </c>
      <c r="D10168" t="s">
        <v>18</v>
      </c>
      <c r="E10168" s="6">
        <v>-28014</v>
      </c>
      <c r="F10168" t="s">
        <v>2805</v>
      </c>
      <c r="G10168" t="s">
        <v>48</v>
      </c>
      <c r="H10168" t="s">
        <v>21</v>
      </c>
      <c r="I10168" t="s">
        <v>20066</v>
      </c>
      <c r="J10168" t="str">
        <f>HYPERLINK("https://www.boe.es/gazeta/dias/1823/04/19/pdfs/GES-1823-9.pdf#page=3","Abrir facsímil")</f>
        <v>Abrir facsímil</v>
      </c>
      <c r="K10168" t="s">
        <v>23</v>
      </c>
    </row>
    <row r="10169" spans="1:11" ht="42" customHeight="1">
      <c r="A10169" t="s">
        <v>20067</v>
      </c>
      <c r="B10169" t="s">
        <v>20067</v>
      </c>
      <c r="C10169" t="s">
        <v>109</v>
      </c>
      <c r="D10169" t="s">
        <v>74</v>
      </c>
      <c r="E10169" s="6">
        <v>-28083</v>
      </c>
      <c r="F10169" t="s">
        <v>291</v>
      </c>
      <c r="G10169" t="s">
        <v>20</v>
      </c>
      <c r="H10169" t="s">
        <v>21</v>
      </c>
      <c r="I10169" t="s">
        <v>20068</v>
      </c>
      <c r="J10169" t="str">
        <f>HYPERLINK("https://www.boe.es/gazeta/dias/1823/02/09/pdfs/GMD-1823-43.pdf#page=4","Abrir facsímil")</f>
        <v>Abrir facsímil</v>
      </c>
      <c r="K10169" t="s">
        <v>23</v>
      </c>
    </row>
    <row r="10170" spans="1:11" ht="42" customHeight="1">
      <c r="A10170" t="s">
        <v>20067</v>
      </c>
      <c r="B10170" t="s">
        <v>20067</v>
      </c>
      <c r="C10170" t="s">
        <v>109</v>
      </c>
      <c r="D10170" t="s">
        <v>74</v>
      </c>
      <c r="E10170" s="6">
        <v>-28054</v>
      </c>
      <c r="F10170" t="s">
        <v>1292</v>
      </c>
      <c r="G10170" t="s">
        <v>48</v>
      </c>
      <c r="H10170" t="s">
        <v>21</v>
      </c>
      <c r="I10170" t="s">
        <v>20069</v>
      </c>
      <c r="J10170" t="str">
        <f>HYPERLINK("https://www.boe.es/gazeta/dias/1823/03/10/pdfs/GMD-1823-73.pdf#page=3","Abrir facsímil")</f>
        <v>Abrir facsímil</v>
      </c>
      <c r="K10170" t="s">
        <v>23</v>
      </c>
    </row>
    <row r="10171" spans="1:11" ht="42" customHeight="1">
      <c r="A10171" t="s">
        <v>20067</v>
      </c>
      <c r="B10171" t="s">
        <v>20067</v>
      </c>
      <c r="C10171" t="s">
        <v>17</v>
      </c>
      <c r="D10171" t="s">
        <v>18</v>
      </c>
      <c r="E10171" s="6">
        <v>-27989</v>
      </c>
      <c r="F10171" t="s">
        <v>1134</v>
      </c>
      <c r="G10171" t="s">
        <v>27</v>
      </c>
      <c r="H10171" t="s">
        <v>21</v>
      </c>
      <c r="I10171" t="s">
        <v>20070</v>
      </c>
      <c r="J10171" t="str">
        <f>HYPERLINK("https://www.boe.es/gazeta/dias/1823/05/14/pdfs/GES-1823-34.pdf#page=2","Abrir facsímil")</f>
        <v>Abrir facsímil</v>
      </c>
      <c r="K10171" t="s">
        <v>23</v>
      </c>
    </row>
    <row r="10172" spans="1:11" ht="42" customHeight="1">
      <c r="A10172" t="s">
        <v>20071</v>
      </c>
      <c r="B10172" t="s">
        <v>20071</v>
      </c>
      <c r="C10172" t="s">
        <v>293</v>
      </c>
      <c r="D10172" t="s">
        <v>74</v>
      </c>
      <c r="E10172" s="6">
        <v>-28048</v>
      </c>
      <c r="F10172" t="s">
        <v>399</v>
      </c>
      <c r="G10172" t="s">
        <v>34</v>
      </c>
      <c r="H10172" t="s">
        <v>21</v>
      </c>
      <c r="I10172" t="s">
        <v>20072</v>
      </c>
      <c r="J10172" t="str">
        <f>HYPERLINK("https://www.boe.es/gazeta/dias/1823/03/16/pdfs/GMD-1823-79.pdf#page=5","Abrir facsímil")</f>
        <v>Abrir facsímil</v>
      </c>
      <c r="K10172" t="s">
        <v>23</v>
      </c>
    </row>
    <row r="10173" spans="1:11" ht="42" customHeight="1">
      <c r="A10173" t="s">
        <v>20073</v>
      </c>
      <c r="B10173" t="s">
        <v>20074</v>
      </c>
      <c r="C10173" t="s">
        <v>79</v>
      </c>
      <c r="D10173" t="s">
        <v>74</v>
      </c>
      <c r="E10173" s="6">
        <v>-27899</v>
      </c>
      <c r="F10173" t="s">
        <v>215</v>
      </c>
      <c r="G10173" t="s">
        <v>27</v>
      </c>
      <c r="H10173" t="s">
        <v>28</v>
      </c>
      <c r="I10173" t="s">
        <v>20075</v>
      </c>
      <c r="J10173" t="str">
        <f>HYPERLINK("https://www.boe.es/gazeta/dias/1823/08/12/pdfs/GMD-1823-583.pdf#page=2","Abrir facsímil")</f>
        <v>Abrir facsímil</v>
      </c>
      <c r="K10173" t="s">
        <v>30</v>
      </c>
    </row>
    <row r="10174" spans="1:11" ht="42" customHeight="1">
      <c r="A10174" t="s">
        <v>20076</v>
      </c>
      <c r="B10174" t="s">
        <v>20076</v>
      </c>
      <c r="C10174" t="s">
        <v>17</v>
      </c>
      <c r="D10174" t="s">
        <v>18</v>
      </c>
      <c r="E10174" s="6">
        <v>-28052</v>
      </c>
      <c r="F10174" t="s">
        <v>1025</v>
      </c>
      <c r="G10174" t="s">
        <v>27</v>
      </c>
      <c r="H10174" t="s">
        <v>21</v>
      </c>
      <c r="I10174" t="s">
        <v>20077</v>
      </c>
      <c r="J10174" t="str">
        <f>HYPERLINK("https://www.boe.es/gazeta/dias/1823/03/12/pdfs/GMD-1823-75.pdf#page=2","Abrir facsímil")</f>
        <v>Abrir facsímil</v>
      </c>
      <c r="K10174" t="s">
        <v>23</v>
      </c>
    </row>
    <row r="10175" spans="1:11" ht="42" customHeight="1">
      <c r="A10175" t="s">
        <v>20078</v>
      </c>
      <c r="B10175" t="s">
        <v>20078</v>
      </c>
      <c r="C10175" t="s">
        <v>17</v>
      </c>
      <c r="D10175" t="s">
        <v>18</v>
      </c>
      <c r="E10175" s="6">
        <v>-27990</v>
      </c>
      <c r="F10175" t="s">
        <v>330</v>
      </c>
      <c r="G10175" t="s">
        <v>39</v>
      </c>
      <c r="H10175" t="s">
        <v>21</v>
      </c>
      <c r="I10175" t="s">
        <v>20079</v>
      </c>
      <c r="J10175" t="str">
        <f>HYPERLINK("https://www.boe.es/gazeta/dias/1823/05/13/pdfs/GMD-1823-132.pdf#page=1","Abrir facsímil")</f>
        <v>Abrir facsímil</v>
      </c>
      <c r="K10175" t="s">
        <v>23</v>
      </c>
    </row>
    <row r="10176" spans="1:11" ht="42" customHeight="1">
      <c r="A10176" t="s">
        <v>20080</v>
      </c>
      <c r="B10176" t="s">
        <v>20080</v>
      </c>
      <c r="C10176" t="s">
        <v>17</v>
      </c>
      <c r="D10176" t="s">
        <v>18</v>
      </c>
      <c r="E10176" s="6">
        <v>-28022</v>
      </c>
      <c r="F10176" t="s">
        <v>1661</v>
      </c>
      <c r="G10176" t="s">
        <v>39</v>
      </c>
      <c r="H10176" t="s">
        <v>21</v>
      </c>
      <c r="I10176" t="s">
        <v>20081</v>
      </c>
      <c r="J10176" t="str">
        <f>HYPERLINK("https://www.boe.es/gazeta/dias/1823/04/11/pdfs/GES-1823-1.pdf#page=1","Abrir facsímil")</f>
        <v>Abrir facsímil</v>
      </c>
      <c r="K10176" t="s">
        <v>23</v>
      </c>
    </row>
    <row r="10177" spans="1:11" ht="42" customHeight="1">
      <c r="A10177" t="s">
        <v>20082</v>
      </c>
      <c r="B10177" t="s">
        <v>20083</v>
      </c>
      <c r="C10177" t="s">
        <v>17</v>
      </c>
      <c r="D10177" t="s">
        <v>18</v>
      </c>
      <c r="E10177" s="6">
        <v>-28104</v>
      </c>
      <c r="F10177" t="s">
        <v>114</v>
      </c>
      <c r="G10177" t="s">
        <v>59</v>
      </c>
      <c r="H10177" t="s">
        <v>28</v>
      </c>
      <c r="I10177" t="s">
        <v>20084</v>
      </c>
      <c r="J10177" t="str">
        <f>HYPERLINK("https://www.boe.es/gazeta/dias/1823/01/19/pdfs/GMD-1823-19.pdf#page=6","Abrir facsímil")</f>
        <v>Abrir facsímil</v>
      </c>
      <c r="K10177" t="s">
        <v>30</v>
      </c>
    </row>
    <row r="10178" spans="1:11" ht="42" customHeight="1">
      <c r="A10178" t="s">
        <v>20085</v>
      </c>
      <c r="B10178" t="s">
        <v>20086</v>
      </c>
      <c r="C10178" t="s">
        <v>17</v>
      </c>
      <c r="D10178" t="s">
        <v>18</v>
      </c>
      <c r="E10178" s="6">
        <v>-27968</v>
      </c>
      <c r="F10178" t="s">
        <v>1160</v>
      </c>
      <c r="G10178" t="s">
        <v>1676</v>
      </c>
      <c r="H10178" t="s">
        <v>28</v>
      </c>
      <c r="I10178" t="s">
        <v>20087</v>
      </c>
      <c r="J10178" t="str">
        <f>HYPERLINK("https://www.boe.es/gazeta/dias/1823/06/04/pdfs/GES-1823-58.pdf#page=6","Abrir facsímil")</f>
        <v>Abrir facsímil</v>
      </c>
      <c r="K10178" t="s">
        <v>30</v>
      </c>
    </row>
    <row r="10179" spans="1:11" ht="42" customHeight="1">
      <c r="A10179" t="s">
        <v>20088</v>
      </c>
      <c r="B10179" t="s">
        <v>20089</v>
      </c>
      <c r="C10179" t="s">
        <v>17</v>
      </c>
      <c r="D10179" t="s">
        <v>18</v>
      </c>
      <c r="E10179" s="6">
        <v>-28043</v>
      </c>
      <c r="F10179" t="s">
        <v>69</v>
      </c>
      <c r="G10179" t="s">
        <v>59</v>
      </c>
      <c r="H10179" t="s">
        <v>28</v>
      </c>
      <c r="I10179" t="s">
        <v>20090</v>
      </c>
      <c r="J10179" t="str">
        <f>HYPERLINK("https://www.boe.es/gazeta/dias/1823/03/21/pdfs/GMD-1823-84.pdf#page=6","Abrir facsímil")</f>
        <v>Abrir facsímil</v>
      </c>
      <c r="K10179" t="s">
        <v>30</v>
      </c>
    </row>
    <row r="10180" spans="1:11" ht="42" customHeight="1">
      <c r="A10180" t="s">
        <v>20091</v>
      </c>
      <c r="B10180" t="s">
        <v>20092</v>
      </c>
      <c r="C10180" t="s">
        <v>79</v>
      </c>
      <c r="D10180" t="s">
        <v>74</v>
      </c>
      <c r="E10180" s="6">
        <v>-28049</v>
      </c>
      <c r="F10180" t="s">
        <v>198</v>
      </c>
      <c r="G10180" t="s">
        <v>48</v>
      </c>
      <c r="H10180" t="s">
        <v>21</v>
      </c>
      <c r="I10180" t="s">
        <v>20093</v>
      </c>
      <c r="J10180" t="str">
        <f>HYPERLINK("https://www.boe.es/gazeta/dias/1823/03/15/pdfs/GMD-1823-78.pdf#page=3","Abrir facsímil")</f>
        <v>Abrir facsímil</v>
      </c>
      <c r="K10180" t="s">
        <v>23</v>
      </c>
    </row>
    <row r="10181" spans="1:11" ht="42" customHeight="1">
      <c r="A10181" t="s">
        <v>20094</v>
      </c>
      <c r="B10181" t="s">
        <v>20095</v>
      </c>
      <c r="C10181" t="s">
        <v>56</v>
      </c>
      <c r="D10181" t="s">
        <v>57</v>
      </c>
      <c r="E10181" s="6">
        <v>-27969</v>
      </c>
      <c r="F10181" t="s">
        <v>204</v>
      </c>
      <c r="G10181" t="s">
        <v>39</v>
      </c>
      <c r="H10181" t="s">
        <v>21</v>
      </c>
      <c r="I10181" t="s">
        <v>20096</v>
      </c>
      <c r="J10181" t="str">
        <f>HYPERLINK("https://www.boe.es/gazeta/dias/1823/06/03/pdfs/GMD-1823-53.pdf#page=1","Abrir facsímil")</f>
        <v>Abrir facsímil</v>
      </c>
      <c r="K10181" t="s">
        <v>23</v>
      </c>
    </row>
    <row r="10182" spans="1:11" ht="42" customHeight="1">
      <c r="A10182" t="s">
        <v>20097</v>
      </c>
      <c r="B10182" t="s">
        <v>20098</v>
      </c>
      <c r="C10182" t="s">
        <v>56</v>
      </c>
      <c r="D10182" t="s">
        <v>57</v>
      </c>
      <c r="E10182" s="6">
        <v>-28089</v>
      </c>
      <c r="F10182" t="s">
        <v>1979</v>
      </c>
      <c r="G10182" t="s">
        <v>59</v>
      </c>
      <c r="H10182" t="s">
        <v>21</v>
      </c>
      <c r="I10182" t="s">
        <v>20099</v>
      </c>
      <c r="J10182" t="str">
        <f>HYPERLINK("https://www.boe.es/gazeta/dias/1823/02/03/pdfs/GMD-1823-36.pdf#page=6","Abrir facsímil")</f>
        <v>Abrir facsímil</v>
      </c>
      <c r="K10182" t="s">
        <v>23</v>
      </c>
    </row>
    <row r="10183" spans="1:11" ht="42" customHeight="1">
      <c r="A10183" t="s">
        <v>20100</v>
      </c>
      <c r="B10183" t="s">
        <v>20101</v>
      </c>
      <c r="C10183" t="s">
        <v>17</v>
      </c>
      <c r="D10183" t="s">
        <v>18</v>
      </c>
      <c r="E10183" s="6">
        <v>-28002</v>
      </c>
      <c r="F10183" t="s">
        <v>245</v>
      </c>
      <c r="G10183" t="s">
        <v>48</v>
      </c>
      <c r="H10183" t="s">
        <v>21</v>
      </c>
      <c r="I10183" t="s">
        <v>20102</v>
      </c>
      <c r="J10183" t="str">
        <f>HYPERLINK("https://www.boe.es/gazeta/dias/1823/05/01/pdfs/GMD-1823-82.pdf#page=3","Abrir facsímil")</f>
        <v>Abrir facsímil</v>
      </c>
      <c r="K10183" t="s">
        <v>23</v>
      </c>
    </row>
    <row r="10184" spans="1:11" ht="42" customHeight="1">
      <c r="A10184" t="s">
        <v>20103</v>
      </c>
      <c r="B10184" t="s">
        <v>20104</v>
      </c>
      <c r="C10184" t="s">
        <v>84</v>
      </c>
      <c r="D10184" t="s">
        <v>74</v>
      </c>
      <c r="E10184" s="6">
        <v>-27811</v>
      </c>
      <c r="F10184" t="s">
        <v>834</v>
      </c>
      <c r="G10184" t="s">
        <v>20</v>
      </c>
      <c r="H10184" t="s">
        <v>21</v>
      </c>
      <c r="I10184" t="s">
        <v>20105</v>
      </c>
      <c r="J10184" t="str">
        <f>HYPERLINK("https://www.boe.es/gazeta/dias/1823/11/08/pdfs/GMD-1823-1083.pdf#page=4","Abrir facsímil")</f>
        <v>Abrir facsímil</v>
      </c>
      <c r="K10184" t="s">
        <v>23</v>
      </c>
    </row>
    <row r="10185" spans="1:11" ht="42" customHeight="1">
      <c r="A10185" t="s">
        <v>20106</v>
      </c>
      <c r="B10185" t="s">
        <v>20107</v>
      </c>
      <c r="C10185" t="s">
        <v>109</v>
      </c>
      <c r="D10185" t="s">
        <v>74</v>
      </c>
      <c r="E10185" s="6">
        <v>-27804</v>
      </c>
      <c r="F10185" t="s">
        <v>836</v>
      </c>
      <c r="G10185" t="s">
        <v>39</v>
      </c>
      <c r="H10185" t="s">
        <v>21</v>
      </c>
      <c r="I10185" t="s">
        <v>20108</v>
      </c>
      <c r="J10185" t="str">
        <f>HYPERLINK("https://www.boe.es/gazeta/dias/1823/11/15/pdfs/GMD-1823-1123.pdf#page=1","Abrir facsímil")</f>
        <v>Abrir facsímil</v>
      </c>
      <c r="K10185" t="s">
        <v>23</v>
      </c>
    </row>
    <row r="10186" spans="1:11" ht="42" customHeight="1">
      <c r="A10186" t="s">
        <v>20106</v>
      </c>
      <c r="B10186" t="s">
        <v>20107</v>
      </c>
      <c r="C10186" t="s">
        <v>17</v>
      </c>
      <c r="D10186" t="s">
        <v>18</v>
      </c>
      <c r="E10186" s="6">
        <v>-27799</v>
      </c>
      <c r="F10186" t="s">
        <v>3388</v>
      </c>
      <c r="G10186" t="s">
        <v>48</v>
      </c>
      <c r="H10186" t="s">
        <v>21</v>
      </c>
      <c r="I10186" t="s">
        <v>20109</v>
      </c>
      <c r="J10186" t="str">
        <f>HYPERLINK("https://www.boe.es/gazeta/dias/1823/11/20/pdfs/GMD-1823-1143.pdf#page=3","Abrir facsímil")</f>
        <v>Abrir facsímil</v>
      </c>
      <c r="K10186" t="s">
        <v>23</v>
      </c>
    </row>
    <row r="10187" spans="1:11" ht="42" customHeight="1">
      <c r="A10187" t="s">
        <v>20110</v>
      </c>
      <c r="B10187" t="s">
        <v>20111</v>
      </c>
      <c r="C10187" t="s">
        <v>17</v>
      </c>
      <c r="D10187" t="s">
        <v>18</v>
      </c>
      <c r="E10187" s="6">
        <v>-28059</v>
      </c>
      <c r="F10187" t="s">
        <v>149</v>
      </c>
      <c r="G10187" t="s">
        <v>27</v>
      </c>
      <c r="H10187" t="s">
        <v>21</v>
      </c>
      <c r="I10187" t="s">
        <v>20112</v>
      </c>
      <c r="J10187" t="str">
        <f>HYPERLINK("https://www.boe.es/gazeta/dias/1823/03/05/pdfs/GMD-1823-68.pdf#page=2","Abrir facsímil")</f>
        <v>Abrir facsímil</v>
      </c>
      <c r="K10187" t="s">
        <v>23</v>
      </c>
    </row>
    <row r="10188" spans="1:11" ht="42" customHeight="1">
      <c r="A10188" t="s">
        <v>20113</v>
      </c>
      <c r="B10188" t="s">
        <v>20113</v>
      </c>
      <c r="C10188" t="s">
        <v>17</v>
      </c>
      <c r="D10188" t="s">
        <v>18</v>
      </c>
      <c r="E10188" s="6">
        <v>-27966</v>
      </c>
      <c r="F10188" t="s">
        <v>675</v>
      </c>
      <c r="G10188" t="s">
        <v>34</v>
      </c>
      <c r="H10188" t="s">
        <v>21</v>
      </c>
      <c r="I10188" t="s">
        <v>20114</v>
      </c>
      <c r="J10188" t="str">
        <f>HYPERLINK("https://www.boe.es/gazeta/dias/1823/06/06/pdfs/GES-1823-60.pdf#page=5","Abrir facsímil")</f>
        <v>Abrir facsímil</v>
      </c>
      <c r="K10188" t="s">
        <v>23</v>
      </c>
    </row>
    <row r="10189" spans="1:11" ht="42" customHeight="1">
      <c r="A10189" t="s">
        <v>20115</v>
      </c>
      <c r="B10189" t="s">
        <v>20116</v>
      </c>
      <c r="C10189" t="s">
        <v>56</v>
      </c>
      <c r="D10189" t="s">
        <v>57</v>
      </c>
      <c r="E10189" s="6">
        <v>-27944</v>
      </c>
      <c r="F10189" t="s">
        <v>658</v>
      </c>
      <c r="G10189" t="s">
        <v>48</v>
      </c>
      <c r="H10189" t="s">
        <v>21</v>
      </c>
      <c r="I10189" t="s">
        <v>20117</v>
      </c>
      <c r="J10189" t="str">
        <f>HYPERLINK("https://www.boe.es/gazeta/dias/1823/06/28/pdfs/GMD-1823-303.pdf#page=3","Abrir facsímil")</f>
        <v>Abrir facsímil</v>
      </c>
      <c r="K10189" t="s">
        <v>23</v>
      </c>
    </row>
    <row r="10190" spans="1:11" ht="42" customHeight="1">
      <c r="A10190" t="s">
        <v>20118</v>
      </c>
      <c r="B10190" t="s">
        <v>20119</v>
      </c>
      <c r="C10190" t="s">
        <v>56</v>
      </c>
      <c r="D10190" t="s">
        <v>57</v>
      </c>
      <c r="E10190" s="6">
        <v>-27944</v>
      </c>
      <c r="F10190" t="s">
        <v>658</v>
      </c>
      <c r="G10190" t="s">
        <v>48</v>
      </c>
      <c r="H10190" t="s">
        <v>21</v>
      </c>
      <c r="I10190" t="s">
        <v>20120</v>
      </c>
      <c r="J10190" t="str">
        <f>HYPERLINK("https://www.boe.es/gazeta/dias/1823/06/28/pdfs/GMD-1823-303.pdf#page=3","Abrir facsímil")</f>
        <v>Abrir facsímil</v>
      </c>
      <c r="K10190" t="s">
        <v>23</v>
      </c>
    </row>
    <row r="10191" spans="1:11" ht="42" customHeight="1">
      <c r="A10191" t="s">
        <v>20121</v>
      </c>
      <c r="B10191" t="s">
        <v>20122</v>
      </c>
      <c r="C10191" t="s">
        <v>109</v>
      </c>
      <c r="D10191" t="s">
        <v>74</v>
      </c>
      <c r="E10191" s="6">
        <v>-27988</v>
      </c>
      <c r="F10191" t="s">
        <v>692</v>
      </c>
      <c r="G10191" t="s">
        <v>27</v>
      </c>
      <c r="H10191" t="s">
        <v>21</v>
      </c>
      <c r="I10191" t="s">
        <v>20123</v>
      </c>
      <c r="J10191" t="str">
        <f>HYPERLINK("https://www.boe.es/gazeta/dias/1823/05/15/pdfs/GES-1823-35.pdf#page=2","Abrir facsímil")</f>
        <v>Abrir facsímil</v>
      </c>
      <c r="K10191" t="s">
        <v>23</v>
      </c>
    </row>
    <row r="10192" spans="1:11" ht="42" customHeight="1">
      <c r="A10192" t="s">
        <v>20124</v>
      </c>
      <c r="B10192" t="s">
        <v>20125</v>
      </c>
      <c r="C10192" t="s">
        <v>56</v>
      </c>
      <c r="D10192" t="s">
        <v>117</v>
      </c>
      <c r="E10192" s="6">
        <v>-27970</v>
      </c>
      <c r="F10192" t="s">
        <v>1699</v>
      </c>
      <c r="G10192" t="s">
        <v>39</v>
      </c>
      <c r="H10192" t="s">
        <v>21</v>
      </c>
      <c r="I10192" t="s">
        <v>20126</v>
      </c>
      <c r="J10192" t="str">
        <f>HYPERLINK("https://www.boe.es/gazeta/dias/1823/06/02/pdfs/GMD-1823-43E.pdf#page=1","Abrir facsímil")</f>
        <v>Abrir facsímil</v>
      </c>
      <c r="K10192" t="s">
        <v>23</v>
      </c>
    </row>
    <row r="10193" spans="1:11" ht="42" customHeight="1">
      <c r="A10193" t="s">
        <v>20127</v>
      </c>
      <c r="B10193" t="s">
        <v>20128</v>
      </c>
      <c r="C10193" t="s">
        <v>17</v>
      </c>
      <c r="D10193" t="s">
        <v>18</v>
      </c>
      <c r="E10193" s="6">
        <v>-27792</v>
      </c>
      <c r="F10193" t="s">
        <v>611</v>
      </c>
      <c r="G10193" t="s">
        <v>39</v>
      </c>
      <c r="H10193" t="s">
        <v>21</v>
      </c>
      <c r="I10193" t="s">
        <v>20129</v>
      </c>
      <c r="J10193" t="str">
        <f>HYPERLINK("https://www.boe.es/gazeta/dias/1823/11/27/pdfs/GMD-1823-1173.pdf#page=1","Abrir facsímil")</f>
        <v>Abrir facsímil</v>
      </c>
      <c r="K10193" t="s">
        <v>23</v>
      </c>
    </row>
    <row r="10194" spans="1:11" ht="42" customHeight="1">
      <c r="A10194" t="s">
        <v>20130</v>
      </c>
      <c r="B10194" t="s">
        <v>20130</v>
      </c>
      <c r="C10194" t="s">
        <v>17</v>
      </c>
      <c r="D10194" t="s">
        <v>18</v>
      </c>
      <c r="E10194" s="6">
        <v>-28018</v>
      </c>
      <c r="F10194" t="s">
        <v>275</v>
      </c>
      <c r="G10194" t="s">
        <v>39</v>
      </c>
      <c r="H10194" t="s">
        <v>21</v>
      </c>
      <c r="I10194" t="s">
        <v>20131</v>
      </c>
      <c r="J10194" t="str">
        <f>HYPERLINK("https://www.boe.es/gazeta/dias/1823/04/15/pdfs/GMD-1823-12.pdf#page=1","Abrir facsímil")</f>
        <v>Abrir facsímil</v>
      </c>
      <c r="K10194" t="s">
        <v>23</v>
      </c>
    </row>
    <row r="10195" spans="1:11" ht="42" customHeight="1">
      <c r="A10195" t="s">
        <v>20132</v>
      </c>
      <c r="B10195" t="s">
        <v>20133</v>
      </c>
      <c r="C10195" t="s">
        <v>56</v>
      </c>
      <c r="D10195" t="s">
        <v>57</v>
      </c>
      <c r="E10195" s="6">
        <v>-27836</v>
      </c>
      <c r="F10195" t="s">
        <v>4069</v>
      </c>
      <c r="G10195" t="s">
        <v>48</v>
      </c>
      <c r="H10195" t="s">
        <v>21</v>
      </c>
      <c r="I10195" t="s">
        <v>20134</v>
      </c>
      <c r="J10195" t="str">
        <f>HYPERLINK("https://www.boe.es/gazeta/dias/1823/10/14/pdfs/GMD-1823-973.pdf#page=3","Abrir facsímil")</f>
        <v>Abrir facsímil</v>
      </c>
      <c r="K10195" t="s">
        <v>23</v>
      </c>
    </row>
    <row r="10196" spans="1:11" ht="42" customHeight="1">
      <c r="A10196" t="s">
        <v>20135</v>
      </c>
      <c r="B10196" t="s">
        <v>20136</v>
      </c>
      <c r="C10196" t="s">
        <v>56</v>
      </c>
      <c r="D10196" t="s">
        <v>57</v>
      </c>
      <c r="E10196" s="6">
        <v>-27836</v>
      </c>
      <c r="F10196" t="s">
        <v>4069</v>
      </c>
      <c r="G10196" t="s">
        <v>48</v>
      </c>
      <c r="H10196" t="s">
        <v>21</v>
      </c>
      <c r="I10196" t="s">
        <v>20137</v>
      </c>
      <c r="J10196" t="str">
        <f>HYPERLINK("https://www.boe.es/gazeta/dias/1823/10/14/pdfs/GMD-1823-973.pdf#page=3","Abrir facsímil")</f>
        <v>Abrir facsímil</v>
      </c>
      <c r="K10196" t="s">
        <v>23</v>
      </c>
    </row>
    <row r="10197" spans="1:11" ht="42" customHeight="1">
      <c r="A10197" t="s">
        <v>20138</v>
      </c>
      <c r="B10197" t="s">
        <v>20139</v>
      </c>
      <c r="C10197" t="s">
        <v>109</v>
      </c>
      <c r="D10197" t="s">
        <v>74</v>
      </c>
      <c r="E10197" s="6">
        <v>-27843</v>
      </c>
      <c r="F10197" t="s">
        <v>790</v>
      </c>
      <c r="G10197" t="s">
        <v>48</v>
      </c>
      <c r="H10197" t="s">
        <v>21</v>
      </c>
      <c r="I10197" t="s">
        <v>20140</v>
      </c>
      <c r="J10197" t="str">
        <f>HYPERLINK("https://www.boe.es/gazeta/dias/1823/10/07/pdfs/GMD-1823-933.pdf#page=3","Abrir facsímil")</f>
        <v>Abrir facsímil</v>
      </c>
      <c r="K10197" t="s">
        <v>23</v>
      </c>
    </row>
    <row r="10198" spans="1:11" ht="42" customHeight="1">
      <c r="A10198" t="s">
        <v>20141</v>
      </c>
      <c r="B10198" t="s">
        <v>20141</v>
      </c>
      <c r="C10198" t="s">
        <v>17</v>
      </c>
      <c r="D10198" t="s">
        <v>18</v>
      </c>
      <c r="E10198" s="6">
        <v>-28055</v>
      </c>
      <c r="F10198" t="s">
        <v>313</v>
      </c>
      <c r="G10198" t="s">
        <v>20</v>
      </c>
      <c r="H10198" t="s">
        <v>21</v>
      </c>
      <c r="I10198" t="s">
        <v>20142</v>
      </c>
      <c r="J10198" t="str">
        <f>HYPERLINK("https://www.boe.es/gazeta/dias/1823/03/09/pdfs/GMD-1823-72.pdf#page=4","Abrir facsímil")</f>
        <v>Abrir facsímil</v>
      </c>
      <c r="K10198" t="s">
        <v>23</v>
      </c>
    </row>
    <row r="10199" spans="1:11" ht="42" customHeight="1">
      <c r="A10199" t="s">
        <v>20143</v>
      </c>
      <c r="B10199" t="s">
        <v>20143</v>
      </c>
      <c r="C10199" t="s">
        <v>1477</v>
      </c>
      <c r="D10199" t="s">
        <v>57</v>
      </c>
      <c r="E10199" s="6">
        <v>-27883</v>
      </c>
      <c r="F10199" t="s">
        <v>2318</v>
      </c>
      <c r="G10199" t="s">
        <v>39</v>
      </c>
      <c r="H10199" t="s">
        <v>21</v>
      </c>
      <c r="I10199" t="s">
        <v>20144</v>
      </c>
      <c r="J10199" t="str">
        <f>HYPERLINK("https://www.boe.es/gazeta/dias/1823/08/28/pdfs/GMD-1823-663.pdf#page=1","Abrir facsímil")</f>
        <v>Abrir facsímil</v>
      </c>
      <c r="K10199" t="s">
        <v>23</v>
      </c>
    </row>
    <row r="10200" spans="1:11" ht="42" customHeight="1">
      <c r="A10200" t="s">
        <v>20145</v>
      </c>
      <c r="B10200" t="s">
        <v>20146</v>
      </c>
      <c r="C10200" t="s">
        <v>56</v>
      </c>
      <c r="D10200" t="s">
        <v>57</v>
      </c>
      <c r="E10200" s="6">
        <v>-27773</v>
      </c>
      <c r="F10200" t="s">
        <v>513</v>
      </c>
      <c r="G10200" t="s">
        <v>39</v>
      </c>
      <c r="H10200" t="s">
        <v>21</v>
      </c>
      <c r="I10200" t="s">
        <v>20147</v>
      </c>
      <c r="J10200" t="str">
        <f>HYPERLINK("https://www.boe.es/gazeta/dias/1823/12/16/pdfs/GMD-1823-1253.pdf#page=1","Abrir facsímil")</f>
        <v>Abrir facsímil</v>
      </c>
      <c r="K10200" t="s">
        <v>23</v>
      </c>
    </row>
    <row r="10201" spans="1:11" ht="42" customHeight="1">
      <c r="A10201" t="s">
        <v>20148</v>
      </c>
      <c r="B10201" t="s">
        <v>20149</v>
      </c>
      <c r="C10201" t="s">
        <v>17</v>
      </c>
      <c r="D10201" t="s">
        <v>18</v>
      </c>
      <c r="E10201" s="6">
        <v>-28017</v>
      </c>
      <c r="F10201" t="s">
        <v>2912</v>
      </c>
      <c r="G10201" t="s">
        <v>20</v>
      </c>
      <c r="H10201" t="s">
        <v>21</v>
      </c>
      <c r="I10201" t="s">
        <v>20150</v>
      </c>
      <c r="J10201" t="str">
        <f>HYPERLINK("https://www.boe.es/gazeta/dias/1823/04/16/pdfs/GES-1823-6.pdf#page=4","Abrir facsímil")</f>
        <v>Abrir facsímil</v>
      </c>
      <c r="K10201" t="s">
        <v>23</v>
      </c>
    </row>
    <row r="10202" spans="1:11" ht="42" customHeight="1">
      <c r="A10202" t="s">
        <v>20151</v>
      </c>
      <c r="B10202" t="s">
        <v>20152</v>
      </c>
      <c r="C10202" t="s">
        <v>79</v>
      </c>
      <c r="D10202" t="s">
        <v>74</v>
      </c>
      <c r="E10202" s="6">
        <v>-28112</v>
      </c>
      <c r="F10202" t="s">
        <v>43</v>
      </c>
      <c r="G10202" t="s">
        <v>48</v>
      </c>
      <c r="H10202" t="s">
        <v>21</v>
      </c>
      <c r="I10202" t="s">
        <v>20153</v>
      </c>
      <c r="J10202" t="str">
        <f>HYPERLINK("https://www.boe.es/gazeta/dias/1823/01/11/pdfs/GMD-1823-11.pdf#page=3","Abrir facsímil")</f>
        <v>Abrir facsímil</v>
      </c>
      <c r="K10202" t="s">
        <v>23</v>
      </c>
    </row>
    <row r="10203" spans="1:11" ht="42" customHeight="1">
      <c r="A10203" t="s">
        <v>20151</v>
      </c>
      <c r="B10203" t="s">
        <v>20152</v>
      </c>
      <c r="C10203" t="s">
        <v>293</v>
      </c>
      <c r="D10203" t="s">
        <v>74</v>
      </c>
      <c r="E10203" s="6">
        <v>-28112</v>
      </c>
      <c r="F10203" t="s">
        <v>43</v>
      </c>
      <c r="G10203" t="s">
        <v>20</v>
      </c>
      <c r="H10203" t="s">
        <v>21</v>
      </c>
      <c r="I10203" t="s">
        <v>20154</v>
      </c>
      <c r="J10203" t="str">
        <f>HYPERLINK("https://www.boe.es/gazeta/dias/1823/01/11/pdfs/GMD-1823-11.pdf#page=4","Abrir facsímil")</f>
        <v>Abrir facsímil</v>
      </c>
      <c r="K10203" t="s">
        <v>23</v>
      </c>
    </row>
    <row r="10204" spans="1:11" ht="42" customHeight="1">
      <c r="A10204" t="s">
        <v>20155</v>
      </c>
      <c r="B10204" t="s">
        <v>20156</v>
      </c>
      <c r="C10204" t="s">
        <v>109</v>
      </c>
      <c r="D10204" t="s">
        <v>74</v>
      </c>
      <c r="E10204" s="6">
        <v>-27982</v>
      </c>
      <c r="F10204" t="s">
        <v>340</v>
      </c>
      <c r="G10204" t="s">
        <v>39</v>
      </c>
      <c r="H10204" t="s">
        <v>21</v>
      </c>
      <c r="I10204" t="s">
        <v>20157</v>
      </c>
      <c r="J10204" t="str">
        <f>HYPERLINK("https://www.boe.es/gazeta/dias/1823/05/21/pdfs/GES-1823-42.pdf#page=1","Abrir facsímil")</f>
        <v>Abrir facsímil</v>
      </c>
      <c r="K10204" t="s">
        <v>23</v>
      </c>
    </row>
    <row r="10205" spans="1:11" ht="42" customHeight="1">
      <c r="A10205" t="s">
        <v>20158</v>
      </c>
      <c r="B10205" t="s">
        <v>20159</v>
      </c>
      <c r="C10205" t="s">
        <v>325</v>
      </c>
      <c r="D10205" t="s">
        <v>74</v>
      </c>
      <c r="E10205" s="6">
        <v>-28011</v>
      </c>
      <c r="F10205" t="s">
        <v>3326</v>
      </c>
      <c r="G10205" t="s">
        <v>20</v>
      </c>
      <c r="H10205" t="s">
        <v>21</v>
      </c>
      <c r="I10205" t="s">
        <v>20160</v>
      </c>
      <c r="J10205" t="str">
        <f>HYPERLINK("https://www.boe.es/gazeta/dias/1823/04/22/pdfs/GES-1823-12.pdf#page=4","Abrir facsímil")</f>
        <v>Abrir facsímil</v>
      </c>
      <c r="K10205" t="s">
        <v>23</v>
      </c>
    </row>
    <row r="10206" spans="1:11" ht="42" customHeight="1">
      <c r="A10206" t="s">
        <v>20161</v>
      </c>
      <c r="B10206" t="s">
        <v>20162</v>
      </c>
      <c r="C10206" t="s">
        <v>73</v>
      </c>
      <c r="D10206" t="s">
        <v>74</v>
      </c>
      <c r="E10206" s="6">
        <v>-27920</v>
      </c>
      <c r="F10206" t="s">
        <v>358</v>
      </c>
      <c r="G10206" t="s">
        <v>39</v>
      </c>
      <c r="H10206" t="s">
        <v>21</v>
      </c>
      <c r="I10206" t="s">
        <v>20163</v>
      </c>
      <c r="J10206" t="str">
        <f>HYPERLINK("https://www.boe.es/gazeta/dias/1823/07/22/pdfs/GES-1823-103.pdf#page=1","Abrir facsímil")</f>
        <v>Abrir facsímil</v>
      </c>
      <c r="K10206" t="s">
        <v>23</v>
      </c>
    </row>
    <row r="10207" spans="1:11" ht="42" customHeight="1">
      <c r="A10207" t="s">
        <v>20164</v>
      </c>
      <c r="B10207" t="s">
        <v>20165</v>
      </c>
      <c r="C10207" t="s">
        <v>17</v>
      </c>
      <c r="D10207" t="s">
        <v>18</v>
      </c>
      <c r="E10207" s="6">
        <v>-27986</v>
      </c>
      <c r="F10207" t="s">
        <v>75</v>
      </c>
      <c r="G10207" t="s">
        <v>27</v>
      </c>
      <c r="H10207" t="s">
        <v>21</v>
      </c>
      <c r="I10207" t="s">
        <v>20166</v>
      </c>
      <c r="J10207" t="str">
        <f>HYPERLINK("https://www.boe.es/gazeta/dias/1823/05/17/pdfs/GES-1823-37.pdf#page=2","Abrir facsímil")</f>
        <v>Abrir facsímil</v>
      </c>
      <c r="K10207" t="s">
        <v>23</v>
      </c>
    </row>
    <row r="10208" spans="1:11" ht="42" customHeight="1">
      <c r="A10208" t="s">
        <v>20167</v>
      </c>
      <c r="B10208" t="s">
        <v>20168</v>
      </c>
      <c r="C10208" t="s">
        <v>17</v>
      </c>
      <c r="D10208" t="s">
        <v>18</v>
      </c>
      <c r="E10208" s="6">
        <v>-28005</v>
      </c>
      <c r="F10208" t="s">
        <v>1648</v>
      </c>
      <c r="G10208" t="s">
        <v>20</v>
      </c>
      <c r="H10208" t="s">
        <v>21</v>
      </c>
      <c r="I10208" t="s">
        <v>20169</v>
      </c>
      <c r="J10208" t="str">
        <f>HYPERLINK("https://www.boe.es/gazeta/dias/1823/04/28/pdfs/GES-1823-18.pdf#page=4","Abrir facsímil")</f>
        <v>Abrir facsímil</v>
      </c>
      <c r="K10208" t="s">
        <v>23</v>
      </c>
    </row>
    <row r="10209" spans="1:11" ht="42" customHeight="1">
      <c r="A10209" t="s">
        <v>20170</v>
      </c>
      <c r="B10209" t="s">
        <v>20171</v>
      </c>
      <c r="C10209" t="s">
        <v>17</v>
      </c>
      <c r="D10209" t="s">
        <v>18</v>
      </c>
      <c r="E10209" s="6">
        <v>-28037</v>
      </c>
      <c r="F10209" t="s">
        <v>192</v>
      </c>
      <c r="G10209" t="s">
        <v>48</v>
      </c>
      <c r="H10209" t="s">
        <v>28</v>
      </c>
      <c r="I10209" t="s">
        <v>20172</v>
      </c>
      <c r="J10209" t="str">
        <f>HYPERLINK("https://www.boe.es/gazeta/dias/1823/03/27/pdfs/GMD-1823-90.pdf#page=3","Abrir facsímil")</f>
        <v>Abrir facsímil</v>
      </c>
      <c r="K10209" t="s">
        <v>30</v>
      </c>
    </row>
    <row r="10210" spans="1:11" ht="42" customHeight="1">
      <c r="A10210" t="s">
        <v>20173</v>
      </c>
      <c r="B10210" t="s">
        <v>20174</v>
      </c>
      <c r="C10210" t="s">
        <v>79</v>
      </c>
      <c r="D10210" t="s">
        <v>74</v>
      </c>
      <c r="E10210" s="6">
        <v>-27979</v>
      </c>
      <c r="F10210" t="s">
        <v>1071</v>
      </c>
      <c r="G10210" t="s">
        <v>39</v>
      </c>
      <c r="H10210" t="s">
        <v>21</v>
      </c>
      <c r="I10210" t="s">
        <v>20175</v>
      </c>
      <c r="J10210" t="str">
        <f>HYPERLINK("https://www.boe.es/gazeta/dias/1823/05/24/pdfs/GES-1823-45.pdf#page=1","Abrir facsímil")</f>
        <v>Abrir facsímil</v>
      </c>
      <c r="K10210" t="s">
        <v>23</v>
      </c>
    </row>
    <row r="10211" spans="1:11" ht="42" customHeight="1">
      <c r="A10211" t="s">
        <v>20176</v>
      </c>
      <c r="B10211" t="s">
        <v>20177</v>
      </c>
      <c r="C10211" t="s">
        <v>56</v>
      </c>
      <c r="D10211" t="s">
        <v>57</v>
      </c>
      <c r="E10211" s="6">
        <v>-28052</v>
      </c>
      <c r="F10211" t="s">
        <v>1025</v>
      </c>
      <c r="G10211" t="s">
        <v>48</v>
      </c>
      <c r="H10211" t="s">
        <v>21</v>
      </c>
      <c r="I10211" t="s">
        <v>20178</v>
      </c>
      <c r="J10211" t="str">
        <f>HYPERLINK("https://www.boe.es/gazeta/dias/1823/03/12/pdfs/GMD-1823-75.pdf#page=3","Abrir facsímil")</f>
        <v>Abrir facsímil</v>
      </c>
      <c r="K10211" t="s">
        <v>23</v>
      </c>
    </row>
    <row r="10212" spans="1:11" ht="42" customHeight="1">
      <c r="A10212" t="s">
        <v>20179</v>
      </c>
      <c r="B10212" t="s">
        <v>20180</v>
      </c>
      <c r="C10212" t="s">
        <v>84</v>
      </c>
      <c r="D10212" t="s">
        <v>74</v>
      </c>
      <c r="E10212" s="6">
        <v>-28114</v>
      </c>
      <c r="F10212" t="s">
        <v>153</v>
      </c>
      <c r="G10212" t="s">
        <v>59</v>
      </c>
      <c r="H10212" t="s">
        <v>21</v>
      </c>
      <c r="I10212" t="s">
        <v>20181</v>
      </c>
      <c r="J10212" t="str">
        <f>HYPERLINK("https://www.boe.es/gazeta/dias/1823/01/09/pdfs/GMD-1823-9.pdf#page=6","Abrir facsímil")</f>
        <v>Abrir facsímil</v>
      </c>
      <c r="K10212" t="s">
        <v>23</v>
      </c>
    </row>
    <row r="10213" spans="1:11" ht="42" customHeight="1">
      <c r="A10213" t="s">
        <v>20182</v>
      </c>
      <c r="B10213" t="s">
        <v>20182</v>
      </c>
      <c r="C10213" t="s">
        <v>17</v>
      </c>
      <c r="D10213" t="s">
        <v>18</v>
      </c>
      <c r="E10213" s="6">
        <v>-28030</v>
      </c>
      <c r="F10213" t="s">
        <v>145</v>
      </c>
      <c r="G10213" t="s">
        <v>27</v>
      </c>
      <c r="H10213" t="s">
        <v>21</v>
      </c>
      <c r="I10213" t="s">
        <v>20183</v>
      </c>
      <c r="J10213" t="str">
        <f>HYPERLINK("https://www.boe.es/gazeta/dias/1823/04/03/pdfs/GMD-1823-97.pdf#page=2","Abrir facsímil")</f>
        <v>Abrir facsímil</v>
      </c>
      <c r="K10213" t="s">
        <v>23</v>
      </c>
    </row>
    <row r="10214" spans="1:11" ht="42" customHeight="1">
      <c r="A10214" t="s">
        <v>20184</v>
      </c>
      <c r="B10214" t="s">
        <v>20184</v>
      </c>
      <c r="C10214" t="s">
        <v>17</v>
      </c>
      <c r="D10214" t="s">
        <v>18</v>
      </c>
      <c r="E10214" s="6">
        <v>-27864</v>
      </c>
      <c r="F10214" t="s">
        <v>395</v>
      </c>
      <c r="G10214" t="s">
        <v>48</v>
      </c>
      <c r="H10214" t="s">
        <v>21</v>
      </c>
      <c r="I10214" t="s">
        <v>20185</v>
      </c>
      <c r="J10214" t="str">
        <f>HYPERLINK("https://www.boe.es/gazeta/dias/1823/09/16/pdfs/GMD-1823-783.pdf#page=3","Abrir facsímil")</f>
        <v>Abrir facsímil</v>
      </c>
      <c r="K10214" t="s">
        <v>23</v>
      </c>
    </row>
    <row r="10215" spans="1:11" ht="42" customHeight="1">
      <c r="A10215" t="s">
        <v>20186</v>
      </c>
      <c r="B10215" t="s">
        <v>20187</v>
      </c>
      <c r="C10215" t="s">
        <v>84</v>
      </c>
      <c r="D10215" t="s">
        <v>74</v>
      </c>
      <c r="E10215" s="6">
        <v>-27941</v>
      </c>
      <c r="F10215" t="s">
        <v>527</v>
      </c>
      <c r="G10215" t="s">
        <v>20</v>
      </c>
      <c r="H10215" t="s">
        <v>21</v>
      </c>
      <c r="I10215" t="s">
        <v>20188</v>
      </c>
      <c r="J10215" t="str">
        <f>HYPERLINK("https://www.boe.es/gazeta/dias/1823/07/01/pdfs/GES-1823-81.pdf#page=4","Abrir facsímil")</f>
        <v>Abrir facsímil</v>
      </c>
      <c r="K10215" t="s">
        <v>23</v>
      </c>
    </row>
    <row r="10216" spans="1:11" ht="42" customHeight="1">
      <c r="A10216" t="s">
        <v>20189</v>
      </c>
      <c r="B10216" t="s">
        <v>20190</v>
      </c>
      <c r="C10216" t="s">
        <v>79</v>
      </c>
      <c r="D10216" t="s">
        <v>74</v>
      </c>
      <c r="E10216" s="6">
        <v>-27962</v>
      </c>
      <c r="F10216" t="s">
        <v>594</v>
      </c>
      <c r="G10216" t="s">
        <v>20</v>
      </c>
      <c r="H10216" t="s">
        <v>21</v>
      </c>
      <c r="I10216" t="s">
        <v>20191</v>
      </c>
      <c r="J10216" t="str">
        <f>HYPERLINK("https://www.boe.es/gazeta/dias/1823/06/10/pdfs/GES-1823-64.pdf#page=4","Abrir facsímil")</f>
        <v>Abrir facsímil</v>
      </c>
      <c r="K10216" t="s">
        <v>23</v>
      </c>
    </row>
    <row r="10217" spans="1:11" ht="42" customHeight="1">
      <c r="A10217" t="s">
        <v>20192</v>
      </c>
      <c r="B10217" t="s">
        <v>20193</v>
      </c>
      <c r="C10217" t="s">
        <v>17</v>
      </c>
      <c r="D10217" t="s">
        <v>18</v>
      </c>
      <c r="E10217" s="6">
        <v>-28040</v>
      </c>
      <c r="F10217" t="s">
        <v>2971</v>
      </c>
      <c r="G10217" t="s">
        <v>8045</v>
      </c>
      <c r="H10217" t="s">
        <v>28</v>
      </c>
      <c r="I10217" t="s">
        <v>20194</v>
      </c>
      <c r="J10217" t="str">
        <f>HYPERLINK("https://www.boe.es/gazeta/dias/1823/03/24/pdfs/GMD-1823-87.pdf#page=2","Abrir facsímil")</f>
        <v>Abrir facsímil</v>
      </c>
      <c r="K10217" t="s">
        <v>30</v>
      </c>
    </row>
    <row r="10218" spans="1:11" ht="42" customHeight="1">
      <c r="A10218" t="s">
        <v>20195</v>
      </c>
      <c r="B10218" t="s">
        <v>20196</v>
      </c>
      <c r="C10218" t="s">
        <v>17</v>
      </c>
      <c r="D10218" t="s">
        <v>18</v>
      </c>
      <c r="E10218" s="6">
        <v>-28001</v>
      </c>
      <c r="F10218" t="s">
        <v>768</v>
      </c>
      <c r="G10218" t="s">
        <v>34</v>
      </c>
      <c r="H10218" t="s">
        <v>21</v>
      </c>
      <c r="I10218" t="s">
        <v>20197</v>
      </c>
      <c r="J10218" t="str">
        <f>HYPERLINK("https://www.boe.es/gazeta/dias/1823/05/02/pdfs/GES-1823-22.pdf#page=5","Abrir facsímil")</f>
        <v>Abrir facsímil</v>
      </c>
      <c r="K10218" t="s">
        <v>23</v>
      </c>
    </row>
    <row r="10219" spans="1:11" ht="42" customHeight="1">
      <c r="A10219" t="s">
        <v>20198</v>
      </c>
      <c r="B10219" t="s">
        <v>20199</v>
      </c>
      <c r="C10219" t="s">
        <v>79</v>
      </c>
      <c r="D10219" t="s">
        <v>74</v>
      </c>
      <c r="E10219" s="6">
        <v>-28004</v>
      </c>
      <c r="F10219" t="s">
        <v>313</v>
      </c>
      <c r="G10219" t="s">
        <v>27</v>
      </c>
      <c r="H10219" t="s">
        <v>21</v>
      </c>
      <c r="I10219" t="s">
        <v>20200</v>
      </c>
      <c r="J10219" t="str">
        <f>HYPERLINK("https://www.boe.es/gazeta/dias/1823/04/29/pdfs/GMD-1823-72.pdf#page=2","Abrir facsímil")</f>
        <v>Abrir facsímil</v>
      </c>
      <c r="K10219" t="s">
        <v>23</v>
      </c>
    </row>
    <row r="10220" spans="1:11" ht="42" customHeight="1">
      <c r="A10220" t="s">
        <v>20201</v>
      </c>
      <c r="B10220" t="s">
        <v>20202</v>
      </c>
      <c r="C10220" t="s">
        <v>56</v>
      </c>
      <c r="D10220" t="s">
        <v>57</v>
      </c>
      <c r="E10220" s="6">
        <v>-28098</v>
      </c>
      <c r="F10220" t="s">
        <v>1101</v>
      </c>
      <c r="G10220" t="s">
        <v>20</v>
      </c>
      <c r="H10220" t="s">
        <v>21</v>
      </c>
      <c r="I10220" t="s">
        <v>20203</v>
      </c>
      <c r="J10220" t="str">
        <f>HYPERLINK("https://www.boe.es/gazeta/dias/1823/01/25/pdfs/GMD-1823-26.pdf#page=4","Abrir facsímil")</f>
        <v>Abrir facsímil</v>
      </c>
      <c r="K10220" t="s">
        <v>23</v>
      </c>
    </row>
    <row r="10221" spans="1:11" ht="42" customHeight="1">
      <c r="A10221" t="s">
        <v>20201</v>
      </c>
      <c r="B10221" t="s">
        <v>20202</v>
      </c>
      <c r="C10221" t="s">
        <v>17</v>
      </c>
      <c r="D10221" t="s">
        <v>18</v>
      </c>
      <c r="E10221" s="6">
        <v>-28057</v>
      </c>
      <c r="F10221" t="s">
        <v>301</v>
      </c>
      <c r="G10221" t="s">
        <v>20</v>
      </c>
      <c r="H10221" t="s">
        <v>21</v>
      </c>
      <c r="I10221" t="s">
        <v>20204</v>
      </c>
      <c r="J10221" t="str">
        <f>HYPERLINK("https://www.boe.es/gazeta/dias/1823/03/07/pdfs/GMD-1823-70.pdf#page=4","Abrir facsímil")</f>
        <v>Abrir facsímil</v>
      </c>
      <c r="K10221" t="s">
        <v>23</v>
      </c>
    </row>
    <row r="10222" spans="1:11" ht="42" customHeight="1">
      <c r="A10222" t="s">
        <v>20201</v>
      </c>
      <c r="B10222" t="s">
        <v>20202</v>
      </c>
      <c r="C10222" t="s">
        <v>17</v>
      </c>
      <c r="D10222" t="s">
        <v>18</v>
      </c>
      <c r="E10222" s="6">
        <v>-28041</v>
      </c>
      <c r="F10222" t="s">
        <v>873</v>
      </c>
      <c r="G10222" t="s">
        <v>366</v>
      </c>
      <c r="H10222" t="s">
        <v>21</v>
      </c>
      <c r="I10222" t="s">
        <v>20205</v>
      </c>
      <c r="J10222" t="str">
        <f>HYPERLINK("https://www.boe.es/gazeta/dias/1823/03/23/pdfs/GMD-1823-86.pdf#page=4","Abrir facsímil")</f>
        <v>Abrir facsímil</v>
      </c>
      <c r="K10222" t="s">
        <v>23</v>
      </c>
    </row>
    <row r="10223" spans="1:11" ht="42" customHeight="1">
      <c r="A10223" t="s">
        <v>20201</v>
      </c>
      <c r="B10223" t="s">
        <v>20202</v>
      </c>
      <c r="C10223" t="s">
        <v>17</v>
      </c>
      <c r="D10223" t="s">
        <v>18</v>
      </c>
      <c r="E10223" s="6">
        <v>-27975</v>
      </c>
      <c r="F10223" t="s">
        <v>47</v>
      </c>
      <c r="G10223" t="s">
        <v>20</v>
      </c>
      <c r="H10223" t="s">
        <v>21</v>
      </c>
      <c r="I10223" t="s">
        <v>20206</v>
      </c>
      <c r="J10223" t="str">
        <f>HYPERLINK("https://www.boe.es/gazeta/dias/1823/05/28/pdfs/GES-1823-50.pdf#page=4","Abrir facsímil")</f>
        <v>Abrir facsímil</v>
      </c>
      <c r="K10223" t="s">
        <v>23</v>
      </c>
    </row>
    <row r="10224" spans="1:11" ht="42" customHeight="1">
      <c r="A10224" t="s">
        <v>20207</v>
      </c>
      <c r="B10224" t="s">
        <v>20208</v>
      </c>
      <c r="C10224" t="s">
        <v>17</v>
      </c>
      <c r="D10224" t="s">
        <v>18</v>
      </c>
      <c r="E10224" s="6">
        <v>-28077</v>
      </c>
      <c r="F10224" t="s">
        <v>536</v>
      </c>
      <c r="G10224" t="s">
        <v>59</v>
      </c>
      <c r="H10224" t="s">
        <v>21</v>
      </c>
      <c r="I10224" t="s">
        <v>20209</v>
      </c>
      <c r="J10224" t="str">
        <f>HYPERLINK("https://www.boe.es/gazeta/dias/1823/02/15/pdfs/GMD-1823-49.pdf#page=6","Abrir facsímil")</f>
        <v>Abrir facsímil</v>
      </c>
      <c r="K10224" t="s">
        <v>23</v>
      </c>
    </row>
    <row r="10225" spans="1:11" ht="42" customHeight="1">
      <c r="A10225" t="s">
        <v>20210</v>
      </c>
      <c r="B10225" t="s">
        <v>20211</v>
      </c>
      <c r="C10225" t="s">
        <v>84</v>
      </c>
      <c r="D10225" t="s">
        <v>74</v>
      </c>
      <c r="E10225" s="6">
        <v>-28052</v>
      </c>
      <c r="F10225" t="s">
        <v>1025</v>
      </c>
      <c r="G10225" t="s">
        <v>59</v>
      </c>
      <c r="H10225" t="s">
        <v>21</v>
      </c>
      <c r="I10225" t="s">
        <v>20212</v>
      </c>
      <c r="J10225" t="str">
        <f>HYPERLINK("https://www.boe.es/gazeta/dias/1823/03/12/pdfs/GMD-1823-75.pdf#page=6","Abrir facsímil")</f>
        <v>Abrir facsímil</v>
      </c>
      <c r="K10225" t="s">
        <v>23</v>
      </c>
    </row>
    <row r="10226" spans="1:11" ht="42" customHeight="1">
      <c r="A10226" t="s">
        <v>20213</v>
      </c>
      <c r="B10226" t="s">
        <v>20214</v>
      </c>
      <c r="C10226" t="s">
        <v>17</v>
      </c>
      <c r="D10226" t="s">
        <v>18</v>
      </c>
      <c r="E10226" s="6">
        <v>-27967</v>
      </c>
      <c r="F10226" t="s">
        <v>412</v>
      </c>
      <c r="G10226" t="s">
        <v>20</v>
      </c>
      <c r="H10226" t="s">
        <v>21</v>
      </c>
      <c r="I10226" t="s">
        <v>20215</v>
      </c>
      <c r="J10226" t="str">
        <f>HYPERLINK("https://www.boe.es/gazeta/dias/1823/06/05/pdfs/GES-1823-59.pdf#page=4","Abrir facsímil")</f>
        <v>Abrir facsímil</v>
      </c>
      <c r="K10226" t="s">
        <v>23</v>
      </c>
    </row>
    <row r="10227" spans="1:11" ht="42" customHeight="1">
      <c r="A10227" t="s">
        <v>20216</v>
      </c>
      <c r="B10227" t="s">
        <v>20217</v>
      </c>
      <c r="C10227" t="s">
        <v>17</v>
      </c>
      <c r="D10227" t="s">
        <v>18</v>
      </c>
      <c r="E10227" s="6">
        <v>-28074</v>
      </c>
      <c r="F10227" t="s">
        <v>212</v>
      </c>
      <c r="G10227" t="s">
        <v>39</v>
      </c>
      <c r="H10227" t="s">
        <v>21</v>
      </c>
      <c r="I10227" t="s">
        <v>20218</v>
      </c>
      <c r="J10227" t="str">
        <f>HYPERLINK("https://www.boe.es/gazeta/dias/1823/02/18/pdfs/GMD-1823-52.pdf#page=1","Abrir facsímil")</f>
        <v>Abrir facsímil</v>
      </c>
      <c r="K10227" t="s">
        <v>23</v>
      </c>
    </row>
    <row r="10228" spans="1:11" ht="42" customHeight="1">
      <c r="A10228" t="s">
        <v>20219</v>
      </c>
      <c r="B10228" t="s">
        <v>20219</v>
      </c>
      <c r="C10228" t="s">
        <v>17</v>
      </c>
      <c r="D10228" t="s">
        <v>18</v>
      </c>
      <c r="E10228" s="6">
        <v>-28094</v>
      </c>
      <c r="F10228" t="s">
        <v>93</v>
      </c>
      <c r="G10228" t="s">
        <v>27</v>
      </c>
      <c r="H10228" t="s">
        <v>21</v>
      </c>
      <c r="I10228" t="s">
        <v>20220</v>
      </c>
      <c r="J10228" t="str">
        <f>HYPERLINK("https://www.boe.es/gazeta/dias/1823/01/29/pdfs/GMD-1823-30.pdf#page=2","Abrir facsímil")</f>
        <v>Abrir facsímil</v>
      </c>
      <c r="K10228" t="s">
        <v>23</v>
      </c>
    </row>
    <row r="10229" spans="1:11" ht="42" customHeight="1">
      <c r="A10229" t="s">
        <v>20219</v>
      </c>
      <c r="B10229" t="s">
        <v>20219</v>
      </c>
      <c r="C10229" t="s">
        <v>56</v>
      </c>
      <c r="D10229" t="s">
        <v>57</v>
      </c>
      <c r="E10229" s="6">
        <v>-27940</v>
      </c>
      <c r="F10229" t="s">
        <v>348</v>
      </c>
      <c r="G10229" t="s">
        <v>48</v>
      </c>
      <c r="H10229" t="s">
        <v>21</v>
      </c>
      <c r="I10229" t="s">
        <v>20221</v>
      </c>
      <c r="J10229" t="str">
        <f>HYPERLINK("https://www.boe.es/gazeta/dias/1823/07/02/pdfs/GES-1823-82.pdf#page=3","Abrir facsímil")</f>
        <v>Abrir facsímil</v>
      </c>
      <c r="K10229" t="s">
        <v>23</v>
      </c>
    </row>
    <row r="10230" spans="1:11" ht="42" customHeight="1">
      <c r="A10230" t="s">
        <v>20222</v>
      </c>
      <c r="B10230" t="s">
        <v>20223</v>
      </c>
      <c r="C10230" t="s">
        <v>109</v>
      </c>
      <c r="D10230" t="s">
        <v>74</v>
      </c>
      <c r="E10230" s="6">
        <v>-27984</v>
      </c>
      <c r="F10230" t="s">
        <v>335</v>
      </c>
      <c r="G10230" t="s">
        <v>27</v>
      </c>
      <c r="H10230" t="s">
        <v>21</v>
      </c>
      <c r="I10230" t="s">
        <v>20224</v>
      </c>
      <c r="J10230" t="str">
        <f>HYPERLINK("https://www.boe.es/gazeta/dias/1823/05/19/pdfs/GES-1823-39.pdf#page=2","Abrir facsímil")</f>
        <v>Abrir facsímil</v>
      </c>
      <c r="K10230" t="s">
        <v>23</v>
      </c>
    </row>
    <row r="10231" spans="1:11" ht="42" customHeight="1">
      <c r="A10231" t="s">
        <v>20225</v>
      </c>
      <c r="B10231" t="s">
        <v>20226</v>
      </c>
      <c r="C10231" t="s">
        <v>109</v>
      </c>
      <c r="D10231" t="s">
        <v>74</v>
      </c>
      <c r="E10231" s="6">
        <v>-27984</v>
      </c>
      <c r="F10231" t="s">
        <v>335</v>
      </c>
      <c r="G10231" t="s">
        <v>27</v>
      </c>
      <c r="H10231" t="s">
        <v>21</v>
      </c>
      <c r="I10231" t="s">
        <v>20227</v>
      </c>
      <c r="J10231" t="str">
        <f>HYPERLINK("https://www.boe.es/gazeta/dias/1823/05/19/pdfs/GES-1823-39.pdf#page=2","Abrir facsímil")</f>
        <v>Abrir facsímil</v>
      </c>
      <c r="K10231" t="s">
        <v>23</v>
      </c>
    </row>
    <row r="10232" spans="1:11" ht="42" customHeight="1">
      <c r="A10232" t="s">
        <v>20228</v>
      </c>
      <c r="B10232" t="s">
        <v>20229</v>
      </c>
      <c r="C10232" t="s">
        <v>79</v>
      </c>
      <c r="D10232" t="s">
        <v>74</v>
      </c>
      <c r="E10232" s="6">
        <v>-27935</v>
      </c>
      <c r="F10232" t="s">
        <v>350</v>
      </c>
      <c r="G10232" t="s">
        <v>39</v>
      </c>
      <c r="H10232" t="s">
        <v>21</v>
      </c>
      <c r="I10232" t="s">
        <v>20230</v>
      </c>
      <c r="J10232" t="str">
        <f>HYPERLINK("https://www.boe.es/gazeta/dias/1823/07/07/pdfs/GES-1823-87.pdf#page=1","Abrir facsímil")</f>
        <v>Abrir facsímil</v>
      </c>
      <c r="K10232" t="s">
        <v>23</v>
      </c>
    </row>
    <row r="10233" spans="1:11" ht="42" customHeight="1">
      <c r="A10233" t="s">
        <v>20231</v>
      </c>
      <c r="B10233" t="s">
        <v>20232</v>
      </c>
      <c r="C10233" t="s">
        <v>17</v>
      </c>
      <c r="D10233" t="s">
        <v>18</v>
      </c>
      <c r="E10233" s="6">
        <v>-27994</v>
      </c>
      <c r="F10233" t="s">
        <v>714</v>
      </c>
      <c r="G10233" t="s">
        <v>276</v>
      </c>
      <c r="H10233" t="s">
        <v>21</v>
      </c>
      <c r="I10233" t="s">
        <v>20233</v>
      </c>
      <c r="J10233" t="str">
        <f>HYPERLINK("https://www.boe.es/gazeta/dias/1823/05/09/pdfs/GES-1823-29.pdf#page=7","Abrir facsímil")</f>
        <v>Abrir facsímil</v>
      </c>
      <c r="K10233" t="s">
        <v>23</v>
      </c>
    </row>
    <row r="10234" spans="1:11" ht="42" customHeight="1">
      <c r="A10234" t="s">
        <v>20231</v>
      </c>
      <c r="B10234" t="s">
        <v>20232</v>
      </c>
      <c r="C10234" t="s">
        <v>109</v>
      </c>
      <c r="D10234" t="s">
        <v>74</v>
      </c>
      <c r="E10234" s="6">
        <v>-27988</v>
      </c>
      <c r="F10234" t="s">
        <v>2022</v>
      </c>
      <c r="G10234" t="s">
        <v>48</v>
      </c>
      <c r="H10234" t="s">
        <v>21</v>
      </c>
      <c r="I10234" t="s">
        <v>20234</v>
      </c>
      <c r="J10234" t="str">
        <f>HYPERLINK("https://www.boe.es/gazeta/dias/1823/05/15/pdfs/GMD-1823-142.pdf#page=3","Abrir facsímil")</f>
        <v>Abrir facsímil</v>
      </c>
      <c r="K10234" t="s">
        <v>23</v>
      </c>
    </row>
    <row r="10235" spans="1:11" ht="42" customHeight="1">
      <c r="A10235" t="s">
        <v>20231</v>
      </c>
      <c r="B10235" t="s">
        <v>20232</v>
      </c>
      <c r="C10235" t="s">
        <v>17</v>
      </c>
      <c r="D10235" t="s">
        <v>18</v>
      </c>
      <c r="E10235" s="6">
        <v>-27975</v>
      </c>
      <c r="F10235" t="s">
        <v>47</v>
      </c>
      <c r="G10235" t="s">
        <v>48</v>
      </c>
      <c r="H10235" t="s">
        <v>21</v>
      </c>
      <c r="I10235" t="s">
        <v>20235</v>
      </c>
      <c r="J10235" t="str">
        <f>HYPERLINK("https://www.boe.es/gazeta/dias/1823/05/28/pdfs/GES-1823-50.pdf#page=3","Abrir facsímil")</f>
        <v>Abrir facsímil</v>
      </c>
      <c r="K10235" t="s">
        <v>23</v>
      </c>
    </row>
    <row r="10236" spans="1:11" ht="42" customHeight="1">
      <c r="A10236" t="s">
        <v>20231</v>
      </c>
      <c r="B10236" t="s">
        <v>20232</v>
      </c>
      <c r="C10236" t="s">
        <v>79</v>
      </c>
      <c r="D10236" t="s">
        <v>74</v>
      </c>
      <c r="E10236" s="6">
        <v>-27970</v>
      </c>
      <c r="F10236" t="s">
        <v>1030</v>
      </c>
      <c r="G10236" t="s">
        <v>39</v>
      </c>
      <c r="H10236" t="s">
        <v>21</v>
      </c>
      <c r="I10236" t="s">
        <v>20236</v>
      </c>
      <c r="J10236" t="str">
        <f>HYPERLINK("https://www.boe.es/gazeta/dias/1823/06/02/pdfs/GES-1823-56.pdf#page=1","Abrir facsímil")</f>
        <v>Abrir facsímil</v>
      </c>
      <c r="K10236" t="s">
        <v>23</v>
      </c>
    </row>
    <row r="10237" spans="1:11" ht="42" customHeight="1">
      <c r="A10237" t="s">
        <v>20231</v>
      </c>
      <c r="B10237" t="s">
        <v>20232</v>
      </c>
      <c r="C10237" t="s">
        <v>73</v>
      </c>
      <c r="D10237" t="s">
        <v>74</v>
      </c>
      <c r="E10237" s="6">
        <v>-27970</v>
      </c>
      <c r="F10237" t="s">
        <v>1030</v>
      </c>
      <c r="G10237" t="s">
        <v>27</v>
      </c>
      <c r="H10237" t="s">
        <v>21</v>
      </c>
      <c r="I10237" t="s">
        <v>20237</v>
      </c>
      <c r="J10237" t="str">
        <f>HYPERLINK("https://www.boe.es/gazeta/dias/1823/06/02/pdfs/GES-1823-56.pdf#page=2","Abrir facsímil")</f>
        <v>Abrir facsímil</v>
      </c>
      <c r="K10237" t="s">
        <v>23</v>
      </c>
    </row>
    <row r="10238" spans="1:11" ht="42" customHeight="1">
      <c r="A10238" t="s">
        <v>20231</v>
      </c>
      <c r="B10238" t="s">
        <v>20232</v>
      </c>
      <c r="C10238" t="s">
        <v>109</v>
      </c>
      <c r="D10238" t="s">
        <v>74</v>
      </c>
      <c r="E10238" s="6">
        <v>-27968</v>
      </c>
      <c r="F10238" t="s">
        <v>1160</v>
      </c>
      <c r="G10238" t="s">
        <v>20</v>
      </c>
      <c r="H10238" t="s">
        <v>21</v>
      </c>
      <c r="I10238" t="s">
        <v>20238</v>
      </c>
      <c r="J10238" t="str">
        <f>HYPERLINK("https://www.boe.es/gazeta/dias/1823/06/04/pdfs/GES-1823-58.pdf#page=4","Abrir facsímil")</f>
        <v>Abrir facsímil</v>
      </c>
      <c r="K10238" t="s">
        <v>23</v>
      </c>
    </row>
    <row r="10239" spans="1:11" ht="42" customHeight="1">
      <c r="A10239" t="s">
        <v>20231</v>
      </c>
      <c r="B10239" t="s">
        <v>20232</v>
      </c>
      <c r="C10239" t="s">
        <v>17</v>
      </c>
      <c r="D10239" t="s">
        <v>18</v>
      </c>
      <c r="E10239" s="6">
        <v>-27963</v>
      </c>
      <c r="F10239" t="s">
        <v>344</v>
      </c>
      <c r="G10239" t="s">
        <v>27</v>
      </c>
      <c r="H10239" t="s">
        <v>21</v>
      </c>
      <c r="I10239" t="s">
        <v>20239</v>
      </c>
      <c r="J10239" t="str">
        <f>HYPERLINK("https://www.boe.es/gazeta/dias/1823/06/09/pdfs/GES-1823-63.pdf#page=2","Abrir facsímil")</f>
        <v>Abrir facsímil</v>
      </c>
      <c r="K10239" t="s">
        <v>23</v>
      </c>
    </row>
    <row r="10240" spans="1:11" ht="42" customHeight="1">
      <c r="A10240" t="s">
        <v>20231</v>
      </c>
      <c r="B10240" t="s">
        <v>20232</v>
      </c>
      <c r="C10240" t="s">
        <v>109</v>
      </c>
      <c r="D10240" t="s">
        <v>74</v>
      </c>
      <c r="E10240" s="6">
        <v>-27952</v>
      </c>
      <c r="F10240" t="s">
        <v>929</v>
      </c>
      <c r="G10240" t="s">
        <v>39</v>
      </c>
      <c r="H10240" t="s">
        <v>21</v>
      </c>
      <c r="I10240" t="s">
        <v>20240</v>
      </c>
      <c r="J10240" t="str">
        <f>HYPERLINK("https://www.boe.es/gazeta/dias/1823/06/20/pdfs/GES-1823-68.pdf#page=1","Abrir facsímil")</f>
        <v>Abrir facsímil</v>
      </c>
      <c r="K10240" t="s">
        <v>23</v>
      </c>
    </row>
    <row r="10241" spans="1:11" ht="42" customHeight="1">
      <c r="A10241" t="s">
        <v>20231</v>
      </c>
      <c r="B10241" t="s">
        <v>20232</v>
      </c>
      <c r="C10241" t="s">
        <v>109</v>
      </c>
      <c r="D10241" t="s">
        <v>74</v>
      </c>
      <c r="E10241" s="6">
        <v>-27946</v>
      </c>
      <c r="F10241" t="s">
        <v>2146</v>
      </c>
      <c r="G10241" t="s">
        <v>27</v>
      </c>
      <c r="H10241" t="s">
        <v>21</v>
      </c>
      <c r="I10241" t="s">
        <v>20241</v>
      </c>
      <c r="J10241" t="str">
        <f>HYPERLINK("https://www.boe.es/gazeta/dias/1823/06/26/pdfs/GES-1823-76.pdf#page=2","Abrir facsímil")</f>
        <v>Abrir facsímil</v>
      </c>
      <c r="K10241" t="s">
        <v>23</v>
      </c>
    </row>
    <row r="10242" spans="1:11" ht="42" customHeight="1">
      <c r="A10242" t="s">
        <v>20231</v>
      </c>
      <c r="B10242" t="s">
        <v>20232</v>
      </c>
      <c r="C10242" t="s">
        <v>56</v>
      </c>
      <c r="D10242" t="s">
        <v>57</v>
      </c>
      <c r="E10242" s="6">
        <v>-27942</v>
      </c>
      <c r="F10242" t="s">
        <v>596</v>
      </c>
      <c r="G10242" t="s">
        <v>27</v>
      </c>
      <c r="H10242" t="s">
        <v>21</v>
      </c>
      <c r="I10242" t="s">
        <v>20242</v>
      </c>
      <c r="J10242" t="str">
        <f>HYPERLINK("https://www.boe.es/gazeta/dias/1823/06/30/pdfs/GES-1823-80.pdf#page=2","Abrir facsímil")</f>
        <v>Abrir facsímil</v>
      </c>
      <c r="K10242" t="s">
        <v>23</v>
      </c>
    </row>
    <row r="10243" spans="1:11" ht="42" customHeight="1">
      <c r="A10243" t="s">
        <v>20231</v>
      </c>
      <c r="B10243" t="s">
        <v>20232</v>
      </c>
      <c r="C10243" t="s">
        <v>109</v>
      </c>
      <c r="D10243" t="s">
        <v>74</v>
      </c>
      <c r="E10243" s="6">
        <v>-27939</v>
      </c>
      <c r="F10243" t="s">
        <v>1076</v>
      </c>
      <c r="G10243" t="s">
        <v>20</v>
      </c>
      <c r="H10243" t="s">
        <v>21</v>
      </c>
      <c r="I10243" t="s">
        <v>20243</v>
      </c>
      <c r="J10243" t="str">
        <f>HYPERLINK("https://www.boe.es/gazeta/dias/1823/07/03/pdfs/GES-1823-83.pdf#page=4","Abrir facsímil")</f>
        <v>Abrir facsímil</v>
      </c>
      <c r="K10243" t="s">
        <v>23</v>
      </c>
    </row>
    <row r="10244" spans="1:11" ht="42" customHeight="1">
      <c r="A10244" t="s">
        <v>20231</v>
      </c>
      <c r="B10244" t="s">
        <v>20232</v>
      </c>
      <c r="C10244" t="s">
        <v>79</v>
      </c>
      <c r="D10244" t="s">
        <v>74</v>
      </c>
      <c r="E10244" s="6">
        <v>-27938</v>
      </c>
      <c r="F10244" t="s">
        <v>101</v>
      </c>
      <c r="G10244" t="s">
        <v>48</v>
      </c>
      <c r="H10244" t="s">
        <v>21</v>
      </c>
      <c r="I10244" t="s">
        <v>20244</v>
      </c>
      <c r="J10244" t="str">
        <f>HYPERLINK("https://www.boe.es/gazeta/dias/1823/07/04/pdfs/GES-1823-84.pdf#page=3","Abrir facsímil")</f>
        <v>Abrir facsímil</v>
      </c>
      <c r="K10244" t="s">
        <v>23</v>
      </c>
    </row>
    <row r="10245" spans="1:11" ht="42" customHeight="1">
      <c r="A10245" t="s">
        <v>20231</v>
      </c>
      <c r="B10245" t="s">
        <v>20232</v>
      </c>
      <c r="C10245" t="s">
        <v>56</v>
      </c>
      <c r="D10245" t="s">
        <v>57</v>
      </c>
      <c r="E10245" s="6">
        <v>-27935</v>
      </c>
      <c r="F10245" t="s">
        <v>350</v>
      </c>
      <c r="G10245" t="s">
        <v>39</v>
      </c>
      <c r="H10245" t="s">
        <v>21</v>
      </c>
      <c r="I10245" t="s">
        <v>20245</v>
      </c>
      <c r="J10245" t="str">
        <f>HYPERLINK("https://www.boe.es/gazeta/dias/1823/07/07/pdfs/GES-1823-87.pdf#page=1","Abrir facsímil")</f>
        <v>Abrir facsímil</v>
      </c>
      <c r="K10245" t="s">
        <v>23</v>
      </c>
    </row>
    <row r="10246" spans="1:11" ht="42" customHeight="1">
      <c r="A10246" t="s">
        <v>20231</v>
      </c>
      <c r="B10246" t="s">
        <v>20232</v>
      </c>
      <c r="C10246" t="s">
        <v>17</v>
      </c>
      <c r="D10246" t="s">
        <v>18</v>
      </c>
      <c r="E10246" s="6">
        <v>-27935</v>
      </c>
      <c r="F10246" t="s">
        <v>350</v>
      </c>
      <c r="G10246" t="s">
        <v>48</v>
      </c>
      <c r="H10246" t="s">
        <v>21</v>
      </c>
      <c r="I10246" t="s">
        <v>20246</v>
      </c>
      <c r="J10246" t="str">
        <f>HYPERLINK("https://www.boe.es/gazeta/dias/1823/07/07/pdfs/GES-1823-87.pdf#page=3","Abrir facsímil")</f>
        <v>Abrir facsímil</v>
      </c>
      <c r="K10246" t="s">
        <v>23</v>
      </c>
    </row>
    <row r="10247" spans="1:11" ht="42" customHeight="1">
      <c r="A10247" t="s">
        <v>20247</v>
      </c>
      <c r="B10247" t="s">
        <v>20248</v>
      </c>
      <c r="C10247" t="s">
        <v>56</v>
      </c>
      <c r="D10247" t="s">
        <v>57</v>
      </c>
      <c r="E10247" s="6">
        <v>-27933</v>
      </c>
      <c r="F10247" t="s">
        <v>1079</v>
      </c>
      <c r="G10247" t="s">
        <v>48</v>
      </c>
      <c r="H10247" t="s">
        <v>21</v>
      </c>
      <c r="I10247" t="s">
        <v>20249</v>
      </c>
      <c r="J10247" t="str">
        <f>HYPERLINK("https://www.boe.es/gazeta/dias/1823/07/09/pdfs/GES-1823-89.pdf#page=3","Abrir facsímil")</f>
        <v>Abrir facsímil</v>
      </c>
      <c r="K10247" t="s">
        <v>23</v>
      </c>
    </row>
    <row r="10248" spans="1:11" ht="42" customHeight="1">
      <c r="A10248" t="s">
        <v>20250</v>
      </c>
      <c r="B10248" t="s">
        <v>20251</v>
      </c>
      <c r="C10248" t="s">
        <v>73</v>
      </c>
      <c r="D10248" t="s">
        <v>74</v>
      </c>
      <c r="E10248" s="6">
        <v>-28049</v>
      </c>
      <c r="F10248" t="s">
        <v>198</v>
      </c>
      <c r="G10248" t="s">
        <v>48</v>
      </c>
      <c r="H10248" t="s">
        <v>21</v>
      </c>
      <c r="I10248" t="s">
        <v>20252</v>
      </c>
      <c r="J10248" t="str">
        <f>HYPERLINK("https://www.boe.es/gazeta/dias/1823/03/15/pdfs/GMD-1823-78.pdf#page=3","Abrir facsímil")</f>
        <v>Abrir facsímil</v>
      </c>
      <c r="K10248" t="s">
        <v>23</v>
      </c>
    </row>
    <row r="10249" spans="1:11" ht="42" customHeight="1">
      <c r="A10249" t="s">
        <v>20253</v>
      </c>
      <c r="B10249" t="s">
        <v>20253</v>
      </c>
      <c r="C10249" t="s">
        <v>293</v>
      </c>
      <c r="D10249" t="s">
        <v>74</v>
      </c>
      <c r="E10249" s="6">
        <v>-28118</v>
      </c>
      <c r="F10249" t="s">
        <v>252</v>
      </c>
      <c r="G10249" t="s">
        <v>253</v>
      </c>
      <c r="H10249" t="s">
        <v>21</v>
      </c>
      <c r="I10249" t="s">
        <v>20254</v>
      </c>
      <c r="J10249" t="str">
        <f>HYPERLINK("https://www.boe.es/gazeta/dias/1823/01/05/pdfs/GMD-1823-5.pdf#page=2","Abrir facsímil")</f>
        <v>Abrir facsímil</v>
      </c>
      <c r="K10249" t="s">
        <v>23</v>
      </c>
    </row>
    <row r="10250" spans="1:11" ht="42" customHeight="1">
      <c r="A10250" t="s">
        <v>20255</v>
      </c>
      <c r="B10250" t="s">
        <v>20256</v>
      </c>
      <c r="C10250" t="s">
        <v>17</v>
      </c>
      <c r="D10250" t="s">
        <v>18</v>
      </c>
      <c r="E10250" s="6">
        <v>-27764</v>
      </c>
      <c r="F10250" t="s">
        <v>3370</v>
      </c>
      <c r="G10250" t="s">
        <v>20</v>
      </c>
      <c r="H10250" t="s">
        <v>28</v>
      </c>
      <c r="I10250" t="s">
        <v>20257</v>
      </c>
      <c r="J10250" t="str">
        <f>HYPERLINK("https://www.boe.es/gazeta/dias/1823/12/25/pdfs/GMD-1823-1293.pdf#page=4","Abrir facsímil")</f>
        <v>Abrir facsímil</v>
      </c>
      <c r="K10250" t="s">
        <v>30</v>
      </c>
    </row>
    <row r="10251" spans="1:11" ht="42" customHeight="1">
      <c r="A10251" t="s">
        <v>20258</v>
      </c>
      <c r="B10251" t="s">
        <v>20259</v>
      </c>
      <c r="C10251" t="s">
        <v>109</v>
      </c>
      <c r="D10251" t="s">
        <v>74</v>
      </c>
      <c r="E10251" s="6">
        <v>-28013</v>
      </c>
      <c r="F10251" t="s">
        <v>2466</v>
      </c>
      <c r="G10251" t="s">
        <v>4093</v>
      </c>
      <c r="H10251" t="s">
        <v>21</v>
      </c>
      <c r="I10251" t="s">
        <v>20260</v>
      </c>
      <c r="J10251" t="str">
        <f>HYPERLINK("https://www.boe.es/gazeta/dias/1823/04/20/pdfs/GES-1823-10.pdf#page=4","Abrir facsímil")</f>
        <v>Abrir facsímil</v>
      </c>
      <c r="K10251" t="s">
        <v>23</v>
      </c>
    </row>
    <row r="10252" spans="1:11" ht="42" customHeight="1">
      <c r="A10252" t="s">
        <v>20261</v>
      </c>
      <c r="B10252" t="s">
        <v>20262</v>
      </c>
      <c r="C10252" t="s">
        <v>56</v>
      </c>
      <c r="D10252" t="s">
        <v>57</v>
      </c>
      <c r="E10252" s="6">
        <v>-28013</v>
      </c>
      <c r="F10252" t="s">
        <v>2466</v>
      </c>
      <c r="G10252" t="s">
        <v>4093</v>
      </c>
      <c r="H10252" t="s">
        <v>21</v>
      </c>
      <c r="I10252" t="s">
        <v>20263</v>
      </c>
      <c r="J10252" t="str">
        <f>HYPERLINK("https://www.boe.es/gazeta/dias/1823/04/20/pdfs/GES-1823-10.pdf#page=4","Abrir facsímil")</f>
        <v>Abrir facsímil</v>
      </c>
      <c r="K10252" t="s">
        <v>23</v>
      </c>
    </row>
    <row r="10253" spans="1:11" ht="42" customHeight="1">
      <c r="A10253" t="s">
        <v>20264</v>
      </c>
      <c r="B10253" t="s">
        <v>20265</v>
      </c>
      <c r="C10253" t="s">
        <v>17</v>
      </c>
      <c r="D10253" t="s">
        <v>18</v>
      </c>
      <c r="E10253" s="6">
        <v>-27922</v>
      </c>
      <c r="F10253" t="s">
        <v>1959</v>
      </c>
      <c r="G10253" t="s">
        <v>27</v>
      </c>
      <c r="H10253" t="s">
        <v>28</v>
      </c>
      <c r="I10253" t="s">
        <v>20266</v>
      </c>
      <c r="J10253" t="str">
        <f>HYPERLINK("https://www.boe.es/gazeta/dias/1823/07/20/pdfs/GES-1823-101.pdf#page=2","Abrir facsímil")</f>
        <v>Abrir facsímil</v>
      </c>
      <c r="K10253" t="s">
        <v>30</v>
      </c>
    </row>
    <row r="10254" spans="1:11" ht="42" customHeight="1">
      <c r="A10254" t="s">
        <v>20267</v>
      </c>
      <c r="B10254" t="s">
        <v>20267</v>
      </c>
      <c r="C10254" t="s">
        <v>17</v>
      </c>
      <c r="D10254" t="s">
        <v>18</v>
      </c>
      <c r="E10254" s="6">
        <v>-27773</v>
      </c>
      <c r="F10254" t="s">
        <v>513</v>
      </c>
      <c r="G10254" t="s">
        <v>39</v>
      </c>
      <c r="H10254" t="s">
        <v>21</v>
      </c>
      <c r="I10254" t="s">
        <v>20268</v>
      </c>
      <c r="J10254" t="str">
        <f>HYPERLINK("https://www.boe.es/gazeta/dias/1823/12/16/pdfs/GMD-1823-1253.pdf#page=1","Abrir facsímil")</f>
        <v>Abrir facsímil</v>
      </c>
      <c r="K10254" t="s">
        <v>23</v>
      </c>
    </row>
    <row r="10255" spans="1:11" ht="42" customHeight="1">
      <c r="A10255" t="s">
        <v>20269</v>
      </c>
      <c r="B10255" t="s">
        <v>20270</v>
      </c>
      <c r="C10255" t="s">
        <v>79</v>
      </c>
      <c r="D10255" t="s">
        <v>74</v>
      </c>
      <c r="E10255" s="6">
        <v>-27834</v>
      </c>
      <c r="F10255" t="s">
        <v>188</v>
      </c>
      <c r="G10255" t="s">
        <v>27</v>
      </c>
      <c r="H10255" t="s">
        <v>21</v>
      </c>
      <c r="I10255" t="s">
        <v>20271</v>
      </c>
      <c r="J10255" t="str">
        <f>HYPERLINK("https://www.boe.es/gazeta/dias/1823/10/16/pdfs/GMD-1823-983.pdf#page=2","Abrir facsímil")</f>
        <v>Abrir facsímil</v>
      </c>
      <c r="K10255" t="s">
        <v>23</v>
      </c>
    </row>
    <row r="10256" spans="1:11" ht="42" customHeight="1">
      <c r="A10256" t="s">
        <v>20272</v>
      </c>
      <c r="B10256" t="s">
        <v>20272</v>
      </c>
      <c r="C10256" t="s">
        <v>17</v>
      </c>
      <c r="D10256" t="s">
        <v>18</v>
      </c>
      <c r="E10256" s="6">
        <v>-27801</v>
      </c>
      <c r="F10256" t="s">
        <v>800</v>
      </c>
      <c r="G10256" t="s">
        <v>27</v>
      </c>
      <c r="H10256" t="s">
        <v>21</v>
      </c>
      <c r="I10256" t="s">
        <v>20273</v>
      </c>
      <c r="J10256" t="str">
        <f>HYPERLINK("https://www.boe.es/gazeta/dias/1823/11/18/pdfs/GMD-1823-1133.pdf#page=2","Abrir facsímil")</f>
        <v>Abrir facsímil</v>
      </c>
      <c r="K10256" t="s">
        <v>23</v>
      </c>
    </row>
    <row r="10257" spans="1:11" ht="42" customHeight="1">
      <c r="A10257" t="s">
        <v>20272</v>
      </c>
      <c r="B10257" t="s">
        <v>20272</v>
      </c>
      <c r="C10257" t="s">
        <v>17</v>
      </c>
      <c r="D10257" t="s">
        <v>18</v>
      </c>
      <c r="E10257" s="6">
        <v>-27773</v>
      </c>
      <c r="F10257" t="s">
        <v>513</v>
      </c>
      <c r="G10257" t="s">
        <v>48</v>
      </c>
      <c r="H10257" t="s">
        <v>21</v>
      </c>
      <c r="I10257" t="s">
        <v>20274</v>
      </c>
      <c r="J10257" t="str">
        <f>HYPERLINK("https://www.boe.es/gazeta/dias/1823/12/16/pdfs/GMD-1823-1253.pdf#page=3","Abrir facsímil")</f>
        <v>Abrir facsímil</v>
      </c>
      <c r="K10257" t="s">
        <v>23</v>
      </c>
    </row>
    <row r="10258" spans="1:11" ht="42" customHeight="1">
      <c r="A10258" t="s">
        <v>20275</v>
      </c>
      <c r="B10258" t="s">
        <v>20276</v>
      </c>
      <c r="C10258" t="s">
        <v>17</v>
      </c>
      <c r="D10258" t="s">
        <v>18</v>
      </c>
      <c r="E10258" s="6">
        <v>-27897</v>
      </c>
      <c r="F10258" t="s">
        <v>1569</v>
      </c>
      <c r="G10258" t="s">
        <v>20</v>
      </c>
      <c r="H10258" t="s">
        <v>21</v>
      </c>
      <c r="I10258" t="s">
        <v>20277</v>
      </c>
      <c r="J10258" t="str">
        <f>HYPERLINK("https://www.boe.es/gazeta/dias/1823/08/14/pdfs/GMD-1823-593.pdf#page=4","Abrir facsímil")</f>
        <v>Abrir facsímil</v>
      </c>
      <c r="K10258" t="s">
        <v>23</v>
      </c>
    </row>
    <row r="10259" spans="1:11" ht="42" customHeight="1">
      <c r="A10259" t="s">
        <v>20278</v>
      </c>
      <c r="B10259" t="s">
        <v>20279</v>
      </c>
      <c r="C10259" t="s">
        <v>17</v>
      </c>
      <c r="D10259" t="s">
        <v>18</v>
      </c>
      <c r="E10259" s="6">
        <v>-27906</v>
      </c>
      <c r="F10259" t="s">
        <v>241</v>
      </c>
      <c r="G10259" t="s">
        <v>48</v>
      </c>
      <c r="H10259" t="s">
        <v>28</v>
      </c>
      <c r="I10259" t="s">
        <v>20280</v>
      </c>
      <c r="J10259" t="str">
        <f>HYPERLINK("https://www.boe.es/gazeta/dias/1823/08/05/pdfs/GES-1823-117.pdf#page=3","Abrir facsímil")</f>
        <v>Abrir facsímil</v>
      </c>
      <c r="K10259" t="s">
        <v>30</v>
      </c>
    </row>
    <row r="10260" spans="1:11" ht="42" customHeight="1">
      <c r="A10260" t="s">
        <v>20281</v>
      </c>
      <c r="B10260" t="s">
        <v>20282</v>
      </c>
      <c r="C10260" t="s">
        <v>293</v>
      </c>
      <c r="D10260" t="s">
        <v>74</v>
      </c>
      <c r="E10260" s="6">
        <v>-28119</v>
      </c>
      <c r="F10260" t="s">
        <v>545</v>
      </c>
      <c r="G10260" t="s">
        <v>59</v>
      </c>
      <c r="H10260" t="s">
        <v>21</v>
      </c>
      <c r="I10260" t="s">
        <v>20283</v>
      </c>
      <c r="J10260" t="str">
        <f>HYPERLINK("https://www.boe.es/gazeta/dias/1823/01/04/pdfs/GMD-1823-4.pdf#page=6","Abrir facsímil")</f>
        <v>Abrir facsímil</v>
      </c>
      <c r="K10260" t="s">
        <v>23</v>
      </c>
    </row>
    <row r="10261" spans="1:11" ht="42" customHeight="1">
      <c r="A10261" t="s">
        <v>20284</v>
      </c>
      <c r="B10261" t="s">
        <v>20285</v>
      </c>
      <c r="C10261" t="s">
        <v>79</v>
      </c>
      <c r="D10261" t="s">
        <v>74</v>
      </c>
      <c r="E10261" s="6">
        <v>-27778</v>
      </c>
      <c r="F10261" t="s">
        <v>1343</v>
      </c>
      <c r="G10261" t="s">
        <v>39</v>
      </c>
      <c r="H10261" t="s">
        <v>21</v>
      </c>
      <c r="I10261" t="s">
        <v>20286</v>
      </c>
      <c r="J10261" t="str">
        <f>HYPERLINK("https://www.boe.es/gazeta/dias/1823/12/11/pdfs/GMD-1823-1233.pdf#page=1","Abrir facsímil")</f>
        <v>Abrir facsímil</v>
      </c>
      <c r="K10261" t="s">
        <v>23</v>
      </c>
    </row>
    <row r="10262" spans="1:11" ht="42" customHeight="1">
      <c r="A10262" t="s">
        <v>20287</v>
      </c>
      <c r="B10262" t="s">
        <v>20288</v>
      </c>
      <c r="C10262" t="s">
        <v>17</v>
      </c>
      <c r="D10262" t="s">
        <v>18</v>
      </c>
      <c r="E10262" s="6">
        <v>-28032</v>
      </c>
      <c r="F10262" t="s">
        <v>668</v>
      </c>
      <c r="G10262" t="s">
        <v>39</v>
      </c>
      <c r="H10262" t="s">
        <v>21</v>
      </c>
      <c r="I10262" t="s">
        <v>20289</v>
      </c>
      <c r="J10262" t="str">
        <f>HYPERLINK("https://www.boe.es/gazeta/dias/1823/04/01/pdfs/GMD-1823-95.pdf#page=1","Abrir facsímil")</f>
        <v>Abrir facsímil</v>
      </c>
      <c r="K10262" t="s">
        <v>23</v>
      </c>
    </row>
    <row r="10263" spans="1:11" ht="42" customHeight="1">
      <c r="A10263" t="s">
        <v>20290</v>
      </c>
      <c r="B10263" t="s">
        <v>20291</v>
      </c>
      <c r="C10263" t="s">
        <v>17</v>
      </c>
      <c r="D10263" t="s">
        <v>18</v>
      </c>
      <c r="E10263" s="6">
        <v>-27964</v>
      </c>
      <c r="F10263" t="s">
        <v>58</v>
      </c>
      <c r="G10263" t="s">
        <v>59</v>
      </c>
      <c r="H10263" t="s">
        <v>21</v>
      </c>
      <c r="I10263" t="s">
        <v>20292</v>
      </c>
      <c r="J10263" t="str">
        <f>HYPERLINK("https://www.boe.es/gazeta/dias/1823/06/08/pdfs/GES-1823-62.pdf#page=6","Abrir facsímil")</f>
        <v>Abrir facsímil</v>
      </c>
      <c r="K10263" t="s">
        <v>23</v>
      </c>
    </row>
    <row r="10264" spans="1:11" ht="42" customHeight="1">
      <c r="A10264" t="s">
        <v>20293</v>
      </c>
      <c r="B10264" t="s">
        <v>20293</v>
      </c>
      <c r="C10264" t="s">
        <v>17</v>
      </c>
      <c r="D10264" t="s">
        <v>18</v>
      </c>
      <c r="E10264" s="6">
        <v>-28049</v>
      </c>
      <c r="F10264" t="s">
        <v>198</v>
      </c>
      <c r="G10264" t="s">
        <v>20</v>
      </c>
      <c r="H10264" t="s">
        <v>21</v>
      </c>
      <c r="I10264" t="s">
        <v>20294</v>
      </c>
      <c r="J10264" t="str">
        <f>HYPERLINK("https://www.boe.es/gazeta/dias/1823/03/15/pdfs/GMD-1823-78.pdf#page=4","Abrir facsímil")</f>
        <v>Abrir facsímil</v>
      </c>
      <c r="K10264" t="s">
        <v>23</v>
      </c>
    </row>
    <row r="10265" spans="1:11" ht="42" customHeight="1">
      <c r="A10265" t="s">
        <v>20295</v>
      </c>
      <c r="B10265" t="s">
        <v>20296</v>
      </c>
      <c r="C10265" t="s">
        <v>109</v>
      </c>
      <c r="D10265" t="s">
        <v>74</v>
      </c>
      <c r="E10265" s="6">
        <v>-27986</v>
      </c>
      <c r="F10265" t="s">
        <v>75</v>
      </c>
      <c r="G10265" t="s">
        <v>59</v>
      </c>
      <c r="H10265" t="s">
        <v>21</v>
      </c>
      <c r="I10265" t="s">
        <v>20297</v>
      </c>
      <c r="J10265" t="str">
        <f>HYPERLINK("https://www.boe.es/gazeta/dias/1823/05/17/pdfs/GES-1823-37.pdf#page=6","Abrir facsímil")</f>
        <v>Abrir facsímil</v>
      </c>
      <c r="K10265" t="s">
        <v>23</v>
      </c>
    </row>
    <row r="10266" spans="1:11" ht="42" customHeight="1">
      <c r="A10266" t="s">
        <v>20298</v>
      </c>
      <c r="B10266" t="s">
        <v>20299</v>
      </c>
      <c r="C10266" t="s">
        <v>17</v>
      </c>
      <c r="D10266" t="s">
        <v>18</v>
      </c>
      <c r="E10266" s="6">
        <v>-27887</v>
      </c>
      <c r="F10266" t="s">
        <v>1196</v>
      </c>
      <c r="G10266" t="s">
        <v>20</v>
      </c>
      <c r="H10266" t="s">
        <v>21</v>
      </c>
      <c r="I10266" t="s">
        <v>20300</v>
      </c>
      <c r="J10266" t="str">
        <f>HYPERLINK("https://www.boe.es/gazeta/dias/1823/08/24/pdfs/GES-1823-137.pdf#page=4","Abrir facsímil")</f>
        <v>Abrir facsímil</v>
      </c>
      <c r="K10266" t="s">
        <v>23</v>
      </c>
    </row>
    <row r="10267" spans="1:11" ht="42" customHeight="1">
      <c r="A10267" t="s">
        <v>20301</v>
      </c>
      <c r="B10267" t="s">
        <v>20302</v>
      </c>
      <c r="C10267" t="s">
        <v>17</v>
      </c>
      <c r="D10267" t="s">
        <v>18</v>
      </c>
      <c r="E10267" s="6">
        <v>-27865</v>
      </c>
      <c r="F10267" t="s">
        <v>9815</v>
      </c>
      <c r="G10267" t="s">
        <v>20</v>
      </c>
      <c r="H10267" t="s">
        <v>21</v>
      </c>
      <c r="I10267" t="s">
        <v>20303</v>
      </c>
      <c r="J10267" t="str">
        <f>HYPERLINK("https://www.boe.es/gazeta/dias/1823/09/15/pdfs/GES-1823-159.pdf#page=4","Abrir facsímil")</f>
        <v>Abrir facsímil</v>
      </c>
      <c r="K10267" t="s">
        <v>23</v>
      </c>
    </row>
    <row r="10268" spans="1:11" ht="42" customHeight="1">
      <c r="A10268" t="s">
        <v>20304</v>
      </c>
      <c r="B10268" t="s">
        <v>20305</v>
      </c>
      <c r="C10268" t="s">
        <v>56</v>
      </c>
      <c r="D10268" t="s">
        <v>57</v>
      </c>
      <c r="E10268" s="6">
        <v>-28022</v>
      </c>
      <c r="F10268" t="s">
        <v>439</v>
      </c>
      <c r="G10268" t="s">
        <v>39</v>
      </c>
      <c r="H10268" t="s">
        <v>21</v>
      </c>
      <c r="I10268" t="s">
        <v>20306</v>
      </c>
      <c r="J10268" t="str">
        <f>HYPERLINK("https://www.boe.es/gazeta/dias/1823/04/11/pdfs/GMD-1823-106.pdf#page=1","Abrir facsímil")</f>
        <v>Abrir facsímil</v>
      </c>
      <c r="K10268" t="s">
        <v>23</v>
      </c>
    </row>
    <row r="10269" spans="1:11" ht="42" customHeight="1">
      <c r="A10269" t="s">
        <v>20304</v>
      </c>
      <c r="B10269" t="s">
        <v>20305</v>
      </c>
      <c r="C10269" t="s">
        <v>56</v>
      </c>
      <c r="D10269" t="s">
        <v>57</v>
      </c>
      <c r="E10269" s="6">
        <v>-28017</v>
      </c>
      <c r="F10269" t="s">
        <v>2912</v>
      </c>
      <c r="G10269" t="s">
        <v>27</v>
      </c>
      <c r="H10269" t="s">
        <v>21</v>
      </c>
      <c r="I10269" t="s">
        <v>20307</v>
      </c>
      <c r="J10269" t="str">
        <f>HYPERLINK("https://www.boe.es/gazeta/dias/1823/04/16/pdfs/GES-1823-6.pdf#page=2","Abrir facsímil")</f>
        <v>Abrir facsímil</v>
      </c>
      <c r="K10269" t="s">
        <v>23</v>
      </c>
    </row>
    <row r="10270" spans="1:11" ht="42" customHeight="1">
      <c r="A10270" t="s">
        <v>20308</v>
      </c>
      <c r="B10270" t="s">
        <v>20308</v>
      </c>
      <c r="C10270" t="s">
        <v>17</v>
      </c>
      <c r="D10270" t="s">
        <v>18</v>
      </c>
      <c r="E10270" s="6">
        <v>-27967</v>
      </c>
      <c r="F10270" t="s">
        <v>2493</v>
      </c>
      <c r="G10270" t="s">
        <v>48</v>
      </c>
      <c r="H10270" t="s">
        <v>21</v>
      </c>
      <c r="I10270" t="s">
        <v>20309</v>
      </c>
      <c r="J10270" t="str">
        <f>HYPERLINK("https://www.boe.es/gazeta/dias/1823/06/05/pdfs/GMD-1823-63.pdf#page=3","Abrir facsímil")</f>
        <v>Abrir facsímil</v>
      </c>
      <c r="K10270" t="s">
        <v>23</v>
      </c>
    </row>
    <row r="10271" spans="1:11" ht="42" customHeight="1">
      <c r="A10271" t="s">
        <v>20310</v>
      </c>
      <c r="B10271" t="s">
        <v>20310</v>
      </c>
      <c r="C10271" t="s">
        <v>17</v>
      </c>
      <c r="D10271" t="s">
        <v>18</v>
      </c>
      <c r="E10271" s="6">
        <v>-27946</v>
      </c>
      <c r="F10271" t="s">
        <v>1547</v>
      </c>
      <c r="G10271" t="s">
        <v>48</v>
      </c>
      <c r="H10271" t="s">
        <v>21</v>
      </c>
      <c r="I10271" t="s">
        <v>20311</v>
      </c>
      <c r="J10271" t="str">
        <f>HYPERLINK("https://www.boe.es/gazeta/dias/1823/06/26/pdfs/GMD-1823-283.pdf#page=3","Abrir facsímil")</f>
        <v>Abrir facsímil</v>
      </c>
      <c r="K10271" t="s">
        <v>23</v>
      </c>
    </row>
    <row r="10272" spans="1:11" ht="42" customHeight="1">
      <c r="A10272" t="s">
        <v>20312</v>
      </c>
      <c r="B10272" t="s">
        <v>20313</v>
      </c>
      <c r="C10272" t="s">
        <v>17</v>
      </c>
      <c r="D10272" t="s">
        <v>18</v>
      </c>
      <c r="E10272" s="6">
        <v>-28109</v>
      </c>
      <c r="F10272" t="s">
        <v>889</v>
      </c>
      <c r="G10272" t="s">
        <v>20</v>
      </c>
      <c r="H10272" t="s">
        <v>21</v>
      </c>
      <c r="I10272" t="s">
        <v>20314</v>
      </c>
      <c r="J10272" t="str">
        <f>HYPERLINK("https://www.boe.es/gazeta/dias/1823/01/14/pdfs/GMD-1823-14.pdf#page=4","Abrir facsímil")</f>
        <v>Abrir facsímil</v>
      </c>
      <c r="K10272" t="s">
        <v>23</v>
      </c>
    </row>
    <row r="10273" spans="1:11" ht="42" customHeight="1">
      <c r="A10273" t="s">
        <v>20315</v>
      </c>
      <c r="B10273" t="s">
        <v>20316</v>
      </c>
      <c r="C10273" t="s">
        <v>17</v>
      </c>
      <c r="D10273" t="s">
        <v>18</v>
      </c>
      <c r="E10273" s="6">
        <v>-27799</v>
      </c>
      <c r="F10273" t="s">
        <v>3388</v>
      </c>
      <c r="G10273" t="s">
        <v>48</v>
      </c>
      <c r="H10273" t="s">
        <v>21</v>
      </c>
      <c r="I10273" t="s">
        <v>20317</v>
      </c>
      <c r="J10273" t="str">
        <f>HYPERLINK("https://www.boe.es/gazeta/dias/1823/11/20/pdfs/GMD-1823-1143.pdf#page=3","Abrir facsímil")</f>
        <v>Abrir facsímil</v>
      </c>
      <c r="K10273" t="s">
        <v>23</v>
      </c>
    </row>
    <row r="10274" spans="1:11" ht="42" customHeight="1">
      <c r="A10274" t="s">
        <v>20318</v>
      </c>
      <c r="B10274" t="s">
        <v>20318</v>
      </c>
      <c r="C10274" t="s">
        <v>17</v>
      </c>
      <c r="D10274" t="s">
        <v>18</v>
      </c>
      <c r="E10274" s="6">
        <v>-27986</v>
      </c>
      <c r="F10274" t="s">
        <v>75</v>
      </c>
      <c r="G10274" t="s">
        <v>27</v>
      </c>
      <c r="H10274" t="s">
        <v>21</v>
      </c>
      <c r="I10274" t="s">
        <v>20319</v>
      </c>
      <c r="J10274" t="str">
        <f>HYPERLINK("https://www.boe.es/gazeta/dias/1823/05/17/pdfs/GES-1823-37.pdf#page=2","Abrir facsímil")</f>
        <v>Abrir facsímil</v>
      </c>
      <c r="K10274" t="s">
        <v>23</v>
      </c>
    </row>
    <row r="10275" spans="1:11" ht="42" customHeight="1">
      <c r="A10275" t="s">
        <v>20318</v>
      </c>
      <c r="B10275" t="s">
        <v>20318</v>
      </c>
      <c r="C10275" t="s">
        <v>17</v>
      </c>
      <c r="D10275" t="s">
        <v>18</v>
      </c>
      <c r="E10275" s="6">
        <v>-27972</v>
      </c>
      <c r="F10275" t="s">
        <v>429</v>
      </c>
      <c r="G10275" t="s">
        <v>39</v>
      </c>
      <c r="H10275" t="s">
        <v>21</v>
      </c>
      <c r="I10275" t="s">
        <v>20320</v>
      </c>
      <c r="J10275" t="str">
        <f>HYPERLINK("https://www.boe.es/gazeta/dias/1823/05/31/pdfs/GES-1823-54.pdf#page=1","Abrir facsímil")</f>
        <v>Abrir facsímil</v>
      </c>
      <c r="K10275" t="s">
        <v>23</v>
      </c>
    </row>
    <row r="10276" spans="1:11" ht="42" customHeight="1">
      <c r="A10276" t="s">
        <v>20321</v>
      </c>
      <c r="B10276" t="s">
        <v>20321</v>
      </c>
      <c r="C10276" t="s">
        <v>79</v>
      </c>
      <c r="D10276" t="s">
        <v>74</v>
      </c>
      <c r="E10276" s="6">
        <v>-27886</v>
      </c>
      <c r="F10276" t="s">
        <v>1779</v>
      </c>
      <c r="G10276" t="s">
        <v>20</v>
      </c>
      <c r="H10276" t="s">
        <v>21</v>
      </c>
      <c r="I10276" t="s">
        <v>20322</v>
      </c>
      <c r="J10276" t="str">
        <f>HYPERLINK("https://www.boe.es/gazeta/dias/1823/08/25/pdfs/GES-1823-138.pdf#page=4","Abrir facsímil")</f>
        <v>Abrir facsímil</v>
      </c>
      <c r="K10276" t="s">
        <v>23</v>
      </c>
    </row>
    <row r="10277" spans="1:11" ht="42" customHeight="1">
      <c r="A10277" t="s">
        <v>20323</v>
      </c>
      <c r="B10277" t="s">
        <v>20324</v>
      </c>
      <c r="C10277" t="s">
        <v>73</v>
      </c>
      <c r="D10277" t="s">
        <v>74</v>
      </c>
      <c r="E10277" s="6">
        <v>-28109</v>
      </c>
      <c r="F10277" t="s">
        <v>889</v>
      </c>
      <c r="G10277" t="s">
        <v>20</v>
      </c>
      <c r="H10277" t="s">
        <v>21</v>
      </c>
      <c r="I10277" t="s">
        <v>20325</v>
      </c>
      <c r="J10277" t="str">
        <f>HYPERLINK("https://www.boe.es/gazeta/dias/1823/01/14/pdfs/GMD-1823-14.pdf#page=4","Abrir facsímil")</f>
        <v>Abrir facsímil</v>
      </c>
      <c r="K10277" t="s">
        <v>23</v>
      </c>
    </row>
    <row r="10278" spans="1:11" ht="42" customHeight="1">
      <c r="A10278" t="s">
        <v>20326</v>
      </c>
      <c r="B10278" t="s">
        <v>20327</v>
      </c>
      <c r="C10278" t="s">
        <v>17</v>
      </c>
      <c r="D10278" t="s">
        <v>18</v>
      </c>
      <c r="E10278" s="6">
        <v>-28019</v>
      </c>
      <c r="F10278" t="s">
        <v>1663</v>
      </c>
      <c r="G10278" t="s">
        <v>48</v>
      </c>
      <c r="H10278" t="s">
        <v>21</v>
      </c>
      <c r="I10278" t="s">
        <v>20328</v>
      </c>
      <c r="J10278" t="str">
        <f>HYPERLINK("https://www.boe.es/gazeta/dias/1823/04/14/pdfs/GES-1823-4.pdf#page=3","Abrir facsímil")</f>
        <v>Abrir facsímil</v>
      </c>
      <c r="K10278" t="s">
        <v>23</v>
      </c>
    </row>
    <row r="10279" spans="1:11" ht="42" customHeight="1">
      <c r="A10279" t="s">
        <v>20326</v>
      </c>
      <c r="B10279" t="s">
        <v>20327</v>
      </c>
      <c r="C10279" t="s">
        <v>17</v>
      </c>
      <c r="D10279" t="s">
        <v>18</v>
      </c>
      <c r="E10279" s="6">
        <v>-28016</v>
      </c>
      <c r="F10279" t="s">
        <v>287</v>
      </c>
      <c r="G10279" t="s">
        <v>48</v>
      </c>
      <c r="H10279" t="s">
        <v>21</v>
      </c>
      <c r="I10279" t="s">
        <v>20329</v>
      </c>
      <c r="J10279" t="str">
        <f>HYPERLINK("https://www.boe.es/gazeta/dias/1823/04/17/pdfs/GMD-1823-22.pdf#page=3","Abrir facsímil")</f>
        <v>Abrir facsímil</v>
      </c>
      <c r="K10279" t="s">
        <v>23</v>
      </c>
    </row>
    <row r="10280" spans="1:11" ht="42" customHeight="1">
      <c r="A10280" t="s">
        <v>20326</v>
      </c>
      <c r="B10280" t="s">
        <v>20327</v>
      </c>
      <c r="C10280" t="s">
        <v>17</v>
      </c>
      <c r="D10280" t="s">
        <v>18</v>
      </c>
      <c r="E10280" s="6">
        <v>-27939</v>
      </c>
      <c r="F10280" t="s">
        <v>1403</v>
      </c>
      <c r="G10280" t="s">
        <v>715</v>
      </c>
      <c r="H10280" t="s">
        <v>21</v>
      </c>
      <c r="I10280" t="s">
        <v>20330</v>
      </c>
      <c r="J10280" t="str">
        <f>HYPERLINK("https://www.boe.es/gazeta/dias/1823/07/03/pdfs/GMD-1823-333.pdf#page=8","Abrir facsímil")</f>
        <v>Abrir facsímil</v>
      </c>
      <c r="K10280" t="s">
        <v>23</v>
      </c>
    </row>
    <row r="10281" spans="1:11" ht="42" customHeight="1">
      <c r="A10281" t="s">
        <v>20331</v>
      </c>
      <c r="B10281" t="s">
        <v>20332</v>
      </c>
      <c r="C10281" t="s">
        <v>17</v>
      </c>
      <c r="D10281" t="s">
        <v>18</v>
      </c>
      <c r="E10281" s="6">
        <v>-27982</v>
      </c>
      <c r="F10281" t="s">
        <v>340</v>
      </c>
      <c r="G10281" t="s">
        <v>27</v>
      </c>
      <c r="H10281" t="s">
        <v>28</v>
      </c>
      <c r="I10281" t="s">
        <v>20333</v>
      </c>
      <c r="J10281" t="str">
        <f>HYPERLINK("https://www.boe.es/gazeta/dias/1823/05/21/pdfs/GES-1823-42.pdf#page=2","Abrir facsímil")</f>
        <v>Abrir facsímil</v>
      </c>
      <c r="K10281" t="s">
        <v>30</v>
      </c>
    </row>
    <row r="10282" spans="1:11" ht="42" customHeight="1">
      <c r="A10282" t="s">
        <v>20334</v>
      </c>
      <c r="B10282" t="s">
        <v>20334</v>
      </c>
      <c r="C10282" t="s">
        <v>17</v>
      </c>
      <c r="D10282" t="s">
        <v>117</v>
      </c>
      <c r="E10282" s="6">
        <v>-27873</v>
      </c>
      <c r="F10282" t="s">
        <v>1668</v>
      </c>
      <c r="G10282" t="s">
        <v>3173</v>
      </c>
      <c r="H10282" t="s">
        <v>21</v>
      </c>
      <c r="I10282" t="s">
        <v>20335</v>
      </c>
      <c r="J10282" t="str">
        <f>HYPERLINK("https://www.boe.es/gazeta/dias/1823/09/07/pdfs/GMD-1823-72E.pdf#page=1","Abrir facsímil")</f>
        <v>Abrir facsímil</v>
      </c>
      <c r="K10282" t="s">
        <v>23</v>
      </c>
    </row>
    <row r="10283" spans="1:11" ht="42" customHeight="1">
      <c r="A10283" t="s">
        <v>20336</v>
      </c>
      <c r="B10283" t="s">
        <v>20336</v>
      </c>
      <c r="C10283" t="s">
        <v>17</v>
      </c>
      <c r="D10283" t="s">
        <v>18</v>
      </c>
      <c r="E10283" s="6">
        <v>-28077</v>
      </c>
      <c r="F10283" t="s">
        <v>536</v>
      </c>
      <c r="G10283" t="s">
        <v>59</v>
      </c>
      <c r="H10283" t="s">
        <v>21</v>
      </c>
      <c r="I10283" t="s">
        <v>20337</v>
      </c>
      <c r="J10283" t="str">
        <f>HYPERLINK("https://www.boe.es/gazeta/dias/1823/02/15/pdfs/GMD-1823-49.pdf#page=6","Abrir facsímil")</f>
        <v>Abrir facsímil</v>
      </c>
      <c r="K10283" t="s">
        <v>23</v>
      </c>
    </row>
    <row r="10284" spans="1:11" ht="42" customHeight="1">
      <c r="A10284" t="s">
        <v>20336</v>
      </c>
      <c r="B10284" t="s">
        <v>20336</v>
      </c>
      <c r="C10284" t="s">
        <v>17</v>
      </c>
      <c r="D10284" t="s">
        <v>18</v>
      </c>
      <c r="E10284" s="6">
        <v>-28074</v>
      </c>
      <c r="F10284" t="s">
        <v>212</v>
      </c>
      <c r="G10284" t="s">
        <v>39</v>
      </c>
      <c r="H10284" t="s">
        <v>21</v>
      </c>
      <c r="I10284" t="s">
        <v>20338</v>
      </c>
      <c r="J10284" t="str">
        <f>HYPERLINK("https://www.boe.es/gazeta/dias/1823/02/18/pdfs/GMD-1823-52.pdf#page=1","Abrir facsímil")</f>
        <v>Abrir facsímil</v>
      </c>
      <c r="K10284" t="s">
        <v>23</v>
      </c>
    </row>
    <row r="10285" spans="1:11" ht="42" customHeight="1">
      <c r="A10285" t="s">
        <v>20336</v>
      </c>
      <c r="B10285" t="s">
        <v>20336</v>
      </c>
      <c r="C10285" t="s">
        <v>17</v>
      </c>
      <c r="D10285" t="s">
        <v>18</v>
      </c>
      <c r="E10285" s="6">
        <v>-28025</v>
      </c>
      <c r="F10285" t="s">
        <v>477</v>
      </c>
      <c r="G10285" t="s">
        <v>48</v>
      </c>
      <c r="H10285" t="s">
        <v>21</v>
      </c>
      <c r="I10285" t="s">
        <v>20339</v>
      </c>
      <c r="J10285" t="str">
        <f>HYPERLINK("https://www.boe.es/gazeta/dias/1823/04/08/pdfs/GMD-1823-103.pdf#page=3","Abrir facsímil")</f>
        <v>Abrir facsímil</v>
      </c>
      <c r="K10285" t="s">
        <v>23</v>
      </c>
    </row>
    <row r="10286" spans="1:11" ht="42" customHeight="1">
      <c r="A10286" t="s">
        <v>20340</v>
      </c>
      <c r="B10286" t="s">
        <v>20340</v>
      </c>
      <c r="C10286" t="s">
        <v>17</v>
      </c>
      <c r="D10286" t="s">
        <v>18</v>
      </c>
      <c r="E10286" s="6">
        <v>-28017</v>
      </c>
      <c r="F10286" t="s">
        <v>2912</v>
      </c>
      <c r="G10286" t="s">
        <v>39</v>
      </c>
      <c r="H10286" t="s">
        <v>21</v>
      </c>
      <c r="I10286" t="s">
        <v>20341</v>
      </c>
      <c r="J10286" t="str">
        <f>HYPERLINK("https://www.boe.es/gazeta/dias/1823/04/16/pdfs/GES-1823-6.pdf#page=1","Abrir facsímil")</f>
        <v>Abrir facsímil</v>
      </c>
      <c r="K10286" t="s">
        <v>23</v>
      </c>
    </row>
    <row r="10287" spans="1:11" ht="42" customHeight="1">
      <c r="A10287" t="s">
        <v>20342</v>
      </c>
      <c r="B10287" t="s">
        <v>20343</v>
      </c>
      <c r="C10287" t="s">
        <v>56</v>
      </c>
      <c r="D10287" t="s">
        <v>57</v>
      </c>
      <c r="E10287" s="6">
        <v>-27857</v>
      </c>
      <c r="F10287" t="s">
        <v>4857</v>
      </c>
      <c r="G10287" t="s">
        <v>20</v>
      </c>
      <c r="H10287" t="s">
        <v>21</v>
      </c>
      <c r="I10287" t="s">
        <v>20344</v>
      </c>
      <c r="J10287" t="str">
        <f>HYPERLINK("https://www.boe.es/gazeta/dias/1823/09/23/pdfs/GES-1823-167.pdf#page=4","Abrir facsímil")</f>
        <v>Abrir facsímil</v>
      </c>
      <c r="K10287" t="s">
        <v>23</v>
      </c>
    </row>
    <row r="10288" spans="1:11" ht="42" customHeight="1">
      <c r="A10288" t="s">
        <v>20345</v>
      </c>
      <c r="B10288" t="s">
        <v>20346</v>
      </c>
      <c r="C10288" t="s">
        <v>17</v>
      </c>
      <c r="D10288" t="s">
        <v>18</v>
      </c>
      <c r="E10288" s="6">
        <v>-27901</v>
      </c>
      <c r="F10288" t="s">
        <v>840</v>
      </c>
      <c r="G10288" t="s">
        <v>20</v>
      </c>
      <c r="H10288" t="s">
        <v>21</v>
      </c>
      <c r="I10288" t="s">
        <v>20347</v>
      </c>
      <c r="J10288" t="str">
        <f>HYPERLINK("https://www.boe.es/gazeta/dias/1823/08/10/pdfs/GES-1823-123.pdf#page=4","Abrir facsímil")</f>
        <v>Abrir facsímil</v>
      </c>
      <c r="K10288" t="s">
        <v>23</v>
      </c>
    </row>
    <row r="10289" spans="1:11" ht="42" customHeight="1">
      <c r="A10289" t="s">
        <v>20348</v>
      </c>
      <c r="B10289" t="s">
        <v>20348</v>
      </c>
      <c r="C10289" t="s">
        <v>79</v>
      </c>
      <c r="D10289" t="s">
        <v>74</v>
      </c>
      <c r="E10289" s="6">
        <v>-28115</v>
      </c>
      <c r="F10289" t="s">
        <v>579</v>
      </c>
      <c r="G10289" t="s">
        <v>27</v>
      </c>
      <c r="H10289" t="s">
        <v>21</v>
      </c>
      <c r="I10289" t="s">
        <v>20349</v>
      </c>
      <c r="J10289" t="str">
        <f>HYPERLINK("https://www.boe.es/gazeta/dias/1823/01/08/pdfs/GMD-1823-8.pdf#page=2","Abrir facsímil")</f>
        <v>Abrir facsímil</v>
      </c>
      <c r="K10289" t="s">
        <v>23</v>
      </c>
    </row>
    <row r="10290" spans="1:11" ht="42" customHeight="1">
      <c r="A10290" t="s">
        <v>20348</v>
      </c>
      <c r="B10290" t="s">
        <v>20348</v>
      </c>
      <c r="C10290" t="s">
        <v>17</v>
      </c>
      <c r="D10290" t="s">
        <v>18</v>
      </c>
      <c r="E10290" s="6">
        <v>-28061</v>
      </c>
      <c r="F10290" t="s">
        <v>704</v>
      </c>
      <c r="G10290" t="s">
        <v>39</v>
      </c>
      <c r="H10290" t="s">
        <v>21</v>
      </c>
      <c r="I10290" t="s">
        <v>20350</v>
      </c>
      <c r="J10290" t="str">
        <f>HYPERLINK("https://www.boe.es/gazeta/dias/1823/03/03/pdfs/GMD-1823-66.pdf#page=1","Abrir facsímil")</f>
        <v>Abrir facsímil</v>
      </c>
      <c r="K10290" t="s">
        <v>23</v>
      </c>
    </row>
    <row r="10291" spans="1:11" ht="42" customHeight="1">
      <c r="A10291" t="s">
        <v>20348</v>
      </c>
      <c r="B10291" t="s">
        <v>20348</v>
      </c>
      <c r="C10291" t="s">
        <v>17</v>
      </c>
      <c r="D10291" t="s">
        <v>18</v>
      </c>
      <c r="E10291" s="6">
        <v>-27989</v>
      </c>
      <c r="F10291" t="s">
        <v>1134</v>
      </c>
      <c r="G10291" t="s">
        <v>20</v>
      </c>
      <c r="H10291" t="s">
        <v>21</v>
      </c>
      <c r="I10291" t="s">
        <v>20351</v>
      </c>
      <c r="J10291" t="str">
        <f>HYPERLINK("https://www.boe.es/gazeta/dias/1823/05/14/pdfs/GES-1823-34.pdf#page=4","Abrir facsímil")</f>
        <v>Abrir facsímil</v>
      </c>
      <c r="K10291" t="s">
        <v>23</v>
      </c>
    </row>
    <row r="10292" spans="1:11" ht="42" customHeight="1">
      <c r="A10292" t="s">
        <v>20348</v>
      </c>
      <c r="B10292" t="s">
        <v>20348</v>
      </c>
      <c r="C10292" t="s">
        <v>17</v>
      </c>
      <c r="D10292" t="s">
        <v>18</v>
      </c>
      <c r="E10292" s="6">
        <v>-27889</v>
      </c>
      <c r="F10292" t="s">
        <v>1306</v>
      </c>
      <c r="G10292" t="s">
        <v>20</v>
      </c>
      <c r="H10292" t="s">
        <v>21</v>
      </c>
      <c r="I10292" t="s">
        <v>20352</v>
      </c>
      <c r="J10292" t="str">
        <f>HYPERLINK("https://www.boe.es/gazeta/dias/1823/08/22/pdfs/GES-1823-135.pdf#page=4","Abrir facsímil")</f>
        <v>Abrir facsímil</v>
      </c>
      <c r="K10292" t="s">
        <v>23</v>
      </c>
    </row>
    <row r="10293" spans="1:11" ht="42" customHeight="1">
      <c r="A10293" t="s">
        <v>20353</v>
      </c>
      <c r="B10293" t="s">
        <v>20354</v>
      </c>
      <c r="C10293" t="s">
        <v>17</v>
      </c>
      <c r="D10293" t="s">
        <v>18</v>
      </c>
      <c r="E10293" s="6">
        <v>-28066</v>
      </c>
      <c r="F10293" t="s">
        <v>19</v>
      </c>
      <c r="G10293" t="s">
        <v>20</v>
      </c>
      <c r="H10293" t="s">
        <v>28</v>
      </c>
      <c r="I10293" t="s">
        <v>20355</v>
      </c>
      <c r="J10293" t="str">
        <f>HYPERLINK("https://www.boe.es/gazeta/dias/1823/02/26/pdfs/GMD-1823-60.pdf#page=4","Abrir facsímil")</f>
        <v>Abrir facsímil</v>
      </c>
      <c r="K10293" t="s">
        <v>30</v>
      </c>
    </row>
    <row r="10294" spans="1:11" ht="42" customHeight="1">
      <c r="A10294" t="s">
        <v>20356</v>
      </c>
      <c r="B10294" t="s">
        <v>20357</v>
      </c>
      <c r="C10294" t="s">
        <v>17</v>
      </c>
      <c r="D10294" t="s">
        <v>18</v>
      </c>
      <c r="E10294" s="6">
        <v>-27953</v>
      </c>
      <c r="F10294" t="s">
        <v>1543</v>
      </c>
      <c r="G10294" t="s">
        <v>39</v>
      </c>
      <c r="H10294" t="s">
        <v>21</v>
      </c>
      <c r="I10294" t="s">
        <v>20358</v>
      </c>
      <c r="J10294" t="str">
        <f>HYPERLINK("https://www.boe.es/gazeta/dias/1823/06/19/pdfs/GMD-1823-193.pdf#page=1","Abrir facsímil")</f>
        <v>Abrir facsímil</v>
      </c>
      <c r="K10294" t="s">
        <v>23</v>
      </c>
    </row>
    <row r="10295" spans="1:11" ht="42" customHeight="1">
      <c r="A10295" t="s">
        <v>20359</v>
      </c>
      <c r="B10295" t="s">
        <v>20360</v>
      </c>
      <c r="C10295" t="s">
        <v>17</v>
      </c>
      <c r="D10295" t="s">
        <v>18</v>
      </c>
      <c r="E10295" s="6">
        <v>-28095</v>
      </c>
      <c r="F10295" t="s">
        <v>1770</v>
      </c>
      <c r="G10295" t="s">
        <v>20</v>
      </c>
      <c r="H10295" t="s">
        <v>21</v>
      </c>
      <c r="I10295" t="s">
        <v>20361</v>
      </c>
      <c r="J10295" t="str">
        <f>HYPERLINK("https://www.boe.es/gazeta/dias/1823/01/28/pdfs/GMD-1823-29.pdf#page=4","Abrir facsímil")</f>
        <v>Abrir facsímil</v>
      </c>
      <c r="K10295" t="s">
        <v>23</v>
      </c>
    </row>
    <row r="10296" spans="1:11" ht="42" customHeight="1">
      <c r="A10296" t="s">
        <v>20362</v>
      </c>
      <c r="B10296" t="s">
        <v>20363</v>
      </c>
      <c r="C10296" t="s">
        <v>17</v>
      </c>
      <c r="D10296" t="s">
        <v>18</v>
      </c>
      <c r="E10296" s="6">
        <v>-27944</v>
      </c>
      <c r="F10296" t="s">
        <v>2823</v>
      </c>
      <c r="G10296" t="s">
        <v>48</v>
      </c>
      <c r="H10296" t="s">
        <v>21</v>
      </c>
      <c r="I10296" t="s">
        <v>20364</v>
      </c>
      <c r="J10296" t="str">
        <f>HYPERLINK("https://www.boe.es/gazeta/dias/1823/06/28/pdfs/GES-1823-78.pdf#page=3","Abrir facsímil")</f>
        <v>Abrir facsímil</v>
      </c>
      <c r="K10296" t="s">
        <v>23</v>
      </c>
    </row>
    <row r="10297" spans="1:11" ht="42" customHeight="1">
      <c r="A10297" t="s">
        <v>20365</v>
      </c>
      <c r="B10297" t="s">
        <v>20366</v>
      </c>
      <c r="C10297" t="s">
        <v>17</v>
      </c>
      <c r="D10297" t="s">
        <v>18</v>
      </c>
      <c r="E10297" s="6">
        <v>-28057</v>
      </c>
      <c r="F10297" t="s">
        <v>301</v>
      </c>
      <c r="G10297" t="s">
        <v>27</v>
      </c>
      <c r="H10297" t="s">
        <v>28</v>
      </c>
      <c r="I10297" t="s">
        <v>20367</v>
      </c>
      <c r="J10297" t="str">
        <f>HYPERLINK("https://www.boe.es/gazeta/dias/1823/03/07/pdfs/GMD-1823-70.pdf#page=2","Abrir facsímil")</f>
        <v>Abrir facsímil</v>
      </c>
      <c r="K10297" t="s">
        <v>30</v>
      </c>
    </row>
    <row r="10298" spans="1:11" ht="42" customHeight="1">
      <c r="A10298" t="s">
        <v>20368</v>
      </c>
      <c r="B10298" t="s">
        <v>20369</v>
      </c>
      <c r="C10298" t="s">
        <v>79</v>
      </c>
      <c r="D10298" t="s">
        <v>74</v>
      </c>
      <c r="E10298" s="6">
        <v>-27849</v>
      </c>
      <c r="F10298" t="s">
        <v>7011</v>
      </c>
      <c r="G10298" t="s">
        <v>20</v>
      </c>
      <c r="H10298" t="s">
        <v>21</v>
      </c>
      <c r="I10298" t="s">
        <v>20370</v>
      </c>
      <c r="J10298" t="str">
        <f>HYPERLINK("https://www.boe.es/gazeta/dias/1823/10/01/pdfs/GES-1823-175.pdf#page=4","Abrir facsímil")</f>
        <v>Abrir facsímil</v>
      </c>
      <c r="K10298" t="s">
        <v>23</v>
      </c>
    </row>
    <row r="10299" spans="1:11" ht="42" customHeight="1">
      <c r="A10299" t="s">
        <v>20371</v>
      </c>
      <c r="B10299" t="s">
        <v>20372</v>
      </c>
      <c r="C10299" t="s">
        <v>56</v>
      </c>
      <c r="D10299" t="s">
        <v>57</v>
      </c>
      <c r="E10299" s="6">
        <v>-28053</v>
      </c>
      <c r="F10299" t="s">
        <v>303</v>
      </c>
      <c r="G10299" t="s">
        <v>20</v>
      </c>
      <c r="H10299" t="s">
        <v>21</v>
      </c>
      <c r="I10299" t="s">
        <v>20373</v>
      </c>
      <c r="J10299" t="str">
        <f>HYPERLINK("https://www.boe.es/gazeta/dias/1823/03/11/pdfs/GMD-1823-74.pdf#page=4","Abrir facsímil")</f>
        <v>Abrir facsímil</v>
      </c>
      <c r="K10299" t="s">
        <v>23</v>
      </c>
    </row>
    <row r="10300" spans="1:11" ht="42" customHeight="1">
      <c r="A10300" t="s">
        <v>20374</v>
      </c>
      <c r="B10300" t="s">
        <v>20375</v>
      </c>
      <c r="C10300" t="s">
        <v>17</v>
      </c>
      <c r="D10300" t="s">
        <v>18</v>
      </c>
      <c r="E10300" s="6">
        <v>-28104</v>
      </c>
      <c r="F10300" t="s">
        <v>114</v>
      </c>
      <c r="G10300" t="s">
        <v>59</v>
      </c>
      <c r="H10300" t="s">
        <v>21</v>
      </c>
      <c r="I10300" t="s">
        <v>20376</v>
      </c>
      <c r="J10300" t="str">
        <f>HYPERLINK("https://www.boe.es/gazeta/dias/1823/01/19/pdfs/GMD-1823-19.pdf#page=6","Abrir facsímil")</f>
        <v>Abrir facsímil</v>
      </c>
      <c r="K10300" t="s">
        <v>23</v>
      </c>
    </row>
    <row r="10301" spans="1:11" ht="42" customHeight="1">
      <c r="A10301" t="s">
        <v>20377</v>
      </c>
      <c r="B10301" t="s">
        <v>20378</v>
      </c>
      <c r="C10301" t="s">
        <v>56</v>
      </c>
      <c r="D10301" t="s">
        <v>57</v>
      </c>
      <c r="E10301" s="6">
        <v>-27935</v>
      </c>
      <c r="F10301" t="s">
        <v>350</v>
      </c>
      <c r="G10301" t="s">
        <v>20</v>
      </c>
      <c r="H10301" t="s">
        <v>21</v>
      </c>
      <c r="I10301" t="s">
        <v>20379</v>
      </c>
      <c r="J10301" t="str">
        <f>HYPERLINK("https://www.boe.es/gazeta/dias/1823/07/07/pdfs/GES-1823-87.pdf#page=4","Abrir facsímil")</f>
        <v>Abrir facsímil</v>
      </c>
      <c r="K10301" t="s">
        <v>23</v>
      </c>
    </row>
    <row r="10302" spans="1:11" ht="42" customHeight="1">
      <c r="A10302" t="s">
        <v>20377</v>
      </c>
      <c r="B10302" t="s">
        <v>20378</v>
      </c>
      <c r="C10302" t="s">
        <v>17</v>
      </c>
      <c r="D10302" t="s">
        <v>18</v>
      </c>
      <c r="E10302" s="6">
        <v>-27906</v>
      </c>
      <c r="F10302" t="s">
        <v>241</v>
      </c>
      <c r="G10302" t="s">
        <v>48</v>
      </c>
      <c r="H10302" t="s">
        <v>21</v>
      </c>
      <c r="I10302" t="s">
        <v>20380</v>
      </c>
      <c r="J10302" t="str">
        <f>HYPERLINK("https://www.boe.es/gazeta/dias/1823/08/05/pdfs/GES-1823-117.pdf#page=3","Abrir facsímil")</f>
        <v>Abrir facsímil</v>
      </c>
      <c r="K10302" t="s">
        <v>23</v>
      </c>
    </row>
    <row r="10303" spans="1:11" ht="42" customHeight="1">
      <c r="A10303" t="s">
        <v>20381</v>
      </c>
      <c r="B10303" t="s">
        <v>20381</v>
      </c>
      <c r="C10303" t="s">
        <v>79</v>
      </c>
      <c r="D10303" t="s">
        <v>74</v>
      </c>
      <c r="E10303" s="6">
        <v>-28108</v>
      </c>
      <c r="F10303" t="s">
        <v>406</v>
      </c>
      <c r="G10303" t="s">
        <v>20</v>
      </c>
      <c r="H10303" t="s">
        <v>21</v>
      </c>
      <c r="I10303" t="s">
        <v>20382</v>
      </c>
      <c r="J10303" t="str">
        <f>HYPERLINK("https://www.boe.es/gazeta/dias/1823/01/15/pdfs/GMD-1823-15.pdf#page=4","Abrir facsímil")</f>
        <v>Abrir facsímil</v>
      </c>
      <c r="K10303" t="s">
        <v>23</v>
      </c>
    </row>
    <row r="10304" spans="1:11" ht="42" customHeight="1">
      <c r="A10304" t="s">
        <v>20381</v>
      </c>
      <c r="B10304" t="s">
        <v>20381</v>
      </c>
      <c r="C10304" t="s">
        <v>84</v>
      </c>
      <c r="D10304" t="s">
        <v>74</v>
      </c>
      <c r="E10304" s="6">
        <v>-28092</v>
      </c>
      <c r="F10304" t="s">
        <v>105</v>
      </c>
      <c r="G10304" t="s">
        <v>59</v>
      </c>
      <c r="H10304" t="s">
        <v>21</v>
      </c>
      <c r="I10304" t="s">
        <v>20383</v>
      </c>
      <c r="J10304" t="str">
        <f>HYPERLINK("https://www.boe.es/gazeta/dias/1823/01/31/pdfs/GMD-1823-32.pdf#page=6","Abrir facsímil")</f>
        <v>Abrir facsímil</v>
      </c>
      <c r="K10304" t="s">
        <v>23</v>
      </c>
    </row>
    <row r="10305" spans="1:11" ht="42" customHeight="1">
      <c r="A10305" t="s">
        <v>20381</v>
      </c>
      <c r="B10305" t="s">
        <v>20381</v>
      </c>
      <c r="C10305" t="s">
        <v>79</v>
      </c>
      <c r="D10305" t="s">
        <v>74</v>
      </c>
      <c r="E10305" s="6">
        <v>-28048</v>
      </c>
      <c r="F10305" t="s">
        <v>399</v>
      </c>
      <c r="G10305" t="s">
        <v>20</v>
      </c>
      <c r="H10305" t="s">
        <v>21</v>
      </c>
      <c r="I10305" t="s">
        <v>20384</v>
      </c>
      <c r="J10305" t="str">
        <f>HYPERLINK("https://www.boe.es/gazeta/dias/1823/03/16/pdfs/GMD-1823-79.pdf#page=4","Abrir facsímil")</f>
        <v>Abrir facsímil</v>
      </c>
      <c r="K10305" t="s">
        <v>23</v>
      </c>
    </row>
    <row r="10306" spans="1:11" ht="42" customHeight="1">
      <c r="A10306" t="s">
        <v>20381</v>
      </c>
      <c r="B10306" t="s">
        <v>20381</v>
      </c>
      <c r="C10306" t="s">
        <v>17</v>
      </c>
      <c r="D10306" t="s">
        <v>18</v>
      </c>
      <c r="E10306" s="6">
        <v>-28040</v>
      </c>
      <c r="F10306" t="s">
        <v>2971</v>
      </c>
      <c r="G10306" t="s">
        <v>8045</v>
      </c>
      <c r="H10306" t="s">
        <v>21</v>
      </c>
      <c r="I10306" t="s">
        <v>20385</v>
      </c>
      <c r="J10306" t="str">
        <f>HYPERLINK("https://www.boe.es/gazeta/dias/1823/03/24/pdfs/GMD-1823-87.pdf#page=2","Abrir facsímil")</f>
        <v>Abrir facsímil</v>
      </c>
      <c r="K10306" t="s">
        <v>23</v>
      </c>
    </row>
    <row r="10307" spans="1:11" ht="42" customHeight="1">
      <c r="A10307" t="s">
        <v>20386</v>
      </c>
      <c r="B10307" t="s">
        <v>20386</v>
      </c>
      <c r="C10307" t="s">
        <v>325</v>
      </c>
      <c r="D10307" t="s">
        <v>74</v>
      </c>
      <c r="E10307" s="6">
        <v>-28110</v>
      </c>
      <c r="F10307" t="s">
        <v>249</v>
      </c>
      <c r="G10307" t="s">
        <v>20</v>
      </c>
      <c r="H10307" t="s">
        <v>21</v>
      </c>
      <c r="I10307" t="s">
        <v>20387</v>
      </c>
      <c r="J10307" t="str">
        <f>HYPERLINK("https://www.boe.es/gazeta/dias/1823/01/13/pdfs/GMD-1823-13.pdf#page=4","Abrir facsímil")</f>
        <v>Abrir facsímil</v>
      </c>
      <c r="K10307" t="s">
        <v>23</v>
      </c>
    </row>
    <row r="10308" spans="1:11" ht="42" customHeight="1">
      <c r="A10308" t="s">
        <v>20386</v>
      </c>
      <c r="B10308" t="s">
        <v>20386</v>
      </c>
      <c r="C10308" t="s">
        <v>17</v>
      </c>
      <c r="D10308" t="s">
        <v>18</v>
      </c>
      <c r="E10308" s="6">
        <v>-28090</v>
      </c>
      <c r="F10308" t="s">
        <v>174</v>
      </c>
      <c r="G10308" t="s">
        <v>39</v>
      </c>
      <c r="H10308" t="s">
        <v>21</v>
      </c>
      <c r="I10308" t="s">
        <v>20388</v>
      </c>
      <c r="J10308" t="str">
        <f>HYPERLINK("https://www.boe.es/gazeta/dias/1823/02/02/pdfs/GMD-1823-35.pdf#page=1","Abrir facsímil")</f>
        <v>Abrir facsímil</v>
      </c>
      <c r="K10308" t="s">
        <v>23</v>
      </c>
    </row>
    <row r="10309" spans="1:11" ht="42" customHeight="1">
      <c r="A10309" t="s">
        <v>20386</v>
      </c>
      <c r="B10309" t="s">
        <v>20386</v>
      </c>
      <c r="C10309" t="s">
        <v>56</v>
      </c>
      <c r="D10309" t="s">
        <v>57</v>
      </c>
      <c r="E10309" s="6">
        <v>-28084</v>
      </c>
      <c r="F10309" t="s">
        <v>1049</v>
      </c>
      <c r="G10309" t="s">
        <v>3129</v>
      </c>
      <c r="H10309" t="s">
        <v>21</v>
      </c>
      <c r="I10309" t="s">
        <v>20389</v>
      </c>
      <c r="J10309" t="str">
        <f>HYPERLINK("https://www.boe.es/gazeta/dias/1823/02/08/pdfs/GMD-1823-41.pdf#page=2","Abrir facsímil")</f>
        <v>Abrir facsímil</v>
      </c>
      <c r="K10309" t="s">
        <v>23</v>
      </c>
    </row>
    <row r="10310" spans="1:11" ht="42" customHeight="1">
      <c r="A10310" t="s">
        <v>20386</v>
      </c>
      <c r="B10310" t="s">
        <v>20386</v>
      </c>
      <c r="C10310" t="s">
        <v>109</v>
      </c>
      <c r="D10310" t="s">
        <v>74</v>
      </c>
      <c r="E10310" s="6">
        <v>-28057</v>
      </c>
      <c r="F10310" t="s">
        <v>301</v>
      </c>
      <c r="G10310" t="s">
        <v>27</v>
      </c>
      <c r="H10310" t="s">
        <v>21</v>
      </c>
      <c r="I10310" t="s">
        <v>20390</v>
      </c>
      <c r="J10310" t="str">
        <f>HYPERLINK("https://www.boe.es/gazeta/dias/1823/03/07/pdfs/GMD-1823-70.pdf#page=2","Abrir facsímil")</f>
        <v>Abrir facsímil</v>
      </c>
      <c r="K10310" t="s">
        <v>23</v>
      </c>
    </row>
    <row r="10311" spans="1:11" ht="42" customHeight="1">
      <c r="A10311" t="s">
        <v>20386</v>
      </c>
      <c r="B10311" t="s">
        <v>20386</v>
      </c>
      <c r="C10311" t="s">
        <v>109</v>
      </c>
      <c r="D10311" t="s">
        <v>74</v>
      </c>
      <c r="E10311" s="6">
        <v>-27981</v>
      </c>
      <c r="F10311" t="s">
        <v>1521</v>
      </c>
      <c r="G10311" t="s">
        <v>2395</v>
      </c>
      <c r="H10311" t="s">
        <v>21</v>
      </c>
      <c r="I10311" t="s">
        <v>20391</v>
      </c>
      <c r="J10311" t="str">
        <f>HYPERLINK("https://www.boe.es/gazeta/dias/1823/05/22/pdfs/GES-1823-43.pdf#page=2","Abrir facsímil")</f>
        <v>Abrir facsímil</v>
      </c>
      <c r="K10311" t="s">
        <v>23</v>
      </c>
    </row>
    <row r="10312" spans="1:11" ht="42" customHeight="1">
      <c r="A10312" t="s">
        <v>20386</v>
      </c>
      <c r="B10312" t="s">
        <v>20386</v>
      </c>
      <c r="C10312" t="s">
        <v>79</v>
      </c>
      <c r="D10312" t="s">
        <v>74</v>
      </c>
      <c r="E10312" s="6">
        <v>-27935</v>
      </c>
      <c r="F10312" t="s">
        <v>350</v>
      </c>
      <c r="G10312" t="s">
        <v>39</v>
      </c>
      <c r="H10312" t="s">
        <v>21</v>
      </c>
      <c r="I10312" t="s">
        <v>20392</v>
      </c>
      <c r="J10312" t="str">
        <f>HYPERLINK("https://www.boe.es/gazeta/dias/1823/07/07/pdfs/GES-1823-87.pdf#page=1","Abrir facsímil")</f>
        <v>Abrir facsímil</v>
      </c>
      <c r="K10312" t="s">
        <v>23</v>
      </c>
    </row>
    <row r="10313" spans="1:11" ht="42" customHeight="1">
      <c r="A10313" t="s">
        <v>20386</v>
      </c>
      <c r="B10313" t="s">
        <v>20386</v>
      </c>
      <c r="C10313" t="s">
        <v>17</v>
      </c>
      <c r="D10313" t="s">
        <v>18</v>
      </c>
      <c r="E10313" s="6">
        <v>-27877</v>
      </c>
      <c r="F10313" t="s">
        <v>844</v>
      </c>
      <c r="G10313" t="s">
        <v>39</v>
      </c>
      <c r="H10313" t="s">
        <v>21</v>
      </c>
      <c r="I10313" t="s">
        <v>20393</v>
      </c>
      <c r="J10313" t="str">
        <f>HYPERLINK("https://www.boe.es/gazeta/dias/1823/09/03/pdfs/GES-1823-147.pdf#page=1","Abrir facsímil")</f>
        <v>Abrir facsímil</v>
      </c>
      <c r="K10313" t="s">
        <v>23</v>
      </c>
    </row>
    <row r="10314" spans="1:11" ht="42" customHeight="1">
      <c r="A10314" t="s">
        <v>20386</v>
      </c>
      <c r="B10314" t="s">
        <v>20386</v>
      </c>
      <c r="C10314" t="s">
        <v>73</v>
      </c>
      <c r="D10314" t="s">
        <v>74</v>
      </c>
      <c r="E10314" s="6">
        <v>-27863</v>
      </c>
      <c r="F10314" t="s">
        <v>651</v>
      </c>
      <c r="G10314" t="s">
        <v>20</v>
      </c>
      <c r="H10314" t="s">
        <v>21</v>
      </c>
      <c r="I10314" t="s">
        <v>20394</v>
      </c>
      <c r="J10314" t="str">
        <f>HYPERLINK("https://www.boe.es/gazeta/dias/1823/09/17/pdfs/GES-1823-161.pdf#page=4","Abrir facsímil")</f>
        <v>Abrir facsímil</v>
      </c>
      <c r="K10314" t="s">
        <v>23</v>
      </c>
    </row>
    <row r="10315" spans="1:11" ht="42" customHeight="1">
      <c r="A10315" t="s">
        <v>20386</v>
      </c>
      <c r="B10315" t="s">
        <v>20386</v>
      </c>
      <c r="C10315" t="s">
        <v>17</v>
      </c>
      <c r="D10315" t="s">
        <v>18</v>
      </c>
      <c r="E10315" s="6">
        <v>-27773</v>
      </c>
      <c r="F10315" t="s">
        <v>513</v>
      </c>
      <c r="G10315" t="s">
        <v>20</v>
      </c>
      <c r="H10315" t="s">
        <v>21</v>
      </c>
      <c r="I10315" t="s">
        <v>20395</v>
      </c>
      <c r="J10315" t="str">
        <f>HYPERLINK("https://www.boe.es/gazeta/dias/1823/12/16/pdfs/GMD-1823-1253.pdf#page=4","Abrir facsímil")</f>
        <v>Abrir facsímil</v>
      </c>
      <c r="K10315" t="s">
        <v>23</v>
      </c>
    </row>
    <row r="10316" spans="1:11" ht="42" customHeight="1">
      <c r="A10316" t="s">
        <v>20396</v>
      </c>
      <c r="B10316" t="s">
        <v>20397</v>
      </c>
      <c r="C10316" t="s">
        <v>56</v>
      </c>
      <c r="D10316" t="s">
        <v>57</v>
      </c>
      <c r="E10316" s="6">
        <v>-27935</v>
      </c>
      <c r="F10316" t="s">
        <v>350</v>
      </c>
      <c r="G10316" t="s">
        <v>20</v>
      </c>
      <c r="H10316" t="s">
        <v>21</v>
      </c>
      <c r="I10316" t="s">
        <v>20398</v>
      </c>
      <c r="J10316" t="str">
        <f>HYPERLINK("https://www.boe.es/gazeta/dias/1823/07/07/pdfs/GES-1823-87.pdf#page=4","Abrir facsímil")</f>
        <v>Abrir facsímil</v>
      </c>
      <c r="K10316" t="s">
        <v>23</v>
      </c>
    </row>
    <row r="10317" spans="1:11" ht="42" customHeight="1">
      <c r="A10317" t="s">
        <v>20399</v>
      </c>
      <c r="B10317" t="s">
        <v>20399</v>
      </c>
      <c r="C10317" t="s">
        <v>56</v>
      </c>
      <c r="D10317" t="s">
        <v>57</v>
      </c>
      <c r="E10317" s="6">
        <v>-28050</v>
      </c>
      <c r="F10317" t="s">
        <v>473</v>
      </c>
      <c r="G10317" t="s">
        <v>20</v>
      </c>
      <c r="H10317" t="s">
        <v>21</v>
      </c>
      <c r="I10317" t="s">
        <v>20400</v>
      </c>
      <c r="J10317" t="str">
        <f>HYPERLINK("https://www.boe.es/gazeta/dias/1823/03/14/pdfs/GMD-1823-77.pdf#page=4","Abrir facsímil")</f>
        <v>Abrir facsímil</v>
      </c>
      <c r="K10317" t="s">
        <v>23</v>
      </c>
    </row>
    <row r="10318" spans="1:11" ht="42" customHeight="1">
      <c r="A10318" t="s">
        <v>20401</v>
      </c>
      <c r="B10318" t="s">
        <v>20401</v>
      </c>
      <c r="C10318" t="s">
        <v>293</v>
      </c>
      <c r="D10318" t="s">
        <v>74</v>
      </c>
      <c r="E10318" s="6">
        <v>-28084</v>
      </c>
      <c r="F10318" t="s">
        <v>1049</v>
      </c>
      <c r="G10318" t="s">
        <v>3129</v>
      </c>
      <c r="H10318" t="s">
        <v>21</v>
      </c>
      <c r="I10318" t="s">
        <v>20402</v>
      </c>
      <c r="J10318" t="str">
        <f>HYPERLINK("https://www.boe.es/gazeta/dias/1823/02/08/pdfs/GMD-1823-41.pdf#page=2","Abrir facsímil")</f>
        <v>Abrir facsímil</v>
      </c>
      <c r="K10318" t="s">
        <v>23</v>
      </c>
    </row>
    <row r="10319" spans="1:11" ht="42" customHeight="1">
      <c r="A10319" t="s">
        <v>20403</v>
      </c>
      <c r="B10319" t="s">
        <v>20404</v>
      </c>
      <c r="C10319" t="s">
        <v>17</v>
      </c>
      <c r="D10319" t="s">
        <v>18</v>
      </c>
      <c r="E10319" s="6">
        <v>-28118</v>
      </c>
      <c r="F10319" t="s">
        <v>252</v>
      </c>
      <c r="G10319" t="s">
        <v>59</v>
      </c>
      <c r="H10319" t="s">
        <v>21</v>
      </c>
      <c r="I10319" t="s">
        <v>20405</v>
      </c>
      <c r="J10319" t="str">
        <f>HYPERLINK("https://www.boe.es/gazeta/dias/1823/01/05/pdfs/GMD-1823-5.pdf#page=6","Abrir facsímil")</f>
        <v>Abrir facsímil</v>
      </c>
      <c r="K10319" t="s">
        <v>23</v>
      </c>
    </row>
    <row r="10320" spans="1:11" ht="42" customHeight="1">
      <c r="A10320" t="s">
        <v>20406</v>
      </c>
      <c r="B10320" t="s">
        <v>20407</v>
      </c>
      <c r="C10320" t="s">
        <v>73</v>
      </c>
      <c r="D10320" t="s">
        <v>74</v>
      </c>
      <c r="E10320" s="6">
        <v>-28071</v>
      </c>
      <c r="F10320" t="s">
        <v>587</v>
      </c>
      <c r="G10320" t="s">
        <v>20</v>
      </c>
      <c r="H10320" t="s">
        <v>21</v>
      </c>
      <c r="I10320" t="s">
        <v>20408</v>
      </c>
      <c r="J10320" t="str">
        <f>HYPERLINK("https://www.boe.es/gazeta/dias/1823/02/21/pdfs/GMD-1823-55.pdf#page=4","Abrir facsímil")</f>
        <v>Abrir facsímil</v>
      </c>
      <c r="K10320" t="s">
        <v>23</v>
      </c>
    </row>
    <row r="10321" spans="1:11" ht="42" customHeight="1">
      <c r="A10321" t="s">
        <v>20409</v>
      </c>
      <c r="B10321" t="s">
        <v>20410</v>
      </c>
      <c r="C10321" t="s">
        <v>17</v>
      </c>
      <c r="D10321" t="s">
        <v>18</v>
      </c>
      <c r="E10321" s="6">
        <v>-28073</v>
      </c>
      <c r="F10321" t="s">
        <v>204</v>
      </c>
      <c r="G10321" t="s">
        <v>27</v>
      </c>
      <c r="H10321" t="s">
        <v>21</v>
      </c>
      <c r="I10321" t="s">
        <v>20411</v>
      </c>
      <c r="J10321" t="str">
        <f>HYPERLINK("https://www.boe.es/gazeta/dias/1823/02/19/pdfs/GMD-1823-53.pdf#page=2","Abrir facsímil")</f>
        <v>Abrir facsímil</v>
      </c>
      <c r="K10321" t="s">
        <v>23</v>
      </c>
    </row>
    <row r="10322" spans="1:11" ht="42" customHeight="1">
      <c r="A10322" t="s">
        <v>20412</v>
      </c>
      <c r="B10322" t="s">
        <v>20413</v>
      </c>
      <c r="C10322" t="s">
        <v>56</v>
      </c>
      <c r="D10322" t="s">
        <v>57</v>
      </c>
      <c r="E10322" s="6">
        <v>-28117</v>
      </c>
      <c r="F10322" t="s">
        <v>271</v>
      </c>
      <c r="G10322" t="s">
        <v>20</v>
      </c>
      <c r="H10322" t="s">
        <v>21</v>
      </c>
      <c r="I10322" t="s">
        <v>20414</v>
      </c>
      <c r="J10322" t="str">
        <f>HYPERLINK("https://www.boe.es/gazeta/dias/1823/01/06/pdfs/GMD-1823-6.pdf#page=4","Abrir facsímil")</f>
        <v>Abrir facsímil</v>
      </c>
      <c r="K10322" t="s">
        <v>23</v>
      </c>
    </row>
    <row r="10323" spans="1:11" ht="42" customHeight="1">
      <c r="A10323" t="s">
        <v>20415</v>
      </c>
      <c r="B10323" t="s">
        <v>20415</v>
      </c>
      <c r="C10323" t="s">
        <v>293</v>
      </c>
      <c r="D10323" t="s">
        <v>74</v>
      </c>
      <c r="E10323" s="6">
        <v>-27976</v>
      </c>
      <c r="F10323" t="s">
        <v>1156</v>
      </c>
      <c r="G10323" t="s">
        <v>39</v>
      </c>
      <c r="H10323" t="s">
        <v>21</v>
      </c>
      <c r="I10323" t="s">
        <v>20416</v>
      </c>
      <c r="J10323" t="str">
        <f>HYPERLINK("https://www.boe.es/gazeta/dias/1823/05/27/pdfs/GES-1823-49.pdf#page=1","Abrir facsímil")</f>
        <v>Abrir facsímil</v>
      </c>
      <c r="K10323" t="s">
        <v>23</v>
      </c>
    </row>
    <row r="10324" spans="1:11" ht="42" customHeight="1">
      <c r="A10324" t="s">
        <v>20417</v>
      </c>
      <c r="B10324" t="s">
        <v>20418</v>
      </c>
      <c r="C10324" t="s">
        <v>79</v>
      </c>
      <c r="D10324" t="s">
        <v>74</v>
      </c>
      <c r="E10324" s="6">
        <v>-28004</v>
      </c>
      <c r="F10324" t="s">
        <v>313</v>
      </c>
      <c r="G10324" t="s">
        <v>27</v>
      </c>
      <c r="H10324" t="s">
        <v>21</v>
      </c>
      <c r="I10324" t="s">
        <v>20419</v>
      </c>
      <c r="J10324" t="str">
        <f>HYPERLINK("https://www.boe.es/gazeta/dias/1823/04/29/pdfs/GMD-1823-72.pdf#page=2","Abrir facsímil")</f>
        <v>Abrir facsímil</v>
      </c>
      <c r="K10324" t="s">
        <v>23</v>
      </c>
    </row>
    <row r="10325" spans="1:11" ht="42" customHeight="1">
      <c r="A10325" t="s">
        <v>20420</v>
      </c>
      <c r="B10325" t="s">
        <v>20421</v>
      </c>
      <c r="C10325" t="s">
        <v>56</v>
      </c>
      <c r="D10325" t="s">
        <v>57</v>
      </c>
      <c r="E10325" s="6">
        <v>-28099</v>
      </c>
      <c r="F10325" t="s">
        <v>1689</v>
      </c>
      <c r="G10325" t="s">
        <v>20</v>
      </c>
      <c r="H10325" t="s">
        <v>21</v>
      </c>
      <c r="I10325" t="s">
        <v>20422</v>
      </c>
      <c r="J10325" t="str">
        <f>HYPERLINK("https://www.boe.es/gazeta/dias/1823/01/24/pdfs/GMD-1823-25.pdf#page=4","Abrir facsímil")</f>
        <v>Abrir facsímil</v>
      </c>
      <c r="K10325" t="s">
        <v>23</v>
      </c>
    </row>
    <row r="10326" spans="1:11" ht="42" customHeight="1">
      <c r="A10326" t="s">
        <v>20423</v>
      </c>
      <c r="B10326" t="s">
        <v>20424</v>
      </c>
      <c r="C10326" t="s">
        <v>17</v>
      </c>
      <c r="D10326" t="s">
        <v>18</v>
      </c>
      <c r="E10326" s="6">
        <v>-27905</v>
      </c>
      <c r="F10326" t="s">
        <v>236</v>
      </c>
      <c r="G10326" t="s">
        <v>237</v>
      </c>
      <c r="H10326" t="s">
        <v>21</v>
      </c>
      <c r="I10326" t="s">
        <v>20425</v>
      </c>
      <c r="J10326" t="str">
        <f>HYPERLINK("https://www.boe.es/gazeta/dias/1823/08/06/pdfs/GES-1823-119.pdf#page=4","Abrir facsímil")</f>
        <v>Abrir facsímil</v>
      </c>
      <c r="K10326" t="s">
        <v>23</v>
      </c>
    </row>
    <row r="10327" spans="1:11" ht="42" customHeight="1">
      <c r="A10327" t="s">
        <v>20426</v>
      </c>
      <c r="B10327" t="s">
        <v>20426</v>
      </c>
      <c r="C10327" t="s">
        <v>17</v>
      </c>
      <c r="D10327" t="s">
        <v>18</v>
      </c>
      <c r="E10327" s="6">
        <v>-27883</v>
      </c>
      <c r="F10327" t="s">
        <v>2318</v>
      </c>
      <c r="G10327" t="s">
        <v>20</v>
      </c>
      <c r="H10327" t="s">
        <v>21</v>
      </c>
      <c r="I10327" t="s">
        <v>20427</v>
      </c>
      <c r="J10327" t="str">
        <f>HYPERLINK("https://www.boe.es/gazeta/dias/1823/08/28/pdfs/GMD-1823-663.pdf#page=4","Abrir facsímil")</f>
        <v>Abrir facsímil</v>
      </c>
      <c r="K10327" t="s">
        <v>23</v>
      </c>
    </row>
    <row r="10328" spans="1:11" ht="42" customHeight="1">
      <c r="A10328" t="s">
        <v>20428</v>
      </c>
      <c r="B10328" t="s">
        <v>20428</v>
      </c>
      <c r="C10328" t="s">
        <v>79</v>
      </c>
      <c r="D10328" t="s">
        <v>74</v>
      </c>
      <c r="E10328" s="6">
        <v>-28052</v>
      </c>
      <c r="F10328" t="s">
        <v>1025</v>
      </c>
      <c r="G10328" t="s">
        <v>34</v>
      </c>
      <c r="H10328" t="s">
        <v>21</v>
      </c>
      <c r="I10328" t="s">
        <v>20429</v>
      </c>
      <c r="J10328" t="str">
        <f>HYPERLINK("https://www.boe.es/gazeta/dias/1823/03/12/pdfs/GMD-1823-75.pdf#page=5","Abrir facsímil")</f>
        <v>Abrir facsímil</v>
      </c>
      <c r="K10328" t="s">
        <v>23</v>
      </c>
    </row>
    <row r="10329" spans="1:11" ht="42" customHeight="1">
      <c r="A10329" t="s">
        <v>20430</v>
      </c>
      <c r="B10329" t="s">
        <v>20430</v>
      </c>
      <c r="C10329" t="s">
        <v>56</v>
      </c>
      <c r="D10329" t="s">
        <v>57</v>
      </c>
      <c r="E10329" s="6">
        <v>-28058</v>
      </c>
      <c r="F10329" t="s">
        <v>1282</v>
      </c>
      <c r="G10329" t="s">
        <v>39</v>
      </c>
      <c r="H10329" t="s">
        <v>21</v>
      </c>
      <c r="I10329" t="s">
        <v>20431</v>
      </c>
      <c r="J10329" t="str">
        <f>HYPERLINK("https://www.boe.es/gazeta/dias/1823/03/06/pdfs/GMD-1823-69.pdf#page=1","Abrir facsímil")</f>
        <v>Abrir facsímil</v>
      </c>
      <c r="K10329" t="s">
        <v>23</v>
      </c>
    </row>
    <row r="10330" spans="1:11" ht="42" customHeight="1">
      <c r="A10330" t="s">
        <v>20432</v>
      </c>
      <c r="B10330" t="s">
        <v>20432</v>
      </c>
      <c r="C10330" t="s">
        <v>56</v>
      </c>
      <c r="D10330" t="s">
        <v>57</v>
      </c>
      <c r="E10330" s="6">
        <v>-27935</v>
      </c>
      <c r="F10330" t="s">
        <v>350</v>
      </c>
      <c r="G10330" t="s">
        <v>39</v>
      </c>
      <c r="H10330" t="s">
        <v>21</v>
      </c>
      <c r="I10330" t="s">
        <v>20433</v>
      </c>
      <c r="J10330" t="str">
        <f>HYPERLINK("https://www.boe.es/gazeta/dias/1823/07/07/pdfs/GES-1823-87.pdf#page=1","Abrir facsímil")</f>
        <v>Abrir facsímil</v>
      </c>
      <c r="K10330" t="s">
        <v>23</v>
      </c>
    </row>
    <row r="10331" spans="1:11" ht="42" customHeight="1">
      <c r="A10331" t="s">
        <v>20434</v>
      </c>
      <c r="B10331" t="s">
        <v>20434</v>
      </c>
      <c r="C10331" t="s">
        <v>17</v>
      </c>
      <c r="D10331" t="s">
        <v>18</v>
      </c>
      <c r="E10331" s="6">
        <v>-28103</v>
      </c>
      <c r="F10331" t="s">
        <v>285</v>
      </c>
      <c r="G10331" t="s">
        <v>27</v>
      </c>
      <c r="H10331" t="s">
        <v>21</v>
      </c>
      <c r="I10331" t="s">
        <v>20435</v>
      </c>
      <c r="J10331" t="str">
        <f>HYPERLINK("https://www.boe.es/gazeta/dias/1823/01/20/pdfs/GMD-1823-20.pdf#page=2","Abrir facsímil")</f>
        <v>Abrir facsímil</v>
      </c>
      <c r="K10331" t="s">
        <v>23</v>
      </c>
    </row>
    <row r="10332" spans="1:11" ht="42" customHeight="1">
      <c r="A10332" t="s">
        <v>20434</v>
      </c>
      <c r="B10332" t="s">
        <v>20434</v>
      </c>
      <c r="C10332" t="s">
        <v>109</v>
      </c>
      <c r="D10332" t="s">
        <v>74</v>
      </c>
      <c r="E10332" s="6">
        <v>-28078</v>
      </c>
      <c r="F10332" t="s">
        <v>508</v>
      </c>
      <c r="G10332" t="s">
        <v>27</v>
      </c>
      <c r="H10332" t="s">
        <v>21</v>
      </c>
      <c r="I10332" t="s">
        <v>20436</v>
      </c>
      <c r="J10332" t="str">
        <f>HYPERLINK("https://www.boe.es/gazeta/dias/1823/02/14/pdfs/GMD-1823-48.pdf#page=2","Abrir facsímil")</f>
        <v>Abrir facsímil</v>
      </c>
      <c r="K10332" t="s">
        <v>23</v>
      </c>
    </row>
    <row r="10333" spans="1:11" ht="42" customHeight="1">
      <c r="A10333" t="s">
        <v>20434</v>
      </c>
      <c r="B10333" t="s">
        <v>20434</v>
      </c>
      <c r="C10333" t="s">
        <v>56</v>
      </c>
      <c r="D10333" t="s">
        <v>57</v>
      </c>
      <c r="E10333" s="6">
        <v>-28073</v>
      </c>
      <c r="F10333" t="s">
        <v>204</v>
      </c>
      <c r="G10333" t="s">
        <v>27</v>
      </c>
      <c r="H10333" t="s">
        <v>21</v>
      </c>
      <c r="I10333" t="s">
        <v>20437</v>
      </c>
      <c r="J10333" t="str">
        <f>HYPERLINK("https://www.boe.es/gazeta/dias/1823/02/19/pdfs/GMD-1823-53.pdf#page=2","Abrir facsímil")</f>
        <v>Abrir facsímil</v>
      </c>
      <c r="K10333" t="s">
        <v>23</v>
      </c>
    </row>
    <row r="10334" spans="1:11" ht="42" customHeight="1">
      <c r="A10334" t="s">
        <v>20434</v>
      </c>
      <c r="B10334" t="s">
        <v>20434</v>
      </c>
      <c r="C10334" t="s">
        <v>325</v>
      </c>
      <c r="D10334" t="s">
        <v>74</v>
      </c>
      <c r="E10334" s="6">
        <v>-28071</v>
      </c>
      <c r="F10334" t="s">
        <v>587</v>
      </c>
      <c r="G10334" t="s">
        <v>27</v>
      </c>
      <c r="H10334" t="s">
        <v>21</v>
      </c>
      <c r="I10334" t="s">
        <v>20438</v>
      </c>
      <c r="J10334" t="str">
        <f>HYPERLINK("https://www.boe.es/gazeta/dias/1823/02/21/pdfs/GMD-1823-55.pdf#page=2","Abrir facsímil")</f>
        <v>Abrir facsímil</v>
      </c>
      <c r="K10334" t="s">
        <v>23</v>
      </c>
    </row>
    <row r="10335" spans="1:11" ht="42" customHeight="1">
      <c r="A10335" t="s">
        <v>20434</v>
      </c>
      <c r="B10335" t="s">
        <v>20434</v>
      </c>
      <c r="C10335" t="s">
        <v>17</v>
      </c>
      <c r="D10335" t="s">
        <v>18</v>
      </c>
      <c r="E10335" s="6">
        <v>-28066</v>
      </c>
      <c r="F10335" t="s">
        <v>19</v>
      </c>
      <c r="G10335" t="s">
        <v>48</v>
      </c>
      <c r="H10335" t="s">
        <v>21</v>
      </c>
      <c r="I10335" t="s">
        <v>20439</v>
      </c>
      <c r="J10335" t="str">
        <f>HYPERLINK("https://www.boe.es/gazeta/dias/1823/02/26/pdfs/GMD-1823-60.pdf#page=3","Abrir facsímil")</f>
        <v>Abrir facsímil</v>
      </c>
      <c r="K10335" t="s">
        <v>23</v>
      </c>
    </row>
    <row r="10336" spans="1:11" ht="42" customHeight="1">
      <c r="A10336" t="s">
        <v>20434</v>
      </c>
      <c r="B10336" t="s">
        <v>20434</v>
      </c>
      <c r="C10336" t="s">
        <v>79</v>
      </c>
      <c r="D10336" t="s">
        <v>74</v>
      </c>
      <c r="E10336" s="6">
        <v>-28061</v>
      </c>
      <c r="F10336" t="s">
        <v>704</v>
      </c>
      <c r="G10336" t="s">
        <v>39</v>
      </c>
      <c r="H10336" t="s">
        <v>21</v>
      </c>
      <c r="I10336" t="s">
        <v>20440</v>
      </c>
      <c r="J10336" t="str">
        <f>HYPERLINK("https://www.boe.es/gazeta/dias/1823/03/03/pdfs/GMD-1823-66.pdf#page=1","Abrir facsímil")</f>
        <v>Abrir facsímil</v>
      </c>
      <c r="K10336" t="s">
        <v>23</v>
      </c>
    </row>
    <row r="10337" spans="1:11" ht="42" customHeight="1">
      <c r="A10337" t="s">
        <v>20434</v>
      </c>
      <c r="B10337" t="s">
        <v>20434</v>
      </c>
      <c r="C10337" t="s">
        <v>17</v>
      </c>
      <c r="D10337" t="s">
        <v>18</v>
      </c>
      <c r="E10337" s="6">
        <v>-28057</v>
      </c>
      <c r="F10337" t="s">
        <v>301</v>
      </c>
      <c r="G10337" t="s">
        <v>20</v>
      </c>
      <c r="H10337" t="s">
        <v>21</v>
      </c>
      <c r="I10337" t="s">
        <v>20441</v>
      </c>
      <c r="J10337" t="str">
        <f>HYPERLINK("https://www.boe.es/gazeta/dias/1823/03/07/pdfs/GMD-1823-70.pdf#page=4","Abrir facsímil")</f>
        <v>Abrir facsímil</v>
      </c>
      <c r="K10337" t="s">
        <v>23</v>
      </c>
    </row>
    <row r="10338" spans="1:11" ht="42" customHeight="1">
      <c r="A10338" t="s">
        <v>20434</v>
      </c>
      <c r="B10338" t="s">
        <v>20434</v>
      </c>
      <c r="C10338" t="s">
        <v>79</v>
      </c>
      <c r="D10338" t="s">
        <v>74</v>
      </c>
      <c r="E10338" s="6">
        <v>-28006</v>
      </c>
      <c r="F10338" t="s">
        <v>183</v>
      </c>
      <c r="G10338" t="s">
        <v>34</v>
      </c>
      <c r="H10338" t="s">
        <v>21</v>
      </c>
      <c r="I10338" t="s">
        <v>20442</v>
      </c>
      <c r="J10338" t="str">
        <f>HYPERLINK("https://www.boe.es/gazeta/dias/1823/04/27/pdfs/GES-1823-17.pdf#page=5","Abrir facsímil")</f>
        <v>Abrir facsímil</v>
      </c>
      <c r="K10338" t="s">
        <v>23</v>
      </c>
    </row>
    <row r="10339" spans="1:11" ht="42" customHeight="1">
      <c r="A10339" t="s">
        <v>20434</v>
      </c>
      <c r="B10339" t="s">
        <v>20434</v>
      </c>
      <c r="C10339" t="s">
        <v>17</v>
      </c>
      <c r="D10339" t="s">
        <v>18</v>
      </c>
      <c r="E10339" s="6">
        <v>-28000</v>
      </c>
      <c r="F10339" t="s">
        <v>138</v>
      </c>
      <c r="G10339" t="s">
        <v>27</v>
      </c>
      <c r="H10339" t="s">
        <v>21</v>
      </c>
      <c r="I10339" t="s">
        <v>20443</v>
      </c>
      <c r="J10339" t="str">
        <f>HYPERLINK("https://www.boe.es/gazeta/dias/1823/05/03/pdfs/GMD-1823-92.pdf#page=2","Abrir facsímil")</f>
        <v>Abrir facsímil</v>
      </c>
      <c r="K10339" t="s">
        <v>23</v>
      </c>
    </row>
    <row r="10340" spans="1:11" ht="42" customHeight="1">
      <c r="A10340" t="s">
        <v>20434</v>
      </c>
      <c r="B10340" t="s">
        <v>20434</v>
      </c>
      <c r="C10340" t="s">
        <v>73</v>
      </c>
      <c r="D10340" t="s">
        <v>74</v>
      </c>
      <c r="E10340" s="6">
        <v>-27990</v>
      </c>
      <c r="F10340" t="s">
        <v>1132</v>
      </c>
      <c r="G10340" t="s">
        <v>48</v>
      </c>
      <c r="H10340" t="s">
        <v>21</v>
      </c>
      <c r="I10340" t="s">
        <v>20444</v>
      </c>
      <c r="J10340" t="str">
        <f>HYPERLINK("https://www.boe.es/gazeta/dias/1823/05/13/pdfs/GES-1823-33.pdf#page=3","Abrir facsímil")</f>
        <v>Abrir facsímil</v>
      </c>
      <c r="K10340" t="s">
        <v>23</v>
      </c>
    </row>
    <row r="10341" spans="1:11" ht="42" customHeight="1">
      <c r="A10341" t="s">
        <v>20434</v>
      </c>
      <c r="B10341" t="s">
        <v>20434</v>
      </c>
      <c r="C10341" t="s">
        <v>17</v>
      </c>
      <c r="D10341" t="s">
        <v>18</v>
      </c>
      <c r="E10341" s="6">
        <v>-27983</v>
      </c>
      <c r="F10341" t="s">
        <v>337</v>
      </c>
      <c r="G10341" t="s">
        <v>20</v>
      </c>
      <c r="H10341" t="s">
        <v>21</v>
      </c>
      <c r="I10341" t="s">
        <v>20445</v>
      </c>
      <c r="J10341" t="str">
        <f>HYPERLINK("https://www.boe.es/gazeta/dias/1823/05/20/pdfs/GES-1823-40.pdf#page=4","Abrir facsímil")</f>
        <v>Abrir facsímil</v>
      </c>
      <c r="K10341" t="s">
        <v>23</v>
      </c>
    </row>
    <row r="10342" spans="1:11" ht="42" customHeight="1">
      <c r="A10342" t="s">
        <v>20434</v>
      </c>
      <c r="B10342" t="s">
        <v>20434</v>
      </c>
      <c r="C10342" t="s">
        <v>79</v>
      </c>
      <c r="D10342" t="s">
        <v>74</v>
      </c>
      <c r="E10342" s="6">
        <v>-27970</v>
      </c>
      <c r="F10342" t="s">
        <v>1030</v>
      </c>
      <c r="G10342" t="s">
        <v>27</v>
      </c>
      <c r="H10342" t="s">
        <v>21</v>
      </c>
      <c r="I10342" t="s">
        <v>20446</v>
      </c>
      <c r="J10342" t="str">
        <f>HYPERLINK("https://www.boe.es/gazeta/dias/1823/06/02/pdfs/GES-1823-56.pdf#page=2","Abrir facsímil")</f>
        <v>Abrir facsímil</v>
      </c>
      <c r="K10342" t="s">
        <v>23</v>
      </c>
    </row>
    <row r="10343" spans="1:11" ht="42" customHeight="1">
      <c r="A10343" t="s">
        <v>20434</v>
      </c>
      <c r="B10343" t="s">
        <v>20434</v>
      </c>
      <c r="C10343" t="s">
        <v>79</v>
      </c>
      <c r="D10343" t="s">
        <v>74</v>
      </c>
      <c r="E10343" s="6">
        <v>-27970</v>
      </c>
      <c r="F10343" t="s">
        <v>1030</v>
      </c>
      <c r="G10343" t="s">
        <v>48</v>
      </c>
      <c r="H10343" t="s">
        <v>21</v>
      </c>
      <c r="I10343" t="s">
        <v>20447</v>
      </c>
      <c r="J10343" t="str">
        <f>HYPERLINK("https://www.boe.es/gazeta/dias/1823/06/02/pdfs/GES-1823-56.pdf#page=3","Abrir facsímil")</f>
        <v>Abrir facsímil</v>
      </c>
      <c r="K10343" t="s">
        <v>23</v>
      </c>
    </row>
    <row r="10344" spans="1:11" ht="42" customHeight="1">
      <c r="A10344" t="s">
        <v>20434</v>
      </c>
      <c r="B10344" t="s">
        <v>20434</v>
      </c>
      <c r="C10344" t="s">
        <v>56</v>
      </c>
      <c r="D10344" t="s">
        <v>57</v>
      </c>
      <c r="E10344" s="6">
        <v>-27910</v>
      </c>
      <c r="F10344" t="s">
        <v>38</v>
      </c>
      <c r="G10344" t="s">
        <v>20</v>
      </c>
      <c r="H10344" t="s">
        <v>21</v>
      </c>
      <c r="I10344" t="s">
        <v>20448</v>
      </c>
      <c r="J10344" t="str">
        <f>HYPERLINK("https://www.boe.es/gazeta/dias/1823/08/01/pdfs/GES-1823-113.pdf#page=4","Abrir facsímil")</f>
        <v>Abrir facsímil</v>
      </c>
      <c r="K10344" t="s">
        <v>23</v>
      </c>
    </row>
    <row r="10345" spans="1:11" ht="42" customHeight="1">
      <c r="A10345" t="s">
        <v>20434</v>
      </c>
      <c r="B10345" t="s">
        <v>20434</v>
      </c>
      <c r="C10345" t="s">
        <v>56</v>
      </c>
      <c r="D10345" t="s">
        <v>57</v>
      </c>
      <c r="E10345" s="6">
        <v>-27873</v>
      </c>
      <c r="F10345" t="s">
        <v>160</v>
      </c>
      <c r="G10345" t="s">
        <v>27</v>
      </c>
      <c r="H10345" t="s">
        <v>21</v>
      </c>
      <c r="I10345" t="s">
        <v>20449</v>
      </c>
      <c r="J10345" t="str">
        <f>HYPERLINK("https://www.boe.es/gazeta/dias/1823/09/07/pdfs/GES-1823-151.pdf#page=2","Abrir facsímil")</f>
        <v>Abrir facsímil</v>
      </c>
      <c r="K10345" t="s">
        <v>23</v>
      </c>
    </row>
    <row r="10346" spans="1:11" ht="42" customHeight="1">
      <c r="A10346" t="s">
        <v>20434</v>
      </c>
      <c r="B10346" t="s">
        <v>20434</v>
      </c>
      <c r="C10346" t="s">
        <v>56</v>
      </c>
      <c r="D10346" t="s">
        <v>57</v>
      </c>
      <c r="E10346" s="6">
        <v>-27857</v>
      </c>
      <c r="F10346" t="s">
        <v>378</v>
      </c>
      <c r="G10346" t="s">
        <v>59</v>
      </c>
      <c r="H10346" t="s">
        <v>21</v>
      </c>
      <c r="I10346" t="s">
        <v>20450</v>
      </c>
      <c r="J10346" t="str">
        <f>HYPERLINK("https://www.boe.es/gazeta/dias/1823/09/23/pdfs/GMD-1823-833.pdf#page=6","Abrir facsímil")</f>
        <v>Abrir facsímil</v>
      </c>
      <c r="K10346" t="s">
        <v>23</v>
      </c>
    </row>
    <row r="10347" spans="1:11" ht="42" customHeight="1">
      <c r="A10347" t="s">
        <v>20451</v>
      </c>
      <c r="B10347" t="s">
        <v>20451</v>
      </c>
      <c r="C10347" t="s">
        <v>17</v>
      </c>
      <c r="D10347" t="s">
        <v>18</v>
      </c>
      <c r="E10347" s="6">
        <v>-27873</v>
      </c>
      <c r="F10347" t="s">
        <v>160</v>
      </c>
      <c r="G10347" t="s">
        <v>48</v>
      </c>
      <c r="H10347" t="s">
        <v>21</v>
      </c>
      <c r="I10347" t="s">
        <v>20452</v>
      </c>
      <c r="J10347" t="str">
        <f>HYPERLINK("https://www.boe.es/gazeta/dias/1823/09/07/pdfs/GES-1823-151.pdf#page=3","Abrir facsímil")</f>
        <v>Abrir facsímil</v>
      </c>
      <c r="K10347" t="s">
        <v>23</v>
      </c>
    </row>
    <row r="10348" spans="1:11" ht="42" customHeight="1">
      <c r="A10348" t="s">
        <v>20453</v>
      </c>
      <c r="B10348" t="s">
        <v>20453</v>
      </c>
      <c r="C10348" t="s">
        <v>293</v>
      </c>
      <c r="D10348" t="s">
        <v>74</v>
      </c>
      <c r="E10348" s="6">
        <v>-28050</v>
      </c>
      <c r="F10348" t="s">
        <v>473</v>
      </c>
      <c r="G10348" t="s">
        <v>27</v>
      </c>
      <c r="H10348" t="s">
        <v>21</v>
      </c>
      <c r="I10348" t="s">
        <v>20454</v>
      </c>
      <c r="J10348" t="str">
        <f>HYPERLINK("https://www.boe.es/gazeta/dias/1823/03/14/pdfs/GMD-1823-77.pdf#page=2","Abrir facsímil")</f>
        <v>Abrir facsímil</v>
      </c>
      <c r="K10348" t="s">
        <v>23</v>
      </c>
    </row>
    <row r="10349" spans="1:11" ht="42" customHeight="1">
      <c r="A10349" t="s">
        <v>20455</v>
      </c>
      <c r="B10349" t="s">
        <v>20456</v>
      </c>
      <c r="C10349" t="s">
        <v>109</v>
      </c>
      <c r="D10349" t="s">
        <v>74</v>
      </c>
      <c r="E10349" s="6">
        <v>-28037</v>
      </c>
      <c r="F10349" t="s">
        <v>192</v>
      </c>
      <c r="G10349" t="s">
        <v>48</v>
      </c>
      <c r="H10349" t="s">
        <v>21</v>
      </c>
      <c r="I10349" t="s">
        <v>20457</v>
      </c>
      <c r="J10349" t="str">
        <f>HYPERLINK("https://www.boe.es/gazeta/dias/1823/03/27/pdfs/GMD-1823-90.pdf#page=3","Abrir facsímil")</f>
        <v>Abrir facsímil</v>
      </c>
      <c r="K10349" t="s">
        <v>23</v>
      </c>
    </row>
    <row r="10350" spans="1:11" ht="42" customHeight="1">
      <c r="A10350" t="s">
        <v>20458</v>
      </c>
      <c r="B10350" t="s">
        <v>20458</v>
      </c>
      <c r="C10350" t="s">
        <v>17</v>
      </c>
      <c r="D10350" t="s">
        <v>18</v>
      </c>
      <c r="E10350" s="6">
        <v>-28085</v>
      </c>
      <c r="F10350" t="s">
        <v>458</v>
      </c>
      <c r="G10350" t="s">
        <v>59</v>
      </c>
      <c r="H10350" t="s">
        <v>21</v>
      </c>
      <c r="I10350" t="s">
        <v>20459</v>
      </c>
      <c r="J10350" t="str">
        <f>HYPERLINK("https://www.boe.es/gazeta/dias/1823/02/07/pdfs/GMD-1823-40.pdf#page=6","Abrir facsímil")</f>
        <v>Abrir facsímil</v>
      </c>
      <c r="K10350" t="s">
        <v>23</v>
      </c>
    </row>
    <row r="10351" spans="1:11" ht="42" customHeight="1">
      <c r="A10351" t="s">
        <v>20460</v>
      </c>
      <c r="B10351" t="s">
        <v>20460</v>
      </c>
      <c r="C10351" t="s">
        <v>109</v>
      </c>
      <c r="D10351" t="s">
        <v>74</v>
      </c>
      <c r="E10351" s="6">
        <v>-28093</v>
      </c>
      <c r="F10351" t="s">
        <v>1044</v>
      </c>
      <c r="G10351" t="s">
        <v>48</v>
      </c>
      <c r="H10351" t="s">
        <v>21</v>
      </c>
      <c r="I10351" t="s">
        <v>20461</v>
      </c>
      <c r="J10351" t="str">
        <f>HYPERLINK("https://www.boe.es/gazeta/dias/1823/01/30/pdfs/GMD-1823-31.pdf#page=3","Abrir facsímil")</f>
        <v>Abrir facsímil</v>
      </c>
      <c r="K10351" t="s">
        <v>23</v>
      </c>
    </row>
    <row r="10352" spans="1:11" ht="42" customHeight="1">
      <c r="A10352" t="s">
        <v>20462</v>
      </c>
      <c r="B10352" t="s">
        <v>20462</v>
      </c>
      <c r="C10352" t="s">
        <v>17</v>
      </c>
      <c r="D10352" t="s">
        <v>18</v>
      </c>
      <c r="E10352" s="6">
        <v>-28052</v>
      </c>
      <c r="F10352" t="s">
        <v>1025</v>
      </c>
      <c r="G10352" t="s">
        <v>27</v>
      </c>
      <c r="H10352" t="s">
        <v>21</v>
      </c>
      <c r="I10352" t="s">
        <v>20463</v>
      </c>
      <c r="J10352" t="str">
        <f>HYPERLINK("https://www.boe.es/gazeta/dias/1823/03/12/pdfs/GMD-1823-75.pdf#page=2","Abrir facsímil")</f>
        <v>Abrir facsímil</v>
      </c>
      <c r="K10352" t="s">
        <v>23</v>
      </c>
    </row>
    <row r="10353" spans="1:11" ht="42" customHeight="1">
      <c r="A10353" t="s">
        <v>20464</v>
      </c>
      <c r="B10353" t="s">
        <v>20465</v>
      </c>
      <c r="C10353" t="s">
        <v>17</v>
      </c>
      <c r="D10353" t="s">
        <v>18</v>
      </c>
      <c r="E10353" s="6">
        <v>-28050</v>
      </c>
      <c r="F10353" t="s">
        <v>473</v>
      </c>
      <c r="G10353" t="s">
        <v>59</v>
      </c>
      <c r="H10353" t="s">
        <v>21</v>
      </c>
      <c r="I10353" t="s">
        <v>20466</v>
      </c>
      <c r="J10353" t="str">
        <f>HYPERLINK("https://www.boe.es/gazeta/dias/1823/03/14/pdfs/GMD-1823-77.pdf#page=6","Abrir facsímil")</f>
        <v>Abrir facsímil</v>
      </c>
      <c r="K10353" t="s">
        <v>23</v>
      </c>
    </row>
    <row r="10354" spans="1:11" ht="42" customHeight="1">
      <c r="A10354" t="s">
        <v>20467</v>
      </c>
      <c r="B10354" t="s">
        <v>20468</v>
      </c>
      <c r="C10354" t="s">
        <v>17</v>
      </c>
      <c r="D10354" t="s">
        <v>117</v>
      </c>
      <c r="E10354" s="6">
        <v>-27975</v>
      </c>
      <c r="F10354" t="s">
        <v>1922</v>
      </c>
      <c r="G10354" t="s">
        <v>39</v>
      </c>
      <c r="H10354" t="s">
        <v>21</v>
      </c>
      <c r="I10354" t="s">
        <v>20469</v>
      </c>
      <c r="J10354" t="str">
        <f>HYPERLINK("https://www.boe.es/gazeta/dias/1823/05/28/pdfs/GES-1823-51E.pdf#page=1","Abrir facsímil")</f>
        <v>Abrir facsímil</v>
      </c>
      <c r="K10354" t="s">
        <v>23</v>
      </c>
    </row>
    <row r="10355" spans="1:11" ht="42" customHeight="1">
      <c r="A10355" t="s">
        <v>20470</v>
      </c>
      <c r="B10355" t="s">
        <v>20471</v>
      </c>
      <c r="C10355" t="s">
        <v>79</v>
      </c>
      <c r="D10355" t="s">
        <v>74</v>
      </c>
      <c r="E10355" s="6">
        <v>-28028</v>
      </c>
      <c r="F10355" t="s">
        <v>893</v>
      </c>
      <c r="G10355" t="s">
        <v>27</v>
      </c>
      <c r="H10355" t="s">
        <v>21</v>
      </c>
      <c r="I10355" t="s">
        <v>20472</v>
      </c>
      <c r="J10355" t="str">
        <f>HYPERLINK("https://www.boe.es/gazeta/dias/1823/04/05/pdfs/GMD-1823-99.pdf#page=2","Abrir facsímil")</f>
        <v>Abrir facsímil</v>
      </c>
      <c r="K10355" t="s">
        <v>23</v>
      </c>
    </row>
    <row r="10356" spans="1:11" ht="42" customHeight="1">
      <c r="A10356" t="s">
        <v>20473</v>
      </c>
      <c r="B10356" t="s">
        <v>20473</v>
      </c>
      <c r="C10356" t="s">
        <v>17</v>
      </c>
      <c r="D10356" t="s">
        <v>18</v>
      </c>
      <c r="E10356" s="6">
        <v>-28070</v>
      </c>
      <c r="F10356" t="s">
        <v>972</v>
      </c>
      <c r="G10356" t="s">
        <v>20</v>
      </c>
      <c r="H10356" t="s">
        <v>21</v>
      </c>
      <c r="I10356" t="s">
        <v>20474</v>
      </c>
      <c r="J10356" t="str">
        <f>HYPERLINK("https://www.boe.es/gazeta/dias/1823/02/22/pdfs/GMD-1823-56.pdf#page=4","Abrir facsímil")</f>
        <v>Abrir facsímil</v>
      </c>
      <c r="K10356" t="s">
        <v>23</v>
      </c>
    </row>
    <row r="10357" spans="1:11" ht="42" customHeight="1">
      <c r="A10357" t="s">
        <v>20473</v>
      </c>
      <c r="B10357" t="s">
        <v>20473</v>
      </c>
      <c r="C10357" t="s">
        <v>56</v>
      </c>
      <c r="D10357" t="s">
        <v>57</v>
      </c>
      <c r="E10357" s="6">
        <v>-27915</v>
      </c>
      <c r="F10357" t="s">
        <v>524</v>
      </c>
      <c r="G10357" t="s">
        <v>27</v>
      </c>
      <c r="H10357" t="s">
        <v>21</v>
      </c>
      <c r="I10357" t="s">
        <v>20475</v>
      </c>
      <c r="J10357" t="str">
        <f>HYPERLINK("https://www.boe.es/gazeta/dias/1823/07/27/pdfs/GES-1823-108.pdf#page=2","Abrir facsímil")</f>
        <v>Abrir facsímil</v>
      </c>
      <c r="K10357" t="s">
        <v>23</v>
      </c>
    </row>
    <row r="10358" spans="1:11" ht="42" customHeight="1">
      <c r="A10358" t="s">
        <v>20476</v>
      </c>
      <c r="B10358" t="s">
        <v>20476</v>
      </c>
      <c r="C10358" t="s">
        <v>17</v>
      </c>
      <c r="D10358" t="s">
        <v>18</v>
      </c>
      <c r="E10358" s="6">
        <v>-27854</v>
      </c>
      <c r="F10358" t="s">
        <v>933</v>
      </c>
      <c r="G10358" t="s">
        <v>48</v>
      </c>
      <c r="H10358" t="s">
        <v>21</v>
      </c>
      <c r="I10358" t="s">
        <v>20477</v>
      </c>
      <c r="J10358" t="str">
        <f>HYPERLINK("https://www.boe.es/gazeta/dias/1823/09/26/pdfs/GES-1823-170.pdf#page=3","Abrir facsímil")</f>
        <v>Abrir facsímil</v>
      </c>
      <c r="K10358" t="s">
        <v>23</v>
      </c>
    </row>
    <row r="10359" spans="1:11" ht="42" customHeight="1">
      <c r="A10359" t="s">
        <v>20478</v>
      </c>
      <c r="B10359" t="s">
        <v>20479</v>
      </c>
      <c r="C10359" t="s">
        <v>17</v>
      </c>
      <c r="D10359" t="s">
        <v>18</v>
      </c>
      <c r="E10359" s="6">
        <v>-28000</v>
      </c>
      <c r="F10359" t="s">
        <v>1118</v>
      </c>
      <c r="G10359" t="s">
        <v>39</v>
      </c>
      <c r="H10359" t="s">
        <v>21</v>
      </c>
      <c r="I10359" t="s">
        <v>20480</v>
      </c>
      <c r="J10359" t="str">
        <f>HYPERLINK("https://www.boe.es/gazeta/dias/1823/05/03/pdfs/GES-1823-23.pdf#page=1","Abrir facsímil")</f>
        <v>Abrir facsímil</v>
      </c>
      <c r="K10359" t="s">
        <v>23</v>
      </c>
    </row>
    <row r="10360" spans="1:11" ht="42" customHeight="1">
      <c r="A10360" t="s">
        <v>20478</v>
      </c>
      <c r="B10360" t="s">
        <v>20479</v>
      </c>
      <c r="C10360" t="s">
        <v>79</v>
      </c>
      <c r="D10360" t="s">
        <v>74</v>
      </c>
      <c r="E10360" s="6">
        <v>-27962</v>
      </c>
      <c r="F10360" t="s">
        <v>594</v>
      </c>
      <c r="G10360" t="s">
        <v>39</v>
      </c>
      <c r="H10360" t="s">
        <v>21</v>
      </c>
      <c r="I10360" t="s">
        <v>20481</v>
      </c>
      <c r="J10360" t="str">
        <f>HYPERLINK("https://www.boe.es/gazeta/dias/1823/06/10/pdfs/GES-1823-64.pdf#page=1","Abrir facsímil")</f>
        <v>Abrir facsímil</v>
      </c>
      <c r="K10360" t="s">
        <v>23</v>
      </c>
    </row>
    <row r="10361" spans="1:11" ht="42" customHeight="1">
      <c r="A10361" t="s">
        <v>20482</v>
      </c>
      <c r="B10361" t="s">
        <v>20482</v>
      </c>
      <c r="C10361" t="s">
        <v>17</v>
      </c>
      <c r="D10361" t="s">
        <v>18</v>
      </c>
      <c r="E10361" s="6">
        <v>-28100</v>
      </c>
      <c r="F10361" t="s">
        <v>737</v>
      </c>
      <c r="G10361" t="s">
        <v>48</v>
      </c>
      <c r="H10361" t="s">
        <v>21</v>
      </c>
      <c r="I10361" t="s">
        <v>20483</v>
      </c>
      <c r="J10361" t="str">
        <f>HYPERLINK("https://www.boe.es/gazeta/dias/1823/01/23/pdfs/GMD-1823-24.pdf#page=3","Abrir facsímil")</f>
        <v>Abrir facsímil</v>
      </c>
      <c r="K10361" t="s">
        <v>23</v>
      </c>
    </row>
    <row r="10362" spans="1:11" ht="42" customHeight="1">
      <c r="A10362" t="s">
        <v>20482</v>
      </c>
      <c r="B10362" t="s">
        <v>20482</v>
      </c>
      <c r="C10362" t="s">
        <v>17</v>
      </c>
      <c r="D10362" t="s">
        <v>18</v>
      </c>
      <c r="E10362" s="6">
        <v>-28092</v>
      </c>
      <c r="F10362" t="s">
        <v>105</v>
      </c>
      <c r="G10362" t="s">
        <v>27</v>
      </c>
      <c r="H10362" t="s">
        <v>21</v>
      </c>
      <c r="I10362" t="s">
        <v>20484</v>
      </c>
      <c r="J10362" t="str">
        <f>HYPERLINK("https://www.boe.es/gazeta/dias/1823/01/31/pdfs/GMD-1823-32.pdf#page=2","Abrir facsímil")</f>
        <v>Abrir facsímil</v>
      </c>
      <c r="K10362" t="s">
        <v>23</v>
      </c>
    </row>
    <row r="10363" spans="1:11" ht="42" customHeight="1">
      <c r="A10363" t="s">
        <v>20482</v>
      </c>
      <c r="B10363" t="s">
        <v>20482</v>
      </c>
      <c r="C10363" t="s">
        <v>17</v>
      </c>
      <c r="D10363" t="s">
        <v>18</v>
      </c>
      <c r="E10363" s="6">
        <v>-28071</v>
      </c>
      <c r="F10363" t="s">
        <v>587</v>
      </c>
      <c r="G10363" t="s">
        <v>20</v>
      </c>
      <c r="H10363" t="s">
        <v>21</v>
      </c>
      <c r="I10363" t="s">
        <v>20485</v>
      </c>
      <c r="J10363" t="str">
        <f>HYPERLINK("https://www.boe.es/gazeta/dias/1823/02/21/pdfs/GMD-1823-55.pdf#page=4","Abrir facsímil")</f>
        <v>Abrir facsímil</v>
      </c>
      <c r="K10363" t="s">
        <v>23</v>
      </c>
    </row>
    <row r="10364" spans="1:11" ht="42" customHeight="1">
      <c r="A10364" t="s">
        <v>20482</v>
      </c>
      <c r="B10364" t="s">
        <v>20482</v>
      </c>
      <c r="C10364" t="s">
        <v>17</v>
      </c>
      <c r="D10364" t="s">
        <v>18</v>
      </c>
      <c r="E10364" s="6">
        <v>-28070</v>
      </c>
      <c r="F10364" t="s">
        <v>972</v>
      </c>
      <c r="G10364" t="s">
        <v>20</v>
      </c>
      <c r="H10364" t="s">
        <v>21</v>
      </c>
      <c r="I10364" t="s">
        <v>20486</v>
      </c>
      <c r="J10364" t="str">
        <f>HYPERLINK("https://www.boe.es/gazeta/dias/1823/02/22/pdfs/GMD-1823-56.pdf#page=4","Abrir facsímil")</f>
        <v>Abrir facsímil</v>
      </c>
      <c r="K10364" t="s">
        <v>23</v>
      </c>
    </row>
    <row r="10365" spans="1:11" ht="42" customHeight="1">
      <c r="A10365" t="s">
        <v>20482</v>
      </c>
      <c r="B10365" t="s">
        <v>20482</v>
      </c>
      <c r="C10365" t="s">
        <v>17</v>
      </c>
      <c r="D10365" t="s">
        <v>18</v>
      </c>
      <c r="E10365" s="6">
        <v>-28062</v>
      </c>
      <c r="F10365" t="s">
        <v>1357</v>
      </c>
      <c r="G10365" t="s">
        <v>48</v>
      </c>
      <c r="H10365" t="s">
        <v>21</v>
      </c>
      <c r="I10365" t="s">
        <v>20487</v>
      </c>
      <c r="J10365" t="str">
        <f>HYPERLINK("https://www.boe.es/gazeta/dias/1823/03/02/pdfs/GMD-1823-65.pdf#page=3","Abrir facsímil")</f>
        <v>Abrir facsímil</v>
      </c>
      <c r="K10365" t="s">
        <v>23</v>
      </c>
    </row>
    <row r="10366" spans="1:11" ht="42" customHeight="1">
      <c r="A10366" t="s">
        <v>20482</v>
      </c>
      <c r="B10366" t="s">
        <v>20482</v>
      </c>
      <c r="C10366" t="s">
        <v>79</v>
      </c>
      <c r="D10366" t="s">
        <v>74</v>
      </c>
      <c r="E10366" s="6">
        <v>-28059</v>
      </c>
      <c r="F10366" t="s">
        <v>149</v>
      </c>
      <c r="G10366" t="s">
        <v>20</v>
      </c>
      <c r="H10366" t="s">
        <v>21</v>
      </c>
      <c r="I10366" t="s">
        <v>20488</v>
      </c>
      <c r="J10366" t="str">
        <f>HYPERLINK("https://www.boe.es/gazeta/dias/1823/03/05/pdfs/GMD-1823-68.pdf#page=4","Abrir facsímil")</f>
        <v>Abrir facsímil</v>
      </c>
      <c r="K10366" t="s">
        <v>23</v>
      </c>
    </row>
    <row r="10367" spans="1:11" ht="42" customHeight="1">
      <c r="A10367" t="s">
        <v>20482</v>
      </c>
      <c r="B10367" t="s">
        <v>20482</v>
      </c>
      <c r="C10367" t="s">
        <v>73</v>
      </c>
      <c r="D10367" t="s">
        <v>74</v>
      </c>
      <c r="E10367" s="6">
        <v>-28058</v>
      </c>
      <c r="F10367" t="s">
        <v>1282</v>
      </c>
      <c r="G10367" t="s">
        <v>34</v>
      </c>
      <c r="H10367" t="s">
        <v>21</v>
      </c>
      <c r="I10367" t="s">
        <v>20489</v>
      </c>
      <c r="J10367" t="str">
        <f>HYPERLINK("https://www.boe.es/gazeta/dias/1823/03/06/pdfs/GMD-1823-69.pdf#page=5","Abrir facsímil")</f>
        <v>Abrir facsímil</v>
      </c>
      <c r="K10367" t="s">
        <v>23</v>
      </c>
    </row>
    <row r="10368" spans="1:11" ht="42" customHeight="1">
      <c r="A10368" t="s">
        <v>20482</v>
      </c>
      <c r="B10368" t="s">
        <v>20482</v>
      </c>
      <c r="C10368" t="s">
        <v>79</v>
      </c>
      <c r="D10368" t="s">
        <v>74</v>
      </c>
      <c r="E10368" s="6">
        <v>-28045</v>
      </c>
      <c r="F10368" t="s">
        <v>245</v>
      </c>
      <c r="G10368" t="s">
        <v>48</v>
      </c>
      <c r="H10368" t="s">
        <v>21</v>
      </c>
      <c r="I10368" t="s">
        <v>20490</v>
      </c>
      <c r="J10368" t="str">
        <f>HYPERLINK("https://www.boe.es/gazeta/dias/1823/03/19/pdfs/GMD-1823-82.pdf#page=3","Abrir facsímil")</f>
        <v>Abrir facsímil</v>
      </c>
      <c r="K10368" t="s">
        <v>23</v>
      </c>
    </row>
    <row r="10369" spans="1:11" ht="42" customHeight="1">
      <c r="A10369" t="s">
        <v>20482</v>
      </c>
      <c r="B10369" t="s">
        <v>20482</v>
      </c>
      <c r="C10369" t="s">
        <v>17</v>
      </c>
      <c r="D10369" t="s">
        <v>18</v>
      </c>
      <c r="E10369" s="6">
        <v>-28010</v>
      </c>
      <c r="F10369" t="s">
        <v>808</v>
      </c>
      <c r="G10369" t="s">
        <v>27</v>
      </c>
      <c r="H10369" t="s">
        <v>21</v>
      </c>
      <c r="I10369" t="s">
        <v>20491</v>
      </c>
      <c r="J10369" t="str">
        <f>HYPERLINK("https://www.boe.es/gazeta/dias/1823/04/23/pdfs/GES-1823-13.pdf#page=2","Abrir facsímil")</f>
        <v>Abrir facsímil</v>
      </c>
      <c r="K10369" t="s">
        <v>23</v>
      </c>
    </row>
    <row r="10370" spans="1:11" ht="42" customHeight="1">
      <c r="A10370" t="s">
        <v>20492</v>
      </c>
      <c r="B10370" t="s">
        <v>20493</v>
      </c>
      <c r="C10370" t="s">
        <v>17</v>
      </c>
      <c r="D10370" t="s">
        <v>18</v>
      </c>
      <c r="E10370" s="6">
        <v>-28078</v>
      </c>
      <c r="F10370" t="s">
        <v>508</v>
      </c>
      <c r="G10370" t="s">
        <v>59</v>
      </c>
      <c r="H10370" t="s">
        <v>21</v>
      </c>
      <c r="I10370" t="s">
        <v>20494</v>
      </c>
      <c r="J10370" t="str">
        <f>HYPERLINK("https://www.boe.es/gazeta/dias/1823/02/14/pdfs/GMD-1823-48.pdf#page=6","Abrir facsímil")</f>
        <v>Abrir facsímil</v>
      </c>
      <c r="K10370" t="s">
        <v>23</v>
      </c>
    </row>
    <row r="10371" spans="1:11" ht="42" customHeight="1">
      <c r="A10371" t="s">
        <v>20495</v>
      </c>
      <c r="B10371" t="s">
        <v>20496</v>
      </c>
      <c r="C10371" t="s">
        <v>17</v>
      </c>
      <c r="D10371" t="s">
        <v>18</v>
      </c>
      <c r="E10371" s="6">
        <v>-28100</v>
      </c>
      <c r="F10371" t="s">
        <v>737</v>
      </c>
      <c r="G10371" t="s">
        <v>20</v>
      </c>
      <c r="H10371" t="s">
        <v>21</v>
      </c>
      <c r="I10371" t="s">
        <v>20497</v>
      </c>
      <c r="J10371" t="str">
        <f>HYPERLINK("https://www.boe.es/gazeta/dias/1823/01/23/pdfs/GMD-1823-24.pdf#page=4","Abrir facsímil")</f>
        <v>Abrir facsímil</v>
      </c>
      <c r="K10371" t="s">
        <v>23</v>
      </c>
    </row>
    <row r="10372" spans="1:11" ht="42" customHeight="1">
      <c r="A10372" t="s">
        <v>20498</v>
      </c>
      <c r="B10372" t="s">
        <v>20499</v>
      </c>
      <c r="C10372" t="s">
        <v>56</v>
      </c>
      <c r="D10372" t="s">
        <v>57</v>
      </c>
      <c r="E10372" s="6">
        <v>-28051</v>
      </c>
      <c r="F10372" t="s">
        <v>305</v>
      </c>
      <c r="G10372" t="s">
        <v>48</v>
      </c>
      <c r="H10372" t="s">
        <v>21</v>
      </c>
      <c r="I10372" t="s">
        <v>20500</v>
      </c>
      <c r="J10372" t="str">
        <f>HYPERLINK("https://www.boe.es/gazeta/dias/1823/03/13/pdfs/GMD-1823-76.pdf#page=3","Abrir facsímil")</f>
        <v>Abrir facsímil</v>
      </c>
      <c r="K10372" t="s">
        <v>23</v>
      </c>
    </row>
    <row r="10373" spans="1:11" ht="42" customHeight="1">
      <c r="A10373" t="s">
        <v>20501</v>
      </c>
      <c r="B10373" t="s">
        <v>20502</v>
      </c>
      <c r="C10373" t="s">
        <v>56</v>
      </c>
      <c r="D10373" t="s">
        <v>57</v>
      </c>
      <c r="E10373" s="6">
        <v>-27832</v>
      </c>
      <c r="F10373" t="s">
        <v>1815</v>
      </c>
      <c r="G10373" t="s">
        <v>27</v>
      </c>
      <c r="H10373" t="s">
        <v>21</v>
      </c>
      <c r="I10373" t="s">
        <v>20503</v>
      </c>
      <c r="J10373" t="str">
        <f>HYPERLINK("https://www.boe.es/gazeta/dias/1823/10/18/pdfs/GMD-1823-993.pdf#page=2","Abrir facsímil")</f>
        <v>Abrir facsímil</v>
      </c>
      <c r="K10373" t="s">
        <v>23</v>
      </c>
    </row>
    <row r="10374" spans="1:11" ht="42" customHeight="1">
      <c r="A10374" t="s">
        <v>20504</v>
      </c>
      <c r="B10374" t="s">
        <v>20505</v>
      </c>
      <c r="C10374" t="s">
        <v>17</v>
      </c>
      <c r="D10374" t="s">
        <v>18</v>
      </c>
      <c r="E10374" s="6">
        <v>-28062</v>
      </c>
      <c r="F10374" t="s">
        <v>1357</v>
      </c>
      <c r="G10374" t="s">
        <v>27</v>
      </c>
      <c r="H10374" t="s">
        <v>21</v>
      </c>
      <c r="I10374" t="s">
        <v>20506</v>
      </c>
      <c r="J10374" t="str">
        <f>HYPERLINK("https://www.boe.es/gazeta/dias/1823/03/02/pdfs/GMD-1823-65.pdf#page=2","Abrir facsímil")</f>
        <v>Abrir facsímil</v>
      </c>
      <c r="K10374" t="s">
        <v>23</v>
      </c>
    </row>
    <row r="10375" spans="1:11" ht="42" customHeight="1">
      <c r="A10375" t="s">
        <v>20507</v>
      </c>
      <c r="B10375" t="s">
        <v>20508</v>
      </c>
      <c r="C10375" t="s">
        <v>293</v>
      </c>
      <c r="D10375" t="s">
        <v>74</v>
      </c>
      <c r="E10375" s="6">
        <v>-28013</v>
      </c>
      <c r="F10375" t="s">
        <v>105</v>
      </c>
      <c r="G10375" t="s">
        <v>20</v>
      </c>
      <c r="H10375" t="s">
        <v>28</v>
      </c>
      <c r="I10375" t="s">
        <v>20509</v>
      </c>
      <c r="J10375" t="str">
        <f>HYPERLINK("https://www.boe.es/gazeta/dias/1823/04/20/pdfs/GMD-1823-32.pdf#page=4","Abrir facsímil")</f>
        <v>Abrir facsímil</v>
      </c>
      <c r="K10375" t="s">
        <v>30</v>
      </c>
    </row>
    <row r="10376" spans="1:11" ht="42" customHeight="1">
      <c r="A10376" t="s">
        <v>20507</v>
      </c>
      <c r="B10376" t="s">
        <v>20508</v>
      </c>
      <c r="C10376" t="s">
        <v>17</v>
      </c>
      <c r="D10376" t="s">
        <v>18</v>
      </c>
      <c r="E10376" s="6">
        <v>-28001</v>
      </c>
      <c r="F10376" t="s">
        <v>768</v>
      </c>
      <c r="G10376" t="s">
        <v>2756</v>
      </c>
      <c r="H10376" t="s">
        <v>28</v>
      </c>
      <c r="I10376" t="s">
        <v>20510</v>
      </c>
      <c r="J10376" t="str">
        <f>HYPERLINK("https://www.boe.es/gazeta/dias/1823/05/02/pdfs/GES-1823-22.pdf#page=6","Abrir facsímil")</f>
        <v>Abrir facsímil</v>
      </c>
      <c r="K10376" t="s">
        <v>30</v>
      </c>
    </row>
    <row r="10377" spans="1:11" ht="42" customHeight="1">
      <c r="A10377" t="s">
        <v>20511</v>
      </c>
      <c r="B10377" t="s">
        <v>20512</v>
      </c>
      <c r="C10377" t="s">
        <v>325</v>
      </c>
      <c r="D10377" t="s">
        <v>74</v>
      </c>
      <c r="E10377" s="6">
        <v>-28037</v>
      </c>
      <c r="F10377" t="s">
        <v>192</v>
      </c>
      <c r="G10377" t="s">
        <v>20</v>
      </c>
      <c r="H10377" t="s">
        <v>21</v>
      </c>
      <c r="I10377" t="s">
        <v>20513</v>
      </c>
      <c r="J10377" t="str">
        <f>HYPERLINK("https://www.boe.es/gazeta/dias/1823/03/27/pdfs/GMD-1823-90.pdf#page=4","Abrir facsímil")</f>
        <v>Abrir facsímil</v>
      </c>
      <c r="K10377" t="s">
        <v>23</v>
      </c>
    </row>
    <row r="10378" spans="1:11" ht="42" customHeight="1">
      <c r="A10378" t="s">
        <v>20514</v>
      </c>
      <c r="B10378" t="s">
        <v>20515</v>
      </c>
      <c r="C10378" t="s">
        <v>79</v>
      </c>
      <c r="D10378" t="s">
        <v>74</v>
      </c>
      <c r="E10378" s="6">
        <v>-28078</v>
      </c>
      <c r="F10378" t="s">
        <v>508</v>
      </c>
      <c r="G10378" t="s">
        <v>59</v>
      </c>
      <c r="H10378" t="s">
        <v>21</v>
      </c>
      <c r="I10378" t="s">
        <v>20516</v>
      </c>
      <c r="J10378" t="str">
        <f>HYPERLINK("https://www.boe.es/gazeta/dias/1823/02/14/pdfs/GMD-1823-48.pdf#page=6","Abrir facsímil")</f>
        <v>Abrir facsímil</v>
      </c>
      <c r="K10378" t="s">
        <v>23</v>
      </c>
    </row>
    <row r="10379" spans="1:11" ht="42" customHeight="1">
      <c r="A10379" t="s">
        <v>20517</v>
      </c>
      <c r="B10379" t="s">
        <v>20518</v>
      </c>
      <c r="C10379" t="s">
        <v>73</v>
      </c>
      <c r="D10379" t="s">
        <v>74</v>
      </c>
      <c r="E10379" s="6">
        <v>-28058</v>
      </c>
      <c r="F10379" t="s">
        <v>1282</v>
      </c>
      <c r="G10379" t="s">
        <v>59</v>
      </c>
      <c r="H10379" t="s">
        <v>21</v>
      </c>
      <c r="I10379" t="s">
        <v>20519</v>
      </c>
      <c r="J10379" t="str">
        <f>HYPERLINK("https://www.boe.es/gazeta/dias/1823/03/06/pdfs/GMD-1823-69.pdf#page=6","Abrir facsímil")</f>
        <v>Abrir facsímil</v>
      </c>
      <c r="K10379" t="s">
        <v>23</v>
      </c>
    </row>
    <row r="10380" spans="1:11" ht="42" customHeight="1">
      <c r="A10380" t="s">
        <v>20520</v>
      </c>
      <c r="B10380" t="s">
        <v>20520</v>
      </c>
      <c r="C10380" t="s">
        <v>17</v>
      </c>
      <c r="D10380" t="s">
        <v>18</v>
      </c>
      <c r="E10380" s="6">
        <v>-27878</v>
      </c>
      <c r="F10380" t="s">
        <v>130</v>
      </c>
      <c r="G10380" t="s">
        <v>27</v>
      </c>
      <c r="H10380" t="s">
        <v>21</v>
      </c>
      <c r="I10380" t="s">
        <v>20521</v>
      </c>
      <c r="J10380" t="str">
        <f>HYPERLINK("https://www.boe.es/gazeta/dias/1823/09/02/pdfs/GES-1823-146.pdf#page=2","Abrir facsímil")</f>
        <v>Abrir facsímil</v>
      </c>
      <c r="K10380" t="s">
        <v>23</v>
      </c>
    </row>
    <row r="10381" spans="1:11" ht="42" customHeight="1">
      <c r="A10381" t="s">
        <v>20522</v>
      </c>
      <c r="B10381" t="s">
        <v>20523</v>
      </c>
      <c r="C10381" t="s">
        <v>17</v>
      </c>
      <c r="D10381" t="s">
        <v>18</v>
      </c>
      <c r="E10381" s="6">
        <v>-27878</v>
      </c>
      <c r="F10381" t="s">
        <v>130</v>
      </c>
      <c r="G10381" t="s">
        <v>27</v>
      </c>
      <c r="H10381" t="s">
        <v>21</v>
      </c>
      <c r="I10381" t="s">
        <v>20524</v>
      </c>
      <c r="J10381" t="str">
        <f>HYPERLINK("https://www.boe.es/gazeta/dias/1823/09/02/pdfs/GES-1823-146.pdf#page=2","Abrir facsímil")</f>
        <v>Abrir facsímil</v>
      </c>
      <c r="K10381" t="s">
        <v>23</v>
      </c>
    </row>
    <row r="10382" spans="1:11" ht="42" customHeight="1">
      <c r="A10382" t="s">
        <v>20525</v>
      </c>
      <c r="B10382" t="s">
        <v>20525</v>
      </c>
      <c r="C10382" t="s">
        <v>17</v>
      </c>
      <c r="D10382" t="s">
        <v>18</v>
      </c>
      <c r="E10382" s="6">
        <v>-28119</v>
      </c>
      <c r="F10382" t="s">
        <v>545</v>
      </c>
      <c r="G10382" t="s">
        <v>59</v>
      </c>
      <c r="H10382" t="s">
        <v>21</v>
      </c>
      <c r="I10382" t="s">
        <v>20526</v>
      </c>
      <c r="J10382" t="str">
        <f>HYPERLINK("https://www.boe.es/gazeta/dias/1823/01/04/pdfs/GMD-1823-4.pdf#page=6","Abrir facsímil")</f>
        <v>Abrir facsímil</v>
      </c>
      <c r="K10382" t="s">
        <v>23</v>
      </c>
    </row>
    <row r="10383" spans="1:11" ht="42" customHeight="1">
      <c r="A10383" t="s">
        <v>20525</v>
      </c>
      <c r="B10383" t="s">
        <v>20525</v>
      </c>
      <c r="C10383" t="s">
        <v>17</v>
      </c>
      <c r="D10383" t="s">
        <v>18</v>
      </c>
      <c r="E10383" s="6">
        <v>-28105</v>
      </c>
      <c r="F10383" t="s">
        <v>502</v>
      </c>
      <c r="G10383" t="s">
        <v>20</v>
      </c>
      <c r="H10383" t="s">
        <v>21</v>
      </c>
      <c r="I10383" t="s">
        <v>20527</v>
      </c>
      <c r="J10383" t="str">
        <f>HYPERLINK("https://www.boe.es/gazeta/dias/1823/01/18/pdfs/GMD-1823-18.pdf#page=4","Abrir facsímil")</f>
        <v>Abrir facsímil</v>
      </c>
      <c r="K10383" t="s">
        <v>23</v>
      </c>
    </row>
    <row r="10384" spans="1:11" ht="42" customHeight="1">
      <c r="A10384" t="s">
        <v>20525</v>
      </c>
      <c r="B10384" t="s">
        <v>20525</v>
      </c>
      <c r="C10384" t="s">
        <v>17</v>
      </c>
      <c r="D10384" t="s">
        <v>18</v>
      </c>
      <c r="E10384" s="6">
        <v>-28092</v>
      </c>
      <c r="F10384" t="s">
        <v>105</v>
      </c>
      <c r="G10384" t="s">
        <v>20</v>
      </c>
      <c r="H10384" t="s">
        <v>21</v>
      </c>
      <c r="I10384" t="s">
        <v>20528</v>
      </c>
      <c r="J10384" t="str">
        <f>HYPERLINK("https://www.boe.es/gazeta/dias/1823/01/31/pdfs/GMD-1823-32.pdf#page=4","Abrir facsímil")</f>
        <v>Abrir facsímil</v>
      </c>
      <c r="K10384" t="s">
        <v>23</v>
      </c>
    </row>
    <row r="10385" spans="1:11" ht="42" customHeight="1">
      <c r="A10385" t="s">
        <v>20525</v>
      </c>
      <c r="B10385" t="s">
        <v>20525</v>
      </c>
      <c r="C10385" t="s">
        <v>17</v>
      </c>
      <c r="D10385" t="s">
        <v>18</v>
      </c>
      <c r="E10385" s="6">
        <v>-27887</v>
      </c>
      <c r="F10385" t="s">
        <v>1196</v>
      </c>
      <c r="G10385" t="s">
        <v>39</v>
      </c>
      <c r="H10385" t="s">
        <v>21</v>
      </c>
      <c r="I10385" t="s">
        <v>20529</v>
      </c>
      <c r="J10385" t="str">
        <f>HYPERLINK("https://www.boe.es/gazeta/dias/1823/08/24/pdfs/GES-1823-137.pdf#page=1","Abrir facsímil")</f>
        <v>Abrir facsímil</v>
      </c>
      <c r="K10385" t="s">
        <v>23</v>
      </c>
    </row>
    <row r="10386" spans="1:11" ht="42" customHeight="1">
      <c r="A10386" t="s">
        <v>20525</v>
      </c>
      <c r="B10386" t="s">
        <v>20525</v>
      </c>
      <c r="C10386" t="s">
        <v>17</v>
      </c>
      <c r="D10386" t="s">
        <v>18</v>
      </c>
      <c r="E10386" s="6">
        <v>-27881</v>
      </c>
      <c r="F10386" t="s">
        <v>725</v>
      </c>
      <c r="G10386" t="s">
        <v>48</v>
      </c>
      <c r="H10386" t="s">
        <v>21</v>
      </c>
      <c r="I10386" t="s">
        <v>20530</v>
      </c>
      <c r="J10386" t="str">
        <f>HYPERLINK("https://www.boe.es/gazeta/dias/1823/08/30/pdfs/GMD-1823-673.pdf#page=3","Abrir facsímil")</f>
        <v>Abrir facsímil</v>
      </c>
      <c r="K10386" t="s">
        <v>23</v>
      </c>
    </row>
    <row r="10387" spans="1:11" ht="42" customHeight="1">
      <c r="A10387" t="s">
        <v>20525</v>
      </c>
      <c r="B10387" t="s">
        <v>20525</v>
      </c>
      <c r="C10387" t="s">
        <v>17</v>
      </c>
      <c r="D10387" t="s">
        <v>18</v>
      </c>
      <c r="E10387" s="6">
        <v>-27877</v>
      </c>
      <c r="F10387" t="s">
        <v>844</v>
      </c>
      <c r="G10387" t="s">
        <v>20</v>
      </c>
      <c r="H10387" t="s">
        <v>21</v>
      </c>
      <c r="I10387" t="s">
        <v>20531</v>
      </c>
      <c r="J10387" t="str">
        <f>HYPERLINK("https://www.boe.es/gazeta/dias/1823/09/03/pdfs/GES-1823-147.pdf#page=4","Abrir facsímil")</f>
        <v>Abrir facsímil</v>
      </c>
      <c r="K10387" t="s">
        <v>23</v>
      </c>
    </row>
    <row r="10388" spans="1:11" ht="42" customHeight="1">
      <c r="A10388" t="s">
        <v>20525</v>
      </c>
      <c r="B10388" t="s">
        <v>20525</v>
      </c>
      <c r="C10388" t="s">
        <v>17</v>
      </c>
      <c r="D10388" t="s">
        <v>18</v>
      </c>
      <c r="E10388" s="6">
        <v>-27861</v>
      </c>
      <c r="F10388" t="s">
        <v>425</v>
      </c>
      <c r="G10388" t="s">
        <v>48</v>
      </c>
      <c r="H10388" t="s">
        <v>21</v>
      </c>
      <c r="I10388" t="s">
        <v>20532</v>
      </c>
      <c r="J10388" t="str">
        <f>HYPERLINK("https://www.boe.es/gazeta/dias/1823/09/19/pdfs/GES-1823-163.pdf#page=3","Abrir facsímil")</f>
        <v>Abrir facsímil</v>
      </c>
      <c r="K10388" t="s">
        <v>23</v>
      </c>
    </row>
    <row r="10389" spans="1:11" ht="42" customHeight="1">
      <c r="A10389" t="s">
        <v>20525</v>
      </c>
      <c r="B10389" t="s">
        <v>20525</v>
      </c>
      <c r="C10389" t="s">
        <v>17</v>
      </c>
      <c r="D10389" t="s">
        <v>18</v>
      </c>
      <c r="E10389" s="6">
        <v>-27860</v>
      </c>
      <c r="F10389" t="s">
        <v>744</v>
      </c>
      <c r="G10389" t="s">
        <v>48</v>
      </c>
      <c r="H10389" t="s">
        <v>21</v>
      </c>
      <c r="I10389" t="s">
        <v>20533</v>
      </c>
      <c r="J10389" t="str">
        <f>HYPERLINK("https://www.boe.es/gazeta/dias/1823/09/20/pdfs/GES-1823-164.pdf#page=3","Abrir facsímil")</f>
        <v>Abrir facsímil</v>
      </c>
      <c r="K10389" t="s">
        <v>23</v>
      </c>
    </row>
    <row r="10390" spans="1:11" ht="42" customHeight="1">
      <c r="A10390" t="s">
        <v>20534</v>
      </c>
      <c r="B10390" t="s">
        <v>20535</v>
      </c>
      <c r="C10390" t="s">
        <v>56</v>
      </c>
      <c r="D10390" t="s">
        <v>57</v>
      </c>
      <c r="E10390" s="6">
        <v>-28005</v>
      </c>
      <c r="F10390" t="s">
        <v>1648</v>
      </c>
      <c r="G10390" t="s">
        <v>20</v>
      </c>
      <c r="H10390" t="s">
        <v>21</v>
      </c>
      <c r="I10390" t="s">
        <v>20536</v>
      </c>
      <c r="J10390" t="str">
        <f>HYPERLINK("https://www.boe.es/gazeta/dias/1823/04/28/pdfs/GES-1823-18.pdf#page=4","Abrir facsímil")</f>
        <v>Abrir facsímil</v>
      </c>
      <c r="K10390" t="s">
        <v>23</v>
      </c>
    </row>
    <row r="10391" spans="1:11" ht="42" customHeight="1">
      <c r="A10391" t="s">
        <v>20537</v>
      </c>
      <c r="B10391" t="s">
        <v>20538</v>
      </c>
      <c r="C10391" t="s">
        <v>17</v>
      </c>
      <c r="D10391" t="s">
        <v>18</v>
      </c>
      <c r="E10391" s="6">
        <v>-28102</v>
      </c>
      <c r="F10391" t="s">
        <v>287</v>
      </c>
      <c r="G10391" t="s">
        <v>20</v>
      </c>
      <c r="H10391" t="s">
        <v>21</v>
      </c>
      <c r="I10391" t="s">
        <v>20539</v>
      </c>
      <c r="J10391" t="str">
        <f>HYPERLINK("https://www.boe.es/gazeta/dias/1823/01/21/pdfs/GMD-1823-22.pdf#page=4","Abrir facsímil")</f>
        <v>Abrir facsímil</v>
      </c>
      <c r="K10391" t="s">
        <v>23</v>
      </c>
    </row>
    <row r="10392" spans="1:11" ht="42" customHeight="1">
      <c r="A10392" t="s">
        <v>20537</v>
      </c>
      <c r="B10392" t="s">
        <v>20538</v>
      </c>
      <c r="C10392" t="s">
        <v>17</v>
      </c>
      <c r="D10392" t="s">
        <v>18</v>
      </c>
      <c r="E10392" s="6">
        <v>-27801</v>
      </c>
      <c r="F10392" t="s">
        <v>800</v>
      </c>
      <c r="G10392" t="s">
        <v>48</v>
      </c>
      <c r="H10392" t="s">
        <v>21</v>
      </c>
      <c r="I10392" t="s">
        <v>20540</v>
      </c>
      <c r="J10392" t="str">
        <f>HYPERLINK("https://www.boe.es/gazeta/dias/1823/11/18/pdfs/GMD-1823-1133.pdf#page=3","Abrir facsímil")</f>
        <v>Abrir facsímil</v>
      </c>
      <c r="K10392" t="s">
        <v>23</v>
      </c>
    </row>
    <row r="10393" spans="1:11" ht="42" customHeight="1">
      <c r="A10393" t="s">
        <v>20541</v>
      </c>
      <c r="B10393" t="s">
        <v>20542</v>
      </c>
      <c r="C10393" t="s">
        <v>109</v>
      </c>
      <c r="D10393" t="s">
        <v>74</v>
      </c>
      <c r="E10393" s="6">
        <v>-28041</v>
      </c>
      <c r="F10393" t="s">
        <v>873</v>
      </c>
      <c r="G10393" t="s">
        <v>366</v>
      </c>
      <c r="H10393" t="s">
        <v>21</v>
      </c>
      <c r="I10393" t="s">
        <v>20543</v>
      </c>
      <c r="J10393" t="str">
        <f>HYPERLINK("https://www.boe.es/gazeta/dias/1823/03/23/pdfs/GMD-1823-86.pdf#page=4","Abrir facsímil")</f>
        <v>Abrir facsímil</v>
      </c>
      <c r="K10393" t="s">
        <v>23</v>
      </c>
    </row>
    <row r="10394" spans="1:11" ht="42" customHeight="1">
      <c r="A10394" t="s">
        <v>20544</v>
      </c>
      <c r="B10394" t="s">
        <v>20545</v>
      </c>
      <c r="C10394" t="s">
        <v>17</v>
      </c>
      <c r="D10394" t="s">
        <v>18</v>
      </c>
      <c r="E10394" s="6">
        <v>-28001</v>
      </c>
      <c r="F10394" t="s">
        <v>768</v>
      </c>
      <c r="G10394" t="s">
        <v>34</v>
      </c>
      <c r="H10394" t="s">
        <v>21</v>
      </c>
      <c r="I10394" t="s">
        <v>20546</v>
      </c>
      <c r="J10394" t="str">
        <f>HYPERLINK("https://www.boe.es/gazeta/dias/1823/05/02/pdfs/GES-1823-22.pdf#page=5","Abrir facsímil")</f>
        <v>Abrir facsímil</v>
      </c>
      <c r="K10394" t="s">
        <v>23</v>
      </c>
    </row>
    <row r="10395" spans="1:11" ht="42" customHeight="1">
      <c r="A10395" t="s">
        <v>20547</v>
      </c>
      <c r="B10395" t="s">
        <v>20547</v>
      </c>
      <c r="C10395" t="s">
        <v>109</v>
      </c>
      <c r="D10395" t="s">
        <v>74</v>
      </c>
      <c r="E10395" s="6">
        <v>-27995</v>
      </c>
      <c r="F10395" t="s">
        <v>326</v>
      </c>
      <c r="G10395" t="s">
        <v>48</v>
      </c>
      <c r="H10395" t="s">
        <v>21</v>
      </c>
      <c r="I10395" t="s">
        <v>20548</v>
      </c>
      <c r="J10395" t="str">
        <f>HYPERLINK("https://www.boe.es/gazeta/dias/1823/05/08/pdfs/GMD-1823-112.pdf#page=3","Abrir facsímil")</f>
        <v>Abrir facsímil</v>
      </c>
      <c r="K10395" t="s">
        <v>23</v>
      </c>
    </row>
    <row r="10396" spans="1:11" ht="42" customHeight="1">
      <c r="A10396" t="s">
        <v>20549</v>
      </c>
      <c r="B10396" t="s">
        <v>20550</v>
      </c>
      <c r="C10396" t="s">
        <v>79</v>
      </c>
      <c r="D10396" t="s">
        <v>74</v>
      </c>
      <c r="E10396" s="6">
        <v>-28086</v>
      </c>
      <c r="F10396" t="s">
        <v>289</v>
      </c>
      <c r="G10396" t="s">
        <v>39</v>
      </c>
      <c r="H10396" t="s">
        <v>21</v>
      </c>
      <c r="I10396" t="s">
        <v>20551</v>
      </c>
      <c r="J10396" t="str">
        <f>HYPERLINK("https://www.boe.es/gazeta/dias/1823/02/06/pdfs/GMD-1823-39.pdf#page=1","Abrir facsímil")</f>
        <v>Abrir facsímil</v>
      </c>
      <c r="K10396" t="s">
        <v>23</v>
      </c>
    </row>
    <row r="10397" spans="1:11" ht="42" customHeight="1">
      <c r="A10397" t="s">
        <v>20552</v>
      </c>
      <c r="B10397" t="s">
        <v>20552</v>
      </c>
      <c r="C10397" t="s">
        <v>56</v>
      </c>
      <c r="D10397" t="s">
        <v>57</v>
      </c>
      <c r="E10397" s="6">
        <v>-28066</v>
      </c>
      <c r="F10397" t="s">
        <v>19</v>
      </c>
      <c r="G10397" t="s">
        <v>48</v>
      </c>
      <c r="H10397" t="s">
        <v>21</v>
      </c>
      <c r="I10397" t="s">
        <v>20553</v>
      </c>
      <c r="J10397" t="str">
        <f>HYPERLINK("https://www.boe.es/gazeta/dias/1823/02/26/pdfs/GMD-1823-60.pdf#page=3","Abrir facsímil")</f>
        <v>Abrir facsímil</v>
      </c>
      <c r="K10397" t="s">
        <v>23</v>
      </c>
    </row>
    <row r="10398" spans="1:11" ht="42" customHeight="1">
      <c r="A10398" t="s">
        <v>20554</v>
      </c>
      <c r="B10398" t="s">
        <v>20555</v>
      </c>
      <c r="C10398" t="s">
        <v>17</v>
      </c>
      <c r="D10398" t="s">
        <v>18</v>
      </c>
      <c r="E10398" s="6">
        <v>-27904</v>
      </c>
      <c r="F10398" t="s">
        <v>1227</v>
      </c>
      <c r="G10398" t="s">
        <v>20</v>
      </c>
      <c r="H10398" t="s">
        <v>21</v>
      </c>
      <c r="I10398" t="s">
        <v>20556</v>
      </c>
      <c r="J10398" t="str">
        <f>HYPERLINK("https://www.boe.es/gazeta/dias/1823/08/07/pdfs/GMD-1823-543.pdf#page=4","Abrir facsímil")</f>
        <v>Abrir facsímil</v>
      </c>
      <c r="K10398" t="s">
        <v>23</v>
      </c>
    </row>
    <row r="10399" spans="1:11" ht="42" customHeight="1">
      <c r="A10399" t="s">
        <v>20557</v>
      </c>
      <c r="B10399" t="s">
        <v>20558</v>
      </c>
      <c r="C10399" t="s">
        <v>17</v>
      </c>
      <c r="D10399" t="s">
        <v>18</v>
      </c>
      <c r="E10399" s="6">
        <v>-28053</v>
      </c>
      <c r="F10399" t="s">
        <v>303</v>
      </c>
      <c r="G10399" t="s">
        <v>20</v>
      </c>
      <c r="H10399" t="s">
        <v>21</v>
      </c>
      <c r="I10399" t="s">
        <v>20559</v>
      </c>
      <c r="J10399" t="str">
        <f>HYPERLINK("https://www.boe.es/gazeta/dias/1823/03/11/pdfs/GMD-1823-74.pdf#page=4","Abrir facsímil")</f>
        <v>Abrir facsímil</v>
      </c>
      <c r="K10399" t="s">
        <v>23</v>
      </c>
    </row>
    <row r="10400" spans="1:11" ht="42" customHeight="1">
      <c r="A10400" t="s">
        <v>20560</v>
      </c>
      <c r="B10400" t="s">
        <v>20560</v>
      </c>
      <c r="C10400" t="s">
        <v>325</v>
      </c>
      <c r="D10400" t="s">
        <v>74</v>
      </c>
      <c r="E10400" s="6">
        <v>-28077</v>
      </c>
      <c r="F10400" t="s">
        <v>536</v>
      </c>
      <c r="G10400" t="s">
        <v>59</v>
      </c>
      <c r="H10400" t="s">
        <v>21</v>
      </c>
      <c r="I10400" t="s">
        <v>20561</v>
      </c>
      <c r="J10400" t="str">
        <f>HYPERLINK("https://www.boe.es/gazeta/dias/1823/02/15/pdfs/GMD-1823-49.pdf#page=6","Abrir facsímil")</f>
        <v>Abrir facsímil</v>
      </c>
      <c r="K10400" t="s">
        <v>23</v>
      </c>
    </row>
    <row r="10401" spans="1:11" ht="42" customHeight="1">
      <c r="A10401" t="s">
        <v>20562</v>
      </c>
      <c r="B10401" t="s">
        <v>20562</v>
      </c>
      <c r="C10401" t="s">
        <v>17</v>
      </c>
      <c r="D10401" t="s">
        <v>18</v>
      </c>
      <c r="E10401" s="6">
        <v>-28076</v>
      </c>
      <c r="F10401" t="s">
        <v>1638</v>
      </c>
      <c r="G10401" t="s">
        <v>20</v>
      </c>
      <c r="H10401" t="s">
        <v>21</v>
      </c>
      <c r="I10401" t="s">
        <v>20563</v>
      </c>
      <c r="J10401" t="str">
        <f>HYPERLINK("https://www.boe.es/gazeta/dias/1823/02/16/pdfs/GMD-1823-50.pdf#page=4","Abrir facsímil")</f>
        <v>Abrir facsímil</v>
      </c>
      <c r="K10401" t="s">
        <v>23</v>
      </c>
    </row>
    <row r="10402" spans="1:11" ht="42" customHeight="1">
      <c r="A10402" t="s">
        <v>20564</v>
      </c>
      <c r="B10402" t="s">
        <v>20564</v>
      </c>
      <c r="C10402" t="s">
        <v>293</v>
      </c>
      <c r="D10402" t="s">
        <v>74</v>
      </c>
      <c r="E10402" s="6">
        <v>-27913</v>
      </c>
      <c r="F10402" t="s">
        <v>821</v>
      </c>
      <c r="G10402" t="s">
        <v>39</v>
      </c>
      <c r="H10402" t="s">
        <v>21</v>
      </c>
      <c r="I10402" t="s">
        <v>20565</v>
      </c>
      <c r="J10402" t="str">
        <f>HYPERLINK("https://www.boe.es/gazeta/dias/1823/07/29/pdfs/GES-1823-110.pdf#page=1","Abrir facsímil")</f>
        <v>Abrir facsímil</v>
      </c>
      <c r="K10402" t="s">
        <v>23</v>
      </c>
    </row>
    <row r="10403" spans="1:11" ht="42" customHeight="1">
      <c r="A10403" t="s">
        <v>20566</v>
      </c>
      <c r="B10403" t="s">
        <v>20567</v>
      </c>
      <c r="C10403" t="s">
        <v>17</v>
      </c>
      <c r="D10403" t="s">
        <v>18</v>
      </c>
      <c r="E10403" s="6">
        <v>-28080</v>
      </c>
      <c r="F10403" t="s">
        <v>1010</v>
      </c>
      <c r="G10403" t="s">
        <v>48</v>
      </c>
      <c r="H10403" t="s">
        <v>21</v>
      </c>
      <c r="I10403" t="s">
        <v>20568</v>
      </c>
      <c r="J10403" t="str">
        <f>HYPERLINK("https://www.boe.es/gazeta/dias/1823/02/12/pdfs/GMD-1823-46.pdf#page=3","Abrir facsímil")</f>
        <v>Abrir facsímil</v>
      </c>
      <c r="K10403" t="s">
        <v>23</v>
      </c>
    </row>
    <row r="10404" spans="1:11" ht="42" customHeight="1">
      <c r="A10404" t="s">
        <v>20569</v>
      </c>
      <c r="B10404" t="s">
        <v>20570</v>
      </c>
      <c r="C10404" t="s">
        <v>17</v>
      </c>
      <c r="D10404" t="s">
        <v>18</v>
      </c>
      <c r="E10404" s="6">
        <v>-28078</v>
      </c>
      <c r="F10404" t="s">
        <v>508</v>
      </c>
      <c r="G10404" t="s">
        <v>59</v>
      </c>
      <c r="H10404" t="s">
        <v>21</v>
      </c>
      <c r="I10404" t="s">
        <v>20571</v>
      </c>
      <c r="J10404" t="str">
        <f>HYPERLINK("https://www.boe.es/gazeta/dias/1823/02/14/pdfs/GMD-1823-48.pdf#page=6","Abrir facsímil")</f>
        <v>Abrir facsímil</v>
      </c>
      <c r="K10404" t="s">
        <v>23</v>
      </c>
    </row>
    <row r="10405" spans="1:11" ht="42" customHeight="1">
      <c r="A10405" t="s">
        <v>20569</v>
      </c>
      <c r="B10405" t="s">
        <v>20570</v>
      </c>
      <c r="C10405" t="s">
        <v>17</v>
      </c>
      <c r="D10405" t="s">
        <v>18</v>
      </c>
      <c r="E10405" s="6">
        <v>-28069</v>
      </c>
      <c r="F10405" t="s">
        <v>2006</v>
      </c>
      <c r="G10405" t="s">
        <v>20</v>
      </c>
      <c r="H10405" t="s">
        <v>21</v>
      </c>
      <c r="I10405" t="s">
        <v>20572</v>
      </c>
      <c r="J10405" t="str">
        <f>HYPERLINK("https://www.boe.es/gazeta/dias/1823/02/23/pdfs/GMD-1823-57.pdf#page=4","Abrir facsímil")</f>
        <v>Abrir facsímil</v>
      </c>
      <c r="K10405" t="s">
        <v>23</v>
      </c>
    </row>
    <row r="10406" spans="1:11" ht="42" customHeight="1">
      <c r="A10406" t="s">
        <v>20569</v>
      </c>
      <c r="B10406" t="s">
        <v>20570</v>
      </c>
      <c r="C10406" t="s">
        <v>17</v>
      </c>
      <c r="D10406" t="s">
        <v>18</v>
      </c>
      <c r="E10406" s="6">
        <v>-28001</v>
      </c>
      <c r="F10406" t="s">
        <v>768</v>
      </c>
      <c r="G10406" t="s">
        <v>2756</v>
      </c>
      <c r="H10406" t="s">
        <v>21</v>
      </c>
      <c r="I10406" t="s">
        <v>20573</v>
      </c>
      <c r="J10406" t="str">
        <f>HYPERLINK("https://www.boe.es/gazeta/dias/1823/05/02/pdfs/GES-1823-22.pdf#page=6","Abrir facsímil")</f>
        <v>Abrir facsímil</v>
      </c>
      <c r="K10406" t="s">
        <v>23</v>
      </c>
    </row>
    <row r="10407" spans="1:11" ht="42" customHeight="1">
      <c r="A10407" t="s">
        <v>20569</v>
      </c>
      <c r="B10407" t="s">
        <v>20570</v>
      </c>
      <c r="C10407" t="s">
        <v>56</v>
      </c>
      <c r="D10407" t="s">
        <v>57</v>
      </c>
      <c r="E10407" s="6">
        <v>-27962</v>
      </c>
      <c r="F10407" t="s">
        <v>594</v>
      </c>
      <c r="G10407" t="s">
        <v>39</v>
      </c>
      <c r="H10407" t="s">
        <v>21</v>
      </c>
      <c r="I10407" t="s">
        <v>20574</v>
      </c>
      <c r="J10407" t="str">
        <f>HYPERLINK("https://www.boe.es/gazeta/dias/1823/06/10/pdfs/GES-1823-64.pdf#page=1","Abrir facsímil")</f>
        <v>Abrir facsímil</v>
      </c>
      <c r="K10407" t="s">
        <v>23</v>
      </c>
    </row>
    <row r="10408" spans="1:11" ht="42" customHeight="1">
      <c r="A10408" t="s">
        <v>20575</v>
      </c>
      <c r="B10408" t="s">
        <v>20576</v>
      </c>
      <c r="C10408" t="s">
        <v>56</v>
      </c>
      <c r="D10408" t="s">
        <v>57</v>
      </c>
      <c r="E10408" s="6">
        <v>-27965</v>
      </c>
      <c r="F10408" t="s">
        <v>208</v>
      </c>
      <c r="G10408" t="s">
        <v>48</v>
      </c>
      <c r="H10408" t="s">
        <v>21</v>
      </c>
      <c r="I10408" t="s">
        <v>20577</v>
      </c>
      <c r="J10408" t="str">
        <f>HYPERLINK("https://www.boe.es/gazeta/dias/1823/06/07/pdfs/GES-1823-61.pdf#page=3","Abrir facsímil")</f>
        <v>Abrir facsímil</v>
      </c>
      <c r="K10408" t="s">
        <v>23</v>
      </c>
    </row>
    <row r="10409" spans="1:11" ht="42" customHeight="1">
      <c r="A10409" t="s">
        <v>20578</v>
      </c>
      <c r="B10409" t="s">
        <v>20579</v>
      </c>
      <c r="C10409" t="s">
        <v>17</v>
      </c>
      <c r="D10409" t="s">
        <v>18</v>
      </c>
      <c r="E10409" s="6">
        <v>-28033</v>
      </c>
      <c r="F10409" t="s">
        <v>1372</v>
      </c>
      <c r="G10409" t="s">
        <v>20</v>
      </c>
      <c r="H10409" t="s">
        <v>21</v>
      </c>
      <c r="I10409" t="s">
        <v>20580</v>
      </c>
      <c r="J10409" t="str">
        <f>HYPERLINK("https://www.boe.es/gazeta/dias/1823/03/31/pdfs/GMD-1823-94.pdf#page=4","Abrir facsímil")</f>
        <v>Abrir facsímil</v>
      </c>
      <c r="K10409" t="s">
        <v>23</v>
      </c>
    </row>
    <row r="10410" spans="1:11" ht="42" customHeight="1">
      <c r="A10410" t="s">
        <v>20581</v>
      </c>
      <c r="B10410" t="s">
        <v>20582</v>
      </c>
      <c r="C10410" t="s">
        <v>79</v>
      </c>
      <c r="D10410" t="s">
        <v>74</v>
      </c>
      <c r="E10410" s="6">
        <v>-28106</v>
      </c>
      <c r="F10410" t="s">
        <v>280</v>
      </c>
      <c r="G10410" t="s">
        <v>20</v>
      </c>
      <c r="H10410" t="s">
        <v>21</v>
      </c>
      <c r="I10410" t="s">
        <v>20583</v>
      </c>
      <c r="J10410" t="str">
        <f>HYPERLINK("https://www.boe.es/gazeta/dias/1823/01/17/pdfs/GMD-1823-17.pdf#page=4","Abrir facsímil")</f>
        <v>Abrir facsímil</v>
      </c>
      <c r="K10410" t="s">
        <v>23</v>
      </c>
    </row>
    <row r="10411" spans="1:11" ht="42" customHeight="1">
      <c r="A10411" t="s">
        <v>20581</v>
      </c>
      <c r="B10411" t="s">
        <v>20582</v>
      </c>
      <c r="C10411" t="s">
        <v>17</v>
      </c>
      <c r="D10411" t="s">
        <v>18</v>
      </c>
      <c r="E10411" s="6">
        <v>-28044</v>
      </c>
      <c r="F10411" t="s">
        <v>1930</v>
      </c>
      <c r="G10411" t="s">
        <v>20</v>
      </c>
      <c r="H10411" t="s">
        <v>21</v>
      </c>
      <c r="I10411" t="s">
        <v>20584</v>
      </c>
      <c r="J10411" t="str">
        <f>HYPERLINK("https://www.boe.es/gazeta/dias/1823/03/20/pdfs/GMD-1823-83.pdf#page=4","Abrir facsímil")</f>
        <v>Abrir facsímil</v>
      </c>
      <c r="K10411" t="s">
        <v>23</v>
      </c>
    </row>
    <row r="10412" spans="1:11" ht="42" customHeight="1">
      <c r="A10412" t="s">
        <v>20585</v>
      </c>
      <c r="B10412" t="s">
        <v>20585</v>
      </c>
      <c r="C10412" t="s">
        <v>17</v>
      </c>
      <c r="D10412" t="s">
        <v>18</v>
      </c>
      <c r="E10412" s="6">
        <v>-27857</v>
      </c>
      <c r="F10412" t="s">
        <v>4857</v>
      </c>
      <c r="G10412" t="s">
        <v>48</v>
      </c>
      <c r="H10412" t="s">
        <v>21</v>
      </c>
      <c r="I10412" t="s">
        <v>20586</v>
      </c>
      <c r="J10412" t="str">
        <f>HYPERLINK("https://www.boe.es/gazeta/dias/1823/09/23/pdfs/GES-1823-167.pdf#page=3","Abrir facsímil")</f>
        <v>Abrir facsímil</v>
      </c>
      <c r="K10412" t="s">
        <v>23</v>
      </c>
    </row>
    <row r="10413" spans="1:11" ht="42" customHeight="1">
      <c r="A10413" t="s">
        <v>20587</v>
      </c>
      <c r="B10413" t="s">
        <v>20587</v>
      </c>
      <c r="C10413" t="s">
        <v>17</v>
      </c>
      <c r="D10413" t="s">
        <v>18</v>
      </c>
      <c r="E10413" s="6">
        <v>-27913</v>
      </c>
      <c r="F10413" t="s">
        <v>829</v>
      </c>
      <c r="G10413" t="s">
        <v>34</v>
      </c>
      <c r="H10413" t="s">
        <v>21</v>
      </c>
      <c r="I10413" t="s">
        <v>20588</v>
      </c>
      <c r="J10413" t="str">
        <f>HYPERLINK("https://www.boe.es/gazeta/dias/1823/07/29/pdfs/GMD-1823-483.pdf#page=5","Abrir facsímil")</f>
        <v>Abrir facsímil</v>
      </c>
      <c r="K10413" t="s">
        <v>23</v>
      </c>
    </row>
    <row r="10414" spans="1:11" ht="42" customHeight="1">
      <c r="A10414" t="s">
        <v>20589</v>
      </c>
      <c r="B10414" t="s">
        <v>20589</v>
      </c>
      <c r="C10414" t="s">
        <v>17</v>
      </c>
      <c r="D10414" t="s">
        <v>117</v>
      </c>
      <c r="E10414" s="6">
        <v>-27860</v>
      </c>
      <c r="F10414" t="s">
        <v>4855</v>
      </c>
      <c r="G10414" t="s">
        <v>39</v>
      </c>
      <c r="H10414" t="s">
        <v>21</v>
      </c>
      <c r="I10414" t="s">
        <v>20590</v>
      </c>
      <c r="J10414" t="str">
        <f>HYPERLINK("https://www.boe.es/gazeta/dias/1823/09/20/pdfs/GMD-1823-823E.pdf#page=1","Abrir facsímil")</f>
        <v>Abrir facsímil</v>
      </c>
      <c r="K10414" t="s">
        <v>23</v>
      </c>
    </row>
    <row r="10415" spans="1:11" ht="42" customHeight="1">
      <c r="A10415" t="s">
        <v>20591</v>
      </c>
      <c r="B10415" t="s">
        <v>20592</v>
      </c>
      <c r="C10415" t="s">
        <v>17</v>
      </c>
      <c r="D10415" t="s">
        <v>18</v>
      </c>
      <c r="E10415" s="6">
        <v>-28085</v>
      </c>
      <c r="F10415" t="s">
        <v>458</v>
      </c>
      <c r="G10415" t="s">
        <v>59</v>
      </c>
      <c r="H10415" t="s">
        <v>21</v>
      </c>
      <c r="I10415" t="s">
        <v>20593</v>
      </c>
      <c r="J10415" t="str">
        <f>HYPERLINK("https://www.boe.es/gazeta/dias/1823/02/07/pdfs/GMD-1823-40.pdf#page=6","Abrir facsímil")</f>
        <v>Abrir facsímil</v>
      </c>
      <c r="K10415" t="s">
        <v>23</v>
      </c>
    </row>
    <row r="10416" spans="1:11" ht="42" customHeight="1">
      <c r="A10416" t="s">
        <v>20594</v>
      </c>
      <c r="B10416" t="s">
        <v>20595</v>
      </c>
      <c r="C10416" t="s">
        <v>17</v>
      </c>
      <c r="D10416" t="s">
        <v>18</v>
      </c>
      <c r="E10416" s="6">
        <v>-28010</v>
      </c>
      <c r="F10416" t="s">
        <v>808</v>
      </c>
      <c r="G10416" t="s">
        <v>48</v>
      </c>
      <c r="H10416" t="s">
        <v>21</v>
      </c>
      <c r="I10416" t="s">
        <v>20596</v>
      </c>
      <c r="J10416" t="str">
        <f>HYPERLINK("https://www.boe.es/gazeta/dias/1823/04/23/pdfs/GES-1823-13.pdf#page=3","Abrir facsímil")</f>
        <v>Abrir facsímil</v>
      </c>
      <c r="K10416" t="s">
        <v>23</v>
      </c>
    </row>
    <row r="10417" spans="1:11" ht="42" customHeight="1">
      <c r="A10417" t="s">
        <v>20597</v>
      </c>
      <c r="B10417" t="s">
        <v>20597</v>
      </c>
      <c r="C10417" t="s">
        <v>109</v>
      </c>
      <c r="D10417" t="s">
        <v>74</v>
      </c>
      <c r="E10417" s="6">
        <v>-27964</v>
      </c>
      <c r="F10417" t="s">
        <v>58</v>
      </c>
      <c r="G10417" t="s">
        <v>48</v>
      </c>
      <c r="H10417" t="s">
        <v>21</v>
      </c>
      <c r="I10417" t="s">
        <v>20598</v>
      </c>
      <c r="J10417" t="str">
        <f>HYPERLINK("https://www.boe.es/gazeta/dias/1823/06/08/pdfs/GES-1823-62.pdf#page=3","Abrir facsímil")</f>
        <v>Abrir facsímil</v>
      </c>
      <c r="K10417" t="s">
        <v>23</v>
      </c>
    </row>
    <row r="10418" spans="1:11" ht="42" customHeight="1">
      <c r="A10418" t="s">
        <v>20599</v>
      </c>
      <c r="B10418" t="s">
        <v>20599</v>
      </c>
      <c r="C10418" t="s">
        <v>73</v>
      </c>
      <c r="D10418" t="s">
        <v>74</v>
      </c>
      <c r="E10418" s="6">
        <v>-28118</v>
      </c>
      <c r="F10418" t="s">
        <v>252</v>
      </c>
      <c r="G10418" t="s">
        <v>253</v>
      </c>
      <c r="H10418" t="s">
        <v>21</v>
      </c>
      <c r="I10418" t="s">
        <v>20600</v>
      </c>
      <c r="J10418" t="str">
        <f>HYPERLINK("https://www.boe.es/gazeta/dias/1823/01/05/pdfs/GMD-1823-5.pdf#page=2","Abrir facsímil")</f>
        <v>Abrir facsímil</v>
      </c>
      <c r="K10418" t="s">
        <v>23</v>
      </c>
    </row>
    <row r="10419" spans="1:11" ht="42" customHeight="1">
      <c r="A10419" t="s">
        <v>20601</v>
      </c>
      <c r="B10419" t="s">
        <v>20601</v>
      </c>
      <c r="C10419" t="s">
        <v>17</v>
      </c>
      <c r="D10419" t="s">
        <v>18</v>
      </c>
      <c r="E10419" s="6">
        <v>-28059</v>
      </c>
      <c r="F10419" t="s">
        <v>149</v>
      </c>
      <c r="G10419" t="s">
        <v>27</v>
      </c>
      <c r="H10419" t="s">
        <v>21</v>
      </c>
      <c r="I10419" t="s">
        <v>20602</v>
      </c>
      <c r="J10419" t="str">
        <f>HYPERLINK("https://www.boe.es/gazeta/dias/1823/03/05/pdfs/GMD-1823-68.pdf#page=2","Abrir facsímil")</f>
        <v>Abrir facsímil</v>
      </c>
      <c r="K10419" t="s">
        <v>23</v>
      </c>
    </row>
    <row r="10420" spans="1:11" ht="42" customHeight="1">
      <c r="A10420" t="s">
        <v>20601</v>
      </c>
      <c r="B10420" t="s">
        <v>20601</v>
      </c>
      <c r="C10420" t="s">
        <v>17</v>
      </c>
      <c r="D10420" t="s">
        <v>18</v>
      </c>
      <c r="E10420" s="6">
        <v>-27966</v>
      </c>
      <c r="F10420" t="s">
        <v>675</v>
      </c>
      <c r="G10420" t="s">
        <v>27</v>
      </c>
      <c r="H10420" t="s">
        <v>21</v>
      </c>
      <c r="I10420" t="s">
        <v>20603</v>
      </c>
      <c r="J10420" t="str">
        <f>HYPERLINK("https://www.boe.es/gazeta/dias/1823/06/06/pdfs/GES-1823-60.pdf#page=2","Abrir facsímil")</f>
        <v>Abrir facsímil</v>
      </c>
      <c r="K10420" t="s">
        <v>23</v>
      </c>
    </row>
    <row r="10421" spans="1:11" ht="42" customHeight="1">
      <c r="A10421" t="s">
        <v>20604</v>
      </c>
      <c r="B10421" t="s">
        <v>20604</v>
      </c>
      <c r="C10421" t="s">
        <v>17</v>
      </c>
      <c r="D10421" t="s">
        <v>18</v>
      </c>
      <c r="E10421" s="6">
        <v>-28011</v>
      </c>
      <c r="F10421" t="s">
        <v>2416</v>
      </c>
      <c r="G10421" t="s">
        <v>39</v>
      </c>
      <c r="H10421" t="s">
        <v>21</v>
      </c>
      <c r="I10421" t="s">
        <v>20605</v>
      </c>
      <c r="J10421" t="str">
        <f>HYPERLINK("https://www.boe.es/gazeta/dias/1823/04/22/pdfs/GMD-1823-42.pdf#page=1","Abrir facsímil")</f>
        <v>Abrir facsímil</v>
      </c>
      <c r="K10421" t="s">
        <v>23</v>
      </c>
    </row>
    <row r="10422" spans="1:11" ht="42" customHeight="1">
      <c r="A10422" t="s">
        <v>20606</v>
      </c>
      <c r="B10422" t="s">
        <v>20606</v>
      </c>
      <c r="C10422" t="s">
        <v>17</v>
      </c>
      <c r="D10422" t="s">
        <v>18</v>
      </c>
      <c r="E10422" s="6">
        <v>-28011</v>
      </c>
      <c r="F10422" t="s">
        <v>2416</v>
      </c>
      <c r="G10422" t="s">
        <v>39</v>
      </c>
      <c r="H10422" t="s">
        <v>21</v>
      </c>
      <c r="I10422" t="s">
        <v>20607</v>
      </c>
      <c r="J10422" t="str">
        <f>HYPERLINK("https://www.boe.es/gazeta/dias/1823/04/22/pdfs/GMD-1823-42.pdf#page=1","Abrir facsímil")</f>
        <v>Abrir facsímil</v>
      </c>
      <c r="K10422" t="s">
        <v>23</v>
      </c>
    </row>
    <row r="10423" spans="1:11" ht="42" customHeight="1">
      <c r="A10423" t="s">
        <v>20608</v>
      </c>
      <c r="B10423" t="s">
        <v>20609</v>
      </c>
      <c r="C10423" t="s">
        <v>17</v>
      </c>
      <c r="D10423" t="s">
        <v>18</v>
      </c>
      <c r="E10423" s="6">
        <v>-28012</v>
      </c>
      <c r="F10423" t="s">
        <v>4707</v>
      </c>
      <c r="G10423" t="s">
        <v>27</v>
      </c>
      <c r="H10423" t="s">
        <v>21</v>
      </c>
      <c r="I10423" t="s">
        <v>20610</v>
      </c>
      <c r="J10423" t="str">
        <f>HYPERLINK("https://www.boe.es/gazeta/dias/1823/04/21/pdfs/GES-1823-11.pdf#page=2","Abrir facsímil")</f>
        <v>Abrir facsímil</v>
      </c>
      <c r="K10423" t="s">
        <v>23</v>
      </c>
    </row>
    <row r="10424" spans="1:11" ht="42" customHeight="1">
      <c r="A10424" t="s">
        <v>20611</v>
      </c>
      <c r="B10424" t="s">
        <v>20611</v>
      </c>
      <c r="C10424" t="s">
        <v>17</v>
      </c>
      <c r="D10424" t="s">
        <v>18</v>
      </c>
      <c r="E10424" s="6">
        <v>-27876</v>
      </c>
      <c r="F10424" t="s">
        <v>8384</v>
      </c>
      <c r="G10424" t="s">
        <v>20</v>
      </c>
      <c r="H10424" t="s">
        <v>21</v>
      </c>
      <c r="I10424" t="s">
        <v>20612</v>
      </c>
      <c r="J10424" t="str">
        <f>HYPERLINK("https://www.boe.es/gazeta/dias/1823/09/04/pdfs/GMD-1823-693.pdf#page=4","Abrir facsímil")</f>
        <v>Abrir facsímil</v>
      </c>
      <c r="K10424" t="s">
        <v>23</v>
      </c>
    </row>
    <row r="10425" spans="1:11" ht="42" customHeight="1">
      <c r="A10425" t="s">
        <v>20613</v>
      </c>
      <c r="B10425" t="s">
        <v>20613</v>
      </c>
      <c r="C10425" t="s">
        <v>17</v>
      </c>
      <c r="D10425" t="s">
        <v>18</v>
      </c>
      <c r="E10425" s="6">
        <v>-27878</v>
      </c>
      <c r="F10425" t="s">
        <v>1581</v>
      </c>
      <c r="G10425" t="s">
        <v>48</v>
      </c>
      <c r="H10425" t="s">
        <v>21</v>
      </c>
      <c r="I10425" t="s">
        <v>20614</v>
      </c>
      <c r="J10425" t="str">
        <f>HYPERLINK("https://www.boe.es/gazeta/dias/1823/09/02/pdfs/GMD-1823-683.pdf#page=3","Abrir facsímil")</f>
        <v>Abrir facsímil</v>
      </c>
      <c r="K10425" t="s">
        <v>23</v>
      </c>
    </row>
    <row r="10426" spans="1:11" ht="42" customHeight="1">
      <c r="A10426" t="s">
        <v>20615</v>
      </c>
      <c r="B10426" t="s">
        <v>20615</v>
      </c>
      <c r="C10426" t="s">
        <v>17</v>
      </c>
      <c r="D10426" t="s">
        <v>18</v>
      </c>
      <c r="E10426" s="6">
        <v>-27932</v>
      </c>
      <c r="F10426" t="s">
        <v>786</v>
      </c>
      <c r="G10426" t="s">
        <v>59</v>
      </c>
      <c r="H10426" t="s">
        <v>21</v>
      </c>
      <c r="I10426" t="s">
        <v>20616</v>
      </c>
      <c r="J10426" t="str">
        <f>HYPERLINK("https://www.boe.es/gazeta/dias/1823/07/10/pdfs/GMD-1823-363.pdf#page=6","Abrir facsímil")</f>
        <v>Abrir facsímil</v>
      </c>
      <c r="K10426" t="s">
        <v>23</v>
      </c>
    </row>
    <row r="10427" spans="1:11" ht="42" customHeight="1">
      <c r="A10427" t="s">
        <v>20615</v>
      </c>
      <c r="B10427" t="s">
        <v>20615</v>
      </c>
      <c r="C10427" t="s">
        <v>17</v>
      </c>
      <c r="D10427" t="s">
        <v>18</v>
      </c>
      <c r="E10427" s="6">
        <v>-27899</v>
      </c>
      <c r="F10427" t="s">
        <v>215</v>
      </c>
      <c r="G10427" t="s">
        <v>20</v>
      </c>
      <c r="H10427" t="s">
        <v>21</v>
      </c>
      <c r="I10427" t="s">
        <v>20617</v>
      </c>
      <c r="J10427" t="str">
        <f>HYPERLINK("https://www.boe.es/gazeta/dias/1823/08/12/pdfs/GMD-1823-583.pdf#page=4","Abrir facsímil")</f>
        <v>Abrir facsímil</v>
      </c>
      <c r="K10427" t="s">
        <v>23</v>
      </c>
    </row>
    <row r="10428" spans="1:11" ht="42" customHeight="1">
      <c r="A10428" t="s">
        <v>20618</v>
      </c>
      <c r="B10428" t="s">
        <v>20618</v>
      </c>
      <c r="C10428" t="s">
        <v>17</v>
      </c>
      <c r="D10428" t="s">
        <v>18</v>
      </c>
      <c r="E10428" s="6">
        <v>-27878</v>
      </c>
      <c r="F10428" t="s">
        <v>1581</v>
      </c>
      <c r="G10428" t="s">
        <v>48</v>
      </c>
      <c r="H10428" t="s">
        <v>21</v>
      </c>
      <c r="I10428" t="s">
        <v>20619</v>
      </c>
      <c r="J10428" t="str">
        <f>HYPERLINK("https://www.boe.es/gazeta/dias/1823/09/02/pdfs/GMD-1823-683.pdf#page=3","Abrir facsímil")</f>
        <v>Abrir facsímil</v>
      </c>
      <c r="K10428" t="s">
        <v>23</v>
      </c>
    </row>
    <row r="10429" spans="1:11" ht="42" customHeight="1">
      <c r="A10429" t="s">
        <v>20620</v>
      </c>
      <c r="B10429" t="s">
        <v>20620</v>
      </c>
      <c r="C10429" t="s">
        <v>17</v>
      </c>
      <c r="D10429" t="s">
        <v>18</v>
      </c>
      <c r="E10429" s="6">
        <v>-27899</v>
      </c>
      <c r="F10429" t="s">
        <v>215</v>
      </c>
      <c r="G10429" t="s">
        <v>20</v>
      </c>
      <c r="H10429" t="s">
        <v>21</v>
      </c>
      <c r="I10429" t="s">
        <v>20621</v>
      </c>
      <c r="J10429" t="str">
        <f>HYPERLINK("https://www.boe.es/gazeta/dias/1823/08/12/pdfs/GMD-1823-583.pdf#page=4","Abrir facsímil")</f>
        <v>Abrir facsímil</v>
      </c>
      <c r="K10429" t="s">
        <v>23</v>
      </c>
    </row>
    <row r="10430" spans="1:11" ht="42" customHeight="1">
      <c r="A10430" t="s">
        <v>20622</v>
      </c>
      <c r="B10430" t="s">
        <v>20623</v>
      </c>
      <c r="C10430" t="s">
        <v>17</v>
      </c>
      <c r="D10430" t="s">
        <v>18</v>
      </c>
      <c r="E10430" s="6">
        <v>-27996</v>
      </c>
      <c r="F10430" t="s">
        <v>695</v>
      </c>
      <c r="G10430" t="s">
        <v>39</v>
      </c>
      <c r="H10430" t="s">
        <v>21</v>
      </c>
      <c r="I10430" t="s">
        <v>20624</v>
      </c>
      <c r="J10430" t="str">
        <f>HYPERLINK("https://www.boe.es/gazeta/dias/1823/05/07/pdfs/GES-1823-27.pdf#page=1","Abrir facsímil")</f>
        <v>Abrir facsímil</v>
      </c>
      <c r="K10430" t="s">
        <v>23</v>
      </c>
    </row>
    <row r="10431" spans="1:11" ht="42" customHeight="1">
      <c r="A10431" t="s">
        <v>20625</v>
      </c>
      <c r="B10431" t="s">
        <v>20625</v>
      </c>
      <c r="C10431" t="s">
        <v>56</v>
      </c>
      <c r="D10431" t="s">
        <v>57</v>
      </c>
      <c r="E10431" s="6">
        <v>-28103</v>
      </c>
      <c r="F10431" t="s">
        <v>285</v>
      </c>
      <c r="G10431" t="s">
        <v>27</v>
      </c>
      <c r="H10431" t="s">
        <v>21</v>
      </c>
      <c r="I10431" t="s">
        <v>20626</v>
      </c>
      <c r="J10431" t="str">
        <f>HYPERLINK("https://www.boe.es/gazeta/dias/1823/01/20/pdfs/GMD-1823-20.pdf#page=2","Abrir facsímil")</f>
        <v>Abrir facsímil</v>
      </c>
      <c r="K10431" t="s">
        <v>23</v>
      </c>
    </row>
    <row r="10432" spans="1:11" ht="42" customHeight="1">
      <c r="A10432" t="s">
        <v>20627</v>
      </c>
      <c r="B10432" t="s">
        <v>20627</v>
      </c>
      <c r="C10432" t="s">
        <v>17</v>
      </c>
      <c r="D10432" t="s">
        <v>18</v>
      </c>
      <c r="E10432" s="6">
        <v>-28060</v>
      </c>
      <c r="F10432" t="s">
        <v>180</v>
      </c>
      <c r="G10432" t="s">
        <v>27</v>
      </c>
      <c r="H10432" t="s">
        <v>21</v>
      </c>
      <c r="I10432" t="s">
        <v>20628</v>
      </c>
      <c r="J10432" t="str">
        <f>HYPERLINK("https://www.boe.es/gazeta/dias/1823/03/04/pdfs/GMD-1823-67.pdf#page=2","Abrir facsímil")</f>
        <v>Abrir facsímil</v>
      </c>
      <c r="K10432" t="s">
        <v>23</v>
      </c>
    </row>
    <row r="10433" spans="1:11" ht="42" customHeight="1">
      <c r="A10433" t="s">
        <v>20629</v>
      </c>
      <c r="B10433" t="s">
        <v>20629</v>
      </c>
      <c r="C10433" t="s">
        <v>325</v>
      </c>
      <c r="D10433" t="s">
        <v>74</v>
      </c>
      <c r="E10433" s="6">
        <v>-28104</v>
      </c>
      <c r="F10433" t="s">
        <v>114</v>
      </c>
      <c r="G10433" t="s">
        <v>39</v>
      </c>
      <c r="H10433" t="s">
        <v>21</v>
      </c>
      <c r="I10433" t="s">
        <v>20630</v>
      </c>
      <c r="J10433" t="str">
        <f>HYPERLINK("https://www.boe.es/gazeta/dias/1823/01/19/pdfs/GMD-1823-19.pdf#page=1","Abrir facsímil")</f>
        <v>Abrir facsímil</v>
      </c>
      <c r="K10433" t="s">
        <v>23</v>
      </c>
    </row>
    <row r="10434" spans="1:11" ht="42" customHeight="1">
      <c r="A10434" t="s">
        <v>20629</v>
      </c>
      <c r="B10434" t="s">
        <v>20629</v>
      </c>
      <c r="C10434" t="s">
        <v>17</v>
      </c>
      <c r="D10434" t="s">
        <v>18</v>
      </c>
      <c r="E10434" s="6">
        <v>-28103</v>
      </c>
      <c r="F10434" t="s">
        <v>285</v>
      </c>
      <c r="G10434" t="s">
        <v>27</v>
      </c>
      <c r="H10434" t="s">
        <v>21</v>
      </c>
      <c r="I10434" t="s">
        <v>20631</v>
      </c>
      <c r="J10434" t="str">
        <f>HYPERLINK("https://www.boe.es/gazeta/dias/1823/01/20/pdfs/GMD-1823-20.pdf#page=2","Abrir facsímil")</f>
        <v>Abrir facsímil</v>
      </c>
      <c r="K10434" t="s">
        <v>23</v>
      </c>
    </row>
    <row r="10435" spans="1:11" ht="42" customHeight="1">
      <c r="A10435" t="s">
        <v>20629</v>
      </c>
      <c r="B10435" t="s">
        <v>20629</v>
      </c>
      <c r="C10435" t="s">
        <v>17</v>
      </c>
      <c r="D10435" t="s">
        <v>18</v>
      </c>
      <c r="E10435" s="6">
        <v>-27909</v>
      </c>
      <c r="F10435" t="s">
        <v>948</v>
      </c>
      <c r="G10435" t="s">
        <v>20</v>
      </c>
      <c r="H10435" t="s">
        <v>21</v>
      </c>
      <c r="I10435" t="s">
        <v>20632</v>
      </c>
      <c r="J10435" t="str">
        <f>HYPERLINK("https://www.boe.es/gazeta/dias/1823/08/02/pdfs/GES-1823-114.pdf#page=4","Abrir facsímil")</f>
        <v>Abrir facsímil</v>
      </c>
      <c r="K10435" t="s">
        <v>23</v>
      </c>
    </row>
    <row r="10436" spans="1:11" ht="42" customHeight="1">
      <c r="A10436" t="s">
        <v>20633</v>
      </c>
      <c r="B10436" t="s">
        <v>20634</v>
      </c>
      <c r="C10436" t="s">
        <v>73</v>
      </c>
      <c r="D10436" t="s">
        <v>74</v>
      </c>
      <c r="E10436" s="6">
        <v>-27992</v>
      </c>
      <c r="F10436" t="s">
        <v>565</v>
      </c>
      <c r="G10436" t="s">
        <v>1279</v>
      </c>
      <c r="H10436" t="s">
        <v>21</v>
      </c>
      <c r="I10436" t="s">
        <v>20635</v>
      </c>
      <c r="J10436" t="str">
        <f>HYPERLINK("https://www.boe.es/gazeta/dias/1823/05/11/pdfs/GES-1823-31.pdf#page=2","Abrir facsímil")</f>
        <v>Abrir facsímil</v>
      </c>
      <c r="K10436" t="s">
        <v>23</v>
      </c>
    </row>
    <row r="10437" spans="1:11" ht="42" customHeight="1">
      <c r="A10437" t="s">
        <v>20636</v>
      </c>
      <c r="B10437" t="s">
        <v>20636</v>
      </c>
      <c r="C10437" t="s">
        <v>56</v>
      </c>
      <c r="D10437" t="s">
        <v>57</v>
      </c>
      <c r="E10437" s="6">
        <v>-28084</v>
      </c>
      <c r="F10437" t="s">
        <v>1049</v>
      </c>
      <c r="G10437" t="s">
        <v>3129</v>
      </c>
      <c r="H10437" t="s">
        <v>21</v>
      </c>
      <c r="I10437" t="s">
        <v>20637</v>
      </c>
      <c r="J10437" t="str">
        <f>HYPERLINK("https://www.boe.es/gazeta/dias/1823/02/08/pdfs/GMD-1823-41.pdf#page=2","Abrir facsímil")</f>
        <v>Abrir facsímil</v>
      </c>
      <c r="K10437" t="s">
        <v>23</v>
      </c>
    </row>
    <row r="10438" spans="1:11" ht="42" customHeight="1">
      <c r="A10438" t="s">
        <v>20636</v>
      </c>
      <c r="B10438" t="s">
        <v>20636</v>
      </c>
      <c r="C10438" t="s">
        <v>17</v>
      </c>
      <c r="D10438" t="s">
        <v>18</v>
      </c>
      <c r="E10438" s="6">
        <v>-27967</v>
      </c>
      <c r="F10438" t="s">
        <v>412</v>
      </c>
      <c r="G10438" t="s">
        <v>592</v>
      </c>
      <c r="H10438" t="s">
        <v>21</v>
      </c>
      <c r="I10438" t="s">
        <v>20638</v>
      </c>
      <c r="J10438" t="str">
        <f>HYPERLINK("https://www.boe.es/gazeta/dias/1823/06/05/pdfs/GES-1823-59.pdf#page=3","Abrir facsímil")</f>
        <v>Abrir facsímil</v>
      </c>
      <c r="K10438" t="s">
        <v>23</v>
      </c>
    </row>
    <row r="10439" spans="1:11" ht="42" customHeight="1">
      <c r="A10439" t="s">
        <v>20639</v>
      </c>
      <c r="B10439" t="s">
        <v>20640</v>
      </c>
      <c r="C10439" t="s">
        <v>17</v>
      </c>
      <c r="D10439" t="s">
        <v>18</v>
      </c>
      <c r="E10439" s="6">
        <v>-28003</v>
      </c>
      <c r="F10439" t="s">
        <v>26</v>
      </c>
      <c r="G10439" t="s">
        <v>27</v>
      </c>
      <c r="H10439" t="s">
        <v>21</v>
      </c>
      <c r="I10439" t="s">
        <v>20641</v>
      </c>
      <c r="J10439" t="str">
        <f>HYPERLINK("https://www.boe.es/gazeta/dias/1823/04/30/pdfs/GES-1823-20.pdf#page=2","Abrir facsímil")</f>
        <v>Abrir facsímil</v>
      </c>
      <c r="K10439" t="s">
        <v>23</v>
      </c>
    </row>
    <row r="10440" spans="1:11" ht="42" customHeight="1">
      <c r="A10440" t="s">
        <v>20642</v>
      </c>
      <c r="B10440" t="s">
        <v>20642</v>
      </c>
      <c r="C10440" t="s">
        <v>17</v>
      </c>
      <c r="D10440" t="s">
        <v>18</v>
      </c>
      <c r="E10440" s="6">
        <v>-27970</v>
      </c>
      <c r="F10440" t="s">
        <v>1030</v>
      </c>
      <c r="G10440" t="s">
        <v>48</v>
      </c>
      <c r="H10440" t="s">
        <v>21</v>
      </c>
      <c r="I10440" t="s">
        <v>20643</v>
      </c>
      <c r="J10440" t="str">
        <f>HYPERLINK("https://www.boe.es/gazeta/dias/1823/06/02/pdfs/GES-1823-56.pdf#page=3","Abrir facsímil")</f>
        <v>Abrir facsímil</v>
      </c>
      <c r="K10440" t="s">
        <v>23</v>
      </c>
    </row>
    <row r="10441" spans="1:11" ht="42" customHeight="1">
      <c r="A10441" t="s">
        <v>20644</v>
      </c>
      <c r="B10441" t="s">
        <v>20645</v>
      </c>
      <c r="C10441" t="s">
        <v>17</v>
      </c>
      <c r="D10441" t="s">
        <v>18</v>
      </c>
      <c r="E10441" s="6">
        <v>-28063</v>
      </c>
      <c r="F10441" t="s">
        <v>2493</v>
      </c>
      <c r="G10441" t="s">
        <v>39</v>
      </c>
      <c r="H10441" t="s">
        <v>21</v>
      </c>
      <c r="I10441" t="s">
        <v>20646</v>
      </c>
      <c r="J10441" t="str">
        <f>HYPERLINK("https://www.boe.es/gazeta/dias/1823/03/01/pdfs/GMD-1823-63.pdf#page=1","Abrir facsímil")</f>
        <v>Abrir facsímil</v>
      </c>
      <c r="K10441" t="s">
        <v>23</v>
      </c>
    </row>
    <row r="10442" spans="1:11" ht="42" customHeight="1">
      <c r="A10442" t="s">
        <v>20647</v>
      </c>
      <c r="B10442" t="s">
        <v>20647</v>
      </c>
      <c r="C10442" t="s">
        <v>109</v>
      </c>
      <c r="D10442" t="s">
        <v>74</v>
      </c>
      <c r="E10442" s="6">
        <v>-28083</v>
      </c>
      <c r="F10442" t="s">
        <v>291</v>
      </c>
      <c r="G10442" t="s">
        <v>20</v>
      </c>
      <c r="H10442" t="s">
        <v>21</v>
      </c>
      <c r="I10442" t="s">
        <v>20648</v>
      </c>
      <c r="J10442" t="str">
        <f>HYPERLINK("https://www.boe.es/gazeta/dias/1823/02/09/pdfs/GMD-1823-43.pdf#page=4","Abrir facsímil")</f>
        <v>Abrir facsímil</v>
      </c>
      <c r="K10442" t="s">
        <v>23</v>
      </c>
    </row>
    <row r="10443" spans="1:11" ht="42" customHeight="1">
      <c r="A10443" t="s">
        <v>20649</v>
      </c>
      <c r="B10443" t="s">
        <v>20649</v>
      </c>
      <c r="C10443" t="s">
        <v>73</v>
      </c>
      <c r="D10443" t="s">
        <v>74</v>
      </c>
      <c r="E10443" s="6">
        <v>-28046</v>
      </c>
      <c r="F10443" t="s">
        <v>85</v>
      </c>
      <c r="G10443" t="s">
        <v>27</v>
      </c>
      <c r="H10443" t="s">
        <v>21</v>
      </c>
      <c r="I10443" t="s">
        <v>20650</v>
      </c>
      <c r="J10443" t="str">
        <f>HYPERLINK("https://www.boe.es/gazeta/dias/1823/03/18/pdfs/GMD-1823-81.pdf#page=2","Abrir facsímil")</f>
        <v>Abrir facsímil</v>
      </c>
      <c r="K10443" t="s">
        <v>23</v>
      </c>
    </row>
    <row r="10444" spans="1:11" ht="42" customHeight="1">
      <c r="A10444" t="s">
        <v>20649</v>
      </c>
      <c r="B10444" t="s">
        <v>20649</v>
      </c>
      <c r="C10444" t="s">
        <v>79</v>
      </c>
      <c r="D10444" t="s">
        <v>74</v>
      </c>
      <c r="E10444" s="6">
        <v>-27967</v>
      </c>
      <c r="F10444" t="s">
        <v>412</v>
      </c>
      <c r="G10444" t="s">
        <v>592</v>
      </c>
      <c r="H10444" t="s">
        <v>21</v>
      </c>
      <c r="I10444" t="s">
        <v>20651</v>
      </c>
      <c r="J10444" t="str">
        <f>HYPERLINK("https://www.boe.es/gazeta/dias/1823/06/05/pdfs/GES-1823-59.pdf#page=3","Abrir facsímil")</f>
        <v>Abrir facsímil</v>
      </c>
      <c r="K10444" t="s">
        <v>23</v>
      </c>
    </row>
    <row r="10445" spans="1:11" ht="42" customHeight="1">
      <c r="A10445" t="s">
        <v>20649</v>
      </c>
      <c r="B10445" t="s">
        <v>20649</v>
      </c>
      <c r="C10445" t="s">
        <v>109</v>
      </c>
      <c r="D10445" t="s">
        <v>74</v>
      </c>
      <c r="E10445" s="6">
        <v>-27855</v>
      </c>
      <c r="F10445" t="s">
        <v>380</v>
      </c>
      <c r="G10445" t="s">
        <v>48</v>
      </c>
      <c r="H10445" t="s">
        <v>21</v>
      </c>
      <c r="I10445" t="s">
        <v>20652</v>
      </c>
      <c r="J10445" t="str">
        <f>HYPERLINK("https://www.boe.es/gazeta/dias/1823/09/25/pdfs/GMD-1823-853.pdf#page=3","Abrir facsímil")</f>
        <v>Abrir facsímil</v>
      </c>
      <c r="K10445" t="s">
        <v>23</v>
      </c>
    </row>
    <row r="10446" spans="1:11" ht="42" customHeight="1">
      <c r="A10446" t="s">
        <v>20653</v>
      </c>
      <c r="B10446" t="s">
        <v>20654</v>
      </c>
      <c r="C10446" t="s">
        <v>79</v>
      </c>
      <c r="D10446" t="s">
        <v>74</v>
      </c>
      <c r="E10446" s="6">
        <v>-28106</v>
      </c>
      <c r="F10446" t="s">
        <v>280</v>
      </c>
      <c r="G10446" t="s">
        <v>20</v>
      </c>
      <c r="H10446" t="s">
        <v>21</v>
      </c>
      <c r="I10446" t="s">
        <v>20655</v>
      </c>
      <c r="J10446" t="str">
        <f>HYPERLINK("https://www.boe.es/gazeta/dias/1823/01/17/pdfs/GMD-1823-17.pdf#page=4","Abrir facsímil")</f>
        <v>Abrir facsímil</v>
      </c>
      <c r="K10446" t="s">
        <v>23</v>
      </c>
    </row>
    <row r="10447" spans="1:11" ht="42" customHeight="1">
      <c r="A10447" t="s">
        <v>20656</v>
      </c>
      <c r="B10447" t="s">
        <v>20657</v>
      </c>
      <c r="C10447" t="s">
        <v>17</v>
      </c>
      <c r="D10447" t="s">
        <v>18</v>
      </c>
      <c r="E10447" s="6">
        <v>-28033</v>
      </c>
      <c r="F10447" t="s">
        <v>1372</v>
      </c>
      <c r="G10447" t="s">
        <v>20</v>
      </c>
      <c r="H10447" t="s">
        <v>21</v>
      </c>
      <c r="I10447" t="s">
        <v>20658</v>
      </c>
      <c r="J10447" t="str">
        <f>HYPERLINK("https://www.boe.es/gazeta/dias/1823/03/31/pdfs/GMD-1823-94.pdf#page=4","Abrir facsímil")</f>
        <v>Abrir facsímil</v>
      </c>
      <c r="K10447" t="s">
        <v>23</v>
      </c>
    </row>
    <row r="10448" spans="1:11" ht="42" customHeight="1">
      <c r="A10448" t="s">
        <v>20659</v>
      </c>
      <c r="B10448" t="s">
        <v>20660</v>
      </c>
      <c r="C10448" t="s">
        <v>17</v>
      </c>
      <c r="D10448" t="s">
        <v>18</v>
      </c>
      <c r="E10448" s="6">
        <v>-28078</v>
      </c>
      <c r="F10448" t="s">
        <v>508</v>
      </c>
      <c r="G10448" t="s">
        <v>59</v>
      </c>
      <c r="H10448" t="s">
        <v>21</v>
      </c>
      <c r="I10448" t="s">
        <v>20661</v>
      </c>
      <c r="J10448" t="str">
        <f>HYPERLINK("https://www.boe.es/gazeta/dias/1823/02/14/pdfs/GMD-1823-48.pdf#page=6","Abrir facsímil")</f>
        <v>Abrir facsímil</v>
      </c>
      <c r="K10448" t="s">
        <v>23</v>
      </c>
    </row>
    <row r="10449" spans="1:11" ht="42" customHeight="1">
      <c r="A10449" t="s">
        <v>20662</v>
      </c>
      <c r="B10449" t="s">
        <v>20662</v>
      </c>
      <c r="C10449" t="s">
        <v>17</v>
      </c>
      <c r="D10449" t="s">
        <v>18</v>
      </c>
      <c r="E10449" s="6">
        <v>-28117</v>
      </c>
      <c r="F10449" t="s">
        <v>271</v>
      </c>
      <c r="G10449" t="s">
        <v>59</v>
      </c>
      <c r="H10449" t="s">
        <v>21</v>
      </c>
      <c r="I10449" t="s">
        <v>20663</v>
      </c>
      <c r="J10449" t="str">
        <f>HYPERLINK("https://www.boe.es/gazeta/dias/1823/01/06/pdfs/GMD-1823-6.pdf#page=6","Abrir facsímil")</f>
        <v>Abrir facsímil</v>
      </c>
      <c r="K10449" t="s">
        <v>23</v>
      </c>
    </row>
    <row r="10450" spans="1:11" ht="42" customHeight="1">
      <c r="A10450" t="s">
        <v>20664</v>
      </c>
      <c r="B10450" t="s">
        <v>20664</v>
      </c>
      <c r="C10450" t="s">
        <v>17</v>
      </c>
      <c r="D10450" t="s">
        <v>18</v>
      </c>
      <c r="E10450" s="6">
        <v>-28030</v>
      </c>
      <c r="F10450" t="s">
        <v>145</v>
      </c>
      <c r="G10450" t="s">
        <v>39</v>
      </c>
      <c r="H10450" t="s">
        <v>21</v>
      </c>
      <c r="I10450" t="s">
        <v>20665</v>
      </c>
      <c r="J10450" t="str">
        <f>HYPERLINK("https://www.boe.es/gazeta/dias/1823/04/03/pdfs/GMD-1823-97.pdf#page=1","Abrir facsímil")</f>
        <v>Abrir facsímil</v>
      </c>
      <c r="K10450" t="s">
        <v>23</v>
      </c>
    </row>
    <row r="10451" spans="1:11" ht="42" customHeight="1">
      <c r="A10451" t="s">
        <v>20666</v>
      </c>
      <c r="B10451" t="s">
        <v>20667</v>
      </c>
      <c r="C10451" t="s">
        <v>73</v>
      </c>
      <c r="D10451" t="s">
        <v>74</v>
      </c>
      <c r="E10451" s="6">
        <v>-28099</v>
      </c>
      <c r="F10451" t="s">
        <v>1689</v>
      </c>
      <c r="G10451" t="s">
        <v>20</v>
      </c>
      <c r="H10451" t="s">
        <v>21</v>
      </c>
      <c r="I10451" t="s">
        <v>20668</v>
      </c>
      <c r="J10451" t="str">
        <f>HYPERLINK("https://www.boe.es/gazeta/dias/1823/01/24/pdfs/GMD-1823-25.pdf#page=4","Abrir facsímil")</f>
        <v>Abrir facsímil</v>
      </c>
      <c r="K10451" t="s">
        <v>23</v>
      </c>
    </row>
    <row r="10452" spans="1:11" ht="42" customHeight="1">
      <c r="A10452" t="s">
        <v>20669</v>
      </c>
      <c r="B10452" t="s">
        <v>20670</v>
      </c>
      <c r="C10452" t="s">
        <v>17</v>
      </c>
      <c r="D10452" t="s">
        <v>18</v>
      </c>
      <c r="E10452" s="6">
        <v>-27999</v>
      </c>
      <c r="F10452" t="s">
        <v>97</v>
      </c>
      <c r="G10452" t="s">
        <v>1257</v>
      </c>
      <c r="H10452" t="s">
        <v>21</v>
      </c>
      <c r="I10452" t="s">
        <v>20671</v>
      </c>
      <c r="J10452" t="str">
        <f>HYPERLINK("https://www.boe.es/gazeta/dias/1823/05/04/pdfs/GES-1823-24.pdf#page=2","Abrir facsímil")</f>
        <v>Abrir facsímil</v>
      </c>
      <c r="K10452" t="s">
        <v>23</v>
      </c>
    </row>
    <row r="10453" spans="1:11" ht="42" customHeight="1">
      <c r="A10453" t="s">
        <v>20672</v>
      </c>
      <c r="B10453" t="s">
        <v>20673</v>
      </c>
      <c r="C10453" t="s">
        <v>56</v>
      </c>
      <c r="D10453" t="s">
        <v>57</v>
      </c>
      <c r="E10453" s="6">
        <v>-27972</v>
      </c>
      <c r="F10453" t="s">
        <v>429</v>
      </c>
      <c r="G10453" t="s">
        <v>39</v>
      </c>
      <c r="H10453" t="s">
        <v>21</v>
      </c>
      <c r="I10453" t="s">
        <v>20674</v>
      </c>
      <c r="J10453" t="str">
        <f>HYPERLINK("https://www.boe.es/gazeta/dias/1823/05/31/pdfs/GES-1823-54.pdf#page=1","Abrir facsímil")</f>
        <v>Abrir facsímil</v>
      </c>
      <c r="K10453" t="s">
        <v>23</v>
      </c>
    </row>
    <row r="10454" spans="1:11" ht="42" customHeight="1">
      <c r="A10454" t="s">
        <v>20675</v>
      </c>
      <c r="B10454" t="s">
        <v>20675</v>
      </c>
      <c r="C10454" t="s">
        <v>17</v>
      </c>
      <c r="D10454" t="s">
        <v>18</v>
      </c>
      <c r="E10454" s="6">
        <v>-28011</v>
      </c>
      <c r="F10454" t="s">
        <v>2416</v>
      </c>
      <c r="G10454" t="s">
        <v>48</v>
      </c>
      <c r="H10454" t="s">
        <v>21</v>
      </c>
      <c r="I10454" t="s">
        <v>20676</v>
      </c>
      <c r="J10454" t="str">
        <f>HYPERLINK("https://www.boe.es/gazeta/dias/1823/04/22/pdfs/GMD-1823-42.pdf#page=3","Abrir facsímil")</f>
        <v>Abrir facsímil</v>
      </c>
      <c r="K10454" t="s">
        <v>23</v>
      </c>
    </row>
    <row r="10455" spans="1:11" ht="42" customHeight="1">
      <c r="A10455" t="s">
        <v>20677</v>
      </c>
      <c r="B10455" t="s">
        <v>20677</v>
      </c>
      <c r="C10455" t="s">
        <v>17</v>
      </c>
      <c r="D10455" t="s">
        <v>18</v>
      </c>
      <c r="E10455" s="6">
        <v>-27899</v>
      </c>
      <c r="F10455" t="s">
        <v>2172</v>
      </c>
      <c r="G10455" t="s">
        <v>39</v>
      </c>
      <c r="H10455" t="s">
        <v>21</v>
      </c>
      <c r="I10455" t="s">
        <v>20678</v>
      </c>
      <c r="J10455" t="str">
        <f>HYPERLINK("https://www.boe.es/gazeta/dias/1823/08/12/pdfs/GES-1823-125.pdf#page=1","Abrir facsímil")</f>
        <v>Abrir facsímil</v>
      </c>
      <c r="K10455" t="s">
        <v>23</v>
      </c>
    </row>
    <row r="10456" spans="1:11" ht="42" customHeight="1">
      <c r="A10456" t="s">
        <v>20679</v>
      </c>
      <c r="B10456" t="s">
        <v>20680</v>
      </c>
      <c r="C10456" t="s">
        <v>109</v>
      </c>
      <c r="D10456" t="s">
        <v>74</v>
      </c>
      <c r="E10456" s="6">
        <v>-28083</v>
      </c>
      <c r="F10456" t="s">
        <v>291</v>
      </c>
      <c r="G10456" t="s">
        <v>27</v>
      </c>
      <c r="H10456" t="s">
        <v>21</v>
      </c>
      <c r="I10456" t="s">
        <v>20681</v>
      </c>
      <c r="J10456" t="str">
        <f>HYPERLINK("https://www.boe.es/gazeta/dias/1823/02/09/pdfs/GMD-1823-43.pdf#page=2","Abrir facsímil")</f>
        <v>Abrir facsímil</v>
      </c>
      <c r="K10456" t="s">
        <v>23</v>
      </c>
    </row>
    <row r="10457" spans="1:11" ht="42" customHeight="1">
      <c r="A10457" t="s">
        <v>20682</v>
      </c>
      <c r="B10457" t="s">
        <v>20683</v>
      </c>
      <c r="C10457" t="s">
        <v>56</v>
      </c>
      <c r="D10457" t="s">
        <v>57</v>
      </c>
      <c r="E10457" s="6">
        <v>-28087</v>
      </c>
      <c r="F10457" t="s">
        <v>3125</v>
      </c>
      <c r="G10457" t="s">
        <v>48</v>
      </c>
      <c r="H10457" t="s">
        <v>28</v>
      </c>
      <c r="I10457" t="s">
        <v>20684</v>
      </c>
      <c r="J10457" t="str">
        <f>HYPERLINK("https://www.boe.es/gazeta/dias/1823/02/05/pdfs/GMD-1823-38.pdf#page=3","Abrir facsímil")</f>
        <v>Abrir facsímil</v>
      </c>
      <c r="K10457" t="s">
        <v>30</v>
      </c>
    </row>
    <row r="10458" spans="1:11" ht="42" customHeight="1">
      <c r="A10458" t="s">
        <v>20685</v>
      </c>
      <c r="B10458" t="s">
        <v>20685</v>
      </c>
      <c r="C10458" t="s">
        <v>17</v>
      </c>
      <c r="D10458" t="s">
        <v>18</v>
      </c>
      <c r="E10458" s="6">
        <v>-27874</v>
      </c>
      <c r="F10458" t="s">
        <v>122</v>
      </c>
      <c r="G10458" t="s">
        <v>39</v>
      </c>
      <c r="H10458" t="s">
        <v>21</v>
      </c>
      <c r="I10458" t="s">
        <v>20686</v>
      </c>
      <c r="J10458" t="str">
        <f>HYPERLINK("https://www.boe.es/gazeta/dias/1823/09/06/pdfs/GMD-1823-713.pdf#page=1","Abrir facsímil")</f>
        <v>Abrir facsímil</v>
      </c>
      <c r="K10458" t="s">
        <v>23</v>
      </c>
    </row>
    <row r="10459" spans="1:11" ht="42" customHeight="1">
      <c r="A10459" t="s">
        <v>20687</v>
      </c>
      <c r="B10459" t="s">
        <v>20688</v>
      </c>
      <c r="C10459" t="s">
        <v>56</v>
      </c>
      <c r="D10459" t="s">
        <v>117</v>
      </c>
      <c r="E10459" s="6">
        <v>-27970</v>
      </c>
      <c r="F10459" t="s">
        <v>1699</v>
      </c>
      <c r="G10459" t="s">
        <v>39</v>
      </c>
      <c r="H10459" t="s">
        <v>21</v>
      </c>
      <c r="I10459" t="s">
        <v>20689</v>
      </c>
      <c r="J10459" t="str">
        <f>HYPERLINK("https://www.boe.es/gazeta/dias/1823/06/02/pdfs/GMD-1823-43E.pdf#page=1","Abrir facsímil")</f>
        <v>Abrir facsímil</v>
      </c>
      <c r="K10459" t="s">
        <v>23</v>
      </c>
    </row>
    <row r="10460" spans="1:11" ht="42" customHeight="1">
      <c r="A10460" t="s">
        <v>20690</v>
      </c>
      <c r="B10460" t="s">
        <v>20690</v>
      </c>
      <c r="C10460" t="s">
        <v>79</v>
      </c>
      <c r="D10460" t="s">
        <v>74</v>
      </c>
      <c r="E10460" s="6">
        <v>-27946</v>
      </c>
      <c r="F10460" t="s">
        <v>2146</v>
      </c>
      <c r="G10460" t="s">
        <v>39</v>
      </c>
      <c r="H10460" t="s">
        <v>21</v>
      </c>
      <c r="I10460" t="s">
        <v>20691</v>
      </c>
      <c r="J10460" t="str">
        <f>HYPERLINK("https://www.boe.es/gazeta/dias/1823/06/26/pdfs/GES-1823-76.pdf#page=1","Abrir facsímil")</f>
        <v>Abrir facsímil</v>
      </c>
      <c r="K10460" t="s">
        <v>23</v>
      </c>
    </row>
    <row r="10461" spans="1:11" ht="42" customHeight="1">
      <c r="A10461" t="s">
        <v>20692</v>
      </c>
      <c r="B10461" t="s">
        <v>20692</v>
      </c>
      <c r="C10461" t="s">
        <v>56</v>
      </c>
      <c r="D10461" t="s">
        <v>57</v>
      </c>
      <c r="E10461" s="6">
        <v>-28050</v>
      </c>
      <c r="F10461" t="s">
        <v>473</v>
      </c>
      <c r="G10461" t="s">
        <v>20</v>
      </c>
      <c r="H10461" t="s">
        <v>21</v>
      </c>
      <c r="I10461" t="s">
        <v>20693</v>
      </c>
      <c r="J10461" t="str">
        <f>HYPERLINK("https://www.boe.es/gazeta/dias/1823/03/14/pdfs/GMD-1823-77.pdf#page=4","Abrir facsímil")</f>
        <v>Abrir facsímil</v>
      </c>
      <c r="K10461" t="s">
        <v>23</v>
      </c>
    </row>
    <row r="10462" spans="1:11" ht="42" customHeight="1">
      <c r="A10462" t="s">
        <v>20694</v>
      </c>
      <c r="B10462" t="s">
        <v>20695</v>
      </c>
      <c r="C10462" t="s">
        <v>17</v>
      </c>
      <c r="D10462" t="s">
        <v>18</v>
      </c>
      <c r="E10462" s="6">
        <v>-27878</v>
      </c>
      <c r="F10462" t="s">
        <v>1581</v>
      </c>
      <c r="G10462" t="s">
        <v>48</v>
      </c>
      <c r="H10462" t="s">
        <v>21</v>
      </c>
      <c r="I10462" t="s">
        <v>20696</v>
      </c>
      <c r="J10462" t="str">
        <f>HYPERLINK("https://www.boe.es/gazeta/dias/1823/09/02/pdfs/GMD-1823-683.pdf#page=3","Abrir facsímil")</f>
        <v>Abrir facsímil</v>
      </c>
      <c r="K10462" t="s">
        <v>23</v>
      </c>
    </row>
    <row r="10463" spans="1:11" ht="42" customHeight="1">
      <c r="A10463" t="s">
        <v>20697</v>
      </c>
      <c r="B10463" t="s">
        <v>20698</v>
      </c>
      <c r="C10463" t="s">
        <v>17</v>
      </c>
      <c r="D10463" t="s">
        <v>18</v>
      </c>
      <c r="E10463" s="6">
        <v>-27901</v>
      </c>
      <c r="F10463" t="s">
        <v>840</v>
      </c>
      <c r="G10463" t="s">
        <v>20</v>
      </c>
      <c r="H10463" t="s">
        <v>21</v>
      </c>
      <c r="I10463" t="s">
        <v>20699</v>
      </c>
      <c r="J10463" t="str">
        <f>HYPERLINK("https://www.boe.es/gazeta/dias/1823/08/10/pdfs/GES-1823-123.pdf#page=4","Abrir facsímil")</f>
        <v>Abrir facsímil</v>
      </c>
      <c r="K10463" t="s">
        <v>23</v>
      </c>
    </row>
    <row r="10464" spans="1:11" ht="42" customHeight="1">
      <c r="A10464" t="s">
        <v>20700</v>
      </c>
      <c r="B10464" t="s">
        <v>20701</v>
      </c>
      <c r="C10464" t="s">
        <v>79</v>
      </c>
      <c r="D10464" t="s">
        <v>74</v>
      </c>
      <c r="E10464" s="6">
        <v>-28101</v>
      </c>
      <c r="F10464" t="s">
        <v>1041</v>
      </c>
      <c r="G10464" t="s">
        <v>20</v>
      </c>
      <c r="H10464" t="s">
        <v>21</v>
      </c>
      <c r="I10464" t="s">
        <v>20702</v>
      </c>
      <c r="J10464" t="str">
        <f>HYPERLINK("https://www.boe.es/gazeta/dias/1823/01/22/pdfs/GMD-1823-23.pdf#page=4","Abrir facsímil")</f>
        <v>Abrir facsímil</v>
      </c>
      <c r="K10464" t="s">
        <v>23</v>
      </c>
    </row>
    <row r="10465" spans="1:11" ht="42" customHeight="1">
      <c r="A10465" t="s">
        <v>20703</v>
      </c>
      <c r="B10465" t="s">
        <v>20703</v>
      </c>
      <c r="C10465" t="s">
        <v>17</v>
      </c>
      <c r="D10465" t="s">
        <v>18</v>
      </c>
      <c r="E10465" s="6">
        <v>-28013</v>
      </c>
      <c r="F10465" t="s">
        <v>105</v>
      </c>
      <c r="G10465" t="s">
        <v>48</v>
      </c>
      <c r="H10465" t="s">
        <v>21</v>
      </c>
      <c r="I10465" t="s">
        <v>20704</v>
      </c>
      <c r="J10465" t="str">
        <f>HYPERLINK("https://www.boe.es/gazeta/dias/1823/04/20/pdfs/GMD-1823-32.pdf#page=3","Abrir facsímil")</f>
        <v>Abrir facsímil</v>
      </c>
      <c r="K10465" t="s">
        <v>23</v>
      </c>
    </row>
    <row r="10466" spans="1:11" ht="42" customHeight="1">
      <c r="A10466" t="s">
        <v>20705</v>
      </c>
      <c r="B10466" t="s">
        <v>20706</v>
      </c>
      <c r="C10466" t="s">
        <v>17</v>
      </c>
      <c r="D10466" t="s">
        <v>18</v>
      </c>
      <c r="E10466" s="6">
        <v>-27945</v>
      </c>
      <c r="F10466" t="s">
        <v>628</v>
      </c>
      <c r="G10466" t="s">
        <v>48</v>
      </c>
      <c r="H10466" t="s">
        <v>21</v>
      </c>
      <c r="I10466" t="s">
        <v>20707</v>
      </c>
      <c r="J10466" t="str">
        <f>HYPERLINK("https://www.boe.es/gazeta/dias/1823/06/27/pdfs/GES-1823-77.pdf#page=3","Abrir facsímil")</f>
        <v>Abrir facsímil</v>
      </c>
      <c r="K10466" t="s">
        <v>23</v>
      </c>
    </row>
    <row r="10467" spans="1:11" ht="42" customHeight="1">
      <c r="A10467" t="s">
        <v>20708</v>
      </c>
      <c r="B10467" t="s">
        <v>20709</v>
      </c>
      <c r="C10467" t="s">
        <v>56</v>
      </c>
      <c r="D10467" t="s">
        <v>57</v>
      </c>
      <c r="E10467" s="6">
        <v>-28115</v>
      </c>
      <c r="F10467" t="s">
        <v>579</v>
      </c>
      <c r="G10467" t="s">
        <v>1458</v>
      </c>
      <c r="H10467" t="s">
        <v>21</v>
      </c>
      <c r="I10467" t="s">
        <v>20710</v>
      </c>
      <c r="J10467" t="str">
        <f>HYPERLINK("https://www.boe.es/gazeta/dias/1823/01/08/pdfs/GMD-1823-8.pdf#page=4","Abrir facsímil")</f>
        <v>Abrir facsímil</v>
      </c>
      <c r="K10467" t="s">
        <v>23</v>
      </c>
    </row>
    <row r="10468" spans="1:11" ht="42" customHeight="1">
      <c r="A10468" t="s">
        <v>20711</v>
      </c>
      <c r="B10468" t="s">
        <v>20712</v>
      </c>
      <c r="C10468" t="s">
        <v>73</v>
      </c>
      <c r="D10468" t="s">
        <v>74</v>
      </c>
      <c r="E10468" s="6">
        <v>-27978</v>
      </c>
      <c r="F10468" t="s">
        <v>342</v>
      </c>
      <c r="G10468" t="s">
        <v>59</v>
      </c>
      <c r="H10468" t="s">
        <v>21</v>
      </c>
      <c r="I10468" t="s">
        <v>20713</v>
      </c>
      <c r="J10468" t="str">
        <f>HYPERLINK("https://www.boe.es/gazeta/dias/1823/05/25/pdfs/GES-1823-46.pdf#page=6","Abrir facsímil")</f>
        <v>Abrir facsímil</v>
      </c>
      <c r="K10468" t="s">
        <v>23</v>
      </c>
    </row>
    <row r="10469" spans="1:11" ht="42" customHeight="1">
      <c r="A10469" t="s">
        <v>20714</v>
      </c>
      <c r="B10469" t="s">
        <v>20715</v>
      </c>
      <c r="C10469" t="s">
        <v>17</v>
      </c>
      <c r="D10469" t="s">
        <v>18</v>
      </c>
      <c r="E10469" s="6">
        <v>-27937</v>
      </c>
      <c r="F10469" t="s">
        <v>897</v>
      </c>
      <c r="G10469" t="s">
        <v>39</v>
      </c>
      <c r="H10469" t="s">
        <v>21</v>
      </c>
      <c r="I10469" t="s">
        <v>20716</v>
      </c>
      <c r="J10469" t="str">
        <f>HYPERLINK("https://www.boe.es/gazeta/dias/1823/07/05/pdfs/GMD-1823-343.pdf#page=1","Abrir facsímil")</f>
        <v>Abrir facsímil</v>
      </c>
      <c r="K10469" t="s">
        <v>23</v>
      </c>
    </row>
    <row r="10470" spans="1:11" ht="42" customHeight="1">
      <c r="A10470" t="s">
        <v>20717</v>
      </c>
      <c r="B10470" t="s">
        <v>20718</v>
      </c>
      <c r="C10470" t="s">
        <v>17</v>
      </c>
      <c r="D10470" t="s">
        <v>18</v>
      </c>
      <c r="E10470" s="6">
        <v>-28062</v>
      </c>
      <c r="F10470" t="s">
        <v>1357</v>
      </c>
      <c r="G10470" t="s">
        <v>27</v>
      </c>
      <c r="H10470" t="s">
        <v>21</v>
      </c>
      <c r="I10470" t="s">
        <v>20719</v>
      </c>
      <c r="J10470" t="str">
        <f>HYPERLINK("https://www.boe.es/gazeta/dias/1823/03/02/pdfs/GMD-1823-65.pdf#page=2","Abrir facsímil")</f>
        <v>Abrir facsímil</v>
      </c>
      <c r="K10470" t="s">
        <v>23</v>
      </c>
    </row>
    <row r="10471" spans="1:11" ht="42" customHeight="1">
      <c r="A10471" t="s">
        <v>20717</v>
      </c>
      <c r="B10471" t="s">
        <v>20718</v>
      </c>
      <c r="C10471" t="s">
        <v>17</v>
      </c>
      <c r="D10471" t="s">
        <v>18</v>
      </c>
      <c r="E10471" s="6">
        <v>-28010</v>
      </c>
      <c r="F10471" t="s">
        <v>808</v>
      </c>
      <c r="G10471" t="s">
        <v>27</v>
      </c>
      <c r="H10471" t="s">
        <v>21</v>
      </c>
      <c r="I10471" t="s">
        <v>20720</v>
      </c>
      <c r="J10471" t="str">
        <f>HYPERLINK("https://www.boe.es/gazeta/dias/1823/04/23/pdfs/GES-1823-13.pdf#page=2","Abrir facsímil")</f>
        <v>Abrir facsímil</v>
      </c>
      <c r="K10471" t="s">
        <v>23</v>
      </c>
    </row>
    <row r="10472" spans="1:11" ht="42" customHeight="1">
      <c r="A10472" t="s">
        <v>20721</v>
      </c>
      <c r="B10472" t="s">
        <v>20721</v>
      </c>
      <c r="C10472" t="s">
        <v>109</v>
      </c>
      <c r="D10472" t="s">
        <v>74</v>
      </c>
      <c r="E10472" s="6">
        <v>-27941</v>
      </c>
      <c r="F10472" t="s">
        <v>527</v>
      </c>
      <c r="G10472" t="s">
        <v>48</v>
      </c>
      <c r="H10472" t="s">
        <v>21</v>
      </c>
      <c r="I10472" t="s">
        <v>20722</v>
      </c>
      <c r="J10472" t="str">
        <f>HYPERLINK("https://www.boe.es/gazeta/dias/1823/07/01/pdfs/GES-1823-81.pdf#page=3","Abrir facsímil")</f>
        <v>Abrir facsímil</v>
      </c>
      <c r="K10472" t="s">
        <v>23</v>
      </c>
    </row>
    <row r="10473" spans="1:11" ht="42" customHeight="1">
      <c r="A10473" t="s">
        <v>20723</v>
      </c>
      <c r="B10473" t="s">
        <v>20724</v>
      </c>
      <c r="C10473" t="s">
        <v>17</v>
      </c>
      <c r="D10473" t="s">
        <v>18</v>
      </c>
      <c r="E10473" s="6">
        <v>-28078</v>
      </c>
      <c r="F10473" t="s">
        <v>508</v>
      </c>
      <c r="G10473" t="s">
        <v>27</v>
      </c>
      <c r="H10473" t="s">
        <v>21</v>
      </c>
      <c r="I10473" t="s">
        <v>20725</v>
      </c>
      <c r="J10473" t="str">
        <f>HYPERLINK("https://www.boe.es/gazeta/dias/1823/02/14/pdfs/GMD-1823-48.pdf#page=2","Abrir facsímil")</f>
        <v>Abrir facsímil</v>
      </c>
      <c r="K10473" t="s">
        <v>23</v>
      </c>
    </row>
    <row r="10474" spans="1:11" ht="42" customHeight="1">
      <c r="A10474" t="s">
        <v>20726</v>
      </c>
      <c r="B10474" t="s">
        <v>20727</v>
      </c>
      <c r="C10474" t="s">
        <v>17</v>
      </c>
      <c r="D10474" t="s">
        <v>18</v>
      </c>
      <c r="E10474" s="6">
        <v>-27869</v>
      </c>
      <c r="F10474" t="s">
        <v>520</v>
      </c>
      <c r="G10474" t="s">
        <v>27</v>
      </c>
      <c r="H10474" t="s">
        <v>21</v>
      </c>
      <c r="I10474" t="s">
        <v>20728</v>
      </c>
      <c r="J10474" t="str">
        <f>HYPERLINK("https://www.boe.es/gazeta/dias/1823/09/11/pdfs/GMD-1823-753.pdf#page=2","Abrir facsímil")</f>
        <v>Abrir facsímil</v>
      </c>
      <c r="K10474" t="s">
        <v>23</v>
      </c>
    </row>
    <row r="10475" spans="1:11" ht="42" customHeight="1">
      <c r="A10475" t="s">
        <v>20729</v>
      </c>
      <c r="B10475" t="s">
        <v>20730</v>
      </c>
      <c r="C10475" t="s">
        <v>56</v>
      </c>
      <c r="D10475" t="s">
        <v>57</v>
      </c>
      <c r="E10475" s="6">
        <v>-27988</v>
      </c>
      <c r="F10475" t="s">
        <v>2022</v>
      </c>
      <c r="G10475" t="s">
        <v>39</v>
      </c>
      <c r="H10475" t="s">
        <v>21</v>
      </c>
      <c r="I10475" t="s">
        <v>20731</v>
      </c>
      <c r="J10475" t="str">
        <f>HYPERLINK("https://www.boe.es/gazeta/dias/1823/05/15/pdfs/GMD-1823-142.pdf#page=1","Abrir facsímil")</f>
        <v>Abrir facsímil</v>
      </c>
      <c r="K10475" t="s">
        <v>23</v>
      </c>
    </row>
    <row r="10476" spans="1:11" ht="42" customHeight="1">
      <c r="A10476" t="s">
        <v>20732</v>
      </c>
      <c r="B10476" t="s">
        <v>20733</v>
      </c>
      <c r="C10476" t="s">
        <v>17</v>
      </c>
      <c r="D10476" t="s">
        <v>18</v>
      </c>
      <c r="E10476" s="6">
        <v>-28033</v>
      </c>
      <c r="F10476" t="s">
        <v>1372</v>
      </c>
      <c r="G10476" t="s">
        <v>20</v>
      </c>
      <c r="H10476" t="s">
        <v>21</v>
      </c>
      <c r="I10476" t="s">
        <v>20734</v>
      </c>
      <c r="J10476" t="str">
        <f>HYPERLINK("https://www.boe.es/gazeta/dias/1823/03/31/pdfs/GMD-1823-94.pdf#page=4","Abrir facsímil")</f>
        <v>Abrir facsímil</v>
      </c>
      <c r="K10476" t="s">
        <v>23</v>
      </c>
    </row>
    <row r="10477" spans="1:11" ht="42" customHeight="1">
      <c r="A10477" t="s">
        <v>20735</v>
      </c>
      <c r="B10477" t="s">
        <v>20736</v>
      </c>
      <c r="C10477" t="s">
        <v>17</v>
      </c>
      <c r="D10477" t="s">
        <v>18</v>
      </c>
      <c r="E10477" s="6">
        <v>-27801</v>
      </c>
      <c r="F10477" t="s">
        <v>800</v>
      </c>
      <c r="G10477" t="s">
        <v>48</v>
      </c>
      <c r="H10477" t="s">
        <v>21</v>
      </c>
      <c r="I10477" t="s">
        <v>20737</v>
      </c>
      <c r="J10477" t="str">
        <f>HYPERLINK("https://www.boe.es/gazeta/dias/1823/11/18/pdfs/GMD-1823-1133.pdf#page=3","Abrir facsímil")</f>
        <v>Abrir facsímil</v>
      </c>
      <c r="K10477" t="s">
        <v>23</v>
      </c>
    </row>
    <row r="10478" spans="1:11" ht="42" customHeight="1">
      <c r="A10478" t="s">
        <v>20738</v>
      </c>
      <c r="B10478" t="s">
        <v>20739</v>
      </c>
      <c r="C10478" t="s">
        <v>17</v>
      </c>
      <c r="D10478" t="s">
        <v>18</v>
      </c>
      <c r="E10478" s="6">
        <v>-27992</v>
      </c>
      <c r="F10478" t="s">
        <v>565</v>
      </c>
      <c r="G10478" t="s">
        <v>20</v>
      </c>
      <c r="H10478" t="s">
        <v>21</v>
      </c>
      <c r="I10478" t="s">
        <v>20740</v>
      </c>
      <c r="J10478" t="str">
        <f>HYPERLINK("https://www.boe.es/gazeta/dias/1823/05/11/pdfs/GES-1823-31.pdf#page=4","Abrir facsímil")</f>
        <v>Abrir facsímil</v>
      </c>
      <c r="K10478" t="s">
        <v>23</v>
      </c>
    </row>
    <row r="10479" spans="1:11" ht="42" customHeight="1">
      <c r="A10479" t="s">
        <v>20738</v>
      </c>
      <c r="B10479" t="s">
        <v>20739</v>
      </c>
      <c r="C10479" t="s">
        <v>17</v>
      </c>
      <c r="D10479" t="s">
        <v>18</v>
      </c>
      <c r="E10479" s="6">
        <v>-27811</v>
      </c>
      <c r="F10479" t="s">
        <v>834</v>
      </c>
      <c r="G10479" t="s">
        <v>48</v>
      </c>
      <c r="H10479" t="s">
        <v>21</v>
      </c>
      <c r="I10479" t="s">
        <v>20741</v>
      </c>
      <c r="J10479" t="str">
        <f>HYPERLINK("https://www.boe.es/gazeta/dias/1823/11/08/pdfs/GMD-1823-1083.pdf#page=3","Abrir facsímil")</f>
        <v>Abrir facsímil</v>
      </c>
      <c r="K10479" t="s">
        <v>23</v>
      </c>
    </row>
    <row r="10480" spans="1:11" ht="42" customHeight="1">
      <c r="A10480" t="s">
        <v>20742</v>
      </c>
      <c r="B10480" t="s">
        <v>20743</v>
      </c>
      <c r="C10480" t="s">
        <v>56</v>
      </c>
      <c r="D10480" t="s">
        <v>57</v>
      </c>
      <c r="E10480" s="6">
        <v>-27843</v>
      </c>
      <c r="F10480" t="s">
        <v>790</v>
      </c>
      <c r="G10480" t="s">
        <v>20</v>
      </c>
      <c r="H10480" t="s">
        <v>21</v>
      </c>
      <c r="I10480" t="s">
        <v>20744</v>
      </c>
      <c r="J10480" t="str">
        <f>HYPERLINK("https://www.boe.es/gazeta/dias/1823/10/07/pdfs/GMD-1823-933.pdf#page=4","Abrir facsímil")</f>
        <v>Abrir facsímil</v>
      </c>
      <c r="K10480" t="s">
        <v>23</v>
      </c>
    </row>
    <row r="10481" spans="1:11" ht="42" customHeight="1">
      <c r="A10481" t="s">
        <v>20745</v>
      </c>
      <c r="B10481" t="s">
        <v>20746</v>
      </c>
      <c r="C10481" t="s">
        <v>79</v>
      </c>
      <c r="D10481" t="s">
        <v>74</v>
      </c>
      <c r="E10481" s="6">
        <v>-28097</v>
      </c>
      <c r="F10481" t="s">
        <v>1368</v>
      </c>
      <c r="G10481" t="s">
        <v>20</v>
      </c>
      <c r="H10481" t="s">
        <v>21</v>
      </c>
      <c r="I10481" t="s">
        <v>20747</v>
      </c>
      <c r="J10481" t="str">
        <f>HYPERLINK("https://www.boe.es/gazeta/dias/1823/01/26/pdfs/GMD-1823-27.pdf#page=4","Abrir facsímil")</f>
        <v>Abrir facsímil</v>
      </c>
      <c r="K10481" t="s">
        <v>23</v>
      </c>
    </row>
    <row r="10482" spans="1:11" ht="42" customHeight="1">
      <c r="A10482" t="s">
        <v>20748</v>
      </c>
      <c r="B10482" t="s">
        <v>20748</v>
      </c>
      <c r="C10482" t="s">
        <v>17</v>
      </c>
      <c r="D10482" t="s">
        <v>18</v>
      </c>
      <c r="E10482" s="6">
        <v>-27889</v>
      </c>
      <c r="F10482" t="s">
        <v>1306</v>
      </c>
      <c r="G10482" t="s">
        <v>39</v>
      </c>
      <c r="H10482" t="s">
        <v>21</v>
      </c>
      <c r="I10482" t="s">
        <v>20749</v>
      </c>
      <c r="J10482" t="str">
        <f>HYPERLINK("https://www.boe.es/gazeta/dias/1823/08/22/pdfs/GES-1823-135.pdf#page=1","Abrir facsímil")</f>
        <v>Abrir facsímil</v>
      </c>
      <c r="K10482" t="s">
        <v>23</v>
      </c>
    </row>
    <row r="10483" spans="1:11" ht="42" customHeight="1">
      <c r="A10483" t="s">
        <v>20750</v>
      </c>
      <c r="B10483" t="s">
        <v>20751</v>
      </c>
      <c r="C10483" t="s">
        <v>17</v>
      </c>
      <c r="D10483" t="s">
        <v>18</v>
      </c>
      <c r="E10483" s="6">
        <v>-27888</v>
      </c>
      <c r="F10483" t="s">
        <v>1534</v>
      </c>
      <c r="G10483" t="s">
        <v>20</v>
      </c>
      <c r="H10483" t="s">
        <v>21</v>
      </c>
      <c r="I10483" t="s">
        <v>20752</v>
      </c>
      <c r="J10483" t="str">
        <f>HYPERLINK("https://www.boe.es/gazeta/dias/1823/08/23/pdfs/GES-1823-136.pdf#page=4","Abrir facsímil")</f>
        <v>Abrir facsímil</v>
      </c>
      <c r="K10483" t="s">
        <v>23</v>
      </c>
    </row>
    <row r="10484" spans="1:11" ht="42" customHeight="1">
      <c r="A10484" t="s">
        <v>20753</v>
      </c>
      <c r="B10484" t="s">
        <v>20754</v>
      </c>
      <c r="C10484" t="s">
        <v>17</v>
      </c>
      <c r="D10484" t="s">
        <v>18</v>
      </c>
      <c r="E10484" s="6">
        <v>-28000</v>
      </c>
      <c r="F10484" t="s">
        <v>138</v>
      </c>
      <c r="G10484" t="s">
        <v>20</v>
      </c>
      <c r="H10484" t="s">
        <v>21</v>
      </c>
      <c r="I10484" t="s">
        <v>20755</v>
      </c>
      <c r="J10484" t="str">
        <f>HYPERLINK("https://www.boe.es/gazeta/dias/1823/05/03/pdfs/GMD-1823-92.pdf#page=4","Abrir facsímil")</f>
        <v>Abrir facsímil</v>
      </c>
      <c r="K10484" t="s">
        <v>23</v>
      </c>
    </row>
    <row r="10485" spans="1:11" ht="42" customHeight="1">
      <c r="A10485" t="s">
        <v>20756</v>
      </c>
      <c r="B10485" t="s">
        <v>20757</v>
      </c>
      <c r="C10485" t="s">
        <v>17</v>
      </c>
      <c r="D10485" t="s">
        <v>117</v>
      </c>
      <c r="E10485" s="6">
        <v>-27953</v>
      </c>
      <c r="F10485" t="s">
        <v>2684</v>
      </c>
      <c r="G10485" t="s">
        <v>39</v>
      </c>
      <c r="H10485" t="s">
        <v>21</v>
      </c>
      <c r="I10485" t="s">
        <v>20758</v>
      </c>
      <c r="J10485" t="str">
        <f>HYPERLINK("https://www.boe.es/gazeta/dias/1823/06/19/pdfs/GMD-1823-203E.pdf#page=1","Abrir facsímil")</f>
        <v>Abrir facsímil</v>
      </c>
      <c r="K10485" t="s">
        <v>23</v>
      </c>
    </row>
    <row r="10486" spans="1:11" ht="42" customHeight="1">
      <c r="A10486" t="s">
        <v>20759</v>
      </c>
      <c r="B10486" t="s">
        <v>20760</v>
      </c>
      <c r="C10486" t="s">
        <v>17</v>
      </c>
      <c r="D10486" t="s">
        <v>18</v>
      </c>
      <c r="E10486" s="6">
        <v>-27996</v>
      </c>
      <c r="F10486" t="s">
        <v>695</v>
      </c>
      <c r="G10486" t="s">
        <v>20</v>
      </c>
      <c r="H10486" t="s">
        <v>21</v>
      </c>
      <c r="I10486" t="s">
        <v>20761</v>
      </c>
      <c r="J10486" t="str">
        <f>HYPERLINK("https://www.boe.es/gazeta/dias/1823/05/07/pdfs/GES-1823-27.pdf#page=4","Abrir facsímil")</f>
        <v>Abrir facsímil</v>
      </c>
      <c r="K10486" t="s">
        <v>23</v>
      </c>
    </row>
    <row r="10487" spans="1:11" ht="42" customHeight="1">
      <c r="A10487" t="s">
        <v>20762</v>
      </c>
      <c r="B10487" t="s">
        <v>20763</v>
      </c>
      <c r="C10487" t="s">
        <v>79</v>
      </c>
      <c r="D10487" t="s">
        <v>74</v>
      </c>
      <c r="E10487" s="6">
        <v>-27993</v>
      </c>
      <c r="F10487" t="s">
        <v>977</v>
      </c>
      <c r="G10487" t="s">
        <v>27</v>
      </c>
      <c r="H10487" t="s">
        <v>21</v>
      </c>
      <c r="I10487" t="s">
        <v>20764</v>
      </c>
      <c r="J10487" t="str">
        <f>HYPERLINK("https://www.boe.es/gazeta/dias/1823/05/10/pdfs/GES-1823-30.pdf#page=2","Abrir facsímil")</f>
        <v>Abrir facsímil</v>
      </c>
      <c r="K10487" t="s">
        <v>23</v>
      </c>
    </row>
    <row r="10488" spans="1:11" ht="42" customHeight="1">
      <c r="A10488" t="s">
        <v>20765</v>
      </c>
      <c r="B10488" t="s">
        <v>20766</v>
      </c>
      <c r="C10488" t="s">
        <v>56</v>
      </c>
      <c r="D10488" t="s">
        <v>57</v>
      </c>
      <c r="E10488" s="6">
        <v>-27994</v>
      </c>
      <c r="F10488" t="s">
        <v>714</v>
      </c>
      <c r="G10488" t="s">
        <v>715</v>
      </c>
      <c r="H10488" t="s">
        <v>21</v>
      </c>
      <c r="I10488" t="s">
        <v>20767</v>
      </c>
      <c r="J10488" t="str">
        <f>HYPERLINK("https://www.boe.es/gazeta/dias/1823/05/09/pdfs/GES-1823-29.pdf#page=8","Abrir facsímil")</f>
        <v>Abrir facsímil</v>
      </c>
      <c r="K10488" t="s">
        <v>23</v>
      </c>
    </row>
    <row r="10489" spans="1:11" ht="42" customHeight="1">
      <c r="A10489" t="s">
        <v>20768</v>
      </c>
      <c r="B10489" t="s">
        <v>20769</v>
      </c>
      <c r="C10489" t="s">
        <v>325</v>
      </c>
      <c r="D10489" t="s">
        <v>74</v>
      </c>
      <c r="E10489" s="6">
        <v>-27986</v>
      </c>
      <c r="F10489" t="s">
        <v>607</v>
      </c>
      <c r="G10489" t="s">
        <v>39</v>
      </c>
      <c r="H10489" t="s">
        <v>21</v>
      </c>
      <c r="I10489" t="s">
        <v>20770</v>
      </c>
      <c r="J10489" t="str">
        <f>HYPERLINK("https://www.boe.es/gazeta/dias/1823/05/17/pdfs/GMD-1823-152.pdf#page=1","Abrir facsímil")</f>
        <v>Abrir facsímil</v>
      </c>
      <c r="K10489" t="s">
        <v>23</v>
      </c>
    </row>
    <row r="10490" spans="1:11" ht="42" customHeight="1">
      <c r="A10490" t="s">
        <v>20768</v>
      </c>
      <c r="B10490" t="s">
        <v>20769</v>
      </c>
      <c r="C10490" t="s">
        <v>109</v>
      </c>
      <c r="D10490" t="s">
        <v>74</v>
      </c>
      <c r="E10490" s="6">
        <v>-27970</v>
      </c>
      <c r="F10490" t="s">
        <v>1030</v>
      </c>
      <c r="G10490" t="s">
        <v>59</v>
      </c>
      <c r="H10490" t="s">
        <v>21</v>
      </c>
      <c r="I10490" t="s">
        <v>20771</v>
      </c>
      <c r="J10490" t="str">
        <f>HYPERLINK("https://www.boe.es/gazeta/dias/1823/06/02/pdfs/GES-1823-56.pdf#page=6","Abrir facsímil")</f>
        <v>Abrir facsímil</v>
      </c>
      <c r="K10490" t="s">
        <v>23</v>
      </c>
    </row>
    <row r="10491" spans="1:11" ht="42" customHeight="1">
      <c r="A10491" t="s">
        <v>20772</v>
      </c>
      <c r="B10491" t="s">
        <v>20773</v>
      </c>
      <c r="C10491" t="s">
        <v>17</v>
      </c>
      <c r="D10491" t="s">
        <v>18</v>
      </c>
      <c r="E10491" s="6">
        <v>-27893</v>
      </c>
      <c r="F10491" t="s">
        <v>1893</v>
      </c>
      <c r="G10491" t="s">
        <v>1894</v>
      </c>
      <c r="H10491" t="s">
        <v>21</v>
      </c>
      <c r="I10491" t="s">
        <v>20774</v>
      </c>
      <c r="J10491" t="str">
        <f>HYPERLINK("https://www.boe.es/gazeta/dias/1823/08/18/pdfs/GES-1823-131.pdf#page=4","Abrir facsímil")</f>
        <v>Abrir facsímil</v>
      </c>
      <c r="K10491" t="s">
        <v>23</v>
      </c>
    </row>
    <row r="10492" spans="1:11" ht="42" customHeight="1">
      <c r="A10492" t="s">
        <v>20775</v>
      </c>
      <c r="B10492" t="s">
        <v>20776</v>
      </c>
      <c r="C10492" t="s">
        <v>73</v>
      </c>
      <c r="D10492" t="s">
        <v>74</v>
      </c>
      <c r="E10492" s="6">
        <v>-28031</v>
      </c>
      <c r="F10492" t="s">
        <v>1211</v>
      </c>
      <c r="G10492" t="s">
        <v>20</v>
      </c>
      <c r="H10492" t="s">
        <v>21</v>
      </c>
      <c r="I10492" t="s">
        <v>20777</v>
      </c>
      <c r="J10492" t="str">
        <f>HYPERLINK("https://www.boe.es/gazeta/dias/1823/04/02/pdfs/GMD-1823-96.pdf#page=4","Abrir facsímil")</f>
        <v>Abrir facsímil</v>
      </c>
      <c r="K10492" t="s">
        <v>23</v>
      </c>
    </row>
    <row r="10493" spans="1:11" ht="42" customHeight="1">
      <c r="A10493" t="s">
        <v>20778</v>
      </c>
      <c r="B10493" t="s">
        <v>20779</v>
      </c>
      <c r="C10493" t="s">
        <v>56</v>
      </c>
      <c r="D10493" t="s">
        <v>57</v>
      </c>
      <c r="E10493" s="6">
        <v>-27935</v>
      </c>
      <c r="F10493" t="s">
        <v>350</v>
      </c>
      <c r="G10493" t="s">
        <v>20</v>
      </c>
      <c r="H10493" t="s">
        <v>21</v>
      </c>
      <c r="I10493" t="s">
        <v>20780</v>
      </c>
      <c r="J10493" t="str">
        <f>HYPERLINK("https://www.boe.es/gazeta/dias/1823/07/07/pdfs/GES-1823-87.pdf#page=4","Abrir facsímil")</f>
        <v>Abrir facsímil</v>
      </c>
      <c r="K10493" t="s">
        <v>23</v>
      </c>
    </row>
    <row r="10494" spans="1:11" ht="42" customHeight="1">
      <c r="A10494" t="s">
        <v>20781</v>
      </c>
      <c r="B10494" t="s">
        <v>20782</v>
      </c>
      <c r="C10494" t="s">
        <v>56</v>
      </c>
      <c r="D10494" t="s">
        <v>57</v>
      </c>
      <c r="E10494" s="6">
        <v>-27841</v>
      </c>
      <c r="F10494" t="s">
        <v>721</v>
      </c>
      <c r="G10494" t="s">
        <v>20</v>
      </c>
      <c r="H10494" t="s">
        <v>21</v>
      </c>
      <c r="I10494" t="s">
        <v>20783</v>
      </c>
      <c r="J10494" t="str">
        <f>HYPERLINK("https://www.boe.es/gazeta/dias/1823/10/09/pdfs/GMD-1823-953.pdf#page=4","Abrir facsímil")</f>
        <v>Abrir facsímil</v>
      </c>
      <c r="K10494" t="s">
        <v>23</v>
      </c>
    </row>
    <row r="10495" spans="1:11" ht="42" customHeight="1">
      <c r="A10495" t="s">
        <v>20784</v>
      </c>
      <c r="B10495" t="s">
        <v>20785</v>
      </c>
      <c r="C10495" t="s">
        <v>17</v>
      </c>
      <c r="D10495" t="s">
        <v>18</v>
      </c>
      <c r="E10495" s="6">
        <v>-28030</v>
      </c>
      <c r="F10495" t="s">
        <v>145</v>
      </c>
      <c r="G10495" t="s">
        <v>48</v>
      </c>
      <c r="H10495" t="s">
        <v>21</v>
      </c>
      <c r="I10495" t="s">
        <v>20786</v>
      </c>
      <c r="J10495" t="str">
        <f>HYPERLINK("https://www.boe.es/gazeta/dias/1823/04/03/pdfs/GMD-1823-97.pdf#page=3","Abrir facsímil")</f>
        <v>Abrir facsímil</v>
      </c>
      <c r="K10495" t="s">
        <v>23</v>
      </c>
    </row>
    <row r="10496" spans="1:11" ht="42" customHeight="1">
      <c r="A10496" t="s">
        <v>20787</v>
      </c>
      <c r="B10496" t="s">
        <v>20787</v>
      </c>
      <c r="C10496" t="s">
        <v>17</v>
      </c>
      <c r="D10496" t="s">
        <v>18</v>
      </c>
      <c r="E10496" s="6">
        <v>-27860</v>
      </c>
      <c r="F10496" t="s">
        <v>744</v>
      </c>
      <c r="G10496" t="s">
        <v>745</v>
      </c>
      <c r="H10496" t="s">
        <v>21</v>
      </c>
      <c r="I10496" t="s">
        <v>20788</v>
      </c>
      <c r="J10496" t="str">
        <f>HYPERLINK("https://www.boe.es/gazeta/dias/1823/09/20/pdfs/GES-1823-164.pdf#page=2","Abrir facsímil")</f>
        <v>Abrir facsímil</v>
      </c>
      <c r="K10496" t="s">
        <v>23</v>
      </c>
    </row>
    <row r="10497" spans="1:11" ht="42" customHeight="1">
      <c r="A10497" t="s">
        <v>20789</v>
      </c>
      <c r="B10497" t="s">
        <v>20790</v>
      </c>
      <c r="C10497" t="s">
        <v>17</v>
      </c>
      <c r="D10497" t="s">
        <v>18</v>
      </c>
      <c r="E10497" s="6">
        <v>-27966</v>
      </c>
      <c r="F10497" t="s">
        <v>675</v>
      </c>
      <c r="G10497" t="s">
        <v>39</v>
      </c>
      <c r="H10497" t="s">
        <v>21</v>
      </c>
      <c r="I10497" t="s">
        <v>20791</v>
      </c>
      <c r="J10497" t="str">
        <f>HYPERLINK("https://www.boe.es/gazeta/dias/1823/06/06/pdfs/GES-1823-60.pdf#page=1","Abrir facsímil")</f>
        <v>Abrir facsímil</v>
      </c>
      <c r="K10497" t="s">
        <v>23</v>
      </c>
    </row>
    <row r="10498" spans="1:11" ht="42" customHeight="1">
      <c r="A10498" t="s">
        <v>20792</v>
      </c>
      <c r="B10498" t="s">
        <v>20793</v>
      </c>
      <c r="C10498" t="s">
        <v>17</v>
      </c>
      <c r="D10498" t="s">
        <v>18</v>
      </c>
      <c r="E10498" s="6">
        <v>-27884</v>
      </c>
      <c r="F10498" t="s">
        <v>61</v>
      </c>
      <c r="G10498" t="s">
        <v>48</v>
      </c>
      <c r="H10498" t="s">
        <v>28</v>
      </c>
      <c r="I10498" t="s">
        <v>20794</v>
      </c>
      <c r="J10498" t="str">
        <f>HYPERLINK("https://www.boe.es/gazeta/dias/1823/08/27/pdfs/GES-1823-140.pdf#page=3","Abrir facsímil")</f>
        <v>Abrir facsímil</v>
      </c>
      <c r="K10498" t="s">
        <v>30</v>
      </c>
    </row>
    <row r="10499" spans="1:11" ht="42" customHeight="1">
      <c r="A10499" t="s">
        <v>20795</v>
      </c>
      <c r="B10499" t="s">
        <v>20796</v>
      </c>
      <c r="C10499" t="s">
        <v>109</v>
      </c>
      <c r="D10499" t="s">
        <v>74</v>
      </c>
      <c r="E10499" s="6">
        <v>-27913</v>
      </c>
      <c r="F10499" t="s">
        <v>829</v>
      </c>
      <c r="G10499" t="s">
        <v>715</v>
      </c>
      <c r="H10499" t="s">
        <v>28</v>
      </c>
      <c r="I10499" t="s">
        <v>20797</v>
      </c>
      <c r="J10499" t="str">
        <f>HYPERLINK("https://www.boe.es/gazeta/dias/1823/07/29/pdfs/GMD-1823-483.pdf#page=8","Abrir facsímil")</f>
        <v>Abrir facsímil</v>
      </c>
      <c r="K10499" t="s">
        <v>30</v>
      </c>
    </row>
    <row r="10500" spans="1:11" ht="42" customHeight="1">
      <c r="A10500" t="s">
        <v>20798</v>
      </c>
      <c r="B10500" t="s">
        <v>20798</v>
      </c>
      <c r="C10500" t="s">
        <v>79</v>
      </c>
      <c r="D10500" t="s">
        <v>74</v>
      </c>
      <c r="E10500" s="6">
        <v>-28109</v>
      </c>
      <c r="F10500" t="s">
        <v>889</v>
      </c>
      <c r="G10500" t="s">
        <v>20</v>
      </c>
      <c r="H10500" t="s">
        <v>21</v>
      </c>
      <c r="I10500" t="s">
        <v>20799</v>
      </c>
      <c r="J10500" t="str">
        <f>HYPERLINK("https://www.boe.es/gazeta/dias/1823/01/14/pdfs/GMD-1823-14.pdf#page=4","Abrir facsímil")</f>
        <v>Abrir facsímil</v>
      </c>
      <c r="K10500" t="s">
        <v>23</v>
      </c>
    </row>
    <row r="10501" spans="1:11" ht="42" customHeight="1">
      <c r="A10501" t="s">
        <v>20798</v>
      </c>
      <c r="B10501" t="s">
        <v>20798</v>
      </c>
      <c r="C10501" t="s">
        <v>17</v>
      </c>
      <c r="D10501" t="s">
        <v>18</v>
      </c>
      <c r="E10501" s="6">
        <v>-28095</v>
      </c>
      <c r="F10501" t="s">
        <v>1770</v>
      </c>
      <c r="G10501" t="s">
        <v>20</v>
      </c>
      <c r="H10501" t="s">
        <v>21</v>
      </c>
      <c r="I10501" t="s">
        <v>20800</v>
      </c>
      <c r="J10501" t="str">
        <f>HYPERLINK("https://www.boe.es/gazeta/dias/1823/01/28/pdfs/GMD-1823-29.pdf#page=4","Abrir facsímil")</f>
        <v>Abrir facsímil</v>
      </c>
      <c r="K10501" t="s">
        <v>23</v>
      </c>
    </row>
    <row r="10502" spans="1:11" ht="42" customHeight="1">
      <c r="A10502" t="s">
        <v>20798</v>
      </c>
      <c r="B10502" t="s">
        <v>20798</v>
      </c>
      <c r="C10502" t="s">
        <v>17</v>
      </c>
      <c r="D10502" t="s">
        <v>18</v>
      </c>
      <c r="E10502" s="6">
        <v>-28077</v>
      </c>
      <c r="F10502" t="s">
        <v>536</v>
      </c>
      <c r="G10502" t="s">
        <v>59</v>
      </c>
      <c r="H10502" t="s">
        <v>21</v>
      </c>
      <c r="I10502" t="s">
        <v>20801</v>
      </c>
      <c r="J10502" t="str">
        <f>HYPERLINK("https://www.boe.es/gazeta/dias/1823/02/15/pdfs/GMD-1823-49.pdf#page=6","Abrir facsímil")</f>
        <v>Abrir facsímil</v>
      </c>
      <c r="K10502" t="s">
        <v>23</v>
      </c>
    </row>
    <row r="10503" spans="1:11" ht="42" customHeight="1">
      <c r="A10503" t="s">
        <v>20798</v>
      </c>
      <c r="B10503" t="s">
        <v>20798</v>
      </c>
      <c r="C10503" t="s">
        <v>56</v>
      </c>
      <c r="D10503" t="s">
        <v>57</v>
      </c>
      <c r="E10503" s="6">
        <v>-28005</v>
      </c>
      <c r="F10503" t="s">
        <v>1648</v>
      </c>
      <c r="G10503" t="s">
        <v>7662</v>
      </c>
      <c r="H10503" t="s">
        <v>21</v>
      </c>
      <c r="I10503" t="s">
        <v>20802</v>
      </c>
      <c r="J10503" t="str">
        <f>HYPERLINK("https://www.boe.es/gazeta/dias/1823/04/28/pdfs/GES-1823-18.pdf#page=1","Abrir facsímil")</f>
        <v>Abrir facsímil</v>
      </c>
      <c r="K10503" t="s">
        <v>23</v>
      </c>
    </row>
    <row r="10504" spans="1:11" ht="42" customHeight="1">
      <c r="A10504" t="s">
        <v>20803</v>
      </c>
      <c r="B10504" t="s">
        <v>20803</v>
      </c>
      <c r="C10504" t="s">
        <v>109</v>
      </c>
      <c r="D10504" t="s">
        <v>74</v>
      </c>
      <c r="E10504" s="6">
        <v>-28057</v>
      </c>
      <c r="F10504" t="s">
        <v>301</v>
      </c>
      <c r="G10504" t="s">
        <v>48</v>
      </c>
      <c r="H10504" t="s">
        <v>21</v>
      </c>
      <c r="I10504" t="s">
        <v>20804</v>
      </c>
      <c r="J10504" t="str">
        <f>HYPERLINK("https://www.boe.es/gazeta/dias/1823/03/07/pdfs/GMD-1823-70.pdf#page=3","Abrir facsímil")</f>
        <v>Abrir facsímil</v>
      </c>
      <c r="K10504" t="s">
        <v>23</v>
      </c>
    </row>
    <row r="10505" spans="1:11" ht="42" customHeight="1">
      <c r="A10505" t="s">
        <v>20805</v>
      </c>
      <c r="B10505" t="s">
        <v>20806</v>
      </c>
      <c r="C10505" t="s">
        <v>17</v>
      </c>
      <c r="D10505" t="s">
        <v>18</v>
      </c>
      <c r="E10505" s="6">
        <v>-28025</v>
      </c>
      <c r="F10505" t="s">
        <v>477</v>
      </c>
      <c r="G10505" t="s">
        <v>20</v>
      </c>
      <c r="H10505" t="s">
        <v>21</v>
      </c>
      <c r="I10505" t="s">
        <v>20807</v>
      </c>
      <c r="J10505" t="str">
        <f>HYPERLINK("https://www.boe.es/gazeta/dias/1823/04/08/pdfs/GMD-1823-103.pdf#page=4","Abrir facsímil")</f>
        <v>Abrir facsímil</v>
      </c>
      <c r="K10505" t="s">
        <v>23</v>
      </c>
    </row>
    <row r="10506" spans="1:11" ht="42" customHeight="1">
      <c r="A10506" t="s">
        <v>20808</v>
      </c>
      <c r="B10506" t="s">
        <v>20809</v>
      </c>
      <c r="C10506" t="s">
        <v>79</v>
      </c>
      <c r="D10506" t="s">
        <v>74</v>
      </c>
      <c r="E10506" s="6">
        <v>-28001</v>
      </c>
      <c r="F10506" t="s">
        <v>768</v>
      </c>
      <c r="G10506" t="s">
        <v>34</v>
      </c>
      <c r="H10506" t="s">
        <v>21</v>
      </c>
      <c r="I10506" t="s">
        <v>20810</v>
      </c>
      <c r="J10506" t="str">
        <f>HYPERLINK("https://www.boe.es/gazeta/dias/1823/05/02/pdfs/GES-1823-22.pdf#page=5","Abrir facsímil")</f>
        <v>Abrir facsímil</v>
      </c>
      <c r="K10506" t="s">
        <v>23</v>
      </c>
    </row>
    <row r="10507" spans="1:11" ht="42" customHeight="1">
      <c r="A10507" t="s">
        <v>20811</v>
      </c>
      <c r="B10507" t="s">
        <v>20812</v>
      </c>
      <c r="C10507" t="s">
        <v>79</v>
      </c>
      <c r="D10507" t="s">
        <v>74</v>
      </c>
      <c r="E10507" s="6">
        <v>-28042</v>
      </c>
      <c r="F10507" t="s">
        <v>1218</v>
      </c>
      <c r="G10507" t="s">
        <v>20</v>
      </c>
      <c r="H10507" t="s">
        <v>21</v>
      </c>
      <c r="I10507" t="s">
        <v>20813</v>
      </c>
      <c r="J10507" t="str">
        <f>HYPERLINK("https://www.boe.es/gazeta/dias/1823/03/22/pdfs/GMD-1823-85.pdf#page=4","Abrir facsímil")</f>
        <v>Abrir facsímil</v>
      </c>
      <c r="K10507" t="s">
        <v>23</v>
      </c>
    </row>
    <row r="10508" spans="1:11" ht="42" customHeight="1">
      <c r="A10508" t="s">
        <v>20814</v>
      </c>
      <c r="B10508" t="s">
        <v>20815</v>
      </c>
      <c r="C10508" t="s">
        <v>17</v>
      </c>
      <c r="D10508" t="s">
        <v>18</v>
      </c>
      <c r="E10508" s="6">
        <v>-27864</v>
      </c>
      <c r="F10508" t="s">
        <v>1301</v>
      </c>
      <c r="G10508" t="s">
        <v>1302</v>
      </c>
      <c r="H10508" t="s">
        <v>21</v>
      </c>
      <c r="I10508" t="s">
        <v>20816</v>
      </c>
      <c r="J10508" t="str">
        <f>HYPERLINK("https://www.boe.es/gazeta/dias/1823/09/16/pdfs/GES-1823-160.pdf#page=1","Abrir facsímil")</f>
        <v>Abrir facsímil</v>
      </c>
      <c r="K10508" t="s">
        <v>23</v>
      </c>
    </row>
    <row r="10509" spans="1:11" ht="42" customHeight="1">
      <c r="A10509" t="s">
        <v>20817</v>
      </c>
      <c r="B10509" t="s">
        <v>20818</v>
      </c>
      <c r="C10509" t="s">
        <v>56</v>
      </c>
      <c r="D10509" t="s">
        <v>57</v>
      </c>
      <c r="E10509" s="6">
        <v>-28042</v>
      </c>
      <c r="F10509" t="s">
        <v>1218</v>
      </c>
      <c r="G10509" t="s">
        <v>20</v>
      </c>
      <c r="H10509" t="s">
        <v>21</v>
      </c>
      <c r="I10509" t="s">
        <v>20819</v>
      </c>
      <c r="J10509" t="str">
        <f>HYPERLINK("https://www.boe.es/gazeta/dias/1823/03/22/pdfs/GMD-1823-85.pdf#page=4","Abrir facsímil")</f>
        <v>Abrir facsímil</v>
      </c>
      <c r="K10509" t="s">
        <v>23</v>
      </c>
    </row>
    <row r="10510" spans="1:11" ht="42" customHeight="1">
      <c r="A10510" t="s">
        <v>20820</v>
      </c>
      <c r="B10510" t="s">
        <v>20821</v>
      </c>
      <c r="C10510" t="s">
        <v>84</v>
      </c>
      <c r="D10510" t="s">
        <v>74</v>
      </c>
      <c r="E10510" s="6">
        <v>-28041</v>
      </c>
      <c r="F10510" t="s">
        <v>873</v>
      </c>
      <c r="G10510" t="s">
        <v>366</v>
      </c>
      <c r="H10510" t="s">
        <v>21</v>
      </c>
      <c r="I10510" t="s">
        <v>20822</v>
      </c>
      <c r="J10510" t="str">
        <f>HYPERLINK("https://www.boe.es/gazeta/dias/1823/03/23/pdfs/GMD-1823-86.pdf#page=4","Abrir facsímil")</f>
        <v>Abrir facsímil</v>
      </c>
      <c r="K10510" t="s">
        <v>23</v>
      </c>
    </row>
    <row r="10511" spans="1:11" ht="42" customHeight="1">
      <c r="A10511" t="s">
        <v>20823</v>
      </c>
      <c r="B10511" t="s">
        <v>20824</v>
      </c>
      <c r="C10511" t="s">
        <v>17</v>
      </c>
      <c r="D10511" t="s">
        <v>18</v>
      </c>
      <c r="E10511" s="6">
        <v>-27860</v>
      </c>
      <c r="F10511" t="s">
        <v>998</v>
      </c>
      <c r="G10511" t="s">
        <v>34</v>
      </c>
      <c r="H10511" t="s">
        <v>21</v>
      </c>
      <c r="I10511" t="s">
        <v>20825</v>
      </c>
      <c r="J10511" t="str">
        <f>HYPERLINK("https://www.boe.es/gazeta/dias/1823/09/20/pdfs/GMD-1823-813.pdf#page=5","Abrir facsímil")</f>
        <v>Abrir facsímil</v>
      </c>
      <c r="K10511" t="s">
        <v>23</v>
      </c>
    </row>
    <row r="10512" spans="1:11" ht="42" customHeight="1">
      <c r="A10512" t="s">
        <v>20826</v>
      </c>
      <c r="B10512" t="s">
        <v>20827</v>
      </c>
      <c r="C10512" t="s">
        <v>17</v>
      </c>
      <c r="D10512" t="s">
        <v>18</v>
      </c>
      <c r="E10512" s="6">
        <v>-27878</v>
      </c>
      <c r="F10512" t="s">
        <v>1581</v>
      </c>
      <c r="G10512" t="s">
        <v>39</v>
      </c>
      <c r="H10512" t="s">
        <v>21</v>
      </c>
      <c r="I10512" t="s">
        <v>20828</v>
      </c>
      <c r="J10512" t="str">
        <f>HYPERLINK("https://www.boe.es/gazeta/dias/1823/09/02/pdfs/GMD-1823-683.pdf#page=1","Abrir facsímil")</f>
        <v>Abrir facsímil</v>
      </c>
      <c r="K10512" t="s">
        <v>23</v>
      </c>
    </row>
    <row r="10513" spans="1:11" ht="42" customHeight="1">
      <c r="A10513" t="s">
        <v>20829</v>
      </c>
      <c r="B10513" t="s">
        <v>20830</v>
      </c>
      <c r="C10513" t="s">
        <v>17</v>
      </c>
      <c r="D10513" t="s">
        <v>18</v>
      </c>
      <c r="E10513" s="6">
        <v>-28012</v>
      </c>
      <c r="F10513" t="s">
        <v>4707</v>
      </c>
      <c r="G10513" t="s">
        <v>27</v>
      </c>
      <c r="H10513" t="s">
        <v>21</v>
      </c>
      <c r="I10513" t="s">
        <v>20831</v>
      </c>
      <c r="J10513" t="str">
        <f>HYPERLINK("https://www.boe.es/gazeta/dias/1823/04/21/pdfs/GES-1823-11.pdf#page=2","Abrir facsímil")</f>
        <v>Abrir facsímil</v>
      </c>
      <c r="K10513" t="s">
        <v>23</v>
      </c>
    </row>
    <row r="10514" spans="1:11" ht="42" customHeight="1">
      <c r="A10514" t="s">
        <v>20832</v>
      </c>
      <c r="B10514" t="s">
        <v>20832</v>
      </c>
      <c r="C10514" t="s">
        <v>73</v>
      </c>
      <c r="D10514" t="s">
        <v>74</v>
      </c>
      <c r="E10514" s="6">
        <v>-28087</v>
      </c>
      <c r="F10514" t="s">
        <v>3125</v>
      </c>
      <c r="G10514" t="s">
        <v>20</v>
      </c>
      <c r="H10514" t="s">
        <v>21</v>
      </c>
      <c r="I10514" t="s">
        <v>20833</v>
      </c>
      <c r="J10514" t="str">
        <f>HYPERLINK("https://www.boe.es/gazeta/dias/1823/02/05/pdfs/GMD-1823-38.pdf#page=4","Abrir facsímil")</f>
        <v>Abrir facsímil</v>
      </c>
      <c r="K10514" t="s">
        <v>23</v>
      </c>
    </row>
    <row r="10515" spans="1:11" ht="42" customHeight="1">
      <c r="A10515" t="s">
        <v>20834</v>
      </c>
      <c r="B10515" t="s">
        <v>20834</v>
      </c>
      <c r="C10515" t="s">
        <v>56</v>
      </c>
      <c r="D10515" t="s">
        <v>57</v>
      </c>
      <c r="E10515" s="6">
        <v>-28086</v>
      </c>
      <c r="F10515" t="s">
        <v>289</v>
      </c>
      <c r="G10515" t="s">
        <v>39</v>
      </c>
      <c r="H10515" t="s">
        <v>21</v>
      </c>
      <c r="I10515" t="s">
        <v>20835</v>
      </c>
      <c r="J10515" t="str">
        <f>HYPERLINK("https://www.boe.es/gazeta/dias/1823/02/06/pdfs/GMD-1823-39.pdf#page=1","Abrir facsímil")</f>
        <v>Abrir facsímil</v>
      </c>
      <c r="K10515" t="s">
        <v>23</v>
      </c>
    </row>
    <row r="10516" spans="1:11" ht="42" customHeight="1">
      <c r="A10516" t="s">
        <v>20836</v>
      </c>
      <c r="B10516" t="s">
        <v>20836</v>
      </c>
      <c r="C10516" t="s">
        <v>79</v>
      </c>
      <c r="D10516" t="s">
        <v>74</v>
      </c>
      <c r="E10516" s="6">
        <v>-27913</v>
      </c>
      <c r="F10516" t="s">
        <v>821</v>
      </c>
      <c r="G10516" t="s">
        <v>39</v>
      </c>
      <c r="H10516" t="s">
        <v>21</v>
      </c>
      <c r="I10516" t="s">
        <v>20837</v>
      </c>
      <c r="J10516" t="str">
        <f>HYPERLINK("https://www.boe.es/gazeta/dias/1823/07/29/pdfs/GES-1823-110.pdf#page=1","Abrir facsímil")</f>
        <v>Abrir facsímil</v>
      </c>
      <c r="K10516" t="s">
        <v>23</v>
      </c>
    </row>
    <row r="10517" spans="1:11" ht="42" customHeight="1">
      <c r="A10517" t="s">
        <v>20838</v>
      </c>
      <c r="B10517" t="s">
        <v>20839</v>
      </c>
      <c r="C10517" t="s">
        <v>17</v>
      </c>
      <c r="D10517" t="s">
        <v>18</v>
      </c>
      <c r="E10517" s="6">
        <v>-28064</v>
      </c>
      <c r="F10517" t="s">
        <v>1190</v>
      </c>
      <c r="G10517" t="s">
        <v>20</v>
      </c>
      <c r="H10517" t="s">
        <v>21</v>
      </c>
      <c r="I10517" t="s">
        <v>20840</v>
      </c>
      <c r="J10517" t="str">
        <f>HYPERLINK("https://www.boe.es/gazeta/dias/1823/02/28/pdfs/GMD-1823-62.pdf#page=4","Abrir facsímil")</f>
        <v>Abrir facsímil</v>
      </c>
      <c r="K10517" t="s">
        <v>23</v>
      </c>
    </row>
    <row r="10518" spans="1:11" ht="42" customHeight="1">
      <c r="A10518" t="s">
        <v>20841</v>
      </c>
      <c r="B10518" t="s">
        <v>20842</v>
      </c>
      <c r="C10518" t="s">
        <v>56</v>
      </c>
      <c r="D10518" t="s">
        <v>57</v>
      </c>
      <c r="E10518" s="6">
        <v>-28000</v>
      </c>
      <c r="F10518" t="s">
        <v>138</v>
      </c>
      <c r="G10518" t="s">
        <v>27</v>
      </c>
      <c r="H10518" t="s">
        <v>21</v>
      </c>
      <c r="I10518" t="s">
        <v>20843</v>
      </c>
      <c r="J10518" t="str">
        <f>HYPERLINK("https://www.boe.es/gazeta/dias/1823/05/03/pdfs/GMD-1823-92.pdf#page=2","Abrir facsímil")</f>
        <v>Abrir facsímil</v>
      </c>
      <c r="K10518" t="s">
        <v>23</v>
      </c>
    </row>
    <row r="10519" spans="1:11" ht="42" customHeight="1">
      <c r="A10519" t="s">
        <v>20844</v>
      </c>
      <c r="B10519" t="s">
        <v>20845</v>
      </c>
      <c r="C10519" t="s">
        <v>17</v>
      </c>
      <c r="D10519" t="s">
        <v>18</v>
      </c>
      <c r="E10519" s="6">
        <v>-28009</v>
      </c>
      <c r="F10519" t="s">
        <v>307</v>
      </c>
      <c r="G10519" t="s">
        <v>27</v>
      </c>
      <c r="H10519" t="s">
        <v>21</v>
      </c>
      <c r="I10519" t="s">
        <v>20846</v>
      </c>
      <c r="J10519" t="str">
        <f>HYPERLINK("https://www.boe.es/gazeta/dias/1823/04/24/pdfs/GES-1823-14.pdf#page=2","Abrir facsímil")</f>
        <v>Abrir facsímil</v>
      </c>
      <c r="K10519" t="s">
        <v>23</v>
      </c>
    </row>
    <row r="10520" spans="1:11" ht="42" customHeight="1">
      <c r="A10520" t="s">
        <v>20847</v>
      </c>
      <c r="B10520" t="s">
        <v>20848</v>
      </c>
      <c r="C10520" t="s">
        <v>56</v>
      </c>
      <c r="D10520" t="s">
        <v>57</v>
      </c>
      <c r="E10520" s="6">
        <v>-27994</v>
      </c>
      <c r="F10520" t="s">
        <v>714</v>
      </c>
      <c r="G10520" t="s">
        <v>715</v>
      </c>
      <c r="H10520" t="s">
        <v>21</v>
      </c>
      <c r="I10520" t="s">
        <v>20849</v>
      </c>
      <c r="J10520" t="str">
        <f>HYPERLINK("https://www.boe.es/gazeta/dias/1823/05/09/pdfs/GES-1823-29.pdf#page=8","Abrir facsímil")</f>
        <v>Abrir facsímil</v>
      </c>
      <c r="K10520" t="s">
        <v>23</v>
      </c>
    </row>
    <row r="10521" spans="1:11" ht="42" customHeight="1">
      <c r="A10521" t="s">
        <v>20850</v>
      </c>
      <c r="B10521" t="s">
        <v>20851</v>
      </c>
      <c r="C10521" t="s">
        <v>56</v>
      </c>
      <c r="D10521" t="s">
        <v>57</v>
      </c>
      <c r="E10521" s="6">
        <v>-28006</v>
      </c>
      <c r="F10521" t="s">
        <v>183</v>
      </c>
      <c r="G10521" t="s">
        <v>27</v>
      </c>
      <c r="H10521" t="s">
        <v>21</v>
      </c>
      <c r="I10521" t="s">
        <v>20852</v>
      </c>
      <c r="J10521" t="str">
        <f>HYPERLINK("https://www.boe.es/gazeta/dias/1823/04/27/pdfs/GES-1823-17.pdf#page=2","Abrir facsímil")</f>
        <v>Abrir facsímil</v>
      </c>
      <c r="K10521" t="s">
        <v>23</v>
      </c>
    </row>
    <row r="10522" spans="1:11" ht="42" customHeight="1">
      <c r="A10522" t="s">
        <v>20850</v>
      </c>
      <c r="B10522" t="s">
        <v>20851</v>
      </c>
      <c r="C10522" t="s">
        <v>56</v>
      </c>
      <c r="D10522" t="s">
        <v>57</v>
      </c>
      <c r="E10522" s="6">
        <v>-27994</v>
      </c>
      <c r="F10522" t="s">
        <v>714</v>
      </c>
      <c r="G10522" t="s">
        <v>715</v>
      </c>
      <c r="H10522" t="s">
        <v>21</v>
      </c>
      <c r="I10522" t="s">
        <v>20853</v>
      </c>
      <c r="J10522" t="str">
        <f>HYPERLINK("https://www.boe.es/gazeta/dias/1823/05/09/pdfs/GES-1823-29.pdf#page=8","Abrir facsímil")</f>
        <v>Abrir facsímil</v>
      </c>
      <c r="K10522" t="s">
        <v>23</v>
      </c>
    </row>
    <row r="10523" spans="1:11" ht="42" customHeight="1">
      <c r="A10523" t="s">
        <v>20850</v>
      </c>
      <c r="B10523" t="s">
        <v>20851</v>
      </c>
      <c r="C10523" t="s">
        <v>56</v>
      </c>
      <c r="D10523" t="s">
        <v>57</v>
      </c>
      <c r="E10523" s="6">
        <v>-27993</v>
      </c>
      <c r="F10523" t="s">
        <v>977</v>
      </c>
      <c r="G10523" t="s">
        <v>27</v>
      </c>
      <c r="H10523" t="s">
        <v>21</v>
      </c>
      <c r="I10523" t="s">
        <v>20854</v>
      </c>
      <c r="J10523" t="str">
        <f>HYPERLINK("https://www.boe.es/gazeta/dias/1823/05/10/pdfs/GES-1823-30.pdf#page=2","Abrir facsímil")</f>
        <v>Abrir facsímil</v>
      </c>
      <c r="K10523" t="s">
        <v>23</v>
      </c>
    </row>
    <row r="10524" spans="1:11" ht="42" customHeight="1">
      <c r="A10524" t="s">
        <v>20850</v>
      </c>
      <c r="B10524" t="s">
        <v>20851</v>
      </c>
      <c r="C10524" t="s">
        <v>56</v>
      </c>
      <c r="D10524" t="s">
        <v>57</v>
      </c>
      <c r="E10524" s="6">
        <v>-27986</v>
      </c>
      <c r="F10524" t="s">
        <v>607</v>
      </c>
      <c r="G10524" t="s">
        <v>39</v>
      </c>
      <c r="H10524" t="s">
        <v>21</v>
      </c>
      <c r="I10524" t="s">
        <v>20855</v>
      </c>
      <c r="J10524" t="str">
        <f>HYPERLINK("https://www.boe.es/gazeta/dias/1823/05/17/pdfs/GMD-1823-152.pdf#page=1","Abrir facsímil")</f>
        <v>Abrir facsímil</v>
      </c>
      <c r="K10524" t="s">
        <v>23</v>
      </c>
    </row>
    <row r="10525" spans="1:11" ht="42" customHeight="1">
      <c r="A10525" t="s">
        <v>20856</v>
      </c>
      <c r="B10525" t="s">
        <v>20856</v>
      </c>
      <c r="C10525" t="s">
        <v>109</v>
      </c>
      <c r="D10525" t="s">
        <v>74</v>
      </c>
      <c r="E10525" s="6">
        <v>-27951</v>
      </c>
      <c r="F10525" t="s">
        <v>548</v>
      </c>
      <c r="G10525" t="s">
        <v>39</v>
      </c>
      <c r="H10525" t="s">
        <v>21</v>
      </c>
      <c r="I10525" t="s">
        <v>20857</v>
      </c>
      <c r="J10525" t="str">
        <f>HYPERLINK("https://www.boe.es/gazeta/dias/1823/06/21/pdfs/GES-1823-69.pdf#page=1","Abrir facsímil")</f>
        <v>Abrir facsímil</v>
      </c>
      <c r="K10525" t="s">
        <v>23</v>
      </c>
    </row>
    <row r="10526" spans="1:11" ht="42" customHeight="1">
      <c r="A10526" t="s">
        <v>20858</v>
      </c>
      <c r="B10526" t="s">
        <v>20859</v>
      </c>
      <c r="C10526" t="s">
        <v>17</v>
      </c>
      <c r="D10526" t="s">
        <v>18</v>
      </c>
      <c r="E10526" s="6">
        <v>-27949</v>
      </c>
      <c r="F10526" t="s">
        <v>1162</v>
      </c>
      <c r="G10526" t="s">
        <v>48</v>
      </c>
      <c r="H10526" t="s">
        <v>21</v>
      </c>
      <c r="I10526" t="s">
        <v>20860</v>
      </c>
      <c r="J10526" t="str">
        <f>HYPERLINK("https://www.boe.es/gazeta/dias/1823/06/23/pdfs/GES-1823-71.pdf#page=3","Abrir facsímil")</f>
        <v>Abrir facsímil</v>
      </c>
      <c r="K10526" t="s">
        <v>23</v>
      </c>
    </row>
    <row r="10527" spans="1:11" ht="42" customHeight="1">
      <c r="A10527" t="s">
        <v>20861</v>
      </c>
      <c r="B10527" t="s">
        <v>20861</v>
      </c>
      <c r="C10527" t="s">
        <v>17</v>
      </c>
      <c r="D10527" t="s">
        <v>18</v>
      </c>
      <c r="E10527" s="6">
        <v>-28080</v>
      </c>
      <c r="F10527" t="s">
        <v>1010</v>
      </c>
      <c r="G10527" t="s">
        <v>48</v>
      </c>
      <c r="H10527" t="s">
        <v>21</v>
      </c>
      <c r="I10527" t="s">
        <v>20862</v>
      </c>
      <c r="J10527" t="str">
        <f>HYPERLINK("https://www.boe.es/gazeta/dias/1823/02/12/pdfs/GMD-1823-46.pdf#page=3","Abrir facsímil")</f>
        <v>Abrir facsímil</v>
      </c>
      <c r="K10527" t="s">
        <v>23</v>
      </c>
    </row>
    <row r="10528" spans="1:11" ht="42" customHeight="1">
      <c r="A10528" t="s">
        <v>20863</v>
      </c>
      <c r="B10528" t="s">
        <v>20863</v>
      </c>
      <c r="C10528" t="s">
        <v>79</v>
      </c>
      <c r="D10528" t="s">
        <v>74</v>
      </c>
      <c r="E10528" s="6">
        <v>-27864</v>
      </c>
      <c r="F10528" t="s">
        <v>1301</v>
      </c>
      <c r="G10528" t="s">
        <v>1302</v>
      </c>
      <c r="H10528" t="s">
        <v>21</v>
      </c>
      <c r="I10528" t="s">
        <v>20864</v>
      </c>
      <c r="J10528" t="str">
        <f>HYPERLINK("https://www.boe.es/gazeta/dias/1823/09/16/pdfs/GES-1823-160.pdf#page=1","Abrir facsímil")</f>
        <v>Abrir facsímil</v>
      </c>
      <c r="K10528" t="s">
        <v>23</v>
      </c>
    </row>
    <row r="10529" spans="1:11" ht="42" customHeight="1">
      <c r="A10529" t="s">
        <v>20865</v>
      </c>
      <c r="B10529" t="s">
        <v>20865</v>
      </c>
      <c r="C10529" t="s">
        <v>293</v>
      </c>
      <c r="D10529" t="s">
        <v>74</v>
      </c>
      <c r="E10529" s="6">
        <v>-28093</v>
      </c>
      <c r="F10529" t="s">
        <v>1044</v>
      </c>
      <c r="G10529" t="s">
        <v>27</v>
      </c>
      <c r="H10529" t="s">
        <v>21</v>
      </c>
      <c r="I10529" t="s">
        <v>20866</v>
      </c>
      <c r="J10529" t="str">
        <f>HYPERLINK("https://www.boe.es/gazeta/dias/1823/01/30/pdfs/GMD-1823-31.pdf#page=2","Abrir facsímil")</f>
        <v>Abrir facsímil</v>
      </c>
      <c r="K10529" t="s">
        <v>23</v>
      </c>
    </row>
    <row r="10530" spans="1:11" ht="42" customHeight="1">
      <c r="A10530" t="s">
        <v>20865</v>
      </c>
      <c r="B10530" t="s">
        <v>20865</v>
      </c>
      <c r="C10530" t="s">
        <v>109</v>
      </c>
      <c r="D10530" t="s">
        <v>74</v>
      </c>
      <c r="E10530" s="6">
        <v>-28056</v>
      </c>
      <c r="F10530" t="s">
        <v>572</v>
      </c>
      <c r="G10530" t="s">
        <v>20</v>
      </c>
      <c r="H10530" t="s">
        <v>21</v>
      </c>
      <c r="I10530" t="s">
        <v>20867</v>
      </c>
      <c r="J10530" t="str">
        <f>HYPERLINK("https://www.boe.es/gazeta/dias/1823/03/08/pdfs/GMD-1823-71.pdf#page=4","Abrir facsímil")</f>
        <v>Abrir facsímil</v>
      </c>
      <c r="K10530" t="s">
        <v>23</v>
      </c>
    </row>
    <row r="10531" spans="1:11" ht="42" customHeight="1">
      <c r="A10531" t="s">
        <v>20865</v>
      </c>
      <c r="B10531" t="s">
        <v>20865</v>
      </c>
      <c r="C10531" t="s">
        <v>17</v>
      </c>
      <c r="D10531" t="s">
        <v>18</v>
      </c>
      <c r="E10531" s="6">
        <v>-28056</v>
      </c>
      <c r="F10531" t="s">
        <v>572</v>
      </c>
      <c r="G10531" t="s">
        <v>34</v>
      </c>
      <c r="H10531" t="s">
        <v>21</v>
      </c>
      <c r="I10531" t="s">
        <v>20868</v>
      </c>
      <c r="J10531" t="str">
        <f>HYPERLINK("https://www.boe.es/gazeta/dias/1823/03/08/pdfs/GMD-1823-71.pdf#page=5","Abrir facsímil")</f>
        <v>Abrir facsímil</v>
      </c>
      <c r="K10531" t="s">
        <v>23</v>
      </c>
    </row>
    <row r="10532" spans="1:11" ht="42" customHeight="1">
      <c r="A10532" t="s">
        <v>20865</v>
      </c>
      <c r="B10532" t="s">
        <v>20865</v>
      </c>
      <c r="C10532" t="s">
        <v>17</v>
      </c>
      <c r="D10532" t="s">
        <v>18</v>
      </c>
      <c r="E10532" s="6">
        <v>-27982</v>
      </c>
      <c r="F10532" t="s">
        <v>340</v>
      </c>
      <c r="G10532" t="s">
        <v>27</v>
      </c>
      <c r="H10532" t="s">
        <v>21</v>
      </c>
      <c r="I10532" t="s">
        <v>20869</v>
      </c>
      <c r="J10532" t="str">
        <f>HYPERLINK("https://www.boe.es/gazeta/dias/1823/05/21/pdfs/GES-1823-42.pdf#page=2","Abrir facsímil")</f>
        <v>Abrir facsímil</v>
      </c>
      <c r="K10532" t="s">
        <v>23</v>
      </c>
    </row>
    <row r="10533" spans="1:11" ht="42" customHeight="1">
      <c r="A10533" t="s">
        <v>20870</v>
      </c>
      <c r="B10533" t="s">
        <v>20870</v>
      </c>
      <c r="C10533" t="s">
        <v>17</v>
      </c>
      <c r="D10533" t="s">
        <v>18</v>
      </c>
      <c r="E10533" s="6">
        <v>-27871</v>
      </c>
      <c r="F10533" t="s">
        <v>782</v>
      </c>
      <c r="G10533" t="s">
        <v>48</v>
      </c>
      <c r="H10533" t="s">
        <v>21</v>
      </c>
      <c r="I10533" t="s">
        <v>20871</v>
      </c>
      <c r="J10533" t="str">
        <f>HYPERLINK("https://www.boe.es/gazeta/dias/1823/09/09/pdfs/GES-1823-153.pdf#page=3","Abrir facsímil")</f>
        <v>Abrir facsímil</v>
      </c>
      <c r="K10533" t="s">
        <v>23</v>
      </c>
    </row>
    <row r="10534" spans="1:11" ht="42" customHeight="1">
      <c r="A10534" t="s">
        <v>20865</v>
      </c>
      <c r="B10534" t="s">
        <v>20865</v>
      </c>
      <c r="C10534" t="s">
        <v>79</v>
      </c>
      <c r="D10534" t="s">
        <v>74</v>
      </c>
      <c r="E10534" s="6">
        <v>-27869</v>
      </c>
      <c r="F10534" t="s">
        <v>520</v>
      </c>
      <c r="G10534" t="s">
        <v>48</v>
      </c>
      <c r="H10534" t="s">
        <v>21</v>
      </c>
      <c r="I10534" t="s">
        <v>20872</v>
      </c>
      <c r="J10534" t="str">
        <f>HYPERLINK("https://www.boe.es/gazeta/dias/1823/09/11/pdfs/GMD-1823-753.pdf#page=3","Abrir facsímil")</f>
        <v>Abrir facsímil</v>
      </c>
      <c r="K10534" t="s">
        <v>23</v>
      </c>
    </row>
    <row r="10535" spans="1:11" ht="42" customHeight="1">
      <c r="A10535" t="s">
        <v>20865</v>
      </c>
      <c r="B10535" t="s">
        <v>20865</v>
      </c>
      <c r="C10535" t="s">
        <v>109</v>
      </c>
      <c r="D10535" t="s">
        <v>74</v>
      </c>
      <c r="E10535" s="6">
        <v>-27857</v>
      </c>
      <c r="F10535" t="s">
        <v>378</v>
      </c>
      <c r="G10535" t="s">
        <v>59</v>
      </c>
      <c r="H10535" t="s">
        <v>21</v>
      </c>
      <c r="I10535" t="s">
        <v>20873</v>
      </c>
      <c r="J10535" t="str">
        <f>HYPERLINK("https://www.boe.es/gazeta/dias/1823/09/23/pdfs/GMD-1823-833.pdf#page=6","Abrir facsímil")</f>
        <v>Abrir facsímil</v>
      </c>
      <c r="K10535" t="s">
        <v>23</v>
      </c>
    </row>
    <row r="10536" spans="1:11" ht="42" customHeight="1">
      <c r="A10536" t="s">
        <v>20874</v>
      </c>
      <c r="B10536" t="s">
        <v>20875</v>
      </c>
      <c r="C10536" t="s">
        <v>56</v>
      </c>
      <c r="D10536" t="s">
        <v>57</v>
      </c>
      <c r="E10536" s="6">
        <v>-27857</v>
      </c>
      <c r="F10536" t="s">
        <v>378</v>
      </c>
      <c r="G10536" t="s">
        <v>34</v>
      </c>
      <c r="H10536" t="s">
        <v>21</v>
      </c>
      <c r="I10536" t="s">
        <v>20876</v>
      </c>
      <c r="J10536" t="str">
        <f>HYPERLINK("https://www.boe.es/gazeta/dias/1823/09/23/pdfs/GMD-1823-833.pdf#page=5","Abrir facsímil")</f>
        <v>Abrir facsímil</v>
      </c>
      <c r="K10536" t="s">
        <v>23</v>
      </c>
    </row>
    <row r="10537" spans="1:11" ht="42" customHeight="1">
      <c r="A10537" t="s">
        <v>20877</v>
      </c>
      <c r="B10537" t="s">
        <v>20877</v>
      </c>
      <c r="C10537" t="s">
        <v>79</v>
      </c>
      <c r="D10537" t="s">
        <v>74</v>
      </c>
      <c r="E10537" s="6">
        <v>-28103</v>
      </c>
      <c r="F10537" t="s">
        <v>285</v>
      </c>
      <c r="G10537" t="s">
        <v>39</v>
      </c>
      <c r="H10537" t="s">
        <v>21</v>
      </c>
      <c r="I10537" t="s">
        <v>20878</v>
      </c>
      <c r="J10537" t="str">
        <f>HYPERLINK("https://www.boe.es/gazeta/dias/1823/01/20/pdfs/GMD-1823-20.pdf#page=1","Abrir facsímil")</f>
        <v>Abrir facsímil</v>
      </c>
      <c r="K10537" t="s">
        <v>23</v>
      </c>
    </row>
    <row r="10538" spans="1:11" ht="42" customHeight="1">
      <c r="A10538" t="s">
        <v>20879</v>
      </c>
      <c r="B10538" t="s">
        <v>20880</v>
      </c>
      <c r="C10538" t="s">
        <v>17</v>
      </c>
      <c r="D10538" t="s">
        <v>18</v>
      </c>
      <c r="E10538" s="6">
        <v>-27975</v>
      </c>
      <c r="F10538" t="s">
        <v>47</v>
      </c>
      <c r="G10538" t="s">
        <v>48</v>
      </c>
      <c r="H10538" t="s">
        <v>21</v>
      </c>
      <c r="I10538" t="s">
        <v>20881</v>
      </c>
      <c r="J10538" t="str">
        <f>HYPERLINK("https://www.boe.es/gazeta/dias/1823/05/28/pdfs/GES-1823-50.pdf#page=3","Abrir facsímil")</f>
        <v>Abrir facsímil</v>
      </c>
      <c r="K10538" t="s">
        <v>23</v>
      </c>
    </row>
    <row r="10539" spans="1:11" ht="42" customHeight="1">
      <c r="A10539" t="s">
        <v>20882</v>
      </c>
      <c r="B10539" t="s">
        <v>20883</v>
      </c>
      <c r="C10539" t="s">
        <v>17</v>
      </c>
      <c r="D10539" t="s">
        <v>18</v>
      </c>
      <c r="E10539" s="6">
        <v>-28115</v>
      </c>
      <c r="F10539" t="s">
        <v>579</v>
      </c>
      <c r="G10539" t="s">
        <v>1458</v>
      </c>
      <c r="H10539" t="s">
        <v>21</v>
      </c>
      <c r="I10539" t="s">
        <v>20884</v>
      </c>
      <c r="J10539" t="str">
        <f>HYPERLINK("https://www.boe.es/gazeta/dias/1823/01/08/pdfs/GMD-1823-8.pdf#page=4","Abrir facsímil")</f>
        <v>Abrir facsímil</v>
      </c>
      <c r="K10539" t="s">
        <v>23</v>
      </c>
    </row>
    <row r="10540" spans="1:11" ht="42" customHeight="1">
      <c r="A10540" t="s">
        <v>20885</v>
      </c>
      <c r="B10540" t="s">
        <v>20886</v>
      </c>
      <c r="C10540" t="s">
        <v>17</v>
      </c>
      <c r="D10540" t="s">
        <v>18</v>
      </c>
      <c r="E10540" s="6">
        <v>-27783</v>
      </c>
      <c r="F10540" t="s">
        <v>941</v>
      </c>
      <c r="G10540" t="s">
        <v>20</v>
      </c>
      <c r="H10540" t="s">
        <v>21</v>
      </c>
      <c r="I10540" t="s">
        <v>20887</v>
      </c>
      <c r="J10540" t="str">
        <f>HYPERLINK("https://www.boe.es/gazeta/dias/1823/12/06/pdfs/GMD-1823-1213.pdf#page=4","Abrir facsímil")</f>
        <v>Abrir facsímil</v>
      </c>
      <c r="K10540" t="s">
        <v>23</v>
      </c>
    </row>
    <row r="10541" spans="1:11" ht="42" customHeight="1">
      <c r="A10541" t="s">
        <v>20888</v>
      </c>
      <c r="B10541" t="s">
        <v>20888</v>
      </c>
      <c r="C10541" t="s">
        <v>17</v>
      </c>
      <c r="D10541" t="s">
        <v>18</v>
      </c>
      <c r="E10541" s="6">
        <v>-28092</v>
      </c>
      <c r="F10541" t="s">
        <v>105</v>
      </c>
      <c r="G10541" t="s">
        <v>59</v>
      </c>
      <c r="H10541" t="s">
        <v>21</v>
      </c>
      <c r="I10541" t="s">
        <v>20889</v>
      </c>
      <c r="J10541" t="str">
        <f>HYPERLINK("https://www.boe.es/gazeta/dias/1823/01/31/pdfs/GMD-1823-32.pdf#page=6","Abrir facsímil")</f>
        <v>Abrir facsímil</v>
      </c>
      <c r="K10541" t="s">
        <v>23</v>
      </c>
    </row>
    <row r="10542" spans="1:11" ht="42" customHeight="1">
      <c r="A10542" t="s">
        <v>20888</v>
      </c>
      <c r="B10542" t="s">
        <v>20888</v>
      </c>
      <c r="C10542" t="s">
        <v>56</v>
      </c>
      <c r="D10542" t="s">
        <v>57</v>
      </c>
      <c r="E10542" s="6">
        <v>-27968</v>
      </c>
      <c r="F10542" t="s">
        <v>1160</v>
      </c>
      <c r="G10542" t="s">
        <v>27</v>
      </c>
      <c r="H10542" t="s">
        <v>21</v>
      </c>
      <c r="I10542" t="s">
        <v>20890</v>
      </c>
      <c r="J10542" t="str">
        <f>HYPERLINK("https://www.boe.es/gazeta/dias/1823/06/04/pdfs/GES-1823-58.pdf#page=2","Abrir facsímil")</f>
        <v>Abrir facsímil</v>
      </c>
      <c r="K10542" t="s">
        <v>23</v>
      </c>
    </row>
    <row r="10543" spans="1:11" ht="42" customHeight="1">
      <c r="A10543" t="s">
        <v>20888</v>
      </c>
      <c r="B10543" t="s">
        <v>20888</v>
      </c>
      <c r="C10543" t="s">
        <v>17</v>
      </c>
      <c r="D10543" t="s">
        <v>18</v>
      </c>
      <c r="E10543" s="6">
        <v>-27797</v>
      </c>
      <c r="F10543" t="s">
        <v>3409</v>
      </c>
      <c r="G10543" t="s">
        <v>20</v>
      </c>
      <c r="H10543" t="s">
        <v>21</v>
      </c>
      <c r="I10543" t="s">
        <v>20891</v>
      </c>
      <c r="J10543" t="str">
        <f>HYPERLINK("https://www.boe.es/gazeta/dias/1823/11/22/pdfs/GMD-1823-1153.pdf#page=4","Abrir facsímil")</f>
        <v>Abrir facsímil</v>
      </c>
      <c r="K10543" t="s">
        <v>23</v>
      </c>
    </row>
    <row r="10544" spans="1:11" ht="42" customHeight="1">
      <c r="A10544" t="s">
        <v>20892</v>
      </c>
      <c r="B10544" t="s">
        <v>20893</v>
      </c>
      <c r="C10544" t="s">
        <v>84</v>
      </c>
      <c r="D10544" t="s">
        <v>74</v>
      </c>
      <c r="E10544" s="6">
        <v>-27785</v>
      </c>
      <c r="F10544" t="s">
        <v>1397</v>
      </c>
      <c r="G10544" t="s">
        <v>20</v>
      </c>
      <c r="H10544" t="s">
        <v>21</v>
      </c>
      <c r="I10544" t="s">
        <v>20894</v>
      </c>
      <c r="J10544" t="str">
        <f>HYPERLINK("https://www.boe.es/gazeta/dias/1823/12/04/pdfs/GMD-1823-1203.pdf#page=4","Abrir facsímil")</f>
        <v>Abrir facsímil</v>
      </c>
      <c r="K10544" t="s">
        <v>23</v>
      </c>
    </row>
    <row r="10545" spans="1:11" ht="42" customHeight="1">
      <c r="A10545" t="s">
        <v>20895</v>
      </c>
      <c r="B10545" t="s">
        <v>20896</v>
      </c>
      <c r="C10545" t="s">
        <v>17</v>
      </c>
      <c r="D10545" t="s">
        <v>18</v>
      </c>
      <c r="E10545" s="6">
        <v>-28002</v>
      </c>
      <c r="F10545" t="s">
        <v>315</v>
      </c>
      <c r="G10545" t="s">
        <v>34</v>
      </c>
      <c r="H10545" t="s">
        <v>28</v>
      </c>
      <c r="I10545" t="s">
        <v>20897</v>
      </c>
      <c r="J10545" t="str">
        <f>HYPERLINK("https://www.boe.es/gazeta/dias/1823/05/01/pdfs/GES-1823-21.pdf#page=5","Abrir facsímil")</f>
        <v>Abrir facsímil</v>
      </c>
      <c r="K10545" t="s">
        <v>30</v>
      </c>
    </row>
    <row r="10546" spans="1:11" ht="42" customHeight="1">
      <c r="A10546" t="s">
        <v>20898</v>
      </c>
      <c r="B10546" t="s">
        <v>20899</v>
      </c>
      <c r="C10546" t="s">
        <v>84</v>
      </c>
      <c r="D10546" t="s">
        <v>74</v>
      </c>
      <c r="E10546" s="6">
        <v>-28037</v>
      </c>
      <c r="F10546" t="s">
        <v>192</v>
      </c>
      <c r="G10546" t="s">
        <v>20</v>
      </c>
      <c r="H10546" t="s">
        <v>21</v>
      </c>
      <c r="I10546" t="s">
        <v>20900</v>
      </c>
      <c r="J10546" t="str">
        <f>HYPERLINK("https://www.boe.es/gazeta/dias/1823/03/27/pdfs/GMD-1823-90.pdf#page=4","Abrir facsímil")</f>
        <v>Abrir facsímil</v>
      </c>
      <c r="K10546" t="s">
        <v>23</v>
      </c>
    </row>
    <row r="10547" spans="1:11" ht="42" customHeight="1">
      <c r="A10547" t="s">
        <v>20901</v>
      </c>
      <c r="B10547" t="s">
        <v>20902</v>
      </c>
      <c r="C10547" t="s">
        <v>325</v>
      </c>
      <c r="D10547" t="s">
        <v>74</v>
      </c>
      <c r="E10547" s="6">
        <v>-27920</v>
      </c>
      <c r="F10547" t="s">
        <v>1334</v>
      </c>
      <c r="G10547" t="s">
        <v>715</v>
      </c>
      <c r="H10547" t="s">
        <v>21</v>
      </c>
      <c r="I10547" t="s">
        <v>20903</v>
      </c>
      <c r="J10547" t="str">
        <f>HYPERLINK("https://www.boe.es/gazeta/dias/1823/07/22/pdfs/GMD-1823-443.pdf#page=8","Abrir facsímil")</f>
        <v>Abrir facsímil</v>
      </c>
      <c r="K10547" t="s">
        <v>23</v>
      </c>
    </row>
    <row r="10548" spans="1:11" ht="42" customHeight="1">
      <c r="A10548" t="s">
        <v>20904</v>
      </c>
      <c r="B10548" t="s">
        <v>20905</v>
      </c>
      <c r="C10548" t="s">
        <v>17</v>
      </c>
      <c r="D10548" t="s">
        <v>18</v>
      </c>
      <c r="E10548" s="6">
        <v>-27920</v>
      </c>
      <c r="F10548" t="s">
        <v>1334</v>
      </c>
      <c r="G10548" t="s">
        <v>27</v>
      </c>
      <c r="H10548" t="s">
        <v>21</v>
      </c>
      <c r="I10548" t="s">
        <v>20906</v>
      </c>
      <c r="J10548" t="str">
        <f>HYPERLINK("https://www.boe.es/gazeta/dias/1823/07/22/pdfs/GMD-1823-443.pdf#page=2","Abrir facsímil")</f>
        <v>Abrir facsímil</v>
      </c>
      <c r="K10548" t="s">
        <v>23</v>
      </c>
    </row>
    <row r="10549" spans="1:11" ht="42" customHeight="1">
      <c r="A10549" t="s">
        <v>20907</v>
      </c>
      <c r="B10549" t="s">
        <v>20908</v>
      </c>
      <c r="C10549" t="s">
        <v>79</v>
      </c>
      <c r="D10549" t="s">
        <v>74</v>
      </c>
      <c r="E10549" s="6">
        <v>-28055</v>
      </c>
      <c r="F10549" t="s">
        <v>313</v>
      </c>
      <c r="G10549" t="s">
        <v>20</v>
      </c>
      <c r="H10549" t="s">
        <v>21</v>
      </c>
      <c r="I10549" t="s">
        <v>20909</v>
      </c>
      <c r="J10549" t="str">
        <f>HYPERLINK("https://www.boe.es/gazeta/dias/1823/03/09/pdfs/GMD-1823-72.pdf#page=4","Abrir facsímil")</f>
        <v>Abrir facsímil</v>
      </c>
      <c r="K10549" t="s">
        <v>23</v>
      </c>
    </row>
    <row r="10550" spans="1:11" ht="42" customHeight="1">
      <c r="A10550" t="s">
        <v>20910</v>
      </c>
      <c r="B10550" t="s">
        <v>20911</v>
      </c>
      <c r="C10550" t="s">
        <v>17</v>
      </c>
      <c r="D10550" t="s">
        <v>18</v>
      </c>
      <c r="E10550" s="6">
        <v>-28025</v>
      </c>
      <c r="F10550" t="s">
        <v>477</v>
      </c>
      <c r="G10550" t="s">
        <v>20</v>
      </c>
      <c r="H10550" t="s">
        <v>21</v>
      </c>
      <c r="I10550" t="s">
        <v>20912</v>
      </c>
      <c r="J10550" t="str">
        <f>HYPERLINK("https://www.boe.es/gazeta/dias/1823/04/08/pdfs/GMD-1823-103.pdf#page=4","Abrir facsímil")</f>
        <v>Abrir facsímil</v>
      </c>
      <c r="K10550" t="s">
        <v>23</v>
      </c>
    </row>
    <row r="10551" spans="1:11" ht="42" customHeight="1">
      <c r="A10551" t="s">
        <v>20913</v>
      </c>
      <c r="B10551" t="s">
        <v>20914</v>
      </c>
      <c r="C10551" t="s">
        <v>17</v>
      </c>
      <c r="D10551" t="s">
        <v>18</v>
      </c>
      <c r="E10551" s="6">
        <v>-28002</v>
      </c>
      <c r="F10551" t="s">
        <v>315</v>
      </c>
      <c r="G10551" t="s">
        <v>1116</v>
      </c>
      <c r="H10551" t="s">
        <v>21</v>
      </c>
      <c r="I10551" t="s">
        <v>20915</v>
      </c>
      <c r="J10551" t="str">
        <f>HYPERLINK("https://www.boe.es/gazeta/dias/1823/05/01/pdfs/GES-1823-21.pdf#page=4","Abrir facsímil")</f>
        <v>Abrir facsímil</v>
      </c>
      <c r="K10551" t="s">
        <v>23</v>
      </c>
    </row>
    <row r="10552" spans="1:11" ht="42" customHeight="1">
      <c r="A10552" t="s">
        <v>20916</v>
      </c>
      <c r="B10552" t="s">
        <v>20917</v>
      </c>
      <c r="C10552" t="s">
        <v>17</v>
      </c>
      <c r="D10552" t="s">
        <v>18</v>
      </c>
      <c r="E10552" s="6">
        <v>-27907</v>
      </c>
      <c r="F10552" t="s">
        <v>370</v>
      </c>
      <c r="G10552" t="s">
        <v>20</v>
      </c>
      <c r="H10552" t="s">
        <v>21</v>
      </c>
      <c r="I10552" t="s">
        <v>20918</v>
      </c>
      <c r="J10552" t="str">
        <f>HYPERLINK("https://www.boe.es/gazeta/dias/1823/08/04/pdfs/GES-1823-116.pdf#page=4","Abrir facsímil")</f>
        <v>Abrir facsímil</v>
      </c>
      <c r="K10552" t="s">
        <v>23</v>
      </c>
    </row>
    <row r="10553" spans="1:11" ht="42" customHeight="1">
      <c r="A10553" t="s">
        <v>20919</v>
      </c>
      <c r="B10553" t="s">
        <v>20920</v>
      </c>
      <c r="C10553" t="s">
        <v>17</v>
      </c>
      <c r="D10553" t="s">
        <v>18</v>
      </c>
      <c r="E10553" s="6">
        <v>-27997</v>
      </c>
      <c r="F10553" t="s">
        <v>317</v>
      </c>
      <c r="G10553" t="s">
        <v>39</v>
      </c>
      <c r="H10553" t="s">
        <v>21</v>
      </c>
      <c r="I10553" t="s">
        <v>20921</v>
      </c>
      <c r="J10553" t="str">
        <f>HYPERLINK("https://www.boe.es/gazeta/dias/1823/05/06/pdfs/GES-1823-26.pdf#page=1","Abrir facsímil")</f>
        <v>Abrir facsímil</v>
      </c>
      <c r="K10553" t="s">
        <v>23</v>
      </c>
    </row>
    <row r="10554" spans="1:11" ht="42" customHeight="1">
      <c r="A10554" t="s">
        <v>20922</v>
      </c>
      <c r="B10554" t="s">
        <v>20923</v>
      </c>
      <c r="C10554" t="s">
        <v>17</v>
      </c>
      <c r="D10554" t="s">
        <v>18</v>
      </c>
      <c r="E10554" s="6">
        <v>-28003</v>
      </c>
      <c r="F10554" t="s">
        <v>26</v>
      </c>
      <c r="G10554" t="s">
        <v>27</v>
      </c>
      <c r="H10554" t="s">
        <v>21</v>
      </c>
      <c r="I10554" t="s">
        <v>20924</v>
      </c>
      <c r="J10554" t="str">
        <f>HYPERLINK("https://www.boe.es/gazeta/dias/1823/04/30/pdfs/GES-1823-20.pdf#page=2","Abrir facsímil")</f>
        <v>Abrir facsímil</v>
      </c>
      <c r="K10554" t="s">
        <v>23</v>
      </c>
    </row>
    <row r="10555" spans="1:11" ht="42" customHeight="1">
      <c r="A10555" t="s">
        <v>20925</v>
      </c>
      <c r="B10555" t="s">
        <v>20926</v>
      </c>
      <c r="C10555" t="s">
        <v>84</v>
      </c>
      <c r="D10555" t="s">
        <v>74</v>
      </c>
      <c r="E10555" s="6">
        <v>-27864</v>
      </c>
      <c r="F10555" t="s">
        <v>1301</v>
      </c>
      <c r="G10555" t="s">
        <v>1302</v>
      </c>
      <c r="H10555" t="s">
        <v>21</v>
      </c>
      <c r="I10555" t="s">
        <v>20927</v>
      </c>
      <c r="J10555" t="str">
        <f>HYPERLINK("https://www.boe.es/gazeta/dias/1823/09/16/pdfs/GES-1823-160.pdf#page=1","Abrir facsímil")</f>
        <v>Abrir facsímil</v>
      </c>
      <c r="K10555" t="s">
        <v>23</v>
      </c>
    </row>
    <row r="10556" spans="1:11" ht="42" customHeight="1">
      <c r="A10556" t="s">
        <v>20928</v>
      </c>
      <c r="B10556" t="s">
        <v>20928</v>
      </c>
      <c r="C10556" t="s">
        <v>56</v>
      </c>
      <c r="D10556" t="s">
        <v>57</v>
      </c>
      <c r="E10556" s="6">
        <v>-28054</v>
      </c>
      <c r="F10556" t="s">
        <v>1292</v>
      </c>
      <c r="G10556" t="s">
        <v>27</v>
      </c>
      <c r="H10556" t="s">
        <v>21</v>
      </c>
      <c r="I10556" t="s">
        <v>20929</v>
      </c>
      <c r="J10556" t="str">
        <f>HYPERLINK("https://www.boe.es/gazeta/dias/1823/03/10/pdfs/GMD-1823-73.pdf#page=2","Abrir facsímil")</f>
        <v>Abrir facsímil</v>
      </c>
      <c r="K10556" t="s">
        <v>23</v>
      </c>
    </row>
    <row r="10557" spans="1:11" ht="42" customHeight="1">
      <c r="A10557" t="s">
        <v>20928</v>
      </c>
      <c r="B10557" t="s">
        <v>20928</v>
      </c>
      <c r="C10557" t="s">
        <v>109</v>
      </c>
      <c r="D10557" t="s">
        <v>74</v>
      </c>
      <c r="E10557" s="6">
        <v>-27979</v>
      </c>
      <c r="F10557" t="s">
        <v>1071</v>
      </c>
      <c r="G10557" t="s">
        <v>27</v>
      </c>
      <c r="H10557" t="s">
        <v>21</v>
      </c>
      <c r="I10557" t="s">
        <v>20930</v>
      </c>
      <c r="J10557" t="str">
        <f>HYPERLINK("https://www.boe.es/gazeta/dias/1823/05/24/pdfs/GES-1823-45.pdf#page=2","Abrir facsímil")</f>
        <v>Abrir facsímil</v>
      </c>
      <c r="K10557" t="s">
        <v>23</v>
      </c>
    </row>
    <row r="10558" spans="1:11" ht="42" customHeight="1">
      <c r="A10558" t="s">
        <v>20931</v>
      </c>
      <c r="B10558" t="s">
        <v>20931</v>
      </c>
      <c r="C10558" t="s">
        <v>56</v>
      </c>
      <c r="D10558" t="s">
        <v>57</v>
      </c>
      <c r="E10558" s="6">
        <v>-27913</v>
      </c>
      <c r="F10558" t="s">
        <v>821</v>
      </c>
      <c r="G10558" t="s">
        <v>39</v>
      </c>
      <c r="H10558" t="s">
        <v>21</v>
      </c>
      <c r="I10558" t="s">
        <v>20932</v>
      </c>
      <c r="J10558" t="str">
        <f>HYPERLINK("https://www.boe.es/gazeta/dias/1823/07/29/pdfs/GES-1823-110.pdf#page=1","Abrir facsímil")</f>
        <v>Abrir facsímil</v>
      </c>
      <c r="K10558" t="s">
        <v>23</v>
      </c>
    </row>
    <row r="10559" spans="1:11" ht="42" customHeight="1">
      <c r="A10559" t="s">
        <v>20933</v>
      </c>
      <c r="B10559" t="s">
        <v>20933</v>
      </c>
      <c r="C10559" t="s">
        <v>56</v>
      </c>
      <c r="D10559" t="s">
        <v>57</v>
      </c>
      <c r="E10559" s="6">
        <v>-28083</v>
      </c>
      <c r="F10559" t="s">
        <v>291</v>
      </c>
      <c r="G10559" t="s">
        <v>39</v>
      </c>
      <c r="H10559" t="s">
        <v>21</v>
      </c>
      <c r="I10559" t="s">
        <v>20934</v>
      </c>
      <c r="J10559" t="str">
        <f>HYPERLINK("https://www.boe.es/gazeta/dias/1823/02/09/pdfs/GMD-1823-43.pdf#page=1","Abrir facsímil")</f>
        <v>Abrir facsímil</v>
      </c>
      <c r="K10559" t="s">
        <v>23</v>
      </c>
    </row>
    <row r="10560" spans="1:11" ht="42" customHeight="1">
      <c r="A10560" t="s">
        <v>20935</v>
      </c>
      <c r="B10560" t="s">
        <v>20936</v>
      </c>
      <c r="C10560" t="s">
        <v>17</v>
      </c>
      <c r="D10560" t="s">
        <v>18</v>
      </c>
      <c r="E10560" s="6">
        <v>-28094</v>
      </c>
      <c r="F10560" t="s">
        <v>93</v>
      </c>
      <c r="G10560" t="s">
        <v>27</v>
      </c>
      <c r="H10560" t="s">
        <v>21</v>
      </c>
      <c r="I10560" t="s">
        <v>20937</v>
      </c>
      <c r="J10560" t="str">
        <f>HYPERLINK("https://www.boe.es/gazeta/dias/1823/01/29/pdfs/GMD-1823-30.pdf#page=2","Abrir facsímil")</f>
        <v>Abrir facsímil</v>
      </c>
      <c r="K10560" t="s">
        <v>23</v>
      </c>
    </row>
    <row r="10561" spans="1:11" ht="42" customHeight="1">
      <c r="A10561" t="s">
        <v>20938</v>
      </c>
      <c r="B10561" t="s">
        <v>20939</v>
      </c>
      <c r="C10561" t="s">
        <v>17</v>
      </c>
      <c r="D10561" t="s">
        <v>18</v>
      </c>
      <c r="E10561" s="6">
        <v>-27994</v>
      </c>
      <c r="F10561" t="s">
        <v>714</v>
      </c>
      <c r="G10561" t="s">
        <v>715</v>
      </c>
      <c r="H10561" t="s">
        <v>21</v>
      </c>
      <c r="I10561" t="s">
        <v>20940</v>
      </c>
      <c r="J10561" t="str">
        <f>HYPERLINK("https://www.boe.es/gazeta/dias/1823/05/09/pdfs/GES-1823-29.pdf#page=8","Abrir facsímil")</f>
        <v>Abrir facsímil</v>
      </c>
      <c r="K10561" t="s">
        <v>23</v>
      </c>
    </row>
    <row r="10562" spans="1:11" ht="42" customHeight="1">
      <c r="A10562" t="s">
        <v>20941</v>
      </c>
      <c r="B10562" t="s">
        <v>20941</v>
      </c>
      <c r="C10562" t="s">
        <v>109</v>
      </c>
      <c r="D10562" t="s">
        <v>74</v>
      </c>
      <c r="E10562" s="6">
        <v>-27832</v>
      </c>
      <c r="F10562" t="s">
        <v>1815</v>
      </c>
      <c r="G10562" t="s">
        <v>39</v>
      </c>
      <c r="H10562" t="s">
        <v>21</v>
      </c>
      <c r="I10562" t="s">
        <v>20942</v>
      </c>
      <c r="J10562" t="str">
        <f>HYPERLINK("https://www.boe.es/gazeta/dias/1823/10/18/pdfs/GMD-1823-993.pdf#page=1","Abrir facsímil")</f>
        <v>Abrir facsímil</v>
      </c>
      <c r="K10562" t="s">
        <v>23</v>
      </c>
    </row>
    <row r="10563" spans="1:11" ht="42" customHeight="1">
      <c r="A10563" t="s">
        <v>20943</v>
      </c>
      <c r="B10563" t="s">
        <v>20943</v>
      </c>
      <c r="C10563" t="s">
        <v>109</v>
      </c>
      <c r="D10563" t="s">
        <v>74</v>
      </c>
      <c r="E10563" s="6">
        <v>-28122</v>
      </c>
      <c r="F10563" t="s">
        <v>269</v>
      </c>
      <c r="G10563" t="s">
        <v>27</v>
      </c>
      <c r="H10563" t="s">
        <v>21</v>
      </c>
      <c r="I10563" t="s">
        <v>20944</v>
      </c>
      <c r="J10563" t="str">
        <f>HYPERLINK("https://www.boe.es/gazeta/dias/1823/01/01/pdfs/GMD-1823-1.pdf#page=2","Abrir facsímil")</f>
        <v>Abrir facsímil</v>
      </c>
      <c r="K10563" t="s">
        <v>23</v>
      </c>
    </row>
    <row r="10564" spans="1:11" ht="42" customHeight="1">
      <c r="A10564" t="s">
        <v>20943</v>
      </c>
      <c r="B10564" t="s">
        <v>20943</v>
      </c>
      <c r="C10564" t="s">
        <v>73</v>
      </c>
      <c r="D10564" t="s">
        <v>74</v>
      </c>
      <c r="E10564" s="6">
        <v>-28120</v>
      </c>
      <c r="F10564" t="s">
        <v>2772</v>
      </c>
      <c r="G10564" t="s">
        <v>3108</v>
      </c>
      <c r="H10564" t="s">
        <v>21</v>
      </c>
      <c r="I10564" t="s">
        <v>20945</v>
      </c>
      <c r="J10564" t="str">
        <f>HYPERLINK("https://www.boe.es/gazeta/dias/1823/01/03/pdfs/GMD-1823-3.pdf#page=3","Abrir facsímil")</f>
        <v>Abrir facsímil</v>
      </c>
      <c r="K10564" t="s">
        <v>23</v>
      </c>
    </row>
    <row r="10565" spans="1:11" ht="42" customHeight="1">
      <c r="A10565" t="s">
        <v>20943</v>
      </c>
      <c r="B10565" t="s">
        <v>20943</v>
      </c>
      <c r="C10565" t="s">
        <v>109</v>
      </c>
      <c r="D10565" t="s">
        <v>74</v>
      </c>
      <c r="E10565" s="6">
        <v>-28120</v>
      </c>
      <c r="F10565" t="s">
        <v>2772</v>
      </c>
      <c r="G10565" t="s">
        <v>20</v>
      </c>
      <c r="H10565" t="s">
        <v>21</v>
      </c>
      <c r="I10565" t="s">
        <v>20946</v>
      </c>
      <c r="J10565" t="str">
        <f>HYPERLINK("https://www.boe.es/gazeta/dias/1823/01/03/pdfs/GMD-1823-3.pdf#page=4","Abrir facsímil")</f>
        <v>Abrir facsímil</v>
      </c>
      <c r="K10565" t="s">
        <v>23</v>
      </c>
    </row>
    <row r="10566" spans="1:11" ht="42" customHeight="1">
      <c r="A10566" t="s">
        <v>20943</v>
      </c>
      <c r="B10566" t="s">
        <v>20943</v>
      </c>
      <c r="C10566" t="s">
        <v>79</v>
      </c>
      <c r="D10566" t="s">
        <v>74</v>
      </c>
      <c r="E10566" s="6">
        <v>-28119</v>
      </c>
      <c r="F10566" t="s">
        <v>545</v>
      </c>
      <c r="G10566" t="s">
        <v>48</v>
      </c>
      <c r="H10566" t="s">
        <v>21</v>
      </c>
      <c r="I10566" t="s">
        <v>20947</v>
      </c>
      <c r="J10566" t="str">
        <f>HYPERLINK("https://www.boe.es/gazeta/dias/1823/01/04/pdfs/GMD-1823-4.pdf#page=3","Abrir facsímil")</f>
        <v>Abrir facsímil</v>
      </c>
      <c r="K10566" t="s">
        <v>23</v>
      </c>
    </row>
    <row r="10567" spans="1:11" ht="42" customHeight="1">
      <c r="A10567" t="s">
        <v>20943</v>
      </c>
      <c r="B10567" t="s">
        <v>20943</v>
      </c>
      <c r="C10567" t="s">
        <v>73</v>
      </c>
      <c r="D10567" t="s">
        <v>74</v>
      </c>
      <c r="E10567" s="6">
        <v>-28119</v>
      </c>
      <c r="F10567" t="s">
        <v>545</v>
      </c>
      <c r="G10567" t="s">
        <v>20</v>
      </c>
      <c r="H10567" t="s">
        <v>21</v>
      </c>
      <c r="I10567" t="s">
        <v>20948</v>
      </c>
      <c r="J10567" t="str">
        <f>HYPERLINK("https://www.boe.es/gazeta/dias/1823/01/04/pdfs/GMD-1823-4.pdf#page=4","Abrir facsímil")</f>
        <v>Abrir facsímil</v>
      </c>
      <c r="K10567" t="s">
        <v>23</v>
      </c>
    </row>
    <row r="10568" spans="1:11" ht="42" customHeight="1">
      <c r="A10568" t="s">
        <v>20943</v>
      </c>
      <c r="B10568" t="s">
        <v>20943</v>
      </c>
      <c r="C10568" t="s">
        <v>109</v>
      </c>
      <c r="D10568" t="s">
        <v>74</v>
      </c>
      <c r="E10568" s="6">
        <v>-28112</v>
      </c>
      <c r="F10568" t="s">
        <v>43</v>
      </c>
      <c r="G10568" t="s">
        <v>27</v>
      </c>
      <c r="H10568" t="s">
        <v>21</v>
      </c>
      <c r="I10568" t="s">
        <v>20949</v>
      </c>
      <c r="J10568" t="str">
        <f>HYPERLINK("https://www.boe.es/gazeta/dias/1823/01/11/pdfs/GMD-1823-11.pdf#page=2","Abrir facsímil")</f>
        <v>Abrir facsímil</v>
      </c>
      <c r="K10568" t="s">
        <v>23</v>
      </c>
    </row>
    <row r="10569" spans="1:11" ht="42" customHeight="1">
      <c r="A10569" t="s">
        <v>20943</v>
      </c>
      <c r="B10569" t="s">
        <v>20943</v>
      </c>
      <c r="C10569" t="s">
        <v>17</v>
      </c>
      <c r="D10569" t="s">
        <v>18</v>
      </c>
      <c r="E10569" s="6">
        <v>-28109</v>
      </c>
      <c r="F10569" t="s">
        <v>889</v>
      </c>
      <c r="G10569" t="s">
        <v>27</v>
      </c>
      <c r="H10569" t="s">
        <v>21</v>
      </c>
      <c r="I10569" t="s">
        <v>20950</v>
      </c>
      <c r="J10569" t="str">
        <f>HYPERLINK("https://www.boe.es/gazeta/dias/1823/01/14/pdfs/GMD-1823-14.pdf#page=2","Abrir facsímil")</f>
        <v>Abrir facsímil</v>
      </c>
      <c r="K10569" t="s">
        <v>23</v>
      </c>
    </row>
    <row r="10570" spans="1:11" ht="42" customHeight="1">
      <c r="A10570" t="s">
        <v>20943</v>
      </c>
      <c r="B10570" t="s">
        <v>20943</v>
      </c>
      <c r="C10570" t="s">
        <v>17</v>
      </c>
      <c r="D10570" t="s">
        <v>18</v>
      </c>
      <c r="E10570" s="6">
        <v>-28108</v>
      </c>
      <c r="F10570" t="s">
        <v>406</v>
      </c>
      <c r="G10570" t="s">
        <v>27</v>
      </c>
      <c r="H10570" t="s">
        <v>21</v>
      </c>
      <c r="I10570" t="s">
        <v>20951</v>
      </c>
      <c r="J10570" t="str">
        <f>HYPERLINK("https://www.boe.es/gazeta/dias/1823/01/15/pdfs/GMD-1823-15.pdf#page=2","Abrir facsímil")</f>
        <v>Abrir facsímil</v>
      </c>
      <c r="K10570" t="s">
        <v>23</v>
      </c>
    </row>
    <row r="10571" spans="1:11" ht="42" customHeight="1">
      <c r="A10571" t="s">
        <v>20943</v>
      </c>
      <c r="B10571" t="s">
        <v>20943</v>
      </c>
      <c r="C10571" t="s">
        <v>17</v>
      </c>
      <c r="D10571" t="s">
        <v>18</v>
      </c>
      <c r="E10571" s="6">
        <v>-28107</v>
      </c>
      <c r="F10571" t="s">
        <v>278</v>
      </c>
      <c r="G10571" t="s">
        <v>20</v>
      </c>
      <c r="H10571" t="s">
        <v>21</v>
      </c>
      <c r="I10571" t="s">
        <v>20952</v>
      </c>
      <c r="J10571" t="str">
        <f>HYPERLINK("https://www.boe.es/gazeta/dias/1823/01/16/pdfs/GMD-1823-16.pdf#page=4","Abrir facsímil")</f>
        <v>Abrir facsímil</v>
      </c>
      <c r="K10571" t="s">
        <v>23</v>
      </c>
    </row>
    <row r="10572" spans="1:11" ht="42" customHeight="1">
      <c r="A10572" t="s">
        <v>20943</v>
      </c>
      <c r="B10572" t="s">
        <v>20943</v>
      </c>
      <c r="C10572" t="s">
        <v>79</v>
      </c>
      <c r="D10572" t="s">
        <v>74</v>
      </c>
      <c r="E10572" s="6">
        <v>-28105</v>
      </c>
      <c r="F10572" t="s">
        <v>502</v>
      </c>
      <c r="G10572" t="s">
        <v>48</v>
      </c>
      <c r="H10572" t="s">
        <v>21</v>
      </c>
      <c r="I10572" t="s">
        <v>20953</v>
      </c>
      <c r="J10572" t="str">
        <f>HYPERLINK("https://www.boe.es/gazeta/dias/1823/01/18/pdfs/GMD-1823-18.pdf#page=3","Abrir facsímil")</f>
        <v>Abrir facsímil</v>
      </c>
      <c r="K10572" t="s">
        <v>23</v>
      </c>
    </row>
    <row r="10573" spans="1:11" ht="42" customHeight="1">
      <c r="A10573" t="s">
        <v>20943</v>
      </c>
      <c r="B10573" t="s">
        <v>20943</v>
      </c>
      <c r="C10573" t="s">
        <v>17</v>
      </c>
      <c r="D10573" t="s">
        <v>18</v>
      </c>
      <c r="E10573" s="6">
        <v>-28104</v>
      </c>
      <c r="F10573" t="s">
        <v>114</v>
      </c>
      <c r="G10573" t="s">
        <v>39</v>
      </c>
      <c r="H10573" t="s">
        <v>21</v>
      </c>
      <c r="I10573" t="s">
        <v>20954</v>
      </c>
      <c r="J10573" t="str">
        <f>HYPERLINK("https://www.boe.es/gazeta/dias/1823/01/19/pdfs/GMD-1823-19.pdf#page=1","Abrir facsímil")</f>
        <v>Abrir facsímil</v>
      </c>
      <c r="K10573" t="s">
        <v>23</v>
      </c>
    </row>
    <row r="10574" spans="1:11" ht="42" customHeight="1">
      <c r="A10574" t="s">
        <v>20943</v>
      </c>
      <c r="B10574" t="s">
        <v>20943</v>
      </c>
      <c r="C10574" t="s">
        <v>56</v>
      </c>
      <c r="D10574" t="s">
        <v>57</v>
      </c>
      <c r="E10574" s="6">
        <v>-28103</v>
      </c>
      <c r="F10574" t="s">
        <v>285</v>
      </c>
      <c r="G10574" t="s">
        <v>27</v>
      </c>
      <c r="H10574" t="s">
        <v>21</v>
      </c>
      <c r="I10574" t="s">
        <v>20955</v>
      </c>
      <c r="J10574" t="str">
        <f>HYPERLINK("https://www.boe.es/gazeta/dias/1823/01/20/pdfs/GMD-1823-20.pdf#page=2","Abrir facsímil")</f>
        <v>Abrir facsímil</v>
      </c>
      <c r="K10574" t="s">
        <v>23</v>
      </c>
    </row>
    <row r="10575" spans="1:11" ht="42" customHeight="1">
      <c r="A10575" t="s">
        <v>20943</v>
      </c>
      <c r="B10575" t="s">
        <v>20943</v>
      </c>
      <c r="C10575" t="s">
        <v>17</v>
      </c>
      <c r="D10575" t="s">
        <v>18</v>
      </c>
      <c r="E10575" s="6">
        <v>-28101</v>
      </c>
      <c r="F10575" t="s">
        <v>1041</v>
      </c>
      <c r="G10575" t="s">
        <v>48</v>
      </c>
      <c r="H10575" t="s">
        <v>21</v>
      </c>
      <c r="I10575" t="s">
        <v>20956</v>
      </c>
      <c r="J10575" t="str">
        <f>HYPERLINK("https://www.boe.es/gazeta/dias/1823/01/22/pdfs/GMD-1823-23.pdf#page=3","Abrir facsímil")</f>
        <v>Abrir facsímil</v>
      </c>
      <c r="K10575" t="s">
        <v>23</v>
      </c>
    </row>
    <row r="10576" spans="1:11" ht="42" customHeight="1">
      <c r="A10576" t="s">
        <v>20943</v>
      </c>
      <c r="B10576" t="s">
        <v>20943</v>
      </c>
      <c r="C10576" t="s">
        <v>17</v>
      </c>
      <c r="D10576" t="s">
        <v>18</v>
      </c>
      <c r="E10576" s="6">
        <v>-28088</v>
      </c>
      <c r="F10576" t="s">
        <v>542</v>
      </c>
      <c r="G10576" t="s">
        <v>20</v>
      </c>
      <c r="H10576" t="s">
        <v>21</v>
      </c>
      <c r="I10576" t="s">
        <v>20957</v>
      </c>
      <c r="J10576" t="str">
        <f>HYPERLINK("https://www.boe.es/gazeta/dias/1823/02/04/pdfs/GMD-1823-37.pdf#page=4","Abrir facsímil")</f>
        <v>Abrir facsímil</v>
      </c>
      <c r="K10576" t="s">
        <v>23</v>
      </c>
    </row>
    <row r="10577" spans="1:11" ht="42" customHeight="1">
      <c r="A10577" t="s">
        <v>20943</v>
      </c>
      <c r="B10577" t="s">
        <v>20943</v>
      </c>
      <c r="C10577" t="s">
        <v>17</v>
      </c>
      <c r="D10577" t="s">
        <v>18</v>
      </c>
      <c r="E10577" s="6">
        <v>-28085</v>
      </c>
      <c r="F10577" t="s">
        <v>458</v>
      </c>
      <c r="G10577" t="s">
        <v>48</v>
      </c>
      <c r="H10577" t="s">
        <v>21</v>
      </c>
      <c r="I10577" t="s">
        <v>20958</v>
      </c>
      <c r="J10577" t="str">
        <f>HYPERLINK("https://www.boe.es/gazeta/dias/1823/02/07/pdfs/GMD-1823-40.pdf#page=3","Abrir facsímil")</f>
        <v>Abrir facsímil</v>
      </c>
      <c r="K10577" t="s">
        <v>23</v>
      </c>
    </row>
    <row r="10578" spans="1:11" ht="42" customHeight="1">
      <c r="A10578" t="s">
        <v>20943</v>
      </c>
      <c r="B10578" t="s">
        <v>20943</v>
      </c>
      <c r="C10578" t="s">
        <v>79</v>
      </c>
      <c r="D10578" t="s">
        <v>74</v>
      </c>
      <c r="E10578" s="6">
        <v>-28085</v>
      </c>
      <c r="F10578" t="s">
        <v>458</v>
      </c>
      <c r="G10578" t="s">
        <v>34</v>
      </c>
      <c r="H10578" t="s">
        <v>21</v>
      </c>
      <c r="I10578" t="s">
        <v>20959</v>
      </c>
      <c r="J10578" t="str">
        <f>HYPERLINK("https://www.boe.es/gazeta/dias/1823/02/07/pdfs/GMD-1823-40.pdf#page=5","Abrir facsímil")</f>
        <v>Abrir facsímil</v>
      </c>
      <c r="K10578" t="s">
        <v>23</v>
      </c>
    </row>
    <row r="10579" spans="1:11" ht="42" customHeight="1">
      <c r="A10579" t="s">
        <v>20943</v>
      </c>
      <c r="B10579" t="s">
        <v>20943</v>
      </c>
      <c r="C10579" t="s">
        <v>109</v>
      </c>
      <c r="D10579" t="s">
        <v>74</v>
      </c>
      <c r="E10579" s="6">
        <v>-28079</v>
      </c>
      <c r="F10579" t="s">
        <v>178</v>
      </c>
      <c r="G10579" t="s">
        <v>39</v>
      </c>
      <c r="H10579" t="s">
        <v>21</v>
      </c>
      <c r="I10579" t="s">
        <v>20960</v>
      </c>
      <c r="J10579" t="str">
        <f>HYPERLINK("https://www.boe.es/gazeta/dias/1823/02/13/pdfs/GMD-1823-47.pdf#page=1","Abrir facsímil")</f>
        <v>Abrir facsímil</v>
      </c>
      <c r="K10579" t="s">
        <v>23</v>
      </c>
    </row>
    <row r="10580" spans="1:11" ht="42" customHeight="1">
      <c r="A10580" t="s">
        <v>20943</v>
      </c>
      <c r="B10580" t="s">
        <v>20943</v>
      </c>
      <c r="C10580" t="s">
        <v>17</v>
      </c>
      <c r="D10580" t="s">
        <v>18</v>
      </c>
      <c r="E10580" s="6">
        <v>-28076</v>
      </c>
      <c r="F10580" t="s">
        <v>1638</v>
      </c>
      <c r="G10580" t="s">
        <v>20</v>
      </c>
      <c r="H10580" t="s">
        <v>21</v>
      </c>
      <c r="I10580" t="s">
        <v>20961</v>
      </c>
      <c r="J10580" t="str">
        <f>HYPERLINK("https://www.boe.es/gazeta/dias/1823/02/16/pdfs/GMD-1823-50.pdf#page=4","Abrir facsímil")</f>
        <v>Abrir facsímil</v>
      </c>
      <c r="K10580" t="s">
        <v>23</v>
      </c>
    </row>
    <row r="10581" spans="1:11" ht="42" customHeight="1">
      <c r="A10581" t="s">
        <v>20943</v>
      </c>
      <c r="B10581" t="s">
        <v>20943</v>
      </c>
      <c r="C10581" t="s">
        <v>17</v>
      </c>
      <c r="D10581" t="s">
        <v>18</v>
      </c>
      <c r="E10581" s="6">
        <v>-28071</v>
      </c>
      <c r="F10581" t="s">
        <v>587</v>
      </c>
      <c r="G10581" t="s">
        <v>27</v>
      </c>
      <c r="H10581" t="s">
        <v>21</v>
      </c>
      <c r="I10581" t="s">
        <v>20962</v>
      </c>
      <c r="J10581" t="str">
        <f>HYPERLINK("https://www.boe.es/gazeta/dias/1823/02/21/pdfs/GMD-1823-55.pdf#page=2","Abrir facsímil")</f>
        <v>Abrir facsímil</v>
      </c>
      <c r="K10581" t="s">
        <v>23</v>
      </c>
    </row>
    <row r="10582" spans="1:11" ht="42" customHeight="1">
      <c r="A10582" t="s">
        <v>20963</v>
      </c>
      <c r="B10582" t="s">
        <v>20963</v>
      </c>
      <c r="C10582" t="s">
        <v>109</v>
      </c>
      <c r="D10582" t="s">
        <v>74</v>
      </c>
      <c r="E10582" s="6">
        <v>-28057</v>
      </c>
      <c r="F10582" t="s">
        <v>301</v>
      </c>
      <c r="G10582" t="s">
        <v>48</v>
      </c>
      <c r="H10582" t="s">
        <v>21</v>
      </c>
      <c r="I10582" t="s">
        <v>20964</v>
      </c>
      <c r="J10582" t="str">
        <f>HYPERLINK("https://www.boe.es/gazeta/dias/1823/03/07/pdfs/GMD-1823-70.pdf#page=3","Abrir facsímil")</f>
        <v>Abrir facsímil</v>
      </c>
      <c r="K10582" t="s">
        <v>23</v>
      </c>
    </row>
    <row r="10583" spans="1:11" ht="42" customHeight="1">
      <c r="A10583" t="s">
        <v>20943</v>
      </c>
      <c r="B10583" t="s">
        <v>20943</v>
      </c>
      <c r="C10583" t="s">
        <v>79</v>
      </c>
      <c r="D10583" t="s">
        <v>74</v>
      </c>
      <c r="E10583" s="6">
        <v>-28057</v>
      </c>
      <c r="F10583" t="s">
        <v>301</v>
      </c>
      <c r="G10583" t="s">
        <v>20</v>
      </c>
      <c r="H10583" t="s">
        <v>21</v>
      </c>
      <c r="I10583" t="s">
        <v>20965</v>
      </c>
      <c r="J10583" t="str">
        <f>HYPERLINK("https://www.boe.es/gazeta/dias/1823/03/07/pdfs/GMD-1823-70.pdf#page=4","Abrir facsímil")</f>
        <v>Abrir facsímil</v>
      </c>
      <c r="K10583" t="s">
        <v>23</v>
      </c>
    </row>
    <row r="10584" spans="1:11" ht="42" customHeight="1">
      <c r="A10584" t="s">
        <v>20943</v>
      </c>
      <c r="B10584" t="s">
        <v>20943</v>
      </c>
      <c r="C10584" t="s">
        <v>17</v>
      </c>
      <c r="D10584" t="s">
        <v>18</v>
      </c>
      <c r="E10584" s="6">
        <v>-28050</v>
      </c>
      <c r="F10584" t="s">
        <v>473</v>
      </c>
      <c r="G10584" t="s">
        <v>34</v>
      </c>
      <c r="H10584" t="s">
        <v>21</v>
      </c>
      <c r="I10584" t="s">
        <v>20966</v>
      </c>
      <c r="J10584" t="str">
        <f>HYPERLINK("https://www.boe.es/gazeta/dias/1823/03/14/pdfs/GMD-1823-77.pdf#page=5","Abrir facsímil")</f>
        <v>Abrir facsímil</v>
      </c>
      <c r="K10584" t="s">
        <v>23</v>
      </c>
    </row>
    <row r="10585" spans="1:11" ht="42" customHeight="1">
      <c r="A10585" t="s">
        <v>20943</v>
      </c>
      <c r="B10585" t="s">
        <v>20943</v>
      </c>
      <c r="C10585" t="s">
        <v>73</v>
      </c>
      <c r="D10585" t="s">
        <v>74</v>
      </c>
      <c r="E10585" s="6">
        <v>-28045</v>
      </c>
      <c r="F10585" t="s">
        <v>245</v>
      </c>
      <c r="G10585" t="s">
        <v>27</v>
      </c>
      <c r="H10585" t="s">
        <v>21</v>
      </c>
      <c r="I10585" t="s">
        <v>20967</v>
      </c>
      <c r="J10585" t="str">
        <f>HYPERLINK("https://www.boe.es/gazeta/dias/1823/03/19/pdfs/GMD-1823-82.pdf#page=2","Abrir facsímil")</f>
        <v>Abrir facsímil</v>
      </c>
      <c r="K10585" t="s">
        <v>23</v>
      </c>
    </row>
    <row r="10586" spans="1:11" ht="42" customHeight="1">
      <c r="A10586" t="s">
        <v>20943</v>
      </c>
      <c r="B10586" t="s">
        <v>20943</v>
      </c>
      <c r="C10586" t="s">
        <v>56</v>
      </c>
      <c r="D10586" t="s">
        <v>57</v>
      </c>
      <c r="E10586" s="6">
        <v>-28042</v>
      </c>
      <c r="F10586" t="s">
        <v>1218</v>
      </c>
      <c r="G10586" t="s">
        <v>48</v>
      </c>
      <c r="H10586" t="s">
        <v>21</v>
      </c>
      <c r="I10586" t="s">
        <v>20968</v>
      </c>
      <c r="J10586" t="str">
        <f>HYPERLINK("https://www.boe.es/gazeta/dias/1823/03/22/pdfs/GMD-1823-85.pdf#page=3","Abrir facsímil")</f>
        <v>Abrir facsímil</v>
      </c>
      <c r="K10586" t="s">
        <v>23</v>
      </c>
    </row>
    <row r="10587" spans="1:11" ht="42" customHeight="1">
      <c r="A10587" t="s">
        <v>20943</v>
      </c>
      <c r="B10587" t="s">
        <v>20943</v>
      </c>
      <c r="C10587" t="s">
        <v>17</v>
      </c>
      <c r="D10587" t="s">
        <v>18</v>
      </c>
      <c r="E10587" s="6">
        <v>-28017</v>
      </c>
      <c r="F10587" t="s">
        <v>2912</v>
      </c>
      <c r="G10587" t="s">
        <v>20</v>
      </c>
      <c r="H10587" t="s">
        <v>21</v>
      </c>
      <c r="I10587" t="s">
        <v>20969</v>
      </c>
      <c r="J10587" t="str">
        <f>HYPERLINK("https://www.boe.es/gazeta/dias/1823/04/16/pdfs/GES-1823-6.pdf#page=4","Abrir facsímil")</f>
        <v>Abrir facsímil</v>
      </c>
      <c r="K10587" t="s">
        <v>23</v>
      </c>
    </row>
    <row r="10588" spans="1:11" ht="42" customHeight="1">
      <c r="A10588" t="s">
        <v>20970</v>
      </c>
      <c r="B10588" t="s">
        <v>20970</v>
      </c>
      <c r="C10588" t="s">
        <v>79</v>
      </c>
      <c r="D10588" t="s">
        <v>74</v>
      </c>
      <c r="E10588" s="6">
        <v>-28007</v>
      </c>
      <c r="F10588" t="s">
        <v>311</v>
      </c>
      <c r="G10588" t="s">
        <v>27</v>
      </c>
      <c r="H10588" t="s">
        <v>21</v>
      </c>
      <c r="I10588" t="s">
        <v>20971</v>
      </c>
      <c r="J10588" t="str">
        <f>HYPERLINK("https://www.boe.es/gazeta/dias/1823/04/26/pdfs/GES-1823-16.pdf#page=2","Abrir facsímil")</f>
        <v>Abrir facsímil</v>
      </c>
      <c r="K10588" t="s">
        <v>23</v>
      </c>
    </row>
    <row r="10589" spans="1:11" ht="42" customHeight="1">
      <c r="A10589" t="s">
        <v>20970</v>
      </c>
      <c r="B10589" t="s">
        <v>20970</v>
      </c>
      <c r="C10589" t="s">
        <v>56</v>
      </c>
      <c r="D10589" t="s">
        <v>57</v>
      </c>
      <c r="E10589" s="6">
        <v>-28007</v>
      </c>
      <c r="F10589" t="s">
        <v>311</v>
      </c>
      <c r="G10589" t="s">
        <v>48</v>
      </c>
      <c r="H10589" t="s">
        <v>21</v>
      </c>
      <c r="I10589" t="s">
        <v>20972</v>
      </c>
      <c r="J10589" t="str">
        <f>HYPERLINK("https://www.boe.es/gazeta/dias/1823/04/26/pdfs/GES-1823-16.pdf#page=3","Abrir facsímil")</f>
        <v>Abrir facsímil</v>
      </c>
      <c r="K10589" t="s">
        <v>23</v>
      </c>
    </row>
    <row r="10590" spans="1:11" ht="42" customHeight="1">
      <c r="A10590" t="s">
        <v>20943</v>
      </c>
      <c r="B10590" t="s">
        <v>20943</v>
      </c>
      <c r="C10590" t="s">
        <v>17</v>
      </c>
      <c r="D10590" t="s">
        <v>18</v>
      </c>
      <c r="E10590" s="6">
        <v>-28003</v>
      </c>
      <c r="F10590" t="s">
        <v>26</v>
      </c>
      <c r="G10590" t="s">
        <v>20</v>
      </c>
      <c r="H10590" t="s">
        <v>21</v>
      </c>
      <c r="I10590" t="s">
        <v>20973</v>
      </c>
      <c r="J10590" t="str">
        <f>HYPERLINK("https://www.boe.es/gazeta/dias/1823/04/30/pdfs/GES-1823-20.pdf#page=4","Abrir facsímil")</f>
        <v>Abrir facsímil</v>
      </c>
      <c r="K10590" t="s">
        <v>23</v>
      </c>
    </row>
    <row r="10591" spans="1:11" ht="42" customHeight="1">
      <c r="A10591" t="s">
        <v>20943</v>
      </c>
      <c r="B10591" t="s">
        <v>20943</v>
      </c>
      <c r="C10591" t="s">
        <v>17</v>
      </c>
      <c r="D10591" t="s">
        <v>18</v>
      </c>
      <c r="E10591" s="6">
        <v>-28003</v>
      </c>
      <c r="F10591" t="s">
        <v>26</v>
      </c>
      <c r="G10591" t="s">
        <v>34</v>
      </c>
      <c r="H10591" t="s">
        <v>21</v>
      </c>
      <c r="I10591" t="s">
        <v>20974</v>
      </c>
      <c r="J10591" t="str">
        <f>HYPERLINK("https://www.boe.es/gazeta/dias/1823/04/30/pdfs/GES-1823-20.pdf#page=5","Abrir facsímil")</f>
        <v>Abrir facsímil</v>
      </c>
      <c r="K10591" t="s">
        <v>23</v>
      </c>
    </row>
    <row r="10592" spans="1:11" ht="42" customHeight="1">
      <c r="A10592" t="s">
        <v>20943</v>
      </c>
      <c r="B10592" t="s">
        <v>20943</v>
      </c>
      <c r="C10592" t="s">
        <v>17</v>
      </c>
      <c r="D10592" t="s">
        <v>18</v>
      </c>
      <c r="E10592" s="6">
        <v>-27987</v>
      </c>
      <c r="F10592" t="s">
        <v>332</v>
      </c>
      <c r="G10592" t="s">
        <v>20</v>
      </c>
      <c r="H10592" t="s">
        <v>21</v>
      </c>
      <c r="I10592" t="s">
        <v>20975</v>
      </c>
      <c r="J10592" t="str">
        <f>HYPERLINK("https://www.boe.es/gazeta/dias/1823/05/16/pdfs/GES-1823-36.pdf#page=4","Abrir facsímil")</f>
        <v>Abrir facsímil</v>
      </c>
      <c r="K10592" t="s">
        <v>23</v>
      </c>
    </row>
    <row r="10593" spans="1:11" ht="42" customHeight="1">
      <c r="A10593" t="s">
        <v>20943</v>
      </c>
      <c r="B10593" t="s">
        <v>20943</v>
      </c>
      <c r="C10593" t="s">
        <v>109</v>
      </c>
      <c r="D10593" t="s">
        <v>74</v>
      </c>
      <c r="E10593" s="6">
        <v>-27984</v>
      </c>
      <c r="F10593" t="s">
        <v>335</v>
      </c>
      <c r="G10593" t="s">
        <v>48</v>
      </c>
      <c r="H10593" t="s">
        <v>21</v>
      </c>
      <c r="I10593" t="s">
        <v>20976</v>
      </c>
      <c r="J10593" t="str">
        <f>HYPERLINK("https://www.boe.es/gazeta/dias/1823/05/19/pdfs/GES-1823-39.pdf#page=3","Abrir facsímil")</f>
        <v>Abrir facsímil</v>
      </c>
      <c r="K10593" t="s">
        <v>23</v>
      </c>
    </row>
    <row r="10594" spans="1:11" ht="42" customHeight="1">
      <c r="A10594" t="s">
        <v>20943</v>
      </c>
      <c r="B10594" t="s">
        <v>20943</v>
      </c>
      <c r="C10594" t="s">
        <v>79</v>
      </c>
      <c r="D10594" t="s">
        <v>74</v>
      </c>
      <c r="E10594" s="6">
        <v>-27984</v>
      </c>
      <c r="F10594" t="s">
        <v>335</v>
      </c>
      <c r="G10594" t="s">
        <v>59</v>
      </c>
      <c r="H10594" t="s">
        <v>21</v>
      </c>
      <c r="I10594" t="s">
        <v>20977</v>
      </c>
      <c r="J10594" t="str">
        <f>HYPERLINK("https://www.boe.es/gazeta/dias/1823/05/19/pdfs/GES-1823-39.pdf#page=6","Abrir facsímil")</f>
        <v>Abrir facsímil</v>
      </c>
      <c r="K10594" t="s">
        <v>23</v>
      </c>
    </row>
    <row r="10595" spans="1:11" ht="42" customHeight="1">
      <c r="A10595" t="s">
        <v>20943</v>
      </c>
      <c r="B10595" t="s">
        <v>20943</v>
      </c>
      <c r="C10595" t="s">
        <v>17</v>
      </c>
      <c r="D10595" t="s">
        <v>18</v>
      </c>
      <c r="E10595" s="6">
        <v>-27982</v>
      </c>
      <c r="F10595" t="s">
        <v>340</v>
      </c>
      <c r="G10595" t="s">
        <v>48</v>
      </c>
      <c r="H10595" t="s">
        <v>21</v>
      </c>
      <c r="I10595" t="s">
        <v>20978</v>
      </c>
      <c r="J10595" t="str">
        <f>HYPERLINK("https://www.boe.es/gazeta/dias/1823/05/21/pdfs/GES-1823-42.pdf#page=3","Abrir facsímil")</f>
        <v>Abrir facsímil</v>
      </c>
      <c r="K10595" t="s">
        <v>23</v>
      </c>
    </row>
    <row r="10596" spans="1:11" ht="42" customHeight="1">
      <c r="A10596" t="s">
        <v>20943</v>
      </c>
      <c r="B10596" t="s">
        <v>20943</v>
      </c>
      <c r="C10596" t="s">
        <v>17</v>
      </c>
      <c r="D10596" t="s">
        <v>18</v>
      </c>
      <c r="E10596" s="6">
        <v>-27981</v>
      </c>
      <c r="F10596" t="s">
        <v>1521</v>
      </c>
      <c r="G10596" t="s">
        <v>2395</v>
      </c>
      <c r="H10596" t="s">
        <v>21</v>
      </c>
      <c r="I10596" t="s">
        <v>20979</v>
      </c>
      <c r="J10596" t="str">
        <f>HYPERLINK("https://www.boe.es/gazeta/dias/1823/05/22/pdfs/GES-1823-43.pdf#page=2","Abrir facsímil")</f>
        <v>Abrir facsímil</v>
      </c>
      <c r="K10596" t="s">
        <v>23</v>
      </c>
    </row>
    <row r="10597" spans="1:11" ht="42" customHeight="1">
      <c r="A10597" t="s">
        <v>20943</v>
      </c>
      <c r="B10597" t="s">
        <v>20943</v>
      </c>
      <c r="C10597" t="s">
        <v>56</v>
      </c>
      <c r="D10597" t="s">
        <v>57</v>
      </c>
      <c r="E10597" s="6">
        <v>-27979</v>
      </c>
      <c r="F10597" t="s">
        <v>1071</v>
      </c>
      <c r="G10597" t="s">
        <v>27</v>
      </c>
      <c r="H10597" t="s">
        <v>21</v>
      </c>
      <c r="I10597" t="s">
        <v>20980</v>
      </c>
      <c r="J10597" t="str">
        <f>HYPERLINK("https://www.boe.es/gazeta/dias/1823/05/24/pdfs/GES-1823-45.pdf#page=2","Abrir facsímil")</f>
        <v>Abrir facsímil</v>
      </c>
      <c r="K10597" t="s">
        <v>23</v>
      </c>
    </row>
    <row r="10598" spans="1:11" ht="42" customHeight="1">
      <c r="A10598" t="s">
        <v>20943</v>
      </c>
      <c r="B10598" t="s">
        <v>20943</v>
      </c>
      <c r="C10598" t="s">
        <v>17</v>
      </c>
      <c r="D10598" t="s">
        <v>18</v>
      </c>
      <c r="E10598" s="6">
        <v>-27972</v>
      </c>
      <c r="F10598" t="s">
        <v>429</v>
      </c>
      <c r="G10598" t="s">
        <v>27</v>
      </c>
      <c r="H10598" t="s">
        <v>21</v>
      </c>
      <c r="I10598" t="s">
        <v>20981</v>
      </c>
      <c r="J10598" t="str">
        <f>HYPERLINK("https://www.boe.es/gazeta/dias/1823/05/31/pdfs/GES-1823-54.pdf#page=2","Abrir facsímil")</f>
        <v>Abrir facsímil</v>
      </c>
      <c r="K10598" t="s">
        <v>23</v>
      </c>
    </row>
    <row r="10599" spans="1:11" ht="42" customHeight="1">
      <c r="A10599" t="s">
        <v>20943</v>
      </c>
      <c r="B10599" t="s">
        <v>20943</v>
      </c>
      <c r="C10599" t="s">
        <v>17</v>
      </c>
      <c r="D10599" t="s">
        <v>18</v>
      </c>
      <c r="E10599" s="6">
        <v>-27967</v>
      </c>
      <c r="F10599" t="s">
        <v>412</v>
      </c>
      <c r="G10599" t="s">
        <v>20</v>
      </c>
      <c r="H10599" t="s">
        <v>21</v>
      </c>
      <c r="I10599" t="s">
        <v>20982</v>
      </c>
      <c r="J10599" t="str">
        <f>HYPERLINK("https://www.boe.es/gazeta/dias/1823/06/05/pdfs/GES-1823-59.pdf#page=4","Abrir facsímil")</f>
        <v>Abrir facsímil</v>
      </c>
      <c r="K10599" t="s">
        <v>23</v>
      </c>
    </row>
    <row r="10600" spans="1:11" ht="42" customHeight="1">
      <c r="A10600" t="s">
        <v>20943</v>
      </c>
      <c r="B10600" t="s">
        <v>20943</v>
      </c>
      <c r="C10600" t="s">
        <v>56</v>
      </c>
      <c r="D10600" t="s">
        <v>57</v>
      </c>
      <c r="E10600" s="6">
        <v>-27966</v>
      </c>
      <c r="F10600" t="s">
        <v>675</v>
      </c>
      <c r="G10600" t="s">
        <v>48</v>
      </c>
      <c r="H10600" t="s">
        <v>21</v>
      </c>
      <c r="I10600" t="s">
        <v>20983</v>
      </c>
      <c r="J10600" t="str">
        <f>HYPERLINK("https://www.boe.es/gazeta/dias/1823/06/06/pdfs/GES-1823-60.pdf#page=3","Abrir facsímil")</f>
        <v>Abrir facsímil</v>
      </c>
      <c r="K10600" t="s">
        <v>23</v>
      </c>
    </row>
    <row r="10601" spans="1:11" ht="42" customHeight="1">
      <c r="A10601" t="s">
        <v>20970</v>
      </c>
      <c r="B10601" t="s">
        <v>20970</v>
      </c>
      <c r="C10601" t="s">
        <v>56</v>
      </c>
      <c r="D10601" t="s">
        <v>57</v>
      </c>
      <c r="E10601" s="6">
        <v>-27960</v>
      </c>
      <c r="F10601" t="s">
        <v>741</v>
      </c>
      <c r="G10601" t="s">
        <v>20</v>
      </c>
      <c r="H10601" t="s">
        <v>21</v>
      </c>
      <c r="I10601" t="s">
        <v>20984</v>
      </c>
      <c r="J10601" t="str">
        <f>HYPERLINK("https://www.boe.es/gazeta/dias/1823/06/12/pdfs/GES-1823-66.pdf#page=4","Abrir facsímil")</f>
        <v>Abrir facsímil</v>
      </c>
      <c r="K10601" t="s">
        <v>23</v>
      </c>
    </row>
    <row r="10602" spans="1:11" ht="42" customHeight="1">
      <c r="A10602" t="s">
        <v>20970</v>
      </c>
      <c r="B10602" t="s">
        <v>20970</v>
      </c>
      <c r="C10602" t="s">
        <v>17</v>
      </c>
      <c r="D10602" t="s">
        <v>18</v>
      </c>
      <c r="E10602" s="6">
        <v>-27953</v>
      </c>
      <c r="F10602" t="s">
        <v>1783</v>
      </c>
      <c r="G10602" t="s">
        <v>20</v>
      </c>
      <c r="H10602" t="s">
        <v>21</v>
      </c>
      <c r="I10602" t="s">
        <v>20985</v>
      </c>
      <c r="J10602" t="str">
        <f>HYPERLINK("https://www.boe.es/gazeta/dias/1823/06/19/pdfs/GES-1823-67.pdf#page=4","Abrir facsímil")</f>
        <v>Abrir facsímil</v>
      </c>
      <c r="K10602" t="s">
        <v>23</v>
      </c>
    </row>
    <row r="10603" spans="1:11" ht="42" customHeight="1">
      <c r="A10603" t="s">
        <v>20943</v>
      </c>
      <c r="B10603" t="s">
        <v>20943</v>
      </c>
      <c r="C10603" t="s">
        <v>56</v>
      </c>
      <c r="D10603" t="s">
        <v>117</v>
      </c>
      <c r="E10603" s="6">
        <v>-27952</v>
      </c>
      <c r="F10603" t="s">
        <v>1844</v>
      </c>
      <c r="G10603" t="s">
        <v>27</v>
      </c>
      <c r="H10603" t="s">
        <v>21</v>
      </c>
      <c r="I10603" t="s">
        <v>20986</v>
      </c>
      <c r="J10603" t="str">
        <f>HYPERLINK("https://www.boe.es/gazeta/dias/1823/06/20/pdfs/GMD-1823-213E.pdf#page=2","Abrir facsímil")</f>
        <v>Abrir facsímil</v>
      </c>
      <c r="K10603" t="s">
        <v>23</v>
      </c>
    </row>
    <row r="10604" spans="1:11" ht="42" customHeight="1">
      <c r="A10604" t="s">
        <v>20970</v>
      </c>
      <c r="B10604" t="s">
        <v>20970</v>
      </c>
      <c r="C10604" t="s">
        <v>17</v>
      </c>
      <c r="D10604" t="s">
        <v>18</v>
      </c>
      <c r="E10604" s="6">
        <v>-27926</v>
      </c>
      <c r="F10604" t="s">
        <v>2158</v>
      </c>
      <c r="G10604" t="s">
        <v>48</v>
      </c>
      <c r="H10604" t="s">
        <v>21</v>
      </c>
      <c r="I10604" t="s">
        <v>20987</v>
      </c>
      <c r="J10604" t="str">
        <f>HYPERLINK("https://www.boe.es/gazeta/dias/1823/07/16/pdfs/GES-1823-96.pdf#page=3","Abrir facsímil")</f>
        <v>Abrir facsímil</v>
      </c>
      <c r="K10604" t="s">
        <v>23</v>
      </c>
    </row>
    <row r="10605" spans="1:11" ht="42" customHeight="1">
      <c r="A10605" t="s">
        <v>20943</v>
      </c>
      <c r="B10605" t="s">
        <v>20943</v>
      </c>
      <c r="C10605" t="s">
        <v>73</v>
      </c>
      <c r="D10605" t="s">
        <v>74</v>
      </c>
      <c r="E10605" s="6">
        <v>-27918</v>
      </c>
      <c r="F10605" t="s">
        <v>3181</v>
      </c>
      <c r="G10605" t="s">
        <v>39</v>
      </c>
      <c r="H10605" t="s">
        <v>21</v>
      </c>
      <c r="I10605" t="s">
        <v>20988</v>
      </c>
      <c r="J10605" t="str">
        <f>HYPERLINK("https://www.boe.es/gazeta/dias/1823/07/24/pdfs/GES-1823-105.pdf#page=1","Abrir facsímil")</f>
        <v>Abrir facsímil</v>
      </c>
      <c r="K10605" t="s">
        <v>23</v>
      </c>
    </row>
    <row r="10606" spans="1:11" ht="42" customHeight="1">
      <c r="A10606" t="s">
        <v>20943</v>
      </c>
      <c r="B10606" t="s">
        <v>20943</v>
      </c>
      <c r="C10606" t="s">
        <v>17</v>
      </c>
      <c r="D10606" t="s">
        <v>18</v>
      </c>
      <c r="E10606" s="6">
        <v>-27916</v>
      </c>
      <c r="F10606" t="s">
        <v>772</v>
      </c>
      <c r="G10606" t="s">
        <v>4611</v>
      </c>
      <c r="H10606" t="s">
        <v>21</v>
      </c>
      <c r="I10606" t="s">
        <v>20989</v>
      </c>
      <c r="J10606" t="str">
        <f>HYPERLINK("https://www.boe.es/gazeta/dias/1823/07/26/pdfs/GES-1823-107.pdf#page=3","Abrir facsímil")</f>
        <v>Abrir facsímil</v>
      </c>
      <c r="K10606" t="s">
        <v>23</v>
      </c>
    </row>
    <row r="10607" spans="1:11" ht="42" customHeight="1">
      <c r="A10607" t="s">
        <v>20970</v>
      </c>
      <c r="B10607" t="s">
        <v>20970</v>
      </c>
      <c r="C10607" t="s">
        <v>79</v>
      </c>
      <c r="D10607" t="s">
        <v>74</v>
      </c>
      <c r="E10607" s="6">
        <v>-27913</v>
      </c>
      <c r="F10607" t="s">
        <v>821</v>
      </c>
      <c r="G10607" t="s">
        <v>39</v>
      </c>
      <c r="H10607" t="s">
        <v>21</v>
      </c>
      <c r="I10607" t="s">
        <v>20990</v>
      </c>
      <c r="J10607" t="str">
        <f>HYPERLINK("https://www.boe.es/gazeta/dias/1823/07/29/pdfs/GES-1823-110.pdf#page=1","Abrir facsímil")</f>
        <v>Abrir facsímil</v>
      </c>
      <c r="K10607" t="s">
        <v>23</v>
      </c>
    </row>
    <row r="10608" spans="1:11" ht="42" customHeight="1">
      <c r="A10608" t="s">
        <v>20943</v>
      </c>
      <c r="B10608" t="s">
        <v>20943</v>
      </c>
      <c r="C10608" t="s">
        <v>73</v>
      </c>
      <c r="D10608" t="s">
        <v>74</v>
      </c>
      <c r="E10608" s="6">
        <v>-27892</v>
      </c>
      <c r="F10608" t="s">
        <v>1229</v>
      </c>
      <c r="G10608" t="s">
        <v>20</v>
      </c>
      <c r="H10608" t="s">
        <v>21</v>
      </c>
      <c r="I10608" t="s">
        <v>20991</v>
      </c>
      <c r="J10608" t="str">
        <f>HYPERLINK("https://www.boe.es/gazeta/dias/1823/08/19/pdfs/GES-1823-132.pdf#page=4","Abrir facsímil")</f>
        <v>Abrir facsímil</v>
      </c>
      <c r="K10608" t="s">
        <v>23</v>
      </c>
    </row>
    <row r="10609" spans="1:11" ht="42" customHeight="1">
      <c r="A10609" t="s">
        <v>20943</v>
      </c>
      <c r="B10609" t="s">
        <v>20943</v>
      </c>
      <c r="C10609" t="s">
        <v>17</v>
      </c>
      <c r="D10609" t="s">
        <v>18</v>
      </c>
      <c r="E10609" s="6">
        <v>-27874</v>
      </c>
      <c r="F10609" t="s">
        <v>1410</v>
      </c>
      <c r="G10609" t="s">
        <v>27</v>
      </c>
      <c r="H10609" t="s">
        <v>21</v>
      </c>
      <c r="I10609" t="s">
        <v>20992</v>
      </c>
      <c r="J10609" t="str">
        <f>HYPERLINK("https://www.boe.es/gazeta/dias/1823/09/06/pdfs/GES-1823-150.pdf#page=2","Abrir facsímil")</f>
        <v>Abrir facsímil</v>
      </c>
      <c r="K10609" t="s">
        <v>23</v>
      </c>
    </row>
    <row r="10610" spans="1:11" ht="42" customHeight="1">
      <c r="A10610" t="s">
        <v>20943</v>
      </c>
      <c r="B10610" t="s">
        <v>20943</v>
      </c>
      <c r="C10610" t="s">
        <v>56</v>
      </c>
      <c r="D10610" t="s">
        <v>57</v>
      </c>
      <c r="E10610" s="6">
        <v>-27873</v>
      </c>
      <c r="F10610" t="s">
        <v>160</v>
      </c>
      <c r="G10610" t="s">
        <v>27</v>
      </c>
      <c r="H10610" t="s">
        <v>21</v>
      </c>
      <c r="I10610" t="s">
        <v>20993</v>
      </c>
      <c r="J10610" t="str">
        <f>HYPERLINK("https://www.boe.es/gazeta/dias/1823/09/07/pdfs/GES-1823-151.pdf#page=2","Abrir facsímil")</f>
        <v>Abrir facsímil</v>
      </c>
      <c r="K10610" t="s">
        <v>23</v>
      </c>
    </row>
    <row r="10611" spans="1:11" ht="42" customHeight="1">
      <c r="A10611" t="s">
        <v>20943</v>
      </c>
      <c r="B10611" t="s">
        <v>20943</v>
      </c>
      <c r="C10611" t="s">
        <v>109</v>
      </c>
      <c r="D10611" t="s">
        <v>74</v>
      </c>
      <c r="E10611" s="6">
        <v>-27873</v>
      </c>
      <c r="F10611" t="s">
        <v>160</v>
      </c>
      <c r="G10611" t="s">
        <v>48</v>
      </c>
      <c r="H10611" t="s">
        <v>21</v>
      </c>
      <c r="I10611" t="s">
        <v>20994</v>
      </c>
      <c r="J10611" t="str">
        <f>HYPERLINK("https://www.boe.es/gazeta/dias/1823/09/07/pdfs/GES-1823-151.pdf#page=3","Abrir facsímil")</f>
        <v>Abrir facsímil</v>
      </c>
      <c r="K10611" t="s">
        <v>23</v>
      </c>
    </row>
    <row r="10612" spans="1:11" ht="42" customHeight="1">
      <c r="A10612" t="s">
        <v>20970</v>
      </c>
      <c r="B10612" t="s">
        <v>20970</v>
      </c>
      <c r="C10612" t="s">
        <v>17</v>
      </c>
      <c r="D10612" t="s">
        <v>18</v>
      </c>
      <c r="E10612" s="6">
        <v>-27871</v>
      </c>
      <c r="F10612" t="s">
        <v>782</v>
      </c>
      <c r="G10612" t="s">
        <v>48</v>
      </c>
      <c r="H10612" t="s">
        <v>21</v>
      </c>
      <c r="I10612" t="s">
        <v>20995</v>
      </c>
      <c r="J10612" t="str">
        <f>HYPERLINK("https://www.boe.es/gazeta/dias/1823/09/09/pdfs/GES-1823-153.pdf#page=3","Abrir facsímil")</f>
        <v>Abrir facsímil</v>
      </c>
      <c r="K10612" t="s">
        <v>23</v>
      </c>
    </row>
    <row r="10613" spans="1:11" ht="42" customHeight="1">
      <c r="A10613" t="s">
        <v>20943</v>
      </c>
      <c r="B10613" t="s">
        <v>20943</v>
      </c>
      <c r="C10613" t="s">
        <v>79</v>
      </c>
      <c r="D10613" t="s">
        <v>74</v>
      </c>
      <c r="E10613" s="6">
        <v>-27871</v>
      </c>
      <c r="F10613" t="s">
        <v>782</v>
      </c>
      <c r="G10613" t="s">
        <v>20</v>
      </c>
      <c r="H10613" t="s">
        <v>21</v>
      </c>
      <c r="I10613" t="s">
        <v>20996</v>
      </c>
      <c r="J10613" t="str">
        <f>HYPERLINK("https://www.boe.es/gazeta/dias/1823/09/09/pdfs/GES-1823-153.pdf#page=4","Abrir facsímil")</f>
        <v>Abrir facsímil</v>
      </c>
      <c r="K10613" t="s">
        <v>23</v>
      </c>
    </row>
    <row r="10614" spans="1:11" ht="42" customHeight="1">
      <c r="A10614" t="s">
        <v>20970</v>
      </c>
      <c r="B10614" t="s">
        <v>20970</v>
      </c>
      <c r="C10614" t="s">
        <v>17</v>
      </c>
      <c r="D10614" t="s">
        <v>18</v>
      </c>
      <c r="E10614" s="6">
        <v>-27864</v>
      </c>
      <c r="F10614" t="s">
        <v>1301</v>
      </c>
      <c r="G10614" t="s">
        <v>1302</v>
      </c>
      <c r="H10614" t="s">
        <v>21</v>
      </c>
      <c r="I10614" t="s">
        <v>20997</v>
      </c>
      <c r="J10614" t="str">
        <f>HYPERLINK("https://www.boe.es/gazeta/dias/1823/09/16/pdfs/GES-1823-160.pdf#page=1","Abrir facsímil")</f>
        <v>Abrir facsímil</v>
      </c>
      <c r="K10614" t="s">
        <v>23</v>
      </c>
    </row>
    <row r="10615" spans="1:11" ht="42" customHeight="1">
      <c r="A10615" t="s">
        <v>20943</v>
      </c>
      <c r="B10615" t="s">
        <v>20943</v>
      </c>
      <c r="C10615" t="s">
        <v>17</v>
      </c>
      <c r="D10615" t="s">
        <v>18</v>
      </c>
      <c r="E10615" s="6">
        <v>-27863</v>
      </c>
      <c r="F10615" t="s">
        <v>651</v>
      </c>
      <c r="G10615" t="s">
        <v>27</v>
      </c>
      <c r="H10615" t="s">
        <v>21</v>
      </c>
      <c r="I10615" t="s">
        <v>20998</v>
      </c>
      <c r="J10615" t="str">
        <f>HYPERLINK("https://www.boe.es/gazeta/dias/1823/09/17/pdfs/GES-1823-161.pdf#page=2","Abrir facsímil")</f>
        <v>Abrir facsímil</v>
      </c>
      <c r="K10615" t="s">
        <v>23</v>
      </c>
    </row>
    <row r="10616" spans="1:11" ht="42" customHeight="1">
      <c r="A10616" t="s">
        <v>20943</v>
      </c>
      <c r="B10616" t="s">
        <v>20943</v>
      </c>
      <c r="C10616" t="s">
        <v>17</v>
      </c>
      <c r="D10616" t="s">
        <v>18</v>
      </c>
      <c r="E10616" s="6">
        <v>-27861</v>
      </c>
      <c r="F10616" t="s">
        <v>425</v>
      </c>
      <c r="G10616" t="s">
        <v>39</v>
      </c>
      <c r="H10616" t="s">
        <v>21</v>
      </c>
      <c r="I10616" t="s">
        <v>20999</v>
      </c>
      <c r="J10616" t="str">
        <f>HYPERLINK("https://www.boe.es/gazeta/dias/1823/09/19/pdfs/GES-1823-163.pdf#page=1","Abrir facsímil")</f>
        <v>Abrir facsímil</v>
      </c>
      <c r="K10616" t="s">
        <v>23</v>
      </c>
    </row>
    <row r="10617" spans="1:11" ht="42" customHeight="1">
      <c r="A10617" t="s">
        <v>20943</v>
      </c>
      <c r="B10617" t="s">
        <v>20943</v>
      </c>
      <c r="C10617" t="s">
        <v>17</v>
      </c>
      <c r="D10617" t="s">
        <v>18</v>
      </c>
      <c r="E10617" s="6">
        <v>-27861</v>
      </c>
      <c r="F10617" t="s">
        <v>425</v>
      </c>
      <c r="G10617" t="s">
        <v>27</v>
      </c>
      <c r="H10617" t="s">
        <v>21</v>
      </c>
      <c r="I10617" t="s">
        <v>21000</v>
      </c>
      <c r="J10617" t="str">
        <f>HYPERLINK("https://www.boe.es/gazeta/dias/1823/09/19/pdfs/GES-1823-163.pdf#page=2","Abrir facsímil")</f>
        <v>Abrir facsímil</v>
      </c>
      <c r="K10617" t="s">
        <v>23</v>
      </c>
    </row>
    <row r="10618" spans="1:11" ht="42" customHeight="1">
      <c r="A10618" t="s">
        <v>21001</v>
      </c>
      <c r="B10618" t="s">
        <v>21002</v>
      </c>
      <c r="C10618" t="s">
        <v>109</v>
      </c>
      <c r="D10618" t="s">
        <v>74</v>
      </c>
      <c r="E10618" s="6">
        <v>-27960</v>
      </c>
      <c r="F10618" t="s">
        <v>741</v>
      </c>
      <c r="G10618" t="s">
        <v>34</v>
      </c>
      <c r="H10618" t="s">
        <v>21</v>
      </c>
      <c r="I10618" t="s">
        <v>21003</v>
      </c>
      <c r="J10618" t="str">
        <f>HYPERLINK("https://www.boe.es/gazeta/dias/1823/06/12/pdfs/GES-1823-66.pdf#page=5","Abrir facsímil")</f>
        <v>Abrir facsímil</v>
      </c>
      <c r="K10618" t="s">
        <v>23</v>
      </c>
    </row>
    <row r="10619" spans="1:11" ht="42" customHeight="1">
      <c r="A10619" t="s">
        <v>21004</v>
      </c>
      <c r="B10619" t="s">
        <v>21005</v>
      </c>
      <c r="C10619" t="s">
        <v>17</v>
      </c>
      <c r="D10619" t="s">
        <v>18</v>
      </c>
      <c r="E10619" s="6">
        <v>-27953</v>
      </c>
      <c r="F10619" t="s">
        <v>1783</v>
      </c>
      <c r="G10619" t="s">
        <v>27</v>
      </c>
      <c r="H10619" t="s">
        <v>21</v>
      </c>
      <c r="I10619" t="s">
        <v>21006</v>
      </c>
      <c r="J10619" t="str">
        <f>HYPERLINK("https://www.boe.es/gazeta/dias/1823/06/19/pdfs/GES-1823-67.pdf#page=2","Abrir facsímil")</f>
        <v>Abrir facsímil</v>
      </c>
      <c r="K10619" t="s">
        <v>23</v>
      </c>
    </row>
    <row r="10620" spans="1:11" ht="42" customHeight="1">
      <c r="A10620" t="s">
        <v>21001</v>
      </c>
      <c r="B10620" t="s">
        <v>21002</v>
      </c>
      <c r="C10620" t="s">
        <v>56</v>
      </c>
      <c r="D10620" t="s">
        <v>117</v>
      </c>
      <c r="E10620" s="6">
        <v>-27952</v>
      </c>
      <c r="F10620" t="s">
        <v>1844</v>
      </c>
      <c r="G10620" t="s">
        <v>27</v>
      </c>
      <c r="H10620" t="s">
        <v>21</v>
      </c>
      <c r="I10620" t="s">
        <v>21007</v>
      </c>
      <c r="J10620" t="str">
        <f>HYPERLINK("https://www.boe.es/gazeta/dias/1823/06/20/pdfs/GMD-1823-213E.pdf#page=2","Abrir facsímil")</f>
        <v>Abrir facsímil</v>
      </c>
      <c r="K10620" t="s">
        <v>23</v>
      </c>
    </row>
    <row r="10621" spans="1:11" ht="42" customHeight="1">
      <c r="A10621" t="s">
        <v>21004</v>
      </c>
      <c r="B10621" t="s">
        <v>21005</v>
      </c>
      <c r="C10621" t="s">
        <v>56</v>
      </c>
      <c r="D10621" t="s">
        <v>57</v>
      </c>
      <c r="E10621" s="6">
        <v>-27944</v>
      </c>
      <c r="F10621" t="s">
        <v>2823</v>
      </c>
      <c r="G10621" t="s">
        <v>39</v>
      </c>
      <c r="H10621" t="s">
        <v>21</v>
      </c>
      <c r="I10621" t="s">
        <v>21008</v>
      </c>
      <c r="J10621" t="str">
        <f>HYPERLINK("https://www.boe.es/gazeta/dias/1823/06/28/pdfs/GES-1823-78.pdf#page=1","Abrir facsímil")</f>
        <v>Abrir facsímil</v>
      </c>
      <c r="K10621" t="s">
        <v>23</v>
      </c>
    </row>
    <row r="10622" spans="1:11" ht="42" customHeight="1">
      <c r="A10622" t="s">
        <v>21001</v>
      </c>
      <c r="B10622" t="s">
        <v>21002</v>
      </c>
      <c r="C10622" t="s">
        <v>17</v>
      </c>
      <c r="D10622" t="s">
        <v>18</v>
      </c>
      <c r="E10622" s="6">
        <v>-27909</v>
      </c>
      <c r="F10622" t="s">
        <v>948</v>
      </c>
      <c r="G10622" t="s">
        <v>20</v>
      </c>
      <c r="H10622" t="s">
        <v>21</v>
      </c>
      <c r="I10622" t="s">
        <v>21009</v>
      </c>
      <c r="J10622" t="str">
        <f>HYPERLINK("https://www.boe.es/gazeta/dias/1823/08/02/pdfs/GES-1823-114.pdf#page=4","Abrir facsímil")</f>
        <v>Abrir facsímil</v>
      </c>
      <c r="K10622" t="s">
        <v>23</v>
      </c>
    </row>
    <row r="10623" spans="1:11" ht="42" customHeight="1">
      <c r="A10623" t="s">
        <v>21001</v>
      </c>
      <c r="B10623" t="s">
        <v>21002</v>
      </c>
      <c r="C10623" t="s">
        <v>17</v>
      </c>
      <c r="D10623" t="s">
        <v>18</v>
      </c>
      <c r="E10623" s="6">
        <v>-27873</v>
      </c>
      <c r="F10623" t="s">
        <v>160</v>
      </c>
      <c r="G10623" t="s">
        <v>48</v>
      </c>
      <c r="H10623" t="s">
        <v>21</v>
      </c>
      <c r="I10623" t="s">
        <v>21010</v>
      </c>
      <c r="J10623" t="str">
        <f>HYPERLINK("https://www.boe.es/gazeta/dias/1823/09/07/pdfs/GES-1823-151.pdf#page=3","Abrir facsímil")</f>
        <v>Abrir facsímil</v>
      </c>
      <c r="K10623" t="s">
        <v>23</v>
      </c>
    </row>
    <row r="10624" spans="1:11" ht="42" customHeight="1">
      <c r="A10624" t="s">
        <v>21001</v>
      </c>
      <c r="B10624" t="s">
        <v>21002</v>
      </c>
      <c r="C10624" t="s">
        <v>109</v>
      </c>
      <c r="D10624" t="s">
        <v>74</v>
      </c>
      <c r="E10624" s="6">
        <v>-27860</v>
      </c>
      <c r="F10624" t="s">
        <v>744</v>
      </c>
      <c r="G10624" t="s">
        <v>745</v>
      </c>
      <c r="H10624" t="s">
        <v>21</v>
      </c>
      <c r="I10624" t="s">
        <v>21011</v>
      </c>
      <c r="J10624" t="str">
        <f>HYPERLINK("https://www.boe.es/gazeta/dias/1823/09/20/pdfs/GES-1823-164.pdf#page=2","Abrir facsímil")</f>
        <v>Abrir facsímil</v>
      </c>
      <c r="K10624" t="s">
        <v>23</v>
      </c>
    </row>
    <row r="10625" spans="1:11" ht="42" customHeight="1">
      <c r="A10625" t="s">
        <v>21001</v>
      </c>
      <c r="B10625" t="s">
        <v>21002</v>
      </c>
      <c r="C10625" t="s">
        <v>17</v>
      </c>
      <c r="D10625" t="s">
        <v>18</v>
      </c>
      <c r="E10625" s="6">
        <v>-27827</v>
      </c>
      <c r="F10625" t="s">
        <v>531</v>
      </c>
      <c r="G10625" t="s">
        <v>27</v>
      </c>
      <c r="H10625" t="s">
        <v>21</v>
      </c>
      <c r="I10625" t="s">
        <v>21012</v>
      </c>
      <c r="J10625" t="str">
        <f>HYPERLINK("https://www.boe.es/gazeta/dias/1823/10/23/pdfs/GMD-1823-1013.pdf#page=2","Abrir facsímil")</f>
        <v>Abrir facsímil</v>
      </c>
      <c r="K10625" t="s">
        <v>23</v>
      </c>
    </row>
    <row r="10626" spans="1:11" ht="42" customHeight="1">
      <c r="A10626" t="s">
        <v>21013</v>
      </c>
      <c r="B10626" t="s">
        <v>21014</v>
      </c>
      <c r="C10626" t="s">
        <v>17</v>
      </c>
      <c r="D10626" t="s">
        <v>18</v>
      </c>
      <c r="E10626" s="6">
        <v>-27931</v>
      </c>
      <c r="F10626" t="s">
        <v>1833</v>
      </c>
      <c r="G10626" t="s">
        <v>20</v>
      </c>
      <c r="H10626" t="s">
        <v>28</v>
      </c>
      <c r="I10626" t="s">
        <v>21015</v>
      </c>
      <c r="J10626" t="str">
        <f>HYPERLINK("https://www.boe.es/gazeta/dias/1823/07/11/pdfs/GES-1823-91.pdf#page=4","Abrir facsímil")</f>
        <v>Abrir facsímil</v>
      </c>
      <c r="K10626" t="s">
        <v>30</v>
      </c>
    </row>
    <row r="10627" spans="1:11" ht="42" customHeight="1">
      <c r="A10627" t="s">
        <v>21016</v>
      </c>
      <c r="B10627" t="s">
        <v>21017</v>
      </c>
      <c r="C10627" t="s">
        <v>56</v>
      </c>
      <c r="D10627" t="s">
        <v>57</v>
      </c>
      <c r="E10627" s="6">
        <v>-28048</v>
      </c>
      <c r="F10627" t="s">
        <v>399</v>
      </c>
      <c r="G10627" t="s">
        <v>34</v>
      </c>
      <c r="H10627" t="s">
        <v>21</v>
      </c>
      <c r="I10627" t="s">
        <v>21018</v>
      </c>
      <c r="J10627" t="str">
        <f>HYPERLINK("https://www.boe.es/gazeta/dias/1823/03/16/pdfs/GMD-1823-79.pdf#page=5","Abrir facsímil")</f>
        <v>Abrir facsímil</v>
      </c>
      <c r="K10627" t="s">
        <v>23</v>
      </c>
    </row>
    <row r="10628" spans="1:11" ht="42" customHeight="1">
      <c r="A10628" t="s">
        <v>21019</v>
      </c>
      <c r="B10628" t="s">
        <v>21020</v>
      </c>
      <c r="C10628" t="s">
        <v>17</v>
      </c>
      <c r="D10628" t="s">
        <v>18</v>
      </c>
      <c r="E10628" s="6">
        <v>-27919</v>
      </c>
      <c r="F10628" t="s">
        <v>361</v>
      </c>
      <c r="G10628" t="s">
        <v>20</v>
      </c>
      <c r="H10628" t="s">
        <v>21</v>
      </c>
      <c r="I10628" t="s">
        <v>21021</v>
      </c>
      <c r="J10628" t="str">
        <f>HYPERLINK("https://www.boe.es/gazeta/dias/1823/07/23/pdfs/GES-1823-104.pdf#page=4","Abrir facsímil")</f>
        <v>Abrir facsímil</v>
      </c>
      <c r="K10628" t="s">
        <v>23</v>
      </c>
    </row>
    <row r="10629" spans="1:11" ht="42" customHeight="1">
      <c r="A10629" t="s">
        <v>21016</v>
      </c>
      <c r="B10629" t="s">
        <v>21017</v>
      </c>
      <c r="C10629" t="s">
        <v>79</v>
      </c>
      <c r="D10629" t="s">
        <v>74</v>
      </c>
      <c r="E10629" s="6">
        <v>-27913</v>
      </c>
      <c r="F10629" t="s">
        <v>821</v>
      </c>
      <c r="G10629" t="s">
        <v>20</v>
      </c>
      <c r="H10629" t="s">
        <v>21</v>
      </c>
      <c r="I10629" t="s">
        <v>21022</v>
      </c>
      <c r="J10629" t="str">
        <f>HYPERLINK("https://www.boe.es/gazeta/dias/1823/07/29/pdfs/GES-1823-110.pdf#page=4","Abrir facsímil")</f>
        <v>Abrir facsímil</v>
      </c>
      <c r="K10629" t="s">
        <v>23</v>
      </c>
    </row>
    <row r="10630" spans="1:11" ht="42" customHeight="1">
      <c r="A10630" t="s">
        <v>21019</v>
      </c>
      <c r="B10630" t="s">
        <v>21020</v>
      </c>
      <c r="C10630" t="s">
        <v>56</v>
      </c>
      <c r="D10630" t="s">
        <v>57</v>
      </c>
      <c r="E10630" s="6">
        <v>-27907</v>
      </c>
      <c r="F10630" t="s">
        <v>370</v>
      </c>
      <c r="G10630" t="s">
        <v>20</v>
      </c>
      <c r="H10630" t="s">
        <v>21</v>
      </c>
      <c r="I10630" t="s">
        <v>21023</v>
      </c>
      <c r="J10630" t="str">
        <f>HYPERLINK("https://www.boe.es/gazeta/dias/1823/08/04/pdfs/GES-1823-116.pdf#page=4","Abrir facsímil")</f>
        <v>Abrir facsímil</v>
      </c>
      <c r="K10630" t="s">
        <v>23</v>
      </c>
    </row>
    <row r="10631" spans="1:11" ht="42" customHeight="1">
      <c r="A10631" t="s">
        <v>21019</v>
      </c>
      <c r="B10631" t="s">
        <v>21020</v>
      </c>
      <c r="C10631" t="s">
        <v>17</v>
      </c>
      <c r="D10631" t="s">
        <v>18</v>
      </c>
      <c r="E10631" s="6">
        <v>-27906</v>
      </c>
      <c r="F10631" t="s">
        <v>241</v>
      </c>
      <c r="G10631" t="s">
        <v>59</v>
      </c>
      <c r="H10631" t="s">
        <v>21</v>
      </c>
      <c r="I10631" t="s">
        <v>21024</v>
      </c>
      <c r="J10631" t="str">
        <f>HYPERLINK("https://www.boe.es/gazeta/dias/1823/08/05/pdfs/GES-1823-117.pdf#page=6","Abrir facsímil")</f>
        <v>Abrir facsímil</v>
      </c>
      <c r="K10631" t="s">
        <v>23</v>
      </c>
    </row>
    <row r="10632" spans="1:11" ht="42" customHeight="1">
      <c r="A10632" t="s">
        <v>21019</v>
      </c>
      <c r="B10632" t="s">
        <v>21020</v>
      </c>
      <c r="C10632" t="s">
        <v>56</v>
      </c>
      <c r="D10632" t="s">
        <v>57</v>
      </c>
      <c r="E10632" s="6">
        <v>-27901</v>
      </c>
      <c r="F10632" t="s">
        <v>840</v>
      </c>
      <c r="G10632" t="s">
        <v>20</v>
      </c>
      <c r="H10632" t="s">
        <v>21</v>
      </c>
      <c r="I10632" t="s">
        <v>21025</v>
      </c>
      <c r="J10632" t="str">
        <f>HYPERLINK("https://www.boe.es/gazeta/dias/1823/08/10/pdfs/GES-1823-123.pdf#page=4","Abrir facsímil")</f>
        <v>Abrir facsímil</v>
      </c>
      <c r="K10632" t="s">
        <v>23</v>
      </c>
    </row>
    <row r="10633" spans="1:11" ht="42" customHeight="1">
      <c r="A10633" t="s">
        <v>21019</v>
      </c>
      <c r="B10633" t="s">
        <v>21020</v>
      </c>
      <c r="C10633" t="s">
        <v>56</v>
      </c>
      <c r="D10633" t="s">
        <v>57</v>
      </c>
      <c r="E10633" s="6">
        <v>-27899</v>
      </c>
      <c r="F10633" t="s">
        <v>2172</v>
      </c>
      <c r="G10633" t="s">
        <v>20</v>
      </c>
      <c r="H10633" t="s">
        <v>21</v>
      </c>
      <c r="I10633" t="s">
        <v>21026</v>
      </c>
      <c r="J10633" t="str">
        <f>HYPERLINK("https://www.boe.es/gazeta/dias/1823/08/12/pdfs/GES-1823-125.pdf#page=4","Abrir facsímil")</f>
        <v>Abrir facsímil</v>
      </c>
      <c r="K10633" t="s">
        <v>23</v>
      </c>
    </row>
    <row r="10634" spans="1:11" ht="42" customHeight="1">
      <c r="A10634" t="s">
        <v>21027</v>
      </c>
      <c r="B10634" t="s">
        <v>21028</v>
      </c>
      <c r="C10634" t="s">
        <v>56</v>
      </c>
      <c r="D10634" t="s">
        <v>57</v>
      </c>
      <c r="E10634" s="6">
        <v>-27898</v>
      </c>
      <c r="F10634" t="s">
        <v>5169</v>
      </c>
      <c r="G10634" t="s">
        <v>20</v>
      </c>
      <c r="H10634" t="s">
        <v>21</v>
      </c>
      <c r="I10634" t="s">
        <v>21029</v>
      </c>
      <c r="J10634" t="str">
        <f>HYPERLINK("https://www.boe.es/gazeta/dias/1823/08/13/pdfs/GES-1823-126.pdf#page=4","Abrir facsímil")</f>
        <v>Abrir facsímil</v>
      </c>
      <c r="K10634" t="s">
        <v>23</v>
      </c>
    </row>
    <row r="10635" spans="1:11" ht="42" customHeight="1">
      <c r="A10635" t="s">
        <v>21019</v>
      </c>
      <c r="B10635" t="s">
        <v>21020</v>
      </c>
      <c r="C10635" t="s">
        <v>17</v>
      </c>
      <c r="D10635" t="s">
        <v>18</v>
      </c>
      <c r="E10635" s="6">
        <v>-27891</v>
      </c>
      <c r="F10635" t="s">
        <v>825</v>
      </c>
      <c r="G10635" t="s">
        <v>20</v>
      </c>
      <c r="H10635" t="s">
        <v>21</v>
      </c>
      <c r="I10635" t="s">
        <v>21030</v>
      </c>
      <c r="J10635" t="str">
        <f>HYPERLINK("https://www.boe.es/gazeta/dias/1823/08/20/pdfs/GES-1823-133.pdf#page=4","Abrir facsímil")</f>
        <v>Abrir facsímil</v>
      </c>
      <c r="K10635" t="s">
        <v>23</v>
      </c>
    </row>
    <row r="10636" spans="1:11" ht="42" customHeight="1">
      <c r="A10636" t="s">
        <v>21019</v>
      </c>
      <c r="B10636" t="s">
        <v>21020</v>
      </c>
      <c r="C10636" t="s">
        <v>56</v>
      </c>
      <c r="D10636" t="s">
        <v>57</v>
      </c>
      <c r="E10636" s="6">
        <v>-27879</v>
      </c>
      <c r="F10636" t="s">
        <v>638</v>
      </c>
      <c r="G10636" t="s">
        <v>20</v>
      </c>
      <c r="H10636" t="s">
        <v>21</v>
      </c>
      <c r="I10636" t="s">
        <v>21031</v>
      </c>
      <c r="J10636" t="str">
        <f>HYPERLINK("https://www.boe.es/gazeta/dias/1823/09/01/pdfs/GES-1823-145.pdf#page=4","Abrir facsímil")</f>
        <v>Abrir facsímil</v>
      </c>
      <c r="K10636" t="s">
        <v>23</v>
      </c>
    </row>
    <row r="10637" spans="1:11" ht="42" customHeight="1">
      <c r="A10637" t="s">
        <v>21032</v>
      </c>
      <c r="B10637" t="s">
        <v>21033</v>
      </c>
      <c r="C10637" t="s">
        <v>79</v>
      </c>
      <c r="D10637" t="s">
        <v>74</v>
      </c>
      <c r="E10637" s="6">
        <v>-27907</v>
      </c>
      <c r="F10637" t="s">
        <v>370</v>
      </c>
      <c r="G10637" t="s">
        <v>20</v>
      </c>
      <c r="H10637" t="s">
        <v>21</v>
      </c>
      <c r="I10637" t="s">
        <v>21034</v>
      </c>
      <c r="J10637" t="str">
        <f>HYPERLINK("https://www.boe.es/gazeta/dias/1823/08/04/pdfs/GES-1823-116.pdf#page=4","Abrir facsímil")</f>
        <v>Abrir facsímil</v>
      </c>
      <c r="K10637" t="s">
        <v>23</v>
      </c>
    </row>
    <row r="10638" spans="1:11" ht="42" customHeight="1">
      <c r="A10638" t="s">
        <v>21035</v>
      </c>
      <c r="B10638" t="s">
        <v>21036</v>
      </c>
      <c r="C10638" t="s">
        <v>17</v>
      </c>
      <c r="D10638" t="s">
        <v>18</v>
      </c>
      <c r="E10638" s="6">
        <v>-28105</v>
      </c>
      <c r="F10638" t="s">
        <v>502</v>
      </c>
      <c r="G10638" t="s">
        <v>20</v>
      </c>
      <c r="H10638" t="s">
        <v>21</v>
      </c>
      <c r="I10638" t="s">
        <v>21037</v>
      </c>
      <c r="J10638" t="str">
        <f>HYPERLINK("https://www.boe.es/gazeta/dias/1823/01/18/pdfs/GMD-1823-18.pdf#page=4","Abrir facsímil")</f>
        <v>Abrir facsímil</v>
      </c>
      <c r="K10638" t="s">
        <v>23</v>
      </c>
    </row>
    <row r="10639" spans="1:11" ht="42" customHeight="1">
      <c r="A10639" t="s">
        <v>21035</v>
      </c>
      <c r="B10639" t="s">
        <v>21036</v>
      </c>
      <c r="C10639" t="s">
        <v>17</v>
      </c>
      <c r="D10639" t="s">
        <v>18</v>
      </c>
      <c r="E10639" s="6">
        <v>-28013</v>
      </c>
      <c r="F10639" t="s">
        <v>2466</v>
      </c>
      <c r="G10639" t="s">
        <v>4093</v>
      </c>
      <c r="H10639" t="s">
        <v>21</v>
      </c>
      <c r="I10639" t="s">
        <v>21038</v>
      </c>
      <c r="J10639" t="str">
        <f>HYPERLINK("https://www.boe.es/gazeta/dias/1823/04/20/pdfs/GES-1823-10.pdf#page=4","Abrir facsímil")</f>
        <v>Abrir facsímil</v>
      </c>
      <c r="K10639" t="s">
        <v>23</v>
      </c>
    </row>
    <row r="10640" spans="1:11" ht="42" customHeight="1">
      <c r="A10640" t="s">
        <v>21039</v>
      </c>
      <c r="B10640" t="s">
        <v>21040</v>
      </c>
      <c r="C10640" t="s">
        <v>17</v>
      </c>
      <c r="D10640" t="s">
        <v>18</v>
      </c>
      <c r="E10640" s="6">
        <v>-27875</v>
      </c>
      <c r="F10640" t="s">
        <v>1858</v>
      </c>
      <c r="G10640" t="s">
        <v>2437</v>
      </c>
      <c r="H10640" t="s">
        <v>21</v>
      </c>
      <c r="I10640" t="s">
        <v>21041</v>
      </c>
      <c r="J10640" t="str">
        <f>HYPERLINK("https://www.boe.es/gazeta/dias/1823/09/05/pdfs/GES-1823-149.pdf#page=2","Abrir facsímil")</f>
        <v>Abrir facsímil</v>
      </c>
      <c r="K10640" t="s">
        <v>23</v>
      </c>
    </row>
    <row r="10641" spans="1:11" ht="42" customHeight="1">
      <c r="A10641" t="s">
        <v>21039</v>
      </c>
      <c r="B10641" t="s">
        <v>21040</v>
      </c>
      <c r="C10641" t="s">
        <v>17</v>
      </c>
      <c r="D10641" t="s">
        <v>18</v>
      </c>
      <c r="E10641" s="6">
        <v>-27875</v>
      </c>
      <c r="F10641" t="s">
        <v>1858</v>
      </c>
      <c r="G10641" t="s">
        <v>39</v>
      </c>
      <c r="H10641" t="s">
        <v>21</v>
      </c>
      <c r="I10641" t="s">
        <v>21042</v>
      </c>
      <c r="J10641" t="str">
        <f>HYPERLINK("https://www.boe.es/gazeta/dias/1823/09/05/pdfs/GES-1823-149.pdf#page=1","Abrir facsímil")</f>
        <v>Abrir facsímil</v>
      </c>
      <c r="K10641" t="s">
        <v>23</v>
      </c>
    </row>
    <row r="10642" spans="1:11" ht="42" customHeight="1">
      <c r="A10642" t="s">
        <v>21039</v>
      </c>
      <c r="B10642" t="s">
        <v>21040</v>
      </c>
      <c r="C10642" t="s">
        <v>17</v>
      </c>
      <c r="D10642" t="s">
        <v>18</v>
      </c>
      <c r="E10642" s="6">
        <v>-27874</v>
      </c>
      <c r="F10642" t="s">
        <v>1410</v>
      </c>
      <c r="G10642" t="s">
        <v>27</v>
      </c>
      <c r="H10642" t="s">
        <v>21</v>
      </c>
      <c r="I10642" t="s">
        <v>21043</v>
      </c>
      <c r="J10642" t="str">
        <f>HYPERLINK("https://www.boe.es/gazeta/dias/1823/09/06/pdfs/GES-1823-150.pdf#page=2","Abrir facsímil")</f>
        <v>Abrir facsímil</v>
      </c>
      <c r="K10642" t="s">
        <v>23</v>
      </c>
    </row>
    <row r="10643" spans="1:11" ht="42" customHeight="1">
      <c r="A10643" t="s">
        <v>21039</v>
      </c>
      <c r="B10643" t="s">
        <v>21040</v>
      </c>
      <c r="C10643" t="s">
        <v>17</v>
      </c>
      <c r="D10643" t="s">
        <v>18</v>
      </c>
      <c r="E10643" s="6">
        <v>-27864</v>
      </c>
      <c r="F10643" t="s">
        <v>1301</v>
      </c>
      <c r="G10643" t="s">
        <v>27</v>
      </c>
      <c r="H10643" t="s">
        <v>21</v>
      </c>
      <c r="I10643" t="s">
        <v>21044</v>
      </c>
      <c r="J10643" t="str">
        <f>HYPERLINK("https://www.boe.es/gazeta/dias/1823/09/16/pdfs/GES-1823-160.pdf#page=2","Abrir facsímil")</f>
        <v>Abrir facsímil</v>
      </c>
      <c r="K10643" t="s">
        <v>23</v>
      </c>
    </row>
    <row r="10644" spans="1:11" ht="42" customHeight="1">
      <c r="A10644" t="s">
        <v>21045</v>
      </c>
      <c r="B10644" t="s">
        <v>21046</v>
      </c>
      <c r="C10644" t="s">
        <v>17</v>
      </c>
      <c r="D10644" t="s">
        <v>18</v>
      </c>
      <c r="E10644" s="6">
        <v>-27995</v>
      </c>
      <c r="F10644" t="s">
        <v>326</v>
      </c>
      <c r="G10644" t="s">
        <v>39</v>
      </c>
      <c r="H10644" t="s">
        <v>21</v>
      </c>
      <c r="I10644" t="s">
        <v>21047</v>
      </c>
      <c r="J10644" t="str">
        <f>HYPERLINK("https://www.boe.es/gazeta/dias/1823/05/08/pdfs/GMD-1823-112.pdf#page=1","Abrir facsímil")</f>
        <v>Abrir facsímil</v>
      </c>
      <c r="K10644" t="s">
        <v>23</v>
      </c>
    </row>
    <row r="10645" spans="1:11" ht="42" customHeight="1">
      <c r="A10645" t="s">
        <v>21048</v>
      </c>
      <c r="B10645" t="s">
        <v>21049</v>
      </c>
      <c r="C10645" t="s">
        <v>17</v>
      </c>
      <c r="D10645" t="s">
        <v>18</v>
      </c>
      <c r="E10645" s="6">
        <v>-28073</v>
      </c>
      <c r="F10645" t="s">
        <v>204</v>
      </c>
      <c r="G10645" t="s">
        <v>27</v>
      </c>
      <c r="H10645" t="s">
        <v>21</v>
      </c>
      <c r="I10645" t="s">
        <v>21050</v>
      </c>
      <c r="J10645" t="str">
        <f>HYPERLINK("https://www.boe.es/gazeta/dias/1823/02/19/pdfs/GMD-1823-53.pdf#page=2","Abrir facsímil")</f>
        <v>Abrir facsímil</v>
      </c>
      <c r="K10645" t="s">
        <v>23</v>
      </c>
    </row>
    <row r="10646" spans="1:11" ht="42" customHeight="1">
      <c r="A10646" t="s">
        <v>21051</v>
      </c>
      <c r="B10646" t="s">
        <v>21052</v>
      </c>
      <c r="C10646" t="s">
        <v>17</v>
      </c>
      <c r="D10646" t="s">
        <v>18</v>
      </c>
      <c r="E10646" s="6">
        <v>-27863</v>
      </c>
      <c r="F10646" t="s">
        <v>651</v>
      </c>
      <c r="G10646" t="s">
        <v>39</v>
      </c>
      <c r="H10646" t="s">
        <v>28</v>
      </c>
      <c r="I10646" t="s">
        <v>21053</v>
      </c>
      <c r="J10646" t="str">
        <f>HYPERLINK("https://www.boe.es/gazeta/dias/1823/09/17/pdfs/GES-1823-161.pdf#page=1","Abrir facsímil")</f>
        <v>Abrir facsímil</v>
      </c>
      <c r="K10646" t="s">
        <v>30</v>
      </c>
    </row>
    <row r="10647" spans="1:11" ht="42" customHeight="1">
      <c r="A10647" t="s">
        <v>21054</v>
      </c>
      <c r="B10647" t="s">
        <v>21055</v>
      </c>
      <c r="C10647" t="s">
        <v>17</v>
      </c>
      <c r="D10647" t="s">
        <v>18</v>
      </c>
      <c r="E10647" s="6">
        <v>-27773</v>
      </c>
      <c r="F10647" t="s">
        <v>513</v>
      </c>
      <c r="G10647" t="s">
        <v>20</v>
      </c>
      <c r="H10647" t="s">
        <v>21</v>
      </c>
      <c r="I10647" t="s">
        <v>21056</v>
      </c>
      <c r="J10647" t="str">
        <f>HYPERLINK("https://www.boe.es/gazeta/dias/1823/12/16/pdfs/GMD-1823-1253.pdf#page=4","Abrir facsímil")</f>
        <v>Abrir facsímil</v>
      </c>
      <c r="K10647" t="s">
        <v>23</v>
      </c>
    </row>
    <row r="10648" spans="1:11" ht="42" customHeight="1">
      <c r="A10648" t="s">
        <v>21057</v>
      </c>
      <c r="B10648" t="s">
        <v>21058</v>
      </c>
      <c r="C10648" t="s">
        <v>17</v>
      </c>
      <c r="D10648" t="s">
        <v>18</v>
      </c>
      <c r="E10648" s="6">
        <v>-27918</v>
      </c>
      <c r="F10648" t="s">
        <v>3181</v>
      </c>
      <c r="G10648" t="s">
        <v>20</v>
      </c>
      <c r="H10648" t="s">
        <v>21</v>
      </c>
      <c r="I10648" t="s">
        <v>21059</v>
      </c>
      <c r="J10648" t="str">
        <f>HYPERLINK("https://www.boe.es/gazeta/dias/1823/07/24/pdfs/GES-1823-105.pdf#page=4","Abrir facsímil")</f>
        <v>Abrir facsímil</v>
      </c>
      <c r="K10648" t="s">
        <v>23</v>
      </c>
    </row>
    <row r="10649" spans="1:11" ht="42" customHeight="1">
      <c r="A10649" t="s">
        <v>21060</v>
      </c>
      <c r="B10649" t="s">
        <v>21060</v>
      </c>
      <c r="C10649" t="s">
        <v>325</v>
      </c>
      <c r="D10649" t="s">
        <v>74</v>
      </c>
      <c r="E10649" s="6">
        <v>-27920</v>
      </c>
      <c r="F10649" t="s">
        <v>1334</v>
      </c>
      <c r="G10649" t="s">
        <v>715</v>
      </c>
      <c r="H10649" t="s">
        <v>21</v>
      </c>
      <c r="I10649" t="s">
        <v>21061</v>
      </c>
      <c r="J10649" t="str">
        <f>HYPERLINK("https://www.boe.es/gazeta/dias/1823/07/22/pdfs/GMD-1823-443.pdf#page=8","Abrir facsímil")</f>
        <v>Abrir facsímil</v>
      </c>
      <c r="K10649" t="s">
        <v>23</v>
      </c>
    </row>
    <row r="10650" spans="1:11" ht="42" customHeight="1">
      <c r="A10650" t="s">
        <v>21062</v>
      </c>
      <c r="B10650" t="s">
        <v>21062</v>
      </c>
      <c r="C10650" t="s">
        <v>17</v>
      </c>
      <c r="D10650" t="s">
        <v>18</v>
      </c>
      <c r="E10650" s="6">
        <v>-27877</v>
      </c>
      <c r="F10650" t="s">
        <v>844</v>
      </c>
      <c r="G10650" t="s">
        <v>20</v>
      </c>
      <c r="H10650" t="s">
        <v>21</v>
      </c>
      <c r="I10650" t="s">
        <v>21063</v>
      </c>
      <c r="J10650" t="str">
        <f>HYPERLINK("https://www.boe.es/gazeta/dias/1823/09/03/pdfs/GES-1823-147.pdf#page=4","Abrir facsímil")</f>
        <v>Abrir facsímil</v>
      </c>
      <c r="K10650" t="s">
        <v>23</v>
      </c>
    </row>
    <row r="10651" spans="1:11" ht="42" customHeight="1">
      <c r="A10651" t="s">
        <v>21064</v>
      </c>
      <c r="B10651" t="s">
        <v>21065</v>
      </c>
      <c r="C10651" t="s">
        <v>79</v>
      </c>
      <c r="D10651" t="s">
        <v>74</v>
      </c>
      <c r="E10651" s="6">
        <v>-27848</v>
      </c>
      <c r="F10651" t="s">
        <v>1083</v>
      </c>
      <c r="G10651" t="s">
        <v>27</v>
      </c>
      <c r="H10651" t="s">
        <v>21</v>
      </c>
      <c r="I10651" t="s">
        <v>21066</v>
      </c>
      <c r="J10651" t="str">
        <f>HYPERLINK("https://www.boe.es/gazeta/dias/1823/10/02/pdfs/GES-1823-176.pdf#page=2","Abrir facsímil")</f>
        <v>Abrir facsímil</v>
      </c>
      <c r="K10651" t="s">
        <v>23</v>
      </c>
    </row>
    <row r="10652" spans="1:11" ht="42" customHeight="1">
      <c r="A10652" t="s">
        <v>21067</v>
      </c>
      <c r="B10652" t="s">
        <v>21067</v>
      </c>
      <c r="C10652" t="s">
        <v>109</v>
      </c>
      <c r="D10652" t="s">
        <v>74</v>
      </c>
      <c r="E10652" s="6">
        <v>-27999</v>
      </c>
      <c r="F10652" t="s">
        <v>97</v>
      </c>
      <c r="G10652" t="s">
        <v>39</v>
      </c>
      <c r="H10652" t="s">
        <v>21</v>
      </c>
      <c r="I10652" t="s">
        <v>21068</v>
      </c>
      <c r="J10652" t="str">
        <f>HYPERLINK("https://www.boe.es/gazeta/dias/1823/05/04/pdfs/GES-1823-24.pdf#page=1","Abrir facsímil")</f>
        <v>Abrir facsímil</v>
      </c>
      <c r="K10652" t="s">
        <v>23</v>
      </c>
    </row>
    <row r="10653" spans="1:11" ht="42" customHeight="1">
      <c r="A10653" t="s">
        <v>21069</v>
      </c>
      <c r="B10653" t="s">
        <v>21070</v>
      </c>
      <c r="C10653" t="s">
        <v>84</v>
      </c>
      <c r="D10653" t="s">
        <v>74</v>
      </c>
      <c r="E10653" s="6">
        <v>-28059</v>
      </c>
      <c r="F10653" t="s">
        <v>149</v>
      </c>
      <c r="G10653" t="s">
        <v>20</v>
      </c>
      <c r="H10653" t="s">
        <v>21</v>
      </c>
      <c r="I10653" t="s">
        <v>21071</v>
      </c>
      <c r="J10653" t="str">
        <f>HYPERLINK("https://www.boe.es/gazeta/dias/1823/03/05/pdfs/GMD-1823-68.pdf#page=4","Abrir facsímil")</f>
        <v>Abrir facsímil</v>
      </c>
      <c r="K10653" t="s">
        <v>23</v>
      </c>
    </row>
    <row r="10654" spans="1:11" ht="42" customHeight="1">
      <c r="A10654" t="s">
        <v>21072</v>
      </c>
      <c r="B10654" t="s">
        <v>21072</v>
      </c>
      <c r="C10654" t="s">
        <v>325</v>
      </c>
      <c r="D10654" t="s">
        <v>74</v>
      </c>
      <c r="E10654" s="6">
        <v>-28037</v>
      </c>
      <c r="F10654" t="s">
        <v>192</v>
      </c>
      <c r="G10654" t="s">
        <v>20</v>
      </c>
      <c r="H10654" t="s">
        <v>21</v>
      </c>
      <c r="I10654" t="s">
        <v>21073</v>
      </c>
      <c r="J10654" t="str">
        <f>HYPERLINK("https://www.boe.es/gazeta/dias/1823/03/27/pdfs/GMD-1823-90.pdf#page=4","Abrir facsímil")</f>
        <v>Abrir facsímil</v>
      </c>
      <c r="K10654" t="s">
        <v>23</v>
      </c>
    </row>
    <row r="10655" spans="1:11" ht="42" customHeight="1">
      <c r="A10655" t="s">
        <v>21074</v>
      </c>
      <c r="B10655" t="s">
        <v>21074</v>
      </c>
      <c r="C10655" t="s">
        <v>17</v>
      </c>
      <c r="D10655" t="s">
        <v>18</v>
      </c>
      <c r="E10655" s="6">
        <v>-27864</v>
      </c>
      <c r="F10655" t="s">
        <v>1301</v>
      </c>
      <c r="G10655" t="s">
        <v>1302</v>
      </c>
      <c r="H10655" t="s">
        <v>21</v>
      </c>
      <c r="I10655" t="s">
        <v>21075</v>
      </c>
      <c r="J10655" t="str">
        <f>HYPERLINK("https://www.boe.es/gazeta/dias/1823/09/16/pdfs/GES-1823-160.pdf#page=1","Abrir facsímil")</f>
        <v>Abrir facsímil</v>
      </c>
      <c r="K10655" t="s">
        <v>23</v>
      </c>
    </row>
    <row r="10656" spans="1:11" ht="42" customHeight="1">
      <c r="A10656" t="s">
        <v>21076</v>
      </c>
      <c r="B10656" t="s">
        <v>21077</v>
      </c>
      <c r="C10656" t="s">
        <v>17</v>
      </c>
      <c r="D10656" t="s">
        <v>18</v>
      </c>
      <c r="E10656" s="6">
        <v>-27937</v>
      </c>
      <c r="F10656" t="s">
        <v>730</v>
      </c>
      <c r="G10656" t="s">
        <v>39</v>
      </c>
      <c r="H10656" t="s">
        <v>21</v>
      </c>
      <c r="I10656" t="s">
        <v>21078</v>
      </c>
      <c r="J10656" t="str">
        <f>HYPERLINK("https://www.boe.es/gazeta/dias/1823/07/05/pdfs/GES-1823-85.pdf#page=1","Abrir facsímil")</f>
        <v>Abrir facsímil</v>
      </c>
      <c r="K10656" t="s">
        <v>23</v>
      </c>
    </row>
    <row r="10657" spans="1:11" ht="42" customHeight="1">
      <c r="A10657" t="s">
        <v>21079</v>
      </c>
      <c r="B10657" t="s">
        <v>21080</v>
      </c>
      <c r="C10657" t="s">
        <v>17</v>
      </c>
      <c r="D10657" t="s">
        <v>18</v>
      </c>
      <c r="E10657" s="6">
        <v>-27993</v>
      </c>
      <c r="F10657" t="s">
        <v>977</v>
      </c>
      <c r="G10657" t="s">
        <v>978</v>
      </c>
      <c r="H10657" t="s">
        <v>21</v>
      </c>
      <c r="I10657" t="s">
        <v>21081</v>
      </c>
      <c r="J10657" t="str">
        <f>HYPERLINK("https://www.boe.es/gazeta/dias/1823/05/10/pdfs/GES-1823-30.pdf#page=4","Abrir facsímil")</f>
        <v>Abrir facsímil</v>
      </c>
      <c r="K10657" t="s">
        <v>23</v>
      </c>
    </row>
    <row r="10658" spans="1:11" ht="42" customHeight="1">
      <c r="A10658" t="s">
        <v>21082</v>
      </c>
      <c r="B10658" t="s">
        <v>21083</v>
      </c>
      <c r="C10658" t="s">
        <v>84</v>
      </c>
      <c r="D10658" t="s">
        <v>74</v>
      </c>
      <c r="E10658" s="6">
        <v>-28116</v>
      </c>
      <c r="F10658" t="s">
        <v>134</v>
      </c>
      <c r="G10658" t="s">
        <v>59</v>
      </c>
      <c r="H10658" t="s">
        <v>28</v>
      </c>
      <c r="I10658" t="s">
        <v>21084</v>
      </c>
      <c r="J10658" t="str">
        <f>HYPERLINK("https://www.boe.es/gazeta/dias/1823/01/07/pdfs/GMD-1823-7.pdf#page=6","Abrir facsímil")</f>
        <v>Abrir facsímil</v>
      </c>
      <c r="K10658" t="s">
        <v>30</v>
      </c>
    </row>
    <row r="10659" spans="1:11" ht="42" customHeight="1">
      <c r="A10659" t="s">
        <v>21085</v>
      </c>
      <c r="B10659" t="s">
        <v>21085</v>
      </c>
      <c r="C10659" t="s">
        <v>17</v>
      </c>
      <c r="D10659" t="s">
        <v>18</v>
      </c>
      <c r="E10659" s="6">
        <v>-28057</v>
      </c>
      <c r="F10659" t="s">
        <v>301</v>
      </c>
      <c r="G10659" t="s">
        <v>27</v>
      </c>
      <c r="H10659" t="s">
        <v>21</v>
      </c>
      <c r="I10659" t="s">
        <v>21086</v>
      </c>
      <c r="J10659" t="str">
        <f>HYPERLINK("https://www.boe.es/gazeta/dias/1823/03/07/pdfs/GMD-1823-70.pdf#page=2","Abrir facsímil")</f>
        <v>Abrir facsímil</v>
      </c>
      <c r="K10659" t="s">
        <v>23</v>
      </c>
    </row>
    <row r="10660" spans="1:11" ht="42" customHeight="1">
      <c r="A10660" t="s">
        <v>21087</v>
      </c>
      <c r="B10660" t="s">
        <v>21088</v>
      </c>
      <c r="C10660" t="s">
        <v>17</v>
      </c>
      <c r="D10660" t="s">
        <v>18</v>
      </c>
      <c r="E10660" s="6">
        <v>-27993</v>
      </c>
      <c r="F10660" t="s">
        <v>977</v>
      </c>
      <c r="G10660" t="s">
        <v>978</v>
      </c>
      <c r="H10660" t="s">
        <v>21</v>
      </c>
      <c r="I10660" t="s">
        <v>21089</v>
      </c>
      <c r="J10660" t="str">
        <f>HYPERLINK("https://www.boe.es/gazeta/dias/1823/05/10/pdfs/GES-1823-30.pdf#page=4","Abrir facsímil")</f>
        <v>Abrir facsímil</v>
      </c>
      <c r="K10660" t="s">
        <v>23</v>
      </c>
    </row>
    <row r="10661" spans="1:11" ht="42" customHeight="1">
      <c r="A10661" t="s">
        <v>21087</v>
      </c>
      <c r="B10661" t="s">
        <v>21088</v>
      </c>
      <c r="C10661" t="s">
        <v>17</v>
      </c>
      <c r="D10661" t="s">
        <v>18</v>
      </c>
      <c r="E10661" s="6">
        <v>-27982</v>
      </c>
      <c r="F10661" t="s">
        <v>340</v>
      </c>
      <c r="G10661" t="s">
        <v>590</v>
      </c>
      <c r="H10661" t="s">
        <v>21</v>
      </c>
      <c r="I10661" t="s">
        <v>21090</v>
      </c>
      <c r="J10661" t="str">
        <f>HYPERLINK("https://www.boe.es/gazeta/dias/1823/05/21/pdfs/GES-1823-42.pdf#page=5","Abrir facsímil")</f>
        <v>Abrir facsímil</v>
      </c>
      <c r="K10661" t="s">
        <v>23</v>
      </c>
    </row>
    <row r="10662" spans="1:11" ht="42" customHeight="1">
      <c r="A10662" t="s">
        <v>21091</v>
      </c>
      <c r="B10662" t="s">
        <v>21091</v>
      </c>
      <c r="C10662" t="s">
        <v>17</v>
      </c>
      <c r="D10662" t="s">
        <v>18</v>
      </c>
      <c r="E10662" s="6">
        <v>-27895</v>
      </c>
      <c r="F10662" t="s">
        <v>734</v>
      </c>
      <c r="G10662" t="s">
        <v>39</v>
      </c>
      <c r="H10662" t="s">
        <v>21</v>
      </c>
      <c r="I10662" t="s">
        <v>21092</v>
      </c>
      <c r="J10662" t="str">
        <f>HYPERLINK("https://www.boe.es/gazeta/dias/1823/08/16/pdfs/GES-1823-129.pdf#page=1","Abrir facsímil")</f>
        <v>Abrir facsímil</v>
      </c>
      <c r="K10662" t="s">
        <v>23</v>
      </c>
    </row>
    <row r="10663" spans="1:11" ht="42" customHeight="1">
      <c r="A10663" t="s">
        <v>21093</v>
      </c>
      <c r="B10663" t="s">
        <v>21094</v>
      </c>
      <c r="C10663" t="s">
        <v>56</v>
      </c>
      <c r="D10663" t="s">
        <v>57</v>
      </c>
      <c r="E10663" s="6">
        <v>-28073</v>
      </c>
      <c r="F10663" t="s">
        <v>204</v>
      </c>
      <c r="G10663" t="s">
        <v>27</v>
      </c>
      <c r="H10663" t="s">
        <v>21</v>
      </c>
      <c r="I10663" t="s">
        <v>21095</v>
      </c>
      <c r="J10663" t="str">
        <f>HYPERLINK("https://www.boe.es/gazeta/dias/1823/02/19/pdfs/GMD-1823-53.pdf#page=2","Abrir facsímil")</f>
        <v>Abrir facsímil</v>
      </c>
      <c r="K10663" t="s">
        <v>23</v>
      </c>
    </row>
    <row r="10664" spans="1:11" ht="42" customHeight="1">
      <c r="A10664" t="s">
        <v>21096</v>
      </c>
      <c r="B10664" t="s">
        <v>21097</v>
      </c>
      <c r="C10664" t="s">
        <v>17</v>
      </c>
      <c r="D10664" t="s">
        <v>18</v>
      </c>
      <c r="E10664" s="6">
        <v>-27917</v>
      </c>
      <c r="F10664" t="s">
        <v>363</v>
      </c>
      <c r="G10664" t="s">
        <v>20</v>
      </c>
      <c r="H10664" t="s">
        <v>21</v>
      </c>
      <c r="I10664" t="s">
        <v>21098</v>
      </c>
      <c r="J10664" t="str">
        <f>HYPERLINK("https://www.boe.es/gazeta/dias/1823/07/25/pdfs/GES-1823-106.pdf#page=4","Abrir facsímil")</f>
        <v>Abrir facsímil</v>
      </c>
      <c r="K10664" t="s">
        <v>23</v>
      </c>
    </row>
    <row r="10665" spans="1:11" ht="42" customHeight="1">
      <c r="A10665" t="s">
        <v>21099</v>
      </c>
      <c r="B10665" t="s">
        <v>21100</v>
      </c>
      <c r="C10665" t="s">
        <v>56</v>
      </c>
      <c r="D10665" t="s">
        <v>57</v>
      </c>
      <c r="E10665" s="6">
        <v>-27797</v>
      </c>
      <c r="F10665" t="s">
        <v>3409</v>
      </c>
      <c r="G10665" t="s">
        <v>20</v>
      </c>
      <c r="H10665" t="s">
        <v>21</v>
      </c>
      <c r="I10665" t="s">
        <v>21101</v>
      </c>
      <c r="J10665" t="str">
        <f>HYPERLINK("https://www.boe.es/gazeta/dias/1823/11/22/pdfs/GMD-1823-1153.pdf#page=4","Abrir facsímil")</f>
        <v>Abrir facsímil</v>
      </c>
      <c r="K10665" t="s">
        <v>23</v>
      </c>
    </row>
    <row r="10666" spans="1:11" ht="42" customHeight="1">
      <c r="A10666" t="s">
        <v>21102</v>
      </c>
      <c r="B10666" t="s">
        <v>21103</v>
      </c>
      <c r="C10666" t="s">
        <v>17</v>
      </c>
      <c r="D10666" t="s">
        <v>18</v>
      </c>
      <c r="E10666" s="6">
        <v>-28078</v>
      </c>
      <c r="F10666" t="s">
        <v>508</v>
      </c>
      <c r="G10666" t="s">
        <v>59</v>
      </c>
      <c r="H10666" t="s">
        <v>21</v>
      </c>
      <c r="I10666" t="s">
        <v>21104</v>
      </c>
      <c r="J10666" t="str">
        <f>HYPERLINK("https://www.boe.es/gazeta/dias/1823/02/14/pdfs/GMD-1823-48.pdf#page=6","Abrir facsímil")</f>
        <v>Abrir facsímil</v>
      </c>
      <c r="K10666" t="s">
        <v>23</v>
      </c>
    </row>
    <row r="10667" spans="1:11" ht="42" customHeight="1">
      <c r="A10667" t="s">
        <v>21105</v>
      </c>
      <c r="B10667" t="s">
        <v>21106</v>
      </c>
      <c r="C10667" t="s">
        <v>17</v>
      </c>
      <c r="D10667" t="s">
        <v>18</v>
      </c>
      <c r="E10667" s="6">
        <v>-27946</v>
      </c>
      <c r="F10667" t="s">
        <v>1547</v>
      </c>
      <c r="G10667" t="s">
        <v>48</v>
      </c>
      <c r="H10667" t="s">
        <v>21</v>
      </c>
      <c r="I10667" t="s">
        <v>21107</v>
      </c>
      <c r="J10667" t="str">
        <f>HYPERLINK("https://www.boe.es/gazeta/dias/1823/06/26/pdfs/GMD-1823-283.pdf#page=3","Abrir facsímil")</f>
        <v>Abrir facsímil</v>
      </c>
      <c r="K10667" t="s">
        <v>23</v>
      </c>
    </row>
    <row r="10668" spans="1:11" ht="42" customHeight="1">
      <c r="A10668" t="s">
        <v>21108</v>
      </c>
      <c r="B10668" t="s">
        <v>21109</v>
      </c>
      <c r="C10668" t="s">
        <v>56</v>
      </c>
      <c r="D10668" t="s">
        <v>57</v>
      </c>
      <c r="E10668" s="6">
        <v>-27829</v>
      </c>
      <c r="F10668" t="s">
        <v>228</v>
      </c>
      <c r="G10668" t="s">
        <v>20</v>
      </c>
      <c r="H10668" t="s">
        <v>21</v>
      </c>
      <c r="I10668" t="s">
        <v>21110</v>
      </c>
      <c r="J10668" t="str">
        <f>HYPERLINK("https://www.boe.es/gazeta/dias/1823/10/21/pdfs/GMD-1823-1003.pdf#page=4","Abrir facsímil")</f>
        <v>Abrir facsímil</v>
      </c>
      <c r="K10668" t="s">
        <v>23</v>
      </c>
    </row>
    <row r="10669" spans="1:11" ht="42" customHeight="1">
      <c r="A10669" t="s">
        <v>21111</v>
      </c>
      <c r="B10669" t="s">
        <v>21112</v>
      </c>
      <c r="C10669" t="s">
        <v>109</v>
      </c>
      <c r="D10669" t="s">
        <v>74</v>
      </c>
      <c r="E10669" s="6">
        <v>-28008</v>
      </c>
      <c r="F10669" t="s">
        <v>309</v>
      </c>
      <c r="G10669" t="s">
        <v>27</v>
      </c>
      <c r="H10669" t="s">
        <v>21</v>
      </c>
      <c r="I10669" t="s">
        <v>21113</v>
      </c>
      <c r="J10669" t="str">
        <f>HYPERLINK("https://www.boe.es/gazeta/dias/1823/04/25/pdfs/GES-1823-15.pdf#page=2","Abrir facsímil")</f>
        <v>Abrir facsímil</v>
      </c>
      <c r="K10669" t="s">
        <v>23</v>
      </c>
    </row>
    <row r="10670" spans="1:11" ht="42" customHeight="1">
      <c r="A10670" t="s">
        <v>21114</v>
      </c>
      <c r="B10670" t="s">
        <v>21115</v>
      </c>
      <c r="C10670" t="s">
        <v>17</v>
      </c>
      <c r="D10670" t="s">
        <v>18</v>
      </c>
      <c r="E10670" s="6">
        <v>-28086</v>
      </c>
      <c r="F10670" t="s">
        <v>289</v>
      </c>
      <c r="G10670" t="s">
        <v>20</v>
      </c>
      <c r="H10670" t="s">
        <v>21</v>
      </c>
      <c r="I10670" t="s">
        <v>21116</v>
      </c>
      <c r="J10670" t="str">
        <f>HYPERLINK("https://www.boe.es/gazeta/dias/1823/02/06/pdfs/GMD-1823-39.pdf#page=4","Abrir facsímil")</f>
        <v>Abrir facsímil</v>
      </c>
      <c r="K10670" t="s">
        <v>23</v>
      </c>
    </row>
    <row r="10671" spans="1:11" ht="42" customHeight="1">
      <c r="A10671" t="s">
        <v>21117</v>
      </c>
      <c r="B10671" t="s">
        <v>21117</v>
      </c>
      <c r="C10671" t="s">
        <v>56</v>
      </c>
      <c r="D10671" t="s">
        <v>57</v>
      </c>
      <c r="E10671" s="6">
        <v>-28077</v>
      </c>
      <c r="F10671" t="s">
        <v>536</v>
      </c>
      <c r="G10671" t="s">
        <v>59</v>
      </c>
      <c r="H10671" t="s">
        <v>21</v>
      </c>
      <c r="I10671" t="s">
        <v>21118</v>
      </c>
      <c r="J10671" t="str">
        <f>HYPERLINK("https://www.boe.es/gazeta/dias/1823/02/15/pdfs/GMD-1823-49.pdf#page=6","Abrir facsímil")</f>
        <v>Abrir facsímil</v>
      </c>
      <c r="K10671" t="s">
        <v>23</v>
      </c>
    </row>
    <row r="10672" spans="1:11" ht="42" customHeight="1">
      <c r="A10672" t="s">
        <v>21117</v>
      </c>
      <c r="B10672" t="s">
        <v>21117</v>
      </c>
      <c r="C10672" t="s">
        <v>17</v>
      </c>
      <c r="D10672" t="s">
        <v>18</v>
      </c>
      <c r="E10672" s="6">
        <v>-27944</v>
      </c>
      <c r="F10672" t="s">
        <v>658</v>
      </c>
      <c r="G10672" t="s">
        <v>39</v>
      </c>
      <c r="H10672" t="s">
        <v>21</v>
      </c>
      <c r="I10672" t="s">
        <v>21119</v>
      </c>
      <c r="J10672" t="str">
        <f>HYPERLINK("https://www.boe.es/gazeta/dias/1823/06/28/pdfs/GMD-1823-303.pdf#page=1","Abrir facsímil")</f>
        <v>Abrir facsímil</v>
      </c>
      <c r="K10672" t="s">
        <v>23</v>
      </c>
    </row>
    <row r="10673" spans="1:11" ht="42" customHeight="1">
      <c r="A10673" t="s">
        <v>21120</v>
      </c>
      <c r="B10673" t="s">
        <v>21121</v>
      </c>
      <c r="C10673" t="s">
        <v>17</v>
      </c>
      <c r="D10673" t="s">
        <v>18</v>
      </c>
      <c r="E10673" s="6">
        <v>-27964</v>
      </c>
      <c r="F10673" t="s">
        <v>58</v>
      </c>
      <c r="G10673" t="s">
        <v>59</v>
      </c>
      <c r="H10673" t="s">
        <v>21</v>
      </c>
      <c r="I10673" t="s">
        <v>21122</v>
      </c>
      <c r="J10673" t="str">
        <f>HYPERLINK("https://www.boe.es/gazeta/dias/1823/06/08/pdfs/GES-1823-62.pdf#page=6","Abrir facsímil")</f>
        <v>Abrir facsímil</v>
      </c>
      <c r="K10673" t="s">
        <v>23</v>
      </c>
    </row>
    <row r="10674" spans="1:11" ht="42" customHeight="1">
      <c r="A10674" t="s">
        <v>21123</v>
      </c>
      <c r="B10674" t="s">
        <v>21124</v>
      </c>
      <c r="C10674" t="s">
        <v>17</v>
      </c>
      <c r="D10674" t="s">
        <v>18</v>
      </c>
      <c r="E10674" s="6">
        <v>-28116</v>
      </c>
      <c r="F10674" t="s">
        <v>134</v>
      </c>
      <c r="G10674" t="s">
        <v>59</v>
      </c>
      <c r="H10674" t="s">
        <v>21</v>
      </c>
      <c r="I10674" t="s">
        <v>21125</v>
      </c>
      <c r="J10674" t="str">
        <f>HYPERLINK("https://www.boe.es/gazeta/dias/1823/01/07/pdfs/GMD-1823-7.pdf#page=6","Abrir facsímil")</f>
        <v>Abrir facsímil</v>
      </c>
      <c r="K10674" t="s">
        <v>23</v>
      </c>
    </row>
    <row r="10675" spans="1:11" ht="42" customHeight="1">
      <c r="A10675" t="s">
        <v>21126</v>
      </c>
      <c r="B10675" t="s">
        <v>21127</v>
      </c>
      <c r="C10675" t="s">
        <v>56</v>
      </c>
      <c r="D10675" t="s">
        <v>117</v>
      </c>
      <c r="E10675" s="6">
        <v>-27845</v>
      </c>
      <c r="F10675" t="s">
        <v>1590</v>
      </c>
      <c r="G10675" t="s">
        <v>39</v>
      </c>
      <c r="H10675" t="s">
        <v>21</v>
      </c>
      <c r="I10675" t="s">
        <v>21128</v>
      </c>
      <c r="J10675" t="str">
        <f>HYPERLINK("https://www.boe.es/gazeta/dias/1823/10/05/pdfs/GMD-1823-923E.pdf#page=1","Abrir facsímil")</f>
        <v>Abrir facsímil</v>
      </c>
      <c r="K10675" t="s">
        <v>23</v>
      </c>
    </row>
    <row r="10676" spans="1:11" ht="42" customHeight="1">
      <c r="A10676" t="s">
        <v>21129</v>
      </c>
      <c r="B10676" t="s">
        <v>21129</v>
      </c>
      <c r="C10676" t="s">
        <v>56</v>
      </c>
      <c r="D10676" t="s">
        <v>57</v>
      </c>
      <c r="E10676" s="6">
        <v>-28050</v>
      </c>
      <c r="F10676" t="s">
        <v>473</v>
      </c>
      <c r="G10676" t="s">
        <v>48</v>
      </c>
      <c r="H10676" t="s">
        <v>21</v>
      </c>
      <c r="I10676" t="s">
        <v>21130</v>
      </c>
      <c r="J10676" t="str">
        <f>HYPERLINK("https://www.boe.es/gazeta/dias/1823/03/14/pdfs/GMD-1823-77.pdf#page=3","Abrir facsímil")</f>
        <v>Abrir facsímil</v>
      </c>
      <c r="K10676" t="s">
        <v>23</v>
      </c>
    </row>
    <row r="10677" spans="1:11" ht="42" customHeight="1">
      <c r="A10677" t="s">
        <v>21131</v>
      </c>
      <c r="B10677" t="s">
        <v>21132</v>
      </c>
      <c r="C10677" t="s">
        <v>79</v>
      </c>
      <c r="D10677" t="s">
        <v>74</v>
      </c>
      <c r="E10677" s="6">
        <v>-28004</v>
      </c>
      <c r="F10677" t="s">
        <v>313</v>
      </c>
      <c r="G10677" t="s">
        <v>27</v>
      </c>
      <c r="H10677" t="s">
        <v>21</v>
      </c>
      <c r="I10677" t="s">
        <v>21133</v>
      </c>
      <c r="J10677" t="str">
        <f>HYPERLINK("https://www.boe.es/gazeta/dias/1823/04/29/pdfs/GMD-1823-72.pdf#page=2","Abrir facsímil")</f>
        <v>Abrir facsímil</v>
      </c>
      <c r="K10677" t="s">
        <v>23</v>
      </c>
    </row>
    <row r="10678" spans="1:11" ht="42" customHeight="1">
      <c r="A10678" t="s">
        <v>21134</v>
      </c>
      <c r="B10678" t="s">
        <v>21134</v>
      </c>
      <c r="C10678" t="s">
        <v>56</v>
      </c>
      <c r="D10678" t="s">
        <v>57</v>
      </c>
      <c r="E10678" s="6">
        <v>-28096</v>
      </c>
      <c r="F10678" t="s">
        <v>534</v>
      </c>
      <c r="G10678" t="s">
        <v>48</v>
      </c>
      <c r="H10678" t="s">
        <v>21</v>
      </c>
      <c r="I10678" t="s">
        <v>21135</v>
      </c>
      <c r="J10678" t="str">
        <f>HYPERLINK("https://www.boe.es/gazeta/dias/1823/01/27/pdfs/GMD-1823-28.pdf#page=3","Abrir facsímil")</f>
        <v>Abrir facsímil</v>
      </c>
      <c r="K10678" t="s">
        <v>23</v>
      </c>
    </row>
    <row r="10679" spans="1:11" ht="42" customHeight="1">
      <c r="A10679" t="s">
        <v>21134</v>
      </c>
      <c r="B10679" t="s">
        <v>21134</v>
      </c>
      <c r="C10679" t="s">
        <v>56</v>
      </c>
      <c r="D10679" t="s">
        <v>57</v>
      </c>
      <c r="E10679" s="6">
        <v>-27951</v>
      </c>
      <c r="F10679" t="s">
        <v>548</v>
      </c>
      <c r="G10679" t="s">
        <v>39</v>
      </c>
      <c r="H10679" t="s">
        <v>21</v>
      </c>
      <c r="I10679" t="s">
        <v>21136</v>
      </c>
      <c r="J10679" t="str">
        <f>HYPERLINK("https://www.boe.es/gazeta/dias/1823/06/21/pdfs/GES-1823-69.pdf#page=1","Abrir facsímil")</f>
        <v>Abrir facsímil</v>
      </c>
      <c r="K10679" t="s">
        <v>23</v>
      </c>
    </row>
    <row r="10680" spans="1:11" ht="42" customHeight="1">
      <c r="A10680" t="s">
        <v>21137</v>
      </c>
      <c r="B10680" t="s">
        <v>21138</v>
      </c>
      <c r="C10680" t="s">
        <v>17</v>
      </c>
      <c r="D10680" t="s">
        <v>18</v>
      </c>
      <c r="E10680" s="6">
        <v>-27986</v>
      </c>
      <c r="F10680" t="s">
        <v>75</v>
      </c>
      <c r="G10680" t="s">
        <v>27</v>
      </c>
      <c r="H10680" t="s">
        <v>21</v>
      </c>
      <c r="I10680" t="s">
        <v>21139</v>
      </c>
      <c r="J10680" t="str">
        <f>HYPERLINK("https://www.boe.es/gazeta/dias/1823/05/17/pdfs/GES-1823-37.pdf#page=2","Abrir facsímil")</f>
        <v>Abrir facsímil</v>
      </c>
      <c r="K10680" t="s">
        <v>23</v>
      </c>
    </row>
    <row r="10681" spans="1:11" ht="42" customHeight="1">
      <c r="A10681" t="s">
        <v>21140</v>
      </c>
      <c r="B10681" t="s">
        <v>21140</v>
      </c>
      <c r="C10681" t="s">
        <v>17</v>
      </c>
      <c r="D10681" t="s">
        <v>18</v>
      </c>
      <c r="E10681" s="6">
        <v>-27906</v>
      </c>
      <c r="F10681" t="s">
        <v>241</v>
      </c>
      <c r="G10681" t="s">
        <v>34</v>
      </c>
      <c r="H10681" t="s">
        <v>21</v>
      </c>
      <c r="I10681" t="s">
        <v>21141</v>
      </c>
      <c r="J10681" t="str">
        <f>HYPERLINK("https://www.boe.es/gazeta/dias/1823/08/05/pdfs/GES-1823-117.pdf#page=5","Abrir facsímil")</f>
        <v>Abrir facsímil</v>
      </c>
      <c r="K10681" t="s">
        <v>23</v>
      </c>
    </row>
    <row r="10682" spans="1:11" ht="42" customHeight="1">
      <c r="A10682" t="s">
        <v>21142</v>
      </c>
      <c r="B10682" t="s">
        <v>21143</v>
      </c>
      <c r="C10682" t="s">
        <v>79</v>
      </c>
      <c r="D10682" t="s">
        <v>74</v>
      </c>
      <c r="E10682" s="6">
        <v>-27906</v>
      </c>
      <c r="F10682" t="s">
        <v>241</v>
      </c>
      <c r="G10682" t="s">
        <v>34</v>
      </c>
      <c r="H10682" t="s">
        <v>21</v>
      </c>
      <c r="I10682" t="s">
        <v>21144</v>
      </c>
      <c r="J10682" t="str">
        <f>HYPERLINK("https://www.boe.es/gazeta/dias/1823/08/05/pdfs/GES-1823-117.pdf#page=5","Abrir facsímil")</f>
        <v>Abrir facsímil</v>
      </c>
      <c r="K10682" t="s">
        <v>23</v>
      </c>
    </row>
    <row r="10683" spans="1:11" ht="42" customHeight="1">
      <c r="A10683" t="s">
        <v>21145</v>
      </c>
      <c r="B10683" t="s">
        <v>21146</v>
      </c>
      <c r="C10683" t="s">
        <v>17</v>
      </c>
      <c r="D10683" t="s">
        <v>18</v>
      </c>
      <c r="E10683" s="6">
        <v>-27901</v>
      </c>
      <c r="F10683" t="s">
        <v>840</v>
      </c>
      <c r="G10683" t="s">
        <v>20</v>
      </c>
      <c r="H10683" t="s">
        <v>21</v>
      </c>
      <c r="I10683" t="s">
        <v>21147</v>
      </c>
      <c r="J10683" t="str">
        <f>HYPERLINK("https://www.boe.es/gazeta/dias/1823/08/10/pdfs/GES-1823-123.pdf#page=4","Abrir facsímil")</f>
        <v>Abrir facsímil</v>
      </c>
      <c r="K10683" t="s">
        <v>23</v>
      </c>
    </row>
    <row r="10684" spans="1:11" ht="42" customHeight="1">
      <c r="A10684" t="s">
        <v>21148</v>
      </c>
      <c r="B10684" t="s">
        <v>21149</v>
      </c>
      <c r="C10684" t="s">
        <v>79</v>
      </c>
      <c r="D10684" t="s">
        <v>74</v>
      </c>
      <c r="E10684" s="6">
        <v>-27891</v>
      </c>
      <c r="F10684" t="s">
        <v>825</v>
      </c>
      <c r="G10684" t="s">
        <v>20</v>
      </c>
      <c r="H10684" t="s">
        <v>21</v>
      </c>
      <c r="I10684" t="s">
        <v>21150</v>
      </c>
      <c r="J10684" t="str">
        <f>HYPERLINK("https://www.boe.es/gazeta/dias/1823/08/20/pdfs/GES-1823-133.pdf#page=4","Abrir facsímil")</f>
        <v>Abrir facsímil</v>
      </c>
      <c r="K10684" t="s">
        <v>23</v>
      </c>
    </row>
    <row r="10685" spans="1:11" ht="42" customHeight="1">
      <c r="A10685" t="s">
        <v>21151</v>
      </c>
      <c r="B10685" t="s">
        <v>21152</v>
      </c>
      <c r="C10685" t="s">
        <v>56</v>
      </c>
      <c r="D10685" t="s">
        <v>57</v>
      </c>
      <c r="E10685" s="6">
        <v>-27878</v>
      </c>
      <c r="F10685" t="s">
        <v>1581</v>
      </c>
      <c r="G10685" t="s">
        <v>39</v>
      </c>
      <c r="H10685" t="s">
        <v>21</v>
      </c>
      <c r="I10685" t="s">
        <v>21153</v>
      </c>
      <c r="J10685" t="str">
        <f>HYPERLINK("https://www.boe.es/gazeta/dias/1823/09/02/pdfs/GMD-1823-683.pdf#page=1","Abrir facsímil")</f>
        <v>Abrir facsímil</v>
      </c>
      <c r="K10685" t="s">
        <v>23</v>
      </c>
    </row>
    <row r="10686" spans="1:11" ht="42" customHeight="1">
      <c r="A10686" t="s">
        <v>21154</v>
      </c>
      <c r="B10686" t="s">
        <v>21155</v>
      </c>
      <c r="C10686" t="s">
        <v>73</v>
      </c>
      <c r="D10686" t="s">
        <v>74</v>
      </c>
      <c r="E10686" s="6">
        <v>-28034</v>
      </c>
      <c r="F10686" t="s">
        <v>6937</v>
      </c>
      <c r="G10686" t="s">
        <v>27</v>
      </c>
      <c r="H10686" t="s">
        <v>21</v>
      </c>
      <c r="I10686" t="s">
        <v>21156</v>
      </c>
      <c r="J10686" t="str">
        <f>HYPERLINK("https://www.boe.es/gazeta/dias/1823/03/30/pdfs/GMD-1823-93.pdf#page=2","Abrir facsímil")</f>
        <v>Abrir facsímil</v>
      </c>
      <c r="K10686" t="s">
        <v>23</v>
      </c>
    </row>
    <row r="10687" spans="1:11" ht="42" customHeight="1">
      <c r="A10687" t="s">
        <v>21157</v>
      </c>
      <c r="B10687" t="s">
        <v>21157</v>
      </c>
      <c r="C10687" t="s">
        <v>79</v>
      </c>
      <c r="D10687" t="s">
        <v>74</v>
      </c>
      <c r="E10687" s="6">
        <v>-28048</v>
      </c>
      <c r="F10687" t="s">
        <v>399</v>
      </c>
      <c r="G10687" t="s">
        <v>20</v>
      </c>
      <c r="H10687" t="s">
        <v>21</v>
      </c>
      <c r="I10687" t="s">
        <v>21158</v>
      </c>
      <c r="J10687" t="str">
        <f>HYPERLINK("https://www.boe.es/gazeta/dias/1823/03/16/pdfs/GMD-1823-79.pdf#page=4","Abrir facsímil")</f>
        <v>Abrir facsímil</v>
      </c>
      <c r="K10687" t="s">
        <v>23</v>
      </c>
    </row>
    <row r="10688" spans="1:11" ht="42" customHeight="1">
      <c r="A10688" t="s">
        <v>21159</v>
      </c>
      <c r="B10688" t="s">
        <v>21159</v>
      </c>
      <c r="C10688" t="s">
        <v>17</v>
      </c>
      <c r="D10688" t="s">
        <v>18</v>
      </c>
      <c r="E10688" s="6">
        <v>-27995</v>
      </c>
      <c r="F10688" t="s">
        <v>320</v>
      </c>
      <c r="G10688" t="s">
        <v>27</v>
      </c>
      <c r="H10688" t="s">
        <v>21</v>
      </c>
      <c r="I10688" t="s">
        <v>21160</v>
      </c>
      <c r="J10688" t="str">
        <f>HYPERLINK("https://www.boe.es/gazeta/dias/1823/05/08/pdfs/GES-1823-28.pdf#page=2","Abrir facsímil")</f>
        <v>Abrir facsímil</v>
      </c>
      <c r="K10688" t="s">
        <v>23</v>
      </c>
    </row>
    <row r="10689" spans="1:11" ht="42" customHeight="1">
      <c r="A10689" t="s">
        <v>21161</v>
      </c>
      <c r="B10689" t="s">
        <v>21161</v>
      </c>
      <c r="C10689" t="s">
        <v>79</v>
      </c>
      <c r="D10689" t="s">
        <v>74</v>
      </c>
      <c r="E10689" s="6">
        <v>-27933</v>
      </c>
      <c r="F10689" t="s">
        <v>1079</v>
      </c>
      <c r="G10689" t="s">
        <v>39</v>
      </c>
      <c r="H10689" t="s">
        <v>21</v>
      </c>
      <c r="I10689" t="s">
        <v>21162</v>
      </c>
      <c r="J10689" t="str">
        <f>HYPERLINK("https://www.boe.es/gazeta/dias/1823/07/09/pdfs/GES-1823-89.pdf#page=1","Abrir facsímil")</f>
        <v>Abrir facsímil</v>
      </c>
      <c r="K10689" t="s">
        <v>23</v>
      </c>
    </row>
    <row r="10690" spans="1:11" ht="42" customHeight="1">
      <c r="A10690" t="s">
        <v>21163</v>
      </c>
      <c r="B10690" t="s">
        <v>21163</v>
      </c>
      <c r="C10690" t="s">
        <v>79</v>
      </c>
      <c r="D10690" t="s">
        <v>74</v>
      </c>
      <c r="E10690" s="6">
        <v>-28057</v>
      </c>
      <c r="F10690" t="s">
        <v>301</v>
      </c>
      <c r="G10690" t="s">
        <v>20</v>
      </c>
      <c r="H10690" t="s">
        <v>21</v>
      </c>
      <c r="I10690" t="s">
        <v>21164</v>
      </c>
      <c r="J10690" t="str">
        <f>HYPERLINK("https://www.boe.es/gazeta/dias/1823/03/07/pdfs/GMD-1823-70.pdf#page=4","Abrir facsímil")</f>
        <v>Abrir facsímil</v>
      </c>
      <c r="K10690" t="s">
        <v>23</v>
      </c>
    </row>
    <row r="10691" spans="1:11" ht="42" customHeight="1">
      <c r="A10691" t="s">
        <v>21163</v>
      </c>
      <c r="B10691" t="s">
        <v>21163</v>
      </c>
      <c r="C10691" t="s">
        <v>79</v>
      </c>
      <c r="D10691" t="s">
        <v>74</v>
      </c>
      <c r="E10691" s="6">
        <v>-28053</v>
      </c>
      <c r="F10691" t="s">
        <v>303</v>
      </c>
      <c r="G10691" t="s">
        <v>27</v>
      </c>
      <c r="H10691" t="s">
        <v>21</v>
      </c>
      <c r="I10691" t="s">
        <v>21165</v>
      </c>
      <c r="J10691" t="str">
        <f>HYPERLINK("https://www.boe.es/gazeta/dias/1823/03/11/pdfs/GMD-1823-74.pdf#page=2","Abrir facsímil")</f>
        <v>Abrir facsímil</v>
      </c>
      <c r="K10691" t="s">
        <v>23</v>
      </c>
    </row>
    <row r="10692" spans="1:11" ht="42" customHeight="1">
      <c r="A10692" t="s">
        <v>21163</v>
      </c>
      <c r="B10692" t="s">
        <v>21163</v>
      </c>
      <c r="C10692" t="s">
        <v>73</v>
      </c>
      <c r="D10692" t="s">
        <v>74</v>
      </c>
      <c r="E10692" s="6">
        <v>-27996</v>
      </c>
      <c r="F10692" t="s">
        <v>695</v>
      </c>
      <c r="G10692" t="s">
        <v>48</v>
      </c>
      <c r="H10692" t="s">
        <v>21</v>
      </c>
      <c r="I10692" t="s">
        <v>21166</v>
      </c>
      <c r="J10692" t="str">
        <f>HYPERLINK("https://www.boe.es/gazeta/dias/1823/05/07/pdfs/GES-1823-27.pdf#page=3","Abrir facsímil")</f>
        <v>Abrir facsímil</v>
      </c>
      <c r="K10692" t="s">
        <v>23</v>
      </c>
    </row>
    <row r="10693" spans="1:11" ht="42" customHeight="1">
      <c r="A10693" t="s">
        <v>21163</v>
      </c>
      <c r="B10693" t="s">
        <v>21163</v>
      </c>
      <c r="C10693" t="s">
        <v>84</v>
      </c>
      <c r="D10693" t="s">
        <v>74</v>
      </c>
      <c r="E10693" s="6">
        <v>-27995</v>
      </c>
      <c r="F10693" t="s">
        <v>320</v>
      </c>
      <c r="G10693" t="s">
        <v>39</v>
      </c>
      <c r="H10693" t="s">
        <v>21</v>
      </c>
      <c r="I10693" t="s">
        <v>21167</v>
      </c>
      <c r="J10693" t="str">
        <f>HYPERLINK("https://www.boe.es/gazeta/dias/1823/05/08/pdfs/GES-1823-28.pdf#page=1","Abrir facsímil")</f>
        <v>Abrir facsímil</v>
      </c>
      <c r="K10693" t="s">
        <v>23</v>
      </c>
    </row>
    <row r="10694" spans="1:11" ht="42" customHeight="1">
      <c r="A10694" t="s">
        <v>21163</v>
      </c>
      <c r="B10694" t="s">
        <v>21163</v>
      </c>
      <c r="C10694" t="s">
        <v>17</v>
      </c>
      <c r="D10694" t="s">
        <v>18</v>
      </c>
      <c r="E10694" s="6">
        <v>-27995</v>
      </c>
      <c r="F10694" t="s">
        <v>320</v>
      </c>
      <c r="G10694" t="s">
        <v>27</v>
      </c>
      <c r="H10694" t="s">
        <v>21</v>
      </c>
      <c r="I10694" t="s">
        <v>21168</v>
      </c>
      <c r="J10694" t="str">
        <f>HYPERLINK("https://www.boe.es/gazeta/dias/1823/05/08/pdfs/GES-1823-28.pdf#page=2","Abrir facsímil")</f>
        <v>Abrir facsímil</v>
      </c>
      <c r="K10694" t="s">
        <v>23</v>
      </c>
    </row>
    <row r="10695" spans="1:11" ht="42" customHeight="1">
      <c r="A10695" t="s">
        <v>21169</v>
      </c>
      <c r="B10695" t="s">
        <v>21169</v>
      </c>
      <c r="C10695" t="s">
        <v>79</v>
      </c>
      <c r="D10695" t="s">
        <v>74</v>
      </c>
      <c r="E10695" s="6">
        <v>-27981</v>
      </c>
      <c r="F10695" t="s">
        <v>1521</v>
      </c>
      <c r="G10695" t="s">
        <v>2395</v>
      </c>
      <c r="H10695" t="s">
        <v>21</v>
      </c>
      <c r="I10695" t="s">
        <v>21170</v>
      </c>
      <c r="J10695" t="str">
        <f>HYPERLINK("https://www.boe.es/gazeta/dias/1823/05/22/pdfs/GES-1823-43.pdf#page=2","Abrir facsímil")</f>
        <v>Abrir facsímil</v>
      </c>
      <c r="K10695" t="s">
        <v>23</v>
      </c>
    </row>
    <row r="10696" spans="1:11" ht="42" customHeight="1">
      <c r="A10696" t="s">
        <v>21169</v>
      </c>
      <c r="B10696" t="s">
        <v>21169</v>
      </c>
      <c r="C10696" t="s">
        <v>56</v>
      </c>
      <c r="D10696" t="s">
        <v>57</v>
      </c>
      <c r="E10696" s="6">
        <v>-27966</v>
      </c>
      <c r="F10696" t="s">
        <v>675</v>
      </c>
      <c r="G10696" t="s">
        <v>59</v>
      </c>
      <c r="H10696" t="s">
        <v>21</v>
      </c>
      <c r="I10696" t="s">
        <v>21171</v>
      </c>
      <c r="J10696" t="str">
        <f>HYPERLINK("https://www.boe.es/gazeta/dias/1823/06/06/pdfs/GES-1823-60.pdf#page=6","Abrir facsímil")</f>
        <v>Abrir facsímil</v>
      </c>
      <c r="K10696" t="s">
        <v>23</v>
      </c>
    </row>
    <row r="10697" spans="1:11" ht="42" customHeight="1">
      <c r="A10697" t="s">
        <v>21163</v>
      </c>
      <c r="B10697" t="s">
        <v>21163</v>
      </c>
      <c r="C10697" t="s">
        <v>17</v>
      </c>
      <c r="D10697" t="s">
        <v>18</v>
      </c>
      <c r="E10697" s="6">
        <v>-27965</v>
      </c>
      <c r="F10697" t="s">
        <v>208</v>
      </c>
      <c r="G10697" t="s">
        <v>20</v>
      </c>
      <c r="H10697" t="s">
        <v>21</v>
      </c>
      <c r="I10697" t="s">
        <v>21172</v>
      </c>
      <c r="J10697" t="str">
        <f>HYPERLINK("https://www.boe.es/gazeta/dias/1823/06/07/pdfs/GES-1823-61.pdf#page=4","Abrir facsímil")</f>
        <v>Abrir facsímil</v>
      </c>
      <c r="K10697" t="s">
        <v>23</v>
      </c>
    </row>
    <row r="10698" spans="1:11" ht="42" customHeight="1">
      <c r="A10698" t="s">
        <v>21163</v>
      </c>
      <c r="B10698" t="s">
        <v>21163</v>
      </c>
      <c r="C10698" t="s">
        <v>79</v>
      </c>
      <c r="D10698" t="s">
        <v>74</v>
      </c>
      <c r="E10698" s="6">
        <v>-27944</v>
      </c>
      <c r="F10698" t="s">
        <v>2823</v>
      </c>
      <c r="G10698" t="s">
        <v>48</v>
      </c>
      <c r="H10698" t="s">
        <v>21</v>
      </c>
      <c r="I10698" t="s">
        <v>21173</v>
      </c>
      <c r="J10698" t="str">
        <f>HYPERLINK("https://www.boe.es/gazeta/dias/1823/06/28/pdfs/GES-1823-78.pdf#page=3","Abrir facsímil")</f>
        <v>Abrir facsímil</v>
      </c>
      <c r="K10698" t="s">
        <v>23</v>
      </c>
    </row>
    <row r="10699" spans="1:11" ht="42" customHeight="1">
      <c r="A10699" t="s">
        <v>21163</v>
      </c>
      <c r="B10699" t="s">
        <v>21163</v>
      </c>
      <c r="C10699" t="s">
        <v>17</v>
      </c>
      <c r="D10699" t="s">
        <v>18</v>
      </c>
      <c r="E10699" s="6">
        <v>-27933</v>
      </c>
      <c r="F10699" t="s">
        <v>1079</v>
      </c>
      <c r="G10699" t="s">
        <v>39</v>
      </c>
      <c r="H10699" t="s">
        <v>21</v>
      </c>
      <c r="I10699" t="s">
        <v>21174</v>
      </c>
      <c r="J10699" t="str">
        <f>HYPERLINK("https://www.boe.es/gazeta/dias/1823/07/09/pdfs/GES-1823-89.pdf#page=1","Abrir facsímil")</f>
        <v>Abrir facsímil</v>
      </c>
      <c r="K10699" t="s">
        <v>23</v>
      </c>
    </row>
    <row r="10700" spans="1:11" ht="42" customHeight="1">
      <c r="A10700" t="s">
        <v>21163</v>
      </c>
      <c r="B10700" t="s">
        <v>21163</v>
      </c>
      <c r="C10700" t="s">
        <v>17</v>
      </c>
      <c r="D10700" t="s">
        <v>18</v>
      </c>
      <c r="E10700" s="6">
        <v>-27930</v>
      </c>
      <c r="F10700" t="s">
        <v>2334</v>
      </c>
      <c r="G10700" t="s">
        <v>39</v>
      </c>
      <c r="H10700" t="s">
        <v>21</v>
      </c>
      <c r="I10700" t="s">
        <v>21175</v>
      </c>
      <c r="J10700" t="str">
        <f>HYPERLINK("https://www.boe.es/gazeta/dias/1823/07/12/pdfs/GES-1823-92.pdf#page=1","Abrir facsímil")</f>
        <v>Abrir facsímil</v>
      </c>
      <c r="K10700" t="s">
        <v>23</v>
      </c>
    </row>
    <row r="10701" spans="1:11" ht="42" customHeight="1">
      <c r="A10701" t="s">
        <v>21163</v>
      </c>
      <c r="B10701" t="s">
        <v>21163</v>
      </c>
      <c r="C10701" t="s">
        <v>17</v>
      </c>
      <c r="D10701" t="s">
        <v>18</v>
      </c>
      <c r="E10701" s="6">
        <v>-27927</v>
      </c>
      <c r="F10701" t="s">
        <v>1426</v>
      </c>
      <c r="G10701" t="s">
        <v>39</v>
      </c>
      <c r="H10701" t="s">
        <v>21</v>
      </c>
      <c r="I10701" t="s">
        <v>21176</v>
      </c>
      <c r="J10701" t="str">
        <f>HYPERLINK("https://www.boe.es/gazeta/dias/1823/07/15/pdfs/GES-1823-95.pdf#page=1","Abrir facsímil")</f>
        <v>Abrir facsímil</v>
      </c>
      <c r="K10701" t="s">
        <v>23</v>
      </c>
    </row>
    <row r="10702" spans="1:11" ht="42" customHeight="1">
      <c r="A10702" t="s">
        <v>21163</v>
      </c>
      <c r="B10702" t="s">
        <v>21163</v>
      </c>
      <c r="C10702" t="s">
        <v>293</v>
      </c>
      <c r="D10702" t="s">
        <v>74</v>
      </c>
      <c r="E10702" s="6">
        <v>-27926</v>
      </c>
      <c r="F10702" t="s">
        <v>2158</v>
      </c>
      <c r="G10702" t="s">
        <v>2159</v>
      </c>
      <c r="H10702" t="s">
        <v>21</v>
      </c>
      <c r="I10702" t="s">
        <v>21177</v>
      </c>
      <c r="J10702" t="str">
        <f>HYPERLINK("https://www.boe.es/gazeta/dias/1823/07/16/pdfs/GES-1823-96.pdf#page=2","Abrir facsímil")</f>
        <v>Abrir facsímil</v>
      </c>
      <c r="K10702" t="s">
        <v>23</v>
      </c>
    </row>
    <row r="10703" spans="1:11" ht="42" customHeight="1">
      <c r="A10703" t="s">
        <v>21163</v>
      </c>
      <c r="B10703" t="s">
        <v>21163</v>
      </c>
      <c r="C10703" t="s">
        <v>79</v>
      </c>
      <c r="D10703" t="s">
        <v>74</v>
      </c>
      <c r="E10703" s="6">
        <v>-27925</v>
      </c>
      <c r="F10703" t="s">
        <v>89</v>
      </c>
      <c r="G10703" t="s">
        <v>27</v>
      </c>
      <c r="H10703" t="s">
        <v>21</v>
      </c>
      <c r="I10703" t="s">
        <v>21178</v>
      </c>
      <c r="J10703" t="str">
        <f>HYPERLINK("https://www.boe.es/gazeta/dias/1823/07/17/pdfs/GES-1823-97.pdf#page=2","Abrir facsímil")</f>
        <v>Abrir facsímil</v>
      </c>
      <c r="K10703" t="s">
        <v>23</v>
      </c>
    </row>
    <row r="10704" spans="1:11" ht="42" customHeight="1">
      <c r="A10704" t="s">
        <v>21163</v>
      </c>
      <c r="B10704" t="s">
        <v>21163</v>
      </c>
      <c r="C10704" t="s">
        <v>109</v>
      </c>
      <c r="D10704" t="s">
        <v>74</v>
      </c>
      <c r="E10704" s="6">
        <v>-27923</v>
      </c>
      <c r="F10704" t="s">
        <v>354</v>
      </c>
      <c r="G10704" t="s">
        <v>27</v>
      </c>
      <c r="H10704" t="s">
        <v>21</v>
      </c>
      <c r="I10704" t="s">
        <v>21179</v>
      </c>
      <c r="J10704" t="str">
        <f>HYPERLINK("https://www.boe.es/gazeta/dias/1823/07/19/pdfs/GES-1823-100.pdf#page=2","Abrir facsímil")</f>
        <v>Abrir facsímil</v>
      </c>
      <c r="K10704" t="s">
        <v>23</v>
      </c>
    </row>
    <row r="10705" spans="1:11" ht="42" customHeight="1">
      <c r="A10705" t="s">
        <v>21163</v>
      </c>
      <c r="B10705" t="s">
        <v>21163</v>
      </c>
      <c r="C10705" t="s">
        <v>79</v>
      </c>
      <c r="D10705" t="s">
        <v>74</v>
      </c>
      <c r="E10705" s="6">
        <v>-27914</v>
      </c>
      <c r="F10705" t="s">
        <v>776</v>
      </c>
      <c r="G10705" t="s">
        <v>39</v>
      </c>
      <c r="H10705" t="s">
        <v>21</v>
      </c>
      <c r="I10705" t="s">
        <v>21180</v>
      </c>
      <c r="J10705" t="str">
        <f>HYPERLINK("https://www.boe.es/gazeta/dias/1823/07/28/pdfs/GES-1823-109.pdf#page=1","Abrir facsímil")</f>
        <v>Abrir facsímil</v>
      </c>
      <c r="K10705" t="s">
        <v>23</v>
      </c>
    </row>
    <row r="10706" spans="1:11" ht="42" customHeight="1">
      <c r="A10706" t="s">
        <v>21163</v>
      </c>
      <c r="B10706" t="s">
        <v>21163</v>
      </c>
      <c r="C10706" t="s">
        <v>79</v>
      </c>
      <c r="D10706" t="s">
        <v>74</v>
      </c>
      <c r="E10706" s="6">
        <v>-27913</v>
      </c>
      <c r="F10706" t="s">
        <v>821</v>
      </c>
      <c r="G10706" t="s">
        <v>1204</v>
      </c>
      <c r="H10706" t="s">
        <v>21</v>
      </c>
      <c r="I10706" t="s">
        <v>21181</v>
      </c>
      <c r="J10706" t="str">
        <f>HYPERLINK("https://www.boe.es/gazeta/dias/1823/07/29/pdfs/GES-1823-110.pdf#page=2","Abrir facsímil")</f>
        <v>Abrir facsímil</v>
      </c>
      <c r="K10706" t="s">
        <v>23</v>
      </c>
    </row>
    <row r="10707" spans="1:11" ht="42" customHeight="1">
      <c r="A10707" t="s">
        <v>21163</v>
      </c>
      <c r="B10707" t="s">
        <v>21163</v>
      </c>
      <c r="C10707" t="s">
        <v>79</v>
      </c>
      <c r="D10707" t="s">
        <v>74</v>
      </c>
      <c r="E10707" s="6">
        <v>-27913</v>
      </c>
      <c r="F10707" t="s">
        <v>821</v>
      </c>
      <c r="G10707" t="s">
        <v>39</v>
      </c>
      <c r="H10707" t="s">
        <v>21</v>
      </c>
      <c r="I10707" t="s">
        <v>21182</v>
      </c>
      <c r="J10707" t="str">
        <f>HYPERLINK("https://www.boe.es/gazeta/dias/1823/07/29/pdfs/GES-1823-110.pdf#page=1","Abrir facsímil")</f>
        <v>Abrir facsímil</v>
      </c>
      <c r="K10707" t="s">
        <v>23</v>
      </c>
    </row>
    <row r="10708" spans="1:11" ht="42" customHeight="1">
      <c r="A10708" t="s">
        <v>21163</v>
      </c>
      <c r="B10708" t="s">
        <v>21163</v>
      </c>
      <c r="C10708" t="s">
        <v>109</v>
      </c>
      <c r="D10708" t="s">
        <v>74</v>
      </c>
      <c r="E10708" s="6">
        <v>-27911</v>
      </c>
      <c r="F10708" t="s">
        <v>368</v>
      </c>
      <c r="G10708" t="s">
        <v>48</v>
      </c>
      <c r="H10708" t="s">
        <v>21</v>
      </c>
      <c r="I10708" t="s">
        <v>21183</v>
      </c>
      <c r="J10708" t="str">
        <f>HYPERLINK("https://www.boe.es/gazeta/dias/1823/07/31/pdfs/GES-1823-112.pdf#page=3","Abrir facsímil")</f>
        <v>Abrir facsímil</v>
      </c>
      <c r="K10708" t="s">
        <v>23</v>
      </c>
    </row>
    <row r="10709" spans="1:11" ht="42" customHeight="1">
      <c r="A10709" t="s">
        <v>21163</v>
      </c>
      <c r="B10709" t="s">
        <v>21163</v>
      </c>
      <c r="C10709" t="s">
        <v>17</v>
      </c>
      <c r="D10709" t="s">
        <v>18</v>
      </c>
      <c r="E10709" s="6">
        <v>-27907</v>
      </c>
      <c r="F10709" t="s">
        <v>370</v>
      </c>
      <c r="G10709" t="s">
        <v>27</v>
      </c>
      <c r="H10709" t="s">
        <v>21</v>
      </c>
      <c r="I10709" t="s">
        <v>21184</v>
      </c>
      <c r="J10709" t="str">
        <f>HYPERLINK("https://www.boe.es/gazeta/dias/1823/08/04/pdfs/GES-1823-116.pdf#page=2","Abrir facsímil")</f>
        <v>Abrir facsímil</v>
      </c>
      <c r="K10709" t="s">
        <v>23</v>
      </c>
    </row>
    <row r="10710" spans="1:11" ht="42" customHeight="1">
      <c r="A10710" t="s">
        <v>21185</v>
      </c>
      <c r="B10710" t="s">
        <v>21186</v>
      </c>
      <c r="C10710" t="s">
        <v>17</v>
      </c>
      <c r="D10710" t="s">
        <v>18</v>
      </c>
      <c r="E10710" s="6">
        <v>-27820</v>
      </c>
      <c r="F10710" t="s">
        <v>6283</v>
      </c>
      <c r="G10710" t="s">
        <v>20</v>
      </c>
      <c r="H10710" t="s">
        <v>28</v>
      </c>
      <c r="I10710" t="s">
        <v>21187</v>
      </c>
      <c r="J10710" t="str">
        <f>HYPERLINK("https://www.boe.es/gazeta/dias/1823/10/30/pdfs/GMD-1823-1043.pdf#page=4","Abrir facsímil")</f>
        <v>Abrir facsímil</v>
      </c>
      <c r="K10710" t="s">
        <v>30</v>
      </c>
    </row>
    <row r="10711" spans="1:11" ht="42" customHeight="1">
      <c r="A10711" t="s">
        <v>21188</v>
      </c>
      <c r="B10711" t="s">
        <v>21188</v>
      </c>
      <c r="C10711" t="s">
        <v>79</v>
      </c>
      <c r="D10711" t="s">
        <v>74</v>
      </c>
      <c r="E10711" s="6">
        <v>-28048</v>
      </c>
      <c r="F10711" t="s">
        <v>399</v>
      </c>
      <c r="G10711" t="s">
        <v>20</v>
      </c>
      <c r="H10711" t="s">
        <v>21</v>
      </c>
      <c r="I10711" t="s">
        <v>21189</v>
      </c>
      <c r="J10711" t="str">
        <f>HYPERLINK("https://www.boe.es/gazeta/dias/1823/03/16/pdfs/GMD-1823-79.pdf#page=4","Abrir facsímil")</f>
        <v>Abrir facsímil</v>
      </c>
      <c r="K10711" t="s">
        <v>23</v>
      </c>
    </row>
    <row r="10712" spans="1:11" ht="42" customHeight="1">
      <c r="A10712" t="s">
        <v>21190</v>
      </c>
      <c r="B10712" t="s">
        <v>21191</v>
      </c>
      <c r="C10712" t="s">
        <v>84</v>
      </c>
      <c r="D10712" t="s">
        <v>74</v>
      </c>
      <c r="E10712" s="6">
        <v>-28030</v>
      </c>
      <c r="F10712" t="s">
        <v>145</v>
      </c>
      <c r="G10712" t="s">
        <v>20</v>
      </c>
      <c r="H10712" t="s">
        <v>21</v>
      </c>
      <c r="I10712" t="s">
        <v>21192</v>
      </c>
      <c r="J10712" t="str">
        <f>HYPERLINK("https://www.boe.es/gazeta/dias/1823/04/03/pdfs/GMD-1823-97.pdf#page=4","Abrir facsímil")</f>
        <v>Abrir facsímil</v>
      </c>
      <c r="K10712" t="s">
        <v>23</v>
      </c>
    </row>
    <row r="10713" spans="1:11" ht="42" customHeight="1">
      <c r="A10713" t="s">
        <v>21193</v>
      </c>
      <c r="B10713" t="s">
        <v>21193</v>
      </c>
      <c r="C10713" t="s">
        <v>79</v>
      </c>
      <c r="D10713" t="s">
        <v>74</v>
      </c>
      <c r="E10713" s="6">
        <v>-28086</v>
      </c>
      <c r="F10713" t="s">
        <v>289</v>
      </c>
      <c r="G10713" t="s">
        <v>39</v>
      </c>
      <c r="H10713" t="s">
        <v>21</v>
      </c>
      <c r="I10713" t="s">
        <v>21194</v>
      </c>
      <c r="J10713" t="str">
        <f>HYPERLINK("https://www.boe.es/gazeta/dias/1823/02/06/pdfs/GMD-1823-39.pdf#page=1","Abrir facsímil")</f>
        <v>Abrir facsímil</v>
      </c>
      <c r="K10713" t="s">
        <v>23</v>
      </c>
    </row>
    <row r="10714" spans="1:11" ht="42" customHeight="1">
      <c r="A10714" t="s">
        <v>21193</v>
      </c>
      <c r="B10714" t="s">
        <v>21193</v>
      </c>
      <c r="C10714" t="s">
        <v>56</v>
      </c>
      <c r="D10714" t="s">
        <v>57</v>
      </c>
      <c r="E10714" s="6">
        <v>-27937</v>
      </c>
      <c r="F10714" t="s">
        <v>897</v>
      </c>
      <c r="G10714" t="s">
        <v>48</v>
      </c>
      <c r="H10714" t="s">
        <v>21</v>
      </c>
      <c r="I10714" t="s">
        <v>21195</v>
      </c>
      <c r="J10714" t="str">
        <f>HYPERLINK("https://www.boe.es/gazeta/dias/1823/07/05/pdfs/GMD-1823-343.pdf#page=3","Abrir facsímil")</f>
        <v>Abrir facsímil</v>
      </c>
      <c r="K10714" t="s">
        <v>23</v>
      </c>
    </row>
    <row r="10715" spans="1:11" ht="42" customHeight="1">
      <c r="A10715" t="s">
        <v>21193</v>
      </c>
      <c r="B10715" t="s">
        <v>21193</v>
      </c>
      <c r="C10715" t="s">
        <v>17</v>
      </c>
      <c r="D10715" t="s">
        <v>18</v>
      </c>
      <c r="E10715" s="6">
        <v>-27862</v>
      </c>
      <c r="F10715" t="s">
        <v>1530</v>
      </c>
      <c r="G10715" t="s">
        <v>48</v>
      </c>
      <c r="H10715" t="s">
        <v>21</v>
      </c>
      <c r="I10715" t="s">
        <v>21196</v>
      </c>
      <c r="J10715" t="str">
        <f>HYPERLINK("https://www.boe.es/gazeta/dias/1823/09/18/pdfs/GMD-1823-803.pdf#page=3","Abrir facsímil")</f>
        <v>Abrir facsímil</v>
      </c>
      <c r="K10715" t="s">
        <v>23</v>
      </c>
    </row>
    <row r="10716" spans="1:11" ht="42" customHeight="1">
      <c r="A10716" t="s">
        <v>21193</v>
      </c>
      <c r="B10716" t="s">
        <v>21193</v>
      </c>
      <c r="C10716" t="s">
        <v>109</v>
      </c>
      <c r="D10716" t="s">
        <v>74</v>
      </c>
      <c r="E10716" s="6">
        <v>-27804</v>
      </c>
      <c r="F10716" t="s">
        <v>836</v>
      </c>
      <c r="G10716" t="s">
        <v>27</v>
      </c>
      <c r="H10716" t="s">
        <v>21</v>
      </c>
      <c r="I10716" t="s">
        <v>21197</v>
      </c>
      <c r="J10716" t="str">
        <f>HYPERLINK("https://www.boe.es/gazeta/dias/1823/11/15/pdfs/GMD-1823-1123.pdf#page=2","Abrir facsímil")</f>
        <v>Abrir facsímil</v>
      </c>
      <c r="K10716" t="s">
        <v>23</v>
      </c>
    </row>
    <row r="10717" spans="1:11" ht="42" customHeight="1">
      <c r="A10717" t="s">
        <v>21198</v>
      </c>
      <c r="B10717" t="s">
        <v>21199</v>
      </c>
      <c r="C10717" t="s">
        <v>56</v>
      </c>
      <c r="D10717" t="s">
        <v>57</v>
      </c>
      <c r="E10717" s="6">
        <v>-27972</v>
      </c>
      <c r="F10717" t="s">
        <v>1515</v>
      </c>
      <c r="G10717" t="s">
        <v>39</v>
      </c>
      <c r="H10717" t="s">
        <v>21</v>
      </c>
      <c r="I10717" t="s">
        <v>21200</v>
      </c>
      <c r="J10717" t="str">
        <f>HYPERLINK("https://www.boe.es/gazeta/dias/1823/05/31/pdfs/GMD-1823-33.pdf#page=1","Abrir facsímil")</f>
        <v>Abrir facsímil</v>
      </c>
      <c r="K10717" t="s">
        <v>23</v>
      </c>
    </row>
    <row r="10718" spans="1:11" ht="42" customHeight="1">
      <c r="A10718" t="s">
        <v>21201</v>
      </c>
      <c r="B10718" t="s">
        <v>21202</v>
      </c>
      <c r="C10718" t="s">
        <v>17</v>
      </c>
      <c r="D10718" t="s">
        <v>18</v>
      </c>
      <c r="E10718" s="6">
        <v>-28004</v>
      </c>
      <c r="F10718" t="s">
        <v>313</v>
      </c>
      <c r="G10718" t="s">
        <v>20</v>
      </c>
      <c r="H10718" t="s">
        <v>21</v>
      </c>
      <c r="I10718" t="s">
        <v>21203</v>
      </c>
      <c r="J10718" t="str">
        <f>HYPERLINK("https://www.boe.es/gazeta/dias/1823/04/29/pdfs/GMD-1823-72.pdf#page=4","Abrir facsímil")</f>
        <v>Abrir facsímil</v>
      </c>
      <c r="K10718" t="s">
        <v>23</v>
      </c>
    </row>
    <row r="10719" spans="1:11" ht="42" customHeight="1">
      <c r="A10719" t="s">
        <v>21204</v>
      </c>
      <c r="B10719" t="s">
        <v>21205</v>
      </c>
      <c r="C10719" t="s">
        <v>109</v>
      </c>
      <c r="D10719" t="s">
        <v>74</v>
      </c>
      <c r="E10719" s="6">
        <v>-28043</v>
      </c>
      <c r="F10719" t="s">
        <v>69</v>
      </c>
      <c r="G10719" t="s">
        <v>59</v>
      </c>
      <c r="H10719" t="s">
        <v>28</v>
      </c>
      <c r="I10719" t="s">
        <v>21206</v>
      </c>
      <c r="J10719" t="str">
        <f>HYPERLINK("https://www.boe.es/gazeta/dias/1823/03/21/pdfs/GMD-1823-84.pdf#page=6","Abrir facsímil")</f>
        <v>Abrir facsímil</v>
      </c>
      <c r="K10719" t="s">
        <v>30</v>
      </c>
    </row>
    <row r="10720" spans="1:11" ht="42" customHeight="1">
      <c r="A10720" t="s">
        <v>21207</v>
      </c>
      <c r="B10720" t="s">
        <v>21208</v>
      </c>
      <c r="C10720" t="s">
        <v>79</v>
      </c>
      <c r="D10720" t="s">
        <v>74</v>
      </c>
      <c r="E10720" s="6">
        <v>-27883</v>
      </c>
      <c r="F10720" t="s">
        <v>2318</v>
      </c>
      <c r="G10720" t="s">
        <v>39</v>
      </c>
      <c r="H10720" t="s">
        <v>21</v>
      </c>
      <c r="I10720" t="s">
        <v>21209</v>
      </c>
      <c r="J10720" t="str">
        <f>HYPERLINK("https://www.boe.es/gazeta/dias/1823/08/28/pdfs/GMD-1823-663.pdf#page=1","Abrir facsímil")</f>
        <v>Abrir facsímil</v>
      </c>
      <c r="K10720" t="s">
        <v>23</v>
      </c>
    </row>
    <row r="10721" spans="1:11" ht="42" customHeight="1">
      <c r="A10721" t="s">
        <v>21210</v>
      </c>
      <c r="B10721" t="s">
        <v>21211</v>
      </c>
      <c r="C10721" t="s">
        <v>17</v>
      </c>
      <c r="D10721" t="s">
        <v>18</v>
      </c>
      <c r="E10721" s="6">
        <v>-28116</v>
      </c>
      <c r="F10721" t="s">
        <v>134</v>
      </c>
      <c r="G10721" t="s">
        <v>59</v>
      </c>
      <c r="H10721" t="s">
        <v>21</v>
      </c>
      <c r="I10721" t="s">
        <v>21212</v>
      </c>
      <c r="J10721" t="str">
        <f>HYPERLINK("https://www.boe.es/gazeta/dias/1823/01/07/pdfs/GMD-1823-7.pdf#page=6","Abrir facsímil")</f>
        <v>Abrir facsímil</v>
      </c>
      <c r="K10721" t="s">
        <v>23</v>
      </c>
    </row>
    <row r="10722" spans="1:11" ht="42" customHeight="1">
      <c r="A10722" t="s">
        <v>21213</v>
      </c>
      <c r="B10722" t="s">
        <v>21213</v>
      </c>
      <c r="C10722" t="s">
        <v>79</v>
      </c>
      <c r="D10722" t="s">
        <v>74</v>
      </c>
      <c r="E10722" s="6">
        <v>-27945</v>
      </c>
      <c r="F10722" t="s">
        <v>628</v>
      </c>
      <c r="G10722" t="s">
        <v>27</v>
      </c>
      <c r="H10722" t="s">
        <v>21</v>
      </c>
      <c r="I10722" t="s">
        <v>21214</v>
      </c>
      <c r="J10722" t="str">
        <f>HYPERLINK("https://www.boe.es/gazeta/dias/1823/06/27/pdfs/GES-1823-77.pdf#page=2","Abrir facsímil")</f>
        <v>Abrir facsímil</v>
      </c>
      <c r="K10722" t="s">
        <v>23</v>
      </c>
    </row>
    <row r="10723" spans="1:11" ht="42" customHeight="1">
      <c r="A10723" t="s">
        <v>21215</v>
      </c>
      <c r="B10723" t="s">
        <v>21215</v>
      </c>
      <c r="C10723" t="s">
        <v>79</v>
      </c>
      <c r="D10723" t="s">
        <v>74</v>
      </c>
      <c r="E10723" s="6">
        <v>-27995</v>
      </c>
      <c r="F10723" t="s">
        <v>320</v>
      </c>
      <c r="G10723" t="s">
        <v>39</v>
      </c>
      <c r="H10723" t="s">
        <v>21</v>
      </c>
      <c r="I10723" t="s">
        <v>21216</v>
      </c>
      <c r="J10723" t="str">
        <f>HYPERLINK("https://www.boe.es/gazeta/dias/1823/05/08/pdfs/GES-1823-28.pdf#page=1","Abrir facsímil")</f>
        <v>Abrir facsímil</v>
      </c>
      <c r="K10723" t="s">
        <v>23</v>
      </c>
    </row>
    <row r="10724" spans="1:11" ht="42" customHeight="1">
      <c r="A10724" t="s">
        <v>21217</v>
      </c>
      <c r="B10724" t="s">
        <v>21218</v>
      </c>
      <c r="C10724" t="s">
        <v>17</v>
      </c>
      <c r="D10724" t="s">
        <v>18</v>
      </c>
      <c r="E10724" s="6">
        <v>-27783</v>
      </c>
      <c r="F10724" t="s">
        <v>941</v>
      </c>
      <c r="G10724" t="s">
        <v>20</v>
      </c>
      <c r="H10724" t="s">
        <v>21</v>
      </c>
      <c r="I10724" t="s">
        <v>21219</v>
      </c>
      <c r="J10724" t="str">
        <f>HYPERLINK("https://www.boe.es/gazeta/dias/1823/12/06/pdfs/GMD-1823-1213.pdf#page=4","Abrir facsímil")</f>
        <v>Abrir facsímil</v>
      </c>
      <c r="K10724" t="s">
        <v>23</v>
      </c>
    </row>
    <row r="10725" spans="1:11" ht="42" customHeight="1">
      <c r="A10725" t="s">
        <v>21220</v>
      </c>
      <c r="B10725" t="s">
        <v>21221</v>
      </c>
      <c r="C10725" t="s">
        <v>79</v>
      </c>
      <c r="D10725" t="s">
        <v>74</v>
      </c>
      <c r="E10725" s="6">
        <v>-28030</v>
      </c>
      <c r="F10725" t="s">
        <v>145</v>
      </c>
      <c r="G10725" t="s">
        <v>39</v>
      </c>
      <c r="H10725" t="s">
        <v>21</v>
      </c>
      <c r="I10725" t="s">
        <v>21222</v>
      </c>
      <c r="J10725" t="str">
        <f>HYPERLINK("https://www.boe.es/gazeta/dias/1823/04/03/pdfs/GMD-1823-97.pdf#page=1","Abrir facsímil")</f>
        <v>Abrir facsímil</v>
      </c>
      <c r="K10725" t="s">
        <v>23</v>
      </c>
    </row>
    <row r="10726" spans="1:11" ht="42" customHeight="1">
      <c r="A10726" t="s">
        <v>21223</v>
      </c>
      <c r="B10726" t="s">
        <v>21224</v>
      </c>
      <c r="C10726" t="s">
        <v>17</v>
      </c>
      <c r="D10726" t="s">
        <v>18</v>
      </c>
      <c r="E10726" s="6">
        <v>-27881</v>
      </c>
      <c r="F10726" t="s">
        <v>725</v>
      </c>
      <c r="G10726" t="s">
        <v>39</v>
      </c>
      <c r="H10726" t="s">
        <v>21</v>
      </c>
      <c r="I10726" t="s">
        <v>21225</v>
      </c>
      <c r="J10726" t="str">
        <f>HYPERLINK("https://www.boe.es/gazeta/dias/1823/08/30/pdfs/GMD-1823-673.pdf#page=1","Abrir facsímil")</f>
        <v>Abrir facsímil</v>
      </c>
      <c r="K10726" t="s">
        <v>23</v>
      </c>
    </row>
    <row r="10727" spans="1:11" ht="42" customHeight="1">
      <c r="A10727" t="s">
        <v>21223</v>
      </c>
      <c r="B10727" t="s">
        <v>21224</v>
      </c>
      <c r="C10727" t="s">
        <v>56</v>
      </c>
      <c r="D10727" t="s">
        <v>57</v>
      </c>
      <c r="E10727" s="6">
        <v>-27878</v>
      </c>
      <c r="F10727" t="s">
        <v>1581</v>
      </c>
      <c r="G10727" t="s">
        <v>39</v>
      </c>
      <c r="H10727" t="s">
        <v>21</v>
      </c>
      <c r="I10727" t="s">
        <v>21226</v>
      </c>
      <c r="J10727" t="str">
        <f>HYPERLINK("https://www.boe.es/gazeta/dias/1823/09/02/pdfs/GMD-1823-683.pdf#page=1","Abrir facsímil")</f>
        <v>Abrir facsímil</v>
      </c>
      <c r="K10727" t="s">
        <v>23</v>
      </c>
    </row>
    <row r="10728" spans="1:11" ht="42" customHeight="1">
      <c r="A10728" t="s">
        <v>21227</v>
      </c>
      <c r="B10728" t="s">
        <v>21227</v>
      </c>
      <c r="C10728" t="s">
        <v>17</v>
      </c>
      <c r="D10728" t="s">
        <v>18</v>
      </c>
      <c r="E10728" s="6">
        <v>-27977</v>
      </c>
      <c r="F10728" t="s">
        <v>1489</v>
      </c>
      <c r="G10728" t="s">
        <v>27</v>
      </c>
      <c r="H10728" t="s">
        <v>21</v>
      </c>
      <c r="I10728" t="s">
        <v>21228</v>
      </c>
      <c r="J10728" t="str">
        <f>HYPERLINK("https://www.boe.es/gazeta/dias/1823/05/26/pdfs/GES-1823-47.pdf#page=2","Abrir facsímil")</f>
        <v>Abrir facsímil</v>
      </c>
      <c r="K10728" t="s">
        <v>23</v>
      </c>
    </row>
    <row r="10729" spans="1:11" ht="42" customHeight="1">
      <c r="A10729" t="s">
        <v>21229</v>
      </c>
      <c r="B10729" t="s">
        <v>21229</v>
      </c>
      <c r="C10729" t="s">
        <v>17</v>
      </c>
      <c r="D10729" t="s">
        <v>18</v>
      </c>
      <c r="E10729" s="6">
        <v>-28077</v>
      </c>
      <c r="F10729" t="s">
        <v>536</v>
      </c>
      <c r="G10729" t="s">
        <v>59</v>
      </c>
      <c r="H10729" t="s">
        <v>21</v>
      </c>
      <c r="I10729" t="s">
        <v>21230</v>
      </c>
      <c r="J10729" t="str">
        <f>HYPERLINK("https://www.boe.es/gazeta/dias/1823/02/15/pdfs/GMD-1823-49.pdf#page=6","Abrir facsímil")</f>
        <v>Abrir facsímil</v>
      </c>
      <c r="K10729" t="s">
        <v>23</v>
      </c>
    </row>
    <row r="10730" spans="1:11" ht="42" customHeight="1">
      <c r="A10730" t="s">
        <v>21231</v>
      </c>
      <c r="B10730" t="s">
        <v>21231</v>
      </c>
      <c r="C10730" t="s">
        <v>17</v>
      </c>
      <c r="D10730" t="s">
        <v>18</v>
      </c>
      <c r="E10730" s="6">
        <v>-27997</v>
      </c>
      <c r="F10730" t="s">
        <v>937</v>
      </c>
      <c r="G10730" t="s">
        <v>39</v>
      </c>
      <c r="H10730" t="s">
        <v>21</v>
      </c>
      <c r="I10730" t="s">
        <v>21232</v>
      </c>
      <c r="J10730" t="str">
        <f>HYPERLINK("https://www.boe.es/gazeta/dias/1823/05/06/pdfs/GMD-1823-102.pdf#page=1","Abrir facsímil")</f>
        <v>Abrir facsímil</v>
      </c>
      <c r="K10730" t="s">
        <v>23</v>
      </c>
    </row>
    <row r="10731" spans="1:11" ht="42" customHeight="1">
      <c r="A10731" t="s">
        <v>21233</v>
      </c>
      <c r="B10731" t="s">
        <v>21233</v>
      </c>
      <c r="C10731" t="s">
        <v>109</v>
      </c>
      <c r="D10731" t="s">
        <v>74</v>
      </c>
      <c r="E10731" s="6">
        <v>-28114</v>
      </c>
      <c r="F10731" t="s">
        <v>153</v>
      </c>
      <c r="G10731" t="s">
        <v>27</v>
      </c>
      <c r="H10731" t="s">
        <v>21</v>
      </c>
      <c r="I10731" t="s">
        <v>21234</v>
      </c>
      <c r="J10731" t="str">
        <f>HYPERLINK("https://www.boe.es/gazeta/dias/1823/01/09/pdfs/GMD-1823-9.pdf#page=2","Abrir facsímil")</f>
        <v>Abrir facsímil</v>
      </c>
      <c r="K10731" t="s">
        <v>23</v>
      </c>
    </row>
    <row r="10732" spans="1:11" ht="42" customHeight="1">
      <c r="A10732" t="s">
        <v>21235</v>
      </c>
      <c r="B10732" t="s">
        <v>21236</v>
      </c>
      <c r="C10732" t="s">
        <v>17</v>
      </c>
      <c r="D10732" t="s">
        <v>18</v>
      </c>
      <c r="E10732" s="6">
        <v>-28015</v>
      </c>
      <c r="F10732" t="s">
        <v>985</v>
      </c>
      <c r="G10732" t="s">
        <v>20</v>
      </c>
      <c r="H10732" t="s">
        <v>21</v>
      </c>
      <c r="I10732" t="s">
        <v>21237</v>
      </c>
      <c r="J10732" t="str">
        <f>HYPERLINK("https://www.boe.es/gazeta/dias/1823/04/18/pdfs/GES-1823-8.pdf#page=4","Abrir facsímil")</f>
        <v>Abrir facsímil</v>
      </c>
      <c r="K10732" t="s">
        <v>23</v>
      </c>
    </row>
    <row r="10733" spans="1:11" ht="42" customHeight="1">
      <c r="A10733" t="s">
        <v>21238</v>
      </c>
      <c r="B10733" t="s">
        <v>21239</v>
      </c>
      <c r="C10733" t="s">
        <v>17</v>
      </c>
      <c r="D10733" t="s">
        <v>18</v>
      </c>
      <c r="E10733" s="6">
        <v>-28055</v>
      </c>
      <c r="F10733" t="s">
        <v>313</v>
      </c>
      <c r="G10733" t="s">
        <v>48</v>
      </c>
      <c r="H10733" t="s">
        <v>21</v>
      </c>
      <c r="I10733" t="s">
        <v>21240</v>
      </c>
      <c r="J10733" t="str">
        <f>HYPERLINK("https://www.boe.es/gazeta/dias/1823/03/09/pdfs/GMD-1823-72.pdf#page=3","Abrir facsímil")</f>
        <v>Abrir facsímil</v>
      </c>
      <c r="K10733" t="s">
        <v>23</v>
      </c>
    </row>
    <row r="10734" spans="1:11" ht="42" customHeight="1">
      <c r="A10734" t="s">
        <v>21241</v>
      </c>
      <c r="B10734" t="s">
        <v>21242</v>
      </c>
      <c r="C10734" t="s">
        <v>79</v>
      </c>
      <c r="D10734" t="s">
        <v>74</v>
      </c>
      <c r="E10734" s="6">
        <v>-28002</v>
      </c>
      <c r="F10734" t="s">
        <v>315</v>
      </c>
      <c r="G10734" t="s">
        <v>39</v>
      </c>
      <c r="H10734" t="s">
        <v>21</v>
      </c>
      <c r="I10734" t="s">
        <v>21243</v>
      </c>
      <c r="J10734" t="str">
        <f>HYPERLINK("https://www.boe.es/gazeta/dias/1823/05/01/pdfs/GES-1823-21.pdf#page=1","Abrir facsímil")</f>
        <v>Abrir facsímil</v>
      </c>
      <c r="K10734" t="s">
        <v>23</v>
      </c>
    </row>
    <row r="10735" spans="1:11" ht="42" customHeight="1">
      <c r="A10735" t="s">
        <v>21244</v>
      </c>
      <c r="B10735" t="s">
        <v>21245</v>
      </c>
      <c r="C10735" t="s">
        <v>79</v>
      </c>
      <c r="D10735" t="s">
        <v>74</v>
      </c>
      <c r="E10735" s="6">
        <v>-27968</v>
      </c>
      <c r="F10735" t="s">
        <v>1160</v>
      </c>
      <c r="G10735" t="s">
        <v>39</v>
      </c>
      <c r="H10735" t="s">
        <v>21</v>
      </c>
      <c r="I10735" t="s">
        <v>21246</v>
      </c>
      <c r="J10735" t="str">
        <f>HYPERLINK("https://www.boe.es/gazeta/dias/1823/06/04/pdfs/GES-1823-58.pdf#page=1","Abrir facsímil")</f>
        <v>Abrir facsímil</v>
      </c>
      <c r="K10735" t="s">
        <v>23</v>
      </c>
    </row>
    <row r="10736" spans="1:11" ht="42" customHeight="1">
      <c r="A10736" t="s">
        <v>21247</v>
      </c>
      <c r="B10736" t="s">
        <v>21248</v>
      </c>
      <c r="C10736" t="s">
        <v>79</v>
      </c>
      <c r="D10736" t="s">
        <v>74</v>
      </c>
      <c r="E10736" s="6">
        <v>-28004</v>
      </c>
      <c r="F10736" t="s">
        <v>313</v>
      </c>
      <c r="G10736" t="s">
        <v>39</v>
      </c>
      <c r="H10736" t="s">
        <v>21</v>
      </c>
      <c r="I10736" t="s">
        <v>21249</v>
      </c>
      <c r="J10736" t="str">
        <f>HYPERLINK("https://www.boe.es/gazeta/dias/1823/04/29/pdfs/GMD-1823-72.pdf#page=1","Abrir facsímil")</f>
        <v>Abrir facsímil</v>
      </c>
      <c r="K10736" t="s">
        <v>23</v>
      </c>
    </row>
    <row r="10737" spans="1:11" ht="42" customHeight="1">
      <c r="A10737" t="s">
        <v>21250</v>
      </c>
      <c r="B10737" t="s">
        <v>21251</v>
      </c>
      <c r="C10737" t="s">
        <v>17</v>
      </c>
      <c r="D10737" t="s">
        <v>18</v>
      </c>
      <c r="E10737" s="6">
        <v>-28013</v>
      </c>
      <c r="F10737" t="s">
        <v>2466</v>
      </c>
      <c r="G10737" t="s">
        <v>2467</v>
      </c>
      <c r="H10737" t="s">
        <v>21</v>
      </c>
      <c r="I10737" t="s">
        <v>21252</v>
      </c>
      <c r="J10737" t="str">
        <f>HYPERLINK("https://www.boe.es/gazeta/dias/1823/04/20/pdfs/GES-1823-10.pdf#page=3","Abrir facsímil")</f>
        <v>Abrir facsímil</v>
      </c>
      <c r="K10737" t="s">
        <v>23</v>
      </c>
    </row>
    <row r="10738" spans="1:11" ht="42" customHeight="1">
      <c r="A10738" t="s">
        <v>21253</v>
      </c>
      <c r="B10738" t="s">
        <v>21254</v>
      </c>
      <c r="C10738" t="s">
        <v>109</v>
      </c>
      <c r="D10738" t="s">
        <v>74</v>
      </c>
      <c r="E10738" s="6">
        <v>-28056</v>
      </c>
      <c r="F10738" t="s">
        <v>572</v>
      </c>
      <c r="G10738" t="s">
        <v>48</v>
      </c>
      <c r="H10738" t="s">
        <v>21</v>
      </c>
      <c r="I10738" t="s">
        <v>21255</v>
      </c>
      <c r="J10738" t="str">
        <f>HYPERLINK("https://www.boe.es/gazeta/dias/1823/03/08/pdfs/GMD-1823-71.pdf#page=3","Abrir facsímil")</f>
        <v>Abrir facsímil</v>
      </c>
      <c r="K10738" t="s">
        <v>23</v>
      </c>
    </row>
    <row r="10739" spans="1:11" ht="42" customHeight="1">
      <c r="A10739" t="s">
        <v>21256</v>
      </c>
      <c r="B10739" t="s">
        <v>21256</v>
      </c>
      <c r="C10739" t="s">
        <v>79</v>
      </c>
      <c r="D10739" t="s">
        <v>74</v>
      </c>
      <c r="E10739" s="6">
        <v>-28119</v>
      </c>
      <c r="F10739" t="s">
        <v>545</v>
      </c>
      <c r="G10739" t="s">
        <v>48</v>
      </c>
      <c r="H10739" t="s">
        <v>21</v>
      </c>
      <c r="I10739" t="s">
        <v>21257</v>
      </c>
      <c r="J10739" t="str">
        <f>HYPERLINK("https://www.boe.es/gazeta/dias/1823/01/04/pdfs/GMD-1823-4.pdf#page=3","Abrir facsímil")</f>
        <v>Abrir facsímil</v>
      </c>
      <c r="K10739" t="s">
        <v>23</v>
      </c>
    </row>
    <row r="10740" spans="1:11" ht="42" customHeight="1">
      <c r="A10740" t="s">
        <v>21258</v>
      </c>
      <c r="B10740" t="s">
        <v>21259</v>
      </c>
      <c r="C10740" t="s">
        <v>56</v>
      </c>
      <c r="D10740" t="s">
        <v>57</v>
      </c>
      <c r="E10740" s="6">
        <v>-27913</v>
      </c>
      <c r="F10740" t="s">
        <v>821</v>
      </c>
      <c r="G10740" t="s">
        <v>20</v>
      </c>
      <c r="H10740" t="s">
        <v>21</v>
      </c>
      <c r="I10740" t="s">
        <v>21260</v>
      </c>
      <c r="J10740" t="str">
        <f>HYPERLINK("https://www.boe.es/gazeta/dias/1823/07/29/pdfs/GES-1823-110.pdf#page=4","Abrir facsímil")</f>
        <v>Abrir facsímil</v>
      </c>
      <c r="K10740" t="s">
        <v>23</v>
      </c>
    </row>
    <row r="10741" spans="1:11" ht="42" customHeight="1">
      <c r="A10741" t="s">
        <v>21261</v>
      </c>
      <c r="B10741" t="s">
        <v>21262</v>
      </c>
      <c r="C10741" t="s">
        <v>17</v>
      </c>
      <c r="D10741" t="s">
        <v>18</v>
      </c>
      <c r="E10741" s="6">
        <v>-27997</v>
      </c>
      <c r="F10741" t="s">
        <v>317</v>
      </c>
      <c r="G10741" t="s">
        <v>1124</v>
      </c>
      <c r="H10741" t="s">
        <v>21</v>
      </c>
      <c r="I10741" t="s">
        <v>21263</v>
      </c>
      <c r="J10741" t="str">
        <f>HYPERLINK("https://www.boe.es/gazeta/dias/1823/05/06/pdfs/GES-1823-26.pdf#page=2","Abrir facsímil")</f>
        <v>Abrir facsímil</v>
      </c>
      <c r="K10741" t="s">
        <v>23</v>
      </c>
    </row>
    <row r="10742" spans="1:11" ht="42" customHeight="1">
      <c r="A10742" t="s">
        <v>21264</v>
      </c>
      <c r="B10742" t="s">
        <v>21265</v>
      </c>
      <c r="C10742" t="s">
        <v>79</v>
      </c>
      <c r="D10742" t="s">
        <v>74</v>
      </c>
      <c r="E10742" s="6">
        <v>-27920</v>
      </c>
      <c r="F10742" t="s">
        <v>1334</v>
      </c>
      <c r="G10742" t="s">
        <v>715</v>
      </c>
      <c r="H10742" t="s">
        <v>21</v>
      </c>
      <c r="I10742" t="s">
        <v>21266</v>
      </c>
      <c r="J10742" t="str">
        <f>HYPERLINK("https://www.boe.es/gazeta/dias/1823/07/22/pdfs/GMD-1823-443.pdf#page=8","Abrir facsímil")</f>
        <v>Abrir facsímil</v>
      </c>
      <c r="K10742" t="s">
        <v>23</v>
      </c>
    </row>
    <row r="10743" spans="1:11" ht="42" customHeight="1">
      <c r="A10743" t="s">
        <v>21267</v>
      </c>
      <c r="B10743" t="s">
        <v>21267</v>
      </c>
      <c r="C10743" t="s">
        <v>17</v>
      </c>
      <c r="D10743" t="s">
        <v>18</v>
      </c>
      <c r="E10743" s="6">
        <v>-27943</v>
      </c>
      <c r="F10743" t="s">
        <v>346</v>
      </c>
      <c r="G10743" t="s">
        <v>27</v>
      </c>
      <c r="H10743" t="s">
        <v>21</v>
      </c>
      <c r="I10743" t="s">
        <v>21268</v>
      </c>
      <c r="J10743" t="str">
        <f>HYPERLINK("https://www.boe.es/gazeta/dias/1823/06/29/pdfs/GES-1823-79.pdf#page=2","Abrir facsímil")</f>
        <v>Abrir facsímil</v>
      </c>
      <c r="K10743" t="s">
        <v>23</v>
      </c>
    </row>
    <row r="10744" spans="1:11" ht="42" customHeight="1">
      <c r="A10744" t="s">
        <v>21269</v>
      </c>
      <c r="B10744" t="s">
        <v>21270</v>
      </c>
      <c r="C10744" t="s">
        <v>17</v>
      </c>
      <c r="D10744" t="s">
        <v>18</v>
      </c>
      <c r="E10744" s="6">
        <v>-27993</v>
      </c>
      <c r="F10744" t="s">
        <v>977</v>
      </c>
      <c r="G10744" t="s">
        <v>978</v>
      </c>
      <c r="H10744" t="s">
        <v>21</v>
      </c>
      <c r="I10744" t="s">
        <v>21271</v>
      </c>
      <c r="J10744" t="str">
        <f>HYPERLINK("https://www.boe.es/gazeta/dias/1823/05/10/pdfs/GES-1823-30.pdf#page=4","Abrir facsímil")</f>
        <v>Abrir facsímil</v>
      </c>
      <c r="K10744" t="s">
        <v>23</v>
      </c>
    </row>
    <row r="10745" spans="1:11" ht="42" customHeight="1">
      <c r="A10745" t="s">
        <v>21272</v>
      </c>
      <c r="B10745" t="s">
        <v>21273</v>
      </c>
      <c r="C10745" t="s">
        <v>109</v>
      </c>
      <c r="D10745" t="s">
        <v>74</v>
      </c>
      <c r="E10745" s="6">
        <v>-28114</v>
      </c>
      <c r="F10745" t="s">
        <v>153</v>
      </c>
      <c r="G10745" t="s">
        <v>59</v>
      </c>
      <c r="H10745" t="s">
        <v>21</v>
      </c>
      <c r="I10745" t="s">
        <v>21274</v>
      </c>
      <c r="J10745" t="str">
        <f>HYPERLINK("https://www.boe.es/gazeta/dias/1823/01/09/pdfs/GMD-1823-9.pdf#page=6","Abrir facsímil")</f>
        <v>Abrir facsímil</v>
      </c>
      <c r="K10745" t="s">
        <v>23</v>
      </c>
    </row>
    <row r="10746" spans="1:11" ht="42" customHeight="1">
      <c r="A10746" t="s">
        <v>21275</v>
      </c>
      <c r="B10746" t="s">
        <v>21276</v>
      </c>
      <c r="C10746" t="s">
        <v>56</v>
      </c>
      <c r="D10746" t="s">
        <v>57</v>
      </c>
      <c r="E10746" s="6">
        <v>-27864</v>
      </c>
      <c r="F10746" t="s">
        <v>1301</v>
      </c>
      <c r="G10746" t="s">
        <v>48</v>
      </c>
      <c r="H10746" t="s">
        <v>21</v>
      </c>
      <c r="I10746" t="s">
        <v>21277</v>
      </c>
      <c r="J10746" t="str">
        <f>HYPERLINK("https://www.boe.es/gazeta/dias/1823/09/16/pdfs/GES-1823-160.pdf#page=3","Abrir facsímil")</f>
        <v>Abrir facsímil</v>
      </c>
      <c r="K10746" t="s">
        <v>23</v>
      </c>
    </row>
    <row r="10747" spans="1:11" ht="42" customHeight="1">
      <c r="A10747" t="s">
        <v>21278</v>
      </c>
      <c r="B10747" t="s">
        <v>21279</v>
      </c>
      <c r="C10747" t="s">
        <v>84</v>
      </c>
      <c r="D10747" t="s">
        <v>74</v>
      </c>
      <c r="E10747" s="6">
        <v>-27992</v>
      </c>
      <c r="F10747" t="s">
        <v>565</v>
      </c>
      <c r="G10747" t="s">
        <v>20</v>
      </c>
      <c r="H10747" t="s">
        <v>21</v>
      </c>
      <c r="I10747" t="s">
        <v>21280</v>
      </c>
      <c r="J10747" t="str">
        <f>HYPERLINK("https://www.boe.es/gazeta/dias/1823/05/11/pdfs/GES-1823-31.pdf#page=4","Abrir facsímil")</f>
        <v>Abrir facsímil</v>
      </c>
      <c r="K10747" t="s">
        <v>23</v>
      </c>
    </row>
    <row r="10748" spans="1:11" ht="42" customHeight="1">
      <c r="A10748" t="s">
        <v>21281</v>
      </c>
      <c r="B10748" t="s">
        <v>21282</v>
      </c>
      <c r="C10748" t="s">
        <v>17</v>
      </c>
      <c r="D10748" t="s">
        <v>18</v>
      </c>
      <c r="E10748" s="6">
        <v>-27984</v>
      </c>
      <c r="F10748" t="s">
        <v>335</v>
      </c>
      <c r="G10748" t="s">
        <v>59</v>
      </c>
      <c r="H10748" t="s">
        <v>21</v>
      </c>
      <c r="I10748" t="s">
        <v>21283</v>
      </c>
      <c r="J10748" t="str">
        <f>HYPERLINK("https://www.boe.es/gazeta/dias/1823/05/19/pdfs/GES-1823-39.pdf#page=6","Abrir facsímil")</f>
        <v>Abrir facsímil</v>
      </c>
      <c r="K10748" t="s">
        <v>23</v>
      </c>
    </row>
    <row r="10749" spans="1:11" ht="42" customHeight="1">
      <c r="A10749" t="s">
        <v>21284</v>
      </c>
      <c r="B10749" t="s">
        <v>21285</v>
      </c>
      <c r="C10749" t="s">
        <v>17</v>
      </c>
      <c r="D10749" t="s">
        <v>18</v>
      </c>
      <c r="E10749" s="6">
        <v>-27861</v>
      </c>
      <c r="F10749" t="s">
        <v>425</v>
      </c>
      <c r="G10749" t="s">
        <v>27</v>
      </c>
      <c r="H10749" t="s">
        <v>21</v>
      </c>
      <c r="I10749" t="s">
        <v>21286</v>
      </c>
      <c r="J10749" t="str">
        <f>HYPERLINK("https://www.boe.es/gazeta/dias/1823/09/19/pdfs/GES-1823-163.pdf#page=2","Abrir facsímil")</f>
        <v>Abrir facsímil</v>
      </c>
      <c r="K10749" t="s">
        <v>23</v>
      </c>
    </row>
    <row r="10750" spans="1:11" ht="42" customHeight="1">
      <c r="A10750" t="s">
        <v>21287</v>
      </c>
      <c r="B10750" t="s">
        <v>21288</v>
      </c>
      <c r="C10750" t="s">
        <v>17</v>
      </c>
      <c r="D10750" t="s">
        <v>18</v>
      </c>
      <c r="E10750" s="6">
        <v>-28080</v>
      </c>
      <c r="F10750" t="s">
        <v>1010</v>
      </c>
      <c r="G10750" t="s">
        <v>1382</v>
      </c>
      <c r="H10750" t="s">
        <v>21</v>
      </c>
      <c r="I10750" t="s">
        <v>21289</v>
      </c>
      <c r="J10750" t="str">
        <f>HYPERLINK("https://www.boe.es/gazeta/dias/1823/02/12/pdfs/GMD-1823-46.pdf#page=4","Abrir facsímil")</f>
        <v>Abrir facsímil</v>
      </c>
      <c r="K10750" t="s">
        <v>23</v>
      </c>
    </row>
    <row r="10751" spans="1:11" ht="42" customHeight="1">
      <c r="A10751" t="s">
        <v>21287</v>
      </c>
      <c r="B10751" t="s">
        <v>21288</v>
      </c>
      <c r="C10751" t="s">
        <v>17</v>
      </c>
      <c r="D10751" t="s">
        <v>18</v>
      </c>
      <c r="E10751" s="6">
        <v>-27884</v>
      </c>
      <c r="F10751" t="s">
        <v>61</v>
      </c>
      <c r="G10751" t="s">
        <v>27</v>
      </c>
      <c r="H10751" t="s">
        <v>21</v>
      </c>
      <c r="I10751" t="s">
        <v>21290</v>
      </c>
      <c r="J10751" t="str">
        <f>HYPERLINK("https://www.boe.es/gazeta/dias/1823/08/27/pdfs/GES-1823-140.pdf#page=2","Abrir facsímil")</f>
        <v>Abrir facsímil</v>
      </c>
      <c r="K10751" t="s">
        <v>23</v>
      </c>
    </row>
    <row r="10752" spans="1:11" ht="42" customHeight="1">
      <c r="A10752" t="s">
        <v>21291</v>
      </c>
      <c r="B10752" t="s">
        <v>21292</v>
      </c>
      <c r="C10752" t="s">
        <v>79</v>
      </c>
      <c r="D10752" t="s">
        <v>74</v>
      </c>
      <c r="E10752" s="6">
        <v>-27906</v>
      </c>
      <c r="F10752" t="s">
        <v>1527</v>
      </c>
      <c r="G10752" t="s">
        <v>59</v>
      </c>
      <c r="H10752" t="s">
        <v>21</v>
      </c>
      <c r="I10752" t="s">
        <v>21293</v>
      </c>
      <c r="J10752" t="str">
        <f>HYPERLINK("https://www.boe.es/gazeta/dias/1823/08/05/pdfs/GMD-1823-533.pdf#page=6","Abrir facsímil")</f>
        <v>Abrir facsímil</v>
      </c>
      <c r="K10752" t="s">
        <v>23</v>
      </c>
    </row>
    <row r="10753" spans="1:11" ht="42" customHeight="1">
      <c r="A10753" t="s">
        <v>21294</v>
      </c>
      <c r="B10753" t="s">
        <v>21295</v>
      </c>
      <c r="C10753" t="s">
        <v>293</v>
      </c>
      <c r="D10753" t="s">
        <v>74</v>
      </c>
      <c r="E10753" s="6">
        <v>-28084</v>
      </c>
      <c r="F10753" t="s">
        <v>1049</v>
      </c>
      <c r="G10753" t="s">
        <v>3129</v>
      </c>
      <c r="H10753" t="s">
        <v>21</v>
      </c>
      <c r="I10753" t="s">
        <v>21296</v>
      </c>
      <c r="J10753" t="str">
        <f>HYPERLINK("https://www.boe.es/gazeta/dias/1823/02/08/pdfs/GMD-1823-41.pdf#page=2","Abrir facsímil")</f>
        <v>Abrir facsímil</v>
      </c>
      <c r="K10753" t="s">
        <v>23</v>
      </c>
    </row>
    <row r="10754" spans="1:11" ht="42" customHeight="1">
      <c r="A10754" t="s">
        <v>21297</v>
      </c>
      <c r="B10754" t="s">
        <v>21298</v>
      </c>
      <c r="C10754" t="s">
        <v>17</v>
      </c>
      <c r="D10754" t="s">
        <v>18</v>
      </c>
      <c r="E10754" s="6">
        <v>-27985</v>
      </c>
      <c r="F10754" t="s">
        <v>951</v>
      </c>
      <c r="G10754" t="s">
        <v>1140</v>
      </c>
      <c r="H10754" t="s">
        <v>21</v>
      </c>
      <c r="I10754" t="s">
        <v>21299</v>
      </c>
      <c r="J10754" t="str">
        <f>HYPERLINK("https://www.boe.es/gazeta/dias/1823/05/18/pdfs/GES-1823-38.pdf#page=5","Abrir facsímil")</f>
        <v>Abrir facsímil</v>
      </c>
      <c r="K10754" t="s">
        <v>23</v>
      </c>
    </row>
    <row r="10755" spans="1:11" ht="42" customHeight="1">
      <c r="A10755" t="s">
        <v>21300</v>
      </c>
      <c r="B10755" t="s">
        <v>21301</v>
      </c>
      <c r="C10755" t="s">
        <v>79</v>
      </c>
      <c r="D10755" t="s">
        <v>74</v>
      </c>
      <c r="E10755" s="6">
        <v>-27878</v>
      </c>
      <c r="F10755" t="s">
        <v>1581</v>
      </c>
      <c r="G10755" t="s">
        <v>39</v>
      </c>
      <c r="H10755" t="s">
        <v>21</v>
      </c>
      <c r="I10755" t="s">
        <v>21302</v>
      </c>
      <c r="J10755" t="str">
        <f>HYPERLINK("https://www.boe.es/gazeta/dias/1823/09/02/pdfs/GMD-1823-683.pdf#page=1","Abrir facsímil")</f>
        <v>Abrir facsímil</v>
      </c>
      <c r="K10755" t="s">
        <v>23</v>
      </c>
    </row>
    <row r="10756" spans="1:11" ht="42" customHeight="1">
      <c r="A10756" t="s">
        <v>21303</v>
      </c>
      <c r="B10756" t="s">
        <v>21303</v>
      </c>
      <c r="C10756" t="s">
        <v>17</v>
      </c>
      <c r="D10756" t="s">
        <v>117</v>
      </c>
      <c r="E10756" s="6">
        <v>-28103</v>
      </c>
      <c r="F10756" t="s">
        <v>7403</v>
      </c>
      <c r="G10756" t="s">
        <v>39</v>
      </c>
      <c r="H10756" t="s">
        <v>21</v>
      </c>
      <c r="I10756" t="s">
        <v>21304</v>
      </c>
      <c r="J10756" t="str">
        <f>HYPERLINK("https://www.boe.es/gazeta/dias/1823/01/20/pdfs/GMD-1823-21E.pdf#page=1","Abrir facsímil")</f>
        <v>Abrir facsímil</v>
      </c>
      <c r="K10756" t="s">
        <v>23</v>
      </c>
    </row>
    <row r="10757" spans="1:11" ht="42" customHeight="1">
      <c r="A10757" t="s">
        <v>21303</v>
      </c>
      <c r="B10757" t="s">
        <v>21303</v>
      </c>
      <c r="C10757" t="s">
        <v>109</v>
      </c>
      <c r="D10757" t="s">
        <v>74</v>
      </c>
      <c r="E10757" s="6">
        <v>-28091</v>
      </c>
      <c r="F10757" t="s">
        <v>1047</v>
      </c>
      <c r="G10757" t="s">
        <v>27</v>
      </c>
      <c r="H10757" t="s">
        <v>21</v>
      </c>
      <c r="I10757" t="s">
        <v>21305</v>
      </c>
      <c r="J10757" t="str">
        <f>HYPERLINK("https://www.boe.es/gazeta/dias/1823/02/01/pdfs/GMD-1823-34.pdf#page=2","Abrir facsímil")</f>
        <v>Abrir facsímil</v>
      </c>
      <c r="K10757" t="s">
        <v>23</v>
      </c>
    </row>
    <row r="10758" spans="1:11" ht="42" customHeight="1">
      <c r="A10758" t="s">
        <v>21303</v>
      </c>
      <c r="B10758" t="s">
        <v>21303</v>
      </c>
      <c r="C10758" t="s">
        <v>79</v>
      </c>
      <c r="D10758" t="s">
        <v>74</v>
      </c>
      <c r="E10758" s="6">
        <v>-28071</v>
      </c>
      <c r="F10758" t="s">
        <v>587</v>
      </c>
      <c r="G10758" t="s">
        <v>27</v>
      </c>
      <c r="H10758" t="s">
        <v>21</v>
      </c>
      <c r="I10758" t="s">
        <v>21306</v>
      </c>
      <c r="J10758" t="str">
        <f>HYPERLINK("https://www.boe.es/gazeta/dias/1823/02/21/pdfs/GMD-1823-55.pdf#page=2","Abrir facsímil")</f>
        <v>Abrir facsímil</v>
      </c>
      <c r="K10758" t="s">
        <v>23</v>
      </c>
    </row>
    <row r="10759" spans="1:11" ht="42" customHeight="1">
      <c r="A10759" t="s">
        <v>21307</v>
      </c>
      <c r="B10759" t="s">
        <v>21307</v>
      </c>
      <c r="C10759" t="s">
        <v>79</v>
      </c>
      <c r="D10759" t="s">
        <v>74</v>
      </c>
      <c r="E10759" s="6">
        <v>-28008</v>
      </c>
      <c r="F10759" t="s">
        <v>309</v>
      </c>
      <c r="G10759" t="s">
        <v>48</v>
      </c>
      <c r="H10759" t="s">
        <v>21</v>
      </c>
      <c r="I10759" t="s">
        <v>21308</v>
      </c>
      <c r="J10759" t="str">
        <f>HYPERLINK("https://www.boe.es/gazeta/dias/1823/04/25/pdfs/GES-1823-15.pdf#page=3","Abrir facsímil")</f>
        <v>Abrir facsímil</v>
      </c>
      <c r="K10759" t="s">
        <v>23</v>
      </c>
    </row>
    <row r="10760" spans="1:11" ht="42" customHeight="1">
      <c r="A10760" t="s">
        <v>21303</v>
      </c>
      <c r="B10760" t="s">
        <v>21303</v>
      </c>
      <c r="C10760" t="s">
        <v>17</v>
      </c>
      <c r="D10760" t="s">
        <v>18</v>
      </c>
      <c r="E10760" s="6">
        <v>-27985</v>
      </c>
      <c r="F10760" t="s">
        <v>951</v>
      </c>
      <c r="G10760" t="s">
        <v>1140</v>
      </c>
      <c r="H10760" t="s">
        <v>21</v>
      </c>
      <c r="I10760" t="s">
        <v>21309</v>
      </c>
      <c r="J10760" t="str">
        <f>HYPERLINK("https://www.boe.es/gazeta/dias/1823/05/18/pdfs/GES-1823-38.pdf#page=5","Abrir facsímil")</f>
        <v>Abrir facsímil</v>
      </c>
      <c r="K10760" t="s">
        <v>23</v>
      </c>
    </row>
    <row r="10761" spans="1:11" ht="42" customHeight="1">
      <c r="A10761" t="s">
        <v>21310</v>
      </c>
      <c r="B10761" t="s">
        <v>21310</v>
      </c>
      <c r="C10761" t="s">
        <v>17</v>
      </c>
      <c r="D10761" t="s">
        <v>18</v>
      </c>
      <c r="E10761" s="6">
        <v>-27985</v>
      </c>
      <c r="F10761" t="s">
        <v>951</v>
      </c>
      <c r="G10761" t="s">
        <v>1140</v>
      </c>
      <c r="H10761" t="s">
        <v>21</v>
      </c>
      <c r="I10761" t="s">
        <v>21311</v>
      </c>
      <c r="J10761" t="str">
        <f>HYPERLINK("https://www.boe.es/gazeta/dias/1823/05/18/pdfs/GES-1823-38.pdf#page=5","Abrir facsímil")</f>
        <v>Abrir facsímil</v>
      </c>
      <c r="K10761" t="s">
        <v>23</v>
      </c>
    </row>
    <row r="10762" spans="1:11" ht="42" customHeight="1">
      <c r="A10762" t="s">
        <v>21312</v>
      </c>
      <c r="B10762" t="s">
        <v>21312</v>
      </c>
      <c r="C10762" t="s">
        <v>17</v>
      </c>
      <c r="D10762" t="s">
        <v>18</v>
      </c>
      <c r="E10762" s="6">
        <v>-28049</v>
      </c>
      <c r="F10762" t="s">
        <v>198</v>
      </c>
      <c r="G10762" t="s">
        <v>27</v>
      </c>
      <c r="H10762" t="s">
        <v>21</v>
      </c>
      <c r="I10762" t="s">
        <v>21313</v>
      </c>
      <c r="J10762" t="str">
        <f>HYPERLINK("https://www.boe.es/gazeta/dias/1823/03/15/pdfs/GMD-1823-78.pdf#page=2","Abrir facsímil")</f>
        <v>Abrir facsímil</v>
      </c>
      <c r="K10762" t="s">
        <v>23</v>
      </c>
    </row>
    <row r="10763" spans="1:11" ht="42" customHeight="1">
      <c r="A10763" t="s">
        <v>21314</v>
      </c>
      <c r="B10763" t="s">
        <v>21315</v>
      </c>
      <c r="C10763" t="s">
        <v>17</v>
      </c>
      <c r="D10763" t="s">
        <v>18</v>
      </c>
      <c r="E10763" s="6">
        <v>-28051</v>
      </c>
      <c r="F10763" t="s">
        <v>305</v>
      </c>
      <c r="G10763" t="s">
        <v>27</v>
      </c>
      <c r="H10763" t="s">
        <v>21</v>
      </c>
      <c r="I10763" t="s">
        <v>21316</v>
      </c>
      <c r="J10763" t="str">
        <f>HYPERLINK("https://www.boe.es/gazeta/dias/1823/03/13/pdfs/GMD-1823-76.pdf#page=2","Abrir facsímil")</f>
        <v>Abrir facsímil</v>
      </c>
      <c r="K10763" t="s">
        <v>23</v>
      </c>
    </row>
    <row r="10764" spans="1:11" ht="42" customHeight="1">
      <c r="A10764" t="s">
        <v>21317</v>
      </c>
      <c r="B10764" t="s">
        <v>21317</v>
      </c>
      <c r="C10764" t="s">
        <v>56</v>
      </c>
      <c r="D10764" t="s">
        <v>57</v>
      </c>
      <c r="E10764" s="6">
        <v>-28100</v>
      </c>
      <c r="F10764" t="s">
        <v>737</v>
      </c>
      <c r="G10764" t="s">
        <v>27</v>
      </c>
      <c r="H10764" t="s">
        <v>21</v>
      </c>
      <c r="I10764" t="s">
        <v>21318</v>
      </c>
      <c r="J10764" t="str">
        <f>HYPERLINK("https://www.boe.es/gazeta/dias/1823/01/23/pdfs/GMD-1823-24.pdf#page=2","Abrir facsímil")</f>
        <v>Abrir facsímil</v>
      </c>
      <c r="K10764" t="s">
        <v>23</v>
      </c>
    </row>
    <row r="10765" spans="1:11" ht="42" customHeight="1">
      <c r="A10765" t="s">
        <v>21319</v>
      </c>
      <c r="B10765" t="s">
        <v>21320</v>
      </c>
      <c r="C10765" t="s">
        <v>17</v>
      </c>
      <c r="D10765" t="s">
        <v>18</v>
      </c>
      <c r="E10765" s="6">
        <v>-28066</v>
      </c>
      <c r="F10765" t="s">
        <v>19</v>
      </c>
      <c r="G10765" t="s">
        <v>20</v>
      </c>
      <c r="H10765" t="s">
        <v>21</v>
      </c>
      <c r="I10765" t="s">
        <v>21321</v>
      </c>
      <c r="J10765" t="str">
        <f>HYPERLINK("https://www.boe.es/gazeta/dias/1823/02/26/pdfs/GMD-1823-60.pdf#page=4","Abrir facsímil")</f>
        <v>Abrir facsímil</v>
      </c>
      <c r="K10765" t="s">
        <v>23</v>
      </c>
    </row>
    <row r="10766" spans="1:11" ht="42" customHeight="1">
      <c r="A10766" t="s">
        <v>21322</v>
      </c>
      <c r="B10766" t="s">
        <v>21322</v>
      </c>
      <c r="C10766" t="s">
        <v>17</v>
      </c>
      <c r="D10766" t="s">
        <v>18</v>
      </c>
      <c r="E10766" s="6">
        <v>-28008</v>
      </c>
      <c r="F10766" t="s">
        <v>309</v>
      </c>
      <c r="G10766" t="s">
        <v>48</v>
      </c>
      <c r="H10766" t="s">
        <v>21</v>
      </c>
      <c r="I10766" t="s">
        <v>21323</v>
      </c>
      <c r="J10766" t="str">
        <f>HYPERLINK("https://www.boe.es/gazeta/dias/1823/04/25/pdfs/GES-1823-15.pdf#page=3","Abrir facsímil")</f>
        <v>Abrir facsímil</v>
      </c>
      <c r="K10766" t="s">
        <v>23</v>
      </c>
    </row>
    <row r="10767" spans="1:11" ht="42" customHeight="1">
      <c r="A10767" t="s">
        <v>21324</v>
      </c>
      <c r="B10767" t="s">
        <v>21325</v>
      </c>
      <c r="C10767" t="s">
        <v>56</v>
      </c>
      <c r="D10767" t="s">
        <v>57</v>
      </c>
      <c r="E10767" s="6">
        <v>-28049</v>
      </c>
      <c r="F10767" t="s">
        <v>198</v>
      </c>
      <c r="G10767" t="s">
        <v>48</v>
      </c>
      <c r="H10767" t="s">
        <v>28</v>
      </c>
      <c r="I10767" t="s">
        <v>21326</v>
      </c>
      <c r="J10767" t="str">
        <f>HYPERLINK("https://www.boe.es/gazeta/dias/1823/03/15/pdfs/GMD-1823-78.pdf#page=3","Abrir facsímil")</f>
        <v>Abrir facsímil</v>
      </c>
      <c r="K10767" t="s">
        <v>30</v>
      </c>
    </row>
    <row r="10768" spans="1:11" ht="42" customHeight="1">
      <c r="A10768" t="s">
        <v>21327</v>
      </c>
      <c r="B10768" t="s">
        <v>21327</v>
      </c>
      <c r="C10768" t="s">
        <v>17</v>
      </c>
      <c r="D10768" t="s">
        <v>18</v>
      </c>
      <c r="E10768" s="6">
        <v>-28114</v>
      </c>
      <c r="F10768" t="s">
        <v>153</v>
      </c>
      <c r="G10768" t="s">
        <v>39</v>
      </c>
      <c r="H10768" t="s">
        <v>21</v>
      </c>
      <c r="I10768" t="s">
        <v>21328</v>
      </c>
      <c r="J10768" t="str">
        <f>HYPERLINK("https://www.boe.es/gazeta/dias/1823/01/09/pdfs/GMD-1823-9.pdf#page=1","Abrir facsímil")</f>
        <v>Abrir facsímil</v>
      </c>
      <c r="K10768" t="s">
        <v>23</v>
      </c>
    </row>
    <row r="10769" spans="1:11" ht="42" customHeight="1">
      <c r="A10769" t="s">
        <v>21327</v>
      </c>
      <c r="B10769" t="s">
        <v>21327</v>
      </c>
      <c r="C10769" t="s">
        <v>79</v>
      </c>
      <c r="D10769" t="s">
        <v>74</v>
      </c>
      <c r="E10769" s="6">
        <v>-28113</v>
      </c>
      <c r="F10769" t="s">
        <v>2088</v>
      </c>
      <c r="G10769" t="s">
        <v>39</v>
      </c>
      <c r="H10769" t="s">
        <v>21</v>
      </c>
      <c r="I10769" t="s">
        <v>21329</v>
      </c>
      <c r="J10769" t="str">
        <f>HYPERLINK("https://www.boe.es/gazeta/dias/1823/01/10/pdfs/GMD-1823-10.pdf#page=1","Abrir facsímil")</f>
        <v>Abrir facsímil</v>
      </c>
      <c r="K10769" t="s">
        <v>23</v>
      </c>
    </row>
    <row r="10770" spans="1:11" ht="42" customHeight="1">
      <c r="A10770" t="s">
        <v>21327</v>
      </c>
      <c r="B10770" t="s">
        <v>21327</v>
      </c>
      <c r="C10770" t="s">
        <v>109</v>
      </c>
      <c r="D10770" t="s">
        <v>74</v>
      </c>
      <c r="E10770" s="6">
        <v>-28113</v>
      </c>
      <c r="F10770" t="s">
        <v>2088</v>
      </c>
      <c r="G10770" t="s">
        <v>27</v>
      </c>
      <c r="H10770" t="s">
        <v>21</v>
      </c>
      <c r="I10770" t="s">
        <v>21330</v>
      </c>
      <c r="J10770" t="str">
        <f>HYPERLINK("https://www.boe.es/gazeta/dias/1823/01/10/pdfs/GMD-1823-10.pdf#page=2","Abrir facsímil")</f>
        <v>Abrir facsímil</v>
      </c>
      <c r="K10770" t="s">
        <v>23</v>
      </c>
    </row>
    <row r="10771" spans="1:11" ht="42" customHeight="1">
      <c r="A10771" t="s">
        <v>21327</v>
      </c>
      <c r="B10771" t="s">
        <v>21327</v>
      </c>
      <c r="C10771" t="s">
        <v>17</v>
      </c>
      <c r="D10771" t="s">
        <v>18</v>
      </c>
      <c r="E10771" s="6">
        <v>-28105</v>
      </c>
      <c r="F10771" t="s">
        <v>502</v>
      </c>
      <c r="G10771" t="s">
        <v>27</v>
      </c>
      <c r="H10771" t="s">
        <v>21</v>
      </c>
      <c r="I10771" t="s">
        <v>21331</v>
      </c>
      <c r="J10771" t="str">
        <f>HYPERLINK("https://www.boe.es/gazeta/dias/1823/01/18/pdfs/GMD-1823-18.pdf#page=2","Abrir facsímil")</f>
        <v>Abrir facsímil</v>
      </c>
      <c r="K10771" t="s">
        <v>23</v>
      </c>
    </row>
    <row r="10772" spans="1:11" ht="42" customHeight="1">
      <c r="A10772" t="s">
        <v>21327</v>
      </c>
      <c r="B10772" t="s">
        <v>21327</v>
      </c>
      <c r="C10772" t="s">
        <v>17</v>
      </c>
      <c r="D10772" t="s">
        <v>18</v>
      </c>
      <c r="E10772" s="6">
        <v>-28102</v>
      </c>
      <c r="F10772" t="s">
        <v>287</v>
      </c>
      <c r="G10772" t="s">
        <v>48</v>
      </c>
      <c r="H10772" t="s">
        <v>21</v>
      </c>
      <c r="I10772" t="s">
        <v>21332</v>
      </c>
      <c r="J10772" t="str">
        <f>HYPERLINK("https://www.boe.es/gazeta/dias/1823/01/21/pdfs/GMD-1823-22.pdf#page=3","Abrir facsímil")</f>
        <v>Abrir facsímil</v>
      </c>
      <c r="K10772" t="s">
        <v>23</v>
      </c>
    </row>
    <row r="10773" spans="1:11" ht="42" customHeight="1">
      <c r="A10773" t="s">
        <v>21327</v>
      </c>
      <c r="B10773" t="s">
        <v>21327</v>
      </c>
      <c r="C10773" t="s">
        <v>17</v>
      </c>
      <c r="D10773" t="s">
        <v>18</v>
      </c>
      <c r="E10773" s="6">
        <v>-28093</v>
      </c>
      <c r="F10773" t="s">
        <v>1044</v>
      </c>
      <c r="G10773" t="s">
        <v>59</v>
      </c>
      <c r="H10773" t="s">
        <v>21</v>
      </c>
      <c r="I10773" t="s">
        <v>21333</v>
      </c>
      <c r="J10773" t="str">
        <f>HYPERLINK("https://www.boe.es/gazeta/dias/1823/01/30/pdfs/GMD-1823-31.pdf#page=6","Abrir facsímil")</f>
        <v>Abrir facsímil</v>
      </c>
      <c r="K10773" t="s">
        <v>23</v>
      </c>
    </row>
    <row r="10774" spans="1:11" ht="42" customHeight="1">
      <c r="A10774" t="s">
        <v>21327</v>
      </c>
      <c r="B10774" t="s">
        <v>21327</v>
      </c>
      <c r="C10774" t="s">
        <v>109</v>
      </c>
      <c r="D10774" t="s">
        <v>74</v>
      </c>
      <c r="E10774" s="6">
        <v>-28092</v>
      </c>
      <c r="F10774" t="s">
        <v>105</v>
      </c>
      <c r="G10774" t="s">
        <v>27</v>
      </c>
      <c r="H10774" t="s">
        <v>21</v>
      </c>
      <c r="I10774" t="s">
        <v>21334</v>
      </c>
      <c r="J10774" t="str">
        <f>HYPERLINK("https://www.boe.es/gazeta/dias/1823/01/31/pdfs/GMD-1823-32.pdf#page=2","Abrir facsímil")</f>
        <v>Abrir facsímil</v>
      </c>
      <c r="K10774" t="s">
        <v>23</v>
      </c>
    </row>
    <row r="10775" spans="1:11" ht="42" customHeight="1">
      <c r="A10775" t="s">
        <v>21327</v>
      </c>
      <c r="B10775" t="s">
        <v>21327</v>
      </c>
      <c r="C10775" t="s">
        <v>79</v>
      </c>
      <c r="D10775" t="s">
        <v>74</v>
      </c>
      <c r="E10775" s="6">
        <v>-28092</v>
      </c>
      <c r="F10775" t="s">
        <v>105</v>
      </c>
      <c r="G10775" t="s">
        <v>48</v>
      </c>
      <c r="H10775" t="s">
        <v>21</v>
      </c>
      <c r="I10775" t="s">
        <v>21335</v>
      </c>
      <c r="J10775" t="str">
        <f>HYPERLINK("https://www.boe.es/gazeta/dias/1823/01/31/pdfs/GMD-1823-32.pdf#page=3","Abrir facsímil")</f>
        <v>Abrir facsímil</v>
      </c>
      <c r="K10775" t="s">
        <v>23</v>
      </c>
    </row>
    <row r="10776" spans="1:11" ht="42" customHeight="1">
      <c r="A10776" t="s">
        <v>21327</v>
      </c>
      <c r="B10776" t="s">
        <v>21327</v>
      </c>
      <c r="C10776" t="s">
        <v>109</v>
      </c>
      <c r="D10776" t="s">
        <v>74</v>
      </c>
      <c r="E10776" s="6">
        <v>-28091</v>
      </c>
      <c r="F10776" t="s">
        <v>1047</v>
      </c>
      <c r="G10776" t="s">
        <v>20</v>
      </c>
      <c r="H10776" t="s">
        <v>21</v>
      </c>
      <c r="I10776" t="s">
        <v>21336</v>
      </c>
      <c r="J10776" t="str">
        <f>HYPERLINK("https://www.boe.es/gazeta/dias/1823/02/01/pdfs/GMD-1823-34.pdf#page=4","Abrir facsímil")</f>
        <v>Abrir facsímil</v>
      </c>
      <c r="K10776" t="s">
        <v>23</v>
      </c>
    </row>
    <row r="10777" spans="1:11" ht="42" customHeight="1">
      <c r="A10777" t="s">
        <v>21327</v>
      </c>
      <c r="B10777" t="s">
        <v>21327</v>
      </c>
      <c r="C10777" t="s">
        <v>56</v>
      </c>
      <c r="D10777" t="s">
        <v>57</v>
      </c>
      <c r="E10777" s="6">
        <v>-28084</v>
      </c>
      <c r="F10777" t="s">
        <v>1049</v>
      </c>
      <c r="G10777" t="s">
        <v>3129</v>
      </c>
      <c r="H10777" t="s">
        <v>21</v>
      </c>
      <c r="I10777" t="s">
        <v>21337</v>
      </c>
      <c r="J10777" t="str">
        <f>HYPERLINK("https://www.boe.es/gazeta/dias/1823/02/08/pdfs/GMD-1823-41.pdf#page=2","Abrir facsímil")</f>
        <v>Abrir facsímil</v>
      </c>
      <c r="K10777" t="s">
        <v>23</v>
      </c>
    </row>
    <row r="10778" spans="1:11" ht="42" customHeight="1">
      <c r="A10778" t="s">
        <v>21327</v>
      </c>
      <c r="B10778" t="s">
        <v>21327</v>
      </c>
      <c r="C10778" t="s">
        <v>109</v>
      </c>
      <c r="D10778" t="s">
        <v>74</v>
      </c>
      <c r="E10778" s="6">
        <v>-28081</v>
      </c>
      <c r="F10778" t="s">
        <v>170</v>
      </c>
      <c r="G10778" t="s">
        <v>48</v>
      </c>
      <c r="H10778" t="s">
        <v>21</v>
      </c>
      <c r="I10778" t="s">
        <v>21338</v>
      </c>
      <c r="J10778" t="str">
        <f>HYPERLINK("https://www.boe.es/gazeta/dias/1823/02/11/pdfs/GMD-1823-45.pdf#page=3","Abrir facsímil")</f>
        <v>Abrir facsímil</v>
      </c>
      <c r="K10778" t="s">
        <v>23</v>
      </c>
    </row>
    <row r="10779" spans="1:11" ht="42" customHeight="1">
      <c r="A10779" t="s">
        <v>21339</v>
      </c>
      <c r="B10779" t="s">
        <v>21339</v>
      </c>
      <c r="C10779" t="s">
        <v>17</v>
      </c>
      <c r="D10779" t="s">
        <v>18</v>
      </c>
      <c r="E10779" s="6">
        <v>-28059</v>
      </c>
      <c r="F10779" t="s">
        <v>149</v>
      </c>
      <c r="G10779" t="s">
        <v>48</v>
      </c>
      <c r="H10779" t="s">
        <v>21</v>
      </c>
      <c r="I10779" t="s">
        <v>21340</v>
      </c>
      <c r="J10779" t="str">
        <f>HYPERLINK("https://www.boe.es/gazeta/dias/1823/03/05/pdfs/GMD-1823-68.pdf#page=3","Abrir facsímil")</f>
        <v>Abrir facsímil</v>
      </c>
      <c r="K10779" t="s">
        <v>23</v>
      </c>
    </row>
    <row r="10780" spans="1:11" ht="42" customHeight="1">
      <c r="A10780" t="s">
        <v>21327</v>
      </c>
      <c r="B10780" t="s">
        <v>21327</v>
      </c>
      <c r="C10780" t="s">
        <v>79</v>
      </c>
      <c r="D10780" t="s">
        <v>74</v>
      </c>
      <c r="E10780" s="6">
        <v>-28052</v>
      </c>
      <c r="F10780" t="s">
        <v>1025</v>
      </c>
      <c r="G10780" t="s">
        <v>27</v>
      </c>
      <c r="H10780" t="s">
        <v>21</v>
      </c>
      <c r="I10780" t="s">
        <v>21341</v>
      </c>
      <c r="J10780" t="str">
        <f>HYPERLINK("https://www.boe.es/gazeta/dias/1823/03/12/pdfs/GMD-1823-75.pdf#page=2","Abrir facsímil")</f>
        <v>Abrir facsímil</v>
      </c>
      <c r="K10780" t="s">
        <v>23</v>
      </c>
    </row>
    <row r="10781" spans="1:11" ht="42" customHeight="1">
      <c r="A10781" t="s">
        <v>21327</v>
      </c>
      <c r="B10781" t="s">
        <v>21327</v>
      </c>
      <c r="C10781" t="s">
        <v>84</v>
      </c>
      <c r="D10781" t="s">
        <v>74</v>
      </c>
      <c r="E10781" s="6">
        <v>-28052</v>
      </c>
      <c r="F10781" t="s">
        <v>1025</v>
      </c>
      <c r="G10781" t="s">
        <v>20</v>
      </c>
      <c r="H10781" t="s">
        <v>21</v>
      </c>
      <c r="I10781" t="s">
        <v>21342</v>
      </c>
      <c r="J10781" t="str">
        <f>HYPERLINK("https://www.boe.es/gazeta/dias/1823/03/12/pdfs/GMD-1823-75.pdf#page=4","Abrir facsímil")</f>
        <v>Abrir facsímil</v>
      </c>
      <c r="K10781" t="s">
        <v>23</v>
      </c>
    </row>
    <row r="10782" spans="1:11" ht="42" customHeight="1">
      <c r="A10782" t="s">
        <v>21327</v>
      </c>
      <c r="B10782" t="s">
        <v>21327</v>
      </c>
      <c r="C10782" t="s">
        <v>17</v>
      </c>
      <c r="D10782" t="s">
        <v>18</v>
      </c>
      <c r="E10782" s="6">
        <v>-28008</v>
      </c>
      <c r="F10782" t="s">
        <v>309</v>
      </c>
      <c r="G10782" t="s">
        <v>48</v>
      </c>
      <c r="H10782" t="s">
        <v>21</v>
      </c>
      <c r="I10782" t="s">
        <v>21343</v>
      </c>
      <c r="J10782" t="str">
        <f>HYPERLINK("https://www.boe.es/gazeta/dias/1823/04/25/pdfs/GES-1823-15.pdf#page=3","Abrir facsímil")</f>
        <v>Abrir facsímil</v>
      </c>
      <c r="K10782" t="s">
        <v>23</v>
      </c>
    </row>
    <row r="10783" spans="1:11" ht="42" customHeight="1">
      <c r="A10783" t="s">
        <v>21327</v>
      </c>
      <c r="B10783" t="s">
        <v>21327</v>
      </c>
      <c r="C10783" t="s">
        <v>325</v>
      </c>
      <c r="D10783" t="s">
        <v>74</v>
      </c>
      <c r="E10783" s="6">
        <v>-28003</v>
      </c>
      <c r="F10783" t="s">
        <v>26</v>
      </c>
      <c r="G10783" t="s">
        <v>48</v>
      </c>
      <c r="H10783" t="s">
        <v>21</v>
      </c>
      <c r="I10783" t="s">
        <v>21344</v>
      </c>
      <c r="J10783" t="str">
        <f>HYPERLINK("https://www.boe.es/gazeta/dias/1823/04/30/pdfs/GES-1823-20.pdf#page=3","Abrir facsímil")</f>
        <v>Abrir facsímil</v>
      </c>
      <c r="K10783" t="s">
        <v>23</v>
      </c>
    </row>
    <row r="10784" spans="1:11" ht="42" customHeight="1">
      <c r="A10784" t="s">
        <v>21327</v>
      </c>
      <c r="B10784" t="s">
        <v>21327</v>
      </c>
      <c r="C10784" t="s">
        <v>73</v>
      </c>
      <c r="D10784" t="s">
        <v>74</v>
      </c>
      <c r="E10784" s="6">
        <v>-27991</v>
      </c>
      <c r="F10784" t="s">
        <v>328</v>
      </c>
      <c r="G10784" t="s">
        <v>48</v>
      </c>
      <c r="H10784" t="s">
        <v>21</v>
      </c>
      <c r="I10784" t="s">
        <v>21345</v>
      </c>
      <c r="J10784" t="str">
        <f>HYPERLINK("https://www.boe.es/gazeta/dias/1823/05/12/pdfs/GES-1823-32.pdf#page=3","Abrir facsímil")</f>
        <v>Abrir facsímil</v>
      </c>
      <c r="K10784" t="s">
        <v>23</v>
      </c>
    </row>
    <row r="10785" spans="1:11" ht="42" customHeight="1">
      <c r="A10785" t="s">
        <v>21327</v>
      </c>
      <c r="B10785" t="s">
        <v>21327</v>
      </c>
      <c r="C10785" t="s">
        <v>109</v>
      </c>
      <c r="D10785" t="s">
        <v>74</v>
      </c>
      <c r="E10785" s="6">
        <v>-27985</v>
      </c>
      <c r="F10785" t="s">
        <v>951</v>
      </c>
      <c r="G10785" t="s">
        <v>39</v>
      </c>
      <c r="H10785" t="s">
        <v>21</v>
      </c>
      <c r="I10785" t="s">
        <v>21346</v>
      </c>
      <c r="J10785" t="str">
        <f>HYPERLINK("https://www.boe.es/gazeta/dias/1823/05/18/pdfs/GES-1823-38.pdf#page=1","Abrir facsímil")</f>
        <v>Abrir facsímil</v>
      </c>
      <c r="K10785" t="s">
        <v>23</v>
      </c>
    </row>
    <row r="10786" spans="1:11" ht="42" customHeight="1">
      <c r="A10786" t="s">
        <v>21327</v>
      </c>
      <c r="B10786" t="s">
        <v>21327</v>
      </c>
      <c r="C10786" t="s">
        <v>84</v>
      </c>
      <c r="D10786" t="s">
        <v>74</v>
      </c>
      <c r="E10786" s="6">
        <v>-27941</v>
      </c>
      <c r="F10786" t="s">
        <v>527</v>
      </c>
      <c r="G10786" t="s">
        <v>20</v>
      </c>
      <c r="H10786" t="s">
        <v>21</v>
      </c>
      <c r="I10786" t="s">
        <v>21347</v>
      </c>
      <c r="J10786" t="str">
        <f>HYPERLINK("https://www.boe.es/gazeta/dias/1823/07/01/pdfs/GES-1823-81.pdf#page=4","Abrir facsímil")</f>
        <v>Abrir facsímil</v>
      </c>
      <c r="K10786" t="s">
        <v>23</v>
      </c>
    </row>
    <row r="10787" spans="1:11" ht="42" customHeight="1">
      <c r="A10787" t="s">
        <v>21327</v>
      </c>
      <c r="B10787" t="s">
        <v>21327</v>
      </c>
      <c r="C10787" t="s">
        <v>17</v>
      </c>
      <c r="D10787" t="s">
        <v>18</v>
      </c>
      <c r="E10787" s="6">
        <v>-27927</v>
      </c>
      <c r="F10787" t="s">
        <v>1426</v>
      </c>
      <c r="G10787" t="s">
        <v>27</v>
      </c>
      <c r="H10787" t="s">
        <v>21</v>
      </c>
      <c r="I10787" t="s">
        <v>21348</v>
      </c>
      <c r="J10787" t="str">
        <f>HYPERLINK("https://www.boe.es/gazeta/dias/1823/07/15/pdfs/GES-1823-95.pdf#page=2","Abrir facsímil")</f>
        <v>Abrir facsímil</v>
      </c>
      <c r="K10787" t="s">
        <v>23</v>
      </c>
    </row>
    <row r="10788" spans="1:11" ht="42" customHeight="1">
      <c r="A10788" t="s">
        <v>21327</v>
      </c>
      <c r="B10788" t="s">
        <v>21327</v>
      </c>
      <c r="C10788" t="s">
        <v>17</v>
      </c>
      <c r="D10788" t="s">
        <v>18</v>
      </c>
      <c r="E10788" s="6">
        <v>-27920</v>
      </c>
      <c r="F10788" t="s">
        <v>358</v>
      </c>
      <c r="G10788" t="s">
        <v>27</v>
      </c>
      <c r="H10788" t="s">
        <v>21</v>
      </c>
      <c r="I10788" t="s">
        <v>21349</v>
      </c>
      <c r="J10788" t="str">
        <f>HYPERLINK("https://www.boe.es/gazeta/dias/1823/07/22/pdfs/GES-1823-103.pdf#page=2","Abrir facsímil")</f>
        <v>Abrir facsímil</v>
      </c>
      <c r="K10788" t="s">
        <v>23</v>
      </c>
    </row>
    <row r="10789" spans="1:11" ht="42" customHeight="1">
      <c r="A10789" t="s">
        <v>21327</v>
      </c>
      <c r="B10789" t="s">
        <v>21327</v>
      </c>
      <c r="C10789" t="s">
        <v>293</v>
      </c>
      <c r="D10789" t="s">
        <v>74</v>
      </c>
      <c r="E10789" s="6">
        <v>-27913</v>
      </c>
      <c r="F10789" t="s">
        <v>821</v>
      </c>
      <c r="G10789" t="s">
        <v>39</v>
      </c>
      <c r="H10789" t="s">
        <v>21</v>
      </c>
      <c r="I10789" t="s">
        <v>21350</v>
      </c>
      <c r="J10789" t="str">
        <f>HYPERLINK("https://www.boe.es/gazeta/dias/1823/07/29/pdfs/GES-1823-110.pdf#page=1","Abrir facsímil")</f>
        <v>Abrir facsímil</v>
      </c>
      <c r="K10789" t="s">
        <v>23</v>
      </c>
    </row>
    <row r="10790" spans="1:11" ht="42" customHeight="1">
      <c r="A10790" t="s">
        <v>21327</v>
      </c>
      <c r="B10790" t="s">
        <v>21327</v>
      </c>
      <c r="C10790" t="s">
        <v>17</v>
      </c>
      <c r="D10790" t="s">
        <v>18</v>
      </c>
      <c r="E10790" s="6">
        <v>-27907</v>
      </c>
      <c r="F10790" t="s">
        <v>370</v>
      </c>
      <c r="G10790" t="s">
        <v>27</v>
      </c>
      <c r="H10790" t="s">
        <v>21</v>
      </c>
      <c r="I10790" t="s">
        <v>21351</v>
      </c>
      <c r="J10790" t="str">
        <f>HYPERLINK("https://www.boe.es/gazeta/dias/1823/08/04/pdfs/GES-1823-116.pdf#page=2","Abrir facsímil")</f>
        <v>Abrir facsímil</v>
      </c>
      <c r="K10790" t="s">
        <v>23</v>
      </c>
    </row>
    <row r="10791" spans="1:11" ht="42" customHeight="1">
      <c r="A10791" t="s">
        <v>21352</v>
      </c>
      <c r="B10791" t="s">
        <v>21353</v>
      </c>
      <c r="C10791" t="s">
        <v>109</v>
      </c>
      <c r="D10791" t="s">
        <v>74</v>
      </c>
      <c r="E10791" s="6">
        <v>-27981</v>
      </c>
      <c r="F10791" t="s">
        <v>1521</v>
      </c>
      <c r="G10791" t="s">
        <v>2395</v>
      </c>
      <c r="H10791" t="s">
        <v>21</v>
      </c>
      <c r="I10791" t="s">
        <v>21354</v>
      </c>
      <c r="J10791" t="str">
        <f>HYPERLINK("https://www.boe.es/gazeta/dias/1823/05/22/pdfs/GES-1823-43.pdf#page=2","Abrir facsímil")</f>
        <v>Abrir facsímil</v>
      </c>
      <c r="K10791" t="s">
        <v>23</v>
      </c>
    </row>
    <row r="10792" spans="1:11" ht="42" customHeight="1">
      <c r="A10792" t="s">
        <v>21355</v>
      </c>
      <c r="B10792" t="s">
        <v>21356</v>
      </c>
      <c r="C10792" t="s">
        <v>17</v>
      </c>
      <c r="D10792" t="s">
        <v>18</v>
      </c>
      <c r="E10792" s="6">
        <v>-27977</v>
      </c>
      <c r="F10792" t="s">
        <v>1489</v>
      </c>
      <c r="G10792" t="s">
        <v>27</v>
      </c>
      <c r="H10792" t="s">
        <v>21</v>
      </c>
      <c r="I10792" t="s">
        <v>21357</v>
      </c>
      <c r="J10792" t="str">
        <f>HYPERLINK("https://www.boe.es/gazeta/dias/1823/05/26/pdfs/GES-1823-47.pdf#page=2","Abrir facsímil")</f>
        <v>Abrir facsímil</v>
      </c>
      <c r="K10792" t="s">
        <v>23</v>
      </c>
    </row>
    <row r="10793" spans="1:11" ht="42" customHeight="1">
      <c r="A10793" t="s">
        <v>21358</v>
      </c>
      <c r="B10793" t="s">
        <v>21359</v>
      </c>
      <c r="C10793" t="s">
        <v>17</v>
      </c>
      <c r="D10793" t="s">
        <v>18</v>
      </c>
      <c r="E10793" s="6">
        <v>-28074</v>
      </c>
      <c r="F10793" t="s">
        <v>212</v>
      </c>
      <c r="G10793" t="s">
        <v>59</v>
      </c>
      <c r="H10793" t="s">
        <v>21</v>
      </c>
      <c r="I10793" t="s">
        <v>21360</v>
      </c>
      <c r="J10793" t="str">
        <f>HYPERLINK("https://www.boe.es/gazeta/dias/1823/02/18/pdfs/GMD-1823-52.pdf#page=6","Abrir facsímil")</f>
        <v>Abrir facsímil</v>
      </c>
      <c r="K10793" t="s">
        <v>23</v>
      </c>
    </row>
    <row r="10794" spans="1:11" ht="42" customHeight="1">
      <c r="A10794" t="s">
        <v>21361</v>
      </c>
      <c r="B10794" t="s">
        <v>21362</v>
      </c>
      <c r="C10794" t="s">
        <v>17</v>
      </c>
      <c r="D10794" t="s">
        <v>18</v>
      </c>
      <c r="E10794" s="6">
        <v>-28073</v>
      </c>
      <c r="F10794" t="s">
        <v>204</v>
      </c>
      <c r="G10794" t="s">
        <v>27</v>
      </c>
      <c r="H10794" t="s">
        <v>21</v>
      </c>
      <c r="I10794" t="s">
        <v>21363</v>
      </c>
      <c r="J10794" t="str">
        <f>HYPERLINK("https://www.boe.es/gazeta/dias/1823/02/19/pdfs/GMD-1823-53.pdf#page=2","Abrir facsímil")</f>
        <v>Abrir facsímil</v>
      </c>
      <c r="K10794" t="s">
        <v>23</v>
      </c>
    </row>
    <row r="10795" spans="1:11" ht="42" customHeight="1">
      <c r="A10795" t="s">
        <v>21364</v>
      </c>
      <c r="B10795" t="s">
        <v>21365</v>
      </c>
      <c r="C10795" t="s">
        <v>56</v>
      </c>
      <c r="D10795" t="s">
        <v>57</v>
      </c>
      <c r="E10795" s="6">
        <v>-28095</v>
      </c>
      <c r="F10795" t="s">
        <v>1770</v>
      </c>
      <c r="G10795" t="s">
        <v>20</v>
      </c>
      <c r="H10795" t="s">
        <v>21</v>
      </c>
      <c r="I10795" t="s">
        <v>21366</v>
      </c>
      <c r="J10795" t="str">
        <f>HYPERLINK("https://www.boe.es/gazeta/dias/1823/01/28/pdfs/GMD-1823-29.pdf#page=4","Abrir facsímil")</f>
        <v>Abrir facsímil</v>
      </c>
      <c r="K10795" t="s">
        <v>23</v>
      </c>
    </row>
    <row r="10796" spans="1:11" ht="42" customHeight="1">
      <c r="A10796" t="s">
        <v>21367</v>
      </c>
      <c r="B10796" t="s">
        <v>21368</v>
      </c>
      <c r="C10796" t="s">
        <v>109</v>
      </c>
      <c r="D10796" t="s">
        <v>74</v>
      </c>
      <c r="E10796" s="6">
        <v>-27995</v>
      </c>
      <c r="F10796" t="s">
        <v>320</v>
      </c>
      <c r="G10796" t="s">
        <v>39</v>
      </c>
      <c r="H10796" t="s">
        <v>28</v>
      </c>
      <c r="I10796" t="s">
        <v>21369</v>
      </c>
      <c r="J10796" t="str">
        <f>HYPERLINK("https://www.boe.es/gazeta/dias/1823/05/08/pdfs/GES-1823-28.pdf#page=1","Abrir facsímil")</f>
        <v>Abrir facsímil</v>
      </c>
      <c r="K10796" t="s">
        <v>30</v>
      </c>
    </row>
    <row r="10797" spans="1:11" ht="42" customHeight="1">
      <c r="A10797" t="s">
        <v>21370</v>
      </c>
      <c r="B10797" t="s">
        <v>21371</v>
      </c>
      <c r="C10797" t="s">
        <v>17</v>
      </c>
      <c r="D10797" t="s">
        <v>18</v>
      </c>
      <c r="E10797" s="6">
        <v>-28066</v>
      </c>
      <c r="F10797" t="s">
        <v>19</v>
      </c>
      <c r="G10797" t="s">
        <v>20</v>
      </c>
      <c r="H10797" t="s">
        <v>21</v>
      </c>
      <c r="I10797" t="s">
        <v>21372</v>
      </c>
      <c r="J10797" t="str">
        <f>HYPERLINK("https://www.boe.es/gazeta/dias/1823/02/26/pdfs/GMD-1823-60.pdf#page=4","Abrir facsímil")</f>
        <v>Abrir facsímil</v>
      </c>
      <c r="K10797" t="s">
        <v>23</v>
      </c>
    </row>
    <row r="10798" spans="1:11" ht="42" customHeight="1">
      <c r="A10798" t="s">
        <v>21373</v>
      </c>
      <c r="B10798" t="s">
        <v>21374</v>
      </c>
      <c r="C10798" t="s">
        <v>17</v>
      </c>
      <c r="D10798" t="s">
        <v>18</v>
      </c>
      <c r="E10798" s="6">
        <v>-28087</v>
      </c>
      <c r="F10798" t="s">
        <v>3125</v>
      </c>
      <c r="G10798" t="s">
        <v>27</v>
      </c>
      <c r="H10798" t="s">
        <v>21</v>
      </c>
      <c r="I10798" t="s">
        <v>21375</v>
      </c>
      <c r="J10798" t="str">
        <f>HYPERLINK("https://www.boe.es/gazeta/dias/1823/02/05/pdfs/GMD-1823-38.pdf#page=2","Abrir facsímil")</f>
        <v>Abrir facsímil</v>
      </c>
      <c r="K10798" t="s">
        <v>23</v>
      </c>
    </row>
    <row r="10799" spans="1:11" ht="42" customHeight="1">
      <c r="A10799" t="s">
        <v>21376</v>
      </c>
      <c r="B10799" t="s">
        <v>21377</v>
      </c>
      <c r="C10799" t="s">
        <v>56</v>
      </c>
      <c r="D10799" t="s">
        <v>57</v>
      </c>
      <c r="E10799" s="6">
        <v>-27766</v>
      </c>
      <c r="F10799" t="s">
        <v>3450</v>
      </c>
      <c r="G10799" t="s">
        <v>20</v>
      </c>
      <c r="H10799" t="s">
        <v>21</v>
      </c>
      <c r="I10799" t="s">
        <v>21378</v>
      </c>
      <c r="J10799" t="str">
        <f>HYPERLINK("https://www.boe.es/gazeta/dias/1823/12/23/pdfs/GMD-1823-1283.pdf#page=4","Abrir facsímil")</f>
        <v>Abrir facsímil</v>
      </c>
      <c r="K10799" t="s">
        <v>23</v>
      </c>
    </row>
    <row r="10800" spans="1:11" ht="42" customHeight="1">
      <c r="A10800" t="s">
        <v>21379</v>
      </c>
      <c r="B10800" t="s">
        <v>21380</v>
      </c>
      <c r="C10800" t="s">
        <v>17</v>
      </c>
      <c r="D10800" t="s">
        <v>18</v>
      </c>
      <c r="E10800" s="6">
        <v>-28092</v>
      </c>
      <c r="F10800" t="s">
        <v>105</v>
      </c>
      <c r="G10800" t="s">
        <v>59</v>
      </c>
      <c r="H10800" t="s">
        <v>21</v>
      </c>
      <c r="I10800" t="s">
        <v>21381</v>
      </c>
      <c r="J10800" t="str">
        <f>HYPERLINK("https://www.boe.es/gazeta/dias/1823/01/31/pdfs/GMD-1823-32.pdf#page=6","Abrir facsímil")</f>
        <v>Abrir facsímil</v>
      </c>
      <c r="K10800" t="s">
        <v>23</v>
      </c>
    </row>
    <row r="10801" spans="1:11" ht="42" customHeight="1">
      <c r="A10801" t="s">
        <v>21382</v>
      </c>
      <c r="B10801" t="s">
        <v>21382</v>
      </c>
      <c r="C10801" t="s">
        <v>17</v>
      </c>
      <c r="D10801" t="s">
        <v>18</v>
      </c>
      <c r="E10801" s="6">
        <v>-27923</v>
      </c>
      <c r="F10801" t="s">
        <v>354</v>
      </c>
      <c r="G10801" t="s">
        <v>27</v>
      </c>
      <c r="H10801" t="s">
        <v>21</v>
      </c>
      <c r="I10801" t="s">
        <v>21383</v>
      </c>
      <c r="J10801" t="str">
        <f>HYPERLINK("https://www.boe.es/gazeta/dias/1823/07/19/pdfs/GES-1823-100.pdf#page=2","Abrir facsímil")</f>
        <v>Abrir facsímil</v>
      </c>
      <c r="K10801" t="s">
        <v>23</v>
      </c>
    </row>
    <row r="10802" spans="1:11" ht="42" customHeight="1">
      <c r="A10802" t="s">
        <v>21384</v>
      </c>
      <c r="B10802" t="s">
        <v>21384</v>
      </c>
      <c r="C10802" t="s">
        <v>84</v>
      </c>
      <c r="D10802" t="s">
        <v>74</v>
      </c>
      <c r="E10802" s="6">
        <v>-27947</v>
      </c>
      <c r="F10802" t="s">
        <v>2144</v>
      </c>
      <c r="G10802" t="s">
        <v>27</v>
      </c>
      <c r="H10802" t="s">
        <v>21</v>
      </c>
      <c r="I10802" t="s">
        <v>21385</v>
      </c>
      <c r="J10802" t="str">
        <f>HYPERLINK("https://www.boe.es/gazeta/dias/1823/06/25/pdfs/GES-1823-75.pdf#page=2","Abrir facsímil")</f>
        <v>Abrir facsímil</v>
      </c>
      <c r="K10802" t="s">
        <v>23</v>
      </c>
    </row>
    <row r="10803" spans="1:11" ht="42" customHeight="1">
      <c r="A10803" t="s">
        <v>21386</v>
      </c>
      <c r="B10803" t="s">
        <v>21387</v>
      </c>
      <c r="C10803" t="s">
        <v>56</v>
      </c>
      <c r="D10803" t="s">
        <v>57</v>
      </c>
      <c r="E10803" s="6">
        <v>-28061</v>
      </c>
      <c r="F10803" t="s">
        <v>704</v>
      </c>
      <c r="G10803" t="s">
        <v>59</v>
      </c>
      <c r="H10803" t="s">
        <v>28</v>
      </c>
      <c r="I10803" t="s">
        <v>21388</v>
      </c>
      <c r="J10803" t="str">
        <f>HYPERLINK("https://www.boe.es/gazeta/dias/1823/03/03/pdfs/GMD-1823-66.pdf#page=6","Abrir facsímil")</f>
        <v>Abrir facsímil</v>
      </c>
      <c r="K10803" t="s">
        <v>30</v>
      </c>
    </row>
    <row r="10804" spans="1:11" ht="42" customHeight="1">
      <c r="A10804" t="s">
        <v>21389</v>
      </c>
      <c r="B10804" t="s">
        <v>21390</v>
      </c>
      <c r="C10804" t="s">
        <v>17</v>
      </c>
      <c r="D10804" t="s">
        <v>117</v>
      </c>
      <c r="E10804" s="6">
        <v>-27912</v>
      </c>
      <c r="F10804" t="s">
        <v>2353</v>
      </c>
      <c r="G10804" t="s">
        <v>39</v>
      </c>
      <c r="H10804" t="s">
        <v>21</v>
      </c>
      <c r="I10804" t="s">
        <v>21391</v>
      </c>
      <c r="J10804" t="str">
        <f>HYPERLINK("https://www.boe.es/gazeta/dias/1823/07/30/pdfs/GMD-1823-493E.pdf#page=1","Abrir facsímil")</f>
        <v>Abrir facsímil</v>
      </c>
      <c r="K10804" t="s">
        <v>23</v>
      </c>
    </row>
    <row r="10805" spans="1:11" ht="42" customHeight="1">
      <c r="A10805" t="s">
        <v>21392</v>
      </c>
      <c r="B10805" t="s">
        <v>21393</v>
      </c>
      <c r="C10805" t="s">
        <v>109</v>
      </c>
      <c r="D10805" t="s">
        <v>74</v>
      </c>
      <c r="E10805" s="6">
        <v>-27981</v>
      </c>
      <c r="F10805" t="s">
        <v>1521</v>
      </c>
      <c r="G10805" t="s">
        <v>2395</v>
      </c>
      <c r="H10805" t="s">
        <v>21</v>
      </c>
      <c r="I10805" t="s">
        <v>21394</v>
      </c>
      <c r="J10805" t="str">
        <f>HYPERLINK("https://www.boe.es/gazeta/dias/1823/05/22/pdfs/GES-1823-43.pdf#page=2","Abrir facsímil")</f>
        <v>Abrir facsímil</v>
      </c>
      <c r="K10805" t="s">
        <v>23</v>
      </c>
    </row>
    <row r="10806" spans="1:11" ht="42" customHeight="1">
      <c r="A10806" t="s">
        <v>21395</v>
      </c>
      <c r="B10806" t="s">
        <v>21396</v>
      </c>
      <c r="C10806" t="s">
        <v>17</v>
      </c>
      <c r="D10806" t="s">
        <v>18</v>
      </c>
      <c r="E10806" s="6">
        <v>-27909</v>
      </c>
      <c r="F10806" t="s">
        <v>948</v>
      </c>
      <c r="G10806" t="s">
        <v>27</v>
      </c>
      <c r="H10806" t="s">
        <v>21</v>
      </c>
      <c r="I10806" t="s">
        <v>21397</v>
      </c>
      <c r="J10806" t="str">
        <f>HYPERLINK("https://www.boe.es/gazeta/dias/1823/08/02/pdfs/GES-1823-114.pdf#page=2","Abrir facsímil")</f>
        <v>Abrir facsímil</v>
      </c>
      <c r="K10806" t="s">
        <v>23</v>
      </c>
    </row>
    <row r="10807" spans="1:11" ht="42" customHeight="1">
      <c r="A10807" t="s">
        <v>21398</v>
      </c>
      <c r="B10807" t="s">
        <v>21399</v>
      </c>
      <c r="C10807" t="s">
        <v>56</v>
      </c>
      <c r="D10807" t="s">
        <v>57</v>
      </c>
      <c r="E10807" s="6">
        <v>-27906</v>
      </c>
      <c r="F10807" t="s">
        <v>1527</v>
      </c>
      <c r="G10807" t="s">
        <v>39</v>
      </c>
      <c r="H10807" t="s">
        <v>21</v>
      </c>
      <c r="I10807" t="s">
        <v>21400</v>
      </c>
      <c r="J10807" t="str">
        <f>HYPERLINK("https://www.boe.es/gazeta/dias/1823/08/05/pdfs/GMD-1823-533.pdf#page=1","Abrir facsímil")</f>
        <v>Abrir facsímil</v>
      </c>
      <c r="K10807" t="s">
        <v>23</v>
      </c>
    </row>
    <row r="10808" spans="1:11" ht="42" customHeight="1">
      <c r="A10808" t="s">
        <v>21401</v>
      </c>
      <c r="B10808" t="s">
        <v>21402</v>
      </c>
      <c r="C10808" t="s">
        <v>84</v>
      </c>
      <c r="D10808" t="s">
        <v>74</v>
      </c>
      <c r="E10808" s="6">
        <v>-27862</v>
      </c>
      <c r="F10808" t="s">
        <v>1530</v>
      </c>
      <c r="G10808" t="s">
        <v>20</v>
      </c>
      <c r="H10808" t="s">
        <v>21</v>
      </c>
      <c r="I10808" t="s">
        <v>21403</v>
      </c>
      <c r="J10808" t="str">
        <f>HYPERLINK("https://www.boe.es/gazeta/dias/1823/09/18/pdfs/GMD-1823-803.pdf#page=4","Abrir facsímil")</f>
        <v>Abrir facsímil</v>
      </c>
      <c r="K10808" t="s">
        <v>23</v>
      </c>
    </row>
    <row r="10809" spans="1:11" ht="42" customHeight="1">
      <c r="A10809" t="s">
        <v>21404</v>
      </c>
      <c r="B10809" t="s">
        <v>21404</v>
      </c>
      <c r="C10809" t="s">
        <v>1477</v>
      </c>
      <c r="D10809" t="s">
        <v>57</v>
      </c>
      <c r="E10809" s="6">
        <v>-28088</v>
      </c>
      <c r="F10809" t="s">
        <v>542</v>
      </c>
      <c r="G10809" t="s">
        <v>27</v>
      </c>
      <c r="H10809" t="s">
        <v>21</v>
      </c>
      <c r="I10809" t="s">
        <v>21405</v>
      </c>
      <c r="J10809" t="str">
        <f>HYPERLINK("https://www.boe.es/gazeta/dias/1823/02/04/pdfs/GMD-1823-37.pdf#page=2","Abrir facsímil")</f>
        <v>Abrir facsímil</v>
      </c>
      <c r="K10809" t="s">
        <v>23</v>
      </c>
    </row>
    <row r="10810" spans="1:11" ht="42" customHeight="1">
      <c r="A10810" t="s">
        <v>21406</v>
      </c>
      <c r="B10810" t="s">
        <v>21406</v>
      </c>
      <c r="C10810" t="s">
        <v>109</v>
      </c>
      <c r="D10810" t="s">
        <v>74</v>
      </c>
      <c r="E10810" s="6">
        <v>-28011</v>
      </c>
      <c r="F10810" t="s">
        <v>3326</v>
      </c>
      <c r="G10810" t="s">
        <v>20</v>
      </c>
      <c r="H10810" t="s">
        <v>21</v>
      </c>
      <c r="I10810" t="s">
        <v>21407</v>
      </c>
      <c r="J10810" t="str">
        <f>HYPERLINK("https://www.boe.es/gazeta/dias/1823/04/22/pdfs/GES-1823-12.pdf#page=4","Abrir facsímil")</f>
        <v>Abrir facsímil</v>
      </c>
      <c r="K10810" t="s">
        <v>23</v>
      </c>
    </row>
    <row r="10811" spans="1:11" ht="42" customHeight="1">
      <c r="A10811" t="s">
        <v>21408</v>
      </c>
      <c r="B10811" t="s">
        <v>21409</v>
      </c>
      <c r="C10811" t="s">
        <v>17</v>
      </c>
      <c r="D10811" t="s">
        <v>18</v>
      </c>
      <c r="E10811" s="6">
        <v>-27853</v>
      </c>
      <c r="F10811" t="s">
        <v>539</v>
      </c>
      <c r="G10811" t="s">
        <v>20</v>
      </c>
      <c r="H10811" t="s">
        <v>21</v>
      </c>
      <c r="I10811" t="s">
        <v>21410</v>
      </c>
      <c r="J10811" t="str">
        <f>HYPERLINK("https://www.boe.es/gazeta/dias/1823/09/27/pdfs/GMD-1823-863.pdf#page=4","Abrir facsímil")</f>
        <v>Abrir facsímil</v>
      </c>
      <c r="K10811" t="s">
        <v>23</v>
      </c>
    </row>
    <row r="10812" spans="1:11" ht="42" customHeight="1">
      <c r="A10812" t="s">
        <v>21411</v>
      </c>
      <c r="B10812" t="s">
        <v>21411</v>
      </c>
      <c r="C10812" t="s">
        <v>79</v>
      </c>
      <c r="D10812" t="s">
        <v>74</v>
      </c>
      <c r="E10812" s="6">
        <v>-27853</v>
      </c>
      <c r="F10812" t="s">
        <v>539</v>
      </c>
      <c r="G10812" t="s">
        <v>20</v>
      </c>
      <c r="H10812" t="s">
        <v>21</v>
      </c>
      <c r="I10812" t="s">
        <v>21412</v>
      </c>
      <c r="J10812" t="str">
        <f>HYPERLINK("https://www.boe.es/gazeta/dias/1823/09/27/pdfs/GMD-1823-863.pdf#page=4","Abrir facsímil")</f>
        <v>Abrir facsímil</v>
      </c>
      <c r="K10812" t="s">
        <v>23</v>
      </c>
    </row>
    <row r="10813" spans="1:11" ht="42" customHeight="1">
      <c r="A10813" t="s">
        <v>21413</v>
      </c>
      <c r="B10813" t="s">
        <v>21414</v>
      </c>
      <c r="C10813" t="s">
        <v>17</v>
      </c>
      <c r="D10813" t="s">
        <v>18</v>
      </c>
      <c r="E10813" s="6">
        <v>-28027</v>
      </c>
      <c r="F10813" t="s">
        <v>4234</v>
      </c>
      <c r="G10813" t="s">
        <v>27</v>
      </c>
      <c r="H10813" t="s">
        <v>21</v>
      </c>
      <c r="I10813" t="s">
        <v>21415</v>
      </c>
      <c r="J10813" t="str">
        <f>HYPERLINK("https://www.boe.es/gazeta/dias/1823/04/06/pdfs/GMD-1823-101.pdf#page=2","Abrir facsímil")</f>
        <v>Abrir facsímil</v>
      </c>
      <c r="K10813" t="s">
        <v>23</v>
      </c>
    </row>
    <row r="10814" spans="1:11" ht="42" customHeight="1">
      <c r="A10814" t="s">
        <v>21416</v>
      </c>
      <c r="B10814" t="s">
        <v>21417</v>
      </c>
      <c r="C10814" t="s">
        <v>17</v>
      </c>
      <c r="D10814" t="s">
        <v>18</v>
      </c>
      <c r="E10814" s="6">
        <v>-27860</v>
      </c>
      <c r="F10814" t="s">
        <v>998</v>
      </c>
      <c r="G10814" t="s">
        <v>715</v>
      </c>
      <c r="H10814" t="s">
        <v>21</v>
      </c>
      <c r="I10814" t="s">
        <v>21418</v>
      </c>
      <c r="J10814" t="str">
        <f>HYPERLINK("https://www.boe.es/gazeta/dias/1823/09/20/pdfs/GMD-1823-813.pdf#page=8","Abrir facsímil")</f>
        <v>Abrir facsímil</v>
      </c>
      <c r="K10814" t="s">
        <v>23</v>
      </c>
    </row>
    <row r="10815" spans="1:11" ht="42" customHeight="1">
      <c r="A10815" t="s">
        <v>21419</v>
      </c>
      <c r="B10815" t="s">
        <v>21419</v>
      </c>
      <c r="C10815" t="s">
        <v>109</v>
      </c>
      <c r="D10815" t="s">
        <v>74</v>
      </c>
      <c r="E10815" s="6">
        <v>-27999</v>
      </c>
      <c r="F10815" t="s">
        <v>97</v>
      </c>
      <c r="G10815" t="s">
        <v>20</v>
      </c>
      <c r="H10815" t="s">
        <v>21</v>
      </c>
      <c r="I10815" t="s">
        <v>21420</v>
      </c>
      <c r="J10815" t="str">
        <f>HYPERLINK("https://www.boe.es/gazeta/dias/1823/05/04/pdfs/GES-1823-24.pdf#page=4","Abrir facsímil")</f>
        <v>Abrir facsímil</v>
      </c>
      <c r="K10815" t="s">
        <v>23</v>
      </c>
    </row>
    <row r="10816" spans="1:11" ht="42" customHeight="1">
      <c r="A10816" t="s">
        <v>21421</v>
      </c>
      <c r="B10816" t="s">
        <v>21422</v>
      </c>
      <c r="C10816" t="s">
        <v>17</v>
      </c>
      <c r="D10816" t="s">
        <v>18</v>
      </c>
      <c r="E10816" s="6">
        <v>-27853</v>
      </c>
      <c r="F10816" t="s">
        <v>539</v>
      </c>
      <c r="G10816" t="s">
        <v>20</v>
      </c>
      <c r="H10816" t="s">
        <v>21</v>
      </c>
      <c r="I10816" t="s">
        <v>21423</v>
      </c>
      <c r="J10816" t="str">
        <f>HYPERLINK("https://www.boe.es/gazeta/dias/1823/09/27/pdfs/GMD-1823-863.pdf#page=4","Abrir facsímil")</f>
        <v>Abrir facsímil</v>
      </c>
      <c r="K10816" t="s">
        <v>23</v>
      </c>
    </row>
    <row r="10817" spans="1:11" ht="42" customHeight="1">
      <c r="A10817" t="s">
        <v>21424</v>
      </c>
      <c r="B10817" t="s">
        <v>21425</v>
      </c>
      <c r="C10817" t="s">
        <v>79</v>
      </c>
      <c r="D10817" t="s">
        <v>74</v>
      </c>
      <c r="E10817" s="6">
        <v>-27903</v>
      </c>
      <c r="F10817" t="s">
        <v>110</v>
      </c>
      <c r="G10817" t="s">
        <v>39</v>
      </c>
      <c r="H10817" t="s">
        <v>21</v>
      </c>
      <c r="I10817" t="s">
        <v>21426</v>
      </c>
      <c r="J10817" t="str">
        <f>HYPERLINK("https://www.boe.es/gazeta/dias/1823/08/08/pdfs/GES-1823-121.pdf#page=1","Abrir facsímil")</f>
        <v>Abrir facsímil</v>
      </c>
      <c r="K10817" t="s">
        <v>23</v>
      </c>
    </row>
    <row r="10818" spans="1:11" ht="42" customHeight="1">
      <c r="A10818" t="s">
        <v>21427</v>
      </c>
      <c r="B10818" t="s">
        <v>21428</v>
      </c>
      <c r="C10818" t="s">
        <v>17</v>
      </c>
      <c r="D10818" t="s">
        <v>18</v>
      </c>
      <c r="E10818" s="6">
        <v>-28116</v>
      </c>
      <c r="F10818" t="s">
        <v>134</v>
      </c>
      <c r="G10818" t="s">
        <v>59</v>
      </c>
      <c r="H10818" t="s">
        <v>21</v>
      </c>
      <c r="I10818" t="s">
        <v>21429</v>
      </c>
      <c r="J10818" t="str">
        <f>HYPERLINK("https://www.boe.es/gazeta/dias/1823/01/07/pdfs/GMD-1823-7.pdf#page=6","Abrir facsímil")</f>
        <v>Abrir facsímil</v>
      </c>
      <c r="K10818" t="s">
        <v>23</v>
      </c>
    </row>
    <row r="10819" spans="1:11" ht="42" customHeight="1">
      <c r="A10819" t="s">
        <v>21430</v>
      </c>
      <c r="B10819" t="s">
        <v>21431</v>
      </c>
      <c r="C10819" t="s">
        <v>109</v>
      </c>
      <c r="D10819" t="s">
        <v>74</v>
      </c>
      <c r="E10819" s="6">
        <v>-28058</v>
      </c>
      <c r="F10819" t="s">
        <v>1282</v>
      </c>
      <c r="G10819" t="s">
        <v>48</v>
      </c>
      <c r="H10819" t="s">
        <v>21</v>
      </c>
      <c r="I10819" t="s">
        <v>21432</v>
      </c>
      <c r="J10819" t="str">
        <f>HYPERLINK("https://www.boe.es/gazeta/dias/1823/03/06/pdfs/GMD-1823-69.pdf#page=3","Abrir facsímil")</f>
        <v>Abrir facsímil</v>
      </c>
      <c r="K10819" t="s">
        <v>23</v>
      </c>
    </row>
    <row r="10820" spans="1:11" ht="42" customHeight="1">
      <c r="A10820" t="s">
        <v>21433</v>
      </c>
      <c r="B10820" t="s">
        <v>21434</v>
      </c>
      <c r="C10820" t="s">
        <v>56</v>
      </c>
      <c r="D10820" t="s">
        <v>57</v>
      </c>
      <c r="E10820" s="6">
        <v>-28064</v>
      </c>
      <c r="F10820" t="s">
        <v>1190</v>
      </c>
      <c r="G10820" t="s">
        <v>20</v>
      </c>
      <c r="H10820" t="s">
        <v>21</v>
      </c>
      <c r="I10820" t="s">
        <v>21435</v>
      </c>
      <c r="J10820" t="str">
        <f>HYPERLINK("https://www.boe.es/gazeta/dias/1823/02/28/pdfs/GMD-1823-62.pdf#page=4","Abrir facsímil")</f>
        <v>Abrir facsímil</v>
      </c>
      <c r="K10820" t="s">
        <v>23</v>
      </c>
    </row>
    <row r="10821" spans="1:11" ht="42" customHeight="1">
      <c r="A10821" t="s">
        <v>21436</v>
      </c>
      <c r="B10821" t="s">
        <v>21437</v>
      </c>
      <c r="C10821" t="s">
        <v>79</v>
      </c>
      <c r="D10821" t="s">
        <v>74</v>
      </c>
      <c r="E10821" s="6">
        <v>-27962</v>
      </c>
      <c r="F10821" t="s">
        <v>594</v>
      </c>
      <c r="G10821" t="s">
        <v>20</v>
      </c>
      <c r="H10821" t="s">
        <v>21</v>
      </c>
      <c r="I10821" t="s">
        <v>21438</v>
      </c>
      <c r="J10821" t="str">
        <f>HYPERLINK("https://www.boe.es/gazeta/dias/1823/06/10/pdfs/GES-1823-64.pdf#page=4","Abrir facsímil")</f>
        <v>Abrir facsímil</v>
      </c>
      <c r="K10821" t="s">
        <v>23</v>
      </c>
    </row>
    <row r="10822" spans="1:11" ht="42" customHeight="1">
      <c r="A10822" t="s">
        <v>21439</v>
      </c>
      <c r="B10822" t="s">
        <v>21440</v>
      </c>
      <c r="C10822" t="s">
        <v>17</v>
      </c>
      <c r="D10822" t="s">
        <v>18</v>
      </c>
      <c r="E10822" s="6">
        <v>-28013</v>
      </c>
      <c r="F10822" t="s">
        <v>2466</v>
      </c>
      <c r="G10822" t="s">
        <v>2467</v>
      </c>
      <c r="H10822" t="s">
        <v>21</v>
      </c>
      <c r="I10822" t="s">
        <v>21441</v>
      </c>
      <c r="J10822" t="str">
        <f>HYPERLINK("https://www.boe.es/gazeta/dias/1823/04/20/pdfs/GES-1823-10.pdf#page=3","Abrir facsímil")</f>
        <v>Abrir facsímil</v>
      </c>
      <c r="K10822" t="s">
        <v>23</v>
      </c>
    </row>
    <row r="10823" spans="1:11" ht="42" customHeight="1">
      <c r="A10823" t="s">
        <v>21442</v>
      </c>
      <c r="B10823" t="s">
        <v>21443</v>
      </c>
      <c r="C10823" t="s">
        <v>79</v>
      </c>
      <c r="D10823" t="s">
        <v>74</v>
      </c>
      <c r="E10823" s="6">
        <v>-27965</v>
      </c>
      <c r="F10823" t="s">
        <v>1930</v>
      </c>
      <c r="G10823" t="s">
        <v>27</v>
      </c>
      <c r="H10823" t="s">
        <v>21</v>
      </c>
      <c r="I10823" t="s">
        <v>21444</v>
      </c>
      <c r="J10823" t="str">
        <f>HYPERLINK("https://www.boe.es/gazeta/dias/1823/06/07/pdfs/GMD-1823-83.pdf#page=2","Abrir facsímil")</f>
        <v>Abrir facsímil</v>
      </c>
      <c r="K10823" t="s">
        <v>23</v>
      </c>
    </row>
    <row r="10824" spans="1:11" ht="42" customHeight="1">
      <c r="A10824" t="s">
        <v>21445</v>
      </c>
      <c r="B10824" t="s">
        <v>21446</v>
      </c>
      <c r="C10824" t="s">
        <v>109</v>
      </c>
      <c r="D10824" t="s">
        <v>74</v>
      </c>
      <c r="E10824" s="6">
        <v>-28056</v>
      </c>
      <c r="F10824" t="s">
        <v>572</v>
      </c>
      <c r="G10824" t="s">
        <v>48</v>
      </c>
      <c r="H10824" t="s">
        <v>21</v>
      </c>
      <c r="I10824" t="s">
        <v>21447</v>
      </c>
      <c r="J10824" t="str">
        <f>HYPERLINK("https://www.boe.es/gazeta/dias/1823/03/08/pdfs/GMD-1823-71.pdf#page=3","Abrir facsímil")</f>
        <v>Abrir facsímil</v>
      </c>
      <c r="K10824" t="s">
        <v>23</v>
      </c>
    </row>
    <row r="10825" spans="1:11" ht="42" customHeight="1">
      <c r="A10825" t="s">
        <v>21448</v>
      </c>
      <c r="B10825" t="s">
        <v>21449</v>
      </c>
      <c r="C10825" t="s">
        <v>84</v>
      </c>
      <c r="D10825" t="s">
        <v>74</v>
      </c>
      <c r="E10825" s="6">
        <v>-27982</v>
      </c>
      <c r="F10825" t="s">
        <v>340</v>
      </c>
      <c r="G10825" t="s">
        <v>27</v>
      </c>
      <c r="H10825" t="s">
        <v>21</v>
      </c>
      <c r="I10825" t="s">
        <v>21450</v>
      </c>
      <c r="J10825" t="str">
        <f>HYPERLINK("https://www.boe.es/gazeta/dias/1823/05/21/pdfs/GES-1823-42.pdf#page=2","Abrir facsímil")</f>
        <v>Abrir facsímil</v>
      </c>
      <c r="K10825" t="s">
        <v>23</v>
      </c>
    </row>
    <row r="10826" spans="1:11" ht="42" customHeight="1">
      <c r="A10826" t="s">
        <v>21451</v>
      </c>
      <c r="B10826" t="s">
        <v>21452</v>
      </c>
      <c r="C10826" t="s">
        <v>79</v>
      </c>
      <c r="D10826" t="s">
        <v>74</v>
      </c>
      <c r="E10826" s="6">
        <v>-28031</v>
      </c>
      <c r="F10826" t="s">
        <v>1211</v>
      </c>
      <c r="G10826" t="s">
        <v>20</v>
      </c>
      <c r="H10826" t="s">
        <v>21</v>
      </c>
      <c r="I10826" t="s">
        <v>21453</v>
      </c>
      <c r="J10826" t="str">
        <f>HYPERLINK("https://www.boe.es/gazeta/dias/1823/04/02/pdfs/GMD-1823-96.pdf#page=4","Abrir facsímil")</f>
        <v>Abrir facsímil</v>
      </c>
      <c r="K10826" t="s">
        <v>23</v>
      </c>
    </row>
    <row r="10827" spans="1:11" ht="42" customHeight="1">
      <c r="A10827" t="s">
        <v>21454</v>
      </c>
      <c r="B10827" t="s">
        <v>21454</v>
      </c>
      <c r="C10827" t="s">
        <v>17</v>
      </c>
      <c r="D10827" t="s">
        <v>18</v>
      </c>
      <c r="E10827" s="6">
        <v>-28059</v>
      </c>
      <c r="F10827" t="s">
        <v>149</v>
      </c>
      <c r="G10827" t="s">
        <v>27</v>
      </c>
      <c r="H10827" t="s">
        <v>21</v>
      </c>
      <c r="I10827" t="s">
        <v>21455</v>
      </c>
      <c r="J10827" t="str">
        <f>HYPERLINK("https://www.boe.es/gazeta/dias/1823/03/05/pdfs/GMD-1823-68.pdf#page=2","Abrir facsímil")</f>
        <v>Abrir facsímil</v>
      </c>
      <c r="K10827" t="s">
        <v>23</v>
      </c>
    </row>
    <row r="10828" spans="1:11" ht="42" customHeight="1">
      <c r="A10828" t="s">
        <v>21454</v>
      </c>
      <c r="B10828" t="s">
        <v>21454</v>
      </c>
      <c r="C10828" t="s">
        <v>17</v>
      </c>
      <c r="D10828" t="s">
        <v>18</v>
      </c>
      <c r="E10828" s="6">
        <v>-27864</v>
      </c>
      <c r="F10828" t="s">
        <v>395</v>
      </c>
      <c r="G10828" t="s">
        <v>39</v>
      </c>
      <c r="H10828" t="s">
        <v>21</v>
      </c>
      <c r="I10828" t="s">
        <v>21456</v>
      </c>
      <c r="J10828" t="str">
        <f>HYPERLINK("https://www.boe.es/gazeta/dias/1823/09/16/pdfs/GMD-1823-783.pdf#page=1","Abrir facsímil")</f>
        <v>Abrir facsímil</v>
      </c>
      <c r="K10828" t="s">
        <v>23</v>
      </c>
    </row>
    <row r="10829" spans="1:11" ht="42" customHeight="1">
      <c r="A10829" t="s">
        <v>21457</v>
      </c>
      <c r="B10829" t="s">
        <v>21458</v>
      </c>
      <c r="C10829" t="s">
        <v>56</v>
      </c>
      <c r="D10829" t="s">
        <v>57</v>
      </c>
      <c r="E10829" s="6">
        <v>-27759</v>
      </c>
      <c r="F10829" t="s">
        <v>415</v>
      </c>
      <c r="G10829" t="s">
        <v>20</v>
      </c>
      <c r="H10829" t="s">
        <v>21</v>
      </c>
      <c r="I10829" t="s">
        <v>21459</v>
      </c>
      <c r="J10829" t="str">
        <f>HYPERLINK("https://www.boe.es/gazeta/dias/1823/12/30/pdfs/GMD-1823-1313.pdf#page=4","Abrir facsímil")</f>
        <v>Abrir facsímil</v>
      </c>
      <c r="K10829" t="s">
        <v>23</v>
      </c>
    </row>
    <row r="10830" spans="1:11" ht="42" customHeight="1">
      <c r="A10830" t="s">
        <v>21460</v>
      </c>
      <c r="B10830" t="s">
        <v>21461</v>
      </c>
      <c r="C10830" t="s">
        <v>293</v>
      </c>
      <c r="D10830" t="s">
        <v>74</v>
      </c>
      <c r="E10830" s="6">
        <v>-28032</v>
      </c>
      <c r="F10830" t="s">
        <v>668</v>
      </c>
      <c r="G10830" t="s">
        <v>20</v>
      </c>
      <c r="H10830" t="s">
        <v>21</v>
      </c>
      <c r="I10830" t="s">
        <v>21462</v>
      </c>
      <c r="J10830" t="str">
        <f>HYPERLINK("https://www.boe.es/gazeta/dias/1823/04/01/pdfs/GMD-1823-95.pdf#page=4","Abrir facsímil")</f>
        <v>Abrir facsímil</v>
      </c>
      <c r="K10830" t="s">
        <v>23</v>
      </c>
    </row>
    <row r="10831" spans="1:11" ht="42" customHeight="1">
      <c r="A10831" t="s">
        <v>21463</v>
      </c>
      <c r="B10831" t="s">
        <v>21464</v>
      </c>
      <c r="C10831" t="s">
        <v>73</v>
      </c>
      <c r="D10831" t="s">
        <v>74</v>
      </c>
      <c r="E10831" s="6">
        <v>-28049</v>
      </c>
      <c r="F10831" t="s">
        <v>198</v>
      </c>
      <c r="G10831" t="s">
        <v>48</v>
      </c>
      <c r="H10831" t="s">
        <v>21</v>
      </c>
      <c r="I10831" t="s">
        <v>21465</v>
      </c>
      <c r="J10831" t="str">
        <f>HYPERLINK("https://www.boe.es/gazeta/dias/1823/03/15/pdfs/GMD-1823-78.pdf#page=3","Abrir facsímil")</f>
        <v>Abrir facsímil</v>
      </c>
      <c r="K10831" t="s">
        <v>23</v>
      </c>
    </row>
    <row r="10832" spans="1:11" ht="42" customHeight="1">
      <c r="A10832" t="s">
        <v>21466</v>
      </c>
      <c r="B10832" t="s">
        <v>21467</v>
      </c>
      <c r="C10832" t="s">
        <v>17</v>
      </c>
      <c r="D10832" t="s">
        <v>18</v>
      </c>
      <c r="E10832" s="6">
        <v>-28016</v>
      </c>
      <c r="F10832" t="s">
        <v>287</v>
      </c>
      <c r="G10832" t="s">
        <v>48</v>
      </c>
      <c r="H10832" t="s">
        <v>21</v>
      </c>
      <c r="I10832" t="s">
        <v>21468</v>
      </c>
      <c r="J10832" t="str">
        <f>HYPERLINK("https://www.boe.es/gazeta/dias/1823/04/17/pdfs/GMD-1823-22.pdf#page=3","Abrir facsímil")</f>
        <v>Abrir facsímil</v>
      </c>
      <c r="K10832" t="s">
        <v>23</v>
      </c>
    </row>
    <row r="10833" spans="1:11" ht="42" customHeight="1">
      <c r="A10833" t="s">
        <v>21469</v>
      </c>
      <c r="B10833" t="s">
        <v>21470</v>
      </c>
      <c r="C10833" t="s">
        <v>293</v>
      </c>
      <c r="D10833" t="s">
        <v>74</v>
      </c>
      <c r="E10833" s="6">
        <v>-27952</v>
      </c>
      <c r="F10833" t="s">
        <v>929</v>
      </c>
      <c r="G10833" t="s">
        <v>27</v>
      </c>
      <c r="H10833" t="s">
        <v>21</v>
      </c>
      <c r="I10833" t="s">
        <v>21471</v>
      </c>
      <c r="J10833" t="str">
        <f>HYPERLINK("https://www.boe.es/gazeta/dias/1823/06/20/pdfs/GES-1823-68.pdf#page=2","Abrir facsímil")</f>
        <v>Abrir facsímil</v>
      </c>
      <c r="K10833" t="s">
        <v>23</v>
      </c>
    </row>
    <row r="10834" spans="1:11" ht="42" customHeight="1">
      <c r="A10834" t="s">
        <v>21472</v>
      </c>
      <c r="B10834" t="s">
        <v>21473</v>
      </c>
      <c r="C10834" t="s">
        <v>17</v>
      </c>
      <c r="D10834" t="s">
        <v>18</v>
      </c>
      <c r="E10834" s="6">
        <v>-27903</v>
      </c>
      <c r="F10834" t="s">
        <v>110</v>
      </c>
      <c r="G10834" t="s">
        <v>39</v>
      </c>
      <c r="H10834" t="s">
        <v>21</v>
      </c>
      <c r="I10834" t="s">
        <v>21474</v>
      </c>
      <c r="J10834" t="str">
        <f>HYPERLINK("https://www.boe.es/gazeta/dias/1823/08/08/pdfs/GES-1823-121.pdf#page=1","Abrir facsímil")</f>
        <v>Abrir facsímil</v>
      </c>
      <c r="K10834" t="s">
        <v>23</v>
      </c>
    </row>
    <row r="10835" spans="1:11" ht="42" customHeight="1">
      <c r="A10835" t="s">
        <v>21475</v>
      </c>
      <c r="B10835" t="s">
        <v>21476</v>
      </c>
      <c r="C10835" t="s">
        <v>56</v>
      </c>
      <c r="D10835" t="s">
        <v>57</v>
      </c>
      <c r="E10835" s="6">
        <v>-27993</v>
      </c>
      <c r="F10835" t="s">
        <v>977</v>
      </c>
      <c r="G10835" t="s">
        <v>27</v>
      </c>
      <c r="H10835" t="s">
        <v>21</v>
      </c>
      <c r="I10835" t="s">
        <v>21477</v>
      </c>
      <c r="J10835" t="str">
        <f>HYPERLINK("https://www.boe.es/gazeta/dias/1823/05/10/pdfs/GES-1823-30.pdf#page=2","Abrir facsímil")</f>
        <v>Abrir facsímil</v>
      </c>
      <c r="K10835" t="s">
        <v>23</v>
      </c>
    </row>
    <row r="10836" spans="1:11" ht="42" customHeight="1">
      <c r="A10836" t="s">
        <v>21478</v>
      </c>
      <c r="B10836" t="s">
        <v>21479</v>
      </c>
      <c r="C10836" t="s">
        <v>17</v>
      </c>
      <c r="D10836" t="s">
        <v>18</v>
      </c>
      <c r="E10836" s="6">
        <v>-28103</v>
      </c>
      <c r="F10836" t="s">
        <v>285</v>
      </c>
      <c r="G10836" t="s">
        <v>20</v>
      </c>
      <c r="H10836" t="s">
        <v>21</v>
      </c>
      <c r="I10836" t="s">
        <v>21480</v>
      </c>
      <c r="J10836" t="str">
        <f>HYPERLINK("https://www.boe.es/gazeta/dias/1823/01/20/pdfs/GMD-1823-20.pdf#page=4","Abrir facsímil")</f>
        <v>Abrir facsímil</v>
      </c>
      <c r="K10836" t="s">
        <v>23</v>
      </c>
    </row>
    <row r="10837" spans="1:11" ht="42" customHeight="1">
      <c r="A10837" t="s">
        <v>21481</v>
      </c>
      <c r="B10837" t="s">
        <v>21482</v>
      </c>
      <c r="C10837" t="s">
        <v>293</v>
      </c>
      <c r="D10837" t="s">
        <v>74</v>
      </c>
      <c r="E10837" s="6">
        <v>-27916</v>
      </c>
      <c r="F10837" t="s">
        <v>772</v>
      </c>
      <c r="G10837" t="s">
        <v>4611</v>
      </c>
      <c r="H10837" t="s">
        <v>21</v>
      </c>
      <c r="I10837" t="s">
        <v>21483</v>
      </c>
      <c r="J10837" t="str">
        <f>HYPERLINK("https://www.boe.es/gazeta/dias/1823/07/26/pdfs/GES-1823-107.pdf#page=3","Abrir facsímil")</f>
        <v>Abrir facsímil</v>
      </c>
      <c r="K10837" t="s">
        <v>23</v>
      </c>
    </row>
    <row r="10838" spans="1:11" ht="42" customHeight="1">
      <c r="A10838" t="s">
        <v>21484</v>
      </c>
      <c r="B10838" t="s">
        <v>21485</v>
      </c>
      <c r="C10838" t="s">
        <v>73</v>
      </c>
      <c r="D10838" t="s">
        <v>74</v>
      </c>
      <c r="E10838" s="6">
        <v>-27762</v>
      </c>
      <c r="F10838" t="s">
        <v>1614</v>
      </c>
      <c r="G10838" t="s">
        <v>20</v>
      </c>
      <c r="H10838" t="s">
        <v>21</v>
      </c>
      <c r="I10838" t="s">
        <v>21486</v>
      </c>
      <c r="J10838" t="str">
        <f>HYPERLINK("https://www.boe.es/gazeta/dias/1823/12/27/pdfs/GMD-1823-1303.pdf#page=4","Abrir facsímil")</f>
        <v>Abrir facsímil</v>
      </c>
      <c r="K10838" t="s">
        <v>23</v>
      </c>
    </row>
    <row r="10839" spans="1:11" ht="42" customHeight="1">
      <c r="A10839" t="s">
        <v>21487</v>
      </c>
      <c r="B10839" t="s">
        <v>21487</v>
      </c>
      <c r="C10839" t="s">
        <v>17</v>
      </c>
      <c r="D10839" t="s">
        <v>18</v>
      </c>
      <c r="E10839" s="6">
        <v>-28079</v>
      </c>
      <c r="F10839" t="s">
        <v>178</v>
      </c>
      <c r="G10839" t="s">
        <v>48</v>
      </c>
      <c r="H10839" t="s">
        <v>21</v>
      </c>
      <c r="I10839" t="s">
        <v>21488</v>
      </c>
      <c r="J10839" t="str">
        <f>HYPERLINK("https://www.boe.es/gazeta/dias/1823/02/13/pdfs/GMD-1823-47.pdf#page=3","Abrir facsímil")</f>
        <v>Abrir facsímil</v>
      </c>
      <c r="K10839" t="s">
        <v>23</v>
      </c>
    </row>
    <row r="10840" spans="1:11" ht="42" customHeight="1">
      <c r="A10840" t="s">
        <v>21489</v>
      </c>
      <c r="B10840" t="s">
        <v>21489</v>
      </c>
      <c r="C10840" t="s">
        <v>84</v>
      </c>
      <c r="D10840" t="s">
        <v>74</v>
      </c>
      <c r="E10840" s="6">
        <v>-27885</v>
      </c>
      <c r="F10840" t="s">
        <v>65</v>
      </c>
      <c r="G10840" t="s">
        <v>20</v>
      </c>
      <c r="H10840" t="s">
        <v>21</v>
      </c>
      <c r="I10840" t="s">
        <v>21490</v>
      </c>
      <c r="J10840" t="str">
        <f>HYPERLINK("https://www.boe.es/gazeta/dias/1823/08/26/pdfs/GMD-1823-653.pdf#page=4","Abrir facsímil")</f>
        <v>Abrir facsímil</v>
      </c>
      <c r="K10840" t="s">
        <v>23</v>
      </c>
    </row>
    <row r="10841" spans="1:11" ht="42" customHeight="1">
      <c r="A10841" t="s">
        <v>21491</v>
      </c>
      <c r="B10841" t="s">
        <v>21491</v>
      </c>
      <c r="C10841" t="s">
        <v>17</v>
      </c>
      <c r="D10841" t="s">
        <v>18</v>
      </c>
      <c r="E10841" s="6">
        <v>-28116</v>
      </c>
      <c r="F10841" t="s">
        <v>134</v>
      </c>
      <c r="G10841" t="s">
        <v>59</v>
      </c>
      <c r="H10841" t="s">
        <v>21</v>
      </c>
      <c r="I10841" t="s">
        <v>21492</v>
      </c>
      <c r="J10841" t="str">
        <f>HYPERLINK("https://www.boe.es/gazeta/dias/1823/01/07/pdfs/GMD-1823-7.pdf#page=6","Abrir facsímil")</f>
        <v>Abrir facsímil</v>
      </c>
      <c r="K10841" t="s">
        <v>23</v>
      </c>
    </row>
    <row r="10842" spans="1:11" ht="42" customHeight="1">
      <c r="A10842" t="s">
        <v>21491</v>
      </c>
      <c r="B10842" t="s">
        <v>21491</v>
      </c>
      <c r="C10842" t="s">
        <v>17</v>
      </c>
      <c r="D10842" t="s">
        <v>18</v>
      </c>
      <c r="E10842" s="6">
        <v>-28062</v>
      </c>
      <c r="F10842" t="s">
        <v>1357</v>
      </c>
      <c r="G10842" t="s">
        <v>20</v>
      </c>
      <c r="H10842" t="s">
        <v>21</v>
      </c>
      <c r="I10842" t="s">
        <v>21493</v>
      </c>
      <c r="J10842" t="str">
        <f>HYPERLINK("https://www.boe.es/gazeta/dias/1823/03/02/pdfs/GMD-1823-65.pdf#page=4","Abrir facsímil")</f>
        <v>Abrir facsímil</v>
      </c>
      <c r="K10842" t="s">
        <v>23</v>
      </c>
    </row>
    <row r="10843" spans="1:11" ht="42" customHeight="1">
      <c r="A10843" t="s">
        <v>21491</v>
      </c>
      <c r="B10843" t="s">
        <v>21491</v>
      </c>
      <c r="C10843" t="s">
        <v>79</v>
      </c>
      <c r="D10843" t="s">
        <v>74</v>
      </c>
      <c r="E10843" s="6">
        <v>-28048</v>
      </c>
      <c r="F10843" t="s">
        <v>399</v>
      </c>
      <c r="G10843" t="s">
        <v>20</v>
      </c>
      <c r="H10843" t="s">
        <v>21</v>
      </c>
      <c r="I10843" t="s">
        <v>21494</v>
      </c>
      <c r="J10843" t="str">
        <f>HYPERLINK("https://www.boe.es/gazeta/dias/1823/03/16/pdfs/GMD-1823-79.pdf#page=4","Abrir facsímil")</f>
        <v>Abrir facsímil</v>
      </c>
      <c r="K10843" t="s">
        <v>23</v>
      </c>
    </row>
    <row r="10844" spans="1:11" ht="42" customHeight="1">
      <c r="A10844" t="s">
        <v>21491</v>
      </c>
      <c r="B10844" t="s">
        <v>21491</v>
      </c>
      <c r="C10844" t="s">
        <v>17</v>
      </c>
      <c r="D10844" t="s">
        <v>18</v>
      </c>
      <c r="E10844" s="6">
        <v>-28016</v>
      </c>
      <c r="F10844" t="s">
        <v>2259</v>
      </c>
      <c r="G10844" t="s">
        <v>20</v>
      </c>
      <c r="H10844" t="s">
        <v>21</v>
      </c>
      <c r="I10844" t="s">
        <v>21495</v>
      </c>
      <c r="J10844" t="str">
        <f>HYPERLINK("https://www.boe.es/gazeta/dias/1823/04/17/pdfs/GES-1823-7.pdf#page=4","Abrir facsímil")</f>
        <v>Abrir facsímil</v>
      </c>
      <c r="K10844" t="s">
        <v>23</v>
      </c>
    </row>
    <row r="10845" spans="1:11" ht="42" customHeight="1">
      <c r="A10845" t="s">
        <v>21491</v>
      </c>
      <c r="B10845" t="s">
        <v>21491</v>
      </c>
      <c r="C10845" t="s">
        <v>56</v>
      </c>
      <c r="D10845" t="s">
        <v>57</v>
      </c>
      <c r="E10845" s="6">
        <v>-27964</v>
      </c>
      <c r="F10845" t="s">
        <v>58</v>
      </c>
      <c r="G10845" t="s">
        <v>59</v>
      </c>
      <c r="H10845" t="s">
        <v>21</v>
      </c>
      <c r="I10845" t="s">
        <v>21496</v>
      </c>
      <c r="J10845" t="str">
        <f>HYPERLINK("https://www.boe.es/gazeta/dias/1823/06/08/pdfs/GES-1823-62.pdf#page=6","Abrir facsímil")</f>
        <v>Abrir facsímil</v>
      </c>
      <c r="K10845" t="s">
        <v>23</v>
      </c>
    </row>
    <row r="10846" spans="1:11" ht="42" customHeight="1">
      <c r="A10846" t="s">
        <v>21491</v>
      </c>
      <c r="B10846" t="s">
        <v>21491</v>
      </c>
      <c r="C10846" t="s">
        <v>56</v>
      </c>
      <c r="D10846" t="s">
        <v>57</v>
      </c>
      <c r="E10846" s="6">
        <v>-27935</v>
      </c>
      <c r="F10846" t="s">
        <v>350</v>
      </c>
      <c r="G10846" t="s">
        <v>20</v>
      </c>
      <c r="H10846" t="s">
        <v>21</v>
      </c>
      <c r="I10846" t="s">
        <v>21497</v>
      </c>
      <c r="J10846" t="str">
        <f>HYPERLINK("https://www.boe.es/gazeta/dias/1823/07/07/pdfs/GES-1823-87.pdf#page=4","Abrir facsímil")</f>
        <v>Abrir facsímil</v>
      </c>
      <c r="K10846" t="s">
        <v>23</v>
      </c>
    </row>
    <row r="10847" spans="1:11" ht="42" customHeight="1">
      <c r="A10847" t="s">
        <v>21491</v>
      </c>
      <c r="B10847" t="s">
        <v>21491</v>
      </c>
      <c r="C10847" t="s">
        <v>79</v>
      </c>
      <c r="D10847" t="s">
        <v>74</v>
      </c>
      <c r="E10847" s="6">
        <v>-27895</v>
      </c>
      <c r="F10847" t="s">
        <v>5642</v>
      </c>
      <c r="G10847" t="s">
        <v>20</v>
      </c>
      <c r="H10847" t="s">
        <v>21</v>
      </c>
      <c r="I10847" t="s">
        <v>21498</v>
      </c>
      <c r="J10847" t="str">
        <f>HYPERLINK("https://www.boe.es/gazeta/dias/1823/08/16/pdfs/GMD-1823-603.pdf#page=4","Abrir facsímil")</f>
        <v>Abrir facsímil</v>
      </c>
      <c r="K10847" t="s">
        <v>23</v>
      </c>
    </row>
    <row r="10848" spans="1:11" ht="42" customHeight="1">
      <c r="A10848" t="s">
        <v>21491</v>
      </c>
      <c r="B10848" t="s">
        <v>21491</v>
      </c>
      <c r="C10848" t="s">
        <v>17</v>
      </c>
      <c r="D10848" t="s">
        <v>18</v>
      </c>
      <c r="E10848" s="6">
        <v>-27843</v>
      </c>
      <c r="F10848" t="s">
        <v>790</v>
      </c>
      <c r="G10848" t="s">
        <v>27</v>
      </c>
      <c r="H10848" t="s">
        <v>21</v>
      </c>
      <c r="I10848" t="s">
        <v>21499</v>
      </c>
      <c r="J10848" t="str">
        <f>HYPERLINK("https://www.boe.es/gazeta/dias/1823/10/07/pdfs/GMD-1823-933.pdf#page=2","Abrir facsímil")</f>
        <v>Abrir facsímil</v>
      </c>
      <c r="K10848" t="s">
        <v>23</v>
      </c>
    </row>
    <row r="10849" spans="1:11" ht="42" customHeight="1">
      <c r="A10849" t="s">
        <v>21500</v>
      </c>
      <c r="B10849" t="s">
        <v>21501</v>
      </c>
      <c r="C10849" t="s">
        <v>17</v>
      </c>
      <c r="D10849" t="s">
        <v>18</v>
      </c>
      <c r="E10849" s="6">
        <v>-27922</v>
      </c>
      <c r="F10849" t="s">
        <v>1959</v>
      </c>
      <c r="G10849" t="s">
        <v>20</v>
      </c>
      <c r="H10849" t="s">
        <v>21</v>
      </c>
      <c r="I10849" t="s">
        <v>21502</v>
      </c>
      <c r="J10849" t="str">
        <f>HYPERLINK("https://www.boe.es/gazeta/dias/1823/07/20/pdfs/GES-1823-101.pdf#page=4","Abrir facsímil")</f>
        <v>Abrir facsímil</v>
      </c>
      <c r="K10849" t="s">
        <v>23</v>
      </c>
    </row>
    <row r="10850" spans="1:11" ht="42" customHeight="1">
      <c r="A10850" t="s">
        <v>21503</v>
      </c>
      <c r="B10850" t="s">
        <v>21504</v>
      </c>
      <c r="C10850" t="s">
        <v>17</v>
      </c>
      <c r="D10850" t="s">
        <v>18</v>
      </c>
      <c r="E10850" s="6">
        <v>-28013</v>
      </c>
      <c r="F10850" t="s">
        <v>105</v>
      </c>
      <c r="G10850" t="s">
        <v>27</v>
      </c>
      <c r="H10850" t="s">
        <v>21</v>
      </c>
      <c r="I10850" t="s">
        <v>21505</v>
      </c>
      <c r="J10850" t="str">
        <f>HYPERLINK("https://www.boe.es/gazeta/dias/1823/04/20/pdfs/GMD-1823-32.pdf#page=2","Abrir facsímil")</f>
        <v>Abrir facsímil</v>
      </c>
      <c r="K10850" t="s">
        <v>23</v>
      </c>
    </row>
    <row r="10851" spans="1:11" ht="42" customHeight="1">
      <c r="A10851" t="s">
        <v>21506</v>
      </c>
      <c r="B10851" t="s">
        <v>21507</v>
      </c>
      <c r="C10851" t="s">
        <v>17</v>
      </c>
      <c r="D10851" t="s">
        <v>18</v>
      </c>
      <c r="E10851" s="6">
        <v>-28097</v>
      </c>
      <c r="F10851" t="s">
        <v>1368</v>
      </c>
      <c r="G10851" t="s">
        <v>20</v>
      </c>
      <c r="H10851" t="s">
        <v>21</v>
      </c>
      <c r="I10851" t="s">
        <v>21508</v>
      </c>
      <c r="J10851" t="str">
        <f>HYPERLINK("https://www.boe.es/gazeta/dias/1823/01/26/pdfs/GMD-1823-27.pdf#page=4","Abrir facsímil")</f>
        <v>Abrir facsímil</v>
      </c>
      <c r="K10851" t="s">
        <v>23</v>
      </c>
    </row>
    <row r="10852" spans="1:11" ht="42" customHeight="1">
      <c r="A10852" t="s">
        <v>21509</v>
      </c>
      <c r="B10852" t="s">
        <v>21509</v>
      </c>
      <c r="C10852" t="s">
        <v>17</v>
      </c>
      <c r="D10852" t="s">
        <v>18</v>
      </c>
      <c r="E10852" s="6">
        <v>-28025</v>
      </c>
      <c r="F10852" t="s">
        <v>477</v>
      </c>
      <c r="G10852" t="s">
        <v>27</v>
      </c>
      <c r="H10852" t="s">
        <v>21</v>
      </c>
      <c r="I10852" t="s">
        <v>21510</v>
      </c>
      <c r="J10852" t="str">
        <f>HYPERLINK("https://www.boe.es/gazeta/dias/1823/04/08/pdfs/GMD-1823-103.pdf#page=2","Abrir facsímil")</f>
        <v>Abrir facsímil</v>
      </c>
      <c r="K10852" t="s">
        <v>23</v>
      </c>
    </row>
    <row r="10853" spans="1:11" ht="42" customHeight="1">
      <c r="A10853" t="s">
        <v>21509</v>
      </c>
      <c r="B10853" t="s">
        <v>21509</v>
      </c>
      <c r="C10853" t="s">
        <v>17</v>
      </c>
      <c r="D10853" t="s">
        <v>18</v>
      </c>
      <c r="E10853" s="6">
        <v>-28025</v>
      </c>
      <c r="F10853" t="s">
        <v>477</v>
      </c>
      <c r="G10853" t="s">
        <v>48</v>
      </c>
      <c r="H10853" t="s">
        <v>21</v>
      </c>
      <c r="I10853" t="s">
        <v>21511</v>
      </c>
      <c r="J10853" t="str">
        <f>HYPERLINK("https://www.boe.es/gazeta/dias/1823/04/08/pdfs/GMD-1823-103.pdf#page=3","Abrir facsímil")</f>
        <v>Abrir facsímil</v>
      </c>
      <c r="K10853" t="s">
        <v>23</v>
      </c>
    </row>
    <row r="10854" spans="1:11" ht="42" customHeight="1">
      <c r="A10854" t="s">
        <v>21509</v>
      </c>
      <c r="B10854" t="s">
        <v>21509</v>
      </c>
      <c r="C10854" t="s">
        <v>17</v>
      </c>
      <c r="D10854" t="s">
        <v>18</v>
      </c>
      <c r="E10854" s="6">
        <v>-28021</v>
      </c>
      <c r="F10854" t="s">
        <v>2669</v>
      </c>
      <c r="G10854" t="s">
        <v>48</v>
      </c>
      <c r="H10854" t="s">
        <v>21</v>
      </c>
      <c r="I10854" t="s">
        <v>21512</v>
      </c>
      <c r="J10854" t="str">
        <f>HYPERLINK("https://www.boe.es/gazeta/dias/1823/04/12/pdfs/GES-1823-2.pdf#page=3","Abrir facsímil")</f>
        <v>Abrir facsímil</v>
      </c>
      <c r="K10854" t="s">
        <v>23</v>
      </c>
    </row>
    <row r="10855" spans="1:11" ht="42" customHeight="1">
      <c r="A10855" t="s">
        <v>21509</v>
      </c>
      <c r="B10855" t="s">
        <v>21509</v>
      </c>
      <c r="C10855" t="s">
        <v>17</v>
      </c>
      <c r="D10855" t="s">
        <v>18</v>
      </c>
      <c r="E10855" s="6">
        <v>-28014</v>
      </c>
      <c r="F10855" t="s">
        <v>2805</v>
      </c>
      <c r="G10855" t="s">
        <v>27</v>
      </c>
      <c r="H10855" t="s">
        <v>21</v>
      </c>
      <c r="I10855" t="s">
        <v>21513</v>
      </c>
      <c r="J10855" t="str">
        <f>HYPERLINK("https://www.boe.es/gazeta/dias/1823/04/19/pdfs/GES-1823-9.pdf#page=2","Abrir facsímil")</f>
        <v>Abrir facsímil</v>
      </c>
      <c r="K10855" t="s">
        <v>23</v>
      </c>
    </row>
    <row r="10856" spans="1:11" ht="42" customHeight="1">
      <c r="A10856" t="s">
        <v>21509</v>
      </c>
      <c r="B10856" t="s">
        <v>21509</v>
      </c>
      <c r="C10856" t="s">
        <v>293</v>
      </c>
      <c r="D10856" t="s">
        <v>74</v>
      </c>
      <c r="E10856" s="6">
        <v>-28005</v>
      </c>
      <c r="F10856" t="s">
        <v>1648</v>
      </c>
      <c r="G10856" t="s">
        <v>7662</v>
      </c>
      <c r="H10856" t="s">
        <v>21</v>
      </c>
      <c r="I10856" t="s">
        <v>21514</v>
      </c>
      <c r="J10856" t="str">
        <f>HYPERLINK("https://www.boe.es/gazeta/dias/1823/04/28/pdfs/GES-1823-18.pdf#page=1","Abrir facsímil")</f>
        <v>Abrir facsímil</v>
      </c>
      <c r="K10856" t="s">
        <v>23</v>
      </c>
    </row>
    <row r="10857" spans="1:11" ht="42" customHeight="1">
      <c r="A10857" t="s">
        <v>21509</v>
      </c>
      <c r="B10857" t="s">
        <v>21509</v>
      </c>
      <c r="C10857" t="s">
        <v>17</v>
      </c>
      <c r="D10857" t="s">
        <v>18</v>
      </c>
      <c r="E10857" s="6">
        <v>-27843</v>
      </c>
      <c r="F10857" t="s">
        <v>790</v>
      </c>
      <c r="G10857" t="s">
        <v>39</v>
      </c>
      <c r="H10857" t="s">
        <v>21</v>
      </c>
      <c r="I10857" t="s">
        <v>21515</v>
      </c>
      <c r="J10857" t="str">
        <f>HYPERLINK("https://www.boe.es/gazeta/dias/1823/10/07/pdfs/GMD-1823-933.pdf#page=1","Abrir facsímil")</f>
        <v>Abrir facsímil</v>
      </c>
      <c r="K10857" t="s">
        <v>23</v>
      </c>
    </row>
    <row r="10858" spans="1:11" ht="42" customHeight="1">
      <c r="A10858" t="s">
        <v>21509</v>
      </c>
      <c r="B10858" t="s">
        <v>21509</v>
      </c>
      <c r="C10858" t="s">
        <v>17</v>
      </c>
      <c r="D10858" t="s">
        <v>18</v>
      </c>
      <c r="E10858" s="6">
        <v>-27822</v>
      </c>
      <c r="F10858" t="s">
        <v>992</v>
      </c>
      <c r="G10858" t="s">
        <v>48</v>
      </c>
      <c r="H10858" t="s">
        <v>21</v>
      </c>
      <c r="I10858" t="s">
        <v>21516</v>
      </c>
      <c r="J10858" t="str">
        <f>HYPERLINK("https://www.boe.es/gazeta/dias/1823/10/28/pdfs/GMD-1823-1033.pdf#page=3","Abrir facsímil")</f>
        <v>Abrir facsímil</v>
      </c>
      <c r="K10858" t="s">
        <v>23</v>
      </c>
    </row>
    <row r="10859" spans="1:11" ht="42" customHeight="1">
      <c r="A10859" t="s">
        <v>21509</v>
      </c>
      <c r="B10859" t="s">
        <v>21509</v>
      </c>
      <c r="C10859" t="s">
        <v>56</v>
      </c>
      <c r="D10859" t="s">
        <v>57</v>
      </c>
      <c r="E10859" s="6">
        <v>-27815</v>
      </c>
      <c r="F10859" t="s">
        <v>1266</v>
      </c>
      <c r="G10859" t="s">
        <v>48</v>
      </c>
      <c r="H10859" t="s">
        <v>21</v>
      </c>
      <c r="I10859" t="s">
        <v>21517</v>
      </c>
      <c r="J10859" t="str">
        <f>HYPERLINK("https://www.boe.es/gazeta/dias/1823/11/04/pdfs/GMD-1823-1063.pdf#page=3","Abrir facsímil")</f>
        <v>Abrir facsímil</v>
      </c>
      <c r="K10859" t="s">
        <v>23</v>
      </c>
    </row>
    <row r="10860" spans="1:11" ht="42" customHeight="1">
      <c r="A10860" t="s">
        <v>21518</v>
      </c>
      <c r="B10860" t="s">
        <v>21518</v>
      </c>
      <c r="C10860" t="s">
        <v>17</v>
      </c>
      <c r="D10860" t="s">
        <v>18</v>
      </c>
      <c r="E10860" s="6">
        <v>-27806</v>
      </c>
      <c r="F10860" t="s">
        <v>11268</v>
      </c>
      <c r="G10860" t="s">
        <v>48</v>
      </c>
      <c r="H10860" t="s">
        <v>21</v>
      </c>
      <c r="I10860" t="s">
        <v>21519</v>
      </c>
      <c r="J10860" t="str">
        <f>HYPERLINK("https://www.boe.es/gazeta/dias/1823/11/13/pdfs/GMD-1823-1113.pdf#page=3","Abrir facsímil")</f>
        <v>Abrir facsímil</v>
      </c>
      <c r="K10860" t="s">
        <v>23</v>
      </c>
    </row>
    <row r="10861" spans="1:11" ht="42" customHeight="1">
      <c r="A10861" t="s">
        <v>21520</v>
      </c>
      <c r="B10861" t="s">
        <v>21521</v>
      </c>
      <c r="C10861" t="s">
        <v>17</v>
      </c>
      <c r="D10861" t="s">
        <v>18</v>
      </c>
      <c r="E10861" s="6">
        <v>-28015</v>
      </c>
      <c r="F10861" t="s">
        <v>985</v>
      </c>
      <c r="G10861" t="s">
        <v>27</v>
      </c>
      <c r="H10861" t="s">
        <v>21</v>
      </c>
      <c r="I10861" t="s">
        <v>21522</v>
      </c>
      <c r="J10861" t="str">
        <f>HYPERLINK("https://www.boe.es/gazeta/dias/1823/04/18/pdfs/GES-1823-8.pdf#page=2","Abrir facsímil")</f>
        <v>Abrir facsímil</v>
      </c>
      <c r="K10861" t="s">
        <v>23</v>
      </c>
    </row>
    <row r="10862" spans="1:11" ht="42" customHeight="1">
      <c r="A10862" t="s">
        <v>21520</v>
      </c>
      <c r="B10862" t="s">
        <v>21521</v>
      </c>
      <c r="C10862" t="s">
        <v>56</v>
      </c>
      <c r="D10862" t="s">
        <v>57</v>
      </c>
      <c r="E10862" s="6">
        <v>-27905</v>
      </c>
      <c r="F10862" t="s">
        <v>236</v>
      </c>
      <c r="G10862" t="s">
        <v>372</v>
      </c>
      <c r="H10862" t="s">
        <v>21</v>
      </c>
      <c r="I10862" t="s">
        <v>21523</v>
      </c>
      <c r="J10862" t="str">
        <f>HYPERLINK("https://www.boe.es/gazeta/dias/1823/08/06/pdfs/GES-1823-119.pdf#page=1","Abrir facsímil")</f>
        <v>Abrir facsímil</v>
      </c>
      <c r="K10862" t="s">
        <v>23</v>
      </c>
    </row>
    <row r="10863" spans="1:11" ht="42" customHeight="1">
      <c r="A10863" t="s">
        <v>21524</v>
      </c>
      <c r="B10863" t="s">
        <v>21525</v>
      </c>
      <c r="C10863" t="s">
        <v>109</v>
      </c>
      <c r="D10863" t="s">
        <v>74</v>
      </c>
      <c r="E10863" s="6">
        <v>-28043</v>
      </c>
      <c r="F10863" t="s">
        <v>69</v>
      </c>
      <c r="G10863" t="s">
        <v>59</v>
      </c>
      <c r="H10863" t="s">
        <v>21</v>
      </c>
      <c r="I10863" t="s">
        <v>21526</v>
      </c>
      <c r="J10863" t="str">
        <f>HYPERLINK("https://www.boe.es/gazeta/dias/1823/03/21/pdfs/GMD-1823-84.pdf#page=6","Abrir facsímil")</f>
        <v>Abrir facsímil</v>
      </c>
      <c r="K10863" t="s">
        <v>23</v>
      </c>
    </row>
    <row r="10864" spans="1:11" ht="42" customHeight="1">
      <c r="A10864" t="s">
        <v>21524</v>
      </c>
      <c r="B10864" t="s">
        <v>21525</v>
      </c>
      <c r="C10864" t="s">
        <v>17</v>
      </c>
      <c r="D10864" t="s">
        <v>18</v>
      </c>
      <c r="E10864" s="6">
        <v>-28028</v>
      </c>
      <c r="F10864" t="s">
        <v>893</v>
      </c>
      <c r="G10864" t="s">
        <v>20</v>
      </c>
      <c r="H10864" t="s">
        <v>21</v>
      </c>
      <c r="I10864" t="s">
        <v>21527</v>
      </c>
      <c r="J10864" t="str">
        <f>HYPERLINK("https://www.boe.es/gazeta/dias/1823/04/05/pdfs/GMD-1823-99.pdf#page=4","Abrir facsímil")</f>
        <v>Abrir facsímil</v>
      </c>
      <c r="K10864" t="s">
        <v>23</v>
      </c>
    </row>
    <row r="10865" spans="1:11" ht="42" customHeight="1">
      <c r="A10865" t="s">
        <v>21524</v>
      </c>
      <c r="B10865" t="s">
        <v>21525</v>
      </c>
      <c r="C10865" t="s">
        <v>17</v>
      </c>
      <c r="D10865" t="s">
        <v>18</v>
      </c>
      <c r="E10865" s="6">
        <v>-27923</v>
      </c>
      <c r="F10865" t="s">
        <v>1225</v>
      </c>
      <c r="G10865" t="s">
        <v>59</v>
      </c>
      <c r="H10865" t="s">
        <v>21</v>
      </c>
      <c r="I10865" t="s">
        <v>21528</v>
      </c>
      <c r="J10865" t="str">
        <f>HYPERLINK("https://www.boe.es/gazeta/dias/1823/07/19/pdfs/GMD-1823-433.pdf#page=6","Abrir facsímil")</f>
        <v>Abrir facsímil</v>
      </c>
      <c r="K10865" t="s">
        <v>23</v>
      </c>
    </row>
    <row r="10866" spans="1:11" ht="42" customHeight="1">
      <c r="A10866" t="s">
        <v>21529</v>
      </c>
      <c r="B10866" t="s">
        <v>21530</v>
      </c>
      <c r="C10866" t="s">
        <v>73</v>
      </c>
      <c r="D10866" t="s">
        <v>74</v>
      </c>
      <c r="E10866" s="6">
        <v>-28082</v>
      </c>
      <c r="F10866" t="s">
        <v>468</v>
      </c>
      <c r="G10866" t="s">
        <v>59</v>
      </c>
      <c r="H10866" t="s">
        <v>21</v>
      </c>
      <c r="I10866" t="s">
        <v>21531</v>
      </c>
      <c r="J10866" t="str">
        <f>HYPERLINK("https://www.boe.es/gazeta/dias/1823/02/10/pdfs/GMD-1823-44.pdf#page=6","Abrir facsímil")</f>
        <v>Abrir facsímil</v>
      </c>
      <c r="K10866" t="s">
        <v>23</v>
      </c>
    </row>
    <row r="10867" spans="1:11" ht="42" customHeight="1">
      <c r="A10867" t="s">
        <v>21532</v>
      </c>
      <c r="B10867" t="s">
        <v>21532</v>
      </c>
      <c r="C10867" t="s">
        <v>17</v>
      </c>
      <c r="D10867" t="s">
        <v>18</v>
      </c>
      <c r="E10867" s="6">
        <v>-27909</v>
      </c>
      <c r="F10867" t="s">
        <v>1525</v>
      </c>
      <c r="G10867" t="s">
        <v>48</v>
      </c>
      <c r="H10867" t="s">
        <v>21</v>
      </c>
      <c r="I10867" t="s">
        <v>21533</v>
      </c>
      <c r="J10867" t="str">
        <f>HYPERLINK("https://www.boe.es/gazeta/dias/1823/08/02/pdfs/GMD-1823-513.pdf#page=3","Abrir facsímil")</f>
        <v>Abrir facsímil</v>
      </c>
      <c r="K10867" t="s">
        <v>23</v>
      </c>
    </row>
    <row r="10868" spans="1:11" ht="42" customHeight="1">
      <c r="A10868" t="s">
        <v>21534</v>
      </c>
      <c r="B10868" t="s">
        <v>21535</v>
      </c>
      <c r="C10868" t="s">
        <v>17</v>
      </c>
      <c r="D10868" t="s">
        <v>18</v>
      </c>
      <c r="E10868" s="6">
        <v>-27910</v>
      </c>
      <c r="F10868" t="s">
        <v>38</v>
      </c>
      <c r="G10868" t="s">
        <v>39</v>
      </c>
      <c r="H10868" t="s">
        <v>21</v>
      </c>
      <c r="I10868" t="s">
        <v>21536</v>
      </c>
      <c r="J10868" t="str">
        <f>HYPERLINK("https://www.boe.es/gazeta/dias/1823/08/01/pdfs/GES-1823-113.pdf#page=1","Abrir facsímil")</f>
        <v>Abrir facsímil</v>
      </c>
      <c r="K10868" t="s">
        <v>23</v>
      </c>
    </row>
    <row r="10869" spans="1:11" ht="42" customHeight="1">
      <c r="A10869" t="s">
        <v>21537</v>
      </c>
      <c r="B10869" t="s">
        <v>21538</v>
      </c>
      <c r="C10869" t="s">
        <v>109</v>
      </c>
      <c r="D10869" t="s">
        <v>74</v>
      </c>
      <c r="E10869" s="6">
        <v>-28004</v>
      </c>
      <c r="F10869" t="s">
        <v>313</v>
      </c>
      <c r="G10869" t="s">
        <v>27</v>
      </c>
      <c r="H10869" t="s">
        <v>21</v>
      </c>
      <c r="I10869" t="s">
        <v>21539</v>
      </c>
      <c r="J10869" t="str">
        <f>HYPERLINK("https://www.boe.es/gazeta/dias/1823/04/29/pdfs/GMD-1823-72.pdf#page=2","Abrir facsímil")</f>
        <v>Abrir facsímil</v>
      </c>
      <c r="K10869" t="s">
        <v>23</v>
      </c>
    </row>
    <row r="10870" spans="1:11" ht="42" customHeight="1">
      <c r="A10870" t="s">
        <v>21540</v>
      </c>
      <c r="B10870" t="s">
        <v>21541</v>
      </c>
      <c r="C10870" t="s">
        <v>56</v>
      </c>
      <c r="D10870" t="s">
        <v>57</v>
      </c>
      <c r="E10870" s="6">
        <v>-28004</v>
      </c>
      <c r="F10870" t="s">
        <v>313</v>
      </c>
      <c r="G10870" t="s">
        <v>27</v>
      </c>
      <c r="H10870" t="s">
        <v>21</v>
      </c>
      <c r="I10870" t="s">
        <v>21542</v>
      </c>
      <c r="J10870" t="str">
        <f>HYPERLINK("https://www.boe.es/gazeta/dias/1823/04/29/pdfs/GMD-1823-72.pdf#page=2","Abrir facsímil")</f>
        <v>Abrir facsímil</v>
      </c>
      <c r="K10870" t="s">
        <v>23</v>
      </c>
    </row>
    <row r="10871" spans="1:11" ht="42" customHeight="1">
      <c r="A10871" t="s">
        <v>21543</v>
      </c>
      <c r="B10871" t="s">
        <v>21544</v>
      </c>
      <c r="C10871" t="s">
        <v>56</v>
      </c>
      <c r="D10871" t="s">
        <v>57</v>
      </c>
      <c r="E10871" s="6">
        <v>-28001</v>
      </c>
      <c r="F10871" t="s">
        <v>768</v>
      </c>
      <c r="G10871" t="s">
        <v>34</v>
      </c>
      <c r="H10871" t="s">
        <v>21</v>
      </c>
      <c r="I10871" t="s">
        <v>21545</v>
      </c>
      <c r="J10871" t="str">
        <f>HYPERLINK("https://www.boe.es/gazeta/dias/1823/05/02/pdfs/GES-1823-22.pdf#page=5","Abrir facsímil")</f>
        <v>Abrir facsímil</v>
      </c>
      <c r="K10871" t="s">
        <v>23</v>
      </c>
    </row>
    <row r="10872" spans="1:11" ht="42" customHeight="1">
      <c r="A10872" t="s">
        <v>21546</v>
      </c>
      <c r="B10872" t="s">
        <v>21547</v>
      </c>
      <c r="C10872" t="s">
        <v>56</v>
      </c>
      <c r="D10872" t="s">
        <v>57</v>
      </c>
      <c r="E10872" s="6">
        <v>-27939</v>
      </c>
      <c r="F10872" t="s">
        <v>1403</v>
      </c>
      <c r="G10872" t="s">
        <v>715</v>
      </c>
      <c r="H10872" t="s">
        <v>21</v>
      </c>
      <c r="I10872" t="s">
        <v>21548</v>
      </c>
      <c r="J10872" t="str">
        <f>HYPERLINK("https://www.boe.es/gazeta/dias/1823/07/03/pdfs/GMD-1823-333.pdf#page=8","Abrir facsímil")</f>
        <v>Abrir facsímil</v>
      </c>
      <c r="K10872" t="s">
        <v>23</v>
      </c>
    </row>
    <row r="10873" spans="1:11" ht="42" customHeight="1">
      <c r="A10873" t="s">
        <v>21549</v>
      </c>
      <c r="B10873" t="s">
        <v>21550</v>
      </c>
      <c r="C10873" t="s">
        <v>17</v>
      </c>
      <c r="D10873" t="s">
        <v>18</v>
      </c>
      <c r="E10873" s="6">
        <v>-27863</v>
      </c>
      <c r="F10873" t="s">
        <v>651</v>
      </c>
      <c r="G10873" t="s">
        <v>27</v>
      </c>
      <c r="H10873" t="s">
        <v>21</v>
      </c>
      <c r="I10873" t="s">
        <v>21551</v>
      </c>
      <c r="J10873" t="str">
        <f>HYPERLINK("https://www.boe.es/gazeta/dias/1823/09/17/pdfs/GES-1823-161.pdf#page=2","Abrir facsímil")</f>
        <v>Abrir facsímil</v>
      </c>
      <c r="K10873" t="s">
        <v>23</v>
      </c>
    </row>
    <row r="10874" spans="1:11" ht="42" customHeight="1">
      <c r="A10874" t="s">
        <v>21549</v>
      </c>
      <c r="B10874" t="s">
        <v>21550</v>
      </c>
      <c r="C10874" t="s">
        <v>79</v>
      </c>
      <c r="D10874" t="s">
        <v>74</v>
      </c>
      <c r="E10874" s="6">
        <v>-27861</v>
      </c>
      <c r="F10874" t="s">
        <v>425</v>
      </c>
      <c r="G10874" t="s">
        <v>27</v>
      </c>
      <c r="H10874" t="s">
        <v>21</v>
      </c>
      <c r="I10874" t="s">
        <v>21552</v>
      </c>
      <c r="J10874" t="str">
        <f>HYPERLINK("https://www.boe.es/gazeta/dias/1823/09/19/pdfs/GES-1823-163.pdf#page=2","Abrir facsímil")</f>
        <v>Abrir facsímil</v>
      </c>
      <c r="K10874" t="s">
        <v>23</v>
      </c>
    </row>
    <row r="10875" spans="1:11" ht="42" customHeight="1">
      <c r="A10875" t="s">
        <v>21553</v>
      </c>
      <c r="B10875" t="s">
        <v>21554</v>
      </c>
      <c r="C10875" t="s">
        <v>73</v>
      </c>
      <c r="D10875" t="s">
        <v>74</v>
      </c>
      <c r="E10875" s="6">
        <v>-27905</v>
      </c>
      <c r="F10875" t="s">
        <v>236</v>
      </c>
      <c r="G10875" t="s">
        <v>237</v>
      </c>
      <c r="H10875" t="s">
        <v>21</v>
      </c>
      <c r="I10875" t="s">
        <v>21555</v>
      </c>
      <c r="J10875" t="str">
        <f>HYPERLINK("https://www.boe.es/gazeta/dias/1823/08/06/pdfs/GES-1823-119.pdf#page=4","Abrir facsímil")</f>
        <v>Abrir facsímil</v>
      </c>
      <c r="K10875" t="s">
        <v>23</v>
      </c>
    </row>
    <row r="10876" spans="1:11" ht="42" customHeight="1">
      <c r="A10876" t="s">
        <v>21556</v>
      </c>
      <c r="B10876" t="s">
        <v>21557</v>
      </c>
      <c r="C10876" t="s">
        <v>79</v>
      </c>
      <c r="D10876" t="s">
        <v>74</v>
      </c>
      <c r="E10876" s="6">
        <v>-28037</v>
      </c>
      <c r="F10876" t="s">
        <v>192</v>
      </c>
      <c r="G10876" t="s">
        <v>48</v>
      </c>
      <c r="H10876" t="s">
        <v>21</v>
      </c>
      <c r="I10876" t="s">
        <v>21558</v>
      </c>
      <c r="J10876" t="str">
        <f>HYPERLINK("https://www.boe.es/gazeta/dias/1823/03/27/pdfs/GMD-1823-90.pdf#page=3","Abrir facsímil")</f>
        <v>Abrir facsímil</v>
      </c>
      <c r="K10876" t="s">
        <v>23</v>
      </c>
    </row>
    <row r="10877" spans="1:11" ht="42" customHeight="1">
      <c r="A10877" t="s">
        <v>21559</v>
      </c>
      <c r="B10877" t="s">
        <v>21560</v>
      </c>
      <c r="C10877" t="s">
        <v>79</v>
      </c>
      <c r="D10877" t="s">
        <v>74</v>
      </c>
      <c r="E10877" s="6">
        <v>-28046</v>
      </c>
      <c r="F10877" t="s">
        <v>85</v>
      </c>
      <c r="G10877" t="s">
        <v>20</v>
      </c>
      <c r="H10877" t="s">
        <v>21</v>
      </c>
      <c r="I10877" t="s">
        <v>21561</v>
      </c>
      <c r="J10877" t="str">
        <f>HYPERLINK("https://www.boe.es/gazeta/dias/1823/03/18/pdfs/GMD-1823-81.pdf#page=4","Abrir facsímil")</f>
        <v>Abrir facsímil</v>
      </c>
      <c r="K10877" t="s">
        <v>23</v>
      </c>
    </row>
    <row r="10878" spans="1:11" ht="42" customHeight="1">
      <c r="A10878" t="s">
        <v>21562</v>
      </c>
      <c r="B10878" t="s">
        <v>21562</v>
      </c>
      <c r="C10878" t="s">
        <v>56</v>
      </c>
      <c r="D10878" t="s">
        <v>57</v>
      </c>
      <c r="E10878" s="6">
        <v>-27836</v>
      </c>
      <c r="F10878" t="s">
        <v>4069</v>
      </c>
      <c r="G10878" t="s">
        <v>48</v>
      </c>
      <c r="H10878" t="s">
        <v>21</v>
      </c>
      <c r="I10878" t="s">
        <v>21563</v>
      </c>
      <c r="J10878" t="str">
        <f>HYPERLINK("https://www.boe.es/gazeta/dias/1823/10/14/pdfs/GMD-1823-973.pdf#page=3","Abrir facsímil")</f>
        <v>Abrir facsímil</v>
      </c>
      <c r="K10878" t="s">
        <v>23</v>
      </c>
    </row>
    <row r="10879" spans="1:11" ht="42" customHeight="1">
      <c r="A10879" t="s">
        <v>21564</v>
      </c>
      <c r="B10879" t="s">
        <v>21565</v>
      </c>
      <c r="C10879" t="s">
        <v>17</v>
      </c>
      <c r="D10879" t="s">
        <v>18</v>
      </c>
      <c r="E10879" s="6">
        <v>-28025</v>
      </c>
      <c r="F10879" t="s">
        <v>477</v>
      </c>
      <c r="G10879" t="s">
        <v>20</v>
      </c>
      <c r="H10879" t="s">
        <v>21</v>
      </c>
      <c r="I10879" t="s">
        <v>21566</v>
      </c>
      <c r="J10879" t="str">
        <f>HYPERLINK("https://www.boe.es/gazeta/dias/1823/04/08/pdfs/GMD-1823-103.pdf#page=4","Abrir facsímil")</f>
        <v>Abrir facsímil</v>
      </c>
      <c r="K10879" t="s">
        <v>23</v>
      </c>
    </row>
    <row r="10880" spans="1:11" ht="42" customHeight="1">
      <c r="A10880" t="s">
        <v>21567</v>
      </c>
      <c r="B10880" t="s">
        <v>21568</v>
      </c>
      <c r="C10880" t="s">
        <v>17</v>
      </c>
      <c r="D10880" t="s">
        <v>18</v>
      </c>
      <c r="E10880" s="6">
        <v>-28018</v>
      </c>
      <c r="F10880" t="s">
        <v>2613</v>
      </c>
      <c r="G10880" t="s">
        <v>39</v>
      </c>
      <c r="H10880" t="s">
        <v>21</v>
      </c>
      <c r="I10880" t="s">
        <v>21569</v>
      </c>
      <c r="J10880" t="str">
        <f>HYPERLINK("https://www.boe.es/gazeta/dias/1823/04/15/pdfs/GES-1823-5.pdf#page=1","Abrir facsímil")</f>
        <v>Abrir facsímil</v>
      </c>
      <c r="K10880" t="s">
        <v>23</v>
      </c>
    </row>
    <row r="10881" spans="1:11" ht="42" customHeight="1">
      <c r="A10881" t="s">
        <v>21570</v>
      </c>
      <c r="B10881" t="s">
        <v>21570</v>
      </c>
      <c r="C10881" t="s">
        <v>17</v>
      </c>
      <c r="D10881" t="s">
        <v>18</v>
      </c>
      <c r="E10881" s="6">
        <v>-28011</v>
      </c>
      <c r="F10881" t="s">
        <v>3326</v>
      </c>
      <c r="G10881" t="s">
        <v>6440</v>
      </c>
      <c r="H10881" t="s">
        <v>21</v>
      </c>
      <c r="I10881" t="s">
        <v>21571</v>
      </c>
      <c r="J10881" t="str">
        <f>HYPERLINK("https://www.boe.es/gazeta/dias/1823/04/22/pdfs/GES-1823-12.pdf#page=3","Abrir facsímil")</f>
        <v>Abrir facsímil</v>
      </c>
      <c r="K10881" t="s">
        <v>23</v>
      </c>
    </row>
    <row r="10882" spans="1:11" ht="42" customHeight="1">
      <c r="A10882" t="s">
        <v>21572</v>
      </c>
      <c r="B10882" t="s">
        <v>21573</v>
      </c>
      <c r="C10882" t="s">
        <v>17</v>
      </c>
      <c r="D10882" t="s">
        <v>18</v>
      </c>
      <c r="E10882" s="6">
        <v>-27815</v>
      </c>
      <c r="F10882" t="s">
        <v>1266</v>
      </c>
      <c r="G10882" t="s">
        <v>48</v>
      </c>
      <c r="H10882" t="s">
        <v>21</v>
      </c>
      <c r="I10882" t="s">
        <v>21574</v>
      </c>
      <c r="J10882" t="str">
        <f>HYPERLINK("https://www.boe.es/gazeta/dias/1823/11/04/pdfs/GMD-1823-1063.pdf#page=3","Abrir facsímil")</f>
        <v>Abrir facsímil</v>
      </c>
      <c r="K10882" t="s">
        <v>23</v>
      </c>
    </row>
    <row r="10883" spans="1:11" ht="42" customHeight="1">
      <c r="A10883" t="s">
        <v>21575</v>
      </c>
      <c r="B10883" t="s">
        <v>21576</v>
      </c>
      <c r="C10883" t="s">
        <v>17</v>
      </c>
      <c r="D10883" t="s">
        <v>18</v>
      </c>
      <c r="E10883" s="6">
        <v>-27852</v>
      </c>
      <c r="F10883" t="s">
        <v>2628</v>
      </c>
      <c r="G10883" t="s">
        <v>7694</v>
      </c>
      <c r="H10883" t="s">
        <v>21</v>
      </c>
      <c r="I10883" t="s">
        <v>21577</v>
      </c>
      <c r="J10883" t="str">
        <f>HYPERLINK("https://www.boe.es/gazeta/dias/1823/09/28/pdfs/GES-1823-172.pdf#page=2","Abrir facsímil")</f>
        <v>Abrir facsímil</v>
      </c>
      <c r="K10883" t="s">
        <v>23</v>
      </c>
    </row>
    <row r="10884" spans="1:11" ht="42" customHeight="1">
      <c r="A10884" t="s">
        <v>21578</v>
      </c>
      <c r="B10884" t="s">
        <v>21578</v>
      </c>
      <c r="C10884" t="s">
        <v>17</v>
      </c>
      <c r="D10884" t="s">
        <v>18</v>
      </c>
      <c r="E10884" s="6">
        <v>-28074</v>
      </c>
      <c r="F10884" t="s">
        <v>212</v>
      </c>
      <c r="G10884" t="s">
        <v>59</v>
      </c>
      <c r="H10884" t="s">
        <v>21</v>
      </c>
      <c r="I10884" t="s">
        <v>21579</v>
      </c>
      <c r="J10884" t="str">
        <f>HYPERLINK("https://www.boe.es/gazeta/dias/1823/02/18/pdfs/GMD-1823-52.pdf#page=6","Abrir facsímil")</f>
        <v>Abrir facsímil</v>
      </c>
      <c r="K10884" t="s">
        <v>23</v>
      </c>
    </row>
    <row r="10885" spans="1:11" ht="42" customHeight="1">
      <c r="A10885" t="s">
        <v>21578</v>
      </c>
      <c r="B10885" t="s">
        <v>21578</v>
      </c>
      <c r="C10885" t="s">
        <v>17</v>
      </c>
      <c r="D10885" t="s">
        <v>18</v>
      </c>
      <c r="E10885" s="6">
        <v>-27890</v>
      </c>
      <c r="F10885" t="s">
        <v>1573</v>
      </c>
      <c r="G10885" t="s">
        <v>48</v>
      </c>
      <c r="H10885" t="s">
        <v>21</v>
      </c>
      <c r="I10885" t="s">
        <v>21580</v>
      </c>
      <c r="J10885" t="str">
        <f>HYPERLINK("https://www.boe.es/gazeta/dias/1823/08/21/pdfs/GMD-1823-623.pdf#page=3","Abrir facsímil")</f>
        <v>Abrir facsímil</v>
      </c>
      <c r="K10885" t="s">
        <v>23</v>
      </c>
    </row>
    <row r="10886" spans="1:11" ht="42" customHeight="1">
      <c r="A10886" t="s">
        <v>21578</v>
      </c>
      <c r="B10886" t="s">
        <v>21578</v>
      </c>
      <c r="C10886" t="s">
        <v>17</v>
      </c>
      <c r="D10886" t="s">
        <v>18</v>
      </c>
      <c r="E10886" s="6">
        <v>-27883</v>
      </c>
      <c r="F10886" t="s">
        <v>2838</v>
      </c>
      <c r="G10886" t="s">
        <v>39</v>
      </c>
      <c r="H10886" t="s">
        <v>21</v>
      </c>
      <c r="I10886" t="s">
        <v>21581</v>
      </c>
      <c r="J10886" t="str">
        <f>HYPERLINK("https://www.boe.es/gazeta/dias/1823/08/28/pdfs/GES-1823-141.pdf#page=1","Abrir facsímil")</f>
        <v>Abrir facsímil</v>
      </c>
      <c r="K10886" t="s">
        <v>23</v>
      </c>
    </row>
    <row r="10887" spans="1:11" ht="42" customHeight="1">
      <c r="A10887" t="s">
        <v>21582</v>
      </c>
      <c r="B10887" t="s">
        <v>21583</v>
      </c>
      <c r="C10887" t="s">
        <v>17</v>
      </c>
      <c r="D10887" t="s">
        <v>117</v>
      </c>
      <c r="E10887" s="6">
        <v>-27873</v>
      </c>
      <c r="F10887" t="s">
        <v>1668</v>
      </c>
      <c r="G10887" t="s">
        <v>27</v>
      </c>
      <c r="H10887" t="s">
        <v>21</v>
      </c>
      <c r="I10887" t="s">
        <v>21584</v>
      </c>
      <c r="J10887" t="str">
        <f>HYPERLINK("https://www.boe.es/gazeta/dias/1823/09/07/pdfs/GMD-1823-72E.pdf#page=2","Abrir facsímil")</f>
        <v>Abrir facsímil</v>
      </c>
      <c r="K10887" t="s">
        <v>23</v>
      </c>
    </row>
    <row r="10888" spans="1:11" ht="42" customHeight="1">
      <c r="A10888" t="s">
        <v>21585</v>
      </c>
      <c r="B10888" t="s">
        <v>21586</v>
      </c>
      <c r="C10888" t="s">
        <v>17</v>
      </c>
      <c r="D10888" t="s">
        <v>18</v>
      </c>
      <c r="E10888" s="6">
        <v>-28063</v>
      </c>
      <c r="F10888" t="s">
        <v>2493</v>
      </c>
      <c r="G10888" t="s">
        <v>20</v>
      </c>
      <c r="H10888" t="s">
        <v>21</v>
      </c>
      <c r="I10888" t="s">
        <v>21587</v>
      </c>
      <c r="J10888" t="str">
        <f>HYPERLINK("https://www.boe.es/gazeta/dias/1823/03/01/pdfs/GMD-1823-63.pdf#page=4","Abrir facsímil")</f>
        <v>Abrir facsímil</v>
      </c>
      <c r="K10888" t="s">
        <v>23</v>
      </c>
    </row>
    <row r="10889" spans="1:11" ht="42" customHeight="1">
      <c r="A10889" t="s">
        <v>21588</v>
      </c>
      <c r="B10889" t="s">
        <v>21589</v>
      </c>
      <c r="C10889" t="s">
        <v>17</v>
      </c>
      <c r="D10889" t="s">
        <v>18</v>
      </c>
      <c r="E10889" s="6">
        <v>-27936</v>
      </c>
      <c r="F10889" t="s">
        <v>4620</v>
      </c>
      <c r="G10889" t="s">
        <v>20</v>
      </c>
      <c r="H10889" t="s">
        <v>28</v>
      </c>
      <c r="I10889" t="s">
        <v>21590</v>
      </c>
      <c r="J10889" t="str">
        <f>HYPERLINK("https://www.boe.es/gazeta/dias/1823/07/06/pdfs/GES-1823-86.pdf#page=4","Abrir facsímil")</f>
        <v>Abrir facsímil</v>
      </c>
      <c r="K10889" t="s">
        <v>30</v>
      </c>
    </row>
    <row r="10890" spans="1:11" ht="42" customHeight="1">
      <c r="A10890" t="s">
        <v>21591</v>
      </c>
      <c r="B10890" t="s">
        <v>21591</v>
      </c>
      <c r="C10890" t="s">
        <v>56</v>
      </c>
      <c r="D10890" t="s">
        <v>117</v>
      </c>
      <c r="E10890" s="6">
        <v>-27952</v>
      </c>
      <c r="F10890" t="s">
        <v>1844</v>
      </c>
      <c r="G10890" t="s">
        <v>27</v>
      </c>
      <c r="H10890" t="s">
        <v>21</v>
      </c>
      <c r="I10890" t="s">
        <v>21592</v>
      </c>
      <c r="J10890" t="str">
        <f>HYPERLINK("https://www.boe.es/gazeta/dias/1823/06/20/pdfs/GMD-1823-213E.pdf#page=2","Abrir facsímil")</f>
        <v>Abrir facsímil</v>
      </c>
      <c r="K10890" t="s">
        <v>23</v>
      </c>
    </row>
    <row r="10891" spans="1:11" ht="42" customHeight="1">
      <c r="A10891" t="s">
        <v>21591</v>
      </c>
      <c r="B10891" t="s">
        <v>21591</v>
      </c>
      <c r="C10891" t="s">
        <v>56</v>
      </c>
      <c r="D10891" t="s">
        <v>57</v>
      </c>
      <c r="E10891" s="6">
        <v>-27944</v>
      </c>
      <c r="F10891" t="s">
        <v>2823</v>
      </c>
      <c r="G10891" t="s">
        <v>39</v>
      </c>
      <c r="H10891" t="s">
        <v>21</v>
      </c>
      <c r="I10891" t="s">
        <v>21593</v>
      </c>
      <c r="J10891" t="str">
        <f>HYPERLINK("https://www.boe.es/gazeta/dias/1823/06/28/pdfs/GES-1823-78.pdf#page=1","Abrir facsímil")</f>
        <v>Abrir facsímil</v>
      </c>
      <c r="K10891" t="s">
        <v>23</v>
      </c>
    </row>
    <row r="10892" spans="1:11" ht="42" customHeight="1">
      <c r="A10892" t="s">
        <v>21594</v>
      </c>
      <c r="B10892" t="s">
        <v>21595</v>
      </c>
      <c r="C10892" t="s">
        <v>56</v>
      </c>
      <c r="D10892" t="s">
        <v>57</v>
      </c>
      <c r="E10892" s="6">
        <v>-27960</v>
      </c>
      <c r="F10892" t="s">
        <v>741</v>
      </c>
      <c r="G10892" t="s">
        <v>20</v>
      </c>
      <c r="H10892" t="s">
        <v>21</v>
      </c>
      <c r="I10892" t="s">
        <v>21596</v>
      </c>
      <c r="J10892" t="str">
        <f>HYPERLINK("https://www.boe.es/gazeta/dias/1823/06/12/pdfs/GES-1823-66.pdf#page=4","Abrir facsímil")</f>
        <v>Abrir facsímil</v>
      </c>
      <c r="K10892" t="s">
        <v>23</v>
      </c>
    </row>
    <row r="10893" spans="1:11" ht="42" customHeight="1">
      <c r="A10893" t="s">
        <v>21594</v>
      </c>
      <c r="B10893" t="s">
        <v>21595</v>
      </c>
      <c r="C10893" t="s">
        <v>17</v>
      </c>
      <c r="D10893" t="s">
        <v>18</v>
      </c>
      <c r="E10893" s="6">
        <v>-27950</v>
      </c>
      <c r="F10893" t="s">
        <v>4513</v>
      </c>
      <c r="G10893" t="s">
        <v>20</v>
      </c>
      <c r="H10893" t="s">
        <v>21</v>
      </c>
      <c r="I10893" t="s">
        <v>21597</v>
      </c>
      <c r="J10893" t="str">
        <f>HYPERLINK("https://www.boe.es/gazeta/dias/1823/06/22/pdfs/GES-1823-70.pdf#page=4","Abrir facsímil")</f>
        <v>Abrir facsímil</v>
      </c>
      <c r="K10893" t="s">
        <v>23</v>
      </c>
    </row>
    <row r="10894" spans="1:11" ht="42" customHeight="1">
      <c r="A10894" t="s">
        <v>21598</v>
      </c>
      <c r="B10894" t="s">
        <v>21599</v>
      </c>
      <c r="C10894" t="s">
        <v>56</v>
      </c>
      <c r="D10894" t="s">
        <v>117</v>
      </c>
      <c r="E10894" s="6">
        <v>-27952</v>
      </c>
      <c r="F10894" t="s">
        <v>1844</v>
      </c>
      <c r="G10894" t="s">
        <v>27</v>
      </c>
      <c r="H10894" t="s">
        <v>21</v>
      </c>
      <c r="I10894" t="s">
        <v>21600</v>
      </c>
      <c r="J10894" t="str">
        <f>HYPERLINK("https://www.boe.es/gazeta/dias/1823/06/20/pdfs/GMD-1823-213E.pdf#page=2","Abrir facsímil")</f>
        <v>Abrir facsímil</v>
      </c>
      <c r="K10894" t="s">
        <v>23</v>
      </c>
    </row>
    <row r="10895" spans="1:11" ht="42" customHeight="1">
      <c r="A10895" t="s">
        <v>21601</v>
      </c>
      <c r="B10895" t="s">
        <v>21602</v>
      </c>
      <c r="C10895" t="s">
        <v>109</v>
      </c>
      <c r="D10895" t="s">
        <v>74</v>
      </c>
      <c r="E10895" s="6">
        <v>-27953</v>
      </c>
      <c r="F10895" t="s">
        <v>1783</v>
      </c>
      <c r="G10895" t="s">
        <v>27</v>
      </c>
      <c r="H10895" t="s">
        <v>28</v>
      </c>
      <c r="I10895" t="s">
        <v>21603</v>
      </c>
      <c r="J10895" t="str">
        <f>HYPERLINK("https://www.boe.es/gazeta/dias/1823/06/19/pdfs/GES-1823-67.pdf#page=2","Abrir facsímil")</f>
        <v>Abrir facsímil</v>
      </c>
      <c r="K10895" t="s">
        <v>30</v>
      </c>
    </row>
    <row r="10896" spans="1:11" ht="42" customHeight="1">
      <c r="A10896" t="s">
        <v>21604</v>
      </c>
      <c r="B10896" t="s">
        <v>21605</v>
      </c>
      <c r="C10896" t="s">
        <v>17</v>
      </c>
      <c r="D10896" t="s">
        <v>18</v>
      </c>
      <c r="E10896" s="6">
        <v>-28105</v>
      </c>
      <c r="F10896" t="s">
        <v>502</v>
      </c>
      <c r="G10896" t="s">
        <v>27</v>
      </c>
      <c r="H10896" t="s">
        <v>21</v>
      </c>
      <c r="I10896" t="s">
        <v>21606</v>
      </c>
      <c r="J10896" t="str">
        <f>HYPERLINK("https://www.boe.es/gazeta/dias/1823/01/18/pdfs/GMD-1823-18.pdf#page=2","Abrir facsímil")</f>
        <v>Abrir facsímil</v>
      </c>
      <c r="K10896" t="s">
        <v>23</v>
      </c>
    </row>
    <row r="10897" spans="1:11" ht="42" customHeight="1">
      <c r="A10897" t="s">
        <v>21607</v>
      </c>
      <c r="B10897" t="s">
        <v>21607</v>
      </c>
      <c r="C10897" t="s">
        <v>17</v>
      </c>
      <c r="D10897" t="s">
        <v>18</v>
      </c>
      <c r="E10897" s="6">
        <v>-27953</v>
      </c>
      <c r="F10897" t="s">
        <v>1783</v>
      </c>
      <c r="G10897" t="s">
        <v>48</v>
      </c>
      <c r="H10897" t="s">
        <v>21</v>
      </c>
      <c r="I10897" t="s">
        <v>21608</v>
      </c>
      <c r="J10897" t="str">
        <f>HYPERLINK("https://www.boe.es/gazeta/dias/1823/06/19/pdfs/GES-1823-67.pdf#page=3","Abrir facsímil")</f>
        <v>Abrir facsímil</v>
      </c>
      <c r="K10897" t="s">
        <v>23</v>
      </c>
    </row>
    <row r="10898" spans="1:11" ht="42" customHeight="1">
      <c r="A10898" t="s">
        <v>21609</v>
      </c>
      <c r="B10898" t="s">
        <v>21609</v>
      </c>
      <c r="C10898" t="s">
        <v>79</v>
      </c>
      <c r="D10898" t="s">
        <v>74</v>
      </c>
      <c r="E10898" s="6">
        <v>-28059</v>
      </c>
      <c r="F10898" t="s">
        <v>149</v>
      </c>
      <c r="G10898" t="s">
        <v>20</v>
      </c>
      <c r="H10898" t="s">
        <v>21</v>
      </c>
      <c r="I10898" t="s">
        <v>21610</v>
      </c>
      <c r="J10898" t="str">
        <f>HYPERLINK("https://www.boe.es/gazeta/dias/1823/03/05/pdfs/GMD-1823-68.pdf#page=4","Abrir facsímil")</f>
        <v>Abrir facsímil</v>
      </c>
      <c r="K10898" t="s">
        <v>23</v>
      </c>
    </row>
    <row r="10899" spans="1:11" ht="42" customHeight="1">
      <c r="A10899" t="s">
        <v>21611</v>
      </c>
      <c r="B10899" t="s">
        <v>21611</v>
      </c>
      <c r="C10899" t="s">
        <v>17</v>
      </c>
      <c r="D10899" t="s">
        <v>18</v>
      </c>
      <c r="E10899" s="6">
        <v>-27879</v>
      </c>
      <c r="F10899" t="s">
        <v>638</v>
      </c>
      <c r="G10899" t="s">
        <v>39</v>
      </c>
      <c r="H10899" t="s">
        <v>21</v>
      </c>
      <c r="I10899" t="s">
        <v>21612</v>
      </c>
      <c r="J10899" t="str">
        <f>HYPERLINK("https://www.boe.es/gazeta/dias/1823/09/01/pdfs/GES-1823-145.pdf#page=1","Abrir facsímil")</f>
        <v>Abrir facsímil</v>
      </c>
      <c r="K10899" t="s">
        <v>23</v>
      </c>
    </row>
    <row r="10900" spans="1:11" ht="42" customHeight="1">
      <c r="A10900" t="s">
        <v>21613</v>
      </c>
      <c r="B10900" t="s">
        <v>21614</v>
      </c>
      <c r="C10900" t="s">
        <v>109</v>
      </c>
      <c r="D10900" t="s">
        <v>74</v>
      </c>
      <c r="E10900" s="6">
        <v>-27778</v>
      </c>
      <c r="F10900" t="s">
        <v>1343</v>
      </c>
      <c r="G10900" t="s">
        <v>48</v>
      </c>
      <c r="H10900" t="s">
        <v>21</v>
      </c>
      <c r="I10900" t="s">
        <v>21615</v>
      </c>
      <c r="J10900" t="str">
        <f>HYPERLINK("https://www.boe.es/gazeta/dias/1823/12/11/pdfs/GMD-1823-1233.pdf#page=3","Abrir facsímil")</f>
        <v>Abrir facsímil</v>
      </c>
      <c r="K10900" t="s">
        <v>23</v>
      </c>
    </row>
    <row r="10901" spans="1:11" ht="42" customHeight="1">
      <c r="A10901" t="s">
        <v>21616</v>
      </c>
      <c r="B10901" t="s">
        <v>21617</v>
      </c>
      <c r="C10901" t="s">
        <v>17</v>
      </c>
      <c r="D10901" t="s">
        <v>18</v>
      </c>
      <c r="E10901" s="6">
        <v>-28007</v>
      </c>
      <c r="F10901" t="s">
        <v>1190</v>
      </c>
      <c r="G10901" t="s">
        <v>20</v>
      </c>
      <c r="H10901" t="s">
        <v>21</v>
      </c>
      <c r="I10901" t="s">
        <v>21618</v>
      </c>
      <c r="J10901" t="str">
        <f>HYPERLINK("https://www.boe.es/gazeta/dias/1823/04/26/pdfs/GMD-1823-62.pdf#page=4","Abrir facsímil")</f>
        <v>Abrir facsímil</v>
      </c>
      <c r="K10901" t="s">
        <v>23</v>
      </c>
    </row>
    <row r="10902" spans="1:11" ht="42" customHeight="1">
      <c r="A10902" t="s">
        <v>21619</v>
      </c>
      <c r="B10902" t="s">
        <v>21620</v>
      </c>
      <c r="C10902" t="s">
        <v>73</v>
      </c>
      <c r="D10902" t="s">
        <v>74</v>
      </c>
      <c r="E10902" s="6">
        <v>-28031</v>
      </c>
      <c r="F10902" t="s">
        <v>1211</v>
      </c>
      <c r="G10902" t="s">
        <v>20</v>
      </c>
      <c r="H10902" t="s">
        <v>21</v>
      </c>
      <c r="I10902" t="s">
        <v>21621</v>
      </c>
      <c r="J10902" t="str">
        <f>HYPERLINK("https://www.boe.es/gazeta/dias/1823/04/02/pdfs/GMD-1823-96.pdf#page=4","Abrir facsímil")</f>
        <v>Abrir facsímil</v>
      </c>
      <c r="K10902" t="s">
        <v>23</v>
      </c>
    </row>
    <row r="10903" spans="1:11" ht="42" customHeight="1">
      <c r="A10903" t="s">
        <v>21622</v>
      </c>
      <c r="B10903" t="s">
        <v>21623</v>
      </c>
      <c r="C10903" t="s">
        <v>17</v>
      </c>
      <c r="D10903" t="s">
        <v>18</v>
      </c>
      <c r="E10903" s="6">
        <v>-28112</v>
      </c>
      <c r="F10903" t="s">
        <v>43</v>
      </c>
      <c r="G10903" t="s">
        <v>39</v>
      </c>
      <c r="H10903" t="s">
        <v>21</v>
      </c>
      <c r="I10903" t="s">
        <v>21624</v>
      </c>
      <c r="J10903" t="str">
        <f>HYPERLINK("https://www.boe.es/gazeta/dias/1823/01/11/pdfs/GMD-1823-11.pdf#page=1","Abrir facsímil")</f>
        <v>Abrir facsímil</v>
      </c>
      <c r="K10903" t="s">
        <v>23</v>
      </c>
    </row>
    <row r="10904" spans="1:11" ht="42" customHeight="1">
      <c r="A10904" t="s">
        <v>21625</v>
      </c>
      <c r="B10904" t="s">
        <v>21626</v>
      </c>
      <c r="C10904" t="s">
        <v>73</v>
      </c>
      <c r="D10904" t="s">
        <v>74</v>
      </c>
      <c r="E10904" s="6">
        <v>-28054</v>
      </c>
      <c r="F10904" t="s">
        <v>1292</v>
      </c>
      <c r="G10904" t="s">
        <v>48</v>
      </c>
      <c r="H10904" t="s">
        <v>21</v>
      </c>
      <c r="I10904" t="s">
        <v>21627</v>
      </c>
      <c r="J10904" t="str">
        <f>HYPERLINK("https://www.boe.es/gazeta/dias/1823/03/10/pdfs/GMD-1823-73.pdf#page=3","Abrir facsímil")</f>
        <v>Abrir facsímil</v>
      </c>
      <c r="K10904" t="s">
        <v>23</v>
      </c>
    </row>
    <row r="10905" spans="1:11" ht="42" customHeight="1">
      <c r="A10905" t="s">
        <v>21625</v>
      </c>
      <c r="B10905" t="s">
        <v>21626</v>
      </c>
      <c r="C10905" t="s">
        <v>17</v>
      </c>
      <c r="D10905" t="s">
        <v>18</v>
      </c>
      <c r="E10905" s="6">
        <v>-27926</v>
      </c>
      <c r="F10905" t="s">
        <v>2158</v>
      </c>
      <c r="G10905" t="s">
        <v>20</v>
      </c>
      <c r="H10905" t="s">
        <v>21</v>
      </c>
      <c r="I10905" t="s">
        <v>21628</v>
      </c>
      <c r="J10905" t="str">
        <f>HYPERLINK("https://www.boe.es/gazeta/dias/1823/07/16/pdfs/GES-1823-96.pdf#page=4","Abrir facsímil")</f>
        <v>Abrir facsímil</v>
      </c>
      <c r="K10905" t="s">
        <v>23</v>
      </c>
    </row>
    <row r="10906" spans="1:11" ht="42" customHeight="1">
      <c r="A10906" t="s">
        <v>21629</v>
      </c>
      <c r="B10906" t="s">
        <v>21630</v>
      </c>
      <c r="C10906" t="s">
        <v>79</v>
      </c>
      <c r="D10906" t="s">
        <v>74</v>
      </c>
      <c r="E10906" s="6">
        <v>-28004</v>
      </c>
      <c r="F10906" t="s">
        <v>313</v>
      </c>
      <c r="G10906" t="s">
        <v>27</v>
      </c>
      <c r="H10906" t="s">
        <v>21</v>
      </c>
      <c r="I10906" t="s">
        <v>21631</v>
      </c>
      <c r="J10906" t="str">
        <f>HYPERLINK("https://www.boe.es/gazeta/dias/1823/04/29/pdfs/GMD-1823-72.pdf#page=2","Abrir facsímil")</f>
        <v>Abrir facsímil</v>
      </c>
      <c r="K10906" t="s">
        <v>23</v>
      </c>
    </row>
    <row r="10907" spans="1:11" ht="42" customHeight="1">
      <c r="A10907" t="s">
        <v>21632</v>
      </c>
      <c r="B10907" t="s">
        <v>21632</v>
      </c>
      <c r="C10907" t="s">
        <v>17</v>
      </c>
      <c r="D10907" t="s">
        <v>18</v>
      </c>
      <c r="E10907" s="6">
        <v>-27860</v>
      </c>
      <c r="F10907" t="s">
        <v>998</v>
      </c>
      <c r="G10907" t="s">
        <v>59</v>
      </c>
      <c r="H10907" t="s">
        <v>21</v>
      </c>
      <c r="I10907" t="s">
        <v>21633</v>
      </c>
      <c r="J10907" t="str">
        <f>HYPERLINK("https://www.boe.es/gazeta/dias/1823/09/20/pdfs/GMD-1823-813.pdf#page=6","Abrir facsímil")</f>
        <v>Abrir facsímil</v>
      </c>
      <c r="K10907" t="s">
        <v>23</v>
      </c>
    </row>
    <row r="10908" spans="1:11" ht="42" customHeight="1">
      <c r="A10908" t="s">
        <v>21634</v>
      </c>
      <c r="B10908" t="s">
        <v>21635</v>
      </c>
      <c r="C10908" t="s">
        <v>17</v>
      </c>
      <c r="D10908" t="s">
        <v>18</v>
      </c>
      <c r="E10908" s="6">
        <v>-27895</v>
      </c>
      <c r="F10908" t="s">
        <v>734</v>
      </c>
      <c r="G10908" t="s">
        <v>20</v>
      </c>
      <c r="H10908" t="s">
        <v>21</v>
      </c>
      <c r="I10908" t="s">
        <v>21636</v>
      </c>
      <c r="J10908" t="str">
        <f>HYPERLINK("https://www.boe.es/gazeta/dias/1823/08/16/pdfs/GES-1823-129.pdf#page=4","Abrir facsímil")</f>
        <v>Abrir facsímil</v>
      </c>
      <c r="K10908" t="s">
        <v>23</v>
      </c>
    </row>
    <row r="10909" spans="1:11" ht="42" customHeight="1">
      <c r="A10909" t="s">
        <v>21637</v>
      </c>
      <c r="B10909" t="s">
        <v>21638</v>
      </c>
      <c r="C10909" t="s">
        <v>79</v>
      </c>
      <c r="D10909" t="s">
        <v>74</v>
      </c>
      <c r="E10909" s="6">
        <v>-27906</v>
      </c>
      <c r="F10909" t="s">
        <v>241</v>
      </c>
      <c r="G10909" t="s">
        <v>48</v>
      </c>
      <c r="H10909" t="s">
        <v>21</v>
      </c>
      <c r="I10909" t="s">
        <v>21639</v>
      </c>
      <c r="J10909" t="str">
        <f>HYPERLINK("https://www.boe.es/gazeta/dias/1823/08/05/pdfs/GES-1823-117.pdf#page=3","Abrir facsímil")</f>
        <v>Abrir facsímil</v>
      </c>
      <c r="K10909" t="s">
        <v>23</v>
      </c>
    </row>
    <row r="10910" spans="1:11" ht="42" customHeight="1">
      <c r="A10910" t="s">
        <v>21640</v>
      </c>
      <c r="B10910" t="s">
        <v>21641</v>
      </c>
      <c r="C10910" t="s">
        <v>17</v>
      </c>
      <c r="D10910" t="s">
        <v>18</v>
      </c>
      <c r="E10910" s="6">
        <v>-28013</v>
      </c>
      <c r="F10910" t="s">
        <v>2466</v>
      </c>
      <c r="G10910" t="s">
        <v>2467</v>
      </c>
      <c r="H10910" t="s">
        <v>21</v>
      </c>
      <c r="I10910" t="s">
        <v>21642</v>
      </c>
      <c r="J10910" t="str">
        <f>HYPERLINK("https://www.boe.es/gazeta/dias/1823/04/20/pdfs/GES-1823-10.pdf#page=3","Abrir facsímil")</f>
        <v>Abrir facsímil</v>
      </c>
      <c r="K10910" t="s">
        <v>23</v>
      </c>
    </row>
    <row r="10911" spans="1:11" ht="42" customHeight="1">
      <c r="A10911" t="s">
        <v>21643</v>
      </c>
      <c r="B10911" t="s">
        <v>21644</v>
      </c>
      <c r="C10911" t="s">
        <v>17</v>
      </c>
      <c r="D10911" t="s">
        <v>18</v>
      </c>
      <c r="E10911" s="6">
        <v>-28083</v>
      </c>
      <c r="F10911" t="s">
        <v>291</v>
      </c>
      <c r="G10911" t="s">
        <v>39</v>
      </c>
      <c r="H10911" t="s">
        <v>21</v>
      </c>
      <c r="I10911" t="s">
        <v>21645</v>
      </c>
      <c r="J10911" t="str">
        <f>HYPERLINK("https://www.boe.es/gazeta/dias/1823/02/09/pdfs/GMD-1823-43.pdf#page=1","Abrir facsímil")</f>
        <v>Abrir facsímil</v>
      </c>
      <c r="K10911" t="s">
        <v>23</v>
      </c>
    </row>
    <row r="10912" spans="1:11" ht="42" customHeight="1">
      <c r="A10912" t="s">
        <v>21646</v>
      </c>
      <c r="B10912" t="s">
        <v>21647</v>
      </c>
      <c r="C10912" t="s">
        <v>56</v>
      </c>
      <c r="D10912" t="s">
        <v>57</v>
      </c>
      <c r="E10912" s="6">
        <v>-28043</v>
      </c>
      <c r="F10912" t="s">
        <v>69</v>
      </c>
      <c r="G10912" t="s">
        <v>59</v>
      </c>
      <c r="H10912" t="s">
        <v>21</v>
      </c>
      <c r="I10912" t="s">
        <v>21648</v>
      </c>
      <c r="J10912" t="str">
        <f>HYPERLINK("https://www.boe.es/gazeta/dias/1823/03/21/pdfs/GMD-1823-84.pdf#page=6","Abrir facsímil")</f>
        <v>Abrir facsímil</v>
      </c>
      <c r="K10912" t="s">
        <v>23</v>
      </c>
    </row>
    <row r="10913" spans="1:11" ht="42" customHeight="1">
      <c r="A10913" t="s">
        <v>21649</v>
      </c>
      <c r="B10913" t="s">
        <v>21650</v>
      </c>
      <c r="C10913" t="s">
        <v>17</v>
      </c>
      <c r="D10913" t="s">
        <v>18</v>
      </c>
      <c r="E10913" s="6">
        <v>-27913</v>
      </c>
      <c r="F10913" t="s">
        <v>829</v>
      </c>
      <c r="G10913" t="s">
        <v>34</v>
      </c>
      <c r="H10913" t="s">
        <v>21</v>
      </c>
      <c r="I10913" t="s">
        <v>21651</v>
      </c>
      <c r="J10913" t="str">
        <f>HYPERLINK("https://www.boe.es/gazeta/dias/1823/07/29/pdfs/GMD-1823-483.pdf#page=5","Abrir facsímil")</f>
        <v>Abrir facsímil</v>
      </c>
      <c r="K10913" t="s">
        <v>23</v>
      </c>
    </row>
    <row r="10914" spans="1:11" ht="42" customHeight="1">
      <c r="A10914" t="s">
        <v>21652</v>
      </c>
      <c r="B10914" t="s">
        <v>21652</v>
      </c>
      <c r="C10914" t="s">
        <v>17</v>
      </c>
      <c r="D10914" t="s">
        <v>18</v>
      </c>
      <c r="E10914" s="6">
        <v>-27993</v>
      </c>
      <c r="F10914" t="s">
        <v>1062</v>
      </c>
      <c r="G10914" t="s">
        <v>48</v>
      </c>
      <c r="H10914" t="s">
        <v>21</v>
      </c>
      <c r="I10914" t="s">
        <v>21653</v>
      </c>
      <c r="J10914" t="str">
        <f>HYPERLINK("https://www.boe.es/gazeta/dias/1823/05/10/pdfs/GMD-1823-122.pdf#page=3","Abrir facsímil")</f>
        <v>Abrir facsímil</v>
      </c>
      <c r="K10914" t="s">
        <v>23</v>
      </c>
    </row>
    <row r="10915" spans="1:11" ht="42" customHeight="1">
      <c r="A10915" t="s">
        <v>21654</v>
      </c>
      <c r="B10915" t="s">
        <v>21655</v>
      </c>
      <c r="C10915" t="s">
        <v>79</v>
      </c>
      <c r="D10915" t="s">
        <v>74</v>
      </c>
      <c r="E10915" s="6">
        <v>-28046</v>
      </c>
      <c r="F10915" t="s">
        <v>85</v>
      </c>
      <c r="G10915" t="s">
        <v>20</v>
      </c>
      <c r="H10915" t="s">
        <v>21</v>
      </c>
      <c r="I10915" t="s">
        <v>21656</v>
      </c>
      <c r="J10915" t="str">
        <f>HYPERLINK("https://www.boe.es/gazeta/dias/1823/03/18/pdfs/GMD-1823-81.pdf#page=4","Abrir facsímil")</f>
        <v>Abrir facsímil</v>
      </c>
      <c r="K10915" t="s">
        <v>23</v>
      </c>
    </row>
    <row r="10916" spans="1:11" ht="42" customHeight="1">
      <c r="A10916" t="s">
        <v>21657</v>
      </c>
      <c r="B10916" t="s">
        <v>21658</v>
      </c>
      <c r="C10916" t="s">
        <v>79</v>
      </c>
      <c r="D10916" t="s">
        <v>74</v>
      </c>
      <c r="E10916" s="6">
        <v>-27878</v>
      </c>
      <c r="F10916" t="s">
        <v>1581</v>
      </c>
      <c r="G10916" t="s">
        <v>59</v>
      </c>
      <c r="H10916" t="s">
        <v>21</v>
      </c>
      <c r="I10916" t="s">
        <v>21659</v>
      </c>
      <c r="J10916" t="str">
        <f>HYPERLINK("https://www.boe.es/gazeta/dias/1823/09/02/pdfs/GMD-1823-683.pdf#page=6","Abrir facsímil")</f>
        <v>Abrir facsímil</v>
      </c>
      <c r="K10916" t="s">
        <v>23</v>
      </c>
    </row>
    <row r="10917" spans="1:11" ht="42" customHeight="1">
      <c r="A10917" t="s">
        <v>21657</v>
      </c>
      <c r="B10917" t="s">
        <v>21658</v>
      </c>
      <c r="C10917" t="s">
        <v>56</v>
      </c>
      <c r="D10917" t="s">
        <v>57</v>
      </c>
      <c r="E10917" s="6">
        <v>-27834</v>
      </c>
      <c r="F10917" t="s">
        <v>188</v>
      </c>
      <c r="G10917" t="s">
        <v>20</v>
      </c>
      <c r="H10917" t="s">
        <v>21</v>
      </c>
      <c r="I10917" t="s">
        <v>21660</v>
      </c>
      <c r="J10917" t="str">
        <f>HYPERLINK("https://www.boe.es/gazeta/dias/1823/10/16/pdfs/GMD-1823-983.pdf#page=4","Abrir facsímil")</f>
        <v>Abrir facsímil</v>
      </c>
      <c r="K10917" t="s">
        <v>23</v>
      </c>
    </row>
    <row r="10918" spans="1:11" ht="42" customHeight="1">
      <c r="A10918" t="s">
        <v>21661</v>
      </c>
      <c r="B10918" t="s">
        <v>21662</v>
      </c>
      <c r="C10918" t="s">
        <v>17</v>
      </c>
      <c r="D10918" t="s">
        <v>117</v>
      </c>
      <c r="E10918" s="6">
        <v>-27975</v>
      </c>
      <c r="F10918" t="s">
        <v>1922</v>
      </c>
      <c r="G10918" t="s">
        <v>39</v>
      </c>
      <c r="H10918" t="s">
        <v>21</v>
      </c>
      <c r="I10918" t="s">
        <v>21663</v>
      </c>
      <c r="J10918" t="str">
        <f>HYPERLINK("https://www.boe.es/gazeta/dias/1823/05/28/pdfs/GES-1823-51E.pdf#page=1","Abrir facsímil")</f>
        <v>Abrir facsímil</v>
      </c>
      <c r="K10918" t="s">
        <v>23</v>
      </c>
    </row>
    <row r="10919" spans="1:11" ht="42" customHeight="1">
      <c r="A10919" t="s">
        <v>21664</v>
      </c>
      <c r="B10919" t="s">
        <v>21664</v>
      </c>
      <c r="C10919" t="s">
        <v>17</v>
      </c>
      <c r="D10919" t="s">
        <v>18</v>
      </c>
      <c r="E10919" s="6">
        <v>-28019</v>
      </c>
      <c r="F10919" t="s">
        <v>1663</v>
      </c>
      <c r="G10919" t="s">
        <v>39</v>
      </c>
      <c r="H10919" t="s">
        <v>21</v>
      </c>
      <c r="I10919" t="s">
        <v>21665</v>
      </c>
      <c r="J10919" t="str">
        <f>HYPERLINK("https://www.boe.es/gazeta/dias/1823/04/14/pdfs/GES-1823-4.pdf#page=1","Abrir facsímil")</f>
        <v>Abrir facsímil</v>
      </c>
      <c r="K10919" t="s">
        <v>23</v>
      </c>
    </row>
    <row r="10920" spans="1:11" ht="42" customHeight="1">
      <c r="A10920" t="s">
        <v>21664</v>
      </c>
      <c r="B10920" t="s">
        <v>21664</v>
      </c>
      <c r="C10920" t="s">
        <v>17</v>
      </c>
      <c r="D10920" t="s">
        <v>18</v>
      </c>
      <c r="E10920" s="6">
        <v>-27990</v>
      </c>
      <c r="F10920" t="s">
        <v>330</v>
      </c>
      <c r="G10920" t="s">
        <v>20</v>
      </c>
      <c r="H10920" t="s">
        <v>21</v>
      </c>
      <c r="I10920" t="s">
        <v>21666</v>
      </c>
      <c r="J10920" t="str">
        <f>HYPERLINK("https://www.boe.es/gazeta/dias/1823/05/13/pdfs/GMD-1823-132.pdf#page=4","Abrir facsímil")</f>
        <v>Abrir facsímil</v>
      </c>
      <c r="K10920" t="s">
        <v>23</v>
      </c>
    </row>
    <row r="10921" spans="1:11" ht="42" customHeight="1">
      <c r="A10921" t="s">
        <v>21667</v>
      </c>
      <c r="B10921" t="s">
        <v>21667</v>
      </c>
      <c r="C10921" t="s">
        <v>79</v>
      </c>
      <c r="D10921" t="s">
        <v>74</v>
      </c>
      <c r="E10921" s="6">
        <v>-28059</v>
      </c>
      <c r="F10921" t="s">
        <v>149</v>
      </c>
      <c r="G10921" t="s">
        <v>20</v>
      </c>
      <c r="H10921" t="s">
        <v>21</v>
      </c>
      <c r="I10921" t="s">
        <v>21668</v>
      </c>
      <c r="J10921" t="str">
        <f>HYPERLINK("https://www.boe.es/gazeta/dias/1823/03/05/pdfs/GMD-1823-68.pdf#page=4","Abrir facsímil")</f>
        <v>Abrir facsímil</v>
      </c>
      <c r="K10921" t="s">
        <v>23</v>
      </c>
    </row>
    <row r="10922" spans="1:11" ht="42" customHeight="1">
      <c r="A10922" t="s">
        <v>21667</v>
      </c>
      <c r="B10922" t="s">
        <v>21667</v>
      </c>
      <c r="C10922" t="s">
        <v>17</v>
      </c>
      <c r="D10922" t="s">
        <v>18</v>
      </c>
      <c r="E10922" s="6">
        <v>-28057</v>
      </c>
      <c r="F10922" t="s">
        <v>301</v>
      </c>
      <c r="G10922" t="s">
        <v>20</v>
      </c>
      <c r="H10922" t="s">
        <v>21</v>
      </c>
      <c r="I10922" t="s">
        <v>21669</v>
      </c>
      <c r="J10922" t="str">
        <f>HYPERLINK("https://www.boe.es/gazeta/dias/1823/03/07/pdfs/GMD-1823-70.pdf#page=4","Abrir facsímil")</f>
        <v>Abrir facsímil</v>
      </c>
      <c r="K10922" t="s">
        <v>23</v>
      </c>
    </row>
    <row r="10923" spans="1:11" ht="42" customHeight="1">
      <c r="A10923" t="s">
        <v>21667</v>
      </c>
      <c r="B10923" t="s">
        <v>21667</v>
      </c>
      <c r="C10923" t="s">
        <v>79</v>
      </c>
      <c r="D10923" t="s">
        <v>74</v>
      </c>
      <c r="E10923" s="6">
        <v>-28056</v>
      </c>
      <c r="F10923" t="s">
        <v>572</v>
      </c>
      <c r="G10923" t="s">
        <v>34</v>
      </c>
      <c r="H10923" t="s">
        <v>21</v>
      </c>
      <c r="I10923" t="s">
        <v>21670</v>
      </c>
      <c r="J10923" t="str">
        <f>HYPERLINK("https://www.boe.es/gazeta/dias/1823/03/08/pdfs/GMD-1823-71.pdf#page=5","Abrir facsímil")</f>
        <v>Abrir facsímil</v>
      </c>
      <c r="K10923" t="s">
        <v>23</v>
      </c>
    </row>
    <row r="10924" spans="1:11" ht="42" customHeight="1">
      <c r="A10924" t="s">
        <v>21667</v>
      </c>
      <c r="B10924" t="s">
        <v>21667</v>
      </c>
      <c r="C10924" t="s">
        <v>56</v>
      </c>
      <c r="D10924" t="s">
        <v>57</v>
      </c>
      <c r="E10924" s="6">
        <v>-27994</v>
      </c>
      <c r="F10924" t="s">
        <v>714</v>
      </c>
      <c r="G10924" t="s">
        <v>59</v>
      </c>
      <c r="H10924" t="s">
        <v>21</v>
      </c>
      <c r="I10924" t="s">
        <v>21671</v>
      </c>
      <c r="J10924" t="str">
        <f>HYPERLINK("https://www.boe.es/gazeta/dias/1823/05/09/pdfs/GES-1823-29.pdf#page=6","Abrir facsímil")</f>
        <v>Abrir facsímil</v>
      </c>
      <c r="K10924" t="s">
        <v>23</v>
      </c>
    </row>
    <row r="10925" spans="1:11" ht="42" customHeight="1">
      <c r="A10925" t="s">
        <v>21672</v>
      </c>
      <c r="B10925" t="s">
        <v>21673</v>
      </c>
      <c r="C10925" t="s">
        <v>17</v>
      </c>
      <c r="D10925" t="s">
        <v>18</v>
      </c>
      <c r="E10925" s="6">
        <v>-27984</v>
      </c>
      <c r="F10925" t="s">
        <v>335</v>
      </c>
      <c r="G10925" t="s">
        <v>27</v>
      </c>
      <c r="H10925" t="s">
        <v>21</v>
      </c>
      <c r="I10925" t="s">
        <v>21674</v>
      </c>
      <c r="J10925" t="str">
        <f>HYPERLINK("https://www.boe.es/gazeta/dias/1823/05/19/pdfs/GES-1823-39.pdf#page=2","Abrir facsímil")</f>
        <v>Abrir facsímil</v>
      </c>
      <c r="K10925" t="s">
        <v>23</v>
      </c>
    </row>
    <row r="10926" spans="1:11" ht="42" customHeight="1">
      <c r="A10926" t="s">
        <v>21675</v>
      </c>
      <c r="B10926" t="s">
        <v>21675</v>
      </c>
      <c r="C10926" t="s">
        <v>17</v>
      </c>
      <c r="D10926" t="s">
        <v>18</v>
      </c>
      <c r="E10926" s="6">
        <v>-28001</v>
      </c>
      <c r="F10926" t="s">
        <v>768</v>
      </c>
      <c r="G10926" t="s">
        <v>4465</v>
      </c>
      <c r="H10926" t="s">
        <v>21</v>
      </c>
      <c r="I10926" t="s">
        <v>21676</v>
      </c>
      <c r="J10926" t="str">
        <f>HYPERLINK("https://www.boe.es/gazeta/dias/1823/05/02/pdfs/GES-1823-22.pdf#page=4","Abrir facsímil")</f>
        <v>Abrir facsímil</v>
      </c>
      <c r="K10926" t="s">
        <v>23</v>
      </c>
    </row>
    <row r="10927" spans="1:11" ht="42" customHeight="1">
      <c r="A10927" t="s">
        <v>21675</v>
      </c>
      <c r="B10927" t="s">
        <v>21675</v>
      </c>
      <c r="C10927" t="s">
        <v>17</v>
      </c>
      <c r="D10927" t="s">
        <v>18</v>
      </c>
      <c r="E10927" s="6">
        <v>-27993</v>
      </c>
      <c r="F10927" t="s">
        <v>1062</v>
      </c>
      <c r="G10927" t="s">
        <v>59</v>
      </c>
      <c r="H10927" t="s">
        <v>21</v>
      </c>
      <c r="I10927" t="s">
        <v>21677</v>
      </c>
      <c r="J10927" t="str">
        <f>HYPERLINK("https://www.boe.es/gazeta/dias/1823/05/10/pdfs/GMD-1823-122.pdf#page=6","Abrir facsímil")</f>
        <v>Abrir facsímil</v>
      </c>
      <c r="K10927" t="s">
        <v>23</v>
      </c>
    </row>
    <row r="10928" spans="1:11" ht="42" customHeight="1">
      <c r="A10928" t="s">
        <v>21675</v>
      </c>
      <c r="B10928" t="s">
        <v>21675</v>
      </c>
      <c r="C10928" t="s">
        <v>17</v>
      </c>
      <c r="D10928" t="s">
        <v>18</v>
      </c>
      <c r="E10928" s="6">
        <v>-27992</v>
      </c>
      <c r="F10928" t="s">
        <v>565</v>
      </c>
      <c r="G10928" t="s">
        <v>39</v>
      </c>
      <c r="H10928" t="s">
        <v>21</v>
      </c>
      <c r="I10928" t="s">
        <v>21678</v>
      </c>
      <c r="J10928" t="str">
        <f>HYPERLINK("https://www.boe.es/gazeta/dias/1823/05/11/pdfs/GES-1823-31.pdf#page=1","Abrir facsímil")</f>
        <v>Abrir facsímil</v>
      </c>
      <c r="K10928" t="s">
        <v>23</v>
      </c>
    </row>
    <row r="10929" spans="1:11" ht="42" customHeight="1">
      <c r="A10929" t="s">
        <v>21675</v>
      </c>
      <c r="B10929" t="s">
        <v>21675</v>
      </c>
      <c r="C10929" t="s">
        <v>17</v>
      </c>
      <c r="D10929" t="s">
        <v>18</v>
      </c>
      <c r="E10929" s="6">
        <v>-27939</v>
      </c>
      <c r="F10929" t="s">
        <v>1403</v>
      </c>
      <c r="G10929" t="s">
        <v>715</v>
      </c>
      <c r="H10929" t="s">
        <v>21</v>
      </c>
      <c r="I10929" t="s">
        <v>21679</v>
      </c>
      <c r="J10929" t="str">
        <f>HYPERLINK("https://www.boe.es/gazeta/dias/1823/07/03/pdfs/GMD-1823-333.pdf#page=8","Abrir facsímil")</f>
        <v>Abrir facsímil</v>
      </c>
      <c r="K10929" t="s">
        <v>23</v>
      </c>
    </row>
    <row r="10930" spans="1:11" ht="42" customHeight="1">
      <c r="A10930" t="s">
        <v>21680</v>
      </c>
      <c r="B10930" t="s">
        <v>21681</v>
      </c>
      <c r="C10930" t="s">
        <v>17</v>
      </c>
      <c r="D10930" t="s">
        <v>18</v>
      </c>
      <c r="E10930" s="6">
        <v>-27969</v>
      </c>
      <c r="F10930" t="s">
        <v>855</v>
      </c>
      <c r="G10930" t="s">
        <v>20</v>
      </c>
      <c r="H10930" t="s">
        <v>21</v>
      </c>
      <c r="I10930" t="s">
        <v>21682</v>
      </c>
      <c r="J10930" t="str">
        <f>HYPERLINK("https://www.boe.es/gazeta/dias/1823/06/03/pdfs/GES-1823-57.pdf#page=4","Abrir facsímil")</f>
        <v>Abrir facsímil</v>
      </c>
      <c r="K10930" t="s">
        <v>23</v>
      </c>
    </row>
    <row r="10931" spans="1:11" ht="42" customHeight="1">
      <c r="A10931" t="s">
        <v>21683</v>
      </c>
      <c r="B10931" t="s">
        <v>21683</v>
      </c>
      <c r="C10931" t="s">
        <v>17</v>
      </c>
      <c r="D10931" t="s">
        <v>18</v>
      </c>
      <c r="E10931" s="6">
        <v>-28016</v>
      </c>
      <c r="F10931" t="s">
        <v>2259</v>
      </c>
      <c r="G10931" t="s">
        <v>20</v>
      </c>
      <c r="H10931" t="s">
        <v>21</v>
      </c>
      <c r="I10931" t="s">
        <v>21684</v>
      </c>
      <c r="J10931" t="str">
        <f>HYPERLINK("https://www.boe.es/gazeta/dias/1823/04/17/pdfs/GES-1823-7.pdf#page=4","Abrir facsímil")</f>
        <v>Abrir facsímil</v>
      </c>
      <c r="K10931" t="s">
        <v>23</v>
      </c>
    </row>
    <row r="10932" spans="1:11" ht="42" customHeight="1">
      <c r="A10932" t="s">
        <v>21685</v>
      </c>
      <c r="B10932" t="s">
        <v>21685</v>
      </c>
      <c r="C10932" t="s">
        <v>109</v>
      </c>
      <c r="D10932" t="s">
        <v>74</v>
      </c>
      <c r="E10932" s="6">
        <v>-28100</v>
      </c>
      <c r="F10932" t="s">
        <v>737</v>
      </c>
      <c r="G10932" t="s">
        <v>27</v>
      </c>
      <c r="H10932" t="s">
        <v>21</v>
      </c>
      <c r="I10932" t="s">
        <v>21686</v>
      </c>
      <c r="J10932" t="str">
        <f>HYPERLINK("https://www.boe.es/gazeta/dias/1823/01/23/pdfs/GMD-1823-24.pdf#page=2","Abrir facsímil")</f>
        <v>Abrir facsímil</v>
      </c>
      <c r="K10932" t="s">
        <v>23</v>
      </c>
    </row>
    <row r="10933" spans="1:11" ht="42" customHeight="1">
      <c r="A10933" t="s">
        <v>21687</v>
      </c>
      <c r="B10933" t="s">
        <v>21688</v>
      </c>
      <c r="C10933" t="s">
        <v>79</v>
      </c>
      <c r="D10933" t="s">
        <v>74</v>
      </c>
      <c r="E10933" s="6">
        <v>-28106</v>
      </c>
      <c r="F10933" t="s">
        <v>280</v>
      </c>
      <c r="G10933" t="s">
        <v>20</v>
      </c>
      <c r="H10933" t="s">
        <v>21</v>
      </c>
      <c r="I10933" t="s">
        <v>21689</v>
      </c>
      <c r="J10933" t="str">
        <f>HYPERLINK("https://www.boe.es/gazeta/dias/1823/01/17/pdfs/GMD-1823-17.pdf#page=4","Abrir facsímil")</f>
        <v>Abrir facsímil</v>
      </c>
      <c r="K10933" t="s">
        <v>23</v>
      </c>
    </row>
    <row r="10934" spans="1:11" ht="42" customHeight="1">
      <c r="A10934" t="s">
        <v>21690</v>
      </c>
      <c r="B10934" t="s">
        <v>21691</v>
      </c>
      <c r="C10934" t="s">
        <v>17</v>
      </c>
      <c r="D10934" t="s">
        <v>18</v>
      </c>
      <c r="E10934" s="6">
        <v>-28049</v>
      </c>
      <c r="F10934" t="s">
        <v>198</v>
      </c>
      <c r="G10934" t="s">
        <v>20</v>
      </c>
      <c r="H10934" t="s">
        <v>21</v>
      </c>
      <c r="I10934" t="s">
        <v>21692</v>
      </c>
      <c r="J10934" t="str">
        <f>HYPERLINK("https://www.boe.es/gazeta/dias/1823/03/15/pdfs/GMD-1823-78.pdf#page=4","Abrir facsímil")</f>
        <v>Abrir facsímil</v>
      </c>
      <c r="K10934" t="s">
        <v>23</v>
      </c>
    </row>
    <row r="10935" spans="1:11" ht="42" customHeight="1">
      <c r="A10935" t="s">
        <v>21693</v>
      </c>
      <c r="B10935" t="s">
        <v>21694</v>
      </c>
      <c r="C10935" t="s">
        <v>84</v>
      </c>
      <c r="D10935" t="s">
        <v>74</v>
      </c>
      <c r="E10935" s="6">
        <v>-27931</v>
      </c>
      <c r="F10935" t="s">
        <v>1833</v>
      </c>
      <c r="G10935" t="s">
        <v>39</v>
      </c>
      <c r="H10935" t="s">
        <v>21</v>
      </c>
      <c r="I10935" t="s">
        <v>21695</v>
      </c>
      <c r="J10935" t="str">
        <f>HYPERLINK("https://www.boe.es/gazeta/dias/1823/07/11/pdfs/GES-1823-91.pdf#page=1","Abrir facsímil")</f>
        <v>Abrir facsímil</v>
      </c>
      <c r="K10935" t="s">
        <v>23</v>
      </c>
    </row>
    <row r="10936" spans="1:11" ht="42" customHeight="1">
      <c r="A10936" t="s">
        <v>21696</v>
      </c>
      <c r="B10936" t="s">
        <v>21697</v>
      </c>
      <c r="C10936" t="s">
        <v>17</v>
      </c>
      <c r="D10936" t="s">
        <v>18</v>
      </c>
      <c r="E10936" s="6">
        <v>-27879</v>
      </c>
      <c r="F10936" t="s">
        <v>638</v>
      </c>
      <c r="G10936" t="s">
        <v>39</v>
      </c>
      <c r="H10936" t="s">
        <v>21</v>
      </c>
      <c r="I10936" t="s">
        <v>21698</v>
      </c>
      <c r="J10936" t="str">
        <f>HYPERLINK("https://www.boe.es/gazeta/dias/1823/09/01/pdfs/GES-1823-145.pdf#page=1","Abrir facsímil")</f>
        <v>Abrir facsímil</v>
      </c>
      <c r="K10936" t="s">
        <v>23</v>
      </c>
    </row>
    <row r="10937" spans="1:11" ht="42" customHeight="1">
      <c r="A10937" t="s">
        <v>21696</v>
      </c>
      <c r="B10937" t="s">
        <v>21697</v>
      </c>
      <c r="C10937" t="s">
        <v>17</v>
      </c>
      <c r="D10937" t="s">
        <v>18</v>
      </c>
      <c r="E10937" s="6">
        <v>-27879</v>
      </c>
      <c r="F10937" t="s">
        <v>638</v>
      </c>
      <c r="G10937" t="s">
        <v>27</v>
      </c>
      <c r="H10937" t="s">
        <v>21</v>
      </c>
      <c r="I10937" t="s">
        <v>21699</v>
      </c>
      <c r="J10937" t="str">
        <f>HYPERLINK("https://www.boe.es/gazeta/dias/1823/09/01/pdfs/GES-1823-145.pdf#page=2","Abrir facsímil")</f>
        <v>Abrir facsímil</v>
      </c>
      <c r="K10937" t="s">
        <v>23</v>
      </c>
    </row>
    <row r="10938" spans="1:11" ht="42" customHeight="1">
      <c r="A10938" t="s">
        <v>21696</v>
      </c>
      <c r="B10938" t="s">
        <v>21697</v>
      </c>
      <c r="C10938" t="s">
        <v>17</v>
      </c>
      <c r="D10938" t="s">
        <v>18</v>
      </c>
      <c r="E10938" s="6">
        <v>-27878</v>
      </c>
      <c r="F10938" t="s">
        <v>130</v>
      </c>
      <c r="G10938" t="s">
        <v>48</v>
      </c>
      <c r="H10938" t="s">
        <v>21</v>
      </c>
      <c r="I10938" t="s">
        <v>21700</v>
      </c>
      <c r="J10938" t="str">
        <f>HYPERLINK("https://www.boe.es/gazeta/dias/1823/09/02/pdfs/GES-1823-146.pdf#page=3","Abrir facsímil")</f>
        <v>Abrir facsímil</v>
      </c>
      <c r="K10938" t="s">
        <v>23</v>
      </c>
    </row>
    <row r="10939" spans="1:11" ht="42" customHeight="1">
      <c r="A10939" t="s">
        <v>21701</v>
      </c>
      <c r="B10939" t="s">
        <v>21702</v>
      </c>
      <c r="C10939" t="s">
        <v>56</v>
      </c>
      <c r="D10939" t="s">
        <v>57</v>
      </c>
      <c r="E10939" s="6">
        <v>-27935</v>
      </c>
      <c r="F10939" t="s">
        <v>350</v>
      </c>
      <c r="G10939" t="s">
        <v>20</v>
      </c>
      <c r="H10939" t="s">
        <v>21</v>
      </c>
      <c r="I10939" t="s">
        <v>21703</v>
      </c>
      <c r="J10939" t="str">
        <f>HYPERLINK("https://www.boe.es/gazeta/dias/1823/07/07/pdfs/GES-1823-87.pdf#page=4","Abrir facsímil")</f>
        <v>Abrir facsímil</v>
      </c>
      <c r="K10939" t="s">
        <v>23</v>
      </c>
    </row>
    <row r="10940" spans="1:11" ht="42" customHeight="1">
      <c r="A10940" t="s">
        <v>21704</v>
      </c>
      <c r="B10940" t="s">
        <v>21705</v>
      </c>
      <c r="C10940" t="s">
        <v>17</v>
      </c>
      <c r="D10940" t="s">
        <v>18</v>
      </c>
      <c r="E10940" s="6">
        <v>-28004</v>
      </c>
      <c r="F10940" t="s">
        <v>313</v>
      </c>
      <c r="G10940" t="s">
        <v>20</v>
      </c>
      <c r="H10940" t="s">
        <v>21</v>
      </c>
      <c r="I10940" t="s">
        <v>21706</v>
      </c>
      <c r="J10940" t="str">
        <f>HYPERLINK("https://www.boe.es/gazeta/dias/1823/04/29/pdfs/GMD-1823-72.pdf#page=4","Abrir facsímil")</f>
        <v>Abrir facsímil</v>
      </c>
      <c r="K10940" t="s">
        <v>23</v>
      </c>
    </row>
    <row r="10941" spans="1:11" ht="42" customHeight="1">
      <c r="A10941" t="s">
        <v>21707</v>
      </c>
      <c r="B10941" t="s">
        <v>21708</v>
      </c>
      <c r="C10941" t="s">
        <v>17</v>
      </c>
      <c r="D10941" t="s">
        <v>18</v>
      </c>
      <c r="E10941" s="6">
        <v>-27992</v>
      </c>
      <c r="F10941" t="s">
        <v>565</v>
      </c>
      <c r="G10941" t="s">
        <v>20</v>
      </c>
      <c r="H10941" t="s">
        <v>28</v>
      </c>
      <c r="I10941" t="s">
        <v>21709</v>
      </c>
      <c r="J10941" t="str">
        <f>HYPERLINK("https://www.boe.es/gazeta/dias/1823/05/11/pdfs/GES-1823-31.pdf#page=4","Abrir facsímil")</f>
        <v>Abrir facsímil</v>
      </c>
      <c r="K10941" t="s">
        <v>30</v>
      </c>
    </row>
    <row r="10942" spans="1:11" ht="42" customHeight="1">
      <c r="A10942" t="s">
        <v>21710</v>
      </c>
      <c r="B10942" t="s">
        <v>21711</v>
      </c>
      <c r="C10942" t="s">
        <v>56</v>
      </c>
      <c r="D10942" t="s">
        <v>57</v>
      </c>
      <c r="E10942" s="6">
        <v>-28091</v>
      </c>
      <c r="F10942" t="s">
        <v>1047</v>
      </c>
      <c r="G10942" t="s">
        <v>59</v>
      </c>
      <c r="H10942" t="s">
        <v>21</v>
      </c>
      <c r="I10942" t="s">
        <v>21712</v>
      </c>
      <c r="J10942" t="str">
        <f>HYPERLINK("https://www.boe.es/gazeta/dias/1823/02/01/pdfs/GMD-1823-34.pdf#page=6","Abrir facsímil")</f>
        <v>Abrir facsímil</v>
      </c>
      <c r="K10942" t="s">
        <v>23</v>
      </c>
    </row>
    <row r="10943" spans="1:11" ht="42" customHeight="1">
      <c r="A10943" t="s">
        <v>21713</v>
      </c>
      <c r="B10943" t="s">
        <v>21714</v>
      </c>
      <c r="C10943" t="s">
        <v>17</v>
      </c>
      <c r="D10943" t="s">
        <v>18</v>
      </c>
      <c r="E10943" s="6">
        <v>-28078</v>
      </c>
      <c r="F10943" t="s">
        <v>508</v>
      </c>
      <c r="G10943" t="s">
        <v>59</v>
      </c>
      <c r="H10943" t="s">
        <v>21</v>
      </c>
      <c r="I10943" t="s">
        <v>21715</v>
      </c>
      <c r="J10943" t="str">
        <f>HYPERLINK("https://www.boe.es/gazeta/dias/1823/02/14/pdfs/GMD-1823-48.pdf#page=6","Abrir facsímil")</f>
        <v>Abrir facsímil</v>
      </c>
      <c r="K10943" t="s">
        <v>23</v>
      </c>
    </row>
    <row r="10944" spans="1:11" ht="42" customHeight="1">
      <c r="A10944" t="s">
        <v>21716</v>
      </c>
      <c r="B10944" t="s">
        <v>21717</v>
      </c>
      <c r="C10944" t="s">
        <v>17</v>
      </c>
      <c r="D10944" t="s">
        <v>18</v>
      </c>
      <c r="E10944" s="6">
        <v>-28003</v>
      </c>
      <c r="F10944" t="s">
        <v>26</v>
      </c>
      <c r="G10944" t="s">
        <v>27</v>
      </c>
      <c r="H10944" t="s">
        <v>21</v>
      </c>
      <c r="I10944" t="s">
        <v>21718</v>
      </c>
      <c r="J10944" t="str">
        <f>HYPERLINK("https://www.boe.es/gazeta/dias/1823/04/30/pdfs/GES-1823-20.pdf#page=2","Abrir facsímil")</f>
        <v>Abrir facsímil</v>
      </c>
      <c r="K10944" t="s">
        <v>23</v>
      </c>
    </row>
    <row r="10945" spans="1:11" ht="42" customHeight="1">
      <c r="A10945" t="s">
        <v>21719</v>
      </c>
      <c r="B10945" t="s">
        <v>21720</v>
      </c>
      <c r="C10945" t="s">
        <v>17</v>
      </c>
      <c r="D10945" t="s">
        <v>18</v>
      </c>
      <c r="E10945" s="6">
        <v>-27785</v>
      </c>
      <c r="F10945" t="s">
        <v>1397</v>
      </c>
      <c r="G10945" t="s">
        <v>39</v>
      </c>
      <c r="H10945" t="s">
        <v>21</v>
      </c>
      <c r="I10945" t="s">
        <v>21721</v>
      </c>
      <c r="J10945" t="str">
        <f>HYPERLINK("https://www.boe.es/gazeta/dias/1823/12/04/pdfs/GMD-1823-1203.pdf#page=1","Abrir facsímil")</f>
        <v>Abrir facsímil</v>
      </c>
      <c r="K10945" t="s">
        <v>23</v>
      </c>
    </row>
    <row r="10946" spans="1:11" ht="42" customHeight="1">
      <c r="A10946" t="s">
        <v>21722</v>
      </c>
      <c r="B10946" t="s">
        <v>21723</v>
      </c>
      <c r="C10946" t="s">
        <v>325</v>
      </c>
      <c r="D10946" t="s">
        <v>74</v>
      </c>
      <c r="E10946" s="6">
        <v>-27820</v>
      </c>
      <c r="F10946" t="s">
        <v>6283</v>
      </c>
      <c r="G10946" t="s">
        <v>20</v>
      </c>
      <c r="H10946" t="s">
        <v>21</v>
      </c>
      <c r="I10946" t="s">
        <v>21724</v>
      </c>
      <c r="J10946" t="str">
        <f>HYPERLINK("https://www.boe.es/gazeta/dias/1823/10/30/pdfs/GMD-1823-1043.pdf#page=4","Abrir facsímil")</f>
        <v>Abrir facsímil</v>
      </c>
      <c r="K10946" t="s">
        <v>23</v>
      </c>
    </row>
    <row r="10947" spans="1:11" ht="42" customHeight="1">
      <c r="A10947" t="s">
        <v>21725</v>
      </c>
      <c r="B10947" t="s">
        <v>21726</v>
      </c>
      <c r="C10947" t="s">
        <v>79</v>
      </c>
      <c r="D10947" t="s">
        <v>74</v>
      </c>
      <c r="E10947" s="6">
        <v>-27785</v>
      </c>
      <c r="F10947" t="s">
        <v>1397</v>
      </c>
      <c r="G10947" t="s">
        <v>39</v>
      </c>
      <c r="H10947" t="s">
        <v>21</v>
      </c>
      <c r="I10947" t="s">
        <v>21727</v>
      </c>
      <c r="J10947" t="str">
        <f>HYPERLINK("https://www.boe.es/gazeta/dias/1823/12/04/pdfs/GMD-1823-1203.pdf#page=1","Abrir facsímil")</f>
        <v>Abrir facsímil</v>
      </c>
      <c r="K10947" t="s">
        <v>23</v>
      </c>
    </row>
    <row r="10948" spans="1:11" ht="42" customHeight="1">
      <c r="A10948" t="s">
        <v>21728</v>
      </c>
      <c r="B10948" t="s">
        <v>21729</v>
      </c>
      <c r="C10948" t="s">
        <v>56</v>
      </c>
      <c r="D10948" t="s">
        <v>57</v>
      </c>
      <c r="E10948" s="6">
        <v>-27822</v>
      </c>
      <c r="F10948" t="s">
        <v>992</v>
      </c>
      <c r="G10948" t="s">
        <v>20</v>
      </c>
      <c r="H10948" t="s">
        <v>21</v>
      </c>
      <c r="I10948" t="s">
        <v>21730</v>
      </c>
      <c r="J10948" t="str">
        <f>HYPERLINK("https://www.boe.es/gazeta/dias/1823/10/28/pdfs/GMD-1823-1033.pdf#page=4","Abrir facsímil")</f>
        <v>Abrir facsímil</v>
      </c>
      <c r="K10948" t="s">
        <v>23</v>
      </c>
    </row>
    <row r="10949" spans="1:11" ht="42" customHeight="1">
      <c r="A10949" t="s">
        <v>21731</v>
      </c>
      <c r="B10949" t="s">
        <v>21732</v>
      </c>
      <c r="C10949" t="s">
        <v>79</v>
      </c>
      <c r="D10949" t="s">
        <v>74</v>
      </c>
      <c r="E10949" s="6">
        <v>-28037</v>
      </c>
      <c r="F10949" t="s">
        <v>192</v>
      </c>
      <c r="G10949" t="s">
        <v>48</v>
      </c>
      <c r="H10949" t="s">
        <v>21</v>
      </c>
      <c r="I10949" t="s">
        <v>21733</v>
      </c>
      <c r="J10949" t="str">
        <f>HYPERLINK("https://www.boe.es/gazeta/dias/1823/03/27/pdfs/GMD-1823-90.pdf#page=3","Abrir facsímil")</f>
        <v>Abrir facsímil</v>
      </c>
      <c r="K10949" t="s">
        <v>23</v>
      </c>
    </row>
    <row r="10950" spans="1:11" ht="42" customHeight="1">
      <c r="A10950" t="s">
        <v>21734</v>
      </c>
      <c r="B10950" t="s">
        <v>21734</v>
      </c>
      <c r="C10950" t="s">
        <v>17</v>
      </c>
      <c r="D10950" t="s">
        <v>18</v>
      </c>
      <c r="E10950" s="6">
        <v>-28016</v>
      </c>
      <c r="F10950" t="s">
        <v>2259</v>
      </c>
      <c r="G10950" t="s">
        <v>27</v>
      </c>
      <c r="H10950" t="s">
        <v>21</v>
      </c>
      <c r="I10950" t="s">
        <v>21735</v>
      </c>
      <c r="J10950" t="str">
        <f>HYPERLINK("https://www.boe.es/gazeta/dias/1823/04/17/pdfs/GES-1823-7.pdf#page=2","Abrir facsímil")</f>
        <v>Abrir facsímil</v>
      </c>
      <c r="K10950" t="s">
        <v>23</v>
      </c>
    </row>
    <row r="10951" spans="1:11" ht="42" customHeight="1">
      <c r="A10951" t="s">
        <v>21736</v>
      </c>
      <c r="B10951" t="s">
        <v>21736</v>
      </c>
      <c r="C10951" t="s">
        <v>56</v>
      </c>
      <c r="D10951" t="s">
        <v>57</v>
      </c>
      <c r="E10951" s="6">
        <v>-28099</v>
      </c>
      <c r="F10951" t="s">
        <v>1689</v>
      </c>
      <c r="G10951" t="s">
        <v>27</v>
      </c>
      <c r="H10951" t="s">
        <v>21</v>
      </c>
      <c r="I10951" t="s">
        <v>21737</v>
      </c>
      <c r="J10951" t="str">
        <f>HYPERLINK("https://www.boe.es/gazeta/dias/1823/01/24/pdfs/GMD-1823-25.pdf#page=2","Abrir facsímil")</f>
        <v>Abrir facsímil</v>
      </c>
      <c r="K10951" t="s">
        <v>23</v>
      </c>
    </row>
    <row r="10952" spans="1:11" ht="42" customHeight="1">
      <c r="A10952" t="s">
        <v>21736</v>
      </c>
      <c r="B10952" t="s">
        <v>21736</v>
      </c>
      <c r="C10952" t="s">
        <v>56</v>
      </c>
      <c r="D10952" t="s">
        <v>57</v>
      </c>
      <c r="E10952" s="6">
        <v>-28099</v>
      </c>
      <c r="F10952" t="s">
        <v>1689</v>
      </c>
      <c r="G10952" t="s">
        <v>48</v>
      </c>
      <c r="H10952" t="s">
        <v>21</v>
      </c>
      <c r="I10952" t="s">
        <v>21738</v>
      </c>
      <c r="J10952" t="str">
        <f>HYPERLINK("https://www.boe.es/gazeta/dias/1823/01/24/pdfs/GMD-1823-25.pdf#page=3","Abrir facsímil")</f>
        <v>Abrir facsímil</v>
      </c>
      <c r="K10952" t="s">
        <v>23</v>
      </c>
    </row>
    <row r="10953" spans="1:11" ht="42" customHeight="1">
      <c r="A10953" t="s">
        <v>21736</v>
      </c>
      <c r="B10953" t="s">
        <v>21736</v>
      </c>
      <c r="C10953" t="s">
        <v>73</v>
      </c>
      <c r="D10953" t="s">
        <v>74</v>
      </c>
      <c r="E10953" s="6">
        <v>-28096</v>
      </c>
      <c r="F10953" t="s">
        <v>534</v>
      </c>
      <c r="G10953" t="s">
        <v>27</v>
      </c>
      <c r="H10953" t="s">
        <v>21</v>
      </c>
      <c r="I10953" t="s">
        <v>21739</v>
      </c>
      <c r="J10953" t="str">
        <f>HYPERLINK("https://www.boe.es/gazeta/dias/1823/01/27/pdfs/GMD-1823-28.pdf#page=2","Abrir facsímil")</f>
        <v>Abrir facsímil</v>
      </c>
      <c r="K10953" t="s">
        <v>23</v>
      </c>
    </row>
    <row r="10954" spans="1:11" ht="42" customHeight="1">
      <c r="A10954" t="s">
        <v>21736</v>
      </c>
      <c r="B10954" t="s">
        <v>21736</v>
      </c>
      <c r="C10954" t="s">
        <v>56</v>
      </c>
      <c r="D10954" t="s">
        <v>57</v>
      </c>
      <c r="E10954" s="6">
        <v>-28094</v>
      </c>
      <c r="F10954" t="s">
        <v>93</v>
      </c>
      <c r="G10954" t="s">
        <v>27</v>
      </c>
      <c r="H10954" t="s">
        <v>21</v>
      </c>
      <c r="I10954" t="s">
        <v>21740</v>
      </c>
      <c r="J10954" t="str">
        <f>HYPERLINK("https://www.boe.es/gazeta/dias/1823/01/29/pdfs/GMD-1823-30.pdf#page=2","Abrir facsímil")</f>
        <v>Abrir facsímil</v>
      </c>
      <c r="K10954" t="s">
        <v>23</v>
      </c>
    </row>
    <row r="10955" spans="1:11" ht="42" customHeight="1">
      <c r="A10955" t="s">
        <v>21736</v>
      </c>
      <c r="B10955" t="s">
        <v>21736</v>
      </c>
      <c r="C10955" t="s">
        <v>17</v>
      </c>
      <c r="D10955" t="s">
        <v>18</v>
      </c>
      <c r="E10955" s="6">
        <v>-28091</v>
      </c>
      <c r="F10955" t="s">
        <v>1047</v>
      </c>
      <c r="G10955" t="s">
        <v>59</v>
      </c>
      <c r="H10955" t="s">
        <v>21</v>
      </c>
      <c r="I10955" t="s">
        <v>21741</v>
      </c>
      <c r="J10955" t="str">
        <f>HYPERLINK("https://www.boe.es/gazeta/dias/1823/02/01/pdfs/GMD-1823-34.pdf#page=6","Abrir facsímil")</f>
        <v>Abrir facsímil</v>
      </c>
      <c r="K10955" t="s">
        <v>23</v>
      </c>
    </row>
    <row r="10956" spans="1:11" ht="42" customHeight="1">
      <c r="A10956" t="s">
        <v>21736</v>
      </c>
      <c r="B10956" t="s">
        <v>21736</v>
      </c>
      <c r="C10956" t="s">
        <v>109</v>
      </c>
      <c r="D10956" t="s">
        <v>74</v>
      </c>
      <c r="E10956" s="6">
        <v>-28088</v>
      </c>
      <c r="F10956" t="s">
        <v>542</v>
      </c>
      <c r="G10956" t="s">
        <v>48</v>
      </c>
      <c r="H10956" t="s">
        <v>21</v>
      </c>
      <c r="I10956" t="s">
        <v>21742</v>
      </c>
      <c r="J10956" t="str">
        <f>HYPERLINK("https://www.boe.es/gazeta/dias/1823/02/04/pdfs/GMD-1823-37.pdf#page=3","Abrir facsímil")</f>
        <v>Abrir facsímil</v>
      </c>
      <c r="K10956" t="s">
        <v>23</v>
      </c>
    </row>
    <row r="10957" spans="1:11" ht="42" customHeight="1">
      <c r="A10957" t="s">
        <v>21736</v>
      </c>
      <c r="B10957" t="s">
        <v>21736</v>
      </c>
      <c r="C10957" t="s">
        <v>109</v>
      </c>
      <c r="D10957" t="s">
        <v>74</v>
      </c>
      <c r="E10957" s="6">
        <v>-28077</v>
      </c>
      <c r="F10957" t="s">
        <v>536</v>
      </c>
      <c r="G10957" t="s">
        <v>39</v>
      </c>
      <c r="H10957" t="s">
        <v>21</v>
      </c>
      <c r="I10957" t="s">
        <v>21743</v>
      </c>
      <c r="J10957" t="str">
        <f>HYPERLINK("https://www.boe.es/gazeta/dias/1823/02/15/pdfs/GMD-1823-49.pdf#page=1","Abrir facsímil")</f>
        <v>Abrir facsímil</v>
      </c>
      <c r="K10957" t="s">
        <v>23</v>
      </c>
    </row>
    <row r="10958" spans="1:11" ht="42" customHeight="1">
      <c r="A10958" t="s">
        <v>21736</v>
      </c>
      <c r="B10958" t="s">
        <v>21736</v>
      </c>
      <c r="C10958" t="s">
        <v>17</v>
      </c>
      <c r="D10958" t="s">
        <v>18</v>
      </c>
      <c r="E10958" s="6">
        <v>-28062</v>
      </c>
      <c r="F10958" t="s">
        <v>1357</v>
      </c>
      <c r="G10958" t="s">
        <v>48</v>
      </c>
      <c r="H10958" t="s">
        <v>21</v>
      </c>
      <c r="I10958" t="s">
        <v>21744</v>
      </c>
      <c r="J10958" t="str">
        <f>HYPERLINK("https://www.boe.es/gazeta/dias/1823/03/02/pdfs/GMD-1823-65.pdf#page=3","Abrir facsímil")</f>
        <v>Abrir facsímil</v>
      </c>
      <c r="K10958" t="s">
        <v>23</v>
      </c>
    </row>
    <row r="10959" spans="1:11" ht="42" customHeight="1">
      <c r="A10959" t="s">
        <v>21736</v>
      </c>
      <c r="B10959" t="s">
        <v>21736</v>
      </c>
      <c r="C10959" t="s">
        <v>73</v>
      </c>
      <c r="D10959" t="s">
        <v>74</v>
      </c>
      <c r="E10959" s="6">
        <v>-28057</v>
      </c>
      <c r="F10959" t="s">
        <v>301</v>
      </c>
      <c r="G10959" t="s">
        <v>20</v>
      </c>
      <c r="H10959" t="s">
        <v>21</v>
      </c>
      <c r="I10959" t="s">
        <v>21745</v>
      </c>
      <c r="J10959" t="str">
        <f>HYPERLINK("https://www.boe.es/gazeta/dias/1823/03/07/pdfs/GMD-1823-70.pdf#page=4","Abrir facsímil")</f>
        <v>Abrir facsímil</v>
      </c>
      <c r="K10959" t="s">
        <v>23</v>
      </c>
    </row>
    <row r="10960" spans="1:11" ht="42" customHeight="1">
      <c r="A10960" t="s">
        <v>21736</v>
      </c>
      <c r="B10960" t="s">
        <v>21736</v>
      </c>
      <c r="C10960" t="s">
        <v>56</v>
      </c>
      <c r="D10960" t="s">
        <v>57</v>
      </c>
      <c r="E10960" s="6">
        <v>-28013</v>
      </c>
      <c r="F10960" t="s">
        <v>105</v>
      </c>
      <c r="G10960" t="s">
        <v>48</v>
      </c>
      <c r="H10960" t="s">
        <v>21</v>
      </c>
      <c r="I10960" t="s">
        <v>21746</v>
      </c>
      <c r="J10960" t="str">
        <f>HYPERLINK("https://www.boe.es/gazeta/dias/1823/04/20/pdfs/GMD-1823-32.pdf#page=3","Abrir facsímil")</f>
        <v>Abrir facsímil</v>
      </c>
      <c r="K10960" t="s">
        <v>23</v>
      </c>
    </row>
    <row r="10961" spans="1:11" ht="42" customHeight="1">
      <c r="A10961" t="s">
        <v>21736</v>
      </c>
      <c r="B10961" t="s">
        <v>21736</v>
      </c>
      <c r="C10961" t="s">
        <v>109</v>
      </c>
      <c r="D10961" t="s">
        <v>74</v>
      </c>
      <c r="E10961" s="6">
        <v>-27978</v>
      </c>
      <c r="F10961" t="s">
        <v>342</v>
      </c>
      <c r="G10961" t="s">
        <v>27</v>
      </c>
      <c r="H10961" t="s">
        <v>21</v>
      </c>
      <c r="I10961" t="s">
        <v>21747</v>
      </c>
      <c r="J10961" t="str">
        <f>HYPERLINK("https://www.boe.es/gazeta/dias/1823/05/25/pdfs/GES-1823-46.pdf#page=2","Abrir facsímil")</f>
        <v>Abrir facsímil</v>
      </c>
      <c r="K10961" t="s">
        <v>23</v>
      </c>
    </row>
    <row r="10962" spans="1:11" ht="42" customHeight="1">
      <c r="A10962" t="s">
        <v>21736</v>
      </c>
      <c r="B10962" t="s">
        <v>21736</v>
      </c>
      <c r="C10962" t="s">
        <v>17</v>
      </c>
      <c r="D10962" t="s">
        <v>18</v>
      </c>
      <c r="E10962" s="6">
        <v>-27923</v>
      </c>
      <c r="F10962" t="s">
        <v>1225</v>
      </c>
      <c r="G10962" t="s">
        <v>20</v>
      </c>
      <c r="H10962" t="s">
        <v>21</v>
      </c>
      <c r="I10962" t="s">
        <v>21748</v>
      </c>
      <c r="J10962" t="str">
        <f>HYPERLINK("https://www.boe.es/gazeta/dias/1823/07/19/pdfs/GMD-1823-433.pdf#page=4","Abrir facsímil")</f>
        <v>Abrir facsímil</v>
      </c>
      <c r="K10962" t="s">
        <v>23</v>
      </c>
    </row>
    <row r="10963" spans="1:11" ht="42" customHeight="1">
      <c r="A10963" t="s">
        <v>21736</v>
      </c>
      <c r="B10963" t="s">
        <v>21736</v>
      </c>
      <c r="C10963" t="s">
        <v>17</v>
      </c>
      <c r="D10963" t="s">
        <v>18</v>
      </c>
      <c r="E10963" s="6">
        <v>-27917</v>
      </c>
      <c r="F10963" t="s">
        <v>363</v>
      </c>
      <c r="G10963" t="s">
        <v>27</v>
      </c>
      <c r="H10963" t="s">
        <v>21</v>
      </c>
      <c r="I10963" t="s">
        <v>21749</v>
      </c>
      <c r="J10963" t="str">
        <f>HYPERLINK("https://www.boe.es/gazeta/dias/1823/07/25/pdfs/GES-1823-106.pdf#page=2","Abrir facsímil")</f>
        <v>Abrir facsímil</v>
      </c>
      <c r="K10963" t="s">
        <v>23</v>
      </c>
    </row>
    <row r="10964" spans="1:11" ht="42" customHeight="1">
      <c r="A10964" t="s">
        <v>21750</v>
      </c>
      <c r="B10964" t="s">
        <v>21751</v>
      </c>
      <c r="C10964" t="s">
        <v>17</v>
      </c>
      <c r="D10964" t="s">
        <v>18</v>
      </c>
      <c r="E10964" s="6">
        <v>-28068</v>
      </c>
      <c r="F10964" t="s">
        <v>1325</v>
      </c>
      <c r="G10964" t="s">
        <v>20</v>
      </c>
      <c r="H10964" t="s">
        <v>21</v>
      </c>
      <c r="I10964" t="s">
        <v>21752</v>
      </c>
      <c r="J10964" t="str">
        <f>HYPERLINK("https://www.boe.es/gazeta/dias/1823/02/24/pdfs/GMD-1823-58.pdf#page=4","Abrir facsímil")</f>
        <v>Abrir facsímil</v>
      </c>
      <c r="K10964" t="s">
        <v>23</v>
      </c>
    </row>
    <row r="10965" spans="1:11" ht="42" customHeight="1">
      <c r="A10965" t="s">
        <v>21750</v>
      </c>
      <c r="B10965" t="s">
        <v>21751</v>
      </c>
      <c r="C10965" t="s">
        <v>73</v>
      </c>
      <c r="D10965" t="s">
        <v>74</v>
      </c>
      <c r="E10965" s="6">
        <v>-28037</v>
      </c>
      <c r="F10965" t="s">
        <v>192</v>
      </c>
      <c r="G10965" t="s">
        <v>20</v>
      </c>
      <c r="H10965" t="s">
        <v>21</v>
      </c>
      <c r="I10965" t="s">
        <v>21753</v>
      </c>
      <c r="J10965" t="str">
        <f>HYPERLINK("https://www.boe.es/gazeta/dias/1823/03/27/pdfs/GMD-1823-90.pdf#page=4","Abrir facsímil")</f>
        <v>Abrir facsímil</v>
      </c>
      <c r="K10965" t="s">
        <v>23</v>
      </c>
    </row>
    <row r="10966" spans="1:11" ht="42" customHeight="1">
      <c r="A10966" t="s">
        <v>21754</v>
      </c>
      <c r="B10966" t="s">
        <v>21755</v>
      </c>
      <c r="C10966" t="s">
        <v>109</v>
      </c>
      <c r="D10966" t="s">
        <v>74</v>
      </c>
      <c r="E10966" s="6">
        <v>-28037</v>
      </c>
      <c r="F10966" t="s">
        <v>192</v>
      </c>
      <c r="G10966" t="s">
        <v>48</v>
      </c>
      <c r="H10966" t="s">
        <v>21</v>
      </c>
      <c r="I10966" t="s">
        <v>21756</v>
      </c>
      <c r="J10966" t="str">
        <f>HYPERLINK("https://www.boe.es/gazeta/dias/1823/03/27/pdfs/GMD-1823-90.pdf#page=3","Abrir facsímil")</f>
        <v>Abrir facsímil</v>
      </c>
      <c r="K10966" t="s">
        <v>23</v>
      </c>
    </row>
    <row r="10967" spans="1:11" ht="42" customHeight="1">
      <c r="A10967" t="s">
        <v>21757</v>
      </c>
      <c r="B10967" t="s">
        <v>21758</v>
      </c>
      <c r="C10967" t="s">
        <v>17</v>
      </c>
      <c r="D10967" t="s">
        <v>18</v>
      </c>
      <c r="E10967" s="6">
        <v>-27864</v>
      </c>
      <c r="F10967" t="s">
        <v>395</v>
      </c>
      <c r="G10967" t="s">
        <v>39</v>
      </c>
      <c r="H10967" t="s">
        <v>21</v>
      </c>
      <c r="I10967" t="s">
        <v>21759</v>
      </c>
      <c r="J10967" t="str">
        <f>HYPERLINK("https://www.boe.es/gazeta/dias/1823/09/16/pdfs/GMD-1823-783.pdf#page=1","Abrir facsímil")</f>
        <v>Abrir facsímil</v>
      </c>
      <c r="K10967" t="s">
        <v>23</v>
      </c>
    </row>
    <row r="10968" spans="1:11" ht="42" customHeight="1">
      <c r="A10968" t="s">
        <v>21760</v>
      </c>
      <c r="B10968" t="s">
        <v>21761</v>
      </c>
      <c r="C10968" t="s">
        <v>17</v>
      </c>
      <c r="D10968" t="s">
        <v>18</v>
      </c>
      <c r="E10968" s="6">
        <v>-27982</v>
      </c>
      <c r="F10968" t="s">
        <v>340</v>
      </c>
      <c r="G10968" t="s">
        <v>59</v>
      </c>
      <c r="H10968" t="s">
        <v>21</v>
      </c>
      <c r="I10968" t="s">
        <v>21762</v>
      </c>
      <c r="J10968" t="str">
        <f>HYPERLINK("https://www.boe.es/gazeta/dias/1823/05/21/pdfs/GES-1823-42.pdf#page=6","Abrir facsímil")</f>
        <v>Abrir facsímil</v>
      </c>
      <c r="K10968" t="s">
        <v>23</v>
      </c>
    </row>
    <row r="10969" spans="1:11" ht="42" customHeight="1">
      <c r="A10969" t="s">
        <v>21763</v>
      </c>
      <c r="B10969" t="s">
        <v>21764</v>
      </c>
      <c r="C10969" t="s">
        <v>17</v>
      </c>
      <c r="D10969" t="s">
        <v>18</v>
      </c>
      <c r="E10969" s="6">
        <v>-28020</v>
      </c>
      <c r="F10969" t="s">
        <v>448</v>
      </c>
      <c r="G10969" t="s">
        <v>39</v>
      </c>
      <c r="H10969" t="s">
        <v>21</v>
      </c>
      <c r="I10969" t="s">
        <v>21765</v>
      </c>
      <c r="J10969" t="str">
        <f>HYPERLINK("https://www.boe.es/gazeta/dias/1823/04/13/pdfs/GES-1823-3.pdf#page=1","Abrir facsímil")</f>
        <v>Abrir facsímil</v>
      </c>
      <c r="K10969" t="s">
        <v>23</v>
      </c>
    </row>
    <row r="10970" spans="1:11" ht="42" customHeight="1">
      <c r="A10970" t="s">
        <v>21766</v>
      </c>
      <c r="B10970" t="s">
        <v>21767</v>
      </c>
      <c r="C10970" t="s">
        <v>17</v>
      </c>
      <c r="D10970" t="s">
        <v>18</v>
      </c>
      <c r="E10970" s="6">
        <v>-27880</v>
      </c>
      <c r="F10970" t="s">
        <v>6307</v>
      </c>
      <c r="G10970" t="s">
        <v>27</v>
      </c>
      <c r="H10970" t="s">
        <v>21</v>
      </c>
      <c r="I10970" t="s">
        <v>21768</v>
      </c>
      <c r="J10970" t="str">
        <f>HYPERLINK("https://www.boe.es/gazeta/dias/1823/08/31/pdfs/GES-1823-144.pdf#page=2","Abrir facsímil")</f>
        <v>Abrir facsímil</v>
      </c>
      <c r="K10970" t="s">
        <v>23</v>
      </c>
    </row>
    <row r="10971" spans="1:11" ht="42" customHeight="1">
      <c r="A10971" t="s">
        <v>21769</v>
      </c>
      <c r="B10971" t="s">
        <v>21770</v>
      </c>
      <c r="C10971" t="s">
        <v>293</v>
      </c>
      <c r="D10971" t="s">
        <v>74</v>
      </c>
      <c r="E10971" s="6">
        <v>-28049</v>
      </c>
      <c r="F10971" t="s">
        <v>198</v>
      </c>
      <c r="G10971" t="s">
        <v>48</v>
      </c>
      <c r="H10971" t="s">
        <v>21</v>
      </c>
      <c r="I10971" t="s">
        <v>21771</v>
      </c>
      <c r="J10971" t="str">
        <f>HYPERLINK("https://www.boe.es/gazeta/dias/1823/03/15/pdfs/GMD-1823-78.pdf#page=3","Abrir facsímil")</f>
        <v>Abrir facsímil</v>
      </c>
      <c r="K10971" t="s">
        <v>23</v>
      </c>
    </row>
    <row r="10972" spans="1:11" ht="42" customHeight="1">
      <c r="A10972" t="s">
        <v>21769</v>
      </c>
      <c r="B10972" t="s">
        <v>21770</v>
      </c>
      <c r="C10972" t="s">
        <v>109</v>
      </c>
      <c r="D10972" t="s">
        <v>74</v>
      </c>
      <c r="E10972" s="6">
        <v>-27909</v>
      </c>
      <c r="F10972" t="s">
        <v>948</v>
      </c>
      <c r="G10972" t="s">
        <v>27</v>
      </c>
      <c r="H10972" t="s">
        <v>21</v>
      </c>
      <c r="I10972" t="s">
        <v>21772</v>
      </c>
      <c r="J10972" t="str">
        <f>HYPERLINK("https://www.boe.es/gazeta/dias/1823/08/02/pdfs/GES-1823-114.pdf#page=2","Abrir facsímil")</f>
        <v>Abrir facsímil</v>
      </c>
      <c r="K10972" t="s">
        <v>23</v>
      </c>
    </row>
    <row r="10973" spans="1:11" ht="42" customHeight="1">
      <c r="A10973" t="s">
        <v>21773</v>
      </c>
      <c r="B10973" t="s">
        <v>21774</v>
      </c>
      <c r="C10973" t="s">
        <v>17</v>
      </c>
      <c r="D10973" t="s">
        <v>18</v>
      </c>
      <c r="E10973" s="6">
        <v>-28094</v>
      </c>
      <c r="F10973" t="s">
        <v>93</v>
      </c>
      <c r="G10973" t="s">
        <v>20</v>
      </c>
      <c r="H10973" t="s">
        <v>21</v>
      </c>
      <c r="I10973" t="s">
        <v>21775</v>
      </c>
      <c r="J10973" t="str">
        <f>HYPERLINK("https://www.boe.es/gazeta/dias/1823/01/29/pdfs/GMD-1823-30.pdf#page=4","Abrir facsímil")</f>
        <v>Abrir facsímil</v>
      </c>
      <c r="K10973" t="s">
        <v>23</v>
      </c>
    </row>
    <row r="10974" spans="1:11" ht="42" customHeight="1">
      <c r="A10974" t="s">
        <v>21776</v>
      </c>
      <c r="B10974" t="s">
        <v>21777</v>
      </c>
      <c r="C10974" t="s">
        <v>17</v>
      </c>
      <c r="D10974" t="s">
        <v>18</v>
      </c>
      <c r="E10974" s="6">
        <v>-28117</v>
      </c>
      <c r="F10974" t="s">
        <v>271</v>
      </c>
      <c r="G10974" t="s">
        <v>59</v>
      </c>
      <c r="H10974" t="s">
        <v>21</v>
      </c>
      <c r="I10974" t="s">
        <v>21778</v>
      </c>
      <c r="J10974" t="str">
        <f>HYPERLINK("https://www.boe.es/gazeta/dias/1823/01/06/pdfs/GMD-1823-6.pdf#page=6","Abrir facsímil")</f>
        <v>Abrir facsímil</v>
      </c>
      <c r="K10974" t="s">
        <v>23</v>
      </c>
    </row>
    <row r="10975" spans="1:11" ht="42" customHeight="1">
      <c r="A10975" t="s">
        <v>21779</v>
      </c>
      <c r="B10975" t="s">
        <v>21780</v>
      </c>
      <c r="C10975" t="s">
        <v>17</v>
      </c>
      <c r="D10975" t="s">
        <v>18</v>
      </c>
      <c r="E10975" s="6">
        <v>-27906</v>
      </c>
      <c r="F10975" t="s">
        <v>241</v>
      </c>
      <c r="G10975" t="s">
        <v>34</v>
      </c>
      <c r="H10975" t="s">
        <v>21</v>
      </c>
      <c r="I10975" t="s">
        <v>21781</v>
      </c>
      <c r="J10975" t="str">
        <f>HYPERLINK("https://www.boe.es/gazeta/dias/1823/08/05/pdfs/GES-1823-117.pdf#page=5","Abrir facsímil")</f>
        <v>Abrir facsímil</v>
      </c>
      <c r="K10975" t="s">
        <v>23</v>
      </c>
    </row>
    <row r="10976" spans="1:11" ht="42" customHeight="1">
      <c r="A10976" t="s">
        <v>21782</v>
      </c>
      <c r="B10976" t="s">
        <v>21782</v>
      </c>
      <c r="C10976" t="s">
        <v>79</v>
      </c>
      <c r="D10976" t="s">
        <v>74</v>
      </c>
      <c r="E10976" s="6">
        <v>-28039</v>
      </c>
      <c r="F10976" t="s">
        <v>126</v>
      </c>
      <c r="G10976" t="s">
        <v>20</v>
      </c>
      <c r="H10976" t="s">
        <v>21</v>
      </c>
      <c r="I10976" t="s">
        <v>21783</v>
      </c>
      <c r="J10976" t="str">
        <f>HYPERLINK("https://www.boe.es/gazeta/dias/1823/03/25/pdfs/GMD-1823-88.pdf#page=4","Abrir facsímil")</f>
        <v>Abrir facsímil</v>
      </c>
      <c r="K10976" t="s">
        <v>23</v>
      </c>
    </row>
    <row r="10977" spans="1:11" ht="42" customHeight="1">
      <c r="A10977" t="s">
        <v>21784</v>
      </c>
      <c r="B10977" t="s">
        <v>21784</v>
      </c>
      <c r="C10977" t="s">
        <v>17</v>
      </c>
      <c r="D10977" t="s">
        <v>18</v>
      </c>
      <c r="E10977" s="6">
        <v>-27984</v>
      </c>
      <c r="F10977" t="s">
        <v>335</v>
      </c>
      <c r="G10977" t="s">
        <v>39</v>
      </c>
      <c r="H10977" t="s">
        <v>21</v>
      </c>
      <c r="I10977" t="s">
        <v>21785</v>
      </c>
      <c r="J10977" t="str">
        <f>HYPERLINK("https://www.boe.es/gazeta/dias/1823/05/19/pdfs/GES-1823-39.pdf#page=1","Abrir facsímil")</f>
        <v>Abrir facsímil</v>
      </c>
      <c r="K10977" t="s">
        <v>23</v>
      </c>
    </row>
    <row r="10978" spans="1:11" ht="42" customHeight="1">
      <c r="A10978" t="s">
        <v>21786</v>
      </c>
      <c r="B10978" t="s">
        <v>21787</v>
      </c>
      <c r="C10978" t="s">
        <v>17</v>
      </c>
      <c r="D10978" t="s">
        <v>18</v>
      </c>
      <c r="E10978" s="6">
        <v>-28032</v>
      </c>
      <c r="F10978" t="s">
        <v>668</v>
      </c>
      <c r="G10978" t="s">
        <v>39</v>
      </c>
      <c r="H10978" t="s">
        <v>21</v>
      </c>
      <c r="I10978" t="s">
        <v>21788</v>
      </c>
      <c r="J10978" t="str">
        <f>HYPERLINK("https://www.boe.es/gazeta/dias/1823/04/01/pdfs/GMD-1823-95.pdf#page=1","Abrir facsímil")</f>
        <v>Abrir facsímil</v>
      </c>
      <c r="K10978" t="s">
        <v>23</v>
      </c>
    </row>
    <row r="10979" spans="1:11" ht="42" customHeight="1">
      <c r="A10979" t="s">
        <v>21789</v>
      </c>
      <c r="B10979" t="s">
        <v>21790</v>
      </c>
      <c r="C10979" t="s">
        <v>17</v>
      </c>
      <c r="D10979" t="s">
        <v>18</v>
      </c>
      <c r="E10979" s="6">
        <v>-27787</v>
      </c>
      <c r="F10979" t="s">
        <v>865</v>
      </c>
      <c r="G10979" t="s">
        <v>39</v>
      </c>
      <c r="H10979" t="s">
        <v>21</v>
      </c>
      <c r="I10979" t="s">
        <v>21791</v>
      </c>
      <c r="J10979" t="str">
        <f>HYPERLINK("https://www.boe.es/gazeta/dias/1823/12/02/pdfs/GMD-1823-1193.pdf#page=1","Abrir facsímil")</f>
        <v>Abrir facsímil</v>
      </c>
      <c r="K10979" t="s">
        <v>23</v>
      </c>
    </row>
    <row r="10980" spans="1:11" ht="42" customHeight="1">
      <c r="A10980" t="s">
        <v>21792</v>
      </c>
      <c r="B10980" t="s">
        <v>21793</v>
      </c>
      <c r="C10980" t="s">
        <v>17</v>
      </c>
      <c r="D10980" t="s">
        <v>18</v>
      </c>
      <c r="E10980" s="6">
        <v>-28093</v>
      </c>
      <c r="F10980" t="s">
        <v>1044</v>
      </c>
      <c r="G10980" t="s">
        <v>59</v>
      </c>
      <c r="H10980" t="s">
        <v>21</v>
      </c>
      <c r="I10980" t="s">
        <v>21794</v>
      </c>
      <c r="J10980" t="str">
        <f>HYPERLINK("https://www.boe.es/gazeta/dias/1823/01/30/pdfs/GMD-1823-31.pdf#page=6","Abrir facsímil")</f>
        <v>Abrir facsímil</v>
      </c>
      <c r="K10980" t="s">
        <v>23</v>
      </c>
    </row>
    <row r="10981" spans="1:11" ht="42" customHeight="1">
      <c r="A10981" t="s">
        <v>21795</v>
      </c>
      <c r="B10981" t="s">
        <v>21795</v>
      </c>
      <c r="C10981" t="s">
        <v>56</v>
      </c>
      <c r="D10981" t="s">
        <v>57</v>
      </c>
      <c r="E10981" s="6">
        <v>-28116</v>
      </c>
      <c r="F10981" t="s">
        <v>134</v>
      </c>
      <c r="G10981" t="s">
        <v>39</v>
      </c>
      <c r="H10981" t="s">
        <v>21</v>
      </c>
      <c r="I10981" t="s">
        <v>21796</v>
      </c>
      <c r="J10981" t="str">
        <f>HYPERLINK("https://www.boe.es/gazeta/dias/1823/01/07/pdfs/GMD-1823-7.pdf#page=1","Abrir facsímil")</f>
        <v>Abrir facsímil</v>
      </c>
      <c r="K10981" t="s">
        <v>23</v>
      </c>
    </row>
    <row r="10982" spans="1:11" ht="42" customHeight="1">
      <c r="A10982" t="s">
        <v>21795</v>
      </c>
      <c r="B10982" t="s">
        <v>21795</v>
      </c>
      <c r="C10982" t="s">
        <v>17</v>
      </c>
      <c r="D10982" t="s">
        <v>18</v>
      </c>
      <c r="E10982" s="6">
        <v>-28090</v>
      </c>
      <c r="F10982" t="s">
        <v>174</v>
      </c>
      <c r="G10982" t="s">
        <v>20</v>
      </c>
      <c r="H10982" t="s">
        <v>21</v>
      </c>
      <c r="I10982" t="s">
        <v>21797</v>
      </c>
      <c r="J10982" t="str">
        <f>HYPERLINK("https://www.boe.es/gazeta/dias/1823/02/02/pdfs/GMD-1823-35.pdf#page=4","Abrir facsímil")</f>
        <v>Abrir facsímil</v>
      </c>
      <c r="K10982" t="s">
        <v>23</v>
      </c>
    </row>
    <row r="10983" spans="1:11" ht="42" customHeight="1">
      <c r="A10983" t="s">
        <v>21795</v>
      </c>
      <c r="B10983" t="s">
        <v>21795</v>
      </c>
      <c r="C10983" t="s">
        <v>17</v>
      </c>
      <c r="D10983" t="s">
        <v>18</v>
      </c>
      <c r="E10983" s="6">
        <v>-28068</v>
      </c>
      <c r="F10983" t="s">
        <v>1325</v>
      </c>
      <c r="G10983" t="s">
        <v>48</v>
      </c>
      <c r="H10983" t="s">
        <v>21</v>
      </c>
      <c r="I10983" t="s">
        <v>21798</v>
      </c>
      <c r="J10983" t="str">
        <f>HYPERLINK("https://www.boe.es/gazeta/dias/1823/02/24/pdfs/GMD-1823-58.pdf#page=3","Abrir facsímil")</f>
        <v>Abrir facsímil</v>
      </c>
      <c r="K10983" t="s">
        <v>23</v>
      </c>
    </row>
    <row r="10984" spans="1:11" ht="42" customHeight="1">
      <c r="A10984" t="s">
        <v>21799</v>
      </c>
      <c r="B10984" t="s">
        <v>21800</v>
      </c>
      <c r="C10984" t="s">
        <v>79</v>
      </c>
      <c r="D10984" t="s">
        <v>74</v>
      </c>
      <c r="E10984" s="6">
        <v>-28106</v>
      </c>
      <c r="F10984" t="s">
        <v>280</v>
      </c>
      <c r="G10984" t="s">
        <v>20</v>
      </c>
      <c r="H10984" t="s">
        <v>21</v>
      </c>
      <c r="I10984" t="s">
        <v>21801</v>
      </c>
      <c r="J10984" t="str">
        <f>HYPERLINK("https://www.boe.es/gazeta/dias/1823/01/17/pdfs/GMD-1823-17.pdf#page=4","Abrir facsímil")</f>
        <v>Abrir facsímil</v>
      </c>
      <c r="K10984" t="s">
        <v>23</v>
      </c>
    </row>
    <row r="10985" spans="1:11" ht="42" customHeight="1">
      <c r="A10985" t="s">
        <v>21802</v>
      </c>
      <c r="B10985" t="s">
        <v>21802</v>
      </c>
      <c r="C10985" t="s">
        <v>17</v>
      </c>
      <c r="D10985" t="s">
        <v>18</v>
      </c>
      <c r="E10985" s="6">
        <v>-28077</v>
      </c>
      <c r="F10985" t="s">
        <v>536</v>
      </c>
      <c r="G10985" t="s">
        <v>59</v>
      </c>
      <c r="H10985" t="s">
        <v>21</v>
      </c>
      <c r="I10985" t="s">
        <v>21803</v>
      </c>
      <c r="J10985" t="str">
        <f>HYPERLINK("https://www.boe.es/gazeta/dias/1823/02/15/pdfs/GMD-1823-49.pdf#page=6","Abrir facsímil")</f>
        <v>Abrir facsímil</v>
      </c>
      <c r="K10985" t="s">
        <v>23</v>
      </c>
    </row>
    <row r="10986" spans="1:11" ht="42" customHeight="1">
      <c r="A10986" t="s">
        <v>21804</v>
      </c>
      <c r="B10986" t="s">
        <v>21804</v>
      </c>
      <c r="C10986" t="s">
        <v>17</v>
      </c>
      <c r="D10986" t="s">
        <v>18</v>
      </c>
      <c r="E10986" s="6">
        <v>-27904</v>
      </c>
      <c r="F10986" t="s">
        <v>1227</v>
      </c>
      <c r="G10986" t="s">
        <v>48</v>
      </c>
      <c r="H10986" t="s">
        <v>21</v>
      </c>
      <c r="I10986" t="s">
        <v>21805</v>
      </c>
      <c r="J10986" t="str">
        <f>HYPERLINK("https://www.boe.es/gazeta/dias/1823/08/07/pdfs/GMD-1823-543.pdf#page=3","Abrir facsímil")</f>
        <v>Abrir facsímil</v>
      </c>
      <c r="K10986" t="s">
        <v>23</v>
      </c>
    </row>
    <row r="10987" spans="1:11" ht="42" customHeight="1">
      <c r="A10987" t="s">
        <v>21806</v>
      </c>
      <c r="B10987" t="s">
        <v>21806</v>
      </c>
      <c r="C10987" t="s">
        <v>17</v>
      </c>
      <c r="D10987" t="s">
        <v>18</v>
      </c>
      <c r="E10987" s="6">
        <v>-27918</v>
      </c>
      <c r="F10987" t="s">
        <v>218</v>
      </c>
      <c r="G10987" t="s">
        <v>20</v>
      </c>
      <c r="H10987" t="s">
        <v>21</v>
      </c>
      <c r="I10987" t="s">
        <v>21807</v>
      </c>
      <c r="J10987" t="str">
        <f>HYPERLINK("https://www.boe.es/gazeta/dias/1823/07/24/pdfs/GMD-1823-463.pdf#page=4","Abrir facsímil")</f>
        <v>Abrir facsímil</v>
      </c>
      <c r="K10987" t="s">
        <v>23</v>
      </c>
    </row>
    <row r="10988" spans="1:11" ht="42" customHeight="1">
      <c r="A10988" t="s">
        <v>21806</v>
      </c>
      <c r="B10988" t="s">
        <v>21806</v>
      </c>
      <c r="C10988" t="s">
        <v>17</v>
      </c>
      <c r="D10988" t="s">
        <v>18</v>
      </c>
      <c r="E10988" s="6">
        <v>-27878</v>
      </c>
      <c r="F10988" t="s">
        <v>1581</v>
      </c>
      <c r="G10988" t="s">
        <v>20</v>
      </c>
      <c r="H10988" t="s">
        <v>21</v>
      </c>
      <c r="I10988" t="s">
        <v>21808</v>
      </c>
      <c r="J10988" t="str">
        <f>HYPERLINK("https://www.boe.es/gazeta/dias/1823/09/02/pdfs/GMD-1823-683.pdf#page=4","Abrir facsímil")</f>
        <v>Abrir facsímil</v>
      </c>
      <c r="K10988" t="s">
        <v>23</v>
      </c>
    </row>
    <row r="10989" spans="1:11" ht="42" customHeight="1">
      <c r="A10989" t="s">
        <v>21809</v>
      </c>
      <c r="B10989" t="s">
        <v>21810</v>
      </c>
      <c r="C10989" t="s">
        <v>84</v>
      </c>
      <c r="D10989" t="s">
        <v>74</v>
      </c>
      <c r="E10989" s="6">
        <v>-27888</v>
      </c>
      <c r="F10989" t="s">
        <v>232</v>
      </c>
      <c r="G10989" t="s">
        <v>59</v>
      </c>
      <c r="H10989" t="s">
        <v>21</v>
      </c>
      <c r="I10989" t="s">
        <v>21811</v>
      </c>
      <c r="J10989" t="str">
        <f>HYPERLINK("https://www.boe.es/gazeta/dias/1823/08/23/pdfs/GMD-1823-633.pdf#page=6","Abrir facsímil")</f>
        <v>Abrir facsímil</v>
      </c>
      <c r="K10989" t="s">
        <v>23</v>
      </c>
    </row>
    <row r="10990" spans="1:11" ht="42" customHeight="1">
      <c r="A10990" t="s">
        <v>21812</v>
      </c>
      <c r="B10990" t="s">
        <v>21813</v>
      </c>
      <c r="C10990" t="s">
        <v>17</v>
      </c>
      <c r="D10990" t="s">
        <v>18</v>
      </c>
      <c r="E10990" s="6">
        <v>-28082</v>
      </c>
      <c r="F10990" t="s">
        <v>468</v>
      </c>
      <c r="G10990" t="s">
        <v>34</v>
      </c>
      <c r="H10990" t="s">
        <v>21</v>
      </c>
      <c r="I10990" t="s">
        <v>21814</v>
      </c>
      <c r="J10990" t="str">
        <f>HYPERLINK("https://www.boe.es/gazeta/dias/1823/02/10/pdfs/GMD-1823-44.pdf#page=5","Abrir facsímil")</f>
        <v>Abrir facsímil</v>
      </c>
      <c r="K10990" t="s">
        <v>23</v>
      </c>
    </row>
    <row r="10991" spans="1:11" ht="42" customHeight="1">
      <c r="A10991" t="s">
        <v>21815</v>
      </c>
      <c r="B10991" t="s">
        <v>21816</v>
      </c>
      <c r="C10991" t="s">
        <v>17</v>
      </c>
      <c r="D10991" t="s">
        <v>18</v>
      </c>
      <c r="E10991" s="6">
        <v>-27992</v>
      </c>
      <c r="F10991" t="s">
        <v>565</v>
      </c>
      <c r="G10991" t="s">
        <v>20</v>
      </c>
      <c r="H10991" t="s">
        <v>21</v>
      </c>
      <c r="I10991" t="s">
        <v>21817</v>
      </c>
      <c r="J10991" t="str">
        <f>HYPERLINK("https://www.boe.es/gazeta/dias/1823/05/11/pdfs/GES-1823-31.pdf#page=4","Abrir facsímil")</f>
        <v>Abrir facsímil</v>
      </c>
      <c r="K10991" t="s">
        <v>23</v>
      </c>
    </row>
    <row r="10992" spans="1:11" ht="42" customHeight="1">
      <c r="A10992" t="s">
        <v>21818</v>
      </c>
      <c r="B10992" t="s">
        <v>21819</v>
      </c>
      <c r="C10992" t="s">
        <v>17</v>
      </c>
      <c r="D10992" t="s">
        <v>18</v>
      </c>
      <c r="E10992" s="6">
        <v>-27820</v>
      </c>
      <c r="F10992" t="s">
        <v>6283</v>
      </c>
      <c r="G10992" t="s">
        <v>20</v>
      </c>
      <c r="H10992" t="s">
        <v>21</v>
      </c>
      <c r="I10992" t="s">
        <v>21820</v>
      </c>
      <c r="J10992" t="str">
        <f>HYPERLINK("https://www.boe.es/gazeta/dias/1823/10/30/pdfs/GMD-1823-1043.pdf#page=4","Abrir facsímil")</f>
        <v>Abrir facsímil</v>
      </c>
      <c r="K10992" t="s">
        <v>23</v>
      </c>
    </row>
    <row r="10993" spans="1:11" ht="42" customHeight="1">
      <c r="A10993" t="s">
        <v>21821</v>
      </c>
      <c r="B10993" t="s">
        <v>21822</v>
      </c>
      <c r="C10993" t="s">
        <v>17</v>
      </c>
      <c r="D10993" t="s">
        <v>18</v>
      </c>
      <c r="E10993" s="6">
        <v>-28104</v>
      </c>
      <c r="F10993" t="s">
        <v>114</v>
      </c>
      <c r="G10993" t="s">
        <v>59</v>
      </c>
      <c r="H10993" t="s">
        <v>21</v>
      </c>
      <c r="I10993" t="s">
        <v>21823</v>
      </c>
      <c r="J10993" t="str">
        <f>HYPERLINK("https://www.boe.es/gazeta/dias/1823/01/19/pdfs/GMD-1823-19.pdf#page=6","Abrir facsímil")</f>
        <v>Abrir facsímil</v>
      </c>
      <c r="K10993" t="s">
        <v>23</v>
      </c>
    </row>
    <row r="10994" spans="1:11" ht="42" customHeight="1">
      <c r="A10994" t="s">
        <v>21824</v>
      </c>
      <c r="B10994" t="s">
        <v>21825</v>
      </c>
      <c r="C10994" t="s">
        <v>17</v>
      </c>
      <c r="D10994" t="s">
        <v>18</v>
      </c>
      <c r="E10994" s="6">
        <v>-28040</v>
      </c>
      <c r="F10994" t="s">
        <v>2971</v>
      </c>
      <c r="G10994" t="s">
        <v>8045</v>
      </c>
      <c r="H10994" t="s">
        <v>21</v>
      </c>
      <c r="I10994" t="s">
        <v>21826</v>
      </c>
      <c r="J10994" t="str">
        <f>HYPERLINK("https://www.boe.es/gazeta/dias/1823/03/24/pdfs/GMD-1823-87.pdf#page=2","Abrir facsímil")</f>
        <v>Abrir facsímil</v>
      </c>
      <c r="K10994" t="s">
        <v>23</v>
      </c>
    </row>
    <row r="10995" spans="1:11" ht="42" customHeight="1">
      <c r="A10995" t="s">
        <v>21827</v>
      </c>
      <c r="B10995" t="s">
        <v>21827</v>
      </c>
      <c r="C10995" t="s">
        <v>17</v>
      </c>
      <c r="D10995" t="s">
        <v>18</v>
      </c>
      <c r="E10995" s="6">
        <v>-27913</v>
      </c>
      <c r="F10995" t="s">
        <v>821</v>
      </c>
      <c r="G10995" t="s">
        <v>1204</v>
      </c>
      <c r="H10995" t="s">
        <v>21</v>
      </c>
      <c r="I10995" t="s">
        <v>21828</v>
      </c>
      <c r="J10995" t="str">
        <f>HYPERLINK("https://www.boe.es/gazeta/dias/1823/07/29/pdfs/GES-1823-110.pdf#page=2","Abrir facsímil")</f>
        <v>Abrir facsímil</v>
      </c>
      <c r="K10995" t="s">
        <v>23</v>
      </c>
    </row>
    <row r="10996" spans="1:11" ht="42" customHeight="1">
      <c r="A10996" t="s">
        <v>21829</v>
      </c>
      <c r="B10996" t="s">
        <v>21830</v>
      </c>
      <c r="C10996" t="s">
        <v>17</v>
      </c>
      <c r="D10996" t="s">
        <v>18</v>
      </c>
      <c r="E10996" s="6">
        <v>-27948</v>
      </c>
      <c r="F10996" t="s">
        <v>3752</v>
      </c>
      <c r="G10996" t="s">
        <v>27</v>
      </c>
      <c r="H10996" t="s">
        <v>21</v>
      </c>
      <c r="I10996" t="s">
        <v>21831</v>
      </c>
      <c r="J10996" t="str">
        <f>HYPERLINK("https://www.boe.es/gazeta/dias/1823/06/24/pdfs/GMD-1823-263.pdf#page=2","Abrir facsímil")</f>
        <v>Abrir facsímil</v>
      </c>
      <c r="K10996" t="s">
        <v>23</v>
      </c>
    </row>
    <row r="10997" spans="1:11" ht="42" customHeight="1">
      <c r="A10997" t="s">
        <v>21832</v>
      </c>
      <c r="B10997" t="s">
        <v>21833</v>
      </c>
      <c r="C10997" t="s">
        <v>17</v>
      </c>
      <c r="D10997" t="s">
        <v>18</v>
      </c>
      <c r="E10997" s="6">
        <v>-27868</v>
      </c>
      <c r="F10997" t="s">
        <v>2166</v>
      </c>
      <c r="G10997" t="s">
        <v>39</v>
      </c>
      <c r="H10997" t="s">
        <v>21</v>
      </c>
      <c r="I10997" t="s">
        <v>21834</v>
      </c>
      <c r="J10997" t="str">
        <f>HYPERLINK("https://www.boe.es/gazeta/dias/1823/09/12/pdfs/GES-1823-156.pdf#page=1","Abrir facsímil")</f>
        <v>Abrir facsímil</v>
      </c>
      <c r="K10997" t="s">
        <v>23</v>
      </c>
    </row>
    <row r="10998" spans="1:11" ht="42" customHeight="1">
      <c r="A10998" t="s">
        <v>21835</v>
      </c>
      <c r="B10998" t="s">
        <v>21835</v>
      </c>
      <c r="C10998" t="s">
        <v>17</v>
      </c>
      <c r="D10998" t="s">
        <v>18</v>
      </c>
      <c r="E10998" s="6">
        <v>-27920</v>
      </c>
      <c r="F10998" t="s">
        <v>1334</v>
      </c>
      <c r="G10998" t="s">
        <v>276</v>
      </c>
      <c r="H10998" t="s">
        <v>21</v>
      </c>
      <c r="I10998" t="s">
        <v>21836</v>
      </c>
      <c r="J10998" t="str">
        <f>HYPERLINK("https://www.boe.es/gazeta/dias/1823/07/22/pdfs/GMD-1823-443.pdf#page=7","Abrir facsímil")</f>
        <v>Abrir facsímil</v>
      </c>
      <c r="K10998" t="s">
        <v>23</v>
      </c>
    </row>
    <row r="10999" spans="1:11" ht="42" customHeight="1">
      <c r="A10999" t="s">
        <v>21837</v>
      </c>
      <c r="B10999" t="s">
        <v>21837</v>
      </c>
      <c r="C10999" t="s">
        <v>17</v>
      </c>
      <c r="D10999" t="s">
        <v>117</v>
      </c>
      <c r="E10999" s="6">
        <v>-27873</v>
      </c>
      <c r="F10999" t="s">
        <v>1668</v>
      </c>
      <c r="G10999" t="s">
        <v>27</v>
      </c>
      <c r="H10999" t="s">
        <v>21</v>
      </c>
      <c r="I10999" t="s">
        <v>21838</v>
      </c>
      <c r="J10999" t="str">
        <f>HYPERLINK("https://www.boe.es/gazeta/dias/1823/09/07/pdfs/GMD-1823-72E.pdf#page=2","Abrir facsímil")</f>
        <v>Abrir facsímil</v>
      </c>
      <c r="K10999" t="s">
        <v>23</v>
      </c>
    </row>
    <row r="11000" spans="1:11" ht="42" customHeight="1">
      <c r="A11000" t="s">
        <v>21839</v>
      </c>
      <c r="B11000" t="s">
        <v>21840</v>
      </c>
      <c r="C11000" t="s">
        <v>84</v>
      </c>
      <c r="D11000" t="s">
        <v>74</v>
      </c>
      <c r="E11000" s="6">
        <v>-28001</v>
      </c>
      <c r="F11000" t="s">
        <v>768</v>
      </c>
      <c r="G11000" t="s">
        <v>34</v>
      </c>
      <c r="H11000" t="s">
        <v>21</v>
      </c>
      <c r="I11000" t="s">
        <v>21841</v>
      </c>
      <c r="J11000" t="str">
        <f>HYPERLINK("https://www.boe.es/gazeta/dias/1823/05/02/pdfs/GES-1823-22.pdf#page=5","Abrir facsímil")</f>
        <v>Abrir facsímil</v>
      </c>
      <c r="K11000" t="s">
        <v>23</v>
      </c>
    </row>
    <row r="11001" spans="1:11" ht="42" customHeight="1">
      <c r="A11001" t="s">
        <v>21842</v>
      </c>
      <c r="B11001" t="s">
        <v>21843</v>
      </c>
      <c r="C11001" t="s">
        <v>17</v>
      </c>
      <c r="D11001" t="s">
        <v>18</v>
      </c>
      <c r="E11001" s="6">
        <v>-28038</v>
      </c>
      <c r="F11001" t="s">
        <v>2379</v>
      </c>
      <c r="G11001" t="s">
        <v>27</v>
      </c>
      <c r="H11001" t="s">
        <v>21</v>
      </c>
      <c r="I11001" t="s">
        <v>21844</v>
      </c>
      <c r="J11001" t="str">
        <f>HYPERLINK("https://www.boe.es/gazeta/dias/1823/03/26/pdfs/GMD-1823-89.pdf#page=2","Abrir facsímil")</f>
        <v>Abrir facsímil</v>
      </c>
      <c r="K11001" t="s">
        <v>23</v>
      </c>
    </row>
    <row r="11002" spans="1:11" ht="42" customHeight="1">
      <c r="A11002" t="s">
        <v>21845</v>
      </c>
      <c r="B11002" t="s">
        <v>21846</v>
      </c>
      <c r="C11002" t="s">
        <v>84</v>
      </c>
      <c r="D11002" t="s">
        <v>74</v>
      </c>
      <c r="E11002" s="6">
        <v>-28004</v>
      </c>
      <c r="F11002" t="s">
        <v>313</v>
      </c>
      <c r="G11002" t="s">
        <v>27</v>
      </c>
      <c r="H11002" t="s">
        <v>21</v>
      </c>
      <c r="I11002" t="s">
        <v>21847</v>
      </c>
      <c r="J11002" t="str">
        <f>HYPERLINK("https://www.boe.es/gazeta/dias/1823/04/29/pdfs/GMD-1823-72.pdf#page=2","Abrir facsímil")</f>
        <v>Abrir facsímil</v>
      </c>
      <c r="K11002" t="s">
        <v>23</v>
      </c>
    </row>
    <row r="11003" spans="1:11" ht="42" customHeight="1">
      <c r="A11003" t="s">
        <v>21848</v>
      </c>
      <c r="B11003" t="s">
        <v>21848</v>
      </c>
      <c r="C11003" t="s">
        <v>17</v>
      </c>
      <c r="D11003" t="s">
        <v>18</v>
      </c>
      <c r="E11003" s="6">
        <v>-27871</v>
      </c>
      <c r="F11003" t="s">
        <v>1330</v>
      </c>
      <c r="G11003" t="s">
        <v>48</v>
      </c>
      <c r="H11003" t="s">
        <v>21</v>
      </c>
      <c r="I11003" t="s">
        <v>21849</v>
      </c>
      <c r="J11003" t="str">
        <f>HYPERLINK("https://www.boe.es/gazeta/dias/1823/09/09/pdfs/GMD-1823-733.pdf#page=3","Abrir facsímil")</f>
        <v>Abrir facsímil</v>
      </c>
      <c r="K11003" t="s">
        <v>23</v>
      </c>
    </row>
    <row r="11004" spans="1:11" ht="42" customHeight="1">
      <c r="A11004" t="s">
        <v>21848</v>
      </c>
      <c r="B11004" t="s">
        <v>21848</v>
      </c>
      <c r="C11004" t="s">
        <v>325</v>
      </c>
      <c r="D11004" t="s">
        <v>74</v>
      </c>
      <c r="E11004" s="6">
        <v>-27864</v>
      </c>
      <c r="F11004" t="s">
        <v>1301</v>
      </c>
      <c r="G11004" t="s">
        <v>48</v>
      </c>
      <c r="H11004" t="s">
        <v>21</v>
      </c>
      <c r="I11004" t="s">
        <v>21850</v>
      </c>
      <c r="J11004" t="str">
        <f>HYPERLINK("https://www.boe.es/gazeta/dias/1823/09/16/pdfs/GES-1823-160.pdf#page=3","Abrir facsímil")</f>
        <v>Abrir facsímil</v>
      </c>
      <c r="K11004" t="s">
        <v>23</v>
      </c>
    </row>
    <row r="11005" spans="1:11" ht="42" customHeight="1">
      <c r="A11005" t="s">
        <v>21848</v>
      </c>
      <c r="B11005" t="s">
        <v>21848</v>
      </c>
      <c r="C11005" t="s">
        <v>17</v>
      </c>
      <c r="D11005" t="s">
        <v>18</v>
      </c>
      <c r="E11005" s="6">
        <v>-27860</v>
      </c>
      <c r="F11005" t="s">
        <v>744</v>
      </c>
      <c r="G11005" t="s">
        <v>39</v>
      </c>
      <c r="H11005" t="s">
        <v>21</v>
      </c>
      <c r="I11005" t="s">
        <v>21851</v>
      </c>
      <c r="J11005" t="str">
        <f>HYPERLINK("https://www.boe.es/gazeta/dias/1823/09/20/pdfs/GES-1823-164.pdf#page=1","Abrir facsímil")</f>
        <v>Abrir facsímil</v>
      </c>
      <c r="K11005" t="s">
        <v>23</v>
      </c>
    </row>
    <row r="11006" spans="1:11" ht="42" customHeight="1">
      <c r="A11006" t="s">
        <v>21848</v>
      </c>
      <c r="B11006" t="s">
        <v>21848</v>
      </c>
      <c r="C11006" t="s">
        <v>17</v>
      </c>
      <c r="D11006" t="s">
        <v>18</v>
      </c>
      <c r="E11006" s="6">
        <v>-27856</v>
      </c>
      <c r="F11006" t="s">
        <v>4859</v>
      </c>
      <c r="G11006" t="s">
        <v>39</v>
      </c>
      <c r="H11006" t="s">
        <v>21</v>
      </c>
      <c r="I11006" t="s">
        <v>21852</v>
      </c>
      <c r="J11006" t="str">
        <f>HYPERLINK("https://www.boe.es/gazeta/dias/1823/09/24/pdfs/GES-1823-168.pdf#page=1","Abrir facsímil")</f>
        <v>Abrir facsímil</v>
      </c>
      <c r="K11006" t="s">
        <v>23</v>
      </c>
    </row>
    <row r="11007" spans="1:11" ht="42" customHeight="1">
      <c r="A11007" t="s">
        <v>21853</v>
      </c>
      <c r="B11007" t="s">
        <v>21854</v>
      </c>
      <c r="C11007" t="s">
        <v>17</v>
      </c>
      <c r="D11007" t="s">
        <v>18</v>
      </c>
      <c r="E11007" s="6">
        <v>-27936</v>
      </c>
      <c r="F11007" t="s">
        <v>4620</v>
      </c>
      <c r="G11007" t="s">
        <v>4621</v>
      </c>
      <c r="H11007" t="s">
        <v>21</v>
      </c>
      <c r="I11007" t="s">
        <v>21855</v>
      </c>
      <c r="J11007" t="str">
        <f>HYPERLINK("https://www.boe.es/gazeta/dias/1823/07/06/pdfs/GES-1823-86.pdf#page=3","Abrir facsímil")</f>
        <v>Abrir facsímil</v>
      </c>
      <c r="K11007" t="s">
        <v>23</v>
      </c>
    </row>
    <row r="11008" spans="1:11" ht="42" customHeight="1">
      <c r="A11008" t="s">
        <v>21853</v>
      </c>
      <c r="B11008" t="s">
        <v>21854</v>
      </c>
      <c r="C11008" t="s">
        <v>17</v>
      </c>
      <c r="D11008" t="s">
        <v>18</v>
      </c>
      <c r="E11008" s="6">
        <v>-27864</v>
      </c>
      <c r="F11008" t="s">
        <v>1301</v>
      </c>
      <c r="G11008" t="s">
        <v>48</v>
      </c>
      <c r="H11008" t="s">
        <v>21</v>
      </c>
      <c r="I11008" t="s">
        <v>21856</v>
      </c>
      <c r="J11008" t="str">
        <f>HYPERLINK("https://www.boe.es/gazeta/dias/1823/09/16/pdfs/GES-1823-160.pdf#page=3","Abrir facsímil")</f>
        <v>Abrir facsímil</v>
      </c>
      <c r="K11008" t="s">
        <v>23</v>
      </c>
    </row>
    <row r="11009" spans="1:11" ht="42" customHeight="1">
      <c r="A11009" t="s">
        <v>21857</v>
      </c>
      <c r="B11009" t="s">
        <v>21858</v>
      </c>
      <c r="C11009" t="s">
        <v>17</v>
      </c>
      <c r="D11009" t="s">
        <v>18</v>
      </c>
      <c r="E11009" s="6">
        <v>-28081</v>
      </c>
      <c r="F11009" t="s">
        <v>170</v>
      </c>
      <c r="G11009" t="s">
        <v>48</v>
      </c>
      <c r="H11009" t="s">
        <v>21</v>
      </c>
      <c r="I11009" t="s">
        <v>21859</v>
      </c>
      <c r="J11009" t="str">
        <f>HYPERLINK("https://www.boe.es/gazeta/dias/1823/02/11/pdfs/GMD-1823-45.pdf#page=3","Abrir facsímil")</f>
        <v>Abrir facsímil</v>
      </c>
      <c r="K11009" t="s">
        <v>23</v>
      </c>
    </row>
    <row r="11010" spans="1:11" ht="42" customHeight="1">
      <c r="A11010" t="s">
        <v>21860</v>
      </c>
      <c r="B11010" t="s">
        <v>21861</v>
      </c>
      <c r="C11010" t="s">
        <v>56</v>
      </c>
      <c r="D11010" t="s">
        <v>57</v>
      </c>
      <c r="E11010" s="6">
        <v>-27766</v>
      </c>
      <c r="F11010" t="s">
        <v>3450</v>
      </c>
      <c r="G11010" t="s">
        <v>20</v>
      </c>
      <c r="H11010" t="s">
        <v>21</v>
      </c>
      <c r="I11010" t="s">
        <v>21862</v>
      </c>
      <c r="J11010" t="str">
        <f>HYPERLINK("https://www.boe.es/gazeta/dias/1823/12/23/pdfs/GMD-1823-1283.pdf#page=4","Abrir facsímil")</f>
        <v>Abrir facsímil</v>
      </c>
      <c r="K11010" t="s">
        <v>23</v>
      </c>
    </row>
    <row r="11011" spans="1:11" ht="42" customHeight="1">
      <c r="A11011" t="s">
        <v>21863</v>
      </c>
      <c r="B11011" t="s">
        <v>21864</v>
      </c>
      <c r="C11011" t="s">
        <v>17</v>
      </c>
      <c r="D11011" t="s">
        <v>18</v>
      </c>
      <c r="E11011" s="6">
        <v>-27872</v>
      </c>
      <c r="F11011" t="s">
        <v>374</v>
      </c>
      <c r="G11011" t="s">
        <v>48</v>
      </c>
      <c r="H11011" t="s">
        <v>21</v>
      </c>
      <c r="I11011" t="s">
        <v>21865</v>
      </c>
      <c r="J11011" t="str">
        <f>HYPERLINK("https://www.boe.es/gazeta/dias/1823/09/08/pdfs/GES-1823-152.pdf#page=3","Abrir facsímil")</f>
        <v>Abrir facsímil</v>
      </c>
      <c r="K11011" t="s">
        <v>23</v>
      </c>
    </row>
    <row r="11012" spans="1:11" ht="42" customHeight="1">
      <c r="A11012" t="s">
        <v>21866</v>
      </c>
      <c r="B11012" t="s">
        <v>21866</v>
      </c>
      <c r="C11012" t="s">
        <v>17</v>
      </c>
      <c r="D11012" t="s">
        <v>18</v>
      </c>
      <c r="E11012" s="6">
        <v>-27846</v>
      </c>
      <c r="F11012" t="s">
        <v>2535</v>
      </c>
      <c r="G11012" t="s">
        <v>39</v>
      </c>
      <c r="H11012" t="s">
        <v>21</v>
      </c>
      <c r="I11012" t="s">
        <v>21867</v>
      </c>
      <c r="J11012" t="str">
        <f>HYPERLINK("https://www.boe.es/gazeta/dias/1823/10/04/pdfs/GMD-1823-913.pdf#page=1","Abrir facsímil")</f>
        <v>Abrir facsímil</v>
      </c>
      <c r="K11012" t="s">
        <v>23</v>
      </c>
    </row>
    <row r="11013" spans="1:11" ht="42" customHeight="1">
      <c r="A11013" t="s">
        <v>21868</v>
      </c>
      <c r="B11013" t="s">
        <v>21869</v>
      </c>
      <c r="C11013" t="s">
        <v>17</v>
      </c>
      <c r="D11013" t="s">
        <v>18</v>
      </c>
      <c r="E11013" s="6">
        <v>-28117</v>
      </c>
      <c r="F11013" t="s">
        <v>271</v>
      </c>
      <c r="G11013" t="s">
        <v>59</v>
      </c>
      <c r="H11013" t="s">
        <v>21</v>
      </c>
      <c r="I11013" t="s">
        <v>21870</v>
      </c>
      <c r="J11013" t="str">
        <f>HYPERLINK("https://www.boe.es/gazeta/dias/1823/01/06/pdfs/GMD-1823-6.pdf#page=6","Abrir facsímil")</f>
        <v>Abrir facsímil</v>
      </c>
      <c r="K11013" t="s">
        <v>23</v>
      </c>
    </row>
    <row r="11014" spans="1:11" ht="42" customHeight="1">
      <c r="A11014" t="s">
        <v>21871</v>
      </c>
      <c r="B11014" t="s">
        <v>21872</v>
      </c>
      <c r="C11014" t="s">
        <v>109</v>
      </c>
      <c r="D11014" t="s">
        <v>74</v>
      </c>
      <c r="E11014" s="6">
        <v>-28049</v>
      </c>
      <c r="F11014" t="s">
        <v>198</v>
      </c>
      <c r="G11014" t="s">
        <v>48</v>
      </c>
      <c r="H11014" t="s">
        <v>28</v>
      </c>
      <c r="I11014" t="s">
        <v>21873</v>
      </c>
      <c r="J11014" t="str">
        <f>HYPERLINK("https://www.boe.es/gazeta/dias/1823/03/15/pdfs/GMD-1823-78.pdf#page=3","Abrir facsímil")</f>
        <v>Abrir facsímil</v>
      </c>
      <c r="K11014" t="s">
        <v>30</v>
      </c>
    </row>
    <row r="11015" spans="1:11" ht="42" customHeight="1">
      <c r="A11015" t="s">
        <v>21874</v>
      </c>
      <c r="B11015" t="s">
        <v>21874</v>
      </c>
      <c r="C11015" t="s">
        <v>79</v>
      </c>
      <c r="D11015" t="s">
        <v>74</v>
      </c>
      <c r="E11015" s="6">
        <v>-27913</v>
      </c>
      <c r="F11015" t="s">
        <v>821</v>
      </c>
      <c r="G11015" t="s">
        <v>39</v>
      </c>
      <c r="H11015" t="s">
        <v>21</v>
      </c>
      <c r="I11015" t="s">
        <v>21875</v>
      </c>
      <c r="J11015" t="str">
        <f>HYPERLINK("https://www.boe.es/gazeta/dias/1823/07/29/pdfs/GES-1823-110.pdf#page=1","Abrir facsímil")</f>
        <v>Abrir facsímil</v>
      </c>
      <c r="K11015" t="s">
        <v>23</v>
      </c>
    </row>
    <row r="11016" spans="1:11" ht="42" customHeight="1">
      <c r="A11016" t="s">
        <v>21876</v>
      </c>
      <c r="B11016" t="s">
        <v>21876</v>
      </c>
      <c r="C11016" t="s">
        <v>17</v>
      </c>
      <c r="D11016" t="s">
        <v>18</v>
      </c>
      <c r="E11016" s="6">
        <v>-28001</v>
      </c>
      <c r="F11016" t="s">
        <v>768</v>
      </c>
      <c r="G11016" t="s">
        <v>39</v>
      </c>
      <c r="H11016" t="s">
        <v>21</v>
      </c>
      <c r="I11016" t="s">
        <v>21877</v>
      </c>
      <c r="J11016" t="str">
        <f>HYPERLINK("https://www.boe.es/gazeta/dias/1823/05/02/pdfs/GES-1823-22.pdf#page=1","Abrir facsímil")</f>
        <v>Abrir facsímil</v>
      </c>
      <c r="K11016" t="s">
        <v>23</v>
      </c>
    </row>
    <row r="11017" spans="1:11" ht="42" customHeight="1">
      <c r="A11017" t="s">
        <v>21878</v>
      </c>
      <c r="B11017" t="s">
        <v>21879</v>
      </c>
      <c r="C11017" t="s">
        <v>79</v>
      </c>
      <c r="D11017" t="s">
        <v>74</v>
      </c>
      <c r="E11017" s="6">
        <v>-28076</v>
      </c>
      <c r="F11017" t="s">
        <v>1638</v>
      </c>
      <c r="G11017" t="s">
        <v>59</v>
      </c>
      <c r="H11017" t="s">
        <v>21</v>
      </c>
      <c r="I11017" t="s">
        <v>21880</v>
      </c>
      <c r="J11017" t="str">
        <f>HYPERLINK("https://www.boe.es/gazeta/dias/1823/02/16/pdfs/GMD-1823-50.pdf#page=6","Abrir facsímil")</f>
        <v>Abrir facsímil</v>
      </c>
      <c r="K11017" t="s">
        <v>23</v>
      </c>
    </row>
    <row r="11018" spans="1:11" ht="42" customHeight="1">
      <c r="A11018" t="s">
        <v>21881</v>
      </c>
      <c r="B11018" t="s">
        <v>21882</v>
      </c>
      <c r="C11018" t="s">
        <v>17</v>
      </c>
      <c r="D11018" t="s">
        <v>18</v>
      </c>
      <c r="E11018" s="6">
        <v>-27862</v>
      </c>
      <c r="F11018" t="s">
        <v>1530</v>
      </c>
      <c r="G11018" t="s">
        <v>39</v>
      </c>
      <c r="H11018" t="s">
        <v>21</v>
      </c>
      <c r="I11018" t="s">
        <v>21883</v>
      </c>
      <c r="J11018" t="str">
        <f>HYPERLINK("https://www.boe.es/gazeta/dias/1823/09/18/pdfs/GMD-1823-803.pdf#page=1","Abrir facsímil")</f>
        <v>Abrir facsímil</v>
      </c>
      <c r="K11018" t="s">
        <v>23</v>
      </c>
    </row>
    <row r="11019" spans="1:11" ht="42" customHeight="1">
      <c r="A11019" t="s">
        <v>21884</v>
      </c>
      <c r="B11019" t="s">
        <v>21885</v>
      </c>
      <c r="C11019" t="s">
        <v>79</v>
      </c>
      <c r="D11019" t="s">
        <v>74</v>
      </c>
      <c r="E11019" s="6">
        <v>-28041</v>
      </c>
      <c r="F11019" t="s">
        <v>873</v>
      </c>
      <c r="G11019" t="s">
        <v>366</v>
      </c>
      <c r="H11019" t="s">
        <v>21</v>
      </c>
      <c r="I11019" t="s">
        <v>21886</v>
      </c>
      <c r="J11019" t="str">
        <f>HYPERLINK("https://www.boe.es/gazeta/dias/1823/03/23/pdfs/GMD-1823-86.pdf#page=4","Abrir facsímil")</f>
        <v>Abrir facsímil</v>
      </c>
      <c r="K11019" t="s">
        <v>23</v>
      </c>
    </row>
    <row r="11020" spans="1:11" ht="42" customHeight="1">
      <c r="A11020" t="s">
        <v>21887</v>
      </c>
      <c r="B11020" t="s">
        <v>21887</v>
      </c>
      <c r="C11020" t="s">
        <v>17</v>
      </c>
      <c r="D11020" t="s">
        <v>18</v>
      </c>
      <c r="E11020" s="6">
        <v>-27883</v>
      </c>
      <c r="F11020" t="s">
        <v>2318</v>
      </c>
      <c r="G11020" t="s">
        <v>27</v>
      </c>
      <c r="H11020" t="s">
        <v>21</v>
      </c>
      <c r="I11020" t="s">
        <v>21888</v>
      </c>
      <c r="J11020" t="str">
        <f>HYPERLINK("https://www.boe.es/gazeta/dias/1823/08/28/pdfs/GMD-1823-663.pdf#page=2","Abrir facsímil")</f>
        <v>Abrir facsímil</v>
      </c>
      <c r="K11020" t="s">
        <v>23</v>
      </c>
    </row>
    <row r="11021" spans="1:11" ht="42" customHeight="1">
      <c r="A11021" t="s">
        <v>21889</v>
      </c>
      <c r="B11021" t="s">
        <v>21889</v>
      </c>
      <c r="C11021" t="s">
        <v>56</v>
      </c>
      <c r="D11021" t="s">
        <v>57</v>
      </c>
      <c r="E11021" s="6">
        <v>-28116</v>
      </c>
      <c r="F11021" t="s">
        <v>134</v>
      </c>
      <c r="G11021" t="s">
        <v>39</v>
      </c>
      <c r="H11021" t="s">
        <v>21</v>
      </c>
      <c r="I11021" t="s">
        <v>21890</v>
      </c>
      <c r="J11021" t="str">
        <f>HYPERLINK("https://www.boe.es/gazeta/dias/1823/01/07/pdfs/GMD-1823-7.pdf#page=1","Abrir facsímil")</f>
        <v>Abrir facsímil</v>
      </c>
      <c r="K11021" t="s">
        <v>23</v>
      </c>
    </row>
    <row r="11022" spans="1:11" ht="42" customHeight="1">
      <c r="A11022" t="s">
        <v>21891</v>
      </c>
      <c r="B11022" t="s">
        <v>21892</v>
      </c>
      <c r="C11022" t="s">
        <v>17</v>
      </c>
      <c r="D11022" t="s">
        <v>18</v>
      </c>
      <c r="E11022" s="6">
        <v>-28093</v>
      </c>
      <c r="F11022" t="s">
        <v>1044</v>
      </c>
      <c r="G11022" t="s">
        <v>59</v>
      </c>
      <c r="H11022" t="s">
        <v>21</v>
      </c>
      <c r="I11022" t="s">
        <v>21893</v>
      </c>
      <c r="J11022" t="str">
        <f>HYPERLINK("https://www.boe.es/gazeta/dias/1823/01/30/pdfs/GMD-1823-31.pdf#page=6","Abrir facsímil")</f>
        <v>Abrir facsímil</v>
      </c>
      <c r="K11022" t="s">
        <v>23</v>
      </c>
    </row>
    <row r="11023" spans="1:11" ht="42" customHeight="1">
      <c r="A11023" t="s">
        <v>21894</v>
      </c>
      <c r="B11023" t="s">
        <v>21895</v>
      </c>
      <c r="C11023" t="s">
        <v>84</v>
      </c>
      <c r="D11023" t="s">
        <v>74</v>
      </c>
      <c r="E11023" s="6">
        <v>-28064</v>
      </c>
      <c r="F11023" t="s">
        <v>1190</v>
      </c>
      <c r="G11023" t="s">
        <v>20</v>
      </c>
      <c r="H11023" t="s">
        <v>21</v>
      </c>
      <c r="I11023" t="s">
        <v>21896</v>
      </c>
      <c r="J11023" t="str">
        <f>HYPERLINK("https://www.boe.es/gazeta/dias/1823/02/28/pdfs/GMD-1823-62.pdf#page=4","Abrir facsímil")</f>
        <v>Abrir facsímil</v>
      </c>
      <c r="K11023" t="s">
        <v>23</v>
      </c>
    </row>
    <row r="11024" spans="1:11" ht="42" customHeight="1">
      <c r="A11024" t="s">
        <v>21897</v>
      </c>
      <c r="B11024" t="s">
        <v>21898</v>
      </c>
      <c r="C11024" t="s">
        <v>109</v>
      </c>
      <c r="D11024" t="s">
        <v>74</v>
      </c>
      <c r="E11024" s="6">
        <v>-28001</v>
      </c>
      <c r="F11024" t="s">
        <v>768</v>
      </c>
      <c r="G11024" t="s">
        <v>34</v>
      </c>
      <c r="H11024" t="s">
        <v>21</v>
      </c>
      <c r="I11024" t="s">
        <v>21899</v>
      </c>
      <c r="J11024" t="str">
        <f>HYPERLINK("https://www.boe.es/gazeta/dias/1823/05/02/pdfs/GES-1823-22.pdf#page=5","Abrir facsímil")</f>
        <v>Abrir facsímil</v>
      </c>
      <c r="K11024" t="s">
        <v>23</v>
      </c>
    </row>
    <row r="11025" spans="1:11" ht="42" customHeight="1">
      <c r="A11025" t="s">
        <v>21900</v>
      </c>
      <c r="B11025" t="s">
        <v>21900</v>
      </c>
      <c r="C11025" t="s">
        <v>17</v>
      </c>
      <c r="D11025" t="s">
        <v>18</v>
      </c>
      <c r="E11025" s="6">
        <v>-27973</v>
      </c>
      <c r="F11025" t="s">
        <v>758</v>
      </c>
      <c r="G11025" t="s">
        <v>39</v>
      </c>
      <c r="H11025" t="s">
        <v>21</v>
      </c>
      <c r="I11025" t="s">
        <v>21901</v>
      </c>
      <c r="J11025" t="str">
        <f>HYPERLINK("https://www.boe.es/gazeta/dias/1823/05/30/pdfs/GES-1823-53.pdf#page=1","Abrir facsímil")</f>
        <v>Abrir facsímil</v>
      </c>
      <c r="K11025" t="s">
        <v>23</v>
      </c>
    </row>
    <row r="11026" spans="1:11" ht="42" customHeight="1">
      <c r="A11026" t="s">
        <v>21902</v>
      </c>
      <c r="B11026" t="s">
        <v>21902</v>
      </c>
      <c r="C11026" t="s">
        <v>56</v>
      </c>
      <c r="D11026" t="s">
        <v>57</v>
      </c>
      <c r="E11026" s="6">
        <v>-28054</v>
      </c>
      <c r="F11026" t="s">
        <v>1292</v>
      </c>
      <c r="G11026" t="s">
        <v>48</v>
      </c>
      <c r="H11026" t="s">
        <v>21</v>
      </c>
      <c r="I11026" t="s">
        <v>21903</v>
      </c>
      <c r="J11026" t="str">
        <f>HYPERLINK("https://www.boe.es/gazeta/dias/1823/03/10/pdfs/GMD-1823-73.pdf#page=3","Abrir facsímil")</f>
        <v>Abrir facsímil</v>
      </c>
      <c r="K11026" t="s">
        <v>23</v>
      </c>
    </row>
    <row r="11027" spans="1:11" ht="42" customHeight="1">
      <c r="A11027" t="s">
        <v>21904</v>
      </c>
      <c r="B11027" t="s">
        <v>21904</v>
      </c>
      <c r="C11027" t="s">
        <v>79</v>
      </c>
      <c r="D11027" t="s">
        <v>74</v>
      </c>
      <c r="E11027" s="6">
        <v>-27920</v>
      </c>
      <c r="F11027" t="s">
        <v>358</v>
      </c>
      <c r="G11027" t="s">
        <v>27</v>
      </c>
      <c r="H11027" t="s">
        <v>21</v>
      </c>
      <c r="I11027" t="s">
        <v>21905</v>
      </c>
      <c r="J11027" t="str">
        <f>HYPERLINK("https://www.boe.es/gazeta/dias/1823/07/22/pdfs/GES-1823-103.pdf#page=2","Abrir facsímil")</f>
        <v>Abrir facsímil</v>
      </c>
      <c r="K11027" t="s">
        <v>23</v>
      </c>
    </row>
    <row r="11028" spans="1:11" ht="42" customHeight="1">
      <c r="A11028" t="s">
        <v>21906</v>
      </c>
      <c r="B11028" t="s">
        <v>21907</v>
      </c>
      <c r="C11028" t="s">
        <v>17</v>
      </c>
      <c r="D11028" t="s">
        <v>18</v>
      </c>
      <c r="E11028" s="6">
        <v>-27877</v>
      </c>
      <c r="F11028" t="s">
        <v>844</v>
      </c>
      <c r="G11028" t="s">
        <v>48</v>
      </c>
      <c r="H11028" t="s">
        <v>21</v>
      </c>
      <c r="I11028" t="s">
        <v>21908</v>
      </c>
      <c r="J11028" t="str">
        <f>HYPERLINK("https://www.boe.es/gazeta/dias/1823/09/03/pdfs/GES-1823-147.pdf#page=3","Abrir facsímil")</f>
        <v>Abrir facsímil</v>
      </c>
      <c r="K11028" t="s">
        <v>23</v>
      </c>
    </row>
    <row r="11029" spans="1:11" ht="42" customHeight="1">
      <c r="A11029" t="s">
        <v>21909</v>
      </c>
      <c r="B11029" t="s">
        <v>21909</v>
      </c>
      <c r="C11029" t="s">
        <v>79</v>
      </c>
      <c r="D11029" t="s">
        <v>74</v>
      </c>
      <c r="E11029" s="6">
        <v>-27978</v>
      </c>
      <c r="F11029" t="s">
        <v>342</v>
      </c>
      <c r="G11029" t="s">
        <v>48</v>
      </c>
      <c r="H11029" t="s">
        <v>21</v>
      </c>
      <c r="I11029" t="s">
        <v>21910</v>
      </c>
      <c r="J11029" t="str">
        <f>HYPERLINK("https://www.boe.es/gazeta/dias/1823/05/25/pdfs/GES-1823-46.pdf#page=3","Abrir facsímil")</f>
        <v>Abrir facsímil</v>
      </c>
      <c r="K11029" t="s">
        <v>23</v>
      </c>
    </row>
    <row r="11030" spans="1:11" ht="42" customHeight="1">
      <c r="A11030" t="s">
        <v>21911</v>
      </c>
      <c r="B11030" t="s">
        <v>21911</v>
      </c>
      <c r="C11030" t="s">
        <v>79</v>
      </c>
      <c r="D11030" t="s">
        <v>74</v>
      </c>
      <c r="E11030" s="6">
        <v>-27952</v>
      </c>
      <c r="F11030" t="s">
        <v>929</v>
      </c>
      <c r="G11030" t="s">
        <v>27</v>
      </c>
      <c r="H11030" t="s">
        <v>21</v>
      </c>
      <c r="I11030" t="s">
        <v>21912</v>
      </c>
      <c r="J11030" t="str">
        <f>HYPERLINK("https://www.boe.es/gazeta/dias/1823/06/20/pdfs/GES-1823-68.pdf#page=2","Abrir facsímil")</f>
        <v>Abrir facsímil</v>
      </c>
      <c r="K11030" t="s">
        <v>23</v>
      </c>
    </row>
    <row r="11031" spans="1:11" ht="42" customHeight="1">
      <c r="A11031" t="s">
        <v>21913</v>
      </c>
      <c r="B11031" t="s">
        <v>21913</v>
      </c>
      <c r="C11031" t="s">
        <v>17</v>
      </c>
      <c r="D11031" t="s">
        <v>18</v>
      </c>
      <c r="E11031" s="6">
        <v>-28037</v>
      </c>
      <c r="F11031" t="s">
        <v>192</v>
      </c>
      <c r="G11031" t="s">
        <v>27</v>
      </c>
      <c r="H11031" t="s">
        <v>21</v>
      </c>
      <c r="I11031" t="s">
        <v>21914</v>
      </c>
      <c r="J11031" t="str">
        <f>HYPERLINK("https://www.boe.es/gazeta/dias/1823/03/27/pdfs/GMD-1823-90.pdf#page=2","Abrir facsímil")</f>
        <v>Abrir facsímil</v>
      </c>
      <c r="K11031" t="s">
        <v>23</v>
      </c>
    </row>
    <row r="11032" spans="1:11" ht="42" customHeight="1">
      <c r="A11032" t="s">
        <v>21915</v>
      </c>
      <c r="B11032" t="s">
        <v>21916</v>
      </c>
      <c r="C11032" t="s">
        <v>79</v>
      </c>
      <c r="D11032" t="s">
        <v>117</v>
      </c>
      <c r="E11032" s="6">
        <v>-27966</v>
      </c>
      <c r="F11032" t="s">
        <v>962</v>
      </c>
      <c r="G11032" t="s">
        <v>39</v>
      </c>
      <c r="H11032" t="s">
        <v>21</v>
      </c>
      <c r="I11032" t="s">
        <v>21917</v>
      </c>
      <c r="J11032" t="str">
        <f>HYPERLINK("https://www.boe.es/gazeta/dias/1823/06/06/pdfs/GMD-1823-73E.pdf#page=1","Abrir facsímil")</f>
        <v>Abrir facsímil</v>
      </c>
      <c r="K11032" t="s">
        <v>23</v>
      </c>
    </row>
    <row r="11033" spans="1:11" ht="42" customHeight="1">
      <c r="A11033" t="s">
        <v>21918</v>
      </c>
      <c r="B11033" t="s">
        <v>21919</v>
      </c>
      <c r="C11033" t="s">
        <v>17</v>
      </c>
      <c r="D11033" t="s">
        <v>18</v>
      </c>
      <c r="E11033" s="6">
        <v>-27970</v>
      </c>
      <c r="F11033" t="s">
        <v>1030</v>
      </c>
      <c r="G11033" t="s">
        <v>20</v>
      </c>
      <c r="H11033" t="s">
        <v>21</v>
      </c>
      <c r="I11033" t="s">
        <v>21920</v>
      </c>
      <c r="J11033" t="str">
        <f>HYPERLINK("https://www.boe.es/gazeta/dias/1823/06/02/pdfs/GES-1823-56.pdf#page=4","Abrir facsímil")</f>
        <v>Abrir facsímil</v>
      </c>
      <c r="K11033" t="s">
        <v>23</v>
      </c>
    </row>
    <row r="11034" spans="1:11" ht="42" customHeight="1">
      <c r="A11034" t="s">
        <v>21921</v>
      </c>
      <c r="B11034" t="s">
        <v>21922</v>
      </c>
      <c r="C11034" t="s">
        <v>17</v>
      </c>
      <c r="D11034" t="s">
        <v>18</v>
      </c>
      <c r="E11034" s="6">
        <v>-27970</v>
      </c>
      <c r="F11034" t="s">
        <v>1030</v>
      </c>
      <c r="G11034" t="s">
        <v>20</v>
      </c>
      <c r="H11034" t="s">
        <v>21</v>
      </c>
      <c r="I11034" t="s">
        <v>21923</v>
      </c>
      <c r="J11034" t="str">
        <f>HYPERLINK("https://www.boe.es/gazeta/dias/1823/06/02/pdfs/GES-1823-56.pdf#page=4","Abrir facsímil")</f>
        <v>Abrir facsímil</v>
      </c>
      <c r="K11034" t="s">
        <v>23</v>
      </c>
    </row>
    <row r="11035" spans="1:11" ht="42" customHeight="1">
      <c r="A11035" t="s">
        <v>21924</v>
      </c>
      <c r="B11035" t="s">
        <v>21925</v>
      </c>
      <c r="C11035" t="s">
        <v>17</v>
      </c>
      <c r="D11035" t="s">
        <v>117</v>
      </c>
      <c r="E11035" s="6">
        <v>-28092</v>
      </c>
      <c r="F11035" t="s">
        <v>156</v>
      </c>
      <c r="G11035" t="s">
        <v>39</v>
      </c>
      <c r="H11035" t="s">
        <v>21</v>
      </c>
      <c r="I11035" t="s">
        <v>21926</v>
      </c>
      <c r="J11035" t="str">
        <f>HYPERLINK("https://www.boe.es/gazeta/dias/1823/01/31/pdfs/GMD-1823-33E.pdf#page=1","Abrir facsímil")</f>
        <v>Abrir facsímil</v>
      </c>
      <c r="K11035" t="s">
        <v>23</v>
      </c>
    </row>
    <row r="11036" spans="1:11" ht="42" customHeight="1">
      <c r="A11036" t="s">
        <v>21927</v>
      </c>
      <c r="B11036" t="s">
        <v>21928</v>
      </c>
      <c r="C11036" t="s">
        <v>17</v>
      </c>
      <c r="D11036" t="s">
        <v>18</v>
      </c>
      <c r="E11036" s="6">
        <v>-28002</v>
      </c>
      <c r="F11036" t="s">
        <v>315</v>
      </c>
      <c r="G11036" t="s">
        <v>3998</v>
      </c>
      <c r="H11036" t="s">
        <v>21</v>
      </c>
      <c r="I11036" t="s">
        <v>21929</v>
      </c>
      <c r="J11036" t="str">
        <f>HYPERLINK("https://www.boe.es/gazeta/dias/1823/05/01/pdfs/GES-1823-21.pdf#page=6","Abrir facsímil")</f>
        <v>Abrir facsímil</v>
      </c>
      <c r="K11036" t="s">
        <v>23</v>
      </c>
    </row>
    <row r="11037" spans="1:11" ht="42" customHeight="1">
      <c r="A11037" t="s">
        <v>21927</v>
      </c>
      <c r="B11037" t="s">
        <v>21928</v>
      </c>
      <c r="C11037" t="s">
        <v>17</v>
      </c>
      <c r="D11037" t="s">
        <v>18</v>
      </c>
      <c r="E11037" s="6">
        <v>-27993</v>
      </c>
      <c r="F11037" t="s">
        <v>1062</v>
      </c>
      <c r="G11037" t="s">
        <v>59</v>
      </c>
      <c r="H11037" t="s">
        <v>21</v>
      </c>
      <c r="I11037" t="s">
        <v>21930</v>
      </c>
      <c r="J11037" t="str">
        <f>HYPERLINK("https://www.boe.es/gazeta/dias/1823/05/10/pdfs/GMD-1823-122.pdf#page=6","Abrir facsímil")</f>
        <v>Abrir facsímil</v>
      </c>
      <c r="K11037" t="s">
        <v>23</v>
      </c>
    </row>
    <row r="11038" spans="1:11" ht="42" customHeight="1">
      <c r="A11038" t="s">
        <v>21927</v>
      </c>
      <c r="B11038" t="s">
        <v>21928</v>
      </c>
      <c r="C11038" t="s">
        <v>17</v>
      </c>
      <c r="D11038" t="s">
        <v>18</v>
      </c>
      <c r="E11038" s="6">
        <v>-27971</v>
      </c>
      <c r="F11038" t="s">
        <v>4211</v>
      </c>
      <c r="G11038" t="s">
        <v>20</v>
      </c>
      <c r="H11038" t="s">
        <v>21</v>
      </c>
      <c r="I11038" t="s">
        <v>21931</v>
      </c>
      <c r="J11038" t="str">
        <f>HYPERLINK("https://www.boe.es/gazeta/dias/1823/06/01/pdfs/GES-1823-55.pdf#page=4","Abrir facsímil")</f>
        <v>Abrir facsímil</v>
      </c>
      <c r="K11038" t="s">
        <v>23</v>
      </c>
    </row>
    <row r="11039" spans="1:11" ht="42" customHeight="1">
      <c r="A11039" t="s">
        <v>21927</v>
      </c>
      <c r="B11039" t="s">
        <v>21928</v>
      </c>
      <c r="C11039" t="s">
        <v>17</v>
      </c>
      <c r="D11039" t="s">
        <v>18</v>
      </c>
      <c r="E11039" s="6">
        <v>-27964</v>
      </c>
      <c r="F11039" t="s">
        <v>58</v>
      </c>
      <c r="G11039" t="s">
        <v>48</v>
      </c>
      <c r="H11039" t="s">
        <v>21</v>
      </c>
      <c r="I11039" t="s">
        <v>21932</v>
      </c>
      <c r="J11039" t="str">
        <f>HYPERLINK("https://www.boe.es/gazeta/dias/1823/06/08/pdfs/GES-1823-62.pdf#page=3","Abrir facsímil")</f>
        <v>Abrir facsímil</v>
      </c>
      <c r="K11039" t="s">
        <v>23</v>
      </c>
    </row>
    <row r="11040" spans="1:11" ht="42" customHeight="1">
      <c r="A11040" t="s">
        <v>21933</v>
      </c>
      <c r="B11040" t="s">
        <v>21934</v>
      </c>
      <c r="C11040" t="s">
        <v>17</v>
      </c>
      <c r="D11040" t="s">
        <v>18</v>
      </c>
      <c r="E11040" s="6">
        <v>-27992</v>
      </c>
      <c r="F11040" t="s">
        <v>565</v>
      </c>
      <c r="G11040" t="s">
        <v>20</v>
      </c>
      <c r="H11040" t="s">
        <v>21</v>
      </c>
      <c r="I11040" t="s">
        <v>21935</v>
      </c>
      <c r="J11040" t="str">
        <f>HYPERLINK("https://www.boe.es/gazeta/dias/1823/05/11/pdfs/GES-1823-31.pdf#page=4","Abrir facsímil")</f>
        <v>Abrir facsímil</v>
      </c>
      <c r="K11040" t="s">
        <v>23</v>
      </c>
    </row>
    <row r="11041" spans="1:11" ht="42" customHeight="1">
      <c r="A11041" t="s">
        <v>21936</v>
      </c>
      <c r="B11041" t="s">
        <v>21936</v>
      </c>
      <c r="C11041" t="s">
        <v>17</v>
      </c>
      <c r="D11041" t="s">
        <v>18</v>
      </c>
      <c r="E11041" s="6">
        <v>-27972</v>
      </c>
      <c r="F11041" t="s">
        <v>429</v>
      </c>
      <c r="G11041" t="s">
        <v>48</v>
      </c>
      <c r="H11041" t="s">
        <v>21</v>
      </c>
      <c r="I11041" t="s">
        <v>21937</v>
      </c>
      <c r="J11041" t="str">
        <f>HYPERLINK("https://www.boe.es/gazeta/dias/1823/05/31/pdfs/GES-1823-54.pdf#page=3","Abrir facsímil")</f>
        <v>Abrir facsímil</v>
      </c>
      <c r="K11041" t="s">
        <v>23</v>
      </c>
    </row>
    <row r="11042" spans="1:11" ht="42" customHeight="1">
      <c r="A11042" t="s">
        <v>21938</v>
      </c>
      <c r="B11042" t="s">
        <v>21938</v>
      </c>
      <c r="C11042" t="s">
        <v>17</v>
      </c>
      <c r="D11042" t="s">
        <v>18</v>
      </c>
      <c r="E11042" s="6">
        <v>-27978</v>
      </c>
      <c r="F11042" t="s">
        <v>342</v>
      </c>
      <c r="G11042" t="s">
        <v>48</v>
      </c>
      <c r="H11042" t="s">
        <v>21</v>
      </c>
      <c r="I11042" t="s">
        <v>21939</v>
      </c>
      <c r="J11042" t="str">
        <f>HYPERLINK("https://www.boe.es/gazeta/dias/1823/05/25/pdfs/GES-1823-46.pdf#page=3","Abrir facsímil")</f>
        <v>Abrir facsímil</v>
      </c>
      <c r="K11042" t="s">
        <v>23</v>
      </c>
    </row>
    <row r="11043" spans="1:11" ht="42" customHeight="1">
      <c r="A11043" t="s">
        <v>21940</v>
      </c>
      <c r="B11043" t="s">
        <v>21941</v>
      </c>
      <c r="C11043" t="s">
        <v>79</v>
      </c>
      <c r="D11043" t="s">
        <v>74</v>
      </c>
      <c r="E11043" s="6">
        <v>-28002</v>
      </c>
      <c r="F11043" t="s">
        <v>245</v>
      </c>
      <c r="G11043" t="s">
        <v>39</v>
      </c>
      <c r="H11043" t="s">
        <v>21</v>
      </c>
      <c r="I11043" t="s">
        <v>21942</v>
      </c>
      <c r="J11043" t="str">
        <f>HYPERLINK("https://www.boe.es/gazeta/dias/1823/05/01/pdfs/GMD-1823-82.pdf#page=1","Abrir facsímil")</f>
        <v>Abrir facsímil</v>
      </c>
      <c r="K11043" t="s">
        <v>23</v>
      </c>
    </row>
    <row r="11044" spans="1:11" ht="42" customHeight="1">
      <c r="A11044" t="s">
        <v>21943</v>
      </c>
      <c r="B11044" t="s">
        <v>21943</v>
      </c>
      <c r="C11044" t="s">
        <v>84</v>
      </c>
      <c r="D11044" t="s">
        <v>74</v>
      </c>
      <c r="E11044" s="6">
        <v>-28116</v>
      </c>
      <c r="F11044" t="s">
        <v>134</v>
      </c>
      <c r="G11044" t="s">
        <v>39</v>
      </c>
      <c r="H11044" t="s">
        <v>21</v>
      </c>
      <c r="I11044" t="s">
        <v>21944</v>
      </c>
      <c r="J11044" t="str">
        <f>HYPERLINK("https://www.boe.es/gazeta/dias/1823/01/07/pdfs/GMD-1823-7.pdf#page=1","Abrir facsímil")</f>
        <v>Abrir facsímil</v>
      </c>
      <c r="K11044" t="s">
        <v>23</v>
      </c>
    </row>
    <row r="11045" spans="1:11" ht="42" customHeight="1">
      <c r="A11045" t="s">
        <v>21945</v>
      </c>
      <c r="B11045" t="s">
        <v>21945</v>
      </c>
      <c r="C11045" t="s">
        <v>84</v>
      </c>
      <c r="D11045" t="s">
        <v>74</v>
      </c>
      <c r="E11045" s="6">
        <v>-28078</v>
      </c>
      <c r="F11045" t="s">
        <v>508</v>
      </c>
      <c r="G11045" t="s">
        <v>39</v>
      </c>
      <c r="H11045" t="s">
        <v>21</v>
      </c>
      <c r="I11045" t="s">
        <v>21946</v>
      </c>
      <c r="J11045" t="str">
        <f>HYPERLINK("https://www.boe.es/gazeta/dias/1823/02/14/pdfs/GMD-1823-48.pdf#page=1","Abrir facsímil")</f>
        <v>Abrir facsímil</v>
      </c>
      <c r="K11045" t="s">
        <v>23</v>
      </c>
    </row>
    <row r="11046" spans="1:11" ht="42" customHeight="1">
      <c r="A11046" t="s">
        <v>21945</v>
      </c>
      <c r="B11046" t="s">
        <v>21945</v>
      </c>
      <c r="C11046" t="s">
        <v>79</v>
      </c>
      <c r="D11046" t="s">
        <v>74</v>
      </c>
      <c r="E11046" s="6">
        <v>-28068</v>
      </c>
      <c r="F11046" t="s">
        <v>1325</v>
      </c>
      <c r="G11046" t="s">
        <v>27</v>
      </c>
      <c r="H11046" t="s">
        <v>21</v>
      </c>
      <c r="I11046" t="s">
        <v>21947</v>
      </c>
      <c r="J11046" t="str">
        <f>HYPERLINK("https://www.boe.es/gazeta/dias/1823/02/24/pdfs/GMD-1823-58.pdf#page=2","Abrir facsímil")</f>
        <v>Abrir facsímil</v>
      </c>
      <c r="K11046" t="s">
        <v>23</v>
      </c>
    </row>
    <row r="11047" spans="1:11" ht="42" customHeight="1">
      <c r="A11047" t="s">
        <v>21945</v>
      </c>
      <c r="B11047" t="s">
        <v>21945</v>
      </c>
      <c r="C11047" t="s">
        <v>84</v>
      </c>
      <c r="D11047" t="s">
        <v>74</v>
      </c>
      <c r="E11047" s="6">
        <v>-27998</v>
      </c>
      <c r="F11047" t="s">
        <v>1058</v>
      </c>
      <c r="G11047" t="s">
        <v>39</v>
      </c>
      <c r="H11047" t="s">
        <v>21</v>
      </c>
      <c r="I11047" t="s">
        <v>21948</v>
      </c>
      <c r="J11047" t="str">
        <f>HYPERLINK("https://www.boe.es/gazeta/dias/1823/05/05/pdfs/GES-1823-25.pdf#page=1","Abrir facsímil")</f>
        <v>Abrir facsímil</v>
      </c>
      <c r="K11047" t="s">
        <v>23</v>
      </c>
    </row>
    <row r="11048" spans="1:11" ht="42" customHeight="1">
      <c r="A11048" t="s">
        <v>21949</v>
      </c>
      <c r="B11048" t="s">
        <v>21949</v>
      </c>
      <c r="C11048" t="s">
        <v>109</v>
      </c>
      <c r="D11048" t="s">
        <v>74</v>
      </c>
      <c r="E11048" s="6">
        <v>-27998</v>
      </c>
      <c r="F11048" t="s">
        <v>1058</v>
      </c>
      <c r="G11048" t="s">
        <v>27</v>
      </c>
      <c r="H11048" t="s">
        <v>21</v>
      </c>
      <c r="I11048" t="s">
        <v>21950</v>
      </c>
      <c r="J11048" t="str">
        <f>HYPERLINK("https://www.boe.es/gazeta/dias/1823/05/05/pdfs/GES-1823-25.pdf#page=2","Abrir facsímil")</f>
        <v>Abrir facsímil</v>
      </c>
      <c r="K11048" t="s">
        <v>23</v>
      </c>
    </row>
    <row r="11049" spans="1:11" ht="42" customHeight="1">
      <c r="A11049" t="s">
        <v>21951</v>
      </c>
      <c r="B11049" t="s">
        <v>21951</v>
      </c>
      <c r="C11049" t="s">
        <v>79</v>
      </c>
      <c r="D11049" t="s">
        <v>74</v>
      </c>
      <c r="E11049" s="6">
        <v>-28039</v>
      </c>
      <c r="F11049" t="s">
        <v>126</v>
      </c>
      <c r="G11049" t="s">
        <v>20</v>
      </c>
      <c r="H11049" t="s">
        <v>21</v>
      </c>
      <c r="I11049" t="s">
        <v>21952</v>
      </c>
      <c r="J11049" t="str">
        <f>HYPERLINK("https://www.boe.es/gazeta/dias/1823/03/25/pdfs/GMD-1823-88.pdf#page=4","Abrir facsímil")</f>
        <v>Abrir facsímil</v>
      </c>
      <c r="K11049" t="s">
        <v>23</v>
      </c>
    </row>
    <row r="11050" spans="1:11" ht="42" customHeight="1">
      <c r="A11050" t="s">
        <v>21953</v>
      </c>
      <c r="B11050" t="s">
        <v>21953</v>
      </c>
      <c r="C11050" t="s">
        <v>17</v>
      </c>
      <c r="D11050" t="s">
        <v>18</v>
      </c>
      <c r="E11050" s="6">
        <v>-27969</v>
      </c>
      <c r="F11050" t="s">
        <v>204</v>
      </c>
      <c r="G11050" t="s">
        <v>39</v>
      </c>
      <c r="H11050" t="s">
        <v>21</v>
      </c>
      <c r="I11050" t="s">
        <v>21954</v>
      </c>
      <c r="J11050" t="str">
        <f>HYPERLINK("https://www.boe.es/gazeta/dias/1823/06/03/pdfs/GMD-1823-53.pdf#page=1","Abrir facsímil")</f>
        <v>Abrir facsímil</v>
      </c>
      <c r="K11050" t="s">
        <v>23</v>
      </c>
    </row>
    <row r="11051" spans="1:11" ht="42" customHeight="1">
      <c r="A11051" t="s">
        <v>21955</v>
      </c>
      <c r="B11051" t="s">
        <v>21956</v>
      </c>
      <c r="C11051" t="s">
        <v>79</v>
      </c>
      <c r="D11051" t="s">
        <v>74</v>
      </c>
      <c r="E11051" s="6">
        <v>-28002</v>
      </c>
      <c r="F11051" t="s">
        <v>245</v>
      </c>
      <c r="G11051" t="s">
        <v>20</v>
      </c>
      <c r="H11051" t="s">
        <v>21</v>
      </c>
      <c r="I11051" t="s">
        <v>21957</v>
      </c>
      <c r="J11051" t="str">
        <f>HYPERLINK("https://www.boe.es/gazeta/dias/1823/05/01/pdfs/GMD-1823-82.pdf#page=4","Abrir facsímil")</f>
        <v>Abrir facsímil</v>
      </c>
      <c r="K11051" t="s">
        <v>23</v>
      </c>
    </row>
    <row r="11052" spans="1:11" ht="42" customHeight="1">
      <c r="A11052" t="s">
        <v>21958</v>
      </c>
      <c r="B11052" t="s">
        <v>21958</v>
      </c>
      <c r="C11052" t="s">
        <v>1477</v>
      </c>
      <c r="D11052" t="s">
        <v>57</v>
      </c>
      <c r="E11052" s="6">
        <v>-28052</v>
      </c>
      <c r="F11052" t="s">
        <v>1025</v>
      </c>
      <c r="G11052" t="s">
        <v>48</v>
      </c>
      <c r="H11052" t="s">
        <v>21</v>
      </c>
      <c r="I11052" t="s">
        <v>21959</v>
      </c>
      <c r="J11052" t="str">
        <f>HYPERLINK("https://www.boe.es/gazeta/dias/1823/03/12/pdfs/GMD-1823-75.pdf#page=3","Abrir facsímil")</f>
        <v>Abrir facsímil</v>
      </c>
      <c r="K11052" t="s">
        <v>23</v>
      </c>
    </row>
    <row r="11053" spans="1:11" ht="42" customHeight="1">
      <c r="A11053" t="s">
        <v>21960</v>
      </c>
      <c r="B11053" t="s">
        <v>21960</v>
      </c>
      <c r="C11053" t="s">
        <v>17</v>
      </c>
      <c r="D11053" t="s">
        <v>18</v>
      </c>
      <c r="E11053" s="6">
        <v>-27977</v>
      </c>
      <c r="F11053" t="s">
        <v>1489</v>
      </c>
      <c r="G11053" t="s">
        <v>27</v>
      </c>
      <c r="H11053" t="s">
        <v>21</v>
      </c>
      <c r="I11053" t="s">
        <v>21961</v>
      </c>
      <c r="J11053" t="str">
        <f>HYPERLINK("https://www.boe.es/gazeta/dias/1823/05/26/pdfs/GES-1823-47.pdf#page=2","Abrir facsímil")</f>
        <v>Abrir facsímil</v>
      </c>
      <c r="K11053" t="s">
        <v>23</v>
      </c>
    </row>
    <row r="11054" spans="1:11" ht="42" customHeight="1">
      <c r="A11054" t="s">
        <v>21962</v>
      </c>
      <c r="B11054" t="s">
        <v>21962</v>
      </c>
      <c r="C11054" t="s">
        <v>17</v>
      </c>
      <c r="D11054" t="s">
        <v>18</v>
      </c>
      <c r="E11054" s="6">
        <v>-28021</v>
      </c>
      <c r="F11054" t="s">
        <v>2669</v>
      </c>
      <c r="G11054" t="s">
        <v>48</v>
      </c>
      <c r="H11054" t="s">
        <v>21</v>
      </c>
      <c r="I11054" t="s">
        <v>21963</v>
      </c>
      <c r="J11054" t="str">
        <f>HYPERLINK("https://www.boe.es/gazeta/dias/1823/04/12/pdfs/GES-1823-2.pdf#page=3","Abrir facsímil")</f>
        <v>Abrir facsímil</v>
      </c>
      <c r="K11054" t="s">
        <v>23</v>
      </c>
    </row>
    <row r="11055" spans="1:11" ht="42" customHeight="1">
      <c r="A11055" t="s">
        <v>21962</v>
      </c>
      <c r="B11055" t="s">
        <v>21962</v>
      </c>
      <c r="C11055" t="s">
        <v>17</v>
      </c>
      <c r="D11055" t="s">
        <v>18</v>
      </c>
      <c r="E11055" s="6">
        <v>-27988</v>
      </c>
      <c r="F11055" t="s">
        <v>2022</v>
      </c>
      <c r="G11055" t="s">
        <v>48</v>
      </c>
      <c r="H11055" t="s">
        <v>21</v>
      </c>
      <c r="I11055" t="s">
        <v>21964</v>
      </c>
      <c r="J11055" t="str">
        <f>HYPERLINK("https://www.boe.es/gazeta/dias/1823/05/15/pdfs/GMD-1823-142.pdf#page=3","Abrir facsímil")</f>
        <v>Abrir facsímil</v>
      </c>
      <c r="K11055" t="s">
        <v>23</v>
      </c>
    </row>
    <row r="11056" spans="1:11" ht="42" customHeight="1">
      <c r="A11056" t="s">
        <v>21962</v>
      </c>
      <c r="B11056" t="s">
        <v>21962</v>
      </c>
      <c r="C11056" t="s">
        <v>17</v>
      </c>
      <c r="D11056" t="s">
        <v>18</v>
      </c>
      <c r="E11056" s="6">
        <v>-27967</v>
      </c>
      <c r="F11056" t="s">
        <v>412</v>
      </c>
      <c r="G11056" t="s">
        <v>34</v>
      </c>
      <c r="H11056" t="s">
        <v>21</v>
      </c>
      <c r="I11056" t="s">
        <v>21965</v>
      </c>
      <c r="J11056" t="str">
        <f>HYPERLINK("https://www.boe.es/gazeta/dias/1823/06/05/pdfs/GES-1823-59.pdf#page=5","Abrir facsímil")</f>
        <v>Abrir facsímil</v>
      </c>
      <c r="K11056" t="s">
        <v>23</v>
      </c>
    </row>
    <row r="11057" spans="1:11" ht="42" customHeight="1">
      <c r="A11057" t="s">
        <v>21962</v>
      </c>
      <c r="B11057" t="s">
        <v>21962</v>
      </c>
      <c r="C11057" t="s">
        <v>17</v>
      </c>
      <c r="D11057" t="s">
        <v>18</v>
      </c>
      <c r="E11057" s="6">
        <v>-27960</v>
      </c>
      <c r="F11057" t="s">
        <v>741</v>
      </c>
      <c r="G11057" t="s">
        <v>39</v>
      </c>
      <c r="H11057" t="s">
        <v>21</v>
      </c>
      <c r="I11057" t="s">
        <v>21966</v>
      </c>
      <c r="J11057" t="str">
        <f>HYPERLINK("https://www.boe.es/gazeta/dias/1823/06/12/pdfs/GES-1823-66.pdf#page=1","Abrir facsímil")</f>
        <v>Abrir facsímil</v>
      </c>
      <c r="K11057" t="s">
        <v>23</v>
      </c>
    </row>
    <row r="11058" spans="1:11" ht="42" customHeight="1">
      <c r="A11058" t="s">
        <v>21962</v>
      </c>
      <c r="B11058" t="s">
        <v>21962</v>
      </c>
      <c r="C11058" t="s">
        <v>17</v>
      </c>
      <c r="D11058" t="s">
        <v>18</v>
      </c>
      <c r="E11058" s="6">
        <v>-27937</v>
      </c>
      <c r="F11058" t="s">
        <v>730</v>
      </c>
      <c r="G11058" t="s">
        <v>48</v>
      </c>
      <c r="H11058" t="s">
        <v>21</v>
      </c>
      <c r="I11058" t="s">
        <v>21967</v>
      </c>
      <c r="J11058" t="str">
        <f>HYPERLINK("https://www.boe.es/gazeta/dias/1823/07/05/pdfs/GES-1823-85.pdf#page=3","Abrir facsímil")</f>
        <v>Abrir facsímil</v>
      </c>
      <c r="K11058" t="s">
        <v>23</v>
      </c>
    </row>
    <row r="11059" spans="1:11" ht="42" customHeight="1">
      <c r="A11059" t="s">
        <v>21962</v>
      </c>
      <c r="B11059" t="s">
        <v>21962</v>
      </c>
      <c r="C11059" t="s">
        <v>17</v>
      </c>
      <c r="D11059" t="s">
        <v>18</v>
      </c>
      <c r="E11059" s="6">
        <v>-27937</v>
      </c>
      <c r="F11059" t="s">
        <v>730</v>
      </c>
      <c r="G11059" t="s">
        <v>20</v>
      </c>
      <c r="H11059" t="s">
        <v>21</v>
      </c>
      <c r="I11059" t="s">
        <v>21968</v>
      </c>
      <c r="J11059" t="str">
        <f>HYPERLINK("https://www.boe.es/gazeta/dias/1823/07/05/pdfs/GES-1823-85.pdf#page=4","Abrir facsímil")</f>
        <v>Abrir facsímil</v>
      </c>
      <c r="K11059" t="s">
        <v>23</v>
      </c>
    </row>
    <row r="11060" spans="1:11" ht="42" customHeight="1">
      <c r="A11060" t="s">
        <v>21962</v>
      </c>
      <c r="B11060" t="s">
        <v>21962</v>
      </c>
      <c r="C11060" t="s">
        <v>17</v>
      </c>
      <c r="D11060" t="s">
        <v>18</v>
      </c>
      <c r="E11060" s="6">
        <v>-27908</v>
      </c>
      <c r="F11060" t="s">
        <v>80</v>
      </c>
      <c r="G11060" t="s">
        <v>39</v>
      </c>
      <c r="H11060" t="s">
        <v>21</v>
      </c>
      <c r="I11060" t="s">
        <v>21969</v>
      </c>
      <c r="J11060" t="str">
        <f>HYPERLINK("https://www.boe.es/gazeta/dias/1823/08/03/pdfs/GES-1823-115.pdf#page=1","Abrir facsímil")</f>
        <v>Abrir facsímil</v>
      </c>
      <c r="K11060" t="s">
        <v>23</v>
      </c>
    </row>
    <row r="11061" spans="1:11" ht="42" customHeight="1">
      <c r="A11061" t="s">
        <v>21962</v>
      </c>
      <c r="B11061" t="s">
        <v>21962</v>
      </c>
      <c r="C11061" t="s">
        <v>17</v>
      </c>
      <c r="D11061" t="s">
        <v>18</v>
      </c>
      <c r="E11061" s="6">
        <v>-27906</v>
      </c>
      <c r="F11061" t="s">
        <v>241</v>
      </c>
      <c r="G11061" t="s">
        <v>2212</v>
      </c>
      <c r="H11061" t="s">
        <v>21</v>
      </c>
      <c r="I11061" t="s">
        <v>21970</v>
      </c>
      <c r="J11061" t="str">
        <f>HYPERLINK("https://www.boe.es/gazeta/dias/1823/08/05/pdfs/GES-1823-117.pdf#page=2","Abrir facsímil")</f>
        <v>Abrir facsímil</v>
      </c>
      <c r="K11061" t="s">
        <v>23</v>
      </c>
    </row>
    <row r="11062" spans="1:11" ht="42" customHeight="1">
      <c r="A11062" t="s">
        <v>21962</v>
      </c>
      <c r="B11062" t="s">
        <v>21962</v>
      </c>
      <c r="C11062" t="s">
        <v>17</v>
      </c>
      <c r="D11062" t="s">
        <v>18</v>
      </c>
      <c r="E11062" s="6">
        <v>-27891</v>
      </c>
      <c r="F11062" t="s">
        <v>825</v>
      </c>
      <c r="G11062" t="s">
        <v>20</v>
      </c>
      <c r="H11062" t="s">
        <v>21</v>
      </c>
      <c r="I11062" t="s">
        <v>21971</v>
      </c>
      <c r="J11062" t="str">
        <f>HYPERLINK("https://www.boe.es/gazeta/dias/1823/08/20/pdfs/GES-1823-133.pdf#page=4","Abrir facsímil")</f>
        <v>Abrir facsímil</v>
      </c>
      <c r="K11062" t="s">
        <v>23</v>
      </c>
    </row>
    <row r="11063" spans="1:11" ht="42" customHeight="1">
      <c r="A11063" t="s">
        <v>21972</v>
      </c>
      <c r="B11063" t="s">
        <v>21973</v>
      </c>
      <c r="C11063" t="s">
        <v>17</v>
      </c>
      <c r="D11063" t="s">
        <v>18</v>
      </c>
      <c r="E11063" s="6">
        <v>-27855</v>
      </c>
      <c r="F11063" t="s">
        <v>679</v>
      </c>
      <c r="G11063" t="s">
        <v>48</v>
      </c>
      <c r="H11063" t="s">
        <v>21</v>
      </c>
      <c r="I11063" t="s">
        <v>21974</v>
      </c>
      <c r="J11063" t="str">
        <f>HYPERLINK("https://www.boe.es/gazeta/dias/1823/09/25/pdfs/GES-1823-169.pdf#page=3","Abrir facsímil")</f>
        <v>Abrir facsímil</v>
      </c>
      <c r="K11063" t="s">
        <v>23</v>
      </c>
    </row>
    <row r="11064" spans="1:11" ht="42" customHeight="1">
      <c r="A11064" t="s">
        <v>21975</v>
      </c>
      <c r="B11064" t="s">
        <v>21976</v>
      </c>
      <c r="C11064" t="s">
        <v>17</v>
      </c>
      <c r="D11064" t="s">
        <v>18</v>
      </c>
      <c r="E11064" s="6">
        <v>-28053</v>
      </c>
      <c r="F11064" t="s">
        <v>303</v>
      </c>
      <c r="G11064" t="s">
        <v>20</v>
      </c>
      <c r="H11064" t="s">
        <v>21</v>
      </c>
      <c r="I11064" t="s">
        <v>21977</v>
      </c>
      <c r="J11064" t="str">
        <f>HYPERLINK("https://www.boe.es/gazeta/dias/1823/03/11/pdfs/GMD-1823-74.pdf#page=4","Abrir facsímil")</f>
        <v>Abrir facsímil</v>
      </c>
      <c r="K11064" t="s">
        <v>23</v>
      </c>
    </row>
    <row r="11065" spans="1:11" ht="42" customHeight="1">
      <c r="A11065" t="s">
        <v>21978</v>
      </c>
      <c r="B11065" t="s">
        <v>21978</v>
      </c>
      <c r="C11065" t="s">
        <v>17</v>
      </c>
      <c r="D11065" t="s">
        <v>18</v>
      </c>
      <c r="E11065" s="6">
        <v>-28105</v>
      </c>
      <c r="F11065" t="s">
        <v>502</v>
      </c>
      <c r="G11065" t="s">
        <v>39</v>
      </c>
      <c r="H11065" t="s">
        <v>21</v>
      </c>
      <c r="I11065" t="s">
        <v>21979</v>
      </c>
      <c r="J11065" t="str">
        <f>HYPERLINK("https://www.boe.es/gazeta/dias/1823/01/18/pdfs/GMD-1823-18.pdf#page=1","Abrir facsímil")</f>
        <v>Abrir facsímil</v>
      </c>
      <c r="K11065" t="s">
        <v>23</v>
      </c>
    </row>
    <row r="11066" spans="1:11" ht="42" customHeight="1">
      <c r="A11066" t="s">
        <v>21980</v>
      </c>
      <c r="B11066" t="s">
        <v>21980</v>
      </c>
      <c r="C11066" t="s">
        <v>17</v>
      </c>
      <c r="D11066" t="s">
        <v>18</v>
      </c>
      <c r="E11066" s="6">
        <v>-27893</v>
      </c>
      <c r="F11066" t="s">
        <v>1893</v>
      </c>
      <c r="G11066" t="s">
        <v>39</v>
      </c>
      <c r="H11066" t="s">
        <v>21</v>
      </c>
      <c r="I11066" t="s">
        <v>21981</v>
      </c>
      <c r="J11066" t="str">
        <f>HYPERLINK("https://www.boe.es/gazeta/dias/1823/08/18/pdfs/GES-1823-131.pdf#page=1","Abrir facsímil")</f>
        <v>Abrir facsímil</v>
      </c>
      <c r="K11066" t="s">
        <v>23</v>
      </c>
    </row>
    <row r="11067" spans="1:11" ht="42" customHeight="1">
      <c r="A11067" t="s">
        <v>21982</v>
      </c>
      <c r="B11067" t="s">
        <v>21982</v>
      </c>
      <c r="C11067" t="s">
        <v>79</v>
      </c>
      <c r="D11067" t="s">
        <v>74</v>
      </c>
      <c r="E11067" s="6">
        <v>-28110</v>
      </c>
      <c r="F11067" t="s">
        <v>249</v>
      </c>
      <c r="G11067" t="s">
        <v>1968</v>
      </c>
      <c r="H11067" t="s">
        <v>21</v>
      </c>
      <c r="I11067" t="s">
        <v>21983</v>
      </c>
      <c r="J11067" t="str">
        <f>HYPERLINK("https://www.boe.es/gazeta/dias/1823/01/13/pdfs/GMD-1823-13.pdf#page=2","Abrir facsímil")</f>
        <v>Abrir facsímil</v>
      </c>
      <c r="K11067" t="s">
        <v>23</v>
      </c>
    </row>
    <row r="11068" spans="1:11" ht="42" customHeight="1">
      <c r="A11068" t="s">
        <v>21984</v>
      </c>
      <c r="B11068" t="s">
        <v>21984</v>
      </c>
      <c r="C11068" t="s">
        <v>17</v>
      </c>
      <c r="D11068" t="s">
        <v>18</v>
      </c>
      <c r="E11068" s="6">
        <v>-27893</v>
      </c>
      <c r="F11068" t="s">
        <v>1893</v>
      </c>
      <c r="G11068" t="s">
        <v>39</v>
      </c>
      <c r="H11068" t="s">
        <v>21</v>
      </c>
      <c r="I11068" t="s">
        <v>21985</v>
      </c>
      <c r="J11068" t="str">
        <f>HYPERLINK("https://www.boe.es/gazeta/dias/1823/08/18/pdfs/GES-1823-131.pdf#page=1","Abrir facsímil")</f>
        <v>Abrir facsímil</v>
      </c>
      <c r="K11068" t="s">
        <v>23</v>
      </c>
    </row>
    <row r="11069" spans="1:11" ht="42" customHeight="1">
      <c r="A11069" t="s">
        <v>21986</v>
      </c>
      <c r="B11069" t="s">
        <v>21986</v>
      </c>
      <c r="C11069" t="s">
        <v>109</v>
      </c>
      <c r="D11069" t="s">
        <v>74</v>
      </c>
      <c r="E11069" s="6">
        <v>-27942</v>
      </c>
      <c r="F11069" t="s">
        <v>596</v>
      </c>
      <c r="G11069" t="s">
        <v>39</v>
      </c>
      <c r="H11069" t="s">
        <v>21</v>
      </c>
      <c r="I11069" t="s">
        <v>21987</v>
      </c>
      <c r="J11069" t="str">
        <f>HYPERLINK("https://www.boe.es/gazeta/dias/1823/06/30/pdfs/GES-1823-80.pdf#page=1","Abrir facsímil")</f>
        <v>Abrir facsímil</v>
      </c>
      <c r="K11069" t="s">
        <v>23</v>
      </c>
    </row>
    <row r="11070" spans="1:11" ht="42" customHeight="1">
      <c r="A11070" t="s">
        <v>21988</v>
      </c>
      <c r="B11070" t="s">
        <v>21988</v>
      </c>
      <c r="C11070" t="s">
        <v>84</v>
      </c>
      <c r="D11070" t="s">
        <v>74</v>
      </c>
      <c r="E11070" s="6">
        <v>-28110</v>
      </c>
      <c r="F11070" t="s">
        <v>249</v>
      </c>
      <c r="G11070" t="s">
        <v>1968</v>
      </c>
      <c r="H11070" t="s">
        <v>21</v>
      </c>
      <c r="I11070" t="s">
        <v>21989</v>
      </c>
      <c r="J11070" t="str">
        <f>HYPERLINK("https://www.boe.es/gazeta/dias/1823/01/13/pdfs/GMD-1823-13.pdf#page=2","Abrir facsímil")</f>
        <v>Abrir facsímil</v>
      </c>
      <c r="K11070" t="s">
        <v>23</v>
      </c>
    </row>
    <row r="11071" spans="1:11" ht="42" customHeight="1">
      <c r="A11071" t="s">
        <v>21990</v>
      </c>
      <c r="B11071" t="s">
        <v>21991</v>
      </c>
      <c r="C11071" t="s">
        <v>17</v>
      </c>
      <c r="D11071" t="s">
        <v>18</v>
      </c>
      <c r="E11071" s="6">
        <v>-28052</v>
      </c>
      <c r="F11071" t="s">
        <v>1025</v>
      </c>
      <c r="G11071" t="s">
        <v>1794</v>
      </c>
      <c r="H11071" t="s">
        <v>21</v>
      </c>
      <c r="I11071" t="s">
        <v>21992</v>
      </c>
      <c r="J11071" t="str">
        <f>HYPERLINK("https://www.boe.es/gazeta/dias/1823/03/12/pdfs/GMD-1823-75.pdf#page=1","Abrir facsímil")</f>
        <v>Abrir facsímil</v>
      </c>
      <c r="K11071" t="s">
        <v>23</v>
      </c>
    </row>
    <row r="11072" spans="1:11" ht="42" customHeight="1">
      <c r="A11072" t="s">
        <v>21993</v>
      </c>
      <c r="B11072" t="s">
        <v>21994</v>
      </c>
      <c r="C11072" t="s">
        <v>79</v>
      </c>
      <c r="D11072" t="s">
        <v>74</v>
      </c>
      <c r="E11072" s="6">
        <v>-27904</v>
      </c>
      <c r="F11072" t="s">
        <v>1748</v>
      </c>
      <c r="G11072" t="s">
        <v>39</v>
      </c>
      <c r="H11072" t="s">
        <v>21</v>
      </c>
      <c r="I11072" t="s">
        <v>21995</v>
      </c>
      <c r="J11072" t="str">
        <f>HYPERLINK("https://www.boe.es/gazeta/dias/1823/08/07/pdfs/GES-1823-120.pdf#page=1","Abrir facsímil")</f>
        <v>Abrir facsímil</v>
      </c>
      <c r="K11072" t="s">
        <v>23</v>
      </c>
    </row>
    <row r="11073" spans="1:11" ht="42" customHeight="1">
      <c r="A11073" t="s">
        <v>21996</v>
      </c>
      <c r="B11073" t="s">
        <v>21997</v>
      </c>
      <c r="C11073" t="s">
        <v>293</v>
      </c>
      <c r="D11073" t="s">
        <v>74</v>
      </c>
      <c r="E11073" s="6">
        <v>-28065</v>
      </c>
      <c r="F11073" t="s">
        <v>686</v>
      </c>
      <c r="G11073" t="s">
        <v>20</v>
      </c>
      <c r="H11073" t="s">
        <v>21</v>
      </c>
      <c r="I11073" t="s">
        <v>21998</v>
      </c>
      <c r="J11073" t="str">
        <f>HYPERLINK("https://www.boe.es/gazeta/dias/1823/02/27/pdfs/GMD-1823-61.pdf#page=4","Abrir facsímil")</f>
        <v>Abrir facsímil</v>
      </c>
      <c r="K11073" t="s">
        <v>23</v>
      </c>
    </row>
    <row r="11074" spans="1:11" ht="42" customHeight="1">
      <c r="A11074" t="s">
        <v>21999</v>
      </c>
      <c r="B11074" t="s">
        <v>22000</v>
      </c>
      <c r="C11074" t="s">
        <v>109</v>
      </c>
      <c r="D11074" t="s">
        <v>74</v>
      </c>
      <c r="E11074" s="6">
        <v>-28055</v>
      </c>
      <c r="F11074" t="s">
        <v>313</v>
      </c>
      <c r="G11074" t="s">
        <v>20</v>
      </c>
      <c r="H11074" t="s">
        <v>21</v>
      </c>
      <c r="I11074" t="s">
        <v>22001</v>
      </c>
      <c r="J11074" t="str">
        <f>HYPERLINK("https://www.boe.es/gazeta/dias/1823/03/09/pdfs/GMD-1823-72.pdf#page=4","Abrir facsímil")</f>
        <v>Abrir facsímil</v>
      </c>
      <c r="K11074" t="s">
        <v>23</v>
      </c>
    </row>
    <row r="11075" spans="1:11" ht="42" customHeight="1">
      <c r="A11075" t="s">
        <v>22002</v>
      </c>
      <c r="B11075" t="s">
        <v>22002</v>
      </c>
      <c r="C11075" t="s">
        <v>79</v>
      </c>
      <c r="D11075" t="s">
        <v>74</v>
      </c>
      <c r="E11075" s="6">
        <v>-28109</v>
      </c>
      <c r="F11075" t="s">
        <v>889</v>
      </c>
      <c r="G11075" t="s">
        <v>27</v>
      </c>
      <c r="H11075" t="s">
        <v>21</v>
      </c>
      <c r="I11075" t="s">
        <v>22003</v>
      </c>
      <c r="J11075" t="str">
        <f>HYPERLINK("https://www.boe.es/gazeta/dias/1823/01/14/pdfs/GMD-1823-14.pdf#page=2","Abrir facsímil")</f>
        <v>Abrir facsímil</v>
      </c>
      <c r="K11075" t="s">
        <v>23</v>
      </c>
    </row>
    <row r="11076" spans="1:11" ht="42" customHeight="1">
      <c r="A11076" t="s">
        <v>22004</v>
      </c>
      <c r="B11076" t="s">
        <v>22004</v>
      </c>
      <c r="C11076" t="s">
        <v>79</v>
      </c>
      <c r="D11076" t="s">
        <v>74</v>
      </c>
      <c r="E11076" s="6">
        <v>-27950</v>
      </c>
      <c r="F11076" t="s">
        <v>4513</v>
      </c>
      <c r="G11076" t="s">
        <v>39</v>
      </c>
      <c r="H11076" t="s">
        <v>21</v>
      </c>
      <c r="I11076" t="s">
        <v>22005</v>
      </c>
      <c r="J11076" t="str">
        <f>HYPERLINK("https://www.boe.es/gazeta/dias/1823/06/22/pdfs/GES-1823-70.pdf#page=1","Abrir facsímil")</f>
        <v>Abrir facsímil</v>
      </c>
      <c r="K11076" t="s">
        <v>23</v>
      </c>
    </row>
    <row r="11077" spans="1:11" ht="42" customHeight="1">
      <c r="A11077" t="s">
        <v>22006</v>
      </c>
      <c r="B11077" t="s">
        <v>22007</v>
      </c>
      <c r="C11077" t="s">
        <v>84</v>
      </c>
      <c r="D11077" t="s">
        <v>74</v>
      </c>
      <c r="E11077" s="6">
        <v>-27862</v>
      </c>
      <c r="F11077" t="s">
        <v>5328</v>
      </c>
      <c r="G11077" t="s">
        <v>20</v>
      </c>
      <c r="H11077" t="s">
        <v>21</v>
      </c>
      <c r="I11077" t="s">
        <v>22008</v>
      </c>
      <c r="J11077" t="str">
        <f>HYPERLINK("https://www.boe.es/gazeta/dias/1823/09/18/pdfs/GES-1823-162.pdf#page=4","Abrir facsímil")</f>
        <v>Abrir facsímil</v>
      </c>
      <c r="K11077" t="s">
        <v>23</v>
      </c>
    </row>
    <row r="11078" spans="1:11" ht="42" customHeight="1">
      <c r="A11078" t="s">
        <v>22009</v>
      </c>
      <c r="B11078" t="s">
        <v>22010</v>
      </c>
      <c r="C11078" t="s">
        <v>79</v>
      </c>
      <c r="D11078" t="s">
        <v>74</v>
      </c>
      <c r="E11078" s="6">
        <v>-27974</v>
      </c>
      <c r="F11078" t="s">
        <v>618</v>
      </c>
      <c r="G11078" t="s">
        <v>59</v>
      </c>
      <c r="H11078" t="s">
        <v>21</v>
      </c>
      <c r="I11078" t="s">
        <v>22011</v>
      </c>
      <c r="J11078" t="str">
        <f>HYPERLINK("https://www.boe.es/gazeta/dias/1823/05/29/pdfs/GES-1823-52.pdf#page=6","Abrir facsímil")</f>
        <v>Abrir facsímil</v>
      </c>
      <c r="K11078" t="s">
        <v>23</v>
      </c>
    </row>
    <row r="11079" spans="1:11" ht="42" customHeight="1">
      <c r="A11079" t="s">
        <v>22012</v>
      </c>
      <c r="B11079" t="s">
        <v>22013</v>
      </c>
      <c r="C11079" t="s">
        <v>17</v>
      </c>
      <c r="D11079" t="s">
        <v>18</v>
      </c>
      <c r="E11079" s="6">
        <v>-27988</v>
      </c>
      <c r="F11079" t="s">
        <v>692</v>
      </c>
      <c r="G11079" t="s">
        <v>27</v>
      </c>
      <c r="H11079" t="s">
        <v>21</v>
      </c>
      <c r="I11079" t="s">
        <v>22014</v>
      </c>
      <c r="J11079" t="str">
        <f>HYPERLINK("https://www.boe.es/gazeta/dias/1823/05/15/pdfs/GES-1823-35.pdf#page=2","Abrir facsímil")</f>
        <v>Abrir facsímil</v>
      </c>
      <c r="K11079" t="s">
        <v>23</v>
      </c>
    </row>
    <row r="11080" spans="1:11" ht="42" customHeight="1">
      <c r="A11080" t="s">
        <v>22015</v>
      </c>
      <c r="B11080" t="s">
        <v>22016</v>
      </c>
      <c r="C11080" t="s">
        <v>293</v>
      </c>
      <c r="D11080" t="s">
        <v>74</v>
      </c>
      <c r="E11080" s="6">
        <v>-27975</v>
      </c>
      <c r="F11080" t="s">
        <v>47</v>
      </c>
      <c r="G11080" t="s">
        <v>20</v>
      </c>
      <c r="H11080" t="s">
        <v>21</v>
      </c>
      <c r="I11080" t="s">
        <v>22017</v>
      </c>
      <c r="J11080" t="str">
        <f>HYPERLINK("https://www.boe.es/gazeta/dias/1823/05/28/pdfs/GES-1823-50.pdf#page=4","Abrir facsímil")</f>
        <v>Abrir facsímil</v>
      </c>
      <c r="K11080" t="s">
        <v>23</v>
      </c>
    </row>
    <row r="11081" spans="1:11" ht="42" customHeight="1">
      <c r="A11081" t="s">
        <v>22015</v>
      </c>
      <c r="B11081" t="s">
        <v>22016</v>
      </c>
      <c r="C11081" t="s">
        <v>293</v>
      </c>
      <c r="D11081" t="s">
        <v>74</v>
      </c>
      <c r="E11081" s="6">
        <v>-27970</v>
      </c>
      <c r="F11081" t="s">
        <v>1030</v>
      </c>
      <c r="G11081" t="s">
        <v>34</v>
      </c>
      <c r="H11081" t="s">
        <v>21</v>
      </c>
      <c r="I11081" t="s">
        <v>22018</v>
      </c>
      <c r="J11081" t="str">
        <f>HYPERLINK("https://www.boe.es/gazeta/dias/1823/06/02/pdfs/GES-1823-56.pdf#page=5","Abrir facsímil")</f>
        <v>Abrir facsímil</v>
      </c>
      <c r="K11081" t="s">
        <v>23</v>
      </c>
    </row>
    <row r="11082" spans="1:11" ht="42" customHeight="1">
      <c r="A11082" t="s">
        <v>22015</v>
      </c>
      <c r="B11082" t="s">
        <v>22016</v>
      </c>
      <c r="C11082" t="s">
        <v>17</v>
      </c>
      <c r="D11082" t="s">
        <v>18</v>
      </c>
      <c r="E11082" s="6">
        <v>-27970</v>
      </c>
      <c r="F11082" t="s">
        <v>1030</v>
      </c>
      <c r="G11082" t="s">
        <v>59</v>
      </c>
      <c r="H11082" t="s">
        <v>21</v>
      </c>
      <c r="I11082" t="s">
        <v>22019</v>
      </c>
      <c r="J11082" t="str">
        <f>HYPERLINK("https://www.boe.es/gazeta/dias/1823/06/02/pdfs/GES-1823-56.pdf#page=6","Abrir facsímil")</f>
        <v>Abrir facsímil</v>
      </c>
      <c r="K11082" t="s">
        <v>23</v>
      </c>
    </row>
    <row r="11083" spans="1:11" ht="42" customHeight="1">
      <c r="A11083" t="s">
        <v>22015</v>
      </c>
      <c r="B11083" t="s">
        <v>22016</v>
      </c>
      <c r="C11083" t="s">
        <v>73</v>
      </c>
      <c r="D11083" t="s">
        <v>74</v>
      </c>
      <c r="E11083" s="6">
        <v>-27968</v>
      </c>
      <c r="F11083" t="s">
        <v>1160</v>
      </c>
      <c r="G11083" t="s">
        <v>1676</v>
      </c>
      <c r="H11083" t="s">
        <v>21</v>
      </c>
      <c r="I11083" t="s">
        <v>22020</v>
      </c>
      <c r="J11083" t="str">
        <f>HYPERLINK("https://www.boe.es/gazeta/dias/1823/06/04/pdfs/GES-1823-58.pdf#page=6","Abrir facsímil")</f>
        <v>Abrir facsímil</v>
      </c>
      <c r="K11083" t="s">
        <v>23</v>
      </c>
    </row>
    <row r="11084" spans="1:11" ht="42" customHeight="1">
      <c r="A11084" t="s">
        <v>22015</v>
      </c>
      <c r="B11084" t="s">
        <v>22016</v>
      </c>
      <c r="C11084" t="s">
        <v>17</v>
      </c>
      <c r="D11084" t="s">
        <v>18</v>
      </c>
      <c r="E11084" s="6">
        <v>-27928</v>
      </c>
      <c r="F11084" t="s">
        <v>1316</v>
      </c>
      <c r="G11084" t="s">
        <v>20</v>
      </c>
      <c r="H11084" t="s">
        <v>21</v>
      </c>
      <c r="I11084" t="s">
        <v>22021</v>
      </c>
      <c r="J11084" t="str">
        <f>HYPERLINK("https://www.boe.es/gazeta/dias/1823/07/14/pdfs/GES-1823-94.pdf#page=4","Abrir facsímil")</f>
        <v>Abrir facsímil</v>
      </c>
      <c r="K11084" t="s">
        <v>23</v>
      </c>
    </row>
    <row r="11085" spans="1:11" ht="42" customHeight="1">
      <c r="A11085" t="s">
        <v>22015</v>
      </c>
      <c r="B11085" t="s">
        <v>22016</v>
      </c>
      <c r="C11085" t="s">
        <v>17</v>
      </c>
      <c r="D11085" t="s">
        <v>18</v>
      </c>
      <c r="E11085" s="6">
        <v>-27848</v>
      </c>
      <c r="F11085" t="s">
        <v>1083</v>
      </c>
      <c r="G11085" t="s">
        <v>27</v>
      </c>
      <c r="H11085" t="s">
        <v>21</v>
      </c>
      <c r="I11085" t="s">
        <v>22022</v>
      </c>
      <c r="J11085" t="str">
        <f>HYPERLINK("https://www.boe.es/gazeta/dias/1823/10/02/pdfs/GES-1823-176.pdf#page=2","Abrir facsímil")</f>
        <v>Abrir facsímil</v>
      </c>
      <c r="K11085" t="s">
        <v>23</v>
      </c>
    </row>
    <row r="11086" spans="1:11" ht="42" customHeight="1">
      <c r="A11086" t="s">
        <v>22023</v>
      </c>
      <c r="B11086" t="s">
        <v>22024</v>
      </c>
      <c r="C11086" t="s">
        <v>17</v>
      </c>
      <c r="D11086" t="s">
        <v>18</v>
      </c>
      <c r="E11086" s="6">
        <v>-27889</v>
      </c>
      <c r="F11086" t="s">
        <v>1306</v>
      </c>
      <c r="G11086" t="s">
        <v>20</v>
      </c>
      <c r="H11086" t="s">
        <v>21</v>
      </c>
      <c r="I11086" t="s">
        <v>22025</v>
      </c>
      <c r="J11086" t="str">
        <f>HYPERLINK("https://www.boe.es/gazeta/dias/1823/08/22/pdfs/GES-1823-135.pdf#page=4","Abrir facsímil")</f>
        <v>Abrir facsímil</v>
      </c>
      <c r="K11086" t="s">
        <v>23</v>
      </c>
    </row>
    <row r="11087" spans="1:11" ht="42" customHeight="1">
      <c r="A11087" t="s">
        <v>22026</v>
      </c>
      <c r="B11087" t="s">
        <v>22027</v>
      </c>
      <c r="C11087" t="s">
        <v>17</v>
      </c>
      <c r="D11087" t="s">
        <v>18</v>
      </c>
      <c r="E11087" s="6">
        <v>-27932</v>
      </c>
      <c r="F11087" t="s">
        <v>786</v>
      </c>
      <c r="G11087" t="s">
        <v>48</v>
      </c>
      <c r="H11087" t="s">
        <v>21</v>
      </c>
      <c r="I11087" t="s">
        <v>22028</v>
      </c>
      <c r="J11087" t="str">
        <f>HYPERLINK("https://www.boe.es/gazeta/dias/1823/07/10/pdfs/GMD-1823-363.pdf#page=3","Abrir facsímil")</f>
        <v>Abrir facsímil</v>
      </c>
      <c r="K11087" t="s">
        <v>23</v>
      </c>
    </row>
    <row r="11088" spans="1:11" ht="42" customHeight="1">
      <c r="A11088" t="s">
        <v>22029</v>
      </c>
      <c r="B11088" t="s">
        <v>22030</v>
      </c>
      <c r="C11088" t="s">
        <v>56</v>
      </c>
      <c r="D11088" t="s">
        <v>57</v>
      </c>
      <c r="E11088" s="6">
        <v>-27960</v>
      </c>
      <c r="F11088" t="s">
        <v>741</v>
      </c>
      <c r="G11088" t="s">
        <v>20</v>
      </c>
      <c r="H11088" t="s">
        <v>21</v>
      </c>
      <c r="I11088" t="s">
        <v>22031</v>
      </c>
      <c r="J11088" t="str">
        <f>HYPERLINK("https://www.boe.es/gazeta/dias/1823/06/12/pdfs/GES-1823-66.pdf#page=4","Abrir facsímil")</f>
        <v>Abrir facsímil</v>
      </c>
      <c r="K11088" t="s">
        <v>23</v>
      </c>
    </row>
    <row r="11089" spans="1:11" ht="42" customHeight="1">
      <c r="A11089" t="s">
        <v>22032</v>
      </c>
      <c r="B11089" t="s">
        <v>22032</v>
      </c>
      <c r="C11089" t="s">
        <v>17</v>
      </c>
      <c r="D11089" t="s">
        <v>18</v>
      </c>
      <c r="E11089" s="6">
        <v>-28101</v>
      </c>
      <c r="F11089" t="s">
        <v>1041</v>
      </c>
      <c r="G11089" t="s">
        <v>48</v>
      </c>
      <c r="H11089" t="s">
        <v>21</v>
      </c>
      <c r="I11089" t="s">
        <v>22033</v>
      </c>
      <c r="J11089" t="str">
        <f>HYPERLINK("https://www.boe.es/gazeta/dias/1823/01/22/pdfs/GMD-1823-23.pdf#page=3","Abrir facsímil")</f>
        <v>Abrir facsímil</v>
      </c>
      <c r="K11089" t="s">
        <v>23</v>
      </c>
    </row>
    <row r="11090" spans="1:11" ht="42" customHeight="1">
      <c r="A11090" t="s">
        <v>22034</v>
      </c>
      <c r="B11090" t="s">
        <v>22034</v>
      </c>
      <c r="C11090" t="s">
        <v>17</v>
      </c>
      <c r="D11090" t="s">
        <v>18</v>
      </c>
      <c r="E11090" s="6">
        <v>-27950</v>
      </c>
      <c r="F11090" t="s">
        <v>4513</v>
      </c>
      <c r="G11090" t="s">
        <v>20</v>
      </c>
      <c r="H11090" t="s">
        <v>21</v>
      </c>
      <c r="I11090" t="s">
        <v>22035</v>
      </c>
      <c r="J11090" t="str">
        <f>HYPERLINK("https://www.boe.es/gazeta/dias/1823/06/22/pdfs/GES-1823-70.pdf#page=4","Abrir facsímil")</f>
        <v>Abrir facsímil</v>
      </c>
      <c r="K11090" t="s">
        <v>23</v>
      </c>
    </row>
    <row r="11091" spans="1:11" ht="42" customHeight="1">
      <c r="A11091" t="s">
        <v>22036</v>
      </c>
      <c r="B11091" t="s">
        <v>22037</v>
      </c>
      <c r="C11091" t="s">
        <v>17</v>
      </c>
      <c r="D11091" t="s">
        <v>18</v>
      </c>
      <c r="E11091" s="6">
        <v>-28061</v>
      </c>
      <c r="F11091" t="s">
        <v>704</v>
      </c>
      <c r="G11091" t="s">
        <v>59</v>
      </c>
      <c r="H11091" t="s">
        <v>21</v>
      </c>
      <c r="I11091" t="s">
        <v>22038</v>
      </c>
      <c r="J11091" t="str">
        <f>HYPERLINK("https://www.boe.es/gazeta/dias/1823/03/03/pdfs/GMD-1823-66.pdf#page=6","Abrir facsímil")</f>
        <v>Abrir facsímil</v>
      </c>
      <c r="K11091" t="s">
        <v>23</v>
      </c>
    </row>
    <row r="11092" spans="1:11" ht="42" customHeight="1">
      <c r="A11092" t="s">
        <v>22039</v>
      </c>
      <c r="B11092" t="s">
        <v>22040</v>
      </c>
      <c r="C11092" t="s">
        <v>56</v>
      </c>
      <c r="D11092" t="s">
        <v>57</v>
      </c>
      <c r="E11092" s="6">
        <v>-28032</v>
      </c>
      <c r="F11092" t="s">
        <v>668</v>
      </c>
      <c r="G11092" t="s">
        <v>20</v>
      </c>
      <c r="H11092" t="s">
        <v>21</v>
      </c>
      <c r="I11092" t="s">
        <v>22041</v>
      </c>
      <c r="J11092" t="str">
        <f>HYPERLINK("https://www.boe.es/gazeta/dias/1823/04/01/pdfs/GMD-1823-95.pdf#page=4","Abrir facsímil")</f>
        <v>Abrir facsímil</v>
      </c>
      <c r="K11092" t="s">
        <v>23</v>
      </c>
    </row>
    <row r="11093" spans="1:11" ht="42" customHeight="1">
      <c r="A11093" t="s">
        <v>22039</v>
      </c>
      <c r="B11093" t="s">
        <v>22040</v>
      </c>
      <c r="C11093" t="s">
        <v>84</v>
      </c>
      <c r="D11093" t="s">
        <v>74</v>
      </c>
      <c r="E11093" s="6">
        <v>-28030</v>
      </c>
      <c r="F11093" t="s">
        <v>145</v>
      </c>
      <c r="G11093" t="s">
        <v>20</v>
      </c>
      <c r="H11093" t="s">
        <v>21</v>
      </c>
      <c r="I11093" t="s">
        <v>22042</v>
      </c>
      <c r="J11093" t="str">
        <f>HYPERLINK("https://www.boe.es/gazeta/dias/1823/04/03/pdfs/GMD-1823-97.pdf#page=4","Abrir facsímil")</f>
        <v>Abrir facsímil</v>
      </c>
      <c r="K11093" t="s">
        <v>23</v>
      </c>
    </row>
    <row r="11094" spans="1:11" ht="42" customHeight="1">
      <c r="A11094" t="s">
        <v>22043</v>
      </c>
      <c r="B11094" t="s">
        <v>22043</v>
      </c>
      <c r="C11094" t="s">
        <v>79</v>
      </c>
      <c r="D11094" t="s">
        <v>74</v>
      </c>
      <c r="E11094" s="6">
        <v>-27960</v>
      </c>
      <c r="F11094" t="s">
        <v>741</v>
      </c>
      <c r="G11094" t="s">
        <v>20</v>
      </c>
      <c r="H11094" t="s">
        <v>21</v>
      </c>
      <c r="I11094" t="s">
        <v>22044</v>
      </c>
      <c r="J11094" t="str">
        <f>HYPERLINK("https://www.boe.es/gazeta/dias/1823/06/12/pdfs/GES-1823-66.pdf#page=4","Abrir facsímil")</f>
        <v>Abrir facsímil</v>
      </c>
      <c r="K11094" t="s">
        <v>23</v>
      </c>
    </row>
    <row r="11095" spans="1:11" ht="42" customHeight="1">
      <c r="A11095" t="s">
        <v>22045</v>
      </c>
      <c r="B11095" t="s">
        <v>22046</v>
      </c>
      <c r="C11095" t="s">
        <v>17</v>
      </c>
      <c r="D11095" t="s">
        <v>18</v>
      </c>
      <c r="E11095" s="6">
        <v>-27906</v>
      </c>
      <c r="F11095" t="s">
        <v>241</v>
      </c>
      <c r="G11095" t="s">
        <v>59</v>
      </c>
      <c r="H11095" t="s">
        <v>21</v>
      </c>
      <c r="I11095" t="s">
        <v>22047</v>
      </c>
      <c r="J11095" t="str">
        <f>HYPERLINK("https://www.boe.es/gazeta/dias/1823/08/05/pdfs/GES-1823-117.pdf#page=6","Abrir facsímil")</f>
        <v>Abrir facsímil</v>
      </c>
      <c r="K11095" t="s">
        <v>23</v>
      </c>
    </row>
    <row r="11096" spans="1:11" ht="42" customHeight="1">
      <c r="A11096" t="s">
        <v>22048</v>
      </c>
      <c r="B11096" t="s">
        <v>22049</v>
      </c>
      <c r="C11096" t="s">
        <v>109</v>
      </c>
      <c r="D11096" t="s">
        <v>74</v>
      </c>
      <c r="E11096" s="6">
        <v>-28098</v>
      </c>
      <c r="F11096" t="s">
        <v>1101</v>
      </c>
      <c r="G11096" t="s">
        <v>20</v>
      </c>
      <c r="H11096" t="s">
        <v>21</v>
      </c>
      <c r="I11096" t="s">
        <v>22050</v>
      </c>
      <c r="J11096" t="str">
        <f>HYPERLINK("https://www.boe.es/gazeta/dias/1823/01/25/pdfs/GMD-1823-26.pdf#page=4","Abrir facsímil")</f>
        <v>Abrir facsímil</v>
      </c>
      <c r="K11096" t="s">
        <v>23</v>
      </c>
    </row>
    <row r="11097" spans="1:11" ht="42" customHeight="1">
      <c r="A11097" t="s">
        <v>22051</v>
      </c>
      <c r="B11097" t="s">
        <v>22052</v>
      </c>
      <c r="C11097" t="s">
        <v>79</v>
      </c>
      <c r="D11097" t="s">
        <v>74</v>
      </c>
      <c r="E11097" s="6">
        <v>-28118</v>
      </c>
      <c r="F11097" t="s">
        <v>252</v>
      </c>
      <c r="G11097" t="s">
        <v>59</v>
      </c>
      <c r="H11097" t="s">
        <v>21</v>
      </c>
      <c r="I11097" t="s">
        <v>22053</v>
      </c>
      <c r="J11097" t="str">
        <f>HYPERLINK("https://www.boe.es/gazeta/dias/1823/01/05/pdfs/GMD-1823-5.pdf#page=6","Abrir facsímil")</f>
        <v>Abrir facsímil</v>
      </c>
      <c r="K11097" t="s">
        <v>23</v>
      </c>
    </row>
    <row r="11098" spans="1:11" ht="42" customHeight="1">
      <c r="A11098" t="s">
        <v>22054</v>
      </c>
      <c r="B11098" t="s">
        <v>22055</v>
      </c>
      <c r="C11098" t="s">
        <v>109</v>
      </c>
      <c r="D11098" t="s">
        <v>74</v>
      </c>
      <c r="E11098" s="6">
        <v>-27961</v>
      </c>
      <c r="F11098" t="s">
        <v>52</v>
      </c>
      <c r="G11098" t="s">
        <v>39</v>
      </c>
      <c r="H11098" t="s">
        <v>21</v>
      </c>
      <c r="I11098" t="s">
        <v>22056</v>
      </c>
      <c r="J11098" t="str">
        <f>HYPERLINK("https://www.boe.es/gazeta/dias/1823/06/11/pdfs/GES-1823-65.pdf#page=1","Abrir facsímil")</f>
        <v>Abrir facsímil</v>
      </c>
      <c r="K11098" t="s">
        <v>23</v>
      </c>
    </row>
    <row r="11099" spans="1:11" ht="42" customHeight="1">
      <c r="A11099" t="s">
        <v>22057</v>
      </c>
      <c r="B11099" t="s">
        <v>22058</v>
      </c>
      <c r="C11099" t="s">
        <v>79</v>
      </c>
      <c r="D11099" t="s">
        <v>74</v>
      </c>
      <c r="E11099" s="6">
        <v>-28081</v>
      </c>
      <c r="F11099" t="s">
        <v>170</v>
      </c>
      <c r="G11099" t="s">
        <v>20</v>
      </c>
      <c r="H11099" t="s">
        <v>21</v>
      </c>
      <c r="I11099" t="s">
        <v>22059</v>
      </c>
      <c r="J11099" t="str">
        <f>HYPERLINK("https://www.boe.es/gazeta/dias/1823/02/11/pdfs/GMD-1823-45.pdf#page=4","Abrir facsímil")</f>
        <v>Abrir facsímil</v>
      </c>
      <c r="K11099" t="s">
        <v>23</v>
      </c>
    </row>
    <row r="11100" spans="1:11" ht="42" customHeight="1">
      <c r="A11100" t="s">
        <v>22060</v>
      </c>
      <c r="B11100" t="s">
        <v>22060</v>
      </c>
      <c r="C11100" t="s">
        <v>17</v>
      </c>
      <c r="D11100" t="s">
        <v>18</v>
      </c>
      <c r="E11100" s="6">
        <v>-27967</v>
      </c>
      <c r="F11100" t="s">
        <v>2493</v>
      </c>
      <c r="G11100" t="s">
        <v>48</v>
      </c>
      <c r="H11100" t="s">
        <v>21</v>
      </c>
      <c r="I11100" t="s">
        <v>22061</v>
      </c>
      <c r="J11100" t="str">
        <f>HYPERLINK("https://www.boe.es/gazeta/dias/1823/06/05/pdfs/GMD-1823-63.pdf#page=3","Abrir facsímil")</f>
        <v>Abrir facsímil</v>
      </c>
      <c r="K11100" t="s">
        <v>23</v>
      </c>
    </row>
    <row r="11101" spans="1:11" ht="42" customHeight="1">
      <c r="A11101" t="s">
        <v>22062</v>
      </c>
      <c r="B11101" t="s">
        <v>22062</v>
      </c>
      <c r="C11101" t="s">
        <v>109</v>
      </c>
      <c r="D11101" t="s">
        <v>74</v>
      </c>
      <c r="E11101" s="6">
        <v>-28035</v>
      </c>
      <c r="F11101" t="s">
        <v>138</v>
      </c>
      <c r="G11101" t="s">
        <v>39</v>
      </c>
      <c r="H11101" t="s">
        <v>21</v>
      </c>
      <c r="I11101" t="s">
        <v>22063</v>
      </c>
      <c r="J11101" t="str">
        <f>HYPERLINK("https://www.boe.es/gazeta/dias/1823/03/29/pdfs/GMD-1823-92.pdf#page=1","Abrir facsímil")</f>
        <v>Abrir facsímil</v>
      </c>
      <c r="K11101" t="s">
        <v>23</v>
      </c>
    </row>
    <row r="11102" spans="1:11" ht="42" customHeight="1">
      <c r="A11102" t="s">
        <v>22064</v>
      </c>
      <c r="B11102" t="s">
        <v>22064</v>
      </c>
      <c r="C11102" t="s">
        <v>17</v>
      </c>
      <c r="D11102" t="s">
        <v>18</v>
      </c>
      <c r="E11102" s="6">
        <v>-28109</v>
      </c>
      <c r="F11102" t="s">
        <v>889</v>
      </c>
      <c r="G11102" t="s">
        <v>39</v>
      </c>
      <c r="H11102" t="s">
        <v>21</v>
      </c>
      <c r="I11102" t="s">
        <v>22065</v>
      </c>
      <c r="J11102" t="str">
        <f>HYPERLINK("https://www.boe.es/gazeta/dias/1823/01/14/pdfs/GMD-1823-14.pdf#page=1","Abrir facsímil")</f>
        <v>Abrir facsímil</v>
      </c>
      <c r="K11102" t="s">
        <v>23</v>
      </c>
    </row>
    <row r="11103" spans="1:11" ht="42" customHeight="1">
      <c r="A11103" t="s">
        <v>22066</v>
      </c>
      <c r="B11103" t="s">
        <v>22067</v>
      </c>
      <c r="C11103" t="s">
        <v>17</v>
      </c>
      <c r="D11103" t="s">
        <v>18</v>
      </c>
      <c r="E11103" s="6">
        <v>-27975</v>
      </c>
      <c r="F11103" t="s">
        <v>47</v>
      </c>
      <c r="G11103" t="s">
        <v>20</v>
      </c>
      <c r="H11103" t="s">
        <v>21</v>
      </c>
      <c r="I11103" t="s">
        <v>22068</v>
      </c>
      <c r="J11103" t="str">
        <f>HYPERLINK("https://www.boe.es/gazeta/dias/1823/05/28/pdfs/GES-1823-50.pdf#page=4","Abrir facsímil")</f>
        <v>Abrir facsímil</v>
      </c>
      <c r="K11103" t="s">
        <v>23</v>
      </c>
    </row>
    <row r="11104" spans="1:11" ht="42" customHeight="1">
      <c r="A11104" t="s">
        <v>22069</v>
      </c>
      <c r="B11104" t="s">
        <v>22069</v>
      </c>
      <c r="C11104" t="s">
        <v>17</v>
      </c>
      <c r="D11104" t="s">
        <v>18</v>
      </c>
      <c r="E11104" s="6">
        <v>-27970</v>
      </c>
      <c r="F11104" t="s">
        <v>1030</v>
      </c>
      <c r="G11104" t="s">
        <v>48</v>
      </c>
      <c r="H11104" t="s">
        <v>21</v>
      </c>
      <c r="I11104" t="s">
        <v>22070</v>
      </c>
      <c r="J11104" t="str">
        <f>HYPERLINK("https://www.boe.es/gazeta/dias/1823/06/02/pdfs/GES-1823-56.pdf#page=3","Abrir facsímil")</f>
        <v>Abrir facsímil</v>
      </c>
      <c r="K11104" t="s">
        <v>23</v>
      </c>
    </row>
    <row r="11105" spans="1:11" ht="42" customHeight="1">
      <c r="A11105" t="s">
        <v>22071</v>
      </c>
      <c r="B11105" t="s">
        <v>22072</v>
      </c>
      <c r="C11105" t="s">
        <v>109</v>
      </c>
      <c r="D11105" t="s">
        <v>74</v>
      </c>
      <c r="E11105" s="6">
        <v>-27984</v>
      </c>
      <c r="F11105" t="s">
        <v>335</v>
      </c>
      <c r="G11105" t="s">
        <v>27</v>
      </c>
      <c r="H11105" t="s">
        <v>28</v>
      </c>
      <c r="I11105" t="s">
        <v>22073</v>
      </c>
      <c r="J11105" t="str">
        <f>HYPERLINK("https://www.boe.es/gazeta/dias/1823/05/19/pdfs/GES-1823-39.pdf#page=2","Abrir facsímil")</f>
        <v>Abrir facsímil</v>
      </c>
      <c r="K11105" t="s">
        <v>30</v>
      </c>
    </row>
    <row r="11106" spans="1:11" ht="42" customHeight="1">
      <c r="A11106" t="s">
        <v>22074</v>
      </c>
      <c r="B11106" t="s">
        <v>22075</v>
      </c>
      <c r="C11106" t="s">
        <v>56</v>
      </c>
      <c r="D11106" t="s">
        <v>57</v>
      </c>
      <c r="E11106" s="6">
        <v>-27780</v>
      </c>
      <c r="F11106" t="s">
        <v>1609</v>
      </c>
      <c r="G11106" t="s">
        <v>48</v>
      </c>
      <c r="H11106" t="s">
        <v>21</v>
      </c>
      <c r="I11106" t="s">
        <v>22076</v>
      </c>
      <c r="J11106" t="str">
        <f>HYPERLINK("https://www.boe.es/gazeta/dias/1823/12/09/pdfs/GMD-1823-1223.pdf#page=3","Abrir facsímil")</f>
        <v>Abrir facsímil</v>
      </c>
      <c r="K11106" t="s">
        <v>23</v>
      </c>
    </row>
    <row r="11107" spans="1:11" ht="42" customHeight="1">
      <c r="A11107" t="s">
        <v>22077</v>
      </c>
      <c r="B11107" t="s">
        <v>22078</v>
      </c>
      <c r="C11107" t="s">
        <v>17</v>
      </c>
      <c r="D11107" t="s">
        <v>18</v>
      </c>
      <c r="E11107" s="6">
        <v>-27983</v>
      </c>
      <c r="F11107" t="s">
        <v>337</v>
      </c>
      <c r="G11107" t="s">
        <v>27</v>
      </c>
      <c r="H11107" t="s">
        <v>21</v>
      </c>
      <c r="I11107" t="s">
        <v>22079</v>
      </c>
      <c r="J11107" t="str">
        <f>HYPERLINK("https://www.boe.es/gazeta/dias/1823/05/20/pdfs/GES-1823-40.pdf#page=2","Abrir facsímil")</f>
        <v>Abrir facsímil</v>
      </c>
      <c r="K11107" t="s">
        <v>23</v>
      </c>
    </row>
    <row r="11108" spans="1:11" ht="42" customHeight="1">
      <c r="A11108" t="s">
        <v>22080</v>
      </c>
      <c r="B11108" t="s">
        <v>22081</v>
      </c>
      <c r="C11108" t="s">
        <v>17</v>
      </c>
      <c r="D11108" t="s">
        <v>18</v>
      </c>
      <c r="E11108" s="6">
        <v>-27815</v>
      </c>
      <c r="F11108" t="s">
        <v>1266</v>
      </c>
      <c r="G11108" t="s">
        <v>48</v>
      </c>
      <c r="H11108" t="s">
        <v>21</v>
      </c>
      <c r="I11108" t="s">
        <v>22082</v>
      </c>
      <c r="J11108" t="str">
        <f>HYPERLINK("https://www.boe.es/gazeta/dias/1823/11/04/pdfs/GMD-1823-1063.pdf#page=3","Abrir facsímil")</f>
        <v>Abrir facsímil</v>
      </c>
      <c r="K11108" t="s">
        <v>23</v>
      </c>
    </row>
    <row r="11109" spans="1:11" ht="42" customHeight="1">
      <c r="A11109" t="s">
        <v>22083</v>
      </c>
      <c r="B11109" t="s">
        <v>22084</v>
      </c>
      <c r="C11109" t="s">
        <v>17</v>
      </c>
      <c r="D11109" t="s">
        <v>18</v>
      </c>
      <c r="E11109" s="6">
        <v>-28084</v>
      </c>
      <c r="F11109" t="s">
        <v>1049</v>
      </c>
      <c r="G11109" t="s">
        <v>48</v>
      </c>
      <c r="H11109" t="s">
        <v>21</v>
      </c>
      <c r="I11109" t="s">
        <v>22085</v>
      </c>
      <c r="J11109" t="str">
        <f>HYPERLINK("https://www.boe.es/gazeta/dias/1823/02/08/pdfs/GMD-1823-41.pdf#page=3","Abrir facsímil")</f>
        <v>Abrir facsímil</v>
      </c>
      <c r="K11109" t="s">
        <v>23</v>
      </c>
    </row>
    <row r="11110" spans="1:11" ht="42" customHeight="1">
      <c r="A11110" t="s">
        <v>22086</v>
      </c>
      <c r="B11110" t="s">
        <v>22087</v>
      </c>
      <c r="C11110" t="s">
        <v>79</v>
      </c>
      <c r="D11110" t="s">
        <v>74</v>
      </c>
      <c r="E11110" s="6">
        <v>-28032</v>
      </c>
      <c r="F11110" t="s">
        <v>668</v>
      </c>
      <c r="G11110" t="s">
        <v>39</v>
      </c>
      <c r="H11110" t="s">
        <v>21</v>
      </c>
      <c r="I11110" t="s">
        <v>22088</v>
      </c>
      <c r="J11110" t="str">
        <f>HYPERLINK("https://www.boe.es/gazeta/dias/1823/04/01/pdfs/GMD-1823-95.pdf#page=1","Abrir facsímil")</f>
        <v>Abrir facsímil</v>
      </c>
      <c r="K11110" t="s">
        <v>23</v>
      </c>
    </row>
    <row r="11111" spans="1:11" ht="42" customHeight="1">
      <c r="A11111" t="s">
        <v>22089</v>
      </c>
      <c r="B11111" t="s">
        <v>22089</v>
      </c>
      <c r="C11111" t="s">
        <v>109</v>
      </c>
      <c r="D11111" t="s">
        <v>74</v>
      </c>
      <c r="E11111" s="6">
        <v>-28001</v>
      </c>
      <c r="F11111" t="s">
        <v>768</v>
      </c>
      <c r="G11111" t="s">
        <v>27</v>
      </c>
      <c r="H11111" t="s">
        <v>21</v>
      </c>
      <c r="I11111" t="s">
        <v>22090</v>
      </c>
      <c r="J11111" t="str">
        <f>HYPERLINK("https://www.boe.es/gazeta/dias/1823/05/02/pdfs/GES-1823-22.pdf#page=2","Abrir facsímil")</f>
        <v>Abrir facsímil</v>
      </c>
      <c r="K11111" t="s">
        <v>23</v>
      </c>
    </row>
    <row r="11112" spans="1:11" ht="42" customHeight="1">
      <c r="A11112" t="s">
        <v>22091</v>
      </c>
      <c r="B11112" t="s">
        <v>22092</v>
      </c>
      <c r="C11112" t="s">
        <v>17</v>
      </c>
      <c r="D11112" t="s">
        <v>18</v>
      </c>
      <c r="E11112" s="6">
        <v>-27989</v>
      </c>
      <c r="F11112" t="s">
        <v>1134</v>
      </c>
      <c r="G11112" t="s">
        <v>20</v>
      </c>
      <c r="H11112" t="s">
        <v>21</v>
      </c>
      <c r="I11112" t="s">
        <v>22093</v>
      </c>
      <c r="J11112" t="str">
        <f>HYPERLINK("https://www.boe.es/gazeta/dias/1823/05/14/pdfs/GES-1823-34.pdf#page=4","Abrir facsímil")</f>
        <v>Abrir facsímil</v>
      </c>
      <c r="K11112" t="s">
        <v>23</v>
      </c>
    </row>
    <row r="11113" spans="1:11" ht="42" customHeight="1">
      <c r="A11113" t="s">
        <v>22094</v>
      </c>
      <c r="B11113" t="s">
        <v>22095</v>
      </c>
      <c r="C11113" t="s">
        <v>17</v>
      </c>
      <c r="D11113" t="s">
        <v>18</v>
      </c>
      <c r="E11113" s="6">
        <v>-27982</v>
      </c>
      <c r="F11113" t="s">
        <v>340</v>
      </c>
      <c r="G11113" t="s">
        <v>590</v>
      </c>
      <c r="H11113" t="s">
        <v>21</v>
      </c>
      <c r="I11113" t="s">
        <v>22096</v>
      </c>
      <c r="J11113" t="str">
        <f>HYPERLINK("https://www.boe.es/gazeta/dias/1823/05/21/pdfs/GES-1823-42.pdf#page=5","Abrir facsímil")</f>
        <v>Abrir facsímil</v>
      </c>
      <c r="K11113" t="s">
        <v>23</v>
      </c>
    </row>
    <row r="11114" spans="1:11" ht="42" customHeight="1">
      <c r="A11114" t="s">
        <v>22097</v>
      </c>
      <c r="B11114" t="s">
        <v>22097</v>
      </c>
      <c r="C11114" t="s">
        <v>17</v>
      </c>
      <c r="D11114" t="s">
        <v>18</v>
      </c>
      <c r="E11114" s="6">
        <v>-27941</v>
      </c>
      <c r="F11114" t="s">
        <v>527</v>
      </c>
      <c r="G11114" t="s">
        <v>39</v>
      </c>
      <c r="H11114" t="s">
        <v>21</v>
      </c>
      <c r="I11114" t="s">
        <v>22098</v>
      </c>
      <c r="J11114" t="str">
        <f>HYPERLINK("https://www.boe.es/gazeta/dias/1823/07/01/pdfs/GES-1823-81.pdf#page=1","Abrir facsímil")</f>
        <v>Abrir facsímil</v>
      </c>
      <c r="K11114" t="s">
        <v>23</v>
      </c>
    </row>
    <row r="11115" spans="1:11" ht="42" customHeight="1">
      <c r="A11115" t="s">
        <v>22097</v>
      </c>
      <c r="B11115" t="s">
        <v>22097</v>
      </c>
      <c r="C11115" t="s">
        <v>17</v>
      </c>
      <c r="D11115" t="s">
        <v>18</v>
      </c>
      <c r="E11115" s="6">
        <v>-27940</v>
      </c>
      <c r="F11115" t="s">
        <v>348</v>
      </c>
      <c r="G11115" t="s">
        <v>20</v>
      </c>
      <c r="H11115" t="s">
        <v>21</v>
      </c>
      <c r="I11115" t="s">
        <v>22099</v>
      </c>
      <c r="J11115" t="str">
        <f>HYPERLINK("https://www.boe.es/gazeta/dias/1823/07/02/pdfs/GES-1823-82.pdf#page=4","Abrir facsímil")</f>
        <v>Abrir facsímil</v>
      </c>
      <c r="K11115" t="s">
        <v>23</v>
      </c>
    </row>
    <row r="11116" spans="1:11" ht="42" customHeight="1">
      <c r="A11116" t="s">
        <v>22100</v>
      </c>
      <c r="B11116" t="s">
        <v>22101</v>
      </c>
      <c r="C11116" t="s">
        <v>17</v>
      </c>
      <c r="D11116" t="s">
        <v>18</v>
      </c>
      <c r="E11116" s="6">
        <v>-28020</v>
      </c>
      <c r="F11116" t="s">
        <v>448</v>
      </c>
      <c r="G11116" t="s">
        <v>5628</v>
      </c>
      <c r="H11116" t="s">
        <v>21</v>
      </c>
      <c r="I11116" t="s">
        <v>22102</v>
      </c>
      <c r="J11116" t="str">
        <f>HYPERLINK("https://www.boe.es/gazeta/dias/1823/04/13/pdfs/GES-1823-3.pdf#page=2","Abrir facsímil")</f>
        <v>Abrir facsímil</v>
      </c>
      <c r="K11116" t="s">
        <v>23</v>
      </c>
    </row>
    <row r="11117" spans="1:11" ht="42" customHeight="1">
      <c r="A11117" t="s">
        <v>22100</v>
      </c>
      <c r="B11117" t="s">
        <v>22101</v>
      </c>
      <c r="C11117" t="s">
        <v>17</v>
      </c>
      <c r="D11117" t="s">
        <v>18</v>
      </c>
      <c r="E11117" s="6">
        <v>-28018</v>
      </c>
      <c r="F11117" t="s">
        <v>2613</v>
      </c>
      <c r="G11117" t="s">
        <v>20</v>
      </c>
      <c r="H11117" t="s">
        <v>21</v>
      </c>
      <c r="I11117" t="s">
        <v>22103</v>
      </c>
      <c r="J11117" t="str">
        <f>HYPERLINK("https://www.boe.es/gazeta/dias/1823/04/15/pdfs/GES-1823-5.pdf#page=4","Abrir facsímil")</f>
        <v>Abrir facsímil</v>
      </c>
      <c r="K11117" t="s">
        <v>23</v>
      </c>
    </row>
    <row r="11118" spans="1:11" ht="42" customHeight="1">
      <c r="A11118" t="s">
        <v>22100</v>
      </c>
      <c r="B11118" t="s">
        <v>22101</v>
      </c>
      <c r="C11118" t="s">
        <v>17</v>
      </c>
      <c r="D11118" t="s">
        <v>18</v>
      </c>
      <c r="E11118" s="6">
        <v>-28008</v>
      </c>
      <c r="F11118" t="s">
        <v>309</v>
      </c>
      <c r="G11118" t="s">
        <v>20</v>
      </c>
      <c r="H11118" t="s">
        <v>21</v>
      </c>
      <c r="I11118" t="s">
        <v>22104</v>
      </c>
      <c r="J11118" t="str">
        <f>HYPERLINK("https://www.boe.es/gazeta/dias/1823/04/25/pdfs/GES-1823-15.pdf#page=4","Abrir facsímil")</f>
        <v>Abrir facsímil</v>
      </c>
      <c r="K11118" t="s">
        <v>23</v>
      </c>
    </row>
    <row r="11119" spans="1:11" ht="42" customHeight="1">
      <c r="A11119" t="s">
        <v>22100</v>
      </c>
      <c r="B11119" t="s">
        <v>22101</v>
      </c>
      <c r="C11119" t="s">
        <v>17</v>
      </c>
      <c r="D11119" t="s">
        <v>18</v>
      </c>
      <c r="E11119" s="6">
        <v>-27997</v>
      </c>
      <c r="F11119" t="s">
        <v>317</v>
      </c>
      <c r="G11119" t="s">
        <v>20</v>
      </c>
      <c r="H11119" t="s">
        <v>21</v>
      </c>
      <c r="I11119" t="s">
        <v>22105</v>
      </c>
      <c r="J11119" t="str">
        <f>HYPERLINK("https://www.boe.es/gazeta/dias/1823/05/06/pdfs/GES-1823-26.pdf#page=4","Abrir facsímil")</f>
        <v>Abrir facsímil</v>
      </c>
      <c r="K11119" t="s">
        <v>23</v>
      </c>
    </row>
    <row r="11120" spans="1:11" ht="42" customHeight="1">
      <c r="A11120" t="s">
        <v>22100</v>
      </c>
      <c r="B11120" t="s">
        <v>22101</v>
      </c>
      <c r="C11120" t="s">
        <v>17</v>
      </c>
      <c r="D11120" t="s">
        <v>18</v>
      </c>
      <c r="E11120" s="6">
        <v>-27996</v>
      </c>
      <c r="F11120" t="s">
        <v>695</v>
      </c>
      <c r="G11120" t="s">
        <v>20</v>
      </c>
      <c r="H11120" t="s">
        <v>21</v>
      </c>
      <c r="I11120" t="s">
        <v>22106</v>
      </c>
      <c r="J11120" t="str">
        <f>HYPERLINK("https://www.boe.es/gazeta/dias/1823/05/07/pdfs/GES-1823-27.pdf#page=4","Abrir facsímil")</f>
        <v>Abrir facsímil</v>
      </c>
      <c r="K11120" t="s">
        <v>23</v>
      </c>
    </row>
    <row r="11121" spans="1:11" ht="42" customHeight="1">
      <c r="A11121" t="s">
        <v>22100</v>
      </c>
      <c r="B11121" t="s">
        <v>22101</v>
      </c>
      <c r="C11121" t="s">
        <v>17</v>
      </c>
      <c r="D11121" t="s">
        <v>18</v>
      </c>
      <c r="E11121" s="6">
        <v>-27987</v>
      </c>
      <c r="F11121" t="s">
        <v>332</v>
      </c>
      <c r="G11121" t="s">
        <v>20</v>
      </c>
      <c r="H11121" t="s">
        <v>21</v>
      </c>
      <c r="I11121" t="s">
        <v>22107</v>
      </c>
      <c r="J11121" t="str">
        <f>HYPERLINK("https://www.boe.es/gazeta/dias/1823/05/16/pdfs/GES-1823-36.pdf#page=4","Abrir facsímil")</f>
        <v>Abrir facsímil</v>
      </c>
      <c r="K11121" t="s">
        <v>23</v>
      </c>
    </row>
    <row r="11122" spans="1:11" ht="42" customHeight="1">
      <c r="A11122" t="s">
        <v>22100</v>
      </c>
      <c r="B11122" t="s">
        <v>22101</v>
      </c>
      <c r="C11122" t="s">
        <v>17</v>
      </c>
      <c r="D11122" t="s">
        <v>18</v>
      </c>
      <c r="E11122" s="6">
        <v>-27980</v>
      </c>
      <c r="F11122" t="s">
        <v>1068</v>
      </c>
      <c r="G11122" t="s">
        <v>34</v>
      </c>
      <c r="H11122" t="s">
        <v>21</v>
      </c>
      <c r="I11122" t="s">
        <v>22108</v>
      </c>
      <c r="J11122" t="str">
        <f>HYPERLINK("https://www.boe.es/gazeta/dias/1823/05/23/pdfs/GES-1823-44.pdf#page=5","Abrir facsímil")</f>
        <v>Abrir facsímil</v>
      </c>
      <c r="K11122" t="s">
        <v>23</v>
      </c>
    </row>
    <row r="11123" spans="1:11" ht="42" customHeight="1">
      <c r="A11123" t="s">
        <v>22100</v>
      </c>
      <c r="B11123" t="s">
        <v>22101</v>
      </c>
      <c r="C11123" t="s">
        <v>17</v>
      </c>
      <c r="D11123" t="s">
        <v>18</v>
      </c>
      <c r="E11123" s="6">
        <v>-27975</v>
      </c>
      <c r="F11123" t="s">
        <v>47</v>
      </c>
      <c r="G11123" t="s">
        <v>48</v>
      </c>
      <c r="H11123" t="s">
        <v>21</v>
      </c>
      <c r="I11123" t="s">
        <v>22109</v>
      </c>
      <c r="J11123" t="str">
        <f>HYPERLINK("https://www.boe.es/gazeta/dias/1823/05/28/pdfs/GES-1823-50.pdf#page=3","Abrir facsímil")</f>
        <v>Abrir facsímil</v>
      </c>
      <c r="K11123" t="s">
        <v>23</v>
      </c>
    </row>
    <row r="11124" spans="1:11" ht="42" customHeight="1">
      <c r="A11124" t="s">
        <v>22100</v>
      </c>
      <c r="B11124" t="s">
        <v>22101</v>
      </c>
      <c r="C11124" t="s">
        <v>17</v>
      </c>
      <c r="D11124" t="s">
        <v>18</v>
      </c>
      <c r="E11124" s="6">
        <v>-27966</v>
      </c>
      <c r="F11124" t="s">
        <v>675</v>
      </c>
      <c r="G11124" t="s">
        <v>34</v>
      </c>
      <c r="H11124" t="s">
        <v>21</v>
      </c>
      <c r="I11124" t="s">
        <v>22110</v>
      </c>
      <c r="J11124" t="str">
        <f>HYPERLINK("https://www.boe.es/gazeta/dias/1823/06/06/pdfs/GES-1823-60.pdf#page=5","Abrir facsímil")</f>
        <v>Abrir facsímil</v>
      </c>
      <c r="K11124" t="s">
        <v>23</v>
      </c>
    </row>
    <row r="11125" spans="1:11" ht="42" customHeight="1">
      <c r="A11125" t="s">
        <v>22100</v>
      </c>
      <c r="B11125" t="s">
        <v>22101</v>
      </c>
      <c r="C11125" t="s">
        <v>17</v>
      </c>
      <c r="D11125" t="s">
        <v>18</v>
      </c>
      <c r="E11125" s="6">
        <v>-27962</v>
      </c>
      <c r="F11125" t="s">
        <v>594</v>
      </c>
      <c r="G11125" t="s">
        <v>27</v>
      </c>
      <c r="H11125" t="s">
        <v>21</v>
      </c>
      <c r="I11125" t="s">
        <v>22111</v>
      </c>
      <c r="J11125" t="str">
        <f>HYPERLINK("https://www.boe.es/gazeta/dias/1823/06/10/pdfs/GES-1823-64.pdf#page=2","Abrir facsímil")</f>
        <v>Abrir facsímil</v>
      </c>
      <c r="K11125" t="s">
        <v>23</v>
      </c>
    </row>
    <row r="11126" spans="1:11" ht="42" customHeight="1">
      <c r="A11126" t="s">
        <v>22100</v>
      </c>
      <c r="B11126" t="s">
        <v>22101</v>
      </c>
      <c r="C11126" t="s">
        <v>17</v>
      </c>
      <c r="D11126" t="s">
        <v>18</v>
      </c>
      <c r="E11126" s="6">
        <v>-27937</v>
      </c>
      <c r="F11126" t="s">
        <v>897</v>
      </c>
      <c r="G11126" t="s">
        <v>34</v>
      </c>
      <c r="H11126" t="s">
        <v>21</v>
      </c>
      <c r="I11126" t="s">
        <v>22112</v>
      </c>
      <c r="J11126" t="str">
        <f>HYPERLINK("https://www.boe.es/gazeta/dias/1823/07/05/pdfs/GMD-1823-343.pdf#page=5","Abrir facsímil")</f>
        <v>Abrir facsímil</v>
      </c>
      <c r="K11126" t="s">
        <v>23</v>
      </c>
    </row>
    <row r="11127" spans="1:11" ht="42" customHeight="1">
      <c r="A11127" t="s">
        <v>22113</v>
      </c>
      <c r="B11127" t="s">
        <v>22114</v>
      </c>
      <c r="C11127" t="s">
        <v>79</v>
      </c>
      <c r="D11127" t="s">
        <v>74</v>
      </c>
      <c r="E11127" s="6">
        <v>-27986</v>
      </c>
      <c r="F11127" t="s">
        <v>75</v>
      </c>
      <c r="G11127" t="s">
        <v>59</v>
      </c>
      <c r="H11127" t="s">
        <v>21</v>
      </c>
      <c r="I11127" t="s">
        <v>22115</v>
      </c>
      <c r="J11127" t="str">
        <f>HYPERLINK("https://www.boe.es/gazeta/dias/1823/05/17/pdfs/GES-1823-37.pdf#page=6","Abrir facsímil")</f>
        <v>Abrir facsímil</v>
      </c>
      <c r="K11127" t="s">
        <v>23</v>
      </c>
    </row>
    <row r="11128" spans="1:11" ht="42" customHeight="1">
      <c r="A11128" t="s">
        <v>22116</v>
      </c>
      <c r="B11128" t="s">
        <v>22117</v>
      </c>
      <c r="C11128" t="s">
        <v>17</v>
      </c>
      <c r="D11128" t="s">
        <v>18</v>
      </c>
      <c r="E11128" s="6">
        <v>-27972</v>
      </c>
      <c r="F11128" t="s">
        <v>1515</v>
      </c>
      <c r="G11128" t="s">
        <v>27</v>
      </c>
      <c r="H11128" t="s">
        <v>21</v>
      </c>
      <c r="I11128" t="s">
        <v>22118</v>
      </c>
      <c r="J11128" t="str">
        <f>HYPERLINK("https://www.boe.es/gazeta/dias/1823/05/31/pdfs/GMD-1823-33.pdf#page=2","Abrir facsímil")</f>
        <v>Abrir facsímil</v>
      </c>
      <c r="K11128" t="s">
        <v>23</v>
      </c>
    </row>
    <row r="11129" spans="1:11" ht="42" customHeight="1">
      <c r="A11129" t="s">
        <v>22119</v>
      </c>
      <c r="B11129" t="s">
        <v>22120</v>
      </c>
      <c r="C11129" t="s">
        <v>17</v>
      </c>
      <c r="D11129" t="s">
        <v>18</v>
      </c>
      <c r="E11129" s="6">
        <v>-27973</v>
      </c>
      <c r="F11129" t="s">
        <v>758</v>
      </c>
      <c r="G11129" t="s">
        <v>39</v>
      </c>
      <c r="H11129" t="s">
        <v>21</v>
      </c>
      <c r="I11129" t="s">
        <v>22121</v>
      </c>
      <c r="J11129" t="str">
        <f>HYPERLINK("https://www.boe.es/gazeta/dias/1823/05/30/pdfs/GES-1823-53.pdf#page=1","Abrir facsímil")</f>
        <v>Abrir facsímil</v>
      </c>
      <c r="K11129" t="s">
        <v>23</v>
      </c>
    </row>
    <row r="11130" spans="1:11" ht="42" customHeight="1">
      <c r="A11130" t="s">
        <v>22122</v>
      </c>
      <c r="B11130" t="s">
        <v>22123</v>
      </c>
      <c r="C11130" t="s">
        <v>17</v>
      </c>
      <c r="D11130" t="s">
        <v>18</v>
      </c>
      <c r="E11130" s="6">
        <v>-27878</v>
      </c>
      <c r="F11130" t="s">
        <v>1581</v>
      </c>
      <c r="G11130" t="s">
        <v>39</v>
      </c>
      <c r="H11130" t="s">
        <v>21</v>
      </c>
      <c r="I11130" t="s">
        <v>22124</v>
      </c>
      <c r="J11130" t="str">
        <f>HYPERLINK("https://www.boe.es/gazeta/dias/1823/09/02/pdfs/GMD-1823-683.pdf#page=1","Abrir facsímil")</f>
        <v>Abrir facsímil</v>
      </c>
      <c r="K11130" t="s">
        <v>23</v>
      </c>
    </row>
    <row r="11131" spans="1:11" ht="42" customHeight="1">
      <c r="A11131" t="s">
        <v>22125</v>
      </c>
      <c r="B11131" t="s">
        <v>22126</v>
      </c>
      <c r="C11131" t="s">
        <v>79</v>
      </c>
      <c r="D11131" t="s">
        <v>74</v>
      </c>
      <c r="E11131" s="6">
        <v>-27905</v>
      </c>
      <c r="F11131" t="s">
        <v>236</v>
      </c>
      <c r="G11131" t="s">
        <v>237</v>
      </c>
      <c r="H11131" t="s">
        <v>21</v>
      </c>
      <c r="I11131" t="s">
        <v>22127</v>
      </c>
      <c r="J11131" t="str">
        <f>HYPERLINK("https://www.boe.es/gazeta/dias/1823/08/06/pdfs/GES-1823-119.pdf#page=4","Abrir facsímil")</f>
        <v>Abrir facsímil</v>
      </c>
      <c r="K11131" t="s">
        <v>23</v>
      </c>
    </row>
    <row r="11132" spans="1:11" ht="42" customHeight="1">
      <c r="A11132" t="s">
        <v>22128</v>
      </c>
      <c r="B11132" t="s">
        <v>22129</v>
      </c>
      <c r="C11132" t="s">
        <v>17</v>
      </c>
      <c r="D11132" t="s">
        <v>18</v>
      </c>
      <c r="E11132" s="6">
        <v>-28048</v>
      </c>
      <c r="F11132" t="s">
        <v>399</v>
      </c>
      <c r="G11132" t="s">
        <v>59</v>
      </c>
      <c r="H11132" t="s">
        <v>21</v>
      </c>
      <c r="I11132" t="s">
        <v>22130</v>
      </c>
      <c r="J11132" t="str">
        <f>HYPERLINK("https://www.boe.es/gazeta/dias/1823/03/16/pdfs/GMD-1823-79.pdf#page=6","Abrir facsímil")</f>
        <v>Abrir facsímil</v>
      </c>
      <c r="K11132" t="s">
        <v>23</v>
      </c>
    </row>
    <row r="11133" spans="1:11" ht="42" customHeight="1">
      <c r="A11133" t="s">
        <v>22131</v>
      </c>
      <c r="B11133" t="s">
        <v>22132</v>
      </c>
      <c r="C11133" t="s">
        <v>17</v>
      </c>
      <c r="D11133" t="s">
        <v>18</v>
      </c>
      <c r="E11133" s="6">
        <v>-28020</v>
      </c>
      <c r="F11133" t="s">
        <v>448</v>
      </c>
      <c r="G11133" t="s">
        <v>5628</v>
      </c>
      <c r="H11133" t="s">
        <v>21</v>
      </c>
      <c r="I11133" t="s">
        <v>22133</v>
      </c>
      <c r="J11133" t="str">
        <f>HYPERLINK("https://www.boe.es/gazeta/dias/1823/04/13/pdfs/GES-1823-3.pdf#page=2","Abrir facsímil")</f>
        <v>Abrir facsímil</v>
      </c>
      <c r="K11133" t="s">
        <v>23</v>
      </c>
    </row>
    <row r="11134" spans="1:11" ht="42" customHeight="1">
      <c r="A11134" t="s">
        <v>22134</v>
      </c>
      <c r="B11134" t="s">
        <v>22135</v>
      </c>
      <c r="C11134" t="s">
        <v>73</v>
      </c>
      <c r="D11134" t="s">
        <v>74</v>
      </c>
      <c r="E11134" s="6">
        <v>-28037</v>
      </c>
      <c r="F11134" t="s">
        <v>192</v>
      </c>
      <c r="G11134" t="s">
        <v>20</v>
      </c>
      <c r="H11134" t="s">
        <v>21</v>
      </c>
      <c r="I11134" t="s">
        <v>22136</v>
      </c>
      <c r="J11134" t="str">
        <f>HYPERLINK("https://www.boe.es/gazeta/dias/1823/03/27/pdfs/GMD-1823-90.pdf#page=4","Abrir facsímil")</f>
        <v>Abrir facsímil</v>
      </c>
      <c r="K11134" t="s">
        <v>23</v>
      </c>
    </row>
    <row r="11135" spans="1:11" ht="42" customHeight="1">
      <c r="A11135" t="s">
        <v>22137</v>
      </c>
      <c r="B11135" t="s">
        <v>22138</v>
      </c>
      <c r="C11135" t="s">
        <v>17</v>
      </c>
      <c r="D11135" t="s">
        <v>18</v>
      </c>
      <c r="E11135" s="6">
        <v>-27895</v>
      </c>
      <c r="F11135" t="s">
        <v>5642</v>
      </c>
      <c r="G11135" t="s">
        <v>27</v>
      </c>
      <c r="H11135" t="s">
        <v>21</v>
      </c>
      <c r="I11135" t="s">
        <v>22139</v>
      </c>
      <c r="J11135" t="str">
        <f>HYPERLINK("https://www.boe.es/gazeta/dias/1823/08/16/pdfs/GMD-1823-603.pdf#page=2","Abrir facsímil")</f>
        <v>Abrir facsímil</v>
      </c>
      <c r="K11135" t="s">
        <v>23</v>
      </c>
    </row>
    <row r="11136" spans="1:11" ht="42" customHeight="1">
      <c r="A11136" t="s">
        <v>22140</v>
      </c>
      <c r="B11136" t="s">
        <v>22141</v>
      </c>
      <c r="C11136" t="s">
        <v>17</v>
      </c>
      <c r="D11136" t="s">
        <v>18</v>
      </c>
      <c r="E11136" s="6">
        <v>-27989</v>
      </c>
      <c r="F11136" t="s">
        <v>1134</v>
      </c>
      <c r="G11136" t="s">
        <v>20</v>
      </c>
      <c r="H11136" t="s">
        <v>21</v>
      </c>
      <c r="I11136" t="s">
        <v>22142</v>
      </c>
      <c r="J11136" t="str">
        <f>HYPERLINK("https://www.boe.es/gazeta/dias/1823/05/14/pdfs/GES-1823-34.pdf#page=4","Abrir facsímil")</f>
        <v>Abrir facsímil</v>
      </c>
      <c r="K11136" t="s">
        <v>23</v>
      </c>
    </row>
    <row r="11137" spans="1:11" ht="42" customHeight="1">
      <c r="A11137" t="s">
        <v>22143</v>
      </c>
      <c r="B11137" t="s">
        <v>22144</v>
      </c>
      <c r="C11137" t="s">
        <v>17</v>
      </c>
      <c r="D11137" t="s">
        <v>18</v>
      </c>
      <c r="E11137" s="6">
        <v>-27979</v>
      </c>
      <c r="F11137" t="s">
        <v>1071</v>
      </c>
      <c r="G11137" t="s">
        <v>34</v>
      </c>
      <c r="H11137" t="s">
        <v>21</v>
      </c>
      <c r="I11137" t="s">
        <v>22145</v>
      </c>
      <c r="J11137" t="str">
        <f>HYPERLINK("https://www.boe.es/gazeta/dias/1823/05/24/pdfs/GES-1823-45.pdf#page=5","Abrir facsímil")</f>
        <v>Abrir facsímil</v>
      </c>
      <c r="K11137" t="s">
        <v>23</v>
      </c>
    </row>
    <row r="11138" spans="1:11" ht="42" customHeight="1">
      <c r="A11138" t="s">
        <v>22146</v>
      </c>
      <c r="B11138" t="s">
        <v>22147</v>
      </c>
      <c r="C11138" t="s">
        <v>17</v>
      </c>
      <c r="D11138" t="s">
        <v>18</v>
      </c>
      <c r="E11138" s="6">
        <v>-27971</v>
      </c>
      <c r="F11138" t="s">
        <v>4211</v>
      </c>
      <c r="G11138" t="s">
        <v>20</v>
      </c>
      <c r="H11138" t="s">
        <v>21</v>
      </c>
      <c r="I11138" t="s">
        <v>22148</v>
      </c>
      <c r="J11138" t="str">
        <f>HYPERLINK("https://www.boe.es/gazeta/dias/1823/06/01/pdfs/GES-1823-55.pdf#page=4","Abrir facsímil")</f>
        <v>Abrir facsímil</v>
      </c>
      <c r="K11138" t="s">
        <v>23</v>
      </c>
    </row>
    <row r="11139" spans="1:11" ht="42" customHeight="1">
      <c r="A11139" t="s">
        <v>22149</v>
      </c>
      <c r="B11139" t="s">
        <v>22150</v>
      </c>
      <c r="C11139" t="s">
        <v>17</v>
      </c>
      <c r="D11139" t="s">
        <v>18</v>
      </c>
      <c r="E11139" s="6">
        <v>-27909</v>
      </c>
      <c r="F11139" t="s">
        <v>948</v>
      </c>
      <c r="G11139" t="s">
        <v>39</v>
      </c>
      <c r="H11139" t="s">
        <v>21</v>
      </c>
      <c r="I11139" t="s">
        <v>22151</v>
      </c>
      <c r="J11139" t="str">
        <f>HYPERLINK("https://www.boe.es/gazeta/dias/1823/08/02/pdfs/GES-1823-114.pdf#page=1","Abrir facsímil")</f>
        <v>Abrir facsímil</v>
      </c>
      <c r="K11139" t="s">
        <v>23</v>
      </c>
    </row>
    <row r="11140" spans="1:11" ht="42" customHeight="1">
      <c r="A11140" t="s">
        <v>22152</v>
      </c>
      <c r="B11140" t="s">
        <v>22153</v>
      </c>
      <c r="C11140" t="s">
        <v>79</v>
      </c>
      <c r="D11140" t="s">
        <v>74</v>
      </c>
      <c r="E11140" s="6">
        <v>-27944</v>
      </c>
      <c r="F11140" t="s">
        <v>658</v>
      </c>
      <c r="G11140" t="s">
        <v>48</v>
      </c>
      <c r="H11140" t="s">
        <v>21</v>
      </c>
      <c r="I11140" t="s">
        <v>22154</v>
      </c>
      <c r="J11140" t="str">
        <f>HYPERLINK("https://www.boe.es/gazeta/dias/1823/06/28/pdfs/GMD-1823-303.pdf#page=3","Abrir facsímil")</f>
        <v>Abrir facsímil</v>
      </c>
      <c r="K11140" t="s">
        <v>23</v>
      </c>
    </row>
    <row r="11141" spans="1:11" ht="42" customHeight="1">
      <c r="A11141" t="s">
        <v>22155</v>
      </c>
      <c r="B11141" t="s">
        <v>22156</v>
      </c>
      <c r="C11141" t="s">
        <v>17</v>
      </c>
      <c r="D11141" t="s">
        <v>18</v>
      </c>
      <c r="E11141" s="6">
        <v>-28007</v>
      </c>
      <c r="F11141" t="s">
        <v>1190</v>
      </c>
      <c r="G11141" t="s">
        <v>20</v>
      </c>
      <c r="H11141" t="s">
        <v>28</v>
      </c>
      <c r="I11141" t="s">
        <v>22157</v>
      </c>
      <c r="J11141" t="str">
        <f>HYPERLINK("https://www.boe.es/gazeta/dias/1823/04/26/pdfs/GMD-1823-62.pdf#page=4","Abrir facsímil")</f>
        <v>Abrir facsímil</v>
      </c>
      <c r="K11141" t="s">
        <v>30</v>
      </c>
    </row>
    <row r="11142" spans="1:11" ht="42" customHeight="1">
      <c r="A11142" t="s">
        <v>22158</v>
      </c>
      <c r="B11142" t="s">
        <v>22159</v>
      </c>
      <c r="C11142" t="s">
        <v>17</v>
      </c>
      <c r="D11142" t="s">
        <v>18</v>
      </c>
      <c r="E11142" s="6">
        <v>-27978</v>
      </c>
      <c r="F11142" t="s">
        <v>342</v>
      </c>
      <c r="G11142" t="s">
        <v>39</v>
      </c>
      <c r="H11142" t="s">
        <v>21</v>
      </c>
      <c r="I11142" t="s">
        <v>22160</v>
      </c>
      <c r="J11142" t="str">
        <f>HYPERLINK("https://www.boe.es/gazeta/dias/1823/05/25/pdfs/GES-1823-46.pdf#page=1","Abrir facsímil")</f>
        <v>Abrir facsímil</v>
      </c>
      <c r="K11142" t="s">
        <v>23</v>
      </c>
    </row>
    <row r="11143" spans="1:11" ht="42" customHeight="1">
      <c r="A11143" t="s">
        <v>22161</v>
      </c>
      <c r="B11143" t="s">
        <v>22162</v>
      </c>
      <c r="C11143" t="s">
        <v>109</v>
      </c>
      <c r="D11143" t="s">
        <v>74</v>
      </c>
      <c r="E11143" s="6">
        <v>-28048</v>
      </c>
      <c r="F11143" t="s">
        <v>399</v>
      </c>
      <c r="G11143" t="s">
        <v>59</v>
      </c>
      <c r="H11143" t="s">
        <v>21</v>
      </c>
      <c r="I11143" t="s">
        <v>22163</v>
      </c>
      <c r="J11143" t="str">
        <f>HYPERLINK("https://www.boe.es/gazeta/dias/1823/03/16/pdfs/GMD-1823-79.pdf#page=6","Abrir facsímil")</f>
        <v>Abrir facsímil</v>
      </c>
      <c r="K11143" t="s">
        <v>23</v>
      </c>
    </row>
    <row r="11144" spans="1:11" ht="42" customHeight="1">
      <c r="A11144" t="s">
        <v>22164</v>
      </c>
      <c r="B11144" t="s">
        <v>22164</v>
      </c>
      <c r="C11144" t="s">
        <v>17</v>
      </c>
      <c r="D11144" t="s">
        <v>18</v>
      </c>
      <c r="E11144" s="6">
        <v>-27987</v>
      </c>
      <c r="F11144" t="s">
        <v>332</v>
      </c>
      <c r="G11144" t="s">
        <v>34</v>
      </c>
      <c r="H11144" t="s">
        <v>21</v>
      </c>
      <c r="I11144" t="s">
        <v>22165</v>
      </c>
      <c r="J11144" t="str">
        <f>HYPERLINK("https://www.boe.es/gazeta/dias/1823/05/16/pdfs/GES-1823-36.pdf#page=5","Abrir facsímil")</f>
        <v>Abrir facsímil</v>
      </c>
      <c r="K11144" t="s">
        <v>23</v>
      </c>
    </row>
    <row r="11145" spans="1:11" ht="42" customHeight="1">
      <c r="A11145" t="s">
        <v>22166</v>
      </c>
      <c r="B11145" t="s">
        <v>22166</v>
      </c>
      <c r="C11145" t="s">
        <v>17</v>
      </c>
      <c r="D11145" t="s">
        <v>18</v>
      </c>
      <c r="E11145" s="6">
        <v>-27977</v>
      </c>
      <c r="F11145" t="s">
        <v>1489</v>
      </c>
      <c r="G11145" t="s">
        <v>27</v>
      </c>
      <c r="H11145" t="s">
        <v>21</v>
      </c>
      <c r="I11145" t="s">
        <v>22167</v>
      </c>
      <c r="J11145" t="str">
        <f>HYPERLINK("https://www.boe.es/gazeta/dias/1823/05/26/pdfs/GES-1823-47.pdf#page=2","Abrir facsímil")</f>
        <v>Abrir facsímil</v>
      </c>
      <c r="K11145" t="s">
        <v>23</v>
      </c>
    </row>
    <row r="11146" spans="1:11" ht="42" customHeight="1">
      <c r="A11146" t="s">
        <v>22166</v>
      </c>
      <c r="B11146" t="s">
        <v>22166</v>
      </c>
      <c r="C11146" t="s">
        <v>17</v>
      </c>
      <c r="D11146" t="s">
        <v>117</v>
      </c>
      <c r="E11146" s="6">
        <v>-27977</v>
      </c>
      <c r="F11146" t="s">
        <v>22168</v>
      </c>
      <c r="G11146" t="s">
        <v>39</v>
      </c>
      <c r="H11146" t="s">
        <v>21</v>
      </c>
      <c r="I11146" t="s">
        <v>22169</v>
      </c>
      <c r="J11146" t="str">
        <f>HYPERLINK("https://www.boe.es/gazeta/dias/1823/05/26/pdfs/GES-1823-48E.pdf#page=1","Abrir facsímil")</f>
        <v>Abrir facsímil</v>
      </c>
      <c r="K11146" t="s">
        <v>23</v>
      </c>
    </row>
    <row r="11147" spans="1:11" ht="42" customHeight="1">
      <c r="A11147" t="s">
        <v>22166</v>
      </c>
      <c r="B11147" t="s">
        <v>22166</v>
      </c>
      <c r="C11147" t="s">
        <v>17</v>
      </c>
      <c r="D11147" t="s">
        <v>18</v>
      </c>
      <c r="E11147" s="6">
        <v>-27975</v>
      </c>
      <c r="F11147" t="s">
        <v>47</v>
      </c>
      <c r="G11147" t="s">
        <v>20</v>
      </c>
      <c r="H11147" t="s">
        <v>21</v>
      </c>
      <c r="I11147" t="s">
        <v>22170</v>
      </c>
      <c r="J11147" t="str">
        <f>HYPERLINK("https://www.boe.es/gazeta/dias/1823/05/28/pdfs/GES-1823-50.pdf#page=4","Abrir facsímil")</f>
        <v>Abrir facsímil</v>
      </c>
      <c r="K11147" t="s">
        <v>23</v>
      </c>
    </row>
    <row r="11148" spans="1:11" ht="42" customHeight="1">
      <c r="A11148" t="s">
        <v>22166</v>
      </c>
      <c r="B11148" t="s">
        <v>22166</v>
      </c>
      <c r="C11148" t="s">
        <v>17</v>
      </c>
      <c r="D11148" t="s">
        <v>18</v>
      </c>
      <c r="E11148" s="6">
        <v>-27969</v>
      </c>
      <c r="F11148" t="s">
        <v>855</v>
      </c>
      <c r="G11148" t="s">
        <v>48</v>
      </c>
      <c r="H11148" t="s">
        <v>21</v>
      </c>
      <c r="I11148" t="s">
        <v>22171</v>
      </c>
      <c r="J11148" t="str">
        <f>HYPERLINK("https://www.boe.es/gazeta/dias/1823/06/03/pdfs/GES-1823-57.pdf#page=3","Abrir facsímil")</f>
        <v>Abrir facsímil</v>
      </c>
      <c r="K11148" t="s">
        <v>23</v>
      </c>
    </row>
    <row r="11149" spans="1:11" ht="42" customHeight="1">
      <c r="A11149" t="s">
        <v>22166</v>
      </c>
      <c r="B11149" t="s">
        <v>22166</v>
      </c>
      <c r="C11149" t="s">
        <v>17</v>
      </c>
      <c r="D11149" t="s">
        <v>18</v>
      </c>
      <c r="E11149" s="6">
        <v>-27939</v>
      </c>
      <c r="F11149" t="s">
        <v>1403</v>
      </c>
      <c r="G11149" t="s">
        <v>715</v>
      </c>
      <c r="H11149" t="s">
        <v>21</v>
      </c>
      <c r="I11149" t="s">
        <v>22172</v>
      </c>
      <c r="J11149" t="str">
        <f>HYPERLINK("https://www.boe.es/gazeta/dias/1823/07/03/pdfs/GMD-1823-333.pdf#page=8","Abrir facsímil")</f>
        <v>Abrir facsímil</v>
      </c>
      <c r="K11149" t="s">
        <v>23</v>
      </c>
    </row>
    <row r="11150" spans="1:11" ht="42" customHeight="1">
      <c r="A11150" t="s">
        <v>22166</v>
      </c>
      <c r="B11150" t="s">
        <v>22166</v>
      </c>
      <c r="C11150" t="s">
        <v>17</v>
      </c>
      <c r="D11150" t="s">
        <v>18</v>
      </c>
      <c r="E11150" s="6">
        <v>-27923</v>
      </c>
      <c r="F11150" t="s">
        <v>1225</v>
      </c>
      <c r="G11150" t="s">
        <v>34</v>
      </c>
      <c r="H11150" t="s">
        <v>21</v>
      </c>
      <c r="I11150" t="s">
        <v>22173</v>
      </c>
      <c r="J11150" t="str">
        <f>HYPERLINK("https://www.boe.es/gazeta/dias/1823/07/19/pdfs/GMD-1823-433.pdf#page=5","Abrir facsímil")</f>
        <v>Abrir facsímil</v>
      </c>
      <c r="K11150" t="s">
        <v>23</v>
      </c>
    </row>
    <row r="11151" spans="1:11" ht="42" customHeight="1">
      <c r="A11151" t="s">
        <v>22166</v>
      </c>
      <c r="B11151" t="s">
        <v>22166</v>
      </c>
      <c r="C11151" t="s">
        <v>17</v>
      </c>
      <c r="D11151" t="s">
        <v>18</v>
      </c>
      <c r="E11151" s="6">
        <v>-27920</v>
      </c>
      <c r="F11151" t="s">
        <v>1334</v>
      </c>
      <c r="G11151" t="s">
        <v>59</v>
      </c>
      <c r="H11151" t="s">
        <v>21</v>
      </c>
      <c r="I11151" t="s">
        <v>22174</v>
      </c>
      <c r="J11151" t="str">
        <f>HYPERLINK("https://www.boe.es/gazeta/dias/1823/07/22/pdfs/GMD-1823-443.pdf#page=6","Abrir facsímil")</f>
        <v>Abrir facsímil</v>
      </c>
      <c r="K11151" t="s">
        <v>23</v>
      </c>
    </row>
    <row r="11152" spans="1:11" ht="42" customHeight="1">
      <c r="A11152" t="s">
        <v>22166</v>
      </c>
      <c r="B11152" t="s">
        <v>22166</v>
      </c>
      <c r="C11152" t="s">
        <v>17</v>
      </c>
      <c r="D11152" t="s">
        <v>18</v>
      </c>
      <c r="E11152" s="6">
        <v>-27920</v>
      </c>
      <c r="F11152" t="s">
        <v>1334</v>
      </c>
      <c r="G11152" t="s">
        <v>276</v>
      </c>
      <c r="H11152" t="s">
        <v>21</v>
      </c>
      <c r="I11152" t="s">
        <v>22175</v>
      </c>
      <c r="J11152" t="str">
        <f>HYPERLINK("https://www.boe.es/gazeta/dias/1823/07/22/pdfs/GMD-1823-443.pdf#page=7","Abrir facsímil")</f>
        <v>Abrir facsímil</v>
      </c>
      <c r="K11152" t="s">
        <v>23</v>
      </c>
    </row>
    <row r="11153" spans="1:11" ht="42" customHeight="1">
      <c r="A11153" t="s">
        <v>22166</v>
      </c>
      <c r="B11153" t="s">
        <v>22166</v>
      </c>
      <c r="C11153" t="s">
        <v>17</v>
      </c>
      <c r="D11153" t="s">
        <v>117</v>
      </c>
      <c r="E11153" s="6">
        <v>-27908</v>
      </c>
      <c r="F11153" t="s">
        <v>1564</v>
      </c>
      <c r="G11153" t="s">
        <v>39</v>
      </c>
      <c r="H11153" t="s">
        <v>21</v>
      </c>
      <c r="I11153" t="s">
        <v>22176</v>
      </c>
      <c r="J11153" t="str">
        <f>HYPERLINK("https://www.boe.es/gazeta/dias/1823/08/03/pdfs/GMD-1823-523E.pdf#page=1","Abrir facsímil")</f>
        <v>Abrir facsímil</v>
      </c>
      <c r="K11153" t="s">
        <v>23</v>
      </c>
    </row>
    <row r="11154" spans="1:11" ht="42" customHeight="1">
      <c r="A11154" t="s">
        <v>22166</v>
      </c>
      <c r="B11154" t="s">
        <v>22166</v>
      </c>
      <c r="C11154" t="s">
        <v>17</v>
      </c>
      <c r="D11154" t="s">
        <v>18</v>
      </c>
      <c r="E11154" s="6">
        <v>-27904</v>
      </c>
      <c r="F11154" t="s">
        <v>1227</v>
      </c>
      <c r="G11154" t="s">
        <v>20</v>
      </c>
      <c r="H11154" t="s">
        <v>21</v>
      </c>
      <c r="I11154" t="s">
        <v>22177</v>
      </c>
      <c r="J11154" t="str">
        <f>HYPERLINK("https://www.boe.es/gazeta/dias/1823/08/07/pdfs/GMD-1823-543.pdf#page=4","Abrir facsímil")</f>
        <v>Abrir facsímil</v>
      </c>
      <c r="K11154" t="s">
        <v>23</v>
      </c>
    </row>
    <row r="11155" spans="1:11" ht="42" customHeight="1">
      <c r="A11155" t="s">
        <v>22166</v>
      </c>
      <c r="B11155" t="s">
        <v>22166</v>
      </c>
      <c r="C11155" t="s">
        <v>17</v>
      </c>
      <c r="D11155" t="s">
        <v>18</v>
      </c>
      <c r="E11155" s="6">
        <v>-27890</v>
      </c>
      <c r="F11155" t="s">
        <v>8359</v>
      </c>
      <c r="G11155" t="s">
        <v>27</v>
      </c>
      <c r="H11155" t="s">
        <v>21</v>
      </c>
      <c r="I11155" t="s">
        <v>22178</v>
      </c>
      <c r="J11155" t="str">
        <f>HYPERLINK("https://www.boe.es/gazeta/dias/1823/08/21/pdfs/GES-1823-134.pdf#page=2","Abrir facsímil")</f>
        <v>Abrir facsímil</v>
      </c>
      <c r="K11155" t="s">
        <v>23</v>
      </c>
    </row>
    <row r="11156" spans="1:11" ht="42" customHeight="1">
      <c r="A11156" t="s">
        <v>22166</v>
      </c>
      <c r="B11156" t="s">
        <v>22166</v>
      </c>
      <c r="C11156" t="s">
        <v>17</v>
      </c>
      <c r="D11156" t="s">
        <v>18</v>
      </c>
      <c r="E11156" s="6">
        <v>-27885</v>
      </c>
      <c r="F11156" t="s">
        <v>65</v>
      </c>
      <c r="G11156" t="s">
        <v>48</v>
      </c>
      <c r="H11156" t="s">
        <v>21</v>
      </c>
      <c r="I11156" t="s">
        <v>22179</v>
      </c>
      <c r="J11156" t="str">
        <f>HYPERLINK("https://www.boe.es/gazeta/dias/1823/08/26/pdfs/GMD-1823-653.pdf#page=3","Abrir facsímil")</f>
        <v>Abrir facsímil</v>
      </c>
      <c r="K11156" t="s">
        <v>23</v>
      </c>
    </row>
    <row r="11157" spans="1:11" ht="42" customHeight="1">
      <c r="A11157" t="s">
        <v>22166</v>
      </c>
      <c r="B11157" t="s">
        <v>22166</v>
      </c>
      <c r="C11157" t="s">
        <v>17</v>
      </c>
      <c r="D11157" t="s">
        <v>18</v>
      </c>
      <c r="E11157" s="6">
        <v>-27878</v>
      </c>
      <c r="F11157" t="s">
        <v>1581</v>
      </c>
      <c r="G11157" t="s">
        <v>20</v>
      </c>
      <c r="H11157" t="s">
        <v>21</v>
      </c>
      <c r="I11157" t="s">
        <v>22180</v>
      </c>
      <c r="J11157" t="str">
        <f>HYPERLINK("https://www.boe.es/gazeta/dias/1823/09/02/pdfs/GMD-1823-683.pdf#page=4","Abrir facsímil")</f>
        <v>Abrir facsímil</v>
      </c>
      <c r="K11157" t="s">
        <v>23</v>
      </c>
    </row>
    <row r="11158" spans="1:11" ht="42" customHeight="1">
      <c r="A11158" t="s">
        <v>22181</v>
      </c>
      <c r="B11158" t="s">
        <v>22182</v>
      </c>
      <c r="C11158" t="s">
        <v>293</v>
      </c>
      <c r="D11158" t="s">
        <v>74</v>
      </c>
      <c r="E11158" s="6">
        <v>-28118</v>
      </c>
      <c r="F11158" t="s">
        <v>252</v>
      </c>
      <c r="G11158" t="s">
        <v>59</v>
      </c>
      <c r="H11158" t="s">
        <v>21</v>
      </c>
      <c r="I11158" t="s">
        <v>22183</v>
      </c>
      <c r="J11158" t="str">
        <f>HYPERLINK("https://www.boe.es/gazeta/dias/1823/01/05/pdfs/GMD-1823-5.pdf#page=6","Abrir facsímil")</f>
        <v>Abrir facsímil</v>
      </c>
      <c r="K11158" t="s">
        <v>23</v>
      </c>
    </row>
    <row r="11159" spans="1:11" ht="42" customHeight="1">
      <c r="A11159" t="s">
        <v>22184</v>
      </c>
      <c r="B11159" t="s">
        <v>22185</v>
      </c>
      <c r="C11159" t="s">
        <v>17</v>
      </c>
      <c r="D11159" t="s">
        <v>18</v>
      </c>
      <c r="E11159" s="6">
        <v>-28007</v>
      </c>
      <c r="F11159" t="s">
        <v>1190</v>
      </c>
      <c r="G11159" t="s">
        <v>20</v>
      </c>
      <c r="H11159" t="s">
        <v>21</v>
      </c>
      <c r="I11159" t="s">
        <v>22186</v>
      </c>
      <c r="J11159" t="str">
        <f>HYPERLINK("https://www.boe.es/gazeta/dias/1823/04/26/pdfs/GMD-1823-62.pdf#page=4","Abrir facsímil")</f>
        <v>Abrir facsímil</v>
      </c>
      <c r="K11159" t="s">
        <v>23</v>
      </c>
    </row>
    <row r="11160" spans="1:11" ht="42" customHeight="1">
      <c r="A11160" t="s">
        <v>22187</v>
      </c>
      <c r="B11160" t="s">
        <v>22188</v>
      </c>
      <c r="C11160" t="s">
        <v>17</v>
      </c>
      <c r="D11160" t="s">
        <v>18</v>
      </c>
      <c r="E11160" s="6">
        <v>-28003</v>
      </c>
      <c r="F11160" t="s">
        <v>26</v>
      </c>
      <c r="G11160" t="s">
        <v>27</v>
      </c>
      <c r="H11160" t="s">
        <v>21</v>
      </c>
      <c r="I11160" t="s">
        <v>22189</v>
      </c>
      <c r="J11160" t="str">
        <f>HYPERLINK("https://www.boe.es/gazeta/dias/1823/04/30/pdfs/GES-1823-20.pdf#page=2","Abrir facsímil")</f>
        <v>Abrir facsímil</v>
      </c>
      <c r="K11160" t="s">
        <v>23</v>
      </c>
    </row>
    <row r="11161" spans="1:11" ht="42" customHeight="1">
      <c r="A11161" t="s">
        <v>22187</v>
      </c>
      <c r="B11161" t="s">
        <v>22188</v>
      </c>
      <c r="C11161" t="s">
        <v>17</v>
      </c>
      <c r="D11161" t="s">
        <v>18</v>
      </c>
      <c r="E11161" s="6">
        <v>-27996</v>
      </c>
      <c r="F11161" t="s">
        <v>695</v>
      </c>
      <c r="G11161" t="s">
        <v>39</v>
      </c>
      <c r="H11161" t="s">
        <v>21</v>
      </c>
      <c r="I11161" t="s">
        <v>22190</v>
      </c>
      <c r="J11161" t="str">
        <f>HYPERLINK("https://www.boe.es/gazeta/dias/1823/05/07/pdfs/GES-1823-27.pdf#page=1","Abrir facsímil")</f>
        <v>Abrir facsímil</v>
      </c>
      <c r="K11161" t="s">
        <v>23</v>
      </c>
    </row>
    <row r="11162" spans="1:11" ht="42" customHeight="1">
      <c r="A11162" t="s">
        <v>22187</v>
      </c>
      <c r="B11162" t="s">
        <v>22188</v>
      </c>
      <c r="C11162" t="s">
        <v>17</v>
      </c>
      <c r="D11162" t="s">
        <v>117</v>
      </c>
      <c r="E11162" s="6">
        <v>-27977</v>
      </c>
      <c r="F11162" t="s">
        <v>22168</v>
      </c>
      <c r="G11162" t="s">
        <v>39</v>
      </c>
      <c r="H11162" t="s">
        <v>21</v>
      </c>
      <c r="I11162" t="s">
        <v>22191</v>
      </c>
      <c r="J11162" t="str">
        <f>HYPERLINK("https://www.boe.es/gazeta/dias/1823/05/26/pdfs/GES-1823-48E.pdf#page=1","Abrir facsímil")</f>
        <v>Abrir facsímil</v>
      </c>
      <c r="K11162" t="s">
        <v>23</v>
      </c>
    </row>
    <row r="11163" spans="1:11" ht="42" customHeight="1">
      <c r="A11163" t="s">
        <v>22187</v>
      </c>
      <c r="B11163" t="s">
        <v>22188</v>
      </c>
      <c r="C11163" t="s">
        <v>17</v>
      </c>
      <c r="D11163" t="s">
        <v>18</v>
      </c>
      <c r="E11163" s="6">
        <v>-27975</v>
      </c>
      <c r="F11163" t="s">
        <v>47</v>
      </c>
      <c r="G11163" t="s">
        <v>20</v>
      </c>
      <c r="H11163" t="s">
        <v>21</v>
      </c>
      <c r="I11163" t="s">
        <v>22192</v>
      </c>
      <c r="J11163" t="str">
        <f>HYPERLINK("https://www.boe.es/gazeta/dias/1823/05/28/pdfs/GES-1823-50.pdf#page=4","Abrir facsímil")</f>
        <v>Abrir facsímil</v>
      </c>
      <c r="K11163" t="s">
        <v>23</v>
      </c>
    </row>
    <row r="11164" spans="1:11" ht="42" customHeight="1">
      <c r="A11164" t="s">
        <v>22187</v>
      </c>
      <c r="B11164" t="s">
        <v>22188</v>
      </c>
      <c r="C11164" t="s">
        <v>17</v>
      </c>
      <c r="D11164" t="s">
        <v>18</v>
      </c>
      <c r="E11164" s="6">
        <v>-27968</v>
      </c>
      <c r="F11164" t="s">
        <v>1160</v>
      </c>
      <c r="G11164" t="s">
        <v>20</v>
      </c>
      <c r="H11164" t="s">
        <v>21</v>
      </c>
      <c r="I11164" t="s">
        <v>22193</v>
      </c>
      <c r="J11164" t="str">
        <f>HYPERLINK("https://www.boe.es/gazeta/dias/1823/06/04/pdfs/GES-1823-58.pdf#page=4","Abrir facsímil")</f>
        <v>Abrir facsímil</v>
      </c>
      <c r="K11164" t="s">
        <v>23</v>
      </c>
    </row>
    <row r="11165" spans="1:11" ht="42" customHeight="1">
      <c r="A11165" t="s">
        <v>22194</v>
      </c>
      <c r="B11165" t="s">
        <v>22195</v>
      </c>
      <c r="C11165" t="s">
        <v>79</v>
      </c>
      <c r="D11165" t="s">
        <v>74</v>
      </c>
      <c r="E11165" s="6">
        <v>-28008</v>
      </c>
      <c r="F11165" t="s">
        <v>309</v>
      </c>
      <c r="G11165" t="s">
        <v>20</v>
      </c>
      <c r="H11165" t="s">
        <v>21</v>
      </c>
      <c r="I11165" t="s">
        <v>22196</v>
      </c>
      <c r="J11165" t="str">
        <f>HYPERLINK("https://www.boe.es/gazeta/dias/1823/04/25/pdfs/GES-1823-15.pdf#page=4","Abrir facsímil")</f>
        <v>Abrir facsímil</v>
      </c>
      <c r="K11165" t="s">
        <v>23</v>
      </c>
    </row>
    <row r="11166" spans="1:11" ht="42" customHeight="1">
      <c r="A11166" t="s">
        <v>22197</v>
      </c>
      <c r="B11166" t="s">
        <v>22197</v>
      </c>
      <c r="C11166" t="s">
        <v>109</v>
      </c>
      <c r="D11166" t="s">
        <v>74</v>
      </c>
      <c r="E11166" s="6">
        <v>-28059</v>
      </c>
      <c r="F11166" t="s">
        <v>149</v>
      </c>
      <c r="G11166" t="s">
        <v>39</v>
      </c>
      <c r="H11166" t="s">
        <v>21</v>
      </c>
      <c r="I11166" t="s">
        <v>22198</v>
      </c>
      <c r="J11166" t="str">
        <f>HYPERLINK("https://www.boe.es/gazeta/dias/1823/03/05/pdfs/GMD-1823-68.pdf#page=1","Abrir facsímil")</f>
        <v>Abrir facsímil</v>
      </c>
      <c r="K11166" t="s">
        <v>23</v>
      </c>
    </row>
    <row r="11167" spans="1:11" ht="42" customHeight="1">
      <c r="A11167" t="s">
        <v>22199</v>
      </c>
      <c r="B11167" t="s">
        <v>22200</v>
      </c>
      <c r="C11167" t="s">
        <v>56</v>
      </c>
      <c r="D11167" t="s">
        <v>57</v>
      </c>
      <c r="E11167" s="6">
        <v>-27925</v>
      </c>
      <c r="F11167" t="s">
        <v>1744</v>
      </c>
      <c r="G11167" t="s">
        <v>59</v>
      </c>
      <c r="H11167" t="s">
        <v>21</v>
      </c>
      <c r="I11167" t="s">
        <v>22201</v>
      </c>
      <c r="J11167" t="str">
        <f>HYPERLINK("https://www.boe.es/gazeta/dias/1823/07/17/pdfs/GMD-1823-413.pdf#page=6","Abrir facsímil")</f>
        <v>Abrir facsímil</v>
      </c>
      <c r="K11167" t="s">
        <v>23</v>
      </c>
    </row>
    <row r="11168" spans="1:11" ht="42" customHeight="1">
      <c r="A11168" t="s">
        <v>22202</v>
      </c>
      <c r="B11168" t="s">
        <v>22202</v>
      </c>
      <c r="C11168" t="s">
        <v>17</v>
      </c>
      <c r="D11168" t="s">
        <v>18</v>
      </c>
      <c r="E11168" s="6">
        <v>-28047</v>
      </c>
      <c r="F11168" t="s">
        <v>2269</v>
      </c>
      <c r="G11168" t="s">
        <v>48</v>
      </c>
      <c r="H11168" t="s">
        <v>21</v>
      </c>
      <c r="I11168" t="s">
        <v>22203</v>
      </c>
      <c r="J11168" t="str">
        <f>HYPERLINK("https://www.boe.es/gazeta/dias/1823/03/17/pdfs/GMD-1823-80.pdf#page=3","Abrir facsímil")</f>
        <v>Abrir facsímil</v>
      </c>
      <c r="K11168" t="s">
        <v>23</v>
      </c>
    </row>
    <row r="11169" spans="1:11" ht="42" customHeight="1">
      <c r="A11169" t="s">
        <v>22204</v>
      </c>
      <c r="B11169" t="s">
        <v>22205</v>
      </c>
      <c r="C11169" t="s">
        <v>17</v>
      </c>
      <c r="D11169" t="s">
        <v>18</v>
      </c>
      <c r="E11169" s="6">
        <v>-27913</v>
      </c>
      <c r="F11169" t="s">
        <v>829</v>
      </c>
      <c r="G11169" t="s">
        <v>34</v>
      </c>
      <c r="H11169" t="s">
        <v>21</v>
      </c>
      <c r="I11169" t="s">
        <v>22206</v>
      </c>
      <c r="J11169" t="str">
        <f>HYPERLINK("https://www.boe.es/gazeta/dias/1823/07/29/pdfs/GMD-1823-483.pdf#page=5","Abrir facsímil")</f>
        <v>Abrir facsímil</v>
      </c>
      <c r="K11169" t="s">
        <v>23</v>
      </c>
    </row>
    <row r="11170" spans="1:11" ht="42" customHeight="1">
      <c r="A11170" t="s">
        <v>22207</v>
      </c>
      <c r="B11170" t="s">
        <v>22208</v>
      </c>
      <c r="C11170" t="s">
        <v>56</v>
      </c>
      <c r="D11170" t="s">
        <v>57</v>
      </c>
      <c r="E11170" s="6">
        <v>-28072</v>
      </c>
      <c r="F11170" t="s">
        <v>4439</v>
      </c>
      <c r="G11170" t="s">
        <v>27</v>
      </c>
      <c r="H11170" t="s">
        <v>21</v>
      </c>
      <c r="I11170" t="s">
        <v>22209</v>
      </c>
      <c r="J11170" t="str">
        <f>HYPERLINK("https://www.boe.es/gazeta/dias/1823/02/20/pdfs/GMD-1823-54.pdf#page=2","Abrir facsímil")</f>
        <v>Abrir facsímil</v>
      </c>
      <c r="K11170" t="s">
        <v>23</v>
      </c>
    </row>
    <row r="11171" spans="1:11" ht="42" customHeight="1">
      <c r="A11171" t="s">
        <v>22210</v>
      </c>
      <c r="B11171" t="s">
        <v>22210</v>
      </c>
      <c r="C11171" t="s">
        <v>79</v>
      </c>
      <c r="D11171" t="s">
        <v>74</v>
      </c>
      <c r="E11171" s="6">
        <v>-28065</v>
      </c>
      <c r="F11171" t="s">
        <v>686</v>
      </c>
      <c r="G11171" t="s">
        <v>48</v>
      </c>
      <c r="H11171" t="s">
        <v>21</v>
      </c>
      <c r="I11171" t="s">
        <v>22211</v>
      </c>
      <c r="J11171" t="str">
        <f>HYPERLINK("https://www.boe.es/gazeta/dias/1823/02/27/pdfs/GMD-1823-61.pdf#page=3","Abrir facsímil")</f>
        <v>Abrir facsímil</v>
      </c>
      <c r="K11171" t="s">
        <v>23</v>
      </c>
    </row>
    <row r="11172" spans="1:11" ht="42" customHeight="1">
      <c r="A11172" t="s">
        <v>22212</v>
      </c>
      <c r="B11172" t="s">
        <v>22212</v>
      </c>
      <c r="C11172" t="s">
        <v>17</v>
      </c>
      <c r="D11172" t="s">
        <v>18</v>
      </c>
      <c r="E11172" s="6">
        <v>-27920</v>
      </c>
      <c r="F11172" t="s">
        <v>1334</v>
      </c>
      <c r="G11172" t="s">
        <v>34</v>
      </c>
      <c r="H11172" t="s">
        <v>21</v>
      </c>
      <c r="I11172" t="s">
        <v>22213</v>
      </c>
      <c r="J11172" t="str">
        <f>HYPERLINK("https://www.boe.es/gazeta/dias/1823/07/22/pdfs/GMD-1823-443.pdf#page=5","Abrir facsímil")</f>
        <v>Abrir facsímil</v>
      </c>
      <c r="K11172" t="s">
        <v>23</v>
      </c>
    </row>
    <row r="11173" spans="1:11" ht="42" customHeight="1">
      <c r="A11173" t="s">
        <v>22214</v>
      </c>
      <c r="B11173" t="s">
        <v>22215</v>
      </c>
      <c r="C11173" t="s">
        <v>17</v>
      </c>
      <c r="D11173" t="s">
        <v>18</v>
      </c>
      <c r="E11173" s="6">
        <v>-28065</v>
      </c>
      <c r="F11173" t="s">
        <v>686</v>
      </c>
      <c r="G11173" t="s">
        <v>48</v>
      </c>
      <c r="H11173" t="s">
        <v>21</v>
      </c>
      <c r="I11173" t="s">
        <v>22216</v>
      </c>
      <c r="J11173" t="str">
        <f>HYPERLINK("https://www.boe.es/gazeta/dias/1823/02/27/pdfs/GMD-1823-61.pdf#page=3","Abrir facsímil")</f>
        <v>Abrir facsímil</v>
      </c>
      <c r="K11173" t="s">
        <v>23</v>
      </c>
    </row>
    <row r="11174" spans="1:11" ht="42" customHeight="1">
      <c r="A11174" t="s">
        <v>22217</v>
      </c>
      <c r="B11174" t="s">
        <v>22217</v>
      </c>
      <c r="C11174" t="s">
        <v>109</v>
      </c>
      <c r="D11174" t="s">
        <v>74</v>
      </c>
      <c r="E11174" s="6">
        <v>-27993</v>
      </c>
      <c r="F11174" t="s">
        <v>977</v>
      </c>
      <c r="G11174" t="s">
        <v>48</v>
      </c>
      <c r="H11174" t="s">
        <v>21</v>
      </c>
      <c r="I11174" t="s">
        <v>22218</v>
      </c>
      <c r="J11174" t="str">
        <f>HYPERLINK("https://www.boe.es/gazeta/dias/1823/05/10/pdfs/GES-1823-30.pdf#page=3","Abrir facsímil")</f>
        <v>Abrir facsímil</v>
      </c>
      <c r="K11174" t="s">
        <v>23</v>
      </c>
    </row>
    <row r="11175" spans="1:11" ht="42" customHeight="1">
      <c r="A11175" t="s">
        <v>22219</v>
      </c>
      <c r="B11175" t="s">
        <v>22219</v>
      </c>
      <c r="C11175" t="s">
        <v>73</v>
      </c>
      <c r="D11175" t="s">
        <v>74</v>
      </c>
      <c r="E11175" s="6">
        <v>-27953</v>
      </c>
      <c r="F11175" t="s">
        <v>1783</v>
      </c>
      <c r="G11175" t="s">
        <v>20</v>
      </c>
      <c r="H11175" t="s">
        <v>21</v>
      </c>
      <c r="I11175" t="s">
        <v>22220</v>
      </c>
      <c r="J11175" t="str">
        <f>HYPERLINK("https://www.boe.es/gazeta/dias/1823/06/19/pdfs/GES-1823-67.pdf#page=4","Abrir facsímil")</f>
        <v>Abrir facsímil</v>
      </c>
      <c r="K11175" t="s">
        <v>23</v>
      </c>
    </row>
    <row r="11176" spans="1:11" ht="42" customHeight="1">
      <c r="A11176" t="s">
        <v>22221</v>
      </c>
      <c r="B11176" t="s">
        <v>22222</v>
      </c>
      <c r="C11176" t="s">
        <v>293</v>
      </c>
      <c r="D11176" t="s">
        <v>74</v>
      </c>
      <c r="E11176" s="6">
        <v>-28013</v>
      </c>
      <c r="F11176" t="s">
        <v>105</v>
      </c>
      <c r="G11176" t="s">
        <v>20</v>
      </c>
      <c r="H11176" t="s">
        <v>21</v>
      </c>
      <c r="I11176" t="s">
        <v>22223</v>
      </c>
      <c r="J11176" t="str">
        <f>HYPERLINK("https://www.boe.es/gazeta/dias/1823/04/20/pdfs/GMD-1823-32.pdf#page=4","Abrir facsímil")</f>
        <v>Abrir facsímil</v>
      </c>
      <c r="K11176" t="s">
        <v>23</v>
      </c>
    </row>
    <row r="11177" spans="1:11" ht="42" customHeight="1">
      <c r="A11177" t="s">
        <v>22224</v>
      </c>
      <c r="B11177" t="s">
        <v>22225</v>
      </c>
      <c r="C11177" t="s">
        <v>17</v>
      </c>
      <c r="D11177" t="s">
        <v>18</v>
      </c>
      <c r="E11177" s="6">
        <v>-27915</v>
      </c>
      <c r="F11177" t="s">
        <v>524</v>
      </c>
      <c r="G11177" t="s">
        <v>20</v>
      </c>
      <c r="H11177" t="s">
        <v>21</v>
      </c>
      <c r="I11177" t="s">
        <v>22226</v>
      </c>
      <c r="J11177" t="str">
        <f>HYPERLINK("https://www.boe.es/gazeta/dias/1823/07/27/pdfs/GES-1823-108.pdf#page=4","Abrir facsímil")</f>
        <v>Abrir facsímil</v>
      </c>
      <c r="K11177" t="s">
        <v>23</v>
      </c>
    </row>
    <row r="11178" spans="1:11" ht="42" customHeight="1">
      <c r="A11178" t="s">
        <v>22227</v>
      </c>
      <c r="B11178" t="s">
        <v>22227</v>
      </c>
      <c r="C11178" t="s">
        <v>17</v>
      </c>
      <c r="D11178" t="s">
        <v>18</v>
      </c>
      <c r="E11178" s="6">
        <v>-27951</v>
      </c>
      <c r="F11178" t="s">
        <v>548</v>
      </c>
      <c r="G11178" t="s">
        <v>48</v>
      </c>
      <c r="H11178" t="s">
        <v>21</v>
      </c>
      <c r="I11178" t="s">
        <v>22228</v>
      </c>
      <c r="J11178" t="str">
        <f>HYPERLINK("https://www.boe.es/gazeta/dias/1823/06/21/pdfs/GES-1823-69.pdf#page=3","Abrir facsímil")</f>
        <v>Abrir facsímil</v>
      </c>
      <c r="K11178" t="s">
        <v>23</v>
      </c>
    </row>
    <row r="11179" spans="1:11" ht="42" customHeight="1">
      <c r="A11179" t="s">
        <v>22229</v>
      </c>
      <c r="B11179" t="s">
        <v>22229</v>
      </c>
      <c r="C11179" t="s">
        <v>17</v>
      </c>
      <c r="D11179" t="s">
        <v>18</v>
      </c>
      <c r="E11179" s="6">
        <v>-28065</v>
      </c>
      <c r="F11179" t="s">
        <v>686</v>
      </c>
      <c r="G11179" t="s">
        <v>48</v>
      </c>
      <c r="H11179" t="s">
        <v>21</v>
      </c>
      <c r="I11179" t="s">
        <v>22230</v>
      </c>
      <c r="J11179" t="str">
        <f>HYPERLINK("https://www.boe.es/gazeta/dias/1823/02/27/pdfs/GMD-1823-61.pdf#page=3","Abrir facsímil")</f>
        <v>Abrir facsímil</v>
      </c>
      <c r="K11179" t="s">
        <v>23</v>
      </c>
    </row>
    <row r="11180" spans="1:11" ht="42" customHeight="1">
      <c r="A11180" t="s">
        <v>22231</v>
      </c>
      <c r="B11180" t="s">
        <v>22231</v>
      </c>
      <c r="C11180" t="s">
        <v>17</v>
      </c>
      <c r="D11180" t="s">
        <v>18</v>
      </c>
      <c r="E11180" s="6">
        <v>-28074</v>
      </c>
      <c r="F11180" t="s">
        <v>212</v>
      </c>
      <c r="G11180" t="s">
        <v>59</v>
      </c>
      <c r="H11180" t="s">
        <v>21</v>
      </c>
      <c r="I11180" t="s">
        <v>22232</v>
      </c>
      <c r="J11180" t="str">
        <f>HYPERLINK("https://www.boe.es/gazeta/dias/1823/02/18/pdfs/GMD-1823-52.pdf#page=6","Abrir facsímil")</f>
        <v>Abrir facsímil</v>
      </c>
      <c r="K11180" t="s">
        <v>23</v>
      </c>
    </row>
    <row r="11181" spans="1:11" ht="42" customHeight="1">
      <c r="A11181" t="s">
        <v>22231</v>
      </c>
      <c r="B11181" t="s">
        <v>22231</v>
      </c>
      <c r="C11181" t="s">
        <v>17</v>
      </c>
      <c r="D11181" t="s">
        <v>18</v>
      </c>
      <c r="E11181" s="6">
        <v>-28002</v>
      </c>
      <c r="F11181" t="s">
        <v>315</v>
      </c>
      <c r="G11181" t="s">
        <v>27</v>
      </c>
      <c r="H11181" t="s">
        <v>21</v>
      </c>
      <c r="I11181" t="s">
        <v>22233</v>
      </c>
      <c r="J11181" t="str">
        <f>HYPERLINK("https://www.boe.es/gazeta/dias/1823/05/01/pdfs/GES-1823-21.pdf#page=2","Abrir facsímil")</f>
        <v>Abrir facsímil</v>
      </c>
      <c r="K11181" t="s">
        <v>23</v>
      </c>
    </row>
    <row r="11182" spans="1:11" ht="42" customHeight="1">
      <c r="A11182" t="s">
        <v>22231</v>
      </c>
      <c r="B11182" t="s">
        <v>22231</v>
      </c>
      <c r="C11182" t="s">
        <v>17</v>
      </c>
      <c r="D11182" t="s">
        <v>18</v>
      </c>
      <c r="E11182" s="6">
        <v>-27906</v>
      </c>
      <c r="F11182" t="s">
        <v>1527</v>
      </c>
      <c r="G11182" t="s">
        <v>34</v>
      </c>
      <c r="H11182" t="s">
        <v>21</v>
      </c>
      <c r="I11182" t="s">
        <v>22234</v>
      </c>
      <c r="J11182" t="str">
        <f>HYPERLINK("https://www.boe.es/gazeta/dias/1823/08/05/pdfs/GMD-1823-533.pdf#page=5","Abrir facsímil")</f>
        <v>Abrir facsímil</v>
      </c>
      <c r="K11182" t="s">
        <v>23</v>
      </c>
    </row>
    <row r="11183" spans="1:11" ht="42" customHeight="1">
      <c r="A11183" t="s">
        <v>22235</v>
      </c>
      <c r="B11183" t="s">
        <v>22236</v>
      </c>
      <c r="C11183" t="s">
        <v>56</v>
      </c>
      <c r="D11183" t="s">
        <v>57</v>
      </c>
      <c r="E11183" s="6">
        <v>-28083</v>
      </c>
      <c r="F11183" t="s">
        <v>291</v>
      </c>
      <c r="G11183" t="s">
        <v>27</v>
      </c>
      <c r="H11183" t="s">
        <v>21</v>
      </c>
      <c r="I11183" t="s">
        <v>22237</v>
      </c>
      <c r="J11183" t="str">
        <f>HYPERLINK("https://www.boe.es/gazeta/dias/1823/02/09/pdfs/GMD-1823-43.pdf#page=2","Abrir facsímil")</f>
        <v>Abrir facsímil</v>
      </c>
      <c r="K11183" t="s">
        <v>23</v>
      </c>
    </row>
    <row r="11184" spans="1:11" ht="42" customHeight="1">
      <c r="A11184" t="s">
        <v>22238</v>
      </c>
      <c r="B11184" t="s">
        <v>22239</v>
      </c>
      <c r="C11184" t="s">
        <v>17</v>
      </c>
      <c r="D11184" t="s">
        <v>18</v>
      </c>
      <c r="E11184" s="6">
        <v>-28074</v>
      </c>
      <c r="F11184" t="s">
        <v>212</v>
      </c>
      <c r="G11184" t="s">
        <v>59</v>
      </c>
      <c r="H11184" t="s">
        <v>28</v>
      </c>
      <c r="I11184" t="s">
        <v>22240</v>
      </c>
      <c r="J11184" t="str">
        <f>HYPERLINK("https://www.boe.es/gazeta/dias/1823/02/18/pdfs/GMD-1823-52.pdf#page=6","Abrir facsímil")</f>
        <v>Abrir facsímil</v>
      </c>
      <c r="K11184" t="s">
        <v>30</v>
      </c>
    </row>
    <row r="11185" spans="1:11" ht="42" customHeight="1">
      <c r="A11185" t="s">
        <v>22241</v>
      </c>
      <c r="B11185" t="s">
        <v>22242</v>
      </c>
      <c r="C11185" t="s">
        <v>17</v>
      </c>
      <c r="D11185" t="s">
        <v>18</v>
      </c>
      <c r="E11185" s="6">
        <v>-28061</v>
      </c>
      <c r="F11185" t="s">
        <v>704</v>
      </c>
      <c r="G11185" t="s">
        <v>39</v>
      </c>
      <c r="H11185" t="s">
        <v>21</v>
      </c>
      <c r="I11185" t="s">
        <v>22243</v>
      </c>
      <c r="J11185" t="str">
        <f>HYPERLINK("https://www.boe.es/gazeta/dias/1823/03/03/pdfs/GMD-1823-66.pdf#page=1","Abrir facsímil")</f>
        <v>Abrir facsímil</v>
      </c>
      <c r="K11185" t="s">
        <v>23</v>
      </c>
    </row>
    <row r="11186" spans="1:11" ht="42" customHeight="1">
      <c r="A11186" t="s">
        <v>22241</v>
      </c>
      <c r="B11186" t="s">
        <v>22242</v>
      </c>
      <c r="C11186" t="s">
        <v>17</v>
      </c>
      <c r="D11186" t="s">
        <v>18</v>
      </c>
      <c r="E11186" s="6">
        <v>-28058</v>
      </c>
      <c r="F11186" t="s">
        <v>1282</v>
      </c>
      <c r="G11186" t="s">
        <v>34</v>
      </c>
      <c r="H11186" t="s">
        <v>21</v>
      </c>
      <c r="I11186" t="s">
        <v>22244</v>
      </c>
      <c r="J11186" t="str">
        <f>HYPERLINK("https://www.boe.es/gazeta/dias/1823/03/06/pdfs/GMD-1823-69.pdf#page=5","Abrir facsímil")</f>
        <v>Abrir facsímil</v>
      </c>
      <c r="K11186" t="s">
        <v>23</v>
      </c>
    </row>
    <row r="11187" spans="1:11" ht="42" customHeight="1">
      <c r="A11187" t="s">
        <v>22245</v>
      </c>
      <c r="B11187" t="s">
        <v>22246</v>
      </c>
      <c r="C11187" t="s">
        <v>56</v>
      </c>
      <c r="D11187" t="s">
        <v>57</v>
      </c>
      <c r="E11187" s="6">
        <v>-28049</v>
      </c>
      <c r="F11187" t="s">
        <v>198</v>
      </c>
      <c r="G11187" t="s">
        <v>27</v>
      </c>
      <c r="H11187" t="s">
        <v>21</v>
      </c>
      <c r="I11187" t="s">
        <v>22247</v>
      </c>
      <c r="J11187" t="str">
        <f>HYPERLINK("https://www.boe.es/gazeta/dias/1823/03/15/pdfs/GMD-1823-78.pdf#page=2","Abrir facsímil")</f>
        <v>Abrir facsímil</v>
      </c>
      <c r="K11187" t="s">
        <v>23</v>
      </c>
    </row>
    <row r="11188" spans="1:11" ht="42" customHeight="1">
      <c r="A11188" t="s">
        <v>22248</v>
      </c>
      <c r="B11188" t="s">
        <v>22249</v>
      </c>
      <c r="C11188" t="s">
        <v>79</v>
      </c>
      <c r="D11188" t="s">
        <v>74</v>
      </c>
      <c r="E11188" s="6">
        <v>-28083</v>
      </c>
      <c r="F11188" t="s">
        <v>291</v>
      </c>
      <c r="G11188" t="s">
        <v>59</v>
      </c>
      <c r="H11188" t="s">
        <v>21</v>
      </c>
      <c r="I11188" t="s">
        <v>22250</v>
      </c>
      <c r="J11188" t="str">
        <f>HYPERLINK("https://www.boe.es/gazeta/dias/1823/02/09/pdfs/GMD-1823-43.pdf#page=6","Abrir facsímil")</f>
        <v>Abrir facsímil</v>
      </c>
      <c r="K11188" t="s">
        <v>23</v>
      </c>
    </row>
    <row r="11189" spans="1:11" ht="42" customHeight="1">
      <c r="A11189" t="s">
        <v>22248</v>
      </c>
      <c r="B11189" t="s">
        <v>22249</v>
      </c>
      <c r="C11189" t="s">
        <v>17</v>
      </c>
      <c r="D11189" t="s">
        <v>18</v>
      </c>
      <c r="E11189" s="6">
        <v>-28074</v>
      </c>
      <c r="F11189" t="s">
        <v>212</v>
      </c>
      <c r="G11189" t="s">
        <v>59</v>
      </c>
      <c r="H11189" t="s">
        <v>21</v>
      </c>
      <c r="I11189" t="s">
        <v>22251</v>
      </c>
      <c r="J11189" t="str">
        <f>HYPERLINK("https://www.boe.es/gazeta/dias/1823/02/18/pdfs/GMD-1823-52.pdf#page=6","Abrir facsímil")</f>
        <v>Abrir facsímil</v>
      </c>
      <c r="K11189" t="s">
        <v>23</v>
      </c>
    </row>
    <row r="11190" spans="1:11" ht="42" customHeight="1">
      <c r="A11190" t="s">
        <v>22248</v>
      </c>
      <c r="B11190" t="s">
        <v>22249</v>
      </c>
      <c r="C11190" t="s">
        <v>17</v>
      </c>
      <c r="D11190" t="s">
        <v>18</v>
      </c>
      <c r="E11190" s="6">
        <v>-28002</v>
      </c>
      <c r="F11190" t="s">
        <v>315</v>
      </c>
      <c r="G11190" t="s">
        <v>1116</v>
      </c>
      <c r="H11190" t="s">
        <v>21</v>
      </c>
      <c r="I11190" t="s">
        <v>22252</v>
      </c>
      <c r="J11190" t="str">
        <f>HYPERLINK("https://www.boe.es/gazeta/dias/1823/05/01/pdfs/GES-1823-21.pdf#page=4","Abrir facsímil")</f>
        <v>Abrir facsímil</v>
      </c>
      <c r="K11190" t="s">
        <v>23</v>
      </c>
    </row>
    <row r="11191" spans="1:11" ht="42" customHeight="1">
      <c r="A11191" t="s">
        <v>22248</v>
      </c>
      <c r="B11191" t="s">
        <v>22249</v>
      </c>
      <c r="C11191" t="s">
        <v>56</v>
      </c>
      <c r="D11191" t="s">
        <v>57</v>
      </c>
      <c r="E11191" s="6">
        <v>-28001</v>
      </c>
      <c r="F11191" t="s">
        <v>768</v>
      </c>
      <c r="G11191" t="s">
        <v>48</v>
      </c>
      <c r="H11191" t="s">
        <v>21</v>
      </c>
      <c r="I11191" t="s">
        <v>22253</v>
      </c>
      <c r="J11191" t="str">
        <f>HYPERLINK("https://www.boe.es/gazeta/dias/1823/05/02/pdfs/GES-1823-22.pdf#page=3","Abrir facsímil")</f>
        <v>Abrir facsímil</v>
      </c>
      <c r="K11191" t="s">
        <v>23</v>
      </c>
    </row>
    <row r="11192" spans="1:11" ht="42" customHeight="1">
      <c r="A11192" t="s">
        <v>22254</v>
      </c>
      <c r="B11192" t="s">
        <v>22255</v>
      </c>
      <c r="C11192" t="s">
        <v>79</v>
      </c>
      <c r="D11192" t="s">
        <v>74</v>
      </c>
      <c r="E11192" s="6">
        <v>-28107</v>
      </c>
      <c r="F11192" t="s">
        <v>278</v>
      </c>
      <c r="G11192" t="s">
        <v>2827</v>
      </c>
      <c r="H11192" t="s">
        <v>21</v>
      </c>
      <c r="I11192" t="s">
        <v>22256</v>
      </c>
      <c r="J11192" t="str">
        <f>HYPERLINK("https://www.boe.es/gazeta/dias/1823/01/16/pdfs/GMD-1823-16.pdf#page=6","Abrir facsímil")</f>
        <v>Abrir facsímil</v>
      </c>
      <c r="K11192" t="s">
        <v>23</v>
      </c>
    </row>
    <row r="11193" spans="1:11" ht="42" customHeight="1">
      <c r="A11193" t="s">
        <v>22257</v>
      </c>
      <c r="B11193" t="s">
        <v>22257</v>
      </c>
      <c r="C11193" t="s">
        <v>73</v>
      </c>
      <c r="D11193" t="s">
        <v>74</v>
      </c>
      <c r="E11193" s="6">
        <v>-28065</v>
      </c>
      <c r="F11193" t="s">
        <v>686</v>
      </c>
      <c r="G11193" t="s">
        <v>48</v>
      </c>
      <c r="H11193" t="s">
        <v>21</v>
      </c>
      <c r="I11193" t="s">
        <v>22258</v>
      </c>
      <c r="J11193" t="str">
        <f>HYPERLINK("https://www.boe.es/gazeta/dias/1823/02/27/pdfs/GMD-1823-61.pdf#page=3","Abrir facsímil")</f>
        <v>Abrir facsímil</v>
      </c>
      <c r="K11193" t="s">
        <v>23</v>
      </c>
    </row>
    <row r="11194" spans="1:11" ht="42" customHeight="1">
      <c r="A11194" t="s">
        <v>22259</v>
      </c>
      <c r="B11194" t="s">
        <v>22260</v>
      </c>
      <c r="C11194" t="s">
        <v>79</v>
      </c>
      <c r="D11194" t="s">
        <v>74</v>
      </c>
      <c r="E11194" s="6">
        <v>-27968</v>
      </c>
      <c r="F11194" t="s">
        <v>1160</v>
      </c>
      <c r="G11194" t="s">
        <v>1676</v>
      </c>
      <c r="H11194" t="s">
        <v>21</v>
      </c>
      <c r="I11194" t="s">
        <v>22261</v>
      </c>
      <c r="J11194" t="str">
        <f>HYPERLINK("https://www.boe.es/gazeta/dias/1823/06/04/pdfs/GES-1823-58.pdf#page=6","Abrir facsímil")</f>
        <v>Abrir facsímil</v>
      </c>
      <c r="K11194" t="s">
        <v>23</v>
      </c>
    </row>
    <row r="11195" spans="1:11" ht="42" customHeight="1">
      <c r="A11195" t="s">
        <v>22262</v>
      </c>
      <c r="B11195" t="s">
        <v>22263</v>
      </c>
      <c r="C11195" t="s">
        <v>17</v>
      </c>
      <c r="D11195" t="s">
        <v>18</v>
      </c>
      <c r="E11195" s="6">
        <v>-27991</v>
      </c>
      <c r="F11195" t="s">
        <v>328</v>
      </c>
      <c r="G11195" t="s">
        <v>27</v>
      </c>
      <c r="H11195" t="s">
        <v>21</v>
      </c>
      <c r="I11195" t="s">
        <v>22264</v>
      </c>
      <c r="J11195" t="str">
        <f>HYPERLINK("https://www.boe.es/gazeta/dias/1823/05/12/pdfs/GES-1823-32.pdf#page=2","Abrir facsímil")</f>
        <v>Abrir facsímil</v>
      </c>
      <c r="K11195" t="s">
        <v>23</v>
      </c>
    </row>
    <row r="11196" spans="1:11" ht="42" customHeight="1">
      <c r="A11196" t="s">
        <v>22265</v>
      </c>
      <c r="B11196" t="s">
        <v>22266</v>
      </c>
      <c r="C11196" t="s">
        <v>109</v>
      </c>
      <c r="D11196" t="s">
        <v>74</v>
      </c>
      <c r="E11196" s="6">
        <v>-28004</v>
      </c>
      <c r="F11196" t="s">
        <v>33</v>
      </c>
      <c r="G11196" t="s">
        <v>27</v>
      </c>
      <c r="H11196" t="s">
        <v>21</v>
      </c>
      <c r="I11196" t="s">
        <v>22267</v>
      </c>
      <c r="J11196" t="str">
        <f>HYPERLINK("https://www.boe.es/gazeta/dias/1823/04/29/pdfs/GES-1823-19.pdf#page=2","Abrir facsímil")</f>
        <v>Abrir facsímil</v>
      </c>
      <c r="K11196" t="s">
        <v>23</v>
      </c>
    </row>
    <row r="11197" spans="1:11" ht="42" customHeight="1">
      <c r="A11197" t="s">
        <v>22268</v>
      </c>
      <c r="B11197" t="s">
        <v>22269</v>
      </c>
      <c r="C11197" t="s">
        <v>79</v>
      </c>
      <c r="D11197" t="s">
        <v>74</v>
      </c>
      <c r="E11197" s="6">
        <v>-28037</v>
      </c>
      <c r="F11197" t="s">
        <v>192</v>
      </c>
      <c r="G11197" t="s">
        <v>48</v>
      </c>
      <c r="H11197" t="s">
        <v>21</v>
      </c>
      <c r="I11197" t="s">
        <v>22270</v>
      </c>
      <c r="J11197" t="str">
        <f>HYPERLINK("https://www.boe.es/gazeta/dias/1823/03/27/pdfs/GMD-1823-90.pdf#page=3","Abrir facsímil")</f>
        <v>Abrir facsímil</v>
      </c>
      <c r="K11197" t="s">
        <v>23</v>
      </c>
    </row>
    <row r="11198" spans="1:11" ht="42" customHeight="1">
      <c r="A11198" t="s">
        <v>22271</v>
      </c>
      <c r="B11198" t="s">
        <v>22272</v>
      </c>
      <c r="C11198" t="s">
        <v>79</v>
      </c>
      <c r="D11198" t="s">
        <v>74</v>
      </c>
      <c r="E11198" s="6">
        <v>-28000</v>
      </c>
      <c r="F11198" t="s">
        <v>138</v>
      </c>
      <c r="G11198" t="s">
        <v>20</v>
      </c>
      <c r="H11198" t="s">
        <v>21</v>
      </c>
      <c r="I11198" t="s">
        <v>22273</v>
      </c>
      <c r="J11198" t="str">
        <f>HYPERLINK("https://www.boe.es/gazeta/dias/1823/05/03/pdfs/GMD-1823-92.pdf#page=4","Abrir facsímil")</f>
        <v>Abrir facsímil</v>
      </c>
      <c r="K11198" t="s">
        <v>23</v>
      </c>
    </row>
    <row r="11199" spans="1:11" ht="42" customHeight="1">
      <c r="A11199" t="s">
        <v>22274</v>
      </c>
      <c r="B11199" t="s">
        <v>22274</v>
      </c>
      <c r="C11199" t="s">
        <v>79</v>
      </c>
      <c r="D11199" t="s">
        <v>74</v>
      </c>
      <c r="E11199" s="6">
        <v>-27880</v>
      </c>
      <c r="F11199" t="s">
        <v>6307</v>
      </c>
      <c r="G11199" t="s">
        <v>48</v>
      </c>
      <c r="H11199" t="s">
        <v>21</v>
      </c>
      <c r="I11199" t="s">
        <v>22275</v>
      </c>
      <c r="J11199" t="str">
        <f>HYPERLINK("https://www.boe.es/gazeta/dias/1823/08/31/pdfs/GES-1823-144.pdf#page=3","Abrir facsímil")</f>
        <v>Abrir facsímil</v>
      </c>
      <c r="K11199" t="s">
        <v>23</v>
      </c>
    </row>
    <row r="11200" spans="1:11" ht="42" customHeight="1">
      <c r="A11200" t="s">
        <v>22276</v>
      </c>
      <c r="B11200" t="s">
        <v>22276</v>
      </c>
      <c r="C11200" t="s">
        <v>17</v>
      </c>
      <c r="D11200" t="s">
        <v>18</v>
      </c>
      <c r="E11200" s="6">
        <v>-28046</v>
      </c>
      <c r="F11200" t="s">
        <v>85</v>
      </c>
      <c r="G11200" t="s">
        <v>27</v>
      </c>
      <c r="H11200" t="s">
        <v>21</v>
      </c>
      <c r="I11200" t="s">
        <v>22277</v>
      </c>
      <c r="J11200" t="str">
        <f>HYPERLINK("https://www.boe.es/gazeta/dias/1823/03/18/pdfs/GMD-1823-81.pdf#page=2","Abrir facsímil")</f>
        <v>Abrir facsímil</v>
      </c>
      <c r="K11200" t="s">
        <v>23</v>
      </c>
    </row>
    <row r="11201" spans="1:11" ht="42" customHeight="1">
      <c r="A11201" t="s">
        <v>22278</v>
      </c>
      <c r="B11201" t="s">
        <v>22279</v>
      </c>
      <c r="C11201" t="s">
        <v>73</v>
      </c>
      <c r="D11201" t="s">
        <v>74</v>
      </c>
      <c r="E11201" s="6">
        <v>-28053</v>
      </c>
      <c r="F11201" t="s">
        <v>303</v>
      </c>
      <c r="G11201" t="s">
        <v>48</v>
      </c>
      <c r="H11201" t="s">
        <v>21</v>
      </c>
      <c r="I11201" t="s">
        <v>22280</v>
      </c>
      <c r="J11201" t="str">
        <f>HYPERLINK("https://www.boe.es/gazeta/dias/1823/03/11/pdfs/GMD-1823-74.pdf#page=3","Abrir facsímil")</f>
        <v>Abrir facsímil</v>
      </c>
      <c r="K11201" t="s">
        <v>23</v>
      </c>
    </row>
    <row r="11202" spans="1:11" ht="42" customHeight="1">
      <c r="A11202" t="s">
        <v>22281</v>
      </c>
      <c r="B11202" t="s">
        <v>22282</v>
      </c>
      <c r="C11202" t="s">
        <v>17</v>
      </c>
      <c r="D11202" t="s">
        <v>18</v>
      </c>
      <c r="E11202" s="6">
        <v>-28004</v>
      </c>
      <c r="F11202" t="s">
        <v>33</v>
      </c>
      <c r="G11202" t="s">
        <v>34</v>
      </c>
      <c r="H11202" t="s">
        <v>21</v>
      </c>
      <c r="I11202" t="s">
        <v>22283</v>
      </c>
      <c r="J11202" t="str">
        <f>HYPERLINK("https://www.boe.es/gazeta/dias/1823/04/29/pdfs/GES-1823-19.pdf#page=5","Abrir facsímil")</f>
        <v>Abrir facsímil</v>
      </c>
      <c r="K11202" t="s">
        <v>23</v>
      </c>
    </row>
    <row r="11203" spans="1:11" ht="42" customHeight="1">
      <c r="A11203" t="s">
        <v>22284</v>
      </c>
      <c r="B11203" t="s">
        <v>22284</v>
      </c>
      <c r="C11203" t="s">
        <v>73</v>
      </c>
      <c r="D11203" t="s">
        <v>74</v>
      </c>
      <c r="E11203" s="6">
        <v>-28084</v>
      </c>
      <c r="F11203" t="s">
        <v>1049</v>
      </c>
      <c r="G11203" t="s">
        <v>48</v>
      </c>
      <c r="H11203" t="s">
        <v>21</v>
      </c>
      <c r="I11203" t="s">
        <v>22285</v>
      </c>
      <c r="J11203" t="str">
        <f>HYPERLINK("https://www.boe.es/gazeta/dias/1823/02/08/pdfs/GMD-1823-41.pdf#page=3","Abrir facsímil")</f>
        <v>Abrir facsímil</v>
      </c>
      <c r="K11203" t="s">
        <v>23</v>
      </c>
    </row>
    <row r="11204" spans="1:11" ht="42" customHeight="1">
      <c r="A11204" t="s">
        <v>22284</v>
      </c>
      <c r="B11204" t="s">
        <v>22284</v>
      </c>
      <c r="C11204" t="s">
        <v>79</v>
      </c>
      <c r="D11204" t="s">
        <v>74</v>
      </c>
      <c r="E11204" s="6">
        <v>-28046</v>
      </c>
      <c r="F11204" t="s">
        <v>85</v>
      </c>
      <c r="G11204" t="s">
        <v>27</v>
      </c>
      <c r="H11204" t="s">
        <v>21</v>
      </c>
      <c r="I11204" t="s">
        <v>22286</v>
      </c>
      <c r="J11204" t="str">
        <f>HYPERLINK("https://www.boe.es/gazeta/dias/1823/03/18/pdfs/GMD-1823-81.pdf#page=2","Abrir facsímil")</f>
        <v>Abrir facsímil</v>
      </c>
      <c r="K11204" t="s">
        <v>23</v>
      </c>
    </row>
    <row r="11205" spans="1:11" ht="42" customHeight="1">
      <c r="A11205" t="s">
        <v>22287</v>
      </c>
      <c r="B11205" t="s">
        <v>22287</v>
      </c>
      <c r="C11205" t="s">
        <v>109</v>
      </c>
      <c r="D11205" t="s">
        <v>74</v>
      </c>
      <c r="E11205" s="6">
        <v>-27986</v>
      </c>
      <c r="F11205" t="s">
        <v>607</v>
      </c>
      <c r="G11205" t="s">
        <v>27</v>
      </c>
      <c r="H11205" t="s">
        <v>21</v>
      </c>
      <c r="I11205" t="s">
        <v>22288</v>
      </c>
      <c r="J11205" t="str">
        <f>HYPERLINK("https://www.boe.es/gazeta/dias/1823/05/17/pdfs/GMD-1823-152.pdf#page=2","Abrir facsímil")</f>
        <v>Abrir facsímil</v>
      </c>
      <c r="K11205" t="s">
        <v>23</v>
      </c>
    </row>
    <row r="11206" spans="1:11" ht="42" customHeight="1">
      <c r="A11206" t="s">
        <v>22289</v>
      </c>
      <c r="B11206" t="s">
        <v>22290</v>
      </c>
      <c r="C11206" t="s">
        <v>17</v>
      </c>
      <c r="D11206" t="s">
        <v>18</v>
      </c>
      <c r="E11206" s="6">
        <v>-27946</v>
      </c>
      <c r="F11206" t="s">
        <v>1547</v>
      </c>
      <c r="G11206" t="s">
        <v>48</v>
      </c>
      <c r="H11206" t="s">
        <v>21</v>
      </c>
      <c r="I11206" t="s">
        <v>22291</v>
      </c>
      <c r="J11206" t="str">
        <f>HYPERLINK("https://www.boe.es/gazeta/dias/1823/06/26/pdfs/GMD-1823-283.pdf#page=3","Abrir facsímil")</f>
        <v>Abrir facsímil</v>
      </c>
      <c r="K11206" t="s">
        <v>23</v>
      </c>
    </row>
    <row r="11207" spans="1:11" ht="42" customHeight="1">
      <c r="A11207" t="s">
        <v>22292</v>
      </c>
      <c r="B11207" t="s">
        <v>22293</v>
      </c>
      <c r="C11207" t="s">
        <v>17</v>
      </c>
      <c r="D11207" t="s">
        <v>18</v>
      </c>
      <c r="E11207" s="6">
        <v>-28091</v>
      </c>
      <c r="F11207" t="s">
        <v>1047</v>
      </c>
      <c r="G11207" t="s">
        <v>59</v>
      </c>
      <c r="H11207" t="s">
        <v>21</v>
      </c>
      <c r="I11207" t="s">
        <v>22294</v>
      </c>
      <c r="J11207" t="str">
        <f>HYPERLINK("https://www.boe.es/gazeta/dias/1823/02/01/pdfs/GMD-1823-34.pdf#page=6","Abrir facsímil")</f>
        <v>Abrir facsímil</v>
      </c>
      <c r="K11207" t="s">
        <v>23</v>
      </c>
    </row>
    <row r="11208" spans="1:11" ht="42" customHeight="1">
      <c r="A11208" t="s">
        <v>22295</v>
      </c>
      <c r="B11208" t="s">
        <v>22296</v>
      </c>
      <c r="C11208" t="s">
        <v>17</v>
      </c>
      <c r="D11208" t="s">
        <v>18</v>
      </c>
      <c r="E11208" s="6">
        <v>-28089</v>
      </c>
      <c r="F11208" t="s">
        <v>1979</v>
      </c>
      <c r="G11208" t="s">
        <v>27</v>
      </c>
      <c r="H11208" t="s">
        <v>21</v>
      </c>
      <c r="I11208" t="s">
        <v>22297</v>
      </c>
      <c r="J11208" t="str">
        <f>HYPERLINK("https://www.boe.es/gazeta/dias/1823/02/03/pdfs/GMD-1823-36.pdf#page=2","Abrir facsímil")</f>
        <v>Abrir facsímil</v>
      </c>
      <c r="K11208" t="s">
        <v>23</v>
      </c>
    </row>
    <row r="11209" spans="1:11" ht="42" customHeight="1">
      <c r="A11209" t="s">
        <v>22298</v>
      </c>
      <c r="B11209" t="s">
        <v>22298</v>
      </c>
      <c r="C11209" t="s">
        <v>109</v>
      </c>
      <c r="D11209" t="s">
        <v>74</v>
      </c>
      <c r="E11209" s="6">
        <v>-28087</v>
      </c>
      <c r="F11209" t="s">
        <v>3125</v>
      </c>
      <c r="G11209" t="s">
        <v>20</v>
      </c>
      <c r="H11209" t="s">
        <v>21</v>
      </c>
      <c r="I11209" t="s">
        <v>22299</v>
      </c>
      <c r="J11209" t="str">
        <f>HYPERLINK("https://www.boe.es/gazeta/dias/1823/02/05/pdfs/GMD-1823-38.pdf#page=4","Abrir facsímil")</f>
        <v>Abrir facsímil</v>
      </c>
      <c r="K11209" t="s">
        <v>23</v>
      </c>
    </row>
    <row r="11210" spans="1:11" ht="42" customHeight="1">
      <c r="A11210" t="s">
        <v>22300</v>
      </c>
      <c r="B11210" t="s">
        <v>22300</v>
      </c>
      <c r="C11210" t="s">
        <v>17</v>
      </c>
      <c r="D11210" t="s">
        <v>18</v>
      </c>
      <c r="E11210" s="6">
        <v>-27913</v>
      </c>
      <c r="F11210" t="s">
        <v>821</v>
      </c>
      <c r="G11210" t="s">
        <v>39</v>
      </c>
      <c r="H11210" t="s">
        <v>21</v>
      </c>
      <c r="I11210" t="s">
        <v>22301</v>
      </c>
      <c r="J11210" t="str">
        <f>HYPERLINK("https://www.boe.es/gazeta/dias/1823/07/29/pdfs/GES-1823-110.pdf#page=1","Abrir facsímil")</f>
        <v>Abrir facsímil</v>
      </c>
      <c r="K11210" t="s">
        <v>23</v>
      </c>
    </row>
    <row r="11211" spans="1:11" ht="42" customHeight="1">
      <c r="A11211" t="s">
        <v>22302</v>
      </c>
      <c r="B11211" t="s">
        <v>22303</v>
      </c>
      <c r="C11211" t="s">
        <v>56</v>
      </c>
      <c r="D11211" t="s">
        <v>57</v>
      </c>
      <c r="E11211" s="6">
        <v>-27868</v>
      </c>
      <c r="F11211" t="s">
        <v>2166</v>
      </c>
      <c r="G11211" t="s">
        <v>39</v>
      </c>
      <c r="H11211" t="s">
        <v>21</v>
      </c>
      <c r="I11211" t="s">
        <v>22304</v>
      </c>
      <c r="J11211" t="str">
        <f>HYPERLINK("https://www.boe.es/gazeta/dias/1823/09/12/pdfs/GES-1823-156.pdf#page=1","Abrir facsímil")</f>
        <v>Abrir facsímil</v>
      </c>
      <c r="K11211" t="s">
        <v>23</v>
      </c>
    </row>
    <row r="11212" spans="1:11" ht="42" customHeight="1">
      <c r="A11212" t="s">
        <v>22305</v>
      </c>
      <c r="B11212" t="s">
        <v>22305</v>
      </c>
      <c r="C11212" t="s">
        <v>109</v>
      </c>
      <c r="D11212" t="s">
        <v>74</v>
      </c>
      <c r="E11212" s="6">
        <v>-27987</v>
      </c>
      <c r="F11212" t="s">
        <v>332</v>
      </c>
      <c r="G11212" t="s">
        <v>333</v>
      </c>
      <c r="H11212" t="s">
        <v>21</v>
      </c>
      <c r="I11212" t="s">
        <v>22306</v>
      </c>
      <c r="J11212" t="str">
        <f>HYPERLINK("https://www.boe.es/gazeta/dias/1823/05/16/pdfs/GES-1823-36.pdf#page=2","Abrir facsímil")</f>
        <v>Abrir facsímil</v>
      </c>
      <c r="K11212" t="s">
        <v>23</v>
      </c>
    </row>
    <row r="11213" spans="1:11" ht="42" customHeight="1">
      <c r="A11213" t="s">
        <v>22307</v>
      </c>
      <c r="B11213" t="s">
        <v>22307</v>
      </c>
      <c r="C11213" t="s">
        <v>17</v>
      </c>
      <c r="D11213" t="s">
        <v>18</v>
      </c>
      <c r="E11213" s="6">
        <v>-28057</v>
      </c>
      <c r="F11213" t="s">
        <v>301</v>
      </c>
      <c r="G11213" t="s">
        <v>48</v>
      </c>
      <c r="H11213" t="s">
        <v>21</v>
      </c>
      <c r="I11213" t="s">
        <v>22308</v>
      </c>
      <c r="J11213" t="str">
        <f>HYPERLINK("https://www.boe.es/gazeta/dias/1823/03/07/pdfs/GMD-1823-70.pdf#page=3","Abrir facsímil")</f>
        <v>Abrir facsímil</v>
      </c>
      <c r="K11213" t="s">
        <v>23</v>
      </c>
    </row>
    <row r="11214" spans="1:11" ht="42" customHeight="1">
      <c r="A11214" t="s">
        <v>22309</v>
      </c>
      <c r="B11214" t="s">
        <v>22309</v>
      </c>
      <c r="C11214" t="s">
        <v>109</v>
      </c>
      <c r="D11214" t="s">
        <v>74</v>
      </c>
      <c r="E11214" s="6">
        <v>-28110</v>
      </c>
      <c r="F11214" t="s">
        <v>249</v>
      </c>
      <c r="G11214" t="s">
        <v>39</v>
      </c>
      <c r="H11214" t="s">
        <v>21</v>
      </c>
      <c r="I11214" t="s">
        <v>22310</v>
      </c>
      <c r="J11214" t="str">
        <f>HYPERLINK("https://www.boe.es/gazeta/dias/1823/01/13/pdfs/GMD-1823-13.pdf#page=1","Abrir facsímil")</f>
        <v>Abrir facsímil</v>
      </c>
      <c r="K11214" t="s">
        <v>23</v>
      </c>
    </row>
    <row r="11215" spans="1:11" ht="42" customHeight="1">
      <c r="A11215" t="s">
        <v>22309</v>
      </c>
      <c r="B11215" t="s">
        <v>22309</v>
      </c>
      <c r="C11215" t="s">
        <v>56</v>
      </c>
      <c r="D11215" t="s">
        <v>57</v>
      </c>
      <c r="E11215" s="6">
        <v>-27997</v>
      </c>
      <c r="F11215" t="s">
        <v>317</v>
      </c>
      <c r="G11215" t="s">
        <v>20</v>
      </c>
      <c r="H11215" t="s">
        <v>21</v>
      </c>
      <c r="I11215" t="s">
        <v>22311</v>
      </c>
      <c r="J11215" t="str">
        <f>HYPERLINK("https://www.boe.es/gazeta/dias/1823/05/06/pdfs/GES-1823-26.pdf#page=4","Abrir facsímil")</f>
        <v>Abrir facsímil</v>
      </c>
      <c r="K11215" t="s">
        <v>23</v>
      </c>
    </row>
    <row r="11216" spans="1:11" ht="42" customHeight="1">
      <c r="A11216" t="s">
        <v>22312</v>
      </c>
      <c r="B11216" t="s">
        <v>22312</v>
      </c>
      <c r="C11216" t="s">
        <v>73</v>
      </c>
      <c r="D11216" t="s">
        <v>74</v>
      </c>
      <c r="E11216" s="6">
        <v>-28096</v>
      </c>
      <c r="F11216" t="s">
        <v>534</v>
      </c>
      <c r="G11216" t="s">
        <v>27</v>
      </c>
      <c r="H11216" t="s">
        <v>21</v>
      </c>
      <c r="I11216" t="s">
        <v>22313</v>
      </c>
      <c r="J11216" t="str">
        <f>HYPERLINK("https://www.boe.es/gazeta/dias/1823/01/27/pdfs/GMD-1823-28.pdf#page=2","Abrir facsímil")</f>
        <v>Abrir facsímil</v>
      </c>
      <c r="K11216" t="s">
        <v>23</v>
      </c>
    </row>
    <row r="11217" spans="1:11" ht="42" customHeight="1">
      <c r="A11217" t="s">
        <v>22314</v>
      </c>
      <c r="B11217" t="s">
        <v>22314</v>
      </c>
      <c r="C11217" t="s">
        <v>79</v>
      </c>
      <c r="D11217" t="s">
        <v>74</v>
      </c>
      <c r="E11217" s="6">
        <v>-27989</v>
      </c>
      <c r="F11217" t="s">
        <v>1134</v>
      </c>
      <c r="G11217" t="s">
        <v>27</v>
      </c>
      <c r="H11217" t="s">
        <v>21</v>
      </c>
      <c r="I11217" t="s">
        <v>22315</v>
      </c>
      <c r="J11217" t="str">
        <f>HYPERLINK("https://www.boe.es/gazeta/dias/1823/05/14/pdfs/GES-1823-34.pdf#page=2","Abrir facsímil")</f>
        <v>Abrir facsímil</v>
      </c>
      <c r="K11217" t="s">
        <v>23</v>
      </c>
    </row>
    <row r="11218" spans="1:11" ht="42" customHeight="1">
      <c r="A11218" t="s">
        <v>22316</v>
      </c>
      <c r="B11218" t="s">
        <v>22317</v>
      </c>
      <c r="C11218" t="s">
        <v>56</v>
      </c>
      <c r="D11218" t="s">
        <v>57</v>
      </c>
      <c r="E11218" s="6">
        <v>-28084</v>
      </c>
      <c r="F11218" t="s">
        <v>1049</v>
      </c>
      <c r="G11218" t="s">
        <v>20</v>
      </c>
      <c r="H11218" t="s">
        <v>21</v>
      </c>
      <c r="I11218" t="s">
        <v>22318</v>
      </c>
      <c r="J11218" t="str">
        <f>HYPERLINK("https://www.boe.es/gazeta/dias/1823/02/08/pdfs/GMD-1823-41.pdf#page=4","Abrir facsímil")</f>
        <v>Abrir facsímil</v>
      </c>
      <c r="K11218" t="s">
        <v>23</v>
      </c>
    </row>
    <row r="11219" spans="1:11" ht="42" customHeight="1">
      <c r="A11219" t="s">
        <v>22319</v>
      </c>
      <c r="B11219" t="s">
        <v>22319</v>
      </c>
      <c r="C11219" t="s">
        <v>17</v>
      </c>
      <c r="D11219" t="s">
        <v>18</v>
      </c>
      <c r="E11219" s="6">
        <v>-28098</v>
      </c>
      <c r="F11219" t="s">
        <v>1101</v>
      </c>
      <c r="G11219" t="s">
        <v>48</v>
      </c>
      <c r="H11219" t="s">
        <v>21</v>
      </c>
      <c r="I11219" t="s">
        <v>22320</v>
      </c>
      <c r="J11219" t="str">
        <f>HYPERLINK("https://www.boe.es/gazeta/dias/1823/01/25/pdfs/GMD-1823-26.pdf#page=3","Abrir facsímil")</f>
        <v>Abrir facsímil</v>
      </c>
      <c r="K11219" t="s">
        <v>23</v>
      </c>
    </row>
    <row r="11220" spans="1:11" ht="42" customHeight="1">
      <c r="A11220" t="s">
        <v>22321</v>
      </c>
      <c r="B11220" t="s">
        <v>22321</v>
      </c>
      <c r="C11220" t="s">
        <v>79</v>
      </c>
      <c r="D11220" t="s">
        <v>74</v>
      </c>
      <c r="E11220" s="6">
        <v>-27868</v>
      </c>
      <c r="F11220" t="s">
        <v>2166</v>
      </c>
      <c r="G11220" t="s">
        <v>27</v>
      </c>
      <c r="H11220" t="s">
        <v>21</v>
      </c>
      <c r="I11220" t="s">
        <v>22322</v>
      </c>
      <c r="J11220" t="str">
        <f>HYPERLINK("https://www.boe.es/gazeta/dias/1823/09/12/pdfs/GES-1823-156.pdf#page=2","Abrir facsímil")</f>
        <v>Abrir facsímil</v>
      </c>
      <c r="K11220" t="s">
        <v>23</v>
      </c>
    </row>
    <row r="11221" spans="1:11" ht="42" customHeight="1">
      <c r="A11221" t="s">
        <v>22323</v>
      </c>
      <c r="B11221" t="s">
        <v>22323</v>
      </c>
      <c r="C11221" t="s">
        <v>56</v>
      </c>
      <c r="D11221" t="s">
        <v>57</v>
      </c>
      <c r="E11221" s="6">
        <v>-28047</v>
      </c>
      <c r="F11221" t="s">
        <v>2269</v>
      </c>
      <c r="G11221" t="s">
        <v>48</v>
      </c>
      <c r="H11221" t="s">
        <v>21</v>
      </c>
      <c r="I11221" t="s">
        <v>22324</v>
      </c>
      <c r="J11221" t="str">
        <f>HYPERLINK("https://www.boe.es/gazeta/dias/1823/03/17/pdfs/GMD-1823-80.pdf#page=3","Abrir facsímil")</f>
        <v>Abrir facsímil</v>
      </c>
      <c r="K11221" t="s">
        <v>23</v>
      </c>
    </row>
    <row r="11222" spans="1:11" ht="42" customHeight="1">
      <c r="A11222" t="s">
        <v>22323</v>
      </c>
      <c r="B11222" t="s">
        <v>22323</v>
      </c>
      <c r="C11222" t="s">
        <v>73</v>
      </c>
      <c r="D11222" t="s">
        <v>74</v>
      </c>
      <c r="E11222" s="6">
        <v>-28001</v>
      </c>
      <c r="F11222" t="s">
        <v>768</v>
      </c>
      <c r="G11222" t="s">
        <v>48</v>
      </c>
      <c r="H11222" t="s">
        <v>21</v>
      </c>
      <c r="I11222" t="s">
        <v>22325</v>
      </c>
      <c r="J11222" t="str">
        <f>HYPERLINK("https://www.boe.es/gazeta/dias/1823/05/02/pdfs/GES-1823-22.pdf#page=3","Abrir facsímil")</f>
        <v>Abrir facsímil</v>
      </c>
      <c r="K11222" t="s">
        <v>23</v>
      </c>
    </row>
    <row r="11223" spans="1:11" ht="42" customHeight="1">
      <c r="A11223" t="s">
        <v>22323</v>
      </c>
      <c r="B11223" t="s">
        <v>22323</v>
      </c>
      <c r="C11223" t="s">
        <v>109</v>
      </c>
      <c r="D11223" t="s">
        <v>74</v>
      </c>
      <c r="E11223" s="6">
        <v>-27997</v>
      </c>
      <c r="F11223" t="s">
        <v>317</v>
      </c>
      <c r="G11223" t="s">
        <v>318</v>
      </c>
      <c r="H11223" t="s">
        <v>21</v>
      </c>
      <c r="I11223" t="s">
        <v>22326</v>
      </c>
      <c r="J11223" t="str">
        <f>HYPERLINK("https://www.boe.es/gazeta/dias/1823/05/06/pdfs/GES-1823-26.pdf#page=3","Abrir facsímil")</f>
        <v>Abrir facsímil</v>
      </c>
      <c r="K11223" t="s">
        <v>23</v>
      </c>
    </row>
    <row r="11224" spans="1:11" ht="42" customHeight="1">
      <c r="A11224" t="s">
        <v>22323</v>
      </c>
      <c r="B11224" t="s">
        <v>22323</v>
      </c>
      <c r="C11224" t="s">
        <v>17</v>
      </c>
      <c r="D11224" t="s">
        <v>18</v>
      </c>
      <c r="E11224" s="6">
        <v>-27969</v>
      </c>
      <c r="F11224" t="s">
        <v>855</v>
      </c>
      <c r="G11224" t="s">
        <v>20</v>
      </c>
      <c r="H11224" t="s">
        <v>21</v>
      </c>
      <c r="I11224" t="s">
        <v>22327</v>
      </c>
      <c r="J11224" t="str">
        <f>HYPERLINK("https://www.boe.es/gazeta/dias/1823/06/03/pdfs/GES-1823-57.pdf#page=4","Abrir facsímil")</f>
        <v>Abrir facsímil</v>
      </c>
      <c r="K11224" t="s">
        <v>23</v>
      </c>
    </row>
    <row r="11225" spans="1:11" ht="42" customHeight="1">
      <c r="A11225" t="s">
        <v>22323</v>
      </c>
      <c r="B11225" t="s">
        <v>22323</v>
      </c>
      <c r="C11225" t="s">
        <v>109</v>
      </c>
      <c r="D11225" t="s">
        <v>74</v>
      </c>
      <c r="E11225" s="6">
        <v>-27937</v>
      </c>
      <c r="F11225" t="s">
        <v>730</v>
      </c>
      <c r="G11225" t="s">
        <v>39</v>
      </c>
      <c r="H11225" t="s">
        <v>21</v>
      </c>
      <c r="I11225" t="s">
        <v>22328</v>
      </c>
      <c r="J11225" t="str">
        <f>HYPERLINK("https://www.boe.es/gazeta/dias/1823/07/05/pdfs/GES-1823-85.pdf#page=1","Abrir facsímil")</f>
        <v>Abrir facsímil</v>
      </c>
      <c r="K11225" t="s">
        <v>23</v>
      </c>
    </row>
    <row r="11226" spans="1:11" ht="42" customHeight="1">
      <c r="A11226" t="s">
        <v>22323</v>
      </c>
      <c r="B11226" t="s">
        <v>22323</v>
      </c>
      <c r="C11226" t="s">
        <v>17</v>
      </c>
      <c r="D11226" t="s">
        <v>18</v>
      </c>
      <c r="E11226" s="6">
        <v>-27930</v>
      </c>
      <c r="F11226" t="s">
        <v>2334</v>
      </c>
      <c r="G11226" t="s">
        <v>39</v>
      </c>
      <c r="H11226" t="s">
        <v>21</v>
      </c>
      <c r="I11226" t="s">
        <v>22329</v>
      </c>
      <c r="J11226" t="str">
        <f>HYPERLINK("https://www.boe.es/gazeta/dias/1823/07/12/pdfs/GES-1823-92.pdf#page=1","Abrir facsímil")</f>
        <v>Abrir facsímil</v>
      </c>
      <c r="K11226" t="s">
        <v>23</v>
      </c>
    </row>
    <row r="11227" spans="1:11" ht="42" customHeight="1">
      <c r="A11227" t="s">
        <v>22323</v>
      </c>
      <c r="B11227" t="s">
        <v>22323</v>
      </c>
      <c r="C11227" t="s">
        <v>56</v>
      </c>
      <c r="D11227" t="s">
        <v>57</v>
      </c>
      <c r="E11227" s="6">
        <v>-27929</v>
      </c>
      <c r="F11227" t="s">
        <v>598</v>
      </c>
      <c r="G11227" t="s">
        <v>27</v>
      </c>
      <c r="H11227" t="s">
        <v>21</v>
      </c>
      <c r="I11227" t="s">
        <v>22330</v>
      </c>
      <c r="J11227" t="str">
        <f>HYPERLINK("https://www.boe.es/gazeta/dias/1823/07/13/pdfs/GES-1823-93.pdf#page=2","Abrir facsímil")</f>
        <v>Abrir facsímil</v>
      </c>
      <c r="K11227" t="s">
        <v>23</v>
      </c>
    </row>
    <row r="11228" spans="1:11" ht="42" customHeight="1">
      <c r="A11228" t="s">
        <v>22331</v>
      </c>
      <c r="B11228" t="s">
        <v>22331</v>
      </c>
      <c r="C11228" t="s">
        <v>56</v>
      </c>
      <c r="D11228" t="s">
        <v>57</v>
      </c>
      <c r="E11228" s="6">
        <v>-27946</v>
      </c>
      <c r="F11228" t="s">
        <v>2146</v>
      </c>
      <c r="G11228" t="s">
        <v>39</v>
      </c>
      <c r="H11228" t="s">
        <v>21</v>
      </c>
      <c r="I11228" t="s">
        <v>22332</v>
      </c>
      <c r="J11228" t="str">
        <f>HYPERLINK("https://www.boe.es/gazeta/dias/1823/06/26/pdfs/GES-1823-76.pdf#page=1","Abrir facsímil")</f>
        <v>Abrir facsímil</v>
      </c>
      <c r="K11228" t="s">
        <v>23</v>
      </c>
    </row>
    <row r="11229" spans="1:11" ht="42" customHeight="1">
      <c r="A11229" t="s">
        <v>22333</v>
      </c>
      <c r="B11229" t="s">
        <v>22333</v>
      </c>
      <c r="C11229" t="s">
        <v>73</v>
      </c>
      <c r="D11229" t="s">
        <v>74</v>
      </c>
      <c r="E11229" s="6">
        <v>-28102</v>
      </c>
      <c r="F11229" t="s">
        <v>287</v>
      </c>
      <c r="G11229" t="s">
        <v>48</v>
      </c>
      <c r="H11229" t="s">
        <v>21</v>
      </c>
      <c r="I11229" t="s">
        <v>22334</v>
      </c>
      <c r="J11229" t="str">
        <f>HYPERLINK("https://www.boe.es/gazeta/dias/1823/01/21/pdfs/GMD-1823-22.pdf#page=3","Abrir facsímil")</f>
        <v>Abrir facsímil</v>
      </c>
      <c r="K11229" t="s">
        <v>23</v>
      </c>
    </row>
    <row r="11230" spans="1:11" ht="42" customHeight="1">
      <c r="A11230" t="s">
        <v>22335</v>
      </c>
      <c r="B11230" t="s">
        <v>22335</v>
      </c>
      <c r="C11230" t="s">
        <v>56</v>
      </c>
      <c r="D11230" t="s">
        <v>57</v>
      </c>
      <c r="E11230" s="6">
        <v>-28111</v>
      </c>
      <c r="F11230" t="s">
        <v>275</v>
      </c>
      <c r="G11230" t="s">
        <v>276</v>
      </c>
      <c r="H11230" t="s">
        <v>21</v>
      </c>
      <c r="I11230" t="s">
        <v>22336</v>
      </c>
      <c r="J11230" t="str">
        <f>HYPERLINK("https://www.boe.es/gazeta/dias/1823/01/12/pdfs/GMD-1823-12.pdf#page=7","Abrir facsímil")</f>
        <v>Abrir facsímil</v>
      </c>
      <c r="K11230" t="s">
        <v>23</v>
      </c>
    </row>
    <row r="11231" spans="1:11" ht="42" customHeight="1">
      <c r="A11231" t="s">
        <v>22335</v>
      </c>
      <c r="B11231" t="s">
        <v>22335</v>
      </c>
      <c r="C11231" t="s">
        <v>109</v>
      </c>
      <c r="D11231" t="s">
        <v>74</v>
      </c>
      <c r="E11231" s="6">
        <v>-28108</v>
      </c>
      <c r="F11231" t="s">
        <v>406</v>
      </c>
      <c r="G11231" t="s">
        <v>27</v>
      </c>
      <c r="H11231" t="s">
        <v>21</v>
      </c>
      <c r="I11231" t="s">
        <v>22337</v>
      </c>
      <c r="J11231" t="str">
        <f>HYPERLINK("https://www.boe.es/gazeta/dias/1823/01/15/pdfs/GMD-1823-15.pdf#page=2","Abrir facsímil")</f>
        <v>Abrir facsímil</v>
      </c>
      <c r="K11231" t="s">
        <v>23</v>
      </c>
    </row>
    <row r="11232" spans="1:11" ht="42" customHeight="1">
      <c r="A11232" t="s">
        <v>22335</v>
      </c>
      <c r="B11232" t="s">
        <v>22335</v>
      </c>
      <c r="C11232" t="s">
        <v>109</v>
      </c>
      <c r="D11232" t="s">
        <v>74</v>
      </c>
      <c r="E11232" s="6">
        <v>-28106</v>
      </c>
      <c r="F11232" t="s">
        <v>280</v>
      </c>
      <c r="G11232" t="s">
        <v>48</v>
      </c>
      <c r="H11232" t="s">
        <v>21</v>
      </c>
      <c r="I11232" t="s">
        <v>22338</v>
      </c>
      <c r="J11232" t="str">
        <f>HYPERLINK("https://www.boe.es/gazeta/dias/1823/01/17/pdfs/GMD-1823-17.pdf#page=3","Abrir facsímil")</f>
        <v>Abrir facsímil</v>
      </c>
      <c r="K11232" t="s">
        <v>23</v>
      </c>
    </row>
    <row r="11233" spans="1:11" ht="42" customHeight="1">
      <c r="A11233" t="s">
        <v>22335</v>
      </c>
      <c r="B11233" t="s">
        <v>22335</v>
      </c>
      <c r="C11233" t="s">
        <v>56</v>
      </c>
      <c r="D11233" t="s">
        <v>57</v>
      </c>
      <c r="E11233" s="6">
        <v>-28103</v>
      </c>
      <c r="F11233" t="s">
        <v>285</v>
      </c>
      <c r="G11233" t="s">
        <v>27</v>
      </c>
      <c r="H11233" t="s">
        <v>21</v>
      </c>
      <c r="I11233" t="s">
        <v>22339</v>
      </c>
      <c r="J11233" t="str">
        <f>HYPERLINK("https://www.boe.es/gazeta/dias/1823/01/20/pdfs/GMD-1823-20.pdf#page=2","Abrir facsímil")</f>
        <v>Abrir facsímil</v>
      </c>
      <c r="K11233" t="s">
        <v>23</v>
      </c>
    </row>
    <row r="11234" spans="1:11" ht="42" customHeight="1">
      <c r="A11234" t="s">
        <v>22335</v>
      </c>
      <c r="B11234" t="s">
        <v>22335</v>
      </c>
      <c r="C11234" t="s">
        <v>56</v>
      </c>
      <c r="D11234" t="s">
        <v>57</v>
      </c>
      <c r="E11234" s="6">
        <v>-28095</v>
      </c>
      <c r="F11234" t="s">
        <v>1770</v>
      </c>
      <c r="G11234" t="s">
        <v>20</v>
      </c>
      <c r="H11234" t="s">
        <v>21</v>
      </c>
      <c r="I11234" t="s">
        <v>22340</v>
      </c>
      <c r="J11234" t="str">
        <f>HYPERLINK("https://www.boe.es/gazeta/dias/1823/01/28/pdfs/GMD-1823-29.pdf#page=4","Abrir facsímil")</f>
        <v>Abrir facsímil</v>
      </c>
      <c r="K11234" t="s">
        <v>23</v>
      </c>
    </row>
    <row r="11235" spans="1:11" ht="42" customHeight="1">
      <c r="A11235" t="s">
        <v>22335</v>
      </c>
      <c r="B11235" t="s">
        <v>22335</v>
      </c>
      <c r="C11235" t="s">
        <v>109</v>
      </c>
      <c r="D11235" t="s">
        <v>74</v>
      </c>
      <c r="E11235" s="6">
        <v>-28094</v>
      </c>
      <c r="F11235" t="s">
        <v>93</v>
      </c>
      <c r="G11235" t="s">
        <v>27</v>
      </c>
      <c r="H11235" t="s">
        <v>21</v>
      </c>
      <c r="I11235" t="s">
        <v>22341</v>
      </c>
      <c r="J11235" t="str">
        <f>HYPERLINK("https://www.boe.es/gazeta/dias/1823/01/29/pdfs/GMD-1823-30.pdf#page=2","Abrir facsímil")</f>
        <v>Abrir facsímil</v>
      </c>
      <c r="K11235" t="s">
        <v>23</v>
      </c>
    </row>
    <row r="11236" spans="1:11" ht="42" customHeight="1">
      <c r="A11236" t="s">
        <v>22335</v>
      </c>
      <c r="B11236" t="s">
        <v>22335</v>
      </c>
      <c r="C11236" t="s">
        <v>17</v>
      </c>
      <c r="D11236" t="s">
        <v>18</v>
      </c>
      <c r="E11236" s="6">
        <v>-28093</v>
      </c>
      <c r="F11236" t="s">
        <v>1044</v>
      </c>
      <c r="G11236" t="s">
        <v>27</v>
      </c>
      <c r="H11236" t="s">
        <v>21</v>
      </c>
      <c r="I11236" t="s">
        <v>22342</v>
      </c>
      <c r="J11236" t="str">
        <f>HYPERLINK("https://www.boe.es/gazeta/dias/1823/01/30/pdfs/GMD-1823-31.pdf#page=2","Abrir facsímil")</f>
        <v>Abrir facsímil</v>
      </c>
      <c r="K11236" t="s">
        <v>23</v>
      </c>
    </row>
    <row r="11237" spans="1:11" ht="42" customHeight="1">
      <c r="A11237" t="s">
        <v>22335</v>
      </c>
      <c r="B11237" t="s">
        <v>22335</v>
      </c>
      <c r="C11237" t="s">
        <v>17</v>
      </c>
      <c r="D11237" t="s">
        <v>18</v>
      </c>
      <c r="E11237" s="6">
        <v>-28086</v>
      </c>
      <c r="F11237" t="s">
        <v>289</v>
      </c>
      <c r="G11237" t="s">
        <v>27</v>
      </c>
      <c r="H11237" t="s">
        <v>21</v>
      </c>
      <c r="I11237" t="s">
        <v>22343</v>
      </c>
      <c r="J11237" t="str">
        <f>HYPERLINK("https://www.boe.es/gazeta/dias/1823/02/06/pdfs/GMD-1823-39.pdf#page=2","Abrir facsímil")</f>
        <v>Abrir facsímil</v>
      </c>
      <c r="K11237" t="s">
        <v>23</v>
      </c>
    </row>
    <row r="11238" spans="1:11" ht="42" customHeight="1">
      <c r="A11238" t="s">
        <v>22335</v>
      </c>
      <c r="B11238" t="s">
        <v>22335</v>
      </c>
      <c r="C11238" t="s">
        <v>109</v>
      </c>
      <c r="D11238" t="s">
        <v>74</v>
      </c>
      <c r="E11238" s="6">
        <v>-28085</v>
      </c>
      <c r="F11238" t="s">
        <v>458</v>
      </c>
      <c r="G11238" t="s">
        <v>34</v>
      </c>
      <c r="H11238" t="s">
        <v>21</v>
      </c>
      <c r="I11238" t="s">
        <v>22344</v>
      </c>
      <c r="J11238" t="str">
        <f>HYPERLINK("https://www.boe.es/gazeta/dias/1823/02/07/pdfs/GMD-1823-40.pdf#page=5","Abrir facsímil")</f>
        <v>Abrir facsímil</v>
      </c>
      <c r="K11238" t="s">
        <v>23</v>
      </c>
    </row>
    <row r="11239" spans="1:11" ht="42" customHeight="1">
      <c r="A11239" t="s">
        <v>22335</v>
      </c>
      <c r="B11239" t="s">
        <v>22335</v>
      </c>
      <c r="C11239" t="s">
        <v>109</v>
      </c>
      <c r="D11239" t="s">
        <v>74</v>
      </c>
      <c r="E11239" s="6">
        <v>-28083</v>
      </c>
      <c r="F11239" t="s">
        <v>291</v>
      </c>
      <c r="G11239" t="s">
        <v>27</v>
      </c>
      <c r="H11239" t="s">
        <v>21</v>
      </c>
      <c r="I11239" t="s">
        <v>22345</v>
      </c>
      <c r="J11239" t="str">
        <f>HYPERLINK("https://www.boe.es/gazeta/dias/1823/02/09/pdfs/GMD-1823-43.pdf#page=2","Abrir facsímil")</f>
        <v>Abrir facsímil</v>
      </c>
      <c r="K11239" t="s">
        <v>23</v>
      </c>
    </row>
    <row r="11240" spans="1:11" ht="42" customHeight="1">
      <c r="A11240" t="s">
        <v>22335</v>
      </c>
      <c r="B11240" t="s">
        <v>22335</v>
      </c>
      <c r="C11240" t="s">
        <v>79</v>
      </c>
      <c r="D11240" t="s">
        <v>74</v>
      </c>
      <c r="E11240" s="6">
        <v>-28046</v>
      </c>
      <c r="F11240" t="s">
        <v>85</v>
      </c>
      <c r="G11240" t="s">
        <v>39</v>
      </c>
      <c r="H11240" t="s">
        <v>21</v>
      </c>
      <c r="I11240" t="s">
        <v>22346</v>
      </c>
      <c r="J11240" t="str">
        <f>HYPERLINK("https://www.boe.es/gazeta/dias/1823/03/18/pdfs/GMD-1823-81.pdf#page=1","Abrir facsímil")</f>
        <v>Abrir facsímil</v>
      </c>
      <c r="K11240" t="s">
        <v>23</v>
      </c>
    </row>
    <row r="11241" spans="1:11" ht="42" customHeight="1">
      <c r="A11241" t="s">
        <v>22335</v>
      </c>
      <c r="B11241" t="s">
        <v>22335</v>
      </c>
      <c r="C11241" t="s">
        <v>17</v>
      </c>
      <c r="D11241" t="s">
        <v>18</v>
      </c>
      <c r="E11241" s="6">
        <v>-28046</v>
      </c>
      <c r="F11241" t="s">
        <v>85</v>
      </c>
      <c r="G11241" t="s">
        <v>27</v>
      </c>
      <c r="H11241" t="s">
        <v>21</v>
      </c>
      <c r="I11241" t="s">
        <v>22347</v>
      </c>
      <c r="J11241" t="str">
        <f>HYPERLINK("https://www.boe.es/gazeta/dias/1823/03/18/pdfs/GMD-1823-81.pdf#page=2","Abrir facsímil")</f>
        <v>Abrir facsímil</v>
      </c>
      <c r="K11241" t="s">
        <v>23</v>
      </c>
    </row>
    <row r="11242" spans="1:11" ht="42" customHeight="1">
      <c r="A11242" t="s">
        <v>22335</v>
      </c>
      <c r="B11242" t="s">
        <v>22335</v>
      </c>
      <c r="C11242" t="s">
        <v>56</v>
      </c>
      <c r="D11242" t="s">
        <v>57</v>
      </c>
      <c r="E11242" s="6">
        <v>-28044</v>
      </c>
      <c r="F11242" t="s">
        <v>1930</v>
      </c>
      <c r="G11242" t="s">
        <v>20</v>
      </c>
      <c r="H11242" t="s">
        <v>21</v>
      </c>
      <c r="I11242" t="s">
        <v>22348</v>
      </c>
      <c r="J11242" t="str">
        <f>HYPERLINK("https://www.boe.es/gazeta/dias/1823/03/20/pdfs/GMD-1823-83.pdf#page=4","Abrir facsímil")</f>
        <v>Abrir facsímil</v>
      </c>
      <c r="K11242" t="s">
        <v>23</v>
      </c>
    </row>
    <row r="11243" spans="1:11" ht="42" customHeight="1">
      <c r="A11243" t="s">
        <v>22335</v>
      </c>
      <c r="B11243" t="s">
        <v>22335</v>
      </c>
      <c r="C11243" t="s">
        <v>17</v>
      </c>
      <c r="D11243" t="s">
        <v>18</v>
      </c>
      <c r="E11243" s="6">
        <v>-27999</v>
      </c>
      <c r="F11243" t="s">
        <v>97</v>
      </c>
      <c r="G11243" t="s">
        <v>1257</v>
      </c>
      <c r="H11243" t="s">
        <v>21</v>
      </c>
      <c r="I11243" t="s">
        <v>22349</v>
      </c>
      <c r="J11243" t="str">
        <f>HYPERLINK("https://www.boe.es/gazeta/dias/1823/05/04/pdfs/GES-1823-24.pdf#page=2","Abrir facsímil")</f>
        <v>Abrir facsímil</v>
      </c>
      <c r="K11243" t="s">
        <v>23</v>
      </c>
    </row>
    <row r="11244" spans="1:11" ht="42" customHeight="1">
      <c r="A11244" t="s">
        <v>22335</v>
      </c>
      <c r="B11244" t="s">
        <v>22335</v>
      </c>
      <c r="C11244" t="s">
        <v>17</v>
      </c>
      <c r="D11244" t="s">
        <v>18</v>
      </c>
      <c r="E11244" s="6">
        <v>-27998</v>
      </c>
      <c r="F11244" t="s">
        <v>1058</v>
      </c>
      <c r="G11244" t="s">
        <v>59</v>
      </c>
      <c r="H11244" t="s">
        <v>21</v>
      </c>
      <c r="I11244" t="s">
        <v>22350</v>
      </c>
      <c r="J11244" t="str">
        <f>HYPERLINK("https://www.boe.es/gazeta/dias/1823/05/05/pdfs/GES-1823-25.pdf#page=6","Abrir facsímil")</f>
        <v>Abrir facsímil</v>
      </c>
      <c r="K11244" t="s">
        <v>23</v>
      </c>
    </row>
    <row r="11245" spans="1:11" ht="42" customHeight="1">
      <c r="A11245" t="s">
        <v>22335</v>
      </c>
      <c r="B11245" t="s">
        <v>22335</v>
      </c>
      <c r="C11245" t="s">
        <v>79</v>
      </c>
      <c r="D11245" t="s">
        <v>74</v>
      </c>
      <c r="E11245" s="6">
        <v>-27994</v>
      </c>
      <c r="F11245" t="s">
        <v>714</v>
      </c>
      <c r="G11245" t="s">
        <v>4475</v>
      </c>
      <c r="H11245" t="s">
        <v>21</v>
      </c>
      <c r="I11245" t="s">
        <v>22351</v>
      </c>
      <c r="J11245" t="str">
        <f>HYPERLINK("https://www.boe.es/gazeta/dias/1823/05/09/pdfs/GES-1823-29.pdf#page=3","Abrir facsímil")</f>
        <v>Abrir facsímil</v>
      </c>
      <c r="K11245" t="s">
        <v>23</v>
      </c>
    </row>
    <row r="11246" spans="1:11" ht="42" customHeight="1">
      <c r="A11246" t="s">
        <v>22335</v>
      </c>
      <c r="B11246" t="s">
        <v>22335</v>
      </c>
      <c r="C11246" t="s">
        <v>56</v>
      </c>
      <c r="D11246" t="s">
        <v>57</v>
      </c>
      <c r="E11246" s="6">
        <v>-27994</v>
      </c>
      <c r="F11246" t="s">
        <v>714</v>
      </c>
      <c r="G11246" t="s">
        <v>27</v>
      </c>
      <c r="H11246" t="s">
        <v>21</v>
      </c>
      <c r="I11246" t="s">
        <v>22352</v>
      </c>
      <c r="J11246" t="str">
        <f>HYPERLINK("https://www.boe.es/gazeta/dias/1823/05/09/pdfs/GES-1823-29.pdf#page=2","Abrir facsímil")</f>
        <v>Abrir facsímil</v>
      </c>
      <c r="K11246" t="s">
        <v>23</v>
      </c>
    </row>
    <row r="11247" spans="1:11" ht="42" customHeight="1">
      <c r="A11247" t="s">
        <v>22335</v>
      </c>
      <c r="B11247" t="s">
        <v>22335</v>
      </c>
      <c r="C11247" t="s">
        <v>84</v>
      </c>
      <c r="D11247" t="s">
        <v>74</v>
      </c>
      <c r="E11247" s="6">
        <v>-27994</v>
      </c>
      <c r="F11247" t="s">
        <v>714</v>
      </c>
      <c r="G11247" t="s">
        <v>20</v>
      </c>
      <c r="H11247" t="s">
        <v>21</v>
      </c>
      <c r="I11247" t="s">
        <v>22353</v>
      </c>
      <c r="J11247" t="str">
        <f>HYPERLINK("https://www.boe.es/gazeta/dias/1823/05/09/pdfs/GES-1823-29.pdf#page=4","Abrir facsímil")</f>
        <v>Abrir facsímil</v>
      </c>
      <c r="K11247" t="s">
        <v>23</v>
      </c>
    </row>
    <row r="11248" spans="1:11" ht="42" customHeight="1">
      <c r="A11248" t="s">
        <v>22335</v>
      </c>
      <c r="B11248" t="s">
        <v>22335</v>
      </c>
      <c r="C11248" t="s">
        <v>109</v>
      </c>
      <c r="D11248" t="s">
        <v>74</v>
      </c>
      <c r="E11248" s="6">
        <v>-27993</v>
      </c>
      <c r="F11248" t="s">
        <v>977</v>
      </c>
      <c r="G11248" t="s">
        <v>48</v>
      </c>
      <c r="H11248" t="s">
        <v>21</v>
      </c>
      <c r="I11248" t="s">
        <v>22354</v>
      </c>
      <c r="J11248" t="str">
        <f>HYPERLINK("https://www.boe.es/gazeta/dias/1823/05/10/pdfs/GES-1823-30.pdf#page=3","Abrir facsímil")</f>
        <v>Abrir facsímil</v>
      </c>
      <c r="K11248" t="s">
        <v>23</v>
      </c>
    </row>
    <row r="11249" spans="1:11" ht="42" customHeight="1">
      <c r="A11249" t="s">
        <v>22335</v>
      </c>
      <c r="B11249" t="s">
        <v>22335</v>
      </c>
      <c r="C11249" t="s">
        <v>109</v>
      </c>
      <c r="D11249" t="s">
        <v>74</v>
      </c>
      <c r="E11249" s="6">
        <v>-27993</v>
      </c>
      <c r="F11249" t="s">
        <v>1062</v>
      </c>
      <c r="G11249" t="s">
        <v>20</v>
      </c>
      <c r="H11249" t="s">
        <v>21</v>
      </c>
      <c r="I11249" t="s">
        <v>22355</v>
      </c>
      <c r="J11249" t="str">
        <f>HYPERLINK("https://www.boe.es/gazeta/dias/1823/05/10/pdfs/GMD-1823-122.pdf#page=4","Abrir facsímil")</f>
        <v>Abrir facsímil</v>
      </c>
      <c r="K11249" t="s">
        <v>23</v>
      </c>
    </row>
    <row r="11250" spans="1:11" ht="42" customHeight="1">
      <c r="A11250" t="s">
        <v>22335</v>
      </c>
      <c r="B11250" t="s">
        <v>22335</v>
      </c>
      <c r="C11250" t="s">
        <v>56</v>
      </c>
      <c r="D11250" t="s">
        <v>57</v>
      </c>
      <c r="E11250" s="6">
        <v>-27989</v>
      </c>
      <c r="F11250" t="s">
        <v>1134</v>
      </c>
      <c r="G11250" t="s">
        <v>48</v>
      </c>
      <c r="H11250" t="s">
        <v>21</v>
      </c>
      <c r="I11250" t="s">
        <v>22356</v>
      </c>
      <c r="J11250" t="str">
        <f>HYPERLINK("https://www.boe.es/gazeta/dias/1823/05/14/pdfs/GES-1823-34.pdf#page=3","Abrir facsímil")</f>
        <v>Abrir facsímil</v>
      </c>
      <c r="K11250" t="s">
        <v>23</v>
      </c>
    </row>
    <row r="11251" spans="1:11" ht="42" customHeight="1">
      <c r="A11251" t="s">
        <v>22335</v>
      </c>
      <c r="B11251" t="s">
        <v>22335</v>
      </c>
      <c r="C11251" t="s">
        <v>56</v>
      </c>
      <c r="D11251" t="s">
        <v>57</v>
      </c>
      <c r="E11251" s="6">
        <v>-27987</v>
      </c>
      <c r="F11251" t="s">
        <v>332</v>
      </c>
      <c r="G11251" t="s">
        <v>333</v>
      </c>
      <c r="H11251" t="s">
        <v>21</v>
      </c>
      <c r="I11251" t="s">
        <v>22357</v>
      </c>
      <c r="J11251" t="str">
        <f>HYPERLINK("https://www.boe.es/gazeta/dias/1823/05/16/pdfs/GES-1823-36.pdf#page=2","Abrir facsímil")</f>
        <v>Abrir facsímil</v>
      </c>
      <c r="K11251" t="s">
        <v>23</v>
      </c>
    </row>
    <row r="11252" spans="1:11" ht="42" customHeight="1">
      <c r="A11252" t="s">
        <v>22335</v>
      </c>
      <c r="B11252" t="s">
        <v>22335</v>
      </c>
      <c r="C11252" t="s">
        <v>109</v>
      </c>
      <c r="D11252" t="s">
        <v>74</v>
      </c>
      <c r="E11252" s="6">
        <v>-27986</v>
      </c>
      <c r="F11252" t="s">
        <v>75</v>
      </c>
      <c r="G11252" t="s">
        <v>20</v>
      </c>
      <c r="H11252" t="s">
        <v>21</v>
      </c>
      <c r="I11252" t="s">
        <v>22358</v>
      </c>
      <c r="J11252" t="str">
        <f>HYPERLINK("https://www.boe.es/gazeta/dias/1823/05/17/pdfs/GES-1823-37.pdf#page=4","Abrir facsímil")</f>
        <v>Abrir facsímil</v>
      </c>
      <c r="K11252" t="s">
        <v>23</v>
      </c>
    </row>
    <row r="11253" spans="1:11" ht="42" customHeight="1">
      <c r="A11253" t="s">
        <v>22335</v>
      </c>
      <c r="B11253" t="s">
        <v>22335</v>
      </c>
      <c r="C11253" t="s">
        <v>109</v>
      </c>
      <c r="D11253" t="s">
        <v>74</v>
      </c>
      <c r="E11253" s="6">
        <v>-27984</v>
      </c>
      <c r="F11253" t="s">
        <v>335</v>
      </c>
      <c r="G11253" t="s">
        <v>34</v>
      </c>
      <c r="H11253" t="s">
        <v>21</v>
      </c>
      <c r="I11253" t="s">
        <v>22359</v>
      </c>
      <c r="J11253" t="str">
        <f>HYPERLINK("https://www.boe.es/gazeta/dias/1823/05/19/pdfs/GES-1823-39.pdf#page=5","Abrir facsímil")</f>
        <v>Abrir facsímil</v>
      </c>
      <c r="K11253" t="s">
        <v>23</v>
      </c>
    </row>
    <row r="11254" spans="1:11" ht="42" customHeight="1">
      <c r="A11254" t="s">
        <v>22335</v>
      </c>
      <c r="B11254" t="s">
        <v>22335</v>
      </c>
      <c r="C11254" t="s">
        <v>56</v>
      </c>
      <c r="D11254" t="s">
        <v>57</v>
      </c>
      <c r="E11254" s="6">
        <v>-27983</v>
      </c>
      <c r="F11254" t="s">
        <v>337</v>
      </c>
      <c r="G11254" t="s">
        <v>48</v>
      </c>
      <c r="H11254" t="s">
        <v>21</v>
      </c>
      <c r="I11254" t="s">
        <v>22360</v>
      </c>
      <c r="J11254" t="str">
        <f>HYPERLINK("https://www.boe.es/gazeta/dias/1823/05/20/pdfs/GES-1823-40.pdf#page=3","Abrir facsímil")</f>
        <v>Abrir facsímil</v>
      </c>
      <c r="K11254" t="s">
        <v>23</v>
      </c>
    </row>
    <row r="11255" spans="1:11" ht="42" customHeight="1">
      <c r="A11255" t="s">
        <v>22335</v>
      </c>
      <c r="B11255" t="s">
        <v>22335</v>
      </c>
      <c r="C11255" t="s">
        <v>79</v>
      </c>
      <c r="D11255" t="s">
        <v>74</v>
      </c>
      <c r="E11255" s="6">
        <v>-27974</v>
      </c>
      <c r="F11255" t="s">
        <v>618</v>
      </c>
      <c r="G11255" t="s">
        <v>39</v>
      </c>
      <c r="H11255" t="s">
        <v>21</v>
      </c>
      <c r="I11255" t="s">
        <v>22361</v>
      </c>
      <c r="J11255" t="str">
        <f>HYPERLINK("https://www.boe.es/gazeta/dias/1823/05/29/pdfs/GES-1823-52.pdf#page=1","Abrir facsímil")</f>
        <v>Abrir facsímil</v>
      </c>
      <c r="K11255" t="s">
        <v>23</v>
      </c>
    </row>
    <row r="11256" spans="1:11" ht="42" customHeight="1">
      <c r="A11256" t="s">
        <v>22335</v>
      </c>
      <c r="B11256" t="s">
        <v>22335</v>
      </c>
      <c r="C11256" t="s">
        <v>109</v>
      </c>
      <c r="D11256" t="s">
        <v>74</v>
      </c>
      <c r="E11256" s="6">
        <v>-27970</v>
      </c>
      <c r="F11256" t="s">
        <v>1030</v>
      </c>
      <c r="G11256" t="s">
        <v>27</v>
      </c>
      <c r="H11256" t="s">
        <v>21</v>
      </c>
      <c r="I11256" t="s">
        <v>22362</v>
      </c>
      <c r="J11256" t="str">
        <f>HYPERLINK("https://www.boe.es/gazeta/dias/1823/06/02/pdfs/GES-1823-56.pdf#page=2","Abrir facsímil")</f>
        <v>Abrir facsímil</v>
      </c>
      <c r="K11256" t="s">
        <v>23</v>
      </c>
    </row>
    <row r="11257" spans="1:11" ht="42" customHeight="1">
      <c r="A11257" t="s">
        <v>22335</v>
      </c>
      <c r="B11257" t="s">
        <v>22335</v>
      </c>
      <c r="C11257" t="s">
        <v>56</v>
      </c>
      <c r="D11257" t="s">
        <v>57</v>
      </c>
      <c r="E11257" s="6">
        <v>-27966</v>
      </c>
      <c r="F11257" t="s">
        <v>675</v>
      </c>
      <c r="G11257" t="s">
        <v>48</v>
      </c>
      <c r="H11257" t="s">
        <v>21</v>
      </c>
      <c r="I11257" t="s">
        <v>22363</v>
      </c>
      <c r="J11257" t="str">
        <f>HYPERLINK("https://www.boe.es/gazeta/dias/1823/06/06/pdfs/GES-1823-60.pdf#page=3","Abrir facsímil")</f>
        <v>Abrir facsímil</v>
      </c>
      <c r="K11257" t="s">
        <v>23</v>
      </c>
    </row>
    <row r="11258" spans="1:11" ht="42" customHeight="1">
      <c r="A11258" t="s">
        <v>22335</v>
      </c>
      <c r="B11258" t="s">
        <v>22335</v>
      </c>
      <c r="C11258" t="s">
        <v>79</v>
      </c>
      <c r="D11258" t="s">
        <v>74</v>
      </c>
      <c r="E11258" s="6">
        <v>-27965</v>
      </c>
      <c r="F11258" t="s">
        <v>208</v>
      </c>
      <c r="G11258" t="s">
        <v>20</v>
      </c>
      <c r="H11258" t="s">
        <v>21</v>
      </c>
      <c r="I11258" t="s">
        <v>22364</v>
      </c>
      <c r="J11258" t="str">
        <f>HYPERLINK("https://www.boe.es/gazeta/dias/1823/06/07/pdfs/GES-1823-61.pdf#page=4","Abrir facsímil")</f>
        <v>Abrir facsímil</v>
      </c>
      <c r="K11258" t="s">
        <v>23</v>
      </c>
    </row>
    <row r="11259" spans="1:11" ht="42" customHeight="1">
      <c r="A11259" t="s">
        <v>22335</v>
      </c>
      <c r="B11259" t="s">
        <v>22335</v>
      </c>
      <c r="C11259" t="s">
        <v>56</v>
      </c>
      <c r="D11259" t="s">
        <v>57</v>
      </c>
      <c r="E11259" s="6">
        <v>-27960</v>
      </c>
      <c r="F11259" t="s">
        <v>741</v>
      </c>
      <c r="G11259" t="s">
        <v>20</v>
      </c>
      <c r="H11259" t="s">
        <v>21</v>
      </c>
      <c r="I11259" t="s">
        <v>22365</v>
      </c>
      <c r="J11259" t="str">
        <f>HYPERLINK("https://www.boe.es/gazeta/dias/1823/06/12/pdfs/GES-1823-66.pdf#page=4","Abrir facsímil")</f>
        <v>Abrir facsímil</v>
      </c>
      <c r="K11259" t="s">
        <v>23</v>
      </c>
    </row>
    <row r="11260" spans="1:11" ht="42" customHeight="1">
      <c r="A11260" t="s">
        <v>22335</v>
      </c>
      <c r="B11260" t="s">
        <v>22335</v>
      </c>
      <c r="C11260" t="s">
        <v>84</v>
      </c>
      <c r="D11260" t="s">
        <v>74</v>
      </c>
      <c r="E11260" s="6">
        <v>-27950</v>
      </c>
      <c r="F11260" t="s">
        <v>4513</v>
      </c>
      <c r="G11260" t="s">
        <v>27</v>
      </c>
      <c r="H11260" t="s">
        <v>21</v>
      </c>
      <c r="I11260" t="s">
        <v>22366</v>
      </c>
      <c r="J11260" t="str">
        <f>HYPERLINK("https://www.boe.es/gazeta/dias/1823/06/22/pdfs/GES-1823-70.pdf#page=2","Abrir facsímil")</f>
        <v>Abrir facsímil</v>
      </c>
      <c r="K11260" t="s">
        <v>23</v>
      </c>
    </row>
    <row r="11261" spans="1:11" ht="42" customHeight="1">
      <c r="A11261" t="s">
        <v>22335</v>
      </c>
      <c r="B11261" t="s">
        <v>22335</v>
      </c>
      <c r="C11261" t="s">
        <v>56</v>
      </c>
      <c r="D11261" t="s">
        <v>57</v>
      </c>
      <c r="E11261" s="6">
        <v>-27935</v>
      </c>
      <c r="F11261" t="s">
        <v>350</v>
      </c>
      <c r="G11261" t="s">
        <v>39</v>
      </c>
      <c r="H11261" t="s">
        <v>21</v>
      </c>
      <c r="I11261" t="s">
        <v>22367</v>
      </c>
      <c r="J11261" t="str">
        <f>HYPERLINK("https://www.boe.es/gazeta/dias/1823/07/07/pdfs/GES-1823-87.pdf#page=1","Abrir facsímil")</f>
        <v>Abrir facsímil</v>
      </c>
      <c r="K11261" t="s">
        <v>23</v>
      </c>
    </row>
    <row r="11262" spans="1:11" ht="42" customHeight="1">
      <c r="A11262" t="s">
        <v>22335</v>
      </c>
      <c r="B11262" t="s">
        <v>22335</v>
      </c>
      <c r="C11262" t="s">
        <v>79</v>
      </c>
      <c r="D11262" t="s">
        <v>74</v>
      </c>
      <c r="E11262" s="6">
        <v>-27935</v>
      </c>
      <c r="F11262" t="s">
        <v>350</v>
      </c>
      <c r="G11262" t="s">
        <v>48</v>
      </c>
      <c r="H11262" t="s">
        <v>21</v>
      </c>
      <c r="I11262" t="s">
        <v>22368</v>
      </c>
      <c r="J11262" t="str">
        <f>HYPERLINK("https://www.boe.es/gazeta/dias/1823/07/07/pdfs/GES-1823-87.pdf#page=3","Abrir facsímil")</f>
        <v>Abrir facsímil</v>
      </c>
      <c r="K11262" t="s">
        <v>23</v>
      </c>
    </row>
    <row r="11263" spans="1:11" ht="42" customHeight="1">
      <c r="A11263" t="s">
        <v>22335</v>
      </c>
      <c r="B11263" t="s">
        <v>22335</v>
      </c>
      <c r="C11263" t="s">
        <v>17</v>
      </c>
      <c r="D11263" t="s">
        <v>18</v>
      </c>
      <c r="E11263" s="6">
        <v>-27934</v>
      </c>
      <c r="F11263" t="s">
        <v>2155</v>
      </c>
      <c r="G11263" t="s">
        <v>48</v>
      </c>
      <c r="H11263" t="s">
        <v>21</v>
      </c>
      <c r="I11263" t="s">
        <v>22369</v>
      </c>
      <c r="J11263" t="str">
        <f>HYPERLINK("https://www.boe.es/gazeta/dias/1823/07/08/pdfs/GES-1823-88.pdf#page=3","Abrir facsímil")</f>
        <v>Abrir facsímil</v>
      </c>
      <c r="K11263" t="s">
        <v>23</v>
      </c>
    </row>
    <row r="11264" spans="1:11" ht="42" customHeight="1">
      <c r="A11264" t="s">
        <v>22335</v>
      </c>
      <c r="B11264" t="s">
        <v>22335</v>
      </c>
      <c r="C11264" t="s">
        <v>109</v>
      </c>
      <c r="D11264" t="s">
        <v>74</v>
      </c>
      <c r="E11264" s="6">
        <v>-27929</v>
      </c>
      <c r="F11264" t="s">
        <v>598</v>
      </c>
      <c r="G11264" t="s">
        <v>27</v>
      </c>
      <c r="H11264" t="s">
        <v>21</v>
      </c>
      <c r="I11264" t="s">
        <v>22370</v>
      </c>
      <c r="J11264" t="str">
        <f>HYPERLINK("https://www.boe.es/gazeta/dias/1823/07/13/pdfs/GES-1823-93.pdf#page=2","Abrir facsímil")</f>
        <v>Abrir facsímil</v>
      </c>
      <c r="K11264" t="s">
        <v>23</v>
      </c>
    </row>
    <row r="11265" spans="1:11" ht="42" customHeight="1">
      <c r="A11265" t="s">
        <v>22335</v>
      </c>
      <c r="B11265" t="s">
        <v>22335</v>
      </c>
      <c r="C11265" t="s">
        <v>73</v>
      </c>
      <c r="D11265" t="s">
        <v>74</v>
      </c>
      <c r="E11265" s="6">
        <v>-27921</v>
      </c>
      <c r="F11265" t="s">
        <v>356</v>
      </c>
      <c r="G11265" t="s">
        <v>27</v>
      </c>
      <c r="H11265" t="s">
        <v>21</v>
      </c>
      <c r="I11265" t="s">
        <v>22371</v>
      </c>
      <c r="J11265" t="str">
        <f>HYPERLINK("https://www.boe.es/gazeta/dias/1823/07/21/pdfs/GES-1823-102.pdf#page=2","Abrir facsímil")</f>
        <v>Abrir facsímil</v>
      </c>
      <c r="K11265" t="s">
        <v>23</v>
      </c>
    </row>
    <row r="11266" spans="1:11" ht="42" customHeight="1">
      <c r="A11266" t="s">
        <v>22335</v>
      </c>
      <c r="B11266" t="s">
        <v>22335</v>
      </c>
      <c r="C11266" t="s">
        <v>109</v>
      </c>
      <c r="D11266" t="s">
        <v>74</v>
      </c>
      <c r="E11266" s="6">
        <v>-27918</v>
      </c>
      <c r="F11266" t="s">
        <v>3181</v>
      </c>
      <c r="G11266" t="s">
        <v>39</v>
      </c>
      <c r="H11266" t="s">
        <v>21</v>
      </c>
      <c r="I11266" t="s">
        <v>22372</v>
      </c>
      <c r="J11266" t="str">
        <f>HYPERLINK("https://www.boe.es/gazeta/dias/1823/07/24/pdfs/GES-1823-105.pdf#page=1","Abrir facsímil")</f>
        <v>Abrir facsímil</v>
      </c>
      <c r="K11266" t="s">
        <v>23</v>
      </c>
    </row>
    <row r="11267" spans="1:11" ht="42" customHeight="1">
      <c r="A11267" t="s">
        <v>22373</v>
      </c>
      <c r="B11267" t="s">
        <v>22374</v>
      </c>
      <c r="C11267" t="s">
        <v>56</v>
      </c>
      <c r="D11267" t="s">
        <v>57</v>
      </c>
      <c r="E11267" s="6">
        <v>-28042</v>
      </c>
      <c r="F11267" t="s">
        <v>1218</v>
      </c>
      <c r="G11267" t="s">
        <v>20</v>
      </c>
      <c r="H11267" t="s">
        <v>21</v>
      </c>
      <c r="I11267" t="s">
        <v>22375</v>
      </c>
      <c r="J11267" t="str">
        <f>HYPERLINK("https://www.boe.es/gazeta/dias/1823/03/22/pdfs/GMD-1823-85.pdf#page=4","Abrir facsímil")</f>
        <v>Abrir facsímil</v>
      </c>
      <c r="K11267" t="s">
        <v>23</v>
      </c>
    </row>
    <row r="11268" spans="1:11" ht="42" customHeight="1">
      <c r="A11268" t="s">
        <v>22376</v>
      </c>
      <c r="B11268" t="s">
        <v>22377</v>
      </c>
      <c r="C11268" t="s">
        <v>79</v>
      </c>
      <c r="D11268" t="s">
        <v>74</v>
      </c>
      <c r="E11268" s="6">
        <v>-28053</v>
      </c>
      <c r="F11268" t="s">
        <v>303</v>
      </c>
      <c r="G11268" t="s">
        <v>20</v>
      </c>
      <c r="H11268" t="s">
        <v>21</v>
      </c>
      <c r="I11268" t="s">
        <v>22378</v>
      </c>
      <c r="J11268" t="str">
        <f>HYPERLINK("https://www.boe.es/gazeta/dias/1823/03/11/pdfs/GMD-1823-74.pdf#page=4","Abrir facsímil")</f>
        <v>Abrir facsímil</v>
      </c>
      <c r="K11268" t="s">
        <v>23</v>
      </c>
    </row>
    <row r="11269" spans="1:11" ht="42" customHeight="1">
      <c r="A11269" t="s">
        <v>22379</v>
      </c>
      <c r="B11269" t="s">
        <v>22380</v>
      </c>
      <c r="C11269" t="s">
        <v>109</v>
      </c>
      <c r="D11269" t="s">
        <v>74</v>
      </c>
      <c r="E11269" s="6">
        <v>-28037</v>
      </c>
      <c r="F11269" t="s">
        <v>192</v>
      </c>
      <c r="G11269" t="s">
        <v>48</v>
      </c>
      <c r="H11269" t="s">
        <v>21</v>
      </c>
      <c r="I11269" t="s">
        <v>22381</v>
      </c>
      <c r="J11269" t="str">
        <f>HYPERLINK("https://www.boe.es/gazeta/dias/1823/03/27/pdfs/GMD-1823-90.pdf#page=3","Abrir facsímil")</f>
        <v>Abrir facsímil</v>
      </c>
      <c r="K11269" t="s">
        <v>23</v>
      </c>
    </row>
    <row r="11270" spans="1:11" ht="42" customHeight="1">
      <c r="A11270" t="s">
        <v>22379</v>
      </c>
      <c r="B11270" t="s">
        <v>22380</v>
      </c>
      <c r="C11270" t="s">
        <v>79</v>
      </c>
      <c r="D11270" t="s">
        <v>74</v>
      </c>
      <c r="E11270" s="6">
        <v>-28011</v>
      </c>
      <c r="F11270" t="s">
        <v>2416</v>
      </c>
      <c r="G11270" t="s">
        <v>1966</v>
      </c>
      <c r="H11270" t="s">
        <v>21</v>
      </c>
      <c r="I11270" t="s">
        <v>22382</v>
      </c>
      <c r="J11270" t="str">
        <f>HYPERLINK("https://www.boe.es/gazeta/dias/1823/04/22/pdfs/GMD-1823-42.pdf#page=4","Abrir facsímil")</f>
        <v>Abrir facsímil</v>
      </c>
      <c r="K11270" t="s">
        <v>23</v>
      </c>
    </row>
    <row r="11271" spans="1:11" ht="42" customHeight="1">
      <c r="A11271" t="s">
        <v>22383</v>
      </c>
      <c r="B11271" t="s">
        <v>22384</v>
      </c>
      <c r="C11271" t="s">
        <v>56</v>
      </c>
      <c r="D11271" t="s">
        <v>57</v>
      </c>
      <c r="E11271" s="6">
        <v>-27935</v>
      </c>
      <c r="F11271" t="s">
        <v>350</v>
      </c>
      <c r="G11271" t="s">
        <v>20</v>
      </c>
      <c r="H11271" t="s">
        <v>21</v>
      </c>
      <c r="I11271" t="s">
        <v>22385</v>
      </c>
      <c r="J11271" t="str">
        <f>HYPERLINK("https://www.boe.es/gazeta/dias/1823/07/07/pdfs/GES-1823-87.pdf#page=4","Abrir facsímil")</f>
        <v>Abrir facsímil</v>
      </c>
      <c r="K11271" t="s">
        <v>23</v>
      </c>
    </row>
    <row r="11272" spans="1:11" ht="42" customHeight="1">
      <c r="A11272" t="s">
        <v>22386</v>
      </c>
      <c r="B11272" t="s">
        <v>22387</v>
      </c>
      <c r="C11272" t="s">
        <v>109</v>
      </c>
      <c r="D11272" t="s">
        <v>74</v>
      </c>
      <c r="E11272" s="6">
        <v>-28016</v>
      </c>
      <c r="F11272" t="s">
        <v>2259</v>
      </c>
      <c r="G11272" t="s">
        <v>48</v>
      </c>
      <c r="H11272" t="s">
        <v>21</v>
      </c>
      <c r="I11272" t="s">
        <v>22388</v>
      </c>
      <c r="J11272" t="str">
        <f>HYPERLINK("https://www.boe.es/gazeta/dias/1823/04/17/pdfs/GES-1823-7.pdf#page=3","Abrir facsímil")</f>
        <v>Abrir facsímil</v>
      </c>
      <c r="K11272" t="s">
        <v>23</v>
      </c>
    </row>
    <row r="11273" spans="1:11" ht="42" customHeight="1">
      <c r="A11273" t="s">
        <v>22389</v>
      </c>
      <c r="B11273" t="s">
        <v>22390</v>
      </c>
      <c r="C11273" t="s">
        <v>17</v>
      </c>
      <c r="D11273" t="s">
        <v>18</v>
      </c>
      <c r="E11273" s="6">
        <v>-28112</v>
      </c>
      <c r="F11273" t="s">
        <v>43</v>
      </c>
      <c r="G11273" t="s">
        <v>20</v>
      </c>
      <c r="H11273" t="s">
        <v>21</v>
      </c>
      <c r="I11273" t="s">
        <v>22391</v>
      </c>
      <c r="J11273" t="str">
        <f>HYPERLINK("https://www.boe.es/gazeta/dias/1823/01/11/pdfs/GMD-1823-11.pdf#page=4","Abrir facsímil")</f>
        <v>Abrir facsímil</v>
      </c>
      <c r="K11273" t="s">
        <v>23</v>
      </c>
    </row>
    <row r="11274" spans="1:11" ht="42" customHeight="1">
      <c r="A11274" t="s">
        <v>22392</v>
      </c>
      <c r="B11274" t="s">
        <v>22393</v>
      </c>
      <c r="C11274" t="s">
        <v>17</v>
      </c>
      <c r="D11274" t="s">
        <v>18</v>
      </c>
      <c r="E11274" s="6">
        <v>-28091</v>
      </c>
      <c r="F11274" t="s">
        <v>1047</v>
      </c>
      <c r="G11274" t="s">
        <v>59</v>
      </c>
      <c r="H11274" t="s">
        <v>21</v>
      </c>
      <c r="I11274" t="s">
        <v>22394</v>
      </c>
      <c r="J11274" t="str">
        <f>HYPERLINK("https://www.boe.es/gazeta/dias/1823/02/01/pdfs/GMD-1823-34.pdf#page=6","Abrir facsímil")</f>
        <v>Abrir facsímil</v>
      </c>
      <c r="K11274" t="s">
        <v>23</v>
      </c>
    </row>
    <row r="11275" spans="1:11" ht="42" customHeight="1">
      <c r="A11275" t="s">
        <v>22395</v>
      </c>
      <c r="B11275" t="s">
        <v>22396</v>
      </c>
      <c r="C11275" t="s">
        <v>325</v>
      </c>
      <c r="D11275" t="s">
        <v>74</v>
      </c>
      <c r="E11275" s="6">
        <v>-28091</v>
      </c>
      <c r="F11275" t="s">
        <v>1047</v>
      </c>
      <c r="G11275" t="s">
        <v>59</v>
      </c>
      <c r="H11275" t="s">
        <v>28</v>
      </c>
      <c r="I11275" t="s">
        <v>22397</v>
      </c>
      <c r="J11275" t="str">
        <f>HYPERLINK("https://www.boe.es/gazeta/dias/1823/02/01/pdfs/GMD-1823-34.pdf#page=6","Abrir facsímil")</f>
        <v>Abrir facsímil</v>
      </c>
      <c r="K11275" t="s">
        <v>30</v>
      </c>
    </row>
    <row r="11276" spans="1:11" ht="42" customHeight="1">
      <c r="A11276" t="s">
        <v>22398</v>
      </c>
      <c r="B11276" t="s">
        <v>22398</v>
      </c>
      <c r="C11276" t="s">
        <v>109</v>
      </c>
      <c r="D11276" t="s">
        <v>74</v>
      </c>
      <c r="E11276" s="6">
        <v>-28117</v>
      </c>
      <c r="F11276" t="s">
        <v>271</v>
      </c>
      <c r="G11276" t="s">
        <v>20</v>
      </c>
      <c r="H11276" t="s">
        <v>21</v>
      </c>
      <c r="I11276" t="s">
        <v>22399</v>
      </c>
      <c r="J11276" t="str">
        <f>HYPERLINK("https://www.boe.es/gazeta/dias/1823/01/06/pdfs/GMD-1823-6.pdf#page=4","Abrir facsímil")</f>
        <v>Abrir facsímil</v>
      </c>
      <c r="K11276" t="s">
        <v>23</v>
      </c>
    </row>
    <row r="11277" spans="1:11" ht="42" customHeight="1">
      <c r="A11277" t="s">
        <v>22400</v>
      </c>
      <c r="B11277" t="s">
        <v>22400</v>
      </c>
      <c r="C11277" t="s">
        <v>56</v>
      </c>
      <c r="D11277" t="s">
        <v>57</v>
      </c>
      <c r="E11277" s="6">
        <v>-27868</v>
      </c>
      <c r="F11277" t="s">
        <v>2166</v>
      </c>
      <c r="G11277" t="s">
        <v>27</v>
      </c>
      <c r="H11277" t="s">
        <v>21</v>
      </c>
      <c r="I11277" t="s">
        <v>22401</v>
      </c>
      <c r="J11277" t="str">
        <f>HYPERLINK("https://www.boe.es/gazeta/dias/1823/09/12/pdfs/GES-1823-156.pdf#page=2","Abrir facsímil")</f>
        <v>Abrir facsímil</v>
      </c>
      <c r="K11277" t="s">
        <v>23</v>
      </c>
    </row>
  </sheetData>
  <mergeCells count="4">
    <mergeCell ref="A1:K1"/>
    <mergeCell ref="A2:K2"/>
    <mergeCell ref="A3:K3"/>
    <mergeCell ref="A4:K4"/>
  </mergeCells>
  <conditionalFormatting sqref="K7:K11277">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9" defaultRowHeight="14.25"/>
  <cols>
    <col min="1" max="1" width="22" customWidth="1"/>
    <col min="2" max="2" width="38" customWidth="1"/>
    <col min="3" max="3" width="28" customWidth="1"/>
    <col min="4" max="4" width="13" customWidth="1"/>
    <col min="5" max="5" width="20" customWidth="1"/>
    <col min="6" max="6" width="18" customWidth="1"/>
  </cols>
  <sheetData>
    <row r="1" spans="1:6" ht="30" customHeight="1">
      <c r="A1" s="9" t="s">
        <v>22402</v>
      </c>
      <c r="B1" s="9"/>
      <c r="C1" s="9"/>
      <c r="D1" s="9"/>
      <c r="E1" s="9"/>
      <c r="F1" s="9"/>
    </row>
    <row r="2" spans="1:6" ht="21.95" customHeight="1">
      <c r="A2" s="13" t="s">
        <v>22403</v>
      </c>
      <c r="B2" s="13"/>
      <c r="C2" s="13"/>
      <c r="D2" s="13"/>
      <c r="E2" s="13"/>
      <c r="F2" s="13"/>
    </row>
    <row r="4" spans="1:6" ht="30" customHeight="1">
      <c r="A4" s="1" t="s">
        <v>8</v>
      </c>
      <c r="B4" s="1" t="s">
        <v>9</v>
      </c>
      <c r="C4" s="1" t="s">
        <v>22404</v>
      </c>
      <c r="D4" s="1" t="s">
        <v>22405</v>
      </c>
      <c r="E4" s="1" t="s">
        <v>22406</v>
      </c>
      <c r="F4" s="1" t="s">
        <v>22407</v>
      </c>
    </row>
    <row r="5" spans="1:6" ht="30.95" customHeight="1">
      <c r="A5" s="7">
        <v>-28122</v>
      </c>
      <c r="B5" s="2" t="s">
        <v>269</v>
      </c>
      <c r="C5" s="2" t="s">
        <v>22408</v>
      </c>
      <c r="D5" s="3">
        <v>4</v>
      </c>
      <c r="E5" s="3">
        <v>22</v>
      </c>
      <c r="F5" s="3" t="str">
        <f>HYPERLINK("https://www.boe.es/gazeta/dias/1823/01/01/pdfs/GMD-1823-1.pdf","Abrir PDF")</f>
        <v>Abrir PDF</v>
      </c>
    </row>
    <row r="6" spans="1:6" ht="30.95" customHeight="1">
      <c r="A6" s="7">
        <v>-28121</v>
      </c>
      <c r="B6" s="2" t="s">
        <v>575</v>
      </c>
      <c r="C6" s="2" t="s">
        <v>22409</v>
      </c>
      <c r="D6" s="3">
        <v>4</v>
      </c>
      <c r="E6" s="3">
        <v>11</v>
      </c>
      <c r="F6" s="3" t="str">
        <f>HYPERLINK("https://www.boe.es/gazeta/dias/1823/01/02/pdfs/GMD-1823-2.pdf","Abrir PDF")</f>
        <v>Abrir PDF</v>
      </c>
    </row>
    <row r="7" spans="1:6" ht="30.95" customHeight="1">
      <c r="A7" s="7">
        <v>-28120</v>
      </c>
      <c r="B7" s="2" t="s">
        <v>2772</v>
      </c>
      <c r="C7" s="2" t="s">
        <v>22410</v>
      </c>
      <c r="D7" s="3">
        <v>4</v>
      </c>
      <c r="E7" s="3">
        <v>30</v>
      </c>
      <c r="F7" s="3" t="str">
        <f>HYPERLINK("https://www.boe.es/gazeta/dias/1823/01/03/pdfs/GMD-1823-3.pdf","Abrir PDF")</f>
        <v>Abrir PDF</v>
      </c>
    </row>
    <row r="8" spans="1:6" ht="30.95" customHeight="1">
      <c r="A8" s="7">
        <v>-28119</v>
      </c>
      <c r="B8" s="2" t="s">
        <v>545</v>
      </c>
      <c r="C8" s="2" t="s">
        <v>22411</v>
      </c>
      <c r="D8" s="3">
        <v>6</v>
      </c>
      <c r="E8" s="3">
        <v>56</v>
      </c>
      <c r="F8" s="3" t="str">
        <f>HYPERLINK("https://www.boe.es/gazeta/dias/1823/01/04/pdfs/GMD-1823-4.pdf","Abrir PDF")</f>
        <v>Abrir PDF</v>
      </c>
    </row>
    <row r="9" spans="1:6" ht="30.95" customHeight="1">
      <c r="A9" s="7">
        <v>-28118</v>
      </c>
      <c r="B9" s="2" t="s">
        <v>252</v>
      </c>
      <c r="C9" s="2" t="s">
        <v>22412</v>
      </c>
      <c r="D9" s="3">
        <v>6</v>
      </c>
      <c r="E9" s="3">
        <v>43</v>
      </c>
      <c r="F9" s="3" t="str">
        <f>HYPERLINK("https://www.boe.es/gazeta/dias/1823/01/05/pdfs/GMD-1823-5.pdf","Abrir PDF")</f>
        <v>Abrir PDF</v>
      </c>
    </row>
    <row r="10" spans="1:6" ht="30.95" customHeight="1">
      <c r="A10" s="7">
        <v>-28117</v>
      </c>
      <c r="B10" s="2" t="s">
        <v>271</v>
      </c>
      <c r="C10" s="2" t="s">
        <v>22413</v>
      </c>
      <c r="D10" s="3">
        <v>6</v>
      </c>
      <c r="E10" s="3">
        <v>47</v>
      </c>
      <c r="F10" s="3" t="str">
        <f>HYPERLINK("https://www.boe.es/gazeta/dias/1823/01/06/pdfs/GMD-1823-6.pdf","Abrir PDF")</f>
        <v>Abrir PDF</v>
      </c>
    </row>
    <row r="11" spans="1:6" ht="30.95" customHeight="1">
      <c r="A11" s="7">
        <v>-28116</v>
      </c>
      <c r="B11" s="2" t="s">
        <v>134</v>
      </c>
      <c r="C11" s="2" t="s">
        <v>22414</v>
      </c>
      <c r="D11" s="3">
        <v>6</v>
      </c>
      <c r="E11" s="3">
        <v>44</v>
      </c>
      <c r="F11" s="3" t="str">
        <f>HYPERLINK("https://www.boe.es/gazeta/dias/1823/01/07/pdfs/GMD-1823-7.pdf","Abrir PDF")</f>
        <v>Abrir PDF</v>
      </c>
    </row>
    <row r="12" spans="1:6" ht="30.95" customHeight="1">
      <c r="A12" s="7">
        <v>-28115</v>
      </c>
      <c r="B12" s="2" t="s">
        <v>579</v>
      </c>
      <c r="C12" s="2" t="s">
        <v>22415</v>
      </c>
      <c r="D12" s="3">
        <v>4</v>
      </c>
      <c r="E12" s="3">
        <v>44</v>
      </c>
      <c r="F12" s="3" t="str">
        <f>HYPERLINK("https://www.boe.es/gazeta/dias/1823/01/08/pdfs/GMD-1823-8.pdf","Abrir PDF")</f>
        <v>Abrir PDF</v>
      </c>
    </row>
    <row r="13" spans="1:6" ht="30.95" customHeight="1">
      <c r="A13" s="7">
        <v>-28114</v>
      </c>
      <c r="B13" s="2" t="s">
        <v>153</v>
      </c>
      <c r="C13" s="2" t="s">
        <v>22416</v>
      </c>
      <c r="D13" s="3">
        <v>6</v>
      </c>
      <c r="E13" s="3">
        <v>53</v>
      </c>
      <c r="F13" s="3" t="str">
        <f>HYPERLINK("https://www.boe.es/gazeta/dias/1823/01/09/pdfs/GMD-1823-9.pdf","Abrir PDF")</f>
        <v>Abrir PDF</v>
      </c>
    </row>
    <row r="14" spans="1:6" ht="30.95" customHeight="1">
      <c r="A14" s="7">
        <v>-28113</v>
      </c>
      <c r="B14" s="2" t="s">
        <v>2088</v>
      </c>
      <c r="C14" s="2" t="s">
        <v>22417</v>
      </c>
      <c r="D14" s="3">
        <v>8</v>
      </c>
      <c r="E14" s="3">
        <v>25</v>
      </c>
      <c r="F14" s="3" t="str">
        <f>HYPERLINK("https://www.boe.es/gazeta/dias/1823/01/10/pdfs/GMD-1823-10.pdf","Abrir PDF")</f>
        <v>Abrir PDF</v>
      </c>
    </row>
    <row r="15" spans="1:6" ht="30.95" customHeight="1">
      <c r="A15" s="7">
        <v>-28112</v>
      </c>
      <c r="B15" s="2" t="s">
        <v>43</v>
      </c>
      <c r="C15" s="2" t="s">
        <v>22418</v>
      </c>
      <c r="D15" s="3">
        <v>4</v>
      </c>
      <c r="E15" s="3">
        <v>45</v>
      </c>
      <c r="F15" s="3" t="str">
        <f>HYPERLINK("https://www.boe.es/gazeta/dias/1823/01/11/pdfs/GMD-1823-11.pdf","Abrir PDF")</f>
        <v>Abrir PDF</v>
      </c>
    </row>
    <row r="16" spans="1:6" ht="30.95" customHeight="1">
      <c r="A16" s="7">
        <v>-28111</v>
      </c>
      <c r="B16" s="2" t="s">
        <v>275</v>
      </c>
      <c r="C16" s="2" t="s">
        <v>22419</v>
      </c>
      <c r="D16" s="3">
        <v>8</v>
      </c>
      <c r="E16" s="3">
        <v>36</v>
      </c>
      <c r="F16" s="3" t="str">
        <f>HYPERLINK("https://www.boe.es/gazeta/dias/1823/01/12/pdfs/GMD-1823-12.pdf","Abrir PDF")</f>
        <v>Abrir PDF</v>
      </c>
    </row>
    <row r="17" spans="1:6" ht="30.95" customHeight="1">
      <c r="A17" s="7">
        <v>-28110</v>
      </c>
      <c r="B17" s="2" t="s">
        <v>249</v>
      </c>
      <c r="C17" s="2" t="s">
        <v>22420</v>
      </c>
      <c r="D17" s="3">
        <v>4</v>
      </c>
      <c r="E17" s="3">
        <v>30</v>
      </c>
      <c r="F17" s="3" t="str">
        <f>HYPERLINK("https://www.boe.es/gazeta/dias/1823/01/13/pdfs/GMD-1823-13.pdf","Abrir PDF")</f>
        <v>Abrir PDF</v>
      </c>
    </row>
    <row r="18" spans="1:6" ht="30.95" customHeight="1">
      <c r="A18" s="7">
        <v>-28109</v>
      </c>
      <c r="B18" s="2" t="s">
        <v>889</v>
      </c>
      <c r="C18" s="2" t="s">
        <v>22421</v>
      </c>
      <c r="D18" s="3">
        <v>4</v>
      </c>
      <c r="E18" s="3">
        <v>26</v>
      </c>
      <c r="F18" s="3" t="str">
        <f>HYPERLINK("https://www.boe.es/gazeta/dias/1823/01/14/pdfs/GMD-1823-14.pdf","Abrir PDF")</f>
        <v>Abrir PDF</v>
      </c>
    </row>
    <row r="19" spans="1:6" ht="30.95" customHeight="1">
      <c r="A19" s="7">
        <v>-28108</v>
      </c>
      <c r="B19" s="2" t="s">
        <v>406</v>
      </c>
      <c r="C19" s="2" t="s">
        <v>22422</v>
      </c>
      <c r="D19" s="3">
        <v>4</v>
      </c>
      <c r="E19" s="3">
        <v>22</v>
      </c>
      <c r="F19" s="3" t="str">
        <f>HYPERLINK("https://www.boe.es/gazeta/dias/1823/01/15/pdfs/GMD-1823-15.pdf","Abrir PDF")</f>
        <v>Abrir PDF</v>
      </c>
    </row>
    <row r="20" spans="1:6" ht="30.95" customHeight="1">
      <c r="A20" s="7">
        <v>-28107</v>
      </c>
      <c r="B20" s="2" t="s">
        <v>278</v>
      </c>
      <c r="C20" s="2" t="s">
        <v>22423</v>
      </c>
      <c r="D20" s="3">
        <v>6</v>
      </c>
      <c r="E20" s="3">
        <v>45</v>
      </c>
      <c r="F20" s="3" t="str">
        <f>HYPERLINK("https://www.boe.es/gazeta/dias/1823/01/16/pdfs/GMD-1823-16.pdf","Abrir PDF")</f>
        <v>Abrir PDF</v>
      </c>
    </row>
    <row r="21" spans="1:6" ht="30.95" customHeight="1">
      <c r="A21" s="7">
        <v>-28106</v>
      </c>
      <c r="B21" s="2" t="s">
        <v>280</v>
      </c>
      <c r="C21" s="2" t="s">
        <v>22424</v>
      </c>
      <c r="D21" s="3">
        <v>4</v>
      </c>
      <c r="E21" s="3">
        <v>51</v>
      </c>
      <c r="F21" s="3" t="str">
        <f>HYPERLINK("https://www.boe.es/gazeta/dias/1823/01/17/pdfs/GMD-1823-17.pdf","Abrir PDF")</f>
        <v>Abrir PDF</v>
      </c>
    </row>
    <row r="22" spans="1:6" ht="30.95" customHeight="1">
      <c r="A22" s="7">
        <v>-28105</v>
      </c>
      <c r="B22" s="2" t="s">
        <v>502</v>
      </c>
      <c r="C22" s="2" t="s">
        <v>22425</v>
      </c>
      <c r="D22" s="3">
        <v>6</v>
      </c>
      <c r="E22" s="3">
        <v>41</v>
      </c>
      <c r="F22" s="3" t="str">
        <f>HYPERLINK("https://www.boe.es/gazeta/dias/1823/01/18/pdfs/GMD-1823-18.pdf","Abrir PDF")</f>
        <v>Abrir PDF</v>
      </c>
    </row>
    <row r="23" spans="1:6" ht="30.95" customHeight="1">
      <c r="A23" s="7">
        <v>-28104</v>
      </c>
      <c r="B23" s="2" t="s">
        <v>114</v>
      </c>
      <c r="C23" s="2" t="s">
        <v>22426</v>
      </c>
      <c r="D23" s="3">
        <v>6</v>
      </c>
      <c r="E23" s="3">
        <v>63</v>
      </c>
      <c r="F23" s="3" t="str">
        <f>HYPERLINK("https://www.boe.es/gazeta/dias/1823/01/19/pdfs/GMD-1823-19.pdf","Abrir PDF")</f>
        <v>Abrir PDF</v>
      </c>
    </row>
    <row r="24" spans="1:6" ht="30.95" customHeight="1">
      <c r="A24" s="7">
        <v>-28103</v>
      </c>
      <c r="B24" s="2" t="s">
        <v>285</v>
      </c>
      <c r="C24" s="2" t="s">
        <v>22427</v>
      </c>
      <c r="D24" s="3">
        <v>4</v>
      </c>
      <c r="E24" s="3">
        <v>30</v>
      </c>
      <c r="F24" s="3" t="str">
        <f>HYPERLINK("https://www.boe.es/gazeta/dias/1823/01/20/pdfs/GMD-1823-20.pdf","Abrir PDF")</f>
        <v>Abrir PDF</v>
      </c>
    </row>
    <row r="25" spans="1:6" ht="30.95" customHeight="1">
      <c r="A25" s="7">
        <v>-28103</v>
      </c>
      <c r="B25" s="2" t="s">
        <v>7403</v>
      </c>
      <c r="C25" s="2" t="s">
        <v>22428</v>
      </c>
      <c r="D25" s="3">
        <v>2</v>
      </c>
      <c r="E25" s="3">
        <v>5</v>
      </c>
      <c r="F25" s="3" t="str">
        <f>HYPERLINK("https://www.boe.es/gazeta/dias/1823/01/20/pdfs/GMD-1823-21E.pdf","Abrir PDF")</f>
        <v>Abrir PDF</v>
      </c>
    </row>
    <row r="26" spans="1:6" ht="30.95" customHeight="1">
      <c r="A26" s="7">
        <v>-28102</v>
      </c>
      <c r="B26" s="2" t="s">
        <v>287</v>
      </c>
      <c r="C26" s="2" t="s">
        <v>22429</v>
      </c>
      <c r="D26" s="3">
        <v>4</v>
      </c>
      <c r="E26" s="3">
        <v>38</v>
      </c>
      <c r="F26" s="3" t="str">
        <f>HYPERLINK("https://www.boe.es/gazeta/dias/1823/01/21/pdfs/GMD-1823-22.pdf","Abrir PDF")</f>
        <v>Abrir PDF</v>
      </c>
    </row>
    <row r="27" spans="1:6" ht="30.95" customHeight="1">
      <c r="A27" s="7">
        <v>-28101</v>
      </c>
      <c r="B27" s="2" t="s">
        <v>1041</v>
      </c>
      <c r="C27" s="2" t="s">
        <v>22430</v>
      </c>
      <c r="D27" s="3">
        <v>4</v>
      </c>
      <c r="E27" s="3">
        <v>47</v>
      </c>
      <c r="F27" s="3" t="str">
        <f>HYPERLINK("https://www.boe.es/gazeta/dias/1823/01/22/pdfs/GMD-1823-23.pdf","Abrir PDF")</f>
        <v>Abrir PDF</v>
      </c>
    </row>
    <row r="28" spans="1:6" ht="30.95" customHeight="1">
      <c r="A28" s="7">
        <v>-28100</v>
      </c>
      <c r="B28" s="2" t="s">
        <v>737</v>
      </c>
      <c r="C28" s="2" t="s">
        <v>22431</v>
      </c>
      <c r="D28" s="3">
        <v>4</v>
      </c>
      <c r="E28" s="3">
        <v>41</v>
      </c>
      <c r="F28" s="3" t="str">
        <f>HYPERLINK("https://www.boe.es/gazeta/dias/1823/01/23/pdfs/GMD-1823-24.pdf","Abrir PDF")</f>
        <v>Abrir PDF</v>
      </c>
    </row>
    <row r="29" spans="1:6" ht="30.95" customHeight="1">
      <c r="A29" s="7">
        <v>-28099</v>
      </c>
      <c r="B29" s="2" t="s">
        <v>1689</v>
      </c>
      <c r="C29" s="2" t="s">
        <v>22432</v>
      </c>
      <c r="D29" s="3">
        <v>4</v>
      </c>
      <c r="E29" s="3">
        <v>30</v>
      </c>
      <c r="F29" s="3" t="str">
        <f>HYPERLINK("https://www.boe.es/gazeta/dias/1823/01/24/pdfs/GMD-1823-25.pdf","Abrir PDF")</f>
        <v>Abrir PDF</v>
      </c>
    </row>
    <row r="30" spans="1:6" ht="30.95" customHeight="1">
      <c r="A30" s="7">
        <v>-28098</v>
      </c>
      <c r="B30" s="2" t="s">
        <v>1101</v>
      </c>
      <c r="C30" s="2" t="s">
        <v>22433</v>
      </c>
      <c r="D30" s="3">
        <v>4</v>
      </c>
      <c r="E30" s="3">
        <v>28</v>
      </c>
      <c r="F30" s="3" t="str">
        <f>HYPERLINK("https://www.boe.es/gazeta/dias/1823/01/25/pdfs/GMD-1823-26.pdf","Abrir PDF")</f>
        <v>Abrir PDF</v>
      </c>
    </row>
    <row r="31" spans="1:6" ht="30.95" customHeight="1">
      <c r="A31" s="7">
        <v>-28097</v>
      </c>
      <c r="B31" s="2" t="s">
        <v>1368</v>
      </c>
      <c r="C31" s="2" t="s">
        <v>22434</v>
      </c>
      <c r="D31" s="3">
        <v>4</v>
      </c>
      <c r="E31" s="3">
        <v>32</v>
      </c>
      <c r="F31" s="3" t="str">
        <f>HYPERLINK("https://www.boe.es/gazeta/dias/1823/01/26/pdfs/GMD-1823-27.pdf","Abrir PDF")</f>
        <v>Abrir PDF</v>
      </c>
    </row>
    <row r="32" spans="1:6" ht="30.95" customHeight="1">
      <c r="A32" s="7">
        <v>-28096</v>
      </c>
      <c r="B32" s="2" t="s">
        <v>534</v>
      </c>
      <c r="C32" s="2" t="s">
        <v>22435</v>
      </c>
      <c r="D32" s="3">
        <v>4</v>
      </c>
      <c r="E32" s="3">
        <v>15</v>
      </c>
      <c r="F32" s="3" t="str">
        <f>HYPERLINK("https://www.boe.es/gazeta/dias/1823/01/27/pdfs/GMD-1823-28.pdf","Abrir PDF")</f>
        <v>Abrir PDF</v>
      </c>
    </row>
    <row r="33" spans="1:6" ht="30.95" customHeight="1">
      <c r="A33" s="7">
        <v>-28095</v>
      </c>
      <c r="B33" s="2" t="s">
        <v>1770</v>
      </c>
      <c r="C33" s="2" t="s">
        <v>22436</v>
      </c>
      <c r="D33" s="3">
        <v>4</v>
      </c>
      <c r="E33" s="3">
        <v>21</v>
      </c>
      <c r="F33" s="3" t="str">
        <f>HYPERLINK("https://www.boe.es/gazeta/dias/1823/01/28/pdfs/GMD-1823-29.pdf","Abrir PDF")</f>
        <v>Abrir PDF</v>
      </c>
    </row>
    <row r="34" spans="1:6" ht="30.95" customHeight="1">
      <c r="A34" s="7">
        <v>-28094</v>
      </c>
      <c r="B34" s="2" t="s">
        <v>93</v>
      </c>
      <c r="C34" s="2" t="s">
        <v>22437</v>
      </c>
      <c r="D34" s="3">
        <v>4</v>
      </c>
      <c r="E34" s="3">
        <v>41</v>
      </c>
      <c r="F34" s="3" t="str">
        <f>HYPERLINK("https://www.boe.es/gazeta/dias/1823/01/29/pdfs/GMD-1823-30.pdf","Abrir PDF")</f>
        <v>Abrir PDF</v>
      </c>
    </row>
    <row r="35" spans="1:6" ht="30.95" customHeight="1">
      <c r="A35" s="7">
        <v>-28093</v>
      </c>
      <c r="B35" s="2" t="s">
        <v>1044</v>
      </c>
      <c r="C35" s="2" t="s">
        <v>22438</v>
      </c>
      <c r="D35" s="3">
        <v>6</v>
      </c>
      <c r="E35" s="3">
        <v>40</v>
      </c>
      <c r="F35" s="3" t="str">
        <f>HYPERLINK("https://www.boe.es/gazeta/dias/1823/01/30/pdfs/GMD-1823-31.pdf","Abrir PDF")</f>
        <v>Abrir PDF</v>
      </c>
    </row>
    <row r="36" spans="1:6" ht="30.95" customHeight="1">
      <c r="A36" s="7">
        <v>-28092</v>
      </c>
      <c r="B36" s="2" t="s">
        <v>105</v>
      </c>
      <c r="C36" s="2" t="s">
        <v>22439</v>
      </c>
      <c r="D36" s="3">
        <v>6</v>
      </c>
      <c r="E36" s="3">
        <v>39</v>
      </c>
      <c r="F36" s="3" t="str">
        <f>HYPERLINK("https://www.boe.es/gazeta/dias/1823/01/31/pdfs/GMD-1823-32.pdf","Abrir PDF")</f>
        <v>Abrir PDF</v>
      </c>
    </row>
    <row r="37" spans="1:6" ht="30.95" customHeight="1">
      <c r="A37" s="7">
        <v>-28092</v>
      </c>
      <c r="B37" s="2" t="s">
        <v>156</v>
      </c>
      <c r="C37" s="2" t="s">
        <v>22440</v>
      </c>
      <c r="D37" s="3">
        <v>1</v>
      </c>
      <c r="E37" s="3">
        <v>8</v>
      </c>
      <c r="F37" s="3" t="str">
        <f>HYPERLINK("https://www.boe.es/gazeta/dias/1823/01/31/pdfs/GMD-1823-33E.pdf","Abrir PDF")</f>
        <v>Abrir PDF</v>
      </c>
    </row>
    <row r="38" spans="1:6" ht="30.95" customHeight="1">
      <c r="A38" s="7">
        <v>-28091</v>
      </c>
      <c r="B38" s="2" t="s">
        <v>1047</v>
      </c>
      <c r="C38" s="2" t="s">
        <v>22441</v>
      </c>
      <c r="D38" s="3">
        <v>6</v>
      </c>
      <c r="E38" s="3">
        <v>50</v>
      </c>
      <c r="F38" s="3" t="str">
        <f>HYPERLINK("https://www.boe.es/gazeta/dias/1823/02/01/pdfs/GMD-1823-34.pdf","Abrir PDF")</f>
        <v>Abrir PDF</v>
      </c>
    </row>
    <row r="39" spans="1:6" ht="30.95" customHeight="1">
      <c r="A39" s="7">
        <v>-28090</v>
      </c>
      <c r="B39" s="2" t="s">
        <v>174</v>
      </c>
      <c r="C39" s="2" t="s">
        <v>22442</v>
      </c>
      <c r="D39" s="3">
        <v>4</v>
      </c>
      <c r="E39" s="3">
        <v>25</v>
      </c>
      <c r="F39" s="3" t="str">
        <f>HYPERLINK("https://www.boe.es/gazeta/dias/1823/02/02/pdfs/GMD-1823-35.pdf","Abrir PDF")</f>
        <v>Abrir PDF</v>
      </c>
    </row>
    <row r="40" spans="1:6" ht="30.95" customHeight="1">
      <c r="A40" s="7">
        <v>-28089</v>
      </c>
      <c r="B40" s="2" t="s">
        <v>1979</v>
      </c>
      <c r="C40" s="2" t="s">
        <v>22443</v>
      </c>
      <c r="D40" s="3">
        <v>6</v>
      </c>
      <c r="E40" s="3">
        <v>34</v>
      </c>
      <c r="F40" s="3" t="str">
        <f>HYPERLINK("https://www.boe.es/gazeta/dias/1823/02/03/pdfs/GMD-1823-36.pdf","Abrir PDF")</f>
        <v>Abrir PDF</v>
      </c>
    </row>
    <row r="41" spans="1:6" ht="30.95" customHeight="1">
      <c r="A41" s="7">
        <v>-28088</v>
      </c>
      <c r="B41" s="2" t="s">
        <v>542</v>
      </c>
      <c r="C41" s="2" t="s">
        <v>22444</v>
      </c>
      <c r="D41" s="3">
        <v>4</v>
      </c>
      <c r="E41" s="3">
        <v>23</v>
      </c>
      <c r="F41" s="3" t="str">
        <f>HYPERLINK("https://www.boe.es/gazeta/dias/1823/02/04/pdfs/GMD-1823-37.pdf","Abrir PDF")</f>
        <v>Abrir PDF</v>
      </c>
    </row>
    <row r="42" spans="1:6" ht="30.95" customHeight="1">
      <c r="A42" s="7">
        <v>-28087</v>
      </c>
      <c r="B42" s="2" t="s">
        <v>3125</v>
      </c>
      <c r="C42" s="2" t="s">
        <v>22445</v>
      </c>
      <c r="D42" s="3">
        <v>6</v>
      </c>
      <c r="E42" s="3">
        <v>24</v>
      </c>
      <c r="F42" s="3" t="str">
        <f>HYPERLINK("https://www.boe.es/gazeta/dias/1823/02/05/pdfs/GMD-1823-38.pdf","Abrir PDF")</f>
        <v>Abrir PDF</v>
      </c>
    </row>
    <row r="43" spans="1:6" ht="30.95" customHeight="1">
      <c r="A43" s="7">
        <v>-28086</v>
      </c>
      <c r="B43" s="2" t="s">
        <v>289</v>
      </c>
      <c r="C43" s="2" t="s">
        <v>22446</v>
      </c>
      <c r="D43" s="3">
        <v>4</v>
      </c>
      <c r="E43" s="3">
        <v>26</v>
      </c>
      <c r="F43" s="3" t="str">
        <f>HYPERLINK("https://www.boe.es/gazeta/dias/1823/02/06/pdfs/GMD-1823-39.pdf","Abrir PDF")</f>
        <v>Abrir PDF</v>
      </c>
    </row>
    <row r="44" spans="1:6" ht="30.95" customHeight="1">
      <c r="A44" s="7">
        <v>-28085</v>
      </c>
      <c r="B44" s="2" t="s">
        <v>458</v>
      </c>
      <c r="C44" s="2" t="s">
        <v>22447</v>
      </c>
      <c r="D44" s="3">
        <v>6</v>
      </c>
      <c r="E44" s="3">
        <v>53</v>
      </c>
      <c r="F44" s="3" t="str">
        <f>HYPERLINK("https://www.boe.es/gazeta/dias/1823/02/07/pdfs/GMD-1823-40.pdf","Abrir PDF")</f>
        <v>Abrir PDF</v>
      </c>
    </row>
    <row r="45" spans="1:6" ht="30.95" customHeight="1">
      <c r="A45" s="7">
        <v>-28084</v>
      </c>
      <c r="B45" s="2" t="s">
        <v>1049</v>
      </c>
      <c r="C45" s="2" t="s">
        <v>22448</v>
      </c>
      <c r="D45" s="3">
        <v>4</v>
      </c>
      <c r="E45" s="3">
        <v>37</v>
      </c>
      <c r="F45" s="3" t="str">
        <f>HYPERLINK("https://www.boe.es/gazeta/dias/1823/02/08/pdfs/GMD-1823-41.pdf","Abrir PDF")</f>
        <v>Abrir PDF</v>
      </c>
    </row>
    <row r="46" spans="1:6" ht="30.95" customHeight="1">
      <c r="A46" s="7">
        <v>-28084</v>
      </c>
      <c r="B46" s="2" t="s">
        <v>22449</v>
      </c>
      <c r="C46" s="2" t="s">
        <v>22450</v>
      </c>
      <c r="D46" s="3">
        <v>1</v>
      </c>
      <c r="E46" s="3">
        <v>0</v>
      </c>
      <c r="F46" s="3" t="str">
        <f>HYPERLINK("https://www.boe.es/gazeta/dias/1823/02/08/pdfs/GMD-1823-42E.pdf","Abrir PDF")</f>
        <v>Abrir PDF</v>
      </c>
    </row>
    <row r="47" spans="1:6" ht="30.95" customHeight="1">
      <c r="A47" s="7">
        <v>-28083</v>
      </c>
      <c r="B47" s="2" t="s">
        <v>291</v>
      </c>
      <c r="C47" s="2" t="s">
        <v>22451</v>
      </c>
      <c r="D47" s="3">
        <v>6</v>
      </c>
      <c r="E47" s="3">
        <v>40</v>
      </c>
      <c r="F47" s="3" t="str">
        <f>HYPERLINK("https://www.boe.es/gazeta/dias/1823/02/09/pdfs/GMD-1823-43.pdf","Abrir PDF")</f>
        <v>Abrir PDF</v>
      </c>
    </row>
    <row r="48" spans="1:6" ht="30.95" customHeight="1">
      <c r="A48" s="7">
        <v>-28082</v>
      </c>
      <c r="B48" s="2" t="s">
        <v>468</v>
      </c>
      <c r="C48" s="2" t="s">
        <v>22452</v>
      </c>
      <c r="D48" s="3">
        <v>6</v>
      </c>
      <c r="E48" s="3">
        <v>71</v>
      </c>
      <c r="F48" s="3" t="str">
        <f>HYPERLINK("https://www.boe.es/gazeta/dias/1823/02/10/pdfs/GMD-1823-44.pdf","Abrir PDF")</f>
        <v>Abrir PDF</v>
      </c>
    </row>
    <row r="49" spans="1:6" ht="30.95" customHeight="1">
      <c r="A49" s="7">
        <v>-28081</v>
      </c>
      <c r="B49" s="2" t="s">
        <v>170</v>
      </c>
      <c r="C49" s="2" t="s">
        <v>22453</v>
      </c>
      <c r="D49" s="3">
        <v>4</v>
      </c>
      <c r="E49" s="3">
        <v>52</v>
      </c>
      <c r="F49" s="3" t="str">
        <f>HYPERLINK("https://www.boe.es/gazeta/dias/1823/02/11/pdfs/GMD-1823-45.pdf","Abrir PDF")</f>
        <v>Abrir PDF</v>
      </c>
    </row>
    <row r="50" spans="1:6" ht="30.95" customHeight="1">
      <c r="A50" s="7">
        <v>-28080</v>
      </c>
      <c r="B50" s="2" t="s">
        <v>1010</v>
      </c>
      <c r="C50" s="2" t="s">
        <v>22454</v>
      </c>
      <c r="D50" s="3">
        <v>4</v>
      </c>
      <c r="E50" s="3">
        <v>42</v>
      </c>
      <c r="F50" s="3" t="str">
        <f>HYPERLINK("https://www.boe.es/gazeta/dias/1823/02/12/pdfs/GMD-1823-46.pdf","Abrir PDF")</f>
        <v>Abrir PDF</v>
      </c>
    </row>
    <row r="51" spans="1:6" ht="30.95" customHeight="1">
      <c r="A51" s="7">
        <v>-28079</v>
      </c>
      <c r="B51" s="2" t="s">
        <v>178</v>
      </c>
      <c r="C51" s="2" t="s">
        <v>22455</v>
      </c>
      <c r="D51" s="3">
        <v>4</v>
      </c>
      <c r="E51" s="3">
        <v>34</v>
      </c>
      <c r="F51" s="3" t="str">
        <f>HYPERLINK("https://www.boe.es/gazeta/dias/1823/02/13/pdfs/GMD-1823-47.pdf","Abrir PDF")</f>
        <v>Abrir PDF</v>
      </c>
    </row>
    <row r="52" spans="1:6" ht="30.95" customHeight="1">
      <c r="A52" s="7">
        <v>-28078</v>
      </c>
      <c r="B52" s="2" t="s">
        <v>508</v>
      </c>
      <c r="C52" s="2" t="s">
        <v>22456</v>
      </c>
      <c r="D52" s="3">
        <v>6</v>
      </c>
      <c r="E52" s="3">
        <v>68</v>
      </c>
      <c r="F52" s="3" t="str">
        <f>HYPERLINK("https://www.boe.es/gazeta/dias/1823/02/14/pdfs/GMD-1823-48.pdf","Abrir PDF")</f>
        <v>Abrir PDF</v>
      </c>
    </row>
    <row r="53" spans="1:6" ht="30.95" customHeight="1">
      <c r="A53" s="7">
        <v>-28077</v>
      </c>
      <c r="B53" s="2" t="s">
        <v>536</v>
      </c>
      <c r="C53" s="2" t="s">
        <v>22457</v>
      </c>
      <c r="D53" s="3">
        <v>6</v>
      </c>
      <c r="E53" s="3">
        <v>63</v>
      </c>
      <c r="F53" s="3" t="str">
        <f>HYPERLINK("https://www.boe.es/gazeta/dias/1823/02/15/pdfs/GMD-1823-49.pdf","Abrir PDF")</f>
        <v>Abrir PDF</v>
      </c>
    </row>
    <row r="54" spans="1:6" ht="30.95" customHeight="1">
      <c r="A54" s="7">
        <v>-28076</v>
      </c>
      <c r="B54" s="2" t="s">
        <v>1638</v>
      </c>
      <c r="C54" s="2" t="s">
        <v>22458</v>
      </c>
      <c r="D54" s="3">
        <v>6</v>
      </c>
      <c r="E54" s="3">
        <v>63</v>
      </c>
      <c r="F54" s="3" t="str">
        <f>HYPERLINK("https://www.boe.es/gazeta/dias/1823/02/16/pdfs/GMD-1823-50.pdf","Abrir PDF")</f>
        <v>Abrir PDF</v>
      </c>
    </row>
    <row r="55" spans="1:6" ht="30.95" customHeight="1">
      <c r="A55" s="7">
        <v>-28075</v>
      </c>
      <c r="B55" s="2" t="s">
        <v>2327</v>
      </c>
      <c r="C55" s="2" t="s">
        <v>22459</v>
      </c>
      <c r="D55" s="3">
        <v>4</v>
      </c>
      <c r="E55" s="3">
        <v>10</v>
      </c>
      <c r="F55" s="3" t="str">
        <f>HYPERLINK("https://www.boe.es/gazeta/dias/1823/02/17/pdfs/GMD-1823-51.pdf","Abrir PDF")</f>
        <v>Abrir PDF</v>
      </c>
    </row>
    <row r="56" spans="1:6" ht="30.95" customHeight="1">
      <c r="A56" s="7">
        <v>-28074</v>
      </c>
      <c r="B56" s="2" t="s">
        <v>212</v>
      </c>
      <c r="C56" s="2" t="s">
        <v>22460</v>
      </c>
      <c r="D56" s="3">
        <v>6</v>
      </c>
      <c r="E56" s="3">
        <v>53</v>
      </c>
      <c r="F56" s="3" t="str">
        <f>HYPERLINK("https://www.boe.es/gazeta/dias/1823/02/18/pdfs/GMD-1823-52.pdf","Abrir PDF")</f>
        <v>Abrir PDF</v>
      </c>
    </row>
    <row r="57" spans="1:6" ht="30.95" customHeight="1">
      <c r="A57" s="7">
        <v>-28073</v>
      </c>
      <c r="B57" s="2" t="s">
        <v>204</v>
      </c>
      <c r="C57" s="2" t="s">
        <v>22461</v>
      </c>
      <c r="D57" s="3">
        <v>4</v>
      </c>
      <c r="E57" s="3">
        <v>47</v>
      </c>
      <c r="F57" s="3" t="str">
        <f>HYPERLINK("https://www.boe.es/gazeta/dias/1823/02/19/pdfs/GMD-1823-53.pdf","Abrir PDF")</f>
        <v>Abrir PDF</v>
      </c>
    </row>
    <row r="58" spans="1:6" ht="30.95" customHeight="1">
      <c r="A58" s="7">
        <v>-28072</v>
      </c>
      <c r="B58" s="2" t="s">
        <v>4439</v>
      </c>
      <c r="C58" s="2" t="s">
        <v>22462</v>
      </c>
      <c r="D58" s="3">
        <v>4</v>
      </c>
      <c r="E58" s="3">
        <v>17</v>
      </c>
      <c r="F58" s="3" t="str">
        <f>HYPERLINK("https://www.boe.es/gazeta/dias/1823/02/20/pdfs/GMD-1823-54.pdf","Abrir PDF")</f>
        <v>Abrir PDF</v>
      </c>
    </row>
    <row r="59" spans="1:6" ht="30.95" customHeight="1">
      <c r="A59" s="7">
        <v>-28071</v>
      </c>
      <c r="B59" s="2" t="s">
        <v>587</v>
      </c>
      <c r="C59" s="2" t="s">
        <v>22463</v>
      </c>
      <c r="D59" s="3">
        <v>4</v>
      </c>
      <c r="E59" s="3">
        <v>41</v>
      </c>
      <c r="F59" s="3" t="str">
        <f>HYPERLINK("https://www.boe.es/gazeta/dias/1823/02/21/pdfs/GMD-1823-55.pdf","Abrir PDF")</f>
        <v>Abrir PDF</v>
      </c>
    </row>
    <row r="60" spans="1:6" ht="30.95" customHeight="1">
      <c r="A60" s="7">
        <v>-28070</v>
      </c>
      <c r="B60" s="2" t="s">
        <v>972</v>
      </c>
      <c r="C60" s="2" t="s">
        <v>22464</v>
      </c>
      <c r="D60" s="3">
        <v>4</v>
      </c>
      <c r="E60" s="3">
        <v>12</v>
      </c>
      <c r="F60" s="3" t="str">
        <f>HYPERLINK("https://www.boe.es/gazeta/dias/1823/02/22/pdfs/GMD-1823-56.pdf","Abrir PDF")</f>
        <v>Abrir PDF</v>
      </c>
    </row>
    <row r="61" spans="1:6" ht="30.95" customHeight="1">
      <c r="A61" s="7">
        <v>-28069</v>
      </c>
      <c r="B61" s="2" t="s">
        <v>2006</v>
      </c>
      <c r="C61" s="2" t="s">
        <v>22465</v>
      </c>
      <c r="D61" s="3">
        <v>4</v>
      </c>
      <c r="E61" s="3">
        <v>26</v>
      </c>
      <c r="F61" s="3" t="str">
        <f>HYPERLINK("https://www.boe.es/gazeta/dias/1823/02/23/pdfs/GMD-1823-57.pdf","Abrir PDF")</f>
        <v>Abrir PDF</v>
      </c>
    </row>
    <row r="62" spans="1:6" ht="30.95" customHeight="1">
      <c r="A62" s="7">
        <v>-28068</v>
      </c>
      <c r="B62" s="2" t="s">
        <v>1325</v>
      </c>
      <c r="C62" s="2" t="s">
        <v>22466</v>
      </c>
      <c r="D62" s="3">
        <v>4</v>
      </c>
      <c r="E62" s="3">
        <v>34</v>
      </c>
      <c r="F62" s="3" t="str">
        <f>HYPERLINK("https://www.boe.es/gazeta/dias/1823/02/24/pdfs/GMD-1823-58.pdf","Abrir PDF")</f>
        <v>Abrir PDF</v>
      </c>
    </row>
    <row r="63" spans="1:6" ht="30.95" customHeight="1">
      <c r="A63" s="7">
        <v>-28067</v>
      </c>
      <c r="B63" s="2" t="s">
        <v>7770</v>
      </c>
      <c r="C63" s="2" t="s">
        <v>22467</v>
      </c>
      <c r="D63" s="3">
        <v>4</v>
      </c>
      <c r="E63" s="3">
        <v>2</v>
      </c>
      <c r="F63" s="3" t="str">
        <f>HYPERLINK("https://www.boe.es/gazeta/dias/1823/02/25/pdfs/GMD-1823-59.pdf","Abrir PDF")</f>
        <v>Abrir PDF</v>
      </c>
    </row>
    <row r="64" spans="1:6" ht="30.95" customHeight="1">
      <c r="A64" s="7">
        <v>-28066</v>
      </c>
      <c r="B64" s="2" t="s">
        <v>19</v>
      </c>
      <c r="C64" s="2" t="s">
        <v>22468</v>
      </c>
      <c r="D64" s="3">
        <v>4</v>
      </c>
      <c r="E64" s="3">
        <v>48</v>
      </c>
      <c r="F64" s="3" t="str">
        <f>HYPERLINK("https://www.boe.es/gazeta/dias/1823/02/26/pdfs/GMD-1823-60.pdf","Abrir PDF")</f>
        <v>Abrir PDF</v>
      </c>
    </row>
    <row r="65" spans="1:6" ht="30.95" customHeight="1">
      <c r="A65" s="7">
        <v>-28065</v>
      </c>
      <c r="B65" s="2" t="s">
        <v>686</v>
      </c>
      <c r="C65" s="2" t="s">
        <v>22469</v>
      </c>
      <c r="D65" s="3">
        <v>4</v>
      </c>
      <c r="E65" s="3">
        <v>48</v>
      </c>
      <c r="F65" s="3" t="str">
        <f>HYPERLINK("https://www.boe.es/gazeta/dias/1823/02/27/pdfs/GMD-1823-61.pdf","Abrir PDF")</f>
        <v>Abrir PDF</v>
      </c>
    </row>
    <row r="66" spans="1:6" ht="30.95" customHeight="1">
      <c r="A66" s="7">
        <v>-28064</v>
      </c>
      <c r="B66" s="2" t="s">
        <v>1190</v>
      </c>
      <c r="C66" s="2" t="s">
        <v>22470</v>
      </c>
      <c r="D66" s="3">
        <v>4</v>
      </c>
      <c r="E66" s="3">
        <v>35</v>
      </c>
      <c r="F66" s="3" t="str">
        <f>HYPERLINK("https://www.boe.es/gazeta/dias/1823/02/28/pdfs/GMD-1823-62.pdf","Abrir PDF")</f>
        <v>Abrir PDF</v>
      </c>
    </row>
    <row r="67" spans="1:6" ht="30.95" customHeight="1">
      <c r="A67" s="7">
        <v>-28063</v>
      </c>
      <c r="B67" s="2" t="s">
        <v>2493</v>
      </c>
      <c r="C67" s="2" t="s">
        <v>22471</v>
      </c>
      <c r="D67" s="3">
        <v>4</v>
      </c>
      <c r="E67" s="3">
        <v>29</v>
      </c>
      <c r="F67" s="3" t="str">
        <f>HYPERLINK("https://www.boe.es/gazeta/dias/1823/03/01/pdfs/GMD-1823-63.pdf","Abrir PDF")</f>
        <v>Abrir PDF</v>
      </c>
    </row>
    <row r="68" spans="1:6" ht="30.95" customHeight="1">
      <c r="A68" s="7">
        <v>-28063</v>
      </c>
      <c r="B68" s="2" t="s">
        <v>22472</v>
      </c>
      <c r="C68" s="2" t="s">
        <v>22473</v>
      </c>
      <c r="D68" s="3">
        <v>1</v>
      </c>
      <c r="E68" s="3">
        <v>0</v>
      </c>
      <c r="F68" s="3" t="str">
        <f>HYPERLINK("https://www.boe.es/gazeta/dias/1823/03/01/pdfs/GMD-1823-64E.pdf","Abrir PDF")</f>
        <v>Abrir PDF</v>
      </c>
    </row>
    <row r="69" spans="1:6" ht="30.95" customHeight="1">
      <c r="A69" s="7">
        <v>-28062</v>
      </c>
      <c r="B69" s="2" t="s">
        <v>1357</v>
      </c>
      <c r="C69" s="2" t="s">
        <v>22474</v>
      </c>
      <c r="D69" s="3">
        <v>4</v>
      </c>
      <c r="E69" s="3">
        <v>39</v>
      </c>
      <c r="F69" s="3" t="str">
        <f>HYPERLINK("https://www.boe.es/gazeta/dias/1823/03/02/pdfs/GMD-1823-65.pdf","Abrir PDF")</f>
        <v>Abrir PDF</v>
      </c>
    </row>
    <row r="70" spans="1:6" ht="30.95" customHeight="1">
      <c r="A70" s="7">
        <v>-28061</v>
      </c>
      <c r="B70" s="2" t="s">
        <v>704</v>
      </c>
      <c r="C70" s="2" t="s">
        <v>22475</v>
      </c>
      <c r="D70" s="3">
        <v>6</v>
      </c>
      <c r="E70" s="3">
        <v>91</v>
      </c>
      <c r="F70" s="3" t="str">
        <f>HYPERLINK("https://www.boe.es/gazeta/dias/1823/03/03/pdfs/GMD-1823-66.pdf","Abrir PDF")</f>
        <v>Abrir PDF</v>
      </c>
    </row>
    <row r="71" spans="1:6" ht="30.95" customHeight="1">
      <c r="A71" s="7">
        <v>-28060</v>
      </c>
      <c r="B71" s="2" t="s">
        <v>180</v>
      </c>
      <c r="C71" s="2" t="s">
        <v>22476</v>
      </c>
      <c r="D71" s="3">
        <v>6</v>
      </c>
      <c r="E71" s="3">
        <v>58</v>
      </c>
      <c r="F71" s="3" t="str">
        <f>HYPERLINK("https://www.boe.es/gazeta/dias/1823/03/04/pdfs/GMD-1823-67.pdf","Abrir PDF")</f>
        <v>Abrir PDF</v>
      </c>
    </row>
    <row r="72" spans="1:6" ht="30.95" customHeight="1">
      <c r="A72" s="7">
        <v>-28059</v>
      </c>
      <c r="B72" s="2" t="s">
        <v>149</v>
      </c>
      <c r="C72" s="2" t="s">
        <v>22477</v>
      </c>
      <c r="D72" s="3">
        <v>4</v>
      </c>
      <c r="E72" s="3">
        <v>49</v>
      </c>
      <c r="F72" s="3" t="str">
        <f>HYPERLINK("https://www.boe.es/gazeta/dias/1823/03/05/pdfs/GMD-1823-68.pdf","Abrir PDF")</f>
        <v>Abrir PDF</v>
      </c>
    </row>
    <row r="73" spans="1:6" ht="30.95" customHeight="1">
      <c r="A73" s="7">
        <v>-28058</v>
      </c>
      <c r="B73" s="2" t="s">
        <v>1282</v>
      </c>
      <c r="C73" s="2" t="s">
        <v>22478</v>
      </c>
      <c r="D73" s="3">
        <v>6</v>
      </c>
      <c r="E73" s="3">
        <v>64</v>
      </c>
      <c r="F73" s="3" t="str">
        <f>HYPERLINK("https://www.boe.es/gazeta/dias/1823/03/06/pdfs/GMD-1823-69.pdf","Abrir PDF")</f>
        <v>Abrir PDF</v>
      </c>
    </row>
    <row r="74" spans="1:6" ht="30.95" customHeight="1">
      <c r="A74" s="7">
        <v>-28057</v>
      </c>
      <c r="B74" s="2" t="s">
        <v>301</v>
      </c>
      <c r="C74" s="2" t="s">
        <v>22479</v>
      </c>
      <c r="D74" s="3">
        <v>4</v>
      </c>
      <c r="E74" s="3">
        <v>77</v>
      </c>
      <c r="F74" s="3" t="str">
        <f>HYPERLINK("https://www.boe.es/gazeta/dias/1823/03/07/pdfs/GMD-1823-70.pdf","Abrir PDF")</f>
        <v>Abrir PDF</v>
      </c>
    </row>
    <row r="75" spans="1:6" ht="30.95" customHeight="1">
      <c r="A75" s="7">
        <v>-28056</v>
      </c>
      <c r="B75" s="2" t="s">
        <v>572</v>
      </c>
      <c r="C75" s="2" t="s">
        <v>22480</v>
      </c>
      <c r="D75" s="3">
        <v>6</v>
      </c>
      <c r="E75" s="3">
        <v>74</v>
      </c>
      <c r="F75" s="3" t="str">
        <f>HYPERLINK("https://www.boe.es/gazeta/dias/1823/03/08/pdfs/GMD-1823-71.pdf","Abrir PDF")</f>
        <v>Abrir PDF</v>
      </c>
    </row>
    <row r="76" spans="1:6" ht="30.95" customHeight="1">
      <c r="A76" s="7">
        <v>-28055</v>
      </c>
      <c r="B76" s="2" t="s">
        <v>313</v>
      </c>
      <c r="C76" s="2" t="s">
        <v>22481</v>
      </c>
      <c r="D76" s="3">
        <v>4</v>
      </c>
      <c r="E76" s="3">
        <v>46</v>
      </c>
      <c r="F76" s="3" t="str">
        <f>HYPERLINK("https://www.boe.es/gazeta/dias/1823/03/09/pdfs/GMD-1823-72.pdf","Abrir PDF")</f>
        <v>Abrir PDF</v>
      </c>
    </row>
    <row r="77" spans="1:6" ht="30.95" customHeight="1">
      <c r="A77" s="7">
        <v>-28054</v>
      </c>
      <c r="B77" s="2" t="s">
        <v>1292</v>
      </c>
      <c r="C77" s="2" t="s">
        <v>22482</v>
      </c>
      <c r="D77" s="3">
        <v>4</v>
      </c>
      <c r="E77" s="3">
        <v>30</v>
      </c>
      <c r="F77" s="3" t="str">
        <f>HYPERLINK("https://www.boe.es/gazeta/dias/1823/03/10/pdfs/GMD-1823-73.pdf","Abrir PDF")</f>
        <v>Abrir PDF</v>
      </c>
    </row>
    <row r="78" spans="1:6" ht="30.95" customHeight="1">
      <c r="A78" s="7">
        <v>-28053</v>
      </c>
      <c r="B78" s="2" t="s">
        <v>303</v>
      </c>
      <c r="C78" s="2" t="s">
        <v>22483</v>
      </c>
      <c r="D78" s="3">
        <v>4</v>
      </c>
      <c r="E78" s="3">
        <v>34</v>
      </c>
      <c r="F78" s="3" t="str">
        <f>HYPERLINK("https://www.boe.es/gazeta/dias/1823/03/11/pdfs/GMD-1823-74.pdf","Abrir PDF")</f>
        <v>Abrir PDF</v>
      </c>
    </row>
    <row r="79" spans="1:6" ht="30.95" customHeight="1">
      <c r="A79" s="7">
        <v>-28052</v>
      </c>
      <c r="B79" s="2" t="s">
        <v>1025</v>
      </c>
      <c r="C79" s="2" t="s">
        <v>22484</v>
      </c>
      <c r="D79" s="3">
        <v>6</v>
      </c>
      <c r="E79" s="3">
        <v>38</v>
      </c>
      <c r="F79" s="3" t="str">
        <f>HYPERLINK("https://www.boe.es/gazeta/dias/1823/03/12/pdfs/GMD-1823-75.pdf","Abrir PDF")</f>
        <v>Abrir PDF</v>
      </c>
    </row>
    <row r="80" spans="1:6" ht="30.95" customHeight="1">
      <c r="A80" s="7">
        <v>-28051</v>
      </c>
      <c r="B80" s="2" t="s">
        <v>305</v>
      </c>
      <c r="C80" s="2" t="s">
        <v>22485</v>
      </c>
      <c r="D80" s="3">
        <v>4</v>
      </c>
      <c r="E80" s="3">
        <v>40</v>
      </c>
      <c r="F80" s="3" t="str">
        <f>HYPERLINK("https://www.boe.es/gazeta/dias/1823/03/13/pdfs/GMD-1823-76.pdf","Abrir PDF")</f>
        <v>Abrir PDF</v>
      </c>
    </row>
    <row r="81" spans="1:6" ht="30.95" customHeight="1">
      <c r="A81" s="7">
        <v>-28050</v>
      </c>
      <c r="B81" s="2" t="s">
        <v>473</v>
      </c>
      <c r="C81" s="2" t="s">
        <v>22486</v>
      </c>
      <c r="D81" s="3">
        <v>6</v>
      </c>
      <c r="E81" s="3">
        <v>37</v>
      </c>
      <c r="F81" s="3" t="str">
        <f>HYPERLINK("https://www.boe.es/gazeta/dias/1823/03/14/pdfs/GMD-1823-77.pdf","Abrir PDF")</f>
        <v>Abrir PDF</v>
      </c>
    </row>
    <row r="82" spans="1:6" ht="30.95" customHeight="1">
      <c r="A82" s="7">
        <v>-28049</v>
      </c>
      <c r="B82" s="2" t="s">
        <v>198</v>
      </c>
      <c r="C82" s="2" t="s">
        <v>22487</v>
      </c>
      <c r="D82" s="3">
        <v>4</v>
      </c>
      <c r="E82" s="3">
        <v>50</v>
      </c>
      <c r="F82" s="3" t="str">
        <f>HYPERLINK("https://www.boe.es/gazeta/dias/1823/03/15/pdfs/GMD-1823-78.pdf","Abrir PDF")</f>
        <v>Abrir PDF</v>
      </c>
    </row>
    <row r="83" spans="1:6" ht="30.95" customHeight="1">
      <c r="A83" s="7">
        <v>-28048</v>
      </c>
      <c r="B83" s="2" t="s">
        <v>399</v>
      </c>
      <c r="C83" s="2" t="s">
        <v>22488</v>
      </c>
      <c r="D83" s="3">
        <v>6</v>
      </c>
      <c r="E83" s="3">
        <v>79</v>
      </c>
      <c r="F83" s="3" t="str">
        <f>HYPERLINK("https://www.boe.es/gazeta/dias/1823/03/16/pdfs/GMD-1823-79.pdf","Abrir PDF")</f>
        <v>Abrir PDF</v>
      </c>
    </row>
    <row r="84" spans="1:6" ht="30.95" customHeight="1">
      <c r="A84" s="7">
        <v>-28047</v>
      </c>
      <c r="B84" s="2" t="s">
        <v>2269</v>
      </c>
      <c r="C84" s="2" t="s">
        <v>22489</v>
      </c>
      <c r="D84" s="3">
        <v>4</v>
      </c>
      <c r="E84" s="3">
        <v>22</v>
      </c>
      <c r="F84" s="3" t="str">
        <f>HYPERLINK("https://www.boe.es/gazeta/dias/1823/03/17/pdfs/GMD-1823-80.pdf","Abrir PDF")</f>
        <v>Abrir PDF</v>
      </c>
    </row>
    <row r="85" spans="1:6" ht="30.95" customHeight="1">
      <c r="A85" s="7">
        <v>-28046</v>
      </c>
      <c r="B85" s="2" t="s">
        <v>85</v>
      </c>
      <c r="C85" s="2" t="s">
        <v>22490</v>
      </c>
      <c r="D85" s="3">
        <v>4</v>
      </c>
      <c r="E85" s="3">
        <v>33</v>
      </c>
      <c r="F85" s="3" t="str">
        <f>HYPERLINK("https://www.boe.es/gazeta/dias/1823/03/18/pdfs/GMD-1823-81.pdf","Abrir PDF")</f>
        <v>Abrir PDF</v>
      </c>
    </row>
    <row r="86" spans="1:6" ht="30.95" customHeight="1">
      <c r="A86" s="7">
        <v>-28045</v>
      </c>
      <c r="B86" s="2" t="s">
        <v>245</v>
      </c>
      <c r="C86" s="2" t="s">
        <v>22491</v>
      </c>
      <c r="D86" s="3">
        <v>4</v>
      </c>
      <c r="E86" s="3">
        <v>24</v>
      </c>
      <c r="F86" s="3" t="str">
        <f>HYPERLINK("https://www.boe.es/gazeta/dias/1823/03/19/pdfs/GMD-1823-82.pdf","Abrir PDF")</f>
        <v>Abrir PDF</v>
      </c>
    </row>
    <row r="87" spans="1:6" ht="30.95" customHeight="1">
      <c r="A87" s="7">
        <v>-28044</v>
      </c>
      <c r="B87" s="2" t="s">
        <v>1930</v>
      </c>
      <c r="C87" s="2" t="s">
        <v>22492</v>
      </c>
      <c r="D87" s="3">
        <v>4</v>
      </c>
      <c r="E87" s="3">
        <v>24</v>
      </c>
      <c r="F87" s="3" t="str">
        <f>HYPERLINK("https://www.boe.es/gazeta/dias/1823/03/20/pdfs/GMD-1823-83.pdf","Abrir PDF")</f>
        <v>Abrir PDF</v>
      </c>
    </row>
    <row r="88" spans="1:6" ht="30.95" customHeight="1">
      <c r="A88" s="7">
        <v>-28043</v>
      </c>
      <c r="B88" s="2" t="s">
        <v>69</v>
      </c>
      <c r="C88" s="2" t="s">
        <v>22493</v>
      </c>
      <c r="D88" s="3">
        <v>6</v>
      </c>
      <c r="E88" s="3">
        <v>54</v>
      </c>
      <c r="F88" s="3" t="str">
        <f>HYPERLINK("https://www.boe.es/gazeta/dias/1823/03/21/pdfs/GMD-1823-84.pdf","Abrir PDF")</f>
        <v>Abrir PDF</v>
      </c>
    </row>
    <row r="89" spans="1:6" ht="30.95" customHeight="1">
      <c r="A89" s="7">
        <v>-28042</v>
      </c>
      <c r="B89" s="2" t="s">
        <v>1218</v>
      </c>
      <c r="C89" s="2" t="s">
        <v>22494</v>
      </c>
      <c r="D89" s="3">
        <v>4</v>
      </c>
      <c r="E89" s="3">
        <v>39</v>
      </c>
      <c r="F89" s="3" t="str">
        <f>HYPERLINK("https://www.boe.es/gazeta/dias/1823/03/22/pdfs/GMD-1823-85.pdf","Abrir PDF")</f>
        <v>Abrir PDF</v>
      </c>
    </row>
    <row r="90" spans="1:6" ht="30.95" customHeight="1">
      <c r="A90" s="7">
        <v>-28041</v>
      </c>
      <c r="B90" s="2" t="s">
        <v>873</v>
      </c>
      <c r="C90" s="2" t="s">
        <v>22495</v>
      </c>
      <c r="D90" s="3">
        <v>4</v>
      </c>
      <c r="E90" s="3">
        <v>53</v>
      </c>
      <c r="F90" s="3" t="str">
        <f>HYPERLINK("https://www.boe.es/gazeta/dias/1823/03/23/pdfs/GMD-1823-86.pdf","Abrir PDF")</f>
        <v>Abrir PDF</v>
      </c>
    </row>
    <row r="91" spans="1:6" ht="30.95" customHeight="1">
      <c r="A91" s="7">
        <v>-28040</v>
      </c>
      <c r="B91" s="2" t="s">
        <v>2971</v>
      </c>
      <c r="C91" s="2" t="s">
        <v>22496</v>
      </c>
      <c r="D91" s="3">
        <v>4</v>
      </c>
      <c r="E91" s="3">
        <v>20</v>
      </c>
      <c r="F91" s="3" t="str">
        <f>HYPERLINK("https://www.boe.es/gazeta/dias/1823/03/24/pdfs/GMD-1823-87.pdf","Abrir PDF")</f>
        <v>Abrir PDF</v>
      </c>
    </row>
    <row r="92" spans="1:6" ht="30.95" customHeight="1">
      <c r="A92" s="7">
        <v>-28039</v>
      </c>
      <c r="B92" s="2" t="s">
        <v>126</v>
      </c>
      <c r="C92" s="2" t="s">
        <v>22497</v>
      </c>
      <c r="D92" s="3">
        <v>4</v>
      </c>
      <c r="E92" s="3">
        <v>15</v>
      </c>
      <c r="F92" s="3" t="str">
        <f>HYPERLINK("https://www.boe.es/gazeta/dias/1823/03/25/pdfs/GMD-1823-88.pdf","Abrir PDF")</f>
        <v>Abrir PDF</v>
      </c>
    </row>
    <row r="93" spans="1:6" ht="30.95" customHeight="1">
      <c r="A93" s="7">
        <v>-28038</v>
      </c>
      <c r="B93" s="2" t="s">
        <v>2379</v>
      </c>
      <c r="C93" s="2" t="s">
        <v>22498</v>
      </c>
      <c r="D93" s="3">
        <v>4</v>
      </c>
      <c r="E93" s="3">
        <v>20</v>
      </c>
      <c r="F93" s="3" t="str">
        <f>HYPERLINK("https://www.boe.es/gazeta/dias/1823/03/26/pdfs/GMD-1823-89.pdf","Abrir PDF")</f>
        <v>Abrir PDF</v>
      </c>
    </row>
    <row r="94" spans="1:6" ht="30.95" customHeight="1">
      <c r="A94" s="7">
        <v>-28037</v>
      </c>
      <c r="B94" s="2" t="s">
        <v>192</v>
      </c>
      <c r="C94" s="2" t="s">
        <v>22499</v>
      </c>
      <c r="D94" s="3">
        <v>4</v>
      </c>
      <c r="E94" s="3">
        <v>147</v>
      </c>
      <c r="F94" s="3" t="str">
        <f>HYPERLINK("https://www.boe.es/gazeta/dias/1823/03/27/pdfs/GMD-1823-90.pdf","Abrir PDF")</f>
        <v>Abrir PDF</v>
      </c>
    </row>
    <row r="95" spans="1:6" ht="30.95" customHeight="1">
      <c r="A95" s="7">
        <v>-28036</v>
      </c>
      <c r="B95" s="2" t="s">
        <v>2216</v>
      </c>
      <c r="C95" s="2" t="s">
        <v>22500</v>
      </c>
      <c r="D95" s="3">
        <v>4</v>
      </c>
      <c r="E95" s="3">
        <v>11</v>
      </c>
      <c r="F95" s="3" t="str">
        <f>HYPERLINK("https://www.boe.es/gazeta/dias/1823/03/28/pdfs/GMD-1823-91.pdf","Abrir PDF")</f>
        <v>Abrir PDF</v>
      </c>
    </row>
    <row r="96" spans="1:6" ht="30.95" customHeight="1">
      <c r="A96" s="7">
        <v>-28035</v>
      </c>
      <c r="B96" s="2" t="s">
        <v>138</v>
      </c>
      <c r="C96" s="2" t="s">
        <v>22501</v>
      </c>
      <c r="D96" s="3">
        <v>4</v>
      </c>
      <c r="E96" s="3">
        <v>20</v>
      </c>
      <c r="F96" s="3" t="str">
        <f>HYPERLINK("https://www.boe.es/gazeta/dias/1823/03/29/pdfs/GMD-1823-92.pdf","Abrir PDF")</f>
        <v>Abrir PDF</v>
      </c>
    </row>
    <row r="97" spans="1:6" ht="30.95" customHeight="1">
      <c r="A97" s="7">
        <v>-28034</v>
      </c>
      <c r="B97" s="2" t="s">
        <v>6937</v>
      </c>
      <c r="C97" s="2" t="s">
        <v>22502</v>
      </c>
      <c r="D97" s="3">
        <v>4</v>
      </c>
      <c r="E97" s="3">
        <v>9</v>
      </c>
      <c r="F97" s="3" t="str">
        <f>HYPERLINK("https://www.boe.es/gazeta/dias/1823/03/30/pdfs/GMD-1823-93.pdf","Abrir PDF")</f>
        <v>Abrir PDF</v>
      </c>
    </row>
    <row r="98" spans="1:6" ht="30.95" customHeight="1">
      <c r="A98" s="7">
        <v>-28033</v>
      </c>
      <c r="B98" s="2" t="s">
        <v>1372</v>
      </c>
      <c r="C98" s="2" t="s">
        <v>22503</v>
      </c>
      <c r="D98" s="3">
        <v>4</v>
      </c>
      <c r="E98" s="3">
        <v>22</v>
      </c>
      <c r="F98" s="3" t="str">
        <f>HYPERLINK("https://www.boe.es/gazeta/dias/1823/03/31/pdfs/GMD-1823-94.pdf","Abrir PDF")</f>
        <v>Abrir PDF</v>
      </c>
    </row>
    <row r="99" spans="1:6" ht="30.95" customHeight="1">
      <c r="A99" s="7">
        <v>-28032</v>
      </c>
      <c r="B99" s="2" t="s">
        <v>668</v>
      </c>
      <c r="C99" s="2" t="s">
        <v>22504</v>
      </c>
      <c r="D99" s="3">
        <v>4</v>
      </c>
      <c r="E99" s="3">
        <v>53</v>
      </c>
      <c r="F99" s="3" t="str">
        <f>HYPERLINK("https://www.boe.es/gazeta/dias/1823/04/01/pdfs/GMD-1823-95.pdf","Abrir PDF")</f>
        <v>Abrir PDF</v>
      </c>
    </row>
    <row r="100" spans="1:6" ht="30.95" customHeight="1">
      <c r="A100" s="7">
        <v>-28031</v>
      </c>
      <c r="B100" s="2" t="s">
        <v>1211</v>
      </c>
      <c r="C100" s="2" t="s">
        <v>22505</v>
      </c>
      <c r="D100" s="3">
        <v>4</v>
      </c>
      <c r="E100" s="3">
        <v>39</v>
      </c>
      <c r="F100" s="3" t="str">
        <f>HYPERLINK("https://www.boe.es/gazeta/dias/1823/04/02/pdfs/GMD-1823-96.pdf","Abrir PDF")</f>
        <v>Abrir PDF</v>
      </c>
    </row>
    <row r="101" spans="1:6" ht="30.95" customHeight="1">
      <c r="A101" s="7">
        <v>-28030</v>
      </c>
      <c r="B101" s="2" t="s">
        <v>145</v>
      </c>
      <c r="C101" s="2" t="s">
        <v>22506</v>
      </c>
      <c r="D101" s="3">
        <v>4</v>
      </c>
      <c r="E101" s="3">
        <v>42</v>
      </c>
      <c r="F101" s="3" t="str">
        <f>HYPERLINK("https://www.boe.es/gazeta/dias/1823/04/03/pdfs/GMD-1823-97.pdf","Abrir PDF")</f>
        <v>Abrir PDF</v>
      </c>
    </row>
    <row r="102" spans="1:6" ht="30.95" customHeight="1">
      <c r="A102" s="7">
        <v>-28029</v>
      </c>
      <c r="B102" s="2" t="s">
        <v>141</v>
      </c>
      <c r="C102" s="2" t="s">
        <v>22507</v>
      </c>
      <c r="D102" s="3">
        <v>4</v>
      </c>
      <c r="E102" s="3">
        <v>14</v>
      </c>
      <c r="F102" s="3" t="str">
        <f>HYPERLINK("https://www.boe.es/gazeta/dias/1823/04/04/pdfs/GMD-1823-98.pdf","Abrir PDF")</f>
        <v>Abrir PDF</v>
      </c>
    </row>
    <row r="103" spans="1:6" ht="30.95" customHeight="1">
      <c r="A103" s="7">
        <v>-28028</v>
      </c>
      <c r="B103" s="2" t="s">
        <v>5491</v>
      </c>
      <c r="C103" s="2" t="s">
        <v>22508</v>
      </c>
      <c r="D103" s="3">
        <v>1</v>
      </c>
      <c r="E103" s="3">
        <v>1</v>
      </c>
      <c r="F103" s="3" t="str">
        <f>HYPERLINK("https://www.boe.es/gazeta/dias/1823/04/05/pdfs/GMD-1823-100E.pdf","Abrir PDF")</f>
        <v>Abrir PDF</v>
      </c>
    </row>
    <row r="104" spans="1:6" ht="30.95" customHeight="1">
      <c r="A104" s="7">
        <v>-28028</v>
      </c>
      <c r="B104" s="2" t="s">
        <v>893</v>
      </c>
      <c r="C104" s="2" t="s">
        <v>22509</v>
      </c>
      <c r="D104" s="3">
        <v>4</v>
      </c>
      <c r="E104" s="3">
        <v>35</v>
      </c>
      <c r="F104" s="3" t="str">
        <f>HYPERLINK("https://www.boe.es/gazeta/dias/1823/04/05/pdfs/GMD-1823-99.pdf","Abrir PDF")</f>
        <v>Abrir PDF</v>
      </c>
    </row>
    <row r="105" spans="1:6" ht="30.95" customHeight="1">
      <c r="A105" s="7">
        <v>-28027</v>
      </c>
      <c r="B105" s="2" t="s">
        <v>4234</v>
      </c>
      <c r="C105" s="2" t="s">
        <v>22510</v>
      </c>
      <c r="D105" s="3">
        <v>4</v>
      </c>
      <c r="E105" s="3">
        <v>19</v>
      </c>
      <c r="F105" s="3" t="str">
        <f>HYPERLINK("https://www.boe.es/gazeta/dias/1823/04/06/pdfs/GMD-1823-101.pdf","Abrir PDF")</f>
        <v>Abrir PDF</v>
      </c>
    </row>
    <row r="106" spans="1:6" ht="30.95" customHeight="1">
      <c r="A106" s="7">
        <v>-28026</v>
      </c>
      <c r="B106" s="2" t="s">
        <v>937</v>
      </c>
      <c r="C106" s="2" t="s">
        <v>22511</v>
      </c>
      <c r="D106" s="3">
        <v>4</v>
      </c>
      <c r="E106" s="3">
        <v>8</v>
      </c>
      <c r="F106" s="3" t="str">
        <f>HYPERLINK("https://www.boe.es/gazeta/dias/1823/04/07/pdfs/GMD-1823-102.pdf","Abrir PDF")</f>
        <v>Abrir PDF</v>
      </c>
    </row>
    <row r="107" spans="1:6" ht="30.95" customHeight="1">
      <c r="A107" s="7">
        <v>-28025</v>
      </c>
      <c r="B107" s="2" t="s">
        <v>477</v>
      </c>
      <c r="C107" s="2" t="s">
        <v>22512</v>
      </c>
      <c r="D107" s="3">
        <v>4</v>
      </c>
      <c r="E107" s="3">
        <v>60</v>
      </c>
      <c r="F107" s="3" t="str">
        <f>HYPERLINK("https://www.boe.es/gazeta/dias/1823/04/08/pdfs/GMD-1823-103.pdf","Abrir PDF")</f>
        <v>Abrir PDF</v>
      </c>
    </row>
    <row r="108" spans="1:6" ht="30.95" customHeight="1">
      <c r="A108" s="7">
        <v>-28024</v>
      </c>
      <c r="B108" s="2" t="s">
        <v>1659</v>
      </c>
      <c r="C108" s="2" t="s">
        <v>22513</v>
      </c>
      <c r="D108" s="3">
        <v>4</v>
      </c>
      <c r="E108" s="3">
        <v>17</v>
      </c>
      <c r="F108" s="3" t="str">
        <f>HYPERLINK("https://www.boe.es/gazeta/dias/1823/04/09/pdfs/GMD-1823-104.pdf","Abrir PDF")</f>
        <v>Abrir PDF</v>
      </c>
    </row>
    <row r="109" spans="1:6" ht="30.95" customHeight="1">
      <c r="A109" s="7">
        <v>-28023</v>
      </c>
      <c r="B109" s="2" t="s">
        <v>384</v>
      </c>
      <c r="C109" s="2" t="s">
        <v>22514</v>
      </c>
      <c r="D109" s="3">
        <v>4</v>
      </c>
      <c r="E109" s="3">
        <v>11</v>
      </c>
      <c r="F109" s="3" t="str">
        <f>HYPERLINK("https://www.boe.es/gazeta/dias/1823/04/10/pdfs/GMD-1823-105.pdf","Abrir PDF")</f>
        <v>Abrir PDF</v>
      </c>
    </row>
    <row r="110" spans="1:6" ht="30.95" customHeight="1">
      <c r="A110" s="7">
        <v>-28022</v>
      </c>
      <c r="B110" s="2" t="s">
        <v>1661</v>
      </c>
      <c r="C110" s="2" t="s">
        <v>22515</v>
      </c>
      <c r="D110" s="3">
        <v>4</v>
      </c>
      <c r="E110" s="3">
        <v>5</v>
      </c>
      <c r="F110" s="3" t="str">
        <f>HYPERLINK("https://www.boe.es/gazeta/dias/1823/04/11/pdfs/GES-1823-1.pdf","Abrir PDF")</f>
        <v>Abrir PDF</v>
      </c>
    </row>
    <row r="111" spans="1:6" ht="30.95" customHeight="1">
      <c r="A111" s="7">
        <v>-28022</v>
      </c>
      <c r="B111" s="2" t="s">
        <v>439</v>
      </c>
      <c r="C111" s="2" t="s">
        <v>22516</v>
      </c>
      <c r="D111" s="3">
        <v>4</v>
      </c>
      <c r="E111" s="3">
        <v>17</v>
      </c>
      <c r="F111" s="3" t="str">
        <f>HYPERLINK("https://www.boe.es/gazeta/dias/1823/04/11/pdfs/GMD-1823-106.pdf","Abrir PDF")</f>
        <v>Abrir PDF</v>
      </c>
    </row>
    <row r="112" spans="1:6" ht="30.95" customHeight="1">
      <c r="A112" s="7">
        <v>-28021</v>
      </c>
      <c r="B112" s="2" t="s">
        <v>2669</v>
      </c>
      <c r="C112" s="2" t="s">
        <v>22517</v>
      </c>
      <c r="D112" s="3">
        <v>4</v>
      </c>
      <c r="E112" s="3">
        <v>13</v>
      </c>
      <c r="F112" s="3" t="str">
        <f>HYPERLINK("https://www.boe.es/gazeta/dias/1823/04/12/pdfs/GES-1823-2.pdf","Abrir PDF")</f>
        <v>Abrir PDF</v>
      </c>
    </row>
    <row r="113" spans="1:6" ht="30.95" customHeight="1">
      <c r="A113" s="7">
        <v>-28021</v>
      </c>
      <c r="B113" s="2" t="s">
        <v>1054</v>
      </c>
      <c r="C113" s="2" t="s">
        <v>22518</v>
      </c>
      <c r="D113" s="3">
        <v>4</v>
      </c>
      <c r="E113" s="3">
        <v>34</v>
      </c>
      <c r="F113" s="3" t="str">
        <f>HYPERLINK("https://www.boe.es/gazeta/dias/1823/04/12/pdfs/GMD-1823-107.pdf","Abrir PDF")</f>
        <v>Abrir PDF</v>
      </c>
    </row>
    <row r="114" spans="1:6" ht="30.95" customHeight="1">
      <c r="A114" s="7">
        <v>-28020</v>
      </c>
      <c r="B114" s="2" t="s">
        <v>448</v>
      </c>
      <c r="C114" s="2" t="s">
        <v>22519</v>
      </c>
      <c r="D114" s="3">
        <v>4</v>
      </c>
      <c r="E114" s="3">
        <v>18</v>
      </c>
      <c r="F114" s="3" t="str">
        <f>HYPERLINK("https://www.boe.es/gazeta/dias/1823/04/13/pdfs/GES-1823-3.pdf","Abrir PDF")</f>
        <v>Abrir PDF</v>
      </c>
    </row>
    <row r="115" spans="1:6" ht="30.95" customHeight="1">
      <c r="A115" s="7">
        <v>-28019</v>
      </c>
      <c r="B115" s="2" t="s">
        <v>1663</v>
      </c>
      <c r="C115" s="2" t="s">
        <v>22520</v>
      </c>
      <c r="D115" s="3">
        <v>4</v>
      </c>
      <c r="E115" s="3">
        <v>15</v>
      </c>
      <c r="F115" s="3" t="str">
        <f>HYPERLINK("https://www.boe.es/gazeta/dias/1823/04/14/pdfs/GES-1823-4.pdf","Abrir PDF")</f>
        <v>Abrir PDF</v>
      </c>
    </row>
    <row r="116" spans="1:6" ht="30.95" customHeight="1">
      <c r="A116" s="7">
        <v>-28018</v>
      </c>
      <c r="B116" s="2" t="s">
        <v>2613</v>
      </c>
      <c r="C116" s="2" t="s">
        <v>22521</v>
      </c>
      <c r="D116" s="3">
        <v>6</v>
      </c>
      <c r="E116" s="3">
        <v>28</v>
      </c>
      <c r="F116" s="3" t="str">
        <f>HYPERLINK("https://www.boe.es/gazeta/dias/1823/04/15/pdfs/GES-1823-5.pdf","Abrir PDF")</f>
        <v>Abrir PDF</v>
      </c>
    </row>
    <row r="117" spans="1:6" ht="30.95" customHeight="1">
      <c r="A117" s="7">
        <v>-28018</v>
      </c>
      <c r="B117" s="2" t="s">
        <v>275</v>
      </c>
      <c r="C117" s="2" t="s">
        <v>22419</v>
      </c>
      <c r="D117" s="3">
        <v>4</v>
      </c>
      <c r="E117" s="3">
        <v>19</v>
      </c>
      <c r="F117" s="3" t="str">
        <f>HYPERLINK("https://www.boe.es/gazeta/dias/1823/04/15/pdfs/GMD-1823-12.pdf","Abrir PDF")</f>
        <v>Abrir PDF</v>
      </c>
    </row>
    <row r="118" spans="1:6" ht="30.95" customHeight="1">
      <c r="A118" s="7">
        <v>-28017</v>
      </c>
      <c r="B118" s="2" t="s">
        <v>2912</v>
      </c>
      <c r="C118" s="2" t="s">
        <v>22522</v>
      </c>
      <c r="D118" s="3">
        <v>4</v>
      </c>
      <c r="E118" s="3">
        <v>26</v>
      </c>
      <c r="F118" s="3" t="str">
        <f>HYPERLINK("https://www.boe.es/gazeta/dias/1823/04/16/pdfs/GES-1823-6.pdf","Abrir PDF")</f>
        <v>Abrir PDF</v>
      </c>
    </row>
    <row r="119" spans="1:6" ht="30.95" customHeight="1">
      <c r="A119" s="7">
        <v>-28016</v>
      </c>
      <c r="B119" s="2" t="s">
        <v>2259</v>
      </c>
      <c r="C119" s="2" t="s">
        <v>22523</v>
      </c>
      <c r="D119" s="3">
        <v>4</v>
      </c>
      <c r="E119" s="3">
        <v>24</v>
      </c>
      <c r="F119" s="3" t="str">
        <f>HYPERLINK("https://www.boe.es/gazeta/dias/1823/04/17/pdfs/GES-1823-7.pdf","Abrir PDF")</f>
        <v>Abrir PDF</v>
      </c>
    </row>
    <row r="120" spans="1:6" ht="30.95" customHeight="1">
      <c r="A120" s="7">
        <v>-28016</v>
      </c>
      <c r="B120" s="2" t="s">
        <v>287</v>
      </c>
      <c r="C120" s="2" t="s">
        <v>22429</v>
      </c>
      <c r="D120" s="3">
        <v>4</v>
      </c>
      <c r="E120" s="3">
        <v>19</v>
      </c>
      <c r="F120" s="3" t="str">
        <f>HYPERLINK("https://www.boe.es/gazeta/dias/1823/04/17/pdfs/GMD-1823-22.pdf","Abrir PDF")</f>
        <v>Abrir PDF</v>
      </c>
    </row>
    <row r="121" spans="1:6" ht="30.95" customHeight="1">
      <c r="A121" s="7">
        <v>-28015</v>
      </c>
      <c r="B121" s="2" t="s">
        <v>985</v>
      </c>
      <c r="C121" s="2" t="s">
        <v>22524</v>
      </c>
      <c r="D121" s="3">
        <v>4</v>
      </c>
      <c r="E121" s="3">
        <v>38</v>
      </c>
      <c r="F121" s="3" t="str">
        <f>HYPERLINK("https://www.boe.es/gazeta/dias/1823/04/18/pdfs/GES-1823-8.pdf","Abrir PDF")</f>
        <v>Abrir PDF</v>
      </c>
    </row>
    <row r="122" spans="1:6" ht="30.95" customHeight="1">
      <c r="A122" s="7">
        <v>-28014</v>
      </c>
      <c r="B122" s="2" t="s">
        <v>2805</v>
      </c>
      <c r="C122" s="2" t="s">
        <v>22525</v>
      </c>
      <c r="D122" s="3">
        <v>4</v>
      </c>
      <c r="E122" s="3">
        <v>11</v>
      </c>
      <c r="F122" s="3" t="str">
        <f>HYPERLINK("https://www.boe.es/gazeta/dias/1823/04/19/pdfs/GES-1823-9.pdf","Abrir PDF")</f>
        <v>Abrir PDF</v>
      </c>
    </row>
    <row r="123" spans="1:6" ht="30.95" customHeight="1">
      <c r="A123" s="7">
        <v>-28013</v>
      </c>
      <c r="B123" s="2" t="s">
        <v>2466</v>
      </c>
      <c r="C123" s="2" t="s">
        <v>22526</v>
      </c>
      <c r="D123" s="3">
        <v>4</v>
      </c>
      <c r="E123" s="3">
        <v>30</v>
      </c>
      <c r="F123" s="3" t="str">
        <f>HYPERLINK("https://www.boe.es/gazeta/dias/1823/04/20/pdfs/GES-1823-10.pdf","Abrir PDF")</f>
        <v>Abrir PDF</v>
      </c>
    </row>
    <row r="124" spans="1:6" ht="30.95" customHeight="1">
      <c r="A124" s="7">
        <v>-28013</v>
      </c>
      <c r="B124" s="2" t="s">
        <v>105</v>
      </c>
      <c r="C124" s="2" t="s">
        <v>22439</v>
      </c>
      <c r="D124" s="3">
        <v>4</v>
      </c>
      <c r="E124" s="3">
        <v>46</v>
      </c>
      <c r="F124" s="3" t="str">
        <f>HYPERLINK("https://www.boe.es/gazeta/dias/1823/04/20/pdfs/GMD-1823-32.pdf","Abrir PDF")</f>
        <v>Abrir PDF</v>
      </c>
    </row>
    <row r="125" spans="1:6" ht="30.95" customHeight="1">
      <c r="A125" s="7">
        <v>-28012</v>
      </c>
      <c r="B125" s="2" t="s">
        <v>4707</v>
      </c>
      <c r="C125" s="2" t="s">
        <v>22527</v>
      </c>
      <c r="D125" s="3">
        <v>4</v>
      </c>
      <c r="E125" s="3">
        <v>9</v>
      </c>
      <c r="F125" s="3" t="str">
        <f>HYPERLINK("https://www.boe.es/gazeta/dias/1823/04/21/pdfs/GES-1823-11.pdf","Abrir PDF")</f>
        <v>Abrir PDF</v>
      </c>
    </row>
    <row r="126" spans="1:6" ht="30.95" customHeight="1">
      <c r="A126" s="7">
        <v>-28011</v>
      </c>
      <c r="B126" s="2" t="s">
        <v>3326</v>
      </c>
      <c r="C126" s="2" t="s">
        <v>22528</v>
      </c>
      <c r="D126" s="3">
        <v>4</v>
      </c>
      <c r="E126" s="3">
        <v>21</v>
      </c>
      <c r="F126" s="3" t="str">
        <f>HYPERLINK("https://www.boe.es/gazeta/dias/1823/04/22/pdfs/GES-1823-12.pdf","Abrir PDF")</f>
        <v>Abrir PDF</v>
      </c>
    </row>
    <row r="127" spans="1:6" ht="30.95" customHeight="1">
      <c r="A127" s="7">
        <v>-28011</v>
      </c>
      <c r="B127" s="2" t="s">
        <v>2416</v>
      </c>
      <c r="C127" s="2" t="s">
        <v>22529</v>
      </c>
      <c r="D127" s="3">
        <v>4</v>
      </c>
      <c r="E127" s="3">
        <v>16</v>
      </c>
      <c r="F127" s="3" t="str">
        <f>HYPERLINK("https://www.boe.es/gazeta/dias/1823/04/22/pdfs/GMD-1823-42.pdf","Abrir PDF")</f>
        <v>Abrir PDF</v>
      </c>
    </row>
    <row r="128" spans="1:6" ht="30.95" customHeight="1">
      <c r="A128" s="7">
        <v>-28010</v>
      </c>
      <c r="B128" s="2" t="s">
        <v>808</v>
      </c>
      <c r="C128" s="2" t="s">
        <v>22530</v>
      </c>
      <c r="D128" s="3">
        <v>4</v>
      </c>
      <c r="E128" s="3">
        <v>11</v>
      </c>
      <c r="F128" s="3" t="str">
        <f>HYPERLINK("https://www.boe.es/gazeta/dias/1823/04/23/pdfs/GES-1823-13.pdf","Abrir PDF")</f>
        <v>Abrir PDF</v>
      </c>
    </row>
    <row r="129" spans="1:6" ht="30.95" customHeight="1">
      <c r="A129" s="7">
        <v>-28009</v>
      </c>
      <c r="B129" s="2" t="s">
        <v>307</v>
      </c>
      <c r="C129" s="2" t="s">
        <v>22531</v>
      </c>
      <c r="D129" s="3">
        <v>6</v>
      </c>
      <c r="E129" s="3">
        <v>44</v>
      </c>
      <c r="F129" s="3" t="str">
        <f>HYPERLINK("https://www.boe.es/gazeta/dias/1823/04/24/pdfs/GES-1823-14.pdf","Abrir PDF")</f>
        <v>Abrir PDF</v>
      </c>
    </row>
    <row r="130" spans="1:6" ht="30.95" customHeight="1">
      <c r="A130" s="7">
        <v>-28009</v>
      </c>
      <c r="B130" s="2" t="s">
        <v>212</v>
      </c>
      <c r="C130" s="2" t="s">
        <v>22460</v>
      </c>
      <c r="D130" s="3">
        <v>4</v>
      </c>
      <c r="E130" s="3">
        <v>15</v>
      </c>
      <c r="F130" s="3" t="str">
        <f>HYPERLINK("https://www.boe.es/gazeta/dias/1823/04/24/pdfs/GMD-1823-52.pdf","Abrir PDF")</f>
        <v>Abrir PDF</v>
      </c>
    </row>
    <row r="131" spans="1:6" ht="30.95" customHeight="1">
      <c r="A131" s="7">
        <v>-28008</v>
      </c>
      <c r="B131" s="2" t="s">
        <v>309</v>
      </c>
      <c r="C131" s="2" t="s">
        <v>22532</v>
      </c>
      <c r="D131" s="3">
        <v>4</v>
      </c>
      <c r="E131" s="3">
        <v>45</v>
      </c>
      <c r="F131" s="3" t="str">
        <f>HYPERLINK("https://www.boe.es/gazeta/dias/1823/04/25/pdfs/GES-1823-15.pdf","Abrir PDF")</f>
        <v>Abrir PDF</v>
      </c>
    </row>
    <row r="132" spans="1:6" ht="30.95" customHeight="1">
      <c r="A132" s="7">
        <v>-28007</v>
      </c>
      <c r="B132" s="2" t="s">
        <v>311</v>
      </c>
      <c r="C132" s="2" t="s">
        <v>22533</v>
      </c>
      <c r="D132" s="3">
        <v>4</v>
      </c>
      <c r="E132" s="3">
        <v>31</v>
      </c>
      <c r="F132" s="3" t="str">
        <f>HYPERLINK("https://www.boe.es/gazeta/dias/1823/04/26/pdfs/GES-1823-16.pdf","Abrir PDF")</f>
        <v>Abrir PDF</v>
      </c>
    </row>
    <row r="133" spans="1:6" ht="30.95" customHeight="1">
      <c r="A133" s="7">
        <v>-28007</v>
      </c>
      <c r="B133" s="2" t="s">
        <v>1190</v>
      </c>
      <c r="C133" s="2" t="s">
        <v>22470</v>
      </c>
      <c r="D133" s="3">
        <v>4</v>
      </c>
      <c r="E133" s="3">
        <v>29</v>
      </c>
      <c r="F133" s="3" t="str">
        <f>HYPERLINK("https://www.boe.es/gazeta/dias/1823/04/26/pdfs/GMD-1823-62.pdf","Abrir PDF")</f>
        <v>Abrir PDF</v>
      </c>
    </row>
    <row r="134" spans="1:6" ht="30.95" customHeight="1">
      <c r="A134" s="7">
        <v>-28006</v>
      </c>
      <c r="B134" s="2" t="s">
        <v>183</v>
      </c>
      <c r="C134" s="2" t="s">
        <v>22534</v>
      </c>
      <c r="D134" s="3">
        <v>6</v>
      </c>
      <c r="E134" s="3">
        <v>36</v>
      </c>
      <c r="F134" s="3" t="str">
        <f>HYPERLINK("https://www.boe.es/gazeta/dias/1823/04/27/pdfs/GES-1823-17.pdf","Abrir PDF")</f>
        <v>Abrir PDF</v>
      </c>
    </row>
    <row r="135" spans="1:6" ht="30.95" customHeight="1">
      <c r="A135" s="7">
        <v>-28005</v>
      </c>
      <c r="B135" s="2" t="s">
        <v>1648</v>
      </c>
      <c r="C135" s="2" t="s">
        <v>22535</v>
      </c>
      <c r="D135" s="3">
        <v>4</v>
      </c>
      <c r="E135" s="3">
        <v>28</v>
      </c>
      <c r="F135" s="3" t="str">
        <f>HYPERLINK("https://www.boe.es/gazeta/dias/1823/04/28/pdfs/GES-1823-18.pdf","Abrir PDF")</f>
        <v>Abrir PDF</v>
      </c>
    </row>
    <row r="136" spans="1:6" ht="30.95" customHeight="1">
      <c r="A136" s="7">
        <v>-28004</v>
      </c>
      <c r="B136" s="2" t="s">
        <v>33</v>
      </c>
      <c r="C136" s="2" t="s">
        <v>22536</v>
      </c>
      <c r="D136" s="3">
        <v>6</v>
      </c>
      <c r="E136" s="3">
        <v>43</v>
      </c>
      <c r="F136" s="3" t="str">
        <f>HYPERLINK("https://www.boe.es/gazeta/dias/1823/04/29/pdfs/GES-1823-19.pdf","Abrir PDF")</f>
        <v>Abrir PDF</v>
      </c>
    </row>
    <row r="137" spans="1:6" ht="30.95" customHeight="1">
      <c r="A137" s="7">
        <v>-28004</v>
      </c>
      <c r="B137" s="2" t="s">
        <v>313</v>
      </c>
      <c r="C137" s="2" t="s">
        <v>22481</v>
      </c>
      <c r="D137" s="3">
        <v>4</v>
      </c>
      <c r="E137" s="3">
        <v>52</v>
      </c>
      <c r="F137" s="3" t="str">
        <f>HYPERLINK("https://www.boe.es/gazeta/dias/1823/04/29/pdfs/GMD-1823-72.pdf","Abrir PDF")</f>
        <v>Abrir PDF</v>
      </c>
    </row>
    <row r="138" spans="1:6" ht="30.95" customHeight="1">
      <c r="A138" s="7">
        <v>-28003</v>
      </c>
      <c r="B138" s="2" t="s">
        <v>26</v>
      </c>
      <c r="C138" s="2" t="s">
        <v>22537</v>
      </c>
      <c r="D138" s="3">
        <v>6</v>
      </c>
      <c r="E138" s="3">
        <v>75</v>
      </c>
      <c r="F138" s="3" t="str">
        <f>HYPERLINK("https://www.boe.es/gazeta/dias/1823/04/30/pdfs/GES-1823-20.pdf","Abrir PDF")</f>
        <v>Abrir PDF</v>
      </c>
    </row>
    <row r="139" spans="1:6" ht="30.95" customHeight="1">
      <c r="A139" s="7">
        <v>-28002</v>
      </c>
      <c r="B139" s="2" t="s">
        <v>315</v>
      </c>
      <c r="C139" s="2" t="s">
        <v>22538</v>
      </c>
      <c r="D139" s="3">
        <v>6</v>
      </c>
      <c r="E139" s="3">
        <v>55</v>
      </c>
      <c r="F139" s="3" t="str">
        <f>HYPERLINK("https://www.boe.es/gazeta/dias/1823/05/01/pdfs/GES-1823-21.pdf","Abrir PDF")</f>
        <v>Abrir PDF</v>
      </c>
    </row>
    <row r="140" spans="1:6" ht="30.95" customHeight="1">
      <c r="A140" s="7">
        <v>-28002</v>
      </c>
      <c r="B140" s="2" t="s">
        <v>245</v>
      </c>
      <c r="C140" s="2" t="s">
        <v>22491</v>
      </c>
      <c r="D140" s="3">
        <v>4</v>
      </c>
      <c r="E140" s="3">
        <v>21</v>
      </c>
      <c r="F140" s="3" t="str">
        <f>HYPERLINK("https://www.boe.es/gazeta/dias/1823/05/01/pdfs/GMD-1823-82.pdf","Abrir PDF")</f>
        <v>Abrir PDF</v>
      </c>
    </row>
    <row r="141" spans="1:6" ht="30.95" customHeight="1">
      <c r="A141" s="7">
        <v>-28001</v>
      </c>
      <c r="B141" s="2" t="s">
        <v>768</v>
      </c>
      <c r="C141" s="2" t="s">
        <v>22539</v>
      </c>
      <c r="D141" s="3">
        <v>6</v>
      </c>
      <c r="E141" s="3">
        <v>83</v>
      </c>
      <c r="F141" s="3" t="str">
        <f>HYPERLINK("https://www.boe.es/gazeta/dias/1823/05/02/pdfs/GES-1823-22.pdf","Abrir PDF")</f>
        <v>Abrir PDF</v>
      </c>
    </row>
    <row r="142" spans="1:6" ht="30.95" customHeight="1">
      <c r="A142" s="7">
        <v>-28000</v>
      </c>
      <c r="B142" s="2" t="s">
        <v>1118</v>
      </c>
      <c r="C142" s="2" t="s">
        <v>22540</v>
      </c>
      <c r="D142" s="3">
        <v>6</v>
      </c>
      <c r="E142" s="3">
        <v>37</v>
      </c>
      <c r="F142" s="3" t="str">
        <f>HYPERLINK("https://www.boe.es/gazeta/dias/1823/05/03/pdfs/GES-1823-23.pdf","Abrir PDF")</f>
        <v>Abrir PDF</v>
      </c>
    </row>
    <row r="143" spans="1:6" ht="30.95" customHeight="1">
      <c r="A143" s="7">
        <v>-28000</v>
      </c>
      <c r="B143" s="2" t="s">
        <v>138</v>
      </c>
      <c r="C143" s="2" t="s">
        <v>22501</v>
      </c>
      <c r="D143" s="3">
        <v>4</v>
      </c>
      <c r="E143" s="3">
        <v>26</v>
      </c>
      <c r="F143" s="3" t="str">
        <f>HYPERLINK("https://www.boe.es/gazeta/dias/1823/05/03/pdfs/GMD-1823-92.pdf","Abrir PDF")</f>
        <v>Abrir PDF</v>
      </c>
    </row>
    <row r="144" spans="1:6" ht="30.95" customHeight="1">
      <c r="A144" s="7">
        <v>-27999</v>
      </c>
      <c r="B144" s="2" t="s">
        <v>97</v>
      </c>
      <c r="C144" s="2" t="s">
        <v>22541</v>
      </c>
      <c r="D144" s="3">
        <v>4</v>
      </c>
      <c r="E144" s="3">
        <v>37</v>
      </c>
      <c r="F144" s="3" t="str">
        <f>HYPERLINK("https://www.boe.es/gazeta/dias/1823/05/04/pdfs/GES-1823-24.pdf","Abrir PDF")</f>
        <v>Abrir PDF</v>
      </c>
    </row>
    <row r="145" spans="1:6" ht="30.95" customHeight="1">
      <c r="A145" s="7">
        <v>-27998</v>
      </c>
      <c r="B145" s="2" t="s">
        <v>1058</v>
      </c>
      <c r="C145" s="2" t="s">
        <v>22542</v>
      </c>
      <c r="D145" s="3">
        <v>6</v>
      </c>
      <c r="E145" s="3">
        <v>31</v>
      </c>
      <c r="F145" s="3" t="str">
        <f>HYPERLINK("https://www.boe.es/gazeta/dias/1823/05/05/pdfs/GES-1823-25.pdf","Abrir PDF")</f>
        <v>Abrir PDF</v>
      </c>
    </row>
    <row r="146" spans="1:6" ht="30.95" customHeight="1">
      <c r="A146" s="7">
        <v>-27997</v>
      </c>
      <c r="B146" s="2" t="s">
        <v>317</v>
      </c>
      <c r="C146" s="2" t="s">
        <v>22543</v>
      </c>
      <c r="D146" s="3">
        <v>4</v>
      </c>
      <c r="E146" s="3">
        <v>29</v>
      </c>
      <c r="F146" s="3" t="str">
        <f>HYPERLINK("https://www.boe.es/gazeta/dias/1823/05/06/pdfs/GES-1823-26.pdf","Abrir PDF")</f>
        <v>Abrir PDF</v>
      </c>
    </row>
    <row r="147" spans="1:6" ht="30.95" customHeight="1">
      <c r="A147" s="7">
        <v>-27997</v>
      </c>
      <c r="B147" s="2" t="s">
        <v>937</v>
      </c>
      <c r="C147" s="2" t="s">
        <v>22511</v>
      </c>
      <c r="D147" s="3">
        <v>4</v>
      </c>
      <c r="E147" s="3">
        <v>33</v>
      </c>
      <c r="F147" s="3" t="str">
        <f>HYPERLINK("https://www.boe.es/gazeta/dias/1823/05/06/pdfs/GMD-1823-102.pdf","Abrir PDF")</f>
        <v>Abrir PDF</v>
      </c>
    </row>
    <row r="148" spans="1:6" ht="30.95" customHeight="1">
      <c r="A148" s="7">
        <v>-27996</v>
      </c>
      <c r="B148" s="2" t="s">
        <v>695</v>
      </c>
      <c r="C148" s="2" t="s">
        <v>22544</v>
      </c>
      <c r="D148" s="3">
        <v>4</v>
      </c>
      <c r="E148" s="3">
        <v>38</v>
      </c>
      <c r="F148" s="3" t="str">
        <f>HYPERLINK("https://www.boe.es/gazeta/dias/1823/05/07/pdfs/GES-1823-27.pdf","Abrir PDF")</f>
        <v>Abrir PDF</v>
      </c>
    </row>
    <row r="149" spans="1:6" ht="30.95" customHeight="1">
      <c r="A149" s="7">
        <v>-27995</v>
      </c>
      <c r="B149" s="2" t="s">
        <v>320</v>
      </c>
      <c r="C149" s="2" t="s">
        <v>22545</v>
      </c>
      <c r="D149" s="3">
        <v>6</v>
      </c>
      <c r="E149" s="3">
        <v>45</v>
      </c>
      <c r="F149" s="3" t="str">
        <f>HYPERLINK("https://www.boe.es/gazeta/dias/1823/05/08/pdfs/GES-1823-28.pdf","Abrir PDF")</f>
        <v>Abrir PDF</v>
      </c>
    </row>
    <row r="150" spans="1:6" ht="30.95" customHeight="1">
      <c r="A150" s="7">
        <v>-27995</v>
      </c>
      <c r="B150" s="2" t="s">
        <v>326</v>
      </c>
      <c r="C150" s="2" t="s">
        <v>22546</v>
      </c>
      <c r="D150" s="3">
        <v>4</v>
      </c>
      <c r="E150" s="3">
        <v>50</v>
      </c>
      <c r="F150" s="3" t="str">
        <f>HYPERLINK("https://www.boe.es/gazeta/dias/1823/05/08/pdfs/GMD-1823-112.pdf","Abrir PDF")</f>
        <v>Abrir PDF</v>
      </c>
    </row>
    <row r="151" spans="1:6" ht="30.95" customHeight="1">
      <c r="A151" s="7">
        <v>-27994</v>
      </c>
      <c r="B151" s="2" t="s">
        <v>714</v>
      </c>
      <c r="C151" s="2" t="s">
        <v>22547</v>
      </c>
      <c r="D151" s="3">
        <v>8</v>
      </c>
      <c r="E151" s="3">
        <v>63</v>
      </c>
      <c r="F151" s="3" t="str">
        <f>HYPERLINK("https://www.boe.es/gazeta/dias/1823/05/09/pdfs/GES-1823-29.pdf","Abrir PDF")</f>
        <v>Abrir PDF</v>
      </c>
    </row>
    <row r="152" spans="1:6" ht="30.95" customHeight="1">
      <c r="A152" s="7">
        <v>-27993</v>
      </c>
      <c r="B152" s="2" t="s">
        <v>977</v>
      </c>
      <c r="C152" s="2" t="s">
        <v>22548</v>
      </c>
      <c r="D152" s="3">
        <v>4</v>
      </c>
      <c r="E152" s="3">
        <v>57</v>
      </c>
      <c r="F152" s="3" t="str">
        <f>HYPERLINK("https://www.boe.es/gazeta/dias/1823/05/10/pdfs/GES-1823-30.pdf","Abrir PDF")</f>
        <v>Abrir PDF</v>
      </c>
    </row>
    <row r="153" spans="1:6" ht="30.95" customHeight="1">
      <c r="A153" s="7">
        <v>-27993</v>
      </c>
      <c r="B153" s="2" t="s">
        <v>1062</v>
      </c>
      <c r="C153" s="2" t="s">
        <v>22549</v>
      </c>
      <c r="D153" s="3">
        <v>6</v>
      </c>
      <c r="E153" s="3">
        <v>31</v>
      </c>
      <c r="F153" s="3" t="str">
        <f>HYPERLINK("https://www.boe.es/gazeta/dias/1823/05/10/pdfs/GMD-1823-122.pdf","Abrir PDF")</f>
        <v>Abrir PDF</v>
      </c>
    </row>
    <row r="154" spans="1:6" ht="30.95" customHeight="1">
      <c r="A154" s="7">
        <v>-27992</v>
      </c>
      <c r="B154" s="2" t="s">
        <v>565</v>
      </c>
      <c r="C154" s="2" t="s">
        <v>22550</v>
      </c>
      <c r="D154" s="3">
        <v>4</v>
      </c>
      <c r="E154" s="3">
        <v>56</v>
      </c>
      <c r="F154" s="3" t="str">
        <f>HYPERLINK("https://www.boe.es/gazeta/dias/1823/05/11/pdfs/GES-1823-31.pdf","Abrir PDF")</f>
        <v>Abrir PDF</v>
      </c>
    </row>
    <row r="155" spans="1:6" ht="30.95" customHeight="1">
      <c r="A155" s="7">
        <v>-27991</v>
      </c>
      <c r="B155" s="2" t="s">
        <v>328</v>
      </c>
      <c r="C155" s="2" t="s">
        <v>22551</v>
      </c>
      <c r="D155" s="3">
        <v>6</v>
      </c>
      <c r="E155" s="3">
        <v>61</v>
      </c>
      <c r="F155" s="3" t="str">
        <f>HYPERLINK("https://www.boe.es/gazeta/dias/1823/05/12/pdfs/GES-1823-32.pdf","Abrir PDF")</f>
        <v>Abrir PDF</v>
      </c>
    </row>
    <row r="156" spans="1:6" ht="30.95" customHeight="1">
      <c r="A156" s="7">
        <v>-27990</v>
      </c>
      <c r="B156" s="2" t="s">
        <v>1132</v>
      </c>
      <c r="C156" s="2" t="s">
        <v>22552</v>
      </c>
      <c r="D156" s="3">
        <v>4</v>
      </c>
      <c r="E156" s="3">
        <v>33</v>
      </c>
      <c r="F156" s="3" t="str">
        <f>HYPERLINK("https://www.boe.es/gazeta/dias/1823/05/13/pdfs/GES-1823-33.pdf","Abrir PDF")</f>
        <v>Abrir PDF</v>
      </c>
    </row>
    <row r="157" spans="1:6" ht="30.95" customHeight="1">
      <c r="A157" s="7">
        <v>-27990</v>
      </c>
      <c r="B157" s="2" t="s">
        <v>330</v>
      </c>
      <c r="C157" s="2" t="s">
        <v>22553</v>
      </c>
      <c r="D157" s="3">
        <v>4</v>
      </c>
      <c r="E157" s="3">
        <v>22</v>
      </c>
      <c r="F157" s="3" t="str">
        <f>HYPERLINK("https://www.boe.es/gazeta/dias/1823/05/13/pdfs/GMD-1823-132.pdf","Abrir PDF")</f>
        <v>Abrir PDF</v>
      </c>
    </row>
    <row r="158" spans="1:6" ht="30.95" customHeight="1">
      <c r="A158" s="7">
        <v>-27989</v>
      </c>
      <c r="B158" s="2" t="s">
        <v>1134</v>
      </c>
      <c r="C158" s="2" t="s">
        <v>22554</v>
      </c>
      <c r="D158" s="3">
        <v>6</v>
      </c>
      <c r="E158" s="3">
        <v>35</v>
      </c>
      <c r="F158" s="3" t="str">
        <f>HYPERLINK("https://www.boe.es/gazeta/dias/1823/05/14/pdfs/GES-1823-34.pdf","Abrir PDF")</f>
        <v>Abrir PDF</v>
      </c>
    </row>
    <row r="159" spans="1:6" ht="30.95" customHeight="1">
      <c r="A159" s="7">
        <v>-27988</v>
      </c>
      <c r="B159" s="2" t="s">
        <v>692</v>
      </c>
      <c r="C159" s="2" t="s">
        <v>22555</v>
      </c>
      <c r="D159" s="3">
        <v>4</v>
      </c>
      <c r="E159" s="3">
        <v>23</v>
      </c>
      <c r="F159" s="3" t="str">
        <f>HYPERLINK("https://www.boe.es/gazeta/dias/1823/05/15/pdfs/GES-1823-35.pdf","Abrir PDF")</f>
        <v>Abrir PDF</v>
      </c>
    </row>
    <row r="160" spans="1:6" ht="30.95" customHeight="1">
      <c r="A160" s="7">
        <v>-27988</v>
      </c>
      <c r="B160" s="2" t="s">
        <v>2022</v>
      </c>
      <c r="C160" s="2" t="s">
        <v>22556</v>
      </c>
      <c r="D160" s="3">
        <v>4</v>
      </c>
      <c r="E160" s="3">
        <v>25</v>
      </c>
      <c r="F160" s="3" t="str">
        <f>HYPERLINK("https://www.boe.es/gazeta/dias/1823/05/15/pdfs/GMD-1823-142.pdf","Abrir PDF")</f>
        <v>Abrir PDF</v>
      </c>
    </row>
    <row r="161" spans="1:6" ht="30.95" customHeight="1">
      <c r="A161" s="7">
        <v>-27987</v>
      </c>
      <c r="B161" s="2" t="s">
        <v>332</v>
      </c>
      <c r="C161" s="2" t="s">
        <v>22557</v>
      </c>
      <c r="D161" s="3">
        <v>6</v>
      </c>
      <c r="E161" s="3">
        <v>43</v>
      </c>
      <c r="F161" s="3" t="str">
        <f>HYPERLINK("https://www.boe.es/gazeta/dias/1823/05/16/pdfs/GES-1823-36.pdf","Abrir PDF")</f>
        <v>Abrir PDF</v>
      </c>
    </row>
    <row r="162" spans="1:6" ht="30.95" customHeight="1">
      <c r="A162" s="7">
        <v>-27986</v>
      </c>
      <c r="B162" s="2" t="s">
        <v>75</v>
      </c>
      <c r="C162" s="2" t="s">
        <v>22558</v>
      </c>
      <c r="D162" s="3">
        <v>6</v>
      </c>
      <c r="E162" s="3">
        <v>67</v>
      </c>
      <c r="F162" s="3" t="str">
        <f>HYPERLINK("https://www.boe.es/gazeta/dias/1823/05/17/pdfs/GES-1823-37.pdf","Abrir PDF")</f>
        <v>Abrir PDF</v>
      </c>
    </row>
    <row r="163" spans="1:6" ht="30.95" customHeight="1">
      <c r="A163" s="7">
        <v>-27986</v>
      </c>
      <c r="B163" s="2" t="s">
        <v>607</v>
      </c>
      <c r="C163" s="2" t="s">
        <v>22559</v>
      </c>
      <c r="D163" s="3">
        <v>4</v>
      </c>
      <c r="E163" s="3">
        <v>32</v>
      </c>
      <c r="F163" s="3" t="str">
        <f>HYPERLINK("https://www.boe.es/gazeta/dias/1823/05/17/pdfs/GMD-1823-152.pdf","Abrir PDF")</f>
        <v>Abrir PDF</v>
      </c>
    </row>
    <row r="164" spans="1:6" ht="30.95" customHeight="1">
      <c r="A164" s="7">
        <v>-27985</v>
      </c>
      <c r="B164" s="2" t="s">
        <v>951</v>
      </c>
      <c r="C164" s="2" t="s">
        <v>22560</v>
      </c>
      <c r="D164" s="3">
        <v>6</v>
      </c>
      <c r="E164" s="3">
        <v>56</v>
      </c>
      <c r="F164" s="3" t="str">
        <f>HYPERLINK("https://www.boe.es/gazeta/dias/1823/05/18/pdfs/GES-1823-38.pdf","Abrir PDF")</f>
        <v>Abrir PDF</v>
      </c>
    </row>
    <row r="165" spans="1:6" ht="30.95" customHeight="1">
      <c r="A165" s="7">
        <v>-27984</v>
      </c>
      <c r="B165" s="2" t="s">
        <v>335</v>
      </c>
      <c r="C165" s="2" t="s">
        <v>22561</v>
      </c>
      <c r="D165" s="3">
        <v>6</v>
      </c>
      <c r="E165" s="3">
        <v>85</v>
      </c>
      <c r="F165" s="3" t="str">
        <f>HYPERLINK("https://www.boe.es/gazeta/dias/1823/05/19/pdfs/GES-1823-39.pdf","Abrir PDF")</f>
        <v>Abrir PDF</v>
      </c>
    </row>
    <row r="166" spans="1:6" ht="30.95" customHeight="1">
      <c r="A166" s="7">
        <v>-27983</v>
      </c>
      <c r="B166" s="2" t="s">
        <v>337</v>
      </c>
      <c r="C166" s="2" t="s">
        <v>22562</v>
      </c>
      <c r="D166" s="3">
        <v>6</v>
      </c>
      <c r="E166" s="3">
        <v>48</v>
      </c>
      <c r="F166" s="3" t="str">
        <f>HYPERLINK("https://www.boe.es/gazeta/dias/1823/05/20/pdfs/GES-1823-40.pdf","Abrir PDF")</f>
        <v>Abrir PDF</v>
      </c>
    </row>
    <row r="167" spans="1:6" ht="30.95" customHeight="1">
      <c r="A167" s="7">
        <v>-27983</v>
      </c>
      <c r="B167" s="2" t="s">
        <v>8743</v>
      </c>
      <c r="C167" s="2" t="s">
        <v>22563</v>
      </c>
      <c r="D167" s="3">
        <v>1</v>
      </c>
      <c r="E167" s="3">
        <v>1</v>
      </c>
      <c r="F167" s="3" t="str">
        <f>HYPERLINK("https://www.boe.es/gazeta/dias/1823/05/20/pdfs/GES-1823-41E.pdf","Abrir PDF")</f>
        <v>Abrir PDF</v>
      </c>
    </row>
    <row r="168" spans="1:6" ht="30.95" customHeight="1">
      <c r="A168" s="7">
        <v>-27982</v>
      </c>
      <c r="B168" s="2" t="s">
        <v>340</v>
      </c>
      <c r="C168" s="2" t="s">
        <v>22564</v>
      </c>
      <c r="D168" s="3">
        <v>6</v>
      </c>
      <c r="E168" s="3">
        <v>82</v>
      </c>
      <c r="F168" s="3" t="str">
        <f>HYPERLINK("https://www.boe.es/gazeta/dias/1823/05/21/pdfs/GES-1823-42.pdf","Abrir PDF")</f>
        <v>Abrir PDF</v>
      </c>
    </row>
    <row r="169" spans="1:6" ht="30.95" customHeight="1">
      <c r="A169" s="7">
        <v>-27981</v>
      </c>
      <c r="B169" s="2" t="s">
        <v>1521</v>
      </c>
      <c r="C169" s="2" t="s">
        <v>22565</v>
      </c>
      <c r="D169" s="3">
        <v>4</v>
      </c>
      <c r="E169" s="3">
        <v>32</v>
      </c>
      <c r="F169" s="3" t="str">
        <f>HYPERLINK("https://www.boe.es/gazeta/dias/1823/05/22/pdfs/GES-1823-43.pdf","Abrir PDF")</f>
        <v>Abrir PDF</v>
      </c>
    </row>
    <row r="170" spans="1:6" ht="30.95" customHeight="1">
      <c r="A170" s="7">
        <v>-27980</v>
      </c>
      <c r="B170" s="2" t="s">
        <v>1068</v>
      </c>
      <c r="C170" s="2" t="s">
        <v>22566</v>
      </c>
      <c r="D170" s="3">
        <v>6</v>
      </c>
      <c r="E170" s="3">
        <v>43</v>
      </c>
      <c r="F170" s="3" t="str">
        <f>HYPERLINK("https://www.boe.es/gazeta/dias/1823/05/23/pdfs/GES-1823-44.pdf","Abrir PDF")</f>
        <v>Abrir PDF</v>
      </c>
    </row>
    <row r="171" spans="1:6" ht="30.95" customHeight="1">
      <c r="A171" s="7">
        <v>-27979</v>
      </c>
      <c r="B171" s="2" t="s">
        <v>1071</v>
      </c>
      <c r="C171" s="2" t="s">
        <v>22567</v>
      </c>
      <c r="D171" s="3">
        <v>6</v>
      </c>
      <c r="E171" s="3">
        <v>30</v>
      </c>
      <c r="F171" s="3" t="str">
        <f>HYPERLINK("https://www.boe.es/gazeta/dias/1823/05/24/pdfs/GES-1823-45.pdf","Abrir PDF")</f>
        <v>Abrir PDF</v>
      </c>
    </row>
    <row r="172" spans="1:6" ht="30.95" customHeight="1">
      <c r="A172" s="7">
        <v>-27978</v>
      </c>
      <c r="B172" s="2" t="s">
        <v>342</v>
      </c>
      <c r="C172" s="2" t="s">
        <v>22568</v>
      </c>
      <c r="D172" s="3">
        <v>6</v>
      </c>
      <c r="E172" s="3">
        <v>48</v>
      </c>
      <c r="F172" s="3" t="str">
        <f>HYPERLINK("https://www.boe.es/gazeta/dias/1823/05/25/pdfs/GES-1823-46.pdf","Abrir PDF")</f>
        <v>Abrir PDF</v>
      </c>
    </row>
    <row r="173" spans="1:6" ht="30.95" customHeight="1">
      <c r="A173" s="7">
        <v>-27977</v>
      </c>
      <c r="B173" s="2" t="s">
        <v>1489</v>
      </c>
      <c r="C173" s="2" t="s">
        <v>22569</v>
      </c>
      <c r="D173" s="3">
        <v>6</v>
      </c>
      <c r="E173" s="3">
        <v>23</v>
      </c>
      <c r="F173" s="3" t="str">
        <f>HYPERLINK("https://www.boe.es/gazeta/dias/1823/05/26/pdfs/GES-1823-47.pdf","Abrir PDF")</f>
        <v>Abrir PDF</v>
      </c>
    </row>
    <row r="174" spans="1:6" ht="30.95" customHeight="1">
      <c r="A174" s="7">
        <v>-27977</v>
      </c>
      <c r="B174" s="2" t="s">
        <v>22168</v>
      </c>
      <c r="C174" s="2" t="s">
        <v>22570</v>
      </c>
      <c r="D174" s="3">
        <v>1</v>
      </c>
      <c r="E174" s="3">
        <v>2</v>
      </c>
      <c r="F174" s="3" t="str">
        <f>HYPERLINK("https://www.boe.es/gazeta/dias/1823/05/26/pdfs/GES-1823-48E.pdf","Abrir PDF")</f>
        <v>Abrir PDF</v>
      </c>
    </row>
    <row r="175" spans="1:6" ht="30.95" customHeight="1">
      <c r="A175" s="7">
        <v>-27976</v>
      </c>
      <c r="B175" s="2" t="s">
        <v>1156</v>
      </c>
      <c r="C175" s="2" t="s">
        <v>22571</v>
      </c>
      <c r="D175" s="3">
        <v>6</v>
      </c>
      <c r="E175" s="3">
        <v>18</v>
      </c>
      <c r="F175" s="3" t="str">
        <f>HYPERLINK("https://www.boe.es/gazeta/dias/1823/05/27/pdfs/GES-1823-49.pdf","Abrir PDF")</f>
        <v>Abrir PDF</v>
      </c>
    </row>
    <row r="176" spans="1:6" ht="30.95" customHeight="1">
      <c r="A176" s="7">
        <v>-27976</v>
      </c>
      <c r="B176" s="2" t="s">
        <v>1541</v>
      </c>
      <c r="C176" s="2" t="s">
        <v>22572</v>
      </c>
      <c r="D176" s="3">
        <v>1</v>
      </c>
      <c r="E176" s="3">
        <v>3</v>
      </c>
      <c r="F176" s="3" t="str">
        <f>HYPERLINK("https://www.boe.es/gazeta/dias/1823/05/27/pdfs/GMD-1823-13E.pdf","Abrir PDF")</f>
        <v>Abrir PDF</v>
      </c>
    </row>
    <row r="177" spans="1:6" ht="30.95" customHeight="1">
      <c r="A177" s="7">
        <v>-27975</v>
      </c>
      <c r="B177" s="2" t="s">
        <v>47</v>
      </c>
      <c r="C177" s="2" t="s">
        <v>22573</v>
      </c>
      <c r="D177" s="3">
        <v>4</v>
      </c>
      <c r="E177" s="3">
        <v>35</v>
      </c>
      <c r="F177" s="3" t="str">
        <f>HYPERLINK("https://www.boe.es/gazeta/dias/1823/05/28/pdfs/GES-1823-50.pdf","Abrir PDF")</f>
        <v>Abrir PDF</v>
      </c>
    </row>
    <row r="178" spans="1:6" ht="30.95" customHeight="1">
      <c r="A178" s="7">
        <v>-27975</v>
      </c>
      <c r="B178" s="2" t="s">
        <v>1922</v>
      </c>
      <c r="C178" s="2" t="s">
        <v>22574</v>
      </c>
      <c r="D178" s="3">
        <v>1</v>
      </c>
      <c r="E178" s="3">
        <v>18</v>
      </c>
      <c r="F178" s="3" t="str">
        <f>HYPERLINK("https://www.boe.es/gazeta/dias/1823/05/28/pdfs/GES-1823-51E.pdf","Abrir PDF")</f>
        <v>Abrir PDF</v>
      </c>
    </row>
    <row r="179" spans="1:6" ht="30.95" customHeight="1">
      <c r="A179" s="7">
        <v>-27974</v>
      </c>
      <c r="B179" s="2" t="s">
        <v>618</v>
      </c>
      <c r="C179" s="2" t="s">
        <v>22575</v>
      </c>
      <c r="D179" s="3">
        <v>6</v>
      </c>
      <c r="E179" s="3">
        <v>23</v>
      </c>
      <c r="F179" s="3" t="str">
        <f>HYPERLINK("https://www.boe.es/gazeta/dias/1823/05/29/pdfs/GES-1823-52.pdf","Abrir PDF")</f>
        <v>Abrir PDF</v>
      </c>
    </row>
    <row r="180" spans="1:6" ht="30.95" customHeight="1">
      <c r="A180" s="7">
        <v>-27974</v>
      </c>
      <c r="B180" s="2" t="s">
        <v>1041</v>
      </c>
      <c r="C180" s="2" t="s">
        <v>22430</v>
      </c>
      <c r="D180" s="3">
        <v>2</v>
      </c>
      <c r="E180" s="3">
        <v>2</v>
      </c>
      <c r="F180" s="3" t="str">
        <f>HYPERLINK("https://www.boe.es/gazeta/dias/1823/05/29/pdfs/GMD-1823-23.pdf","Abrir PDF")</f>
        <v>Abrir PDF</v>
      </c>
    </row>
    <row r="181" spans="1:6" ht="30.95" customHeight="1">
      <c r="A181" s="7">
        <v>-27973</v>
      </c>
      <c r="B181" s="2" t="s">
        <v>758</v>
      </c>
      <c r="C181" s="2" t="s">
        <v>22576</v>
      </c>
      <c r="D181" s="3">
        <v>4</v>
      </c>
      <c r="E181" s="3">
        <v>10</v>
      </c>
      <c r="F181" s="3" t="str">
        <f>HYPERLINK("https://www.boe.es/gazeta/dias/1823/05/30/pdfs/GES-1823-53.pdf","Abrir PDF")</f>
        <v>Abrir PDF</v>
      </c>
    </row>
    <row r="182" spans="1:6" ht="30.95" customHeight="1">
      <c r="A182" s="7">
        <v>-27972</v>
      </c>
      <c r="B182" s="2" t="s">
        <v>429</v>
      </c>
      <c r="C182" s="2" t="s">
        <v>22577</v>
      </c>
      <c r="D182" s="3">
        <v>4</v>
      </c>
      <c r="E182" s="3">
        <v>30</v>
      </c>
      <c r="F182" s="3" t="str">
        <f>HYPERLINK("https://www.boe.es/gazeta/dias/1823/05/31/pdfs/GES-1823-54.pdf","Abrir PDF")</f>
        <v>Abrir PDF</v>
      </c>
    </row>
    <row r="183" spans="1:6" ht="30.95" customHeight="1">
      <c r="A183" s="7">
        <v>-27972</v>
      </c>
      <c r="B183" s="2" t="s">
        <v>1515</v>
      </c>
      <c r="C183" s="2" t="s">
        <v>22578</v>
      </c>
      <c r="D183" s="3">
        <v>4</v>
      </c>
      <c r="E183" s="3">
        <v>35</v>
      </c>
      <c r="F183" s="3" t="str">
        <f>HYPERLINK("https://www.boe.es/gazeta/dias/1823/05/31/pdfs/GMD-1823-33.pdf","Abrir PDF")</f>
        <v>Abrir PDF</v>
      </c>
    </row>
    <row r="184" spans="1:6" ht="30.95" customHeight="1">
      <c r="A184" s="7">
        <v>-27971</v>
      </c>
      <c r="B184" s="2" t="s">
        <v>4211</v>
      </c>
      <c r="C184" s="2" t="s">
        <v>22579</v>
      </c>
      <c r="D184" s="3">
        <v>6</v>
      </c>
      <c r="E184" s="3">
        <v>19</v>
      </c>
      <c r="F184" s="3" t="str">
        <f>HYPERLINK("https://www.boe.es/gazeta/dias/1823/06/01/pdfs/GES-1823-55.pdf","Abrir PDF")</f>
        <v>Abrir PDF</v>
      </c>
    </row>
    <row r="185" spans="1:6" ht="30.95" customHeight="1">
      <c r="A185" s="7">
        <v>-27970</v>
      </c>
      <c r="B185" s="2" t="s">
        <v>1030</v>
      </c>
      <c r="C185" s="2" t="s">
        <v>22580</v>
      </c>
      <c r="D185" s="3">
        <v>6</v>
      </c>
      <c r="E185" s="3">
        <v>86</v>
      </c>
      <c r="F185" s="3" t="str">
        <f>HYPERLINK("https://www.boe.es/gazeta/dias/1823/06/02/pdfs/GES-1823-56.pdf","Abrir PDF")</f>
        <v>Abrir PDF</v>
      </c>
    </row>
    <row r="186" spans="1:6" ht="30.95" customHeight="1">
      <c r="A186" s="7">
        <v>-27970</v>
      </c>
      <c r="B186" s="2" t="s">
        <v>1699</v>
      </c>
      <c r="C186" s="2" t="s">
        <v>22581</v>
      </c>
      <c r="D186" s="3">
        <v>1</v>
      </c>
      <c r="E186" s="3">
        <v>12</v>
      </c>
      <c r="F186" s="3" t="str">
        <f>HYPERLINK("https://www.boe.es/gazeta/dias/1823/06/02/pdfs/GMD-1823-43E.pdf","Abrir PDF")</f>
        <v>Abrir PDF</v>
      </c>
    </row>
    <row r="187" spans="1:6" ht="30.95" customHeight="1">
      <c r="A187" s="7">
        <v>-27969</v>
      </c>
      <c r="B187" s="2" t="s">
        <v>855</v>
      </c>
      <c r="C187" s="2" t="s">
        <v>22582</v>
      </c>
      <c r="D187" s="3">
        <v>4</v>
      </c>
      <c r="E187" s="3">
        <v>30</v>
      </c>
      <c r="F187" s="3" t="str">
        <f>HYPERLINK("https://www.boe.es/gazeta/dias/1823/06/03/pdfs/GES-1823-57.pdf","Abrir PDF")</f>
        <v>Abrir PDF</v>
      </c>
    </row>
    <row r="188" spans="1:6" ht="30.95" customHeight="1">
      <c r="A188" s="7">
        <v>-27969</v>
      </c>
      <c r="B188" s="2" t="s">
        <v>204</v>
      </c>
      <c r="C188" s="2" t="s">
        <v>22461</v>
      </c>
      <c r="D188" s="3">
        <v>4</v>
      </c>
      <c r="E188" s="3">
        <v>15</v>
      </c>
      <c r="F188" s="3" t="str">
        <f>HYPERLINK("https://www.boe.es/gazeta/dias/1823/06/03/pdfs/GMD-1823-53.pdf","Abrir PDF")</f>
        <v>Abrir PDF</v>
      </c>
    </row>
    <row r="189" spans="1:6" ht="30.95" customHeight="1">
      <c r="A189" s="7">
        <v>-27968</v>
      </c>
      <c r="B189" s="2" t="s">
        <v>1160</v>
      </c>
      <c r="C189" s="2" t="s">
        <v>22583</v>
      </c>
      <c r="D189" s="3">
        <v>8</v>
      </c>
      <c r="E189" s="3">
        <v>60</v>
      </c>
      <c r="F189" s="3" t="str">
        <f>HYPERLINK("https://www.boe.es/gazeta/dias/1823/06/04/pdfs/GES-1823-58.pdf","Abrir PDF")</f>
        <v>Abrir PDF</v>
      </c>
    </row>
    <row r="190" spans="1:6" ht="30.95" customHeight="1">
      <c r="A190" s="7">
        <v>-27967</v>
      </c>
      <c r="B190" s="2" t="s">
        <v>412</v>
      </c>
      <c r="C190" s="2" t="s">
        <v>22584</v>
      </c>
      <c r="D190" s="3">
        <v>6</v>
      </c>
      <c r="E190" s="3">
        <v>61</v>
      </c>
      <c r="F190" s="3" t="str">
        <f>HYPERLINK("https://www.boe.es/gazeta/dias/1823/06/05/pdfs/GES-1823-59.pdf","Abrir PDF")</f>
        <v>Abrir PDF</v>
      </c>
    </row>
    <row r="191" spans="1:6" ht="30.95" customHeight="1">
      <c r="A191" s="7">
        <v>-27967</v>
      </c>
      <c r="B191" s="2" t="s">
        <v>2493</v>
      </c>
      <c r="C191" s="2" t="s">
        <v>22471</v>
      </c>
      <c r="D191" s="3">
        <v>4</v>
      </c>
      <c r="E191" s="3">
        <v>18</v>
      </c>
      <c r="F191" s="3" t="str">
        <f>HYPERLINK("https://www.boe.es/gazeta/dias/1823/06/05/pdfs/GMD-1823-63.pdf","Abrir PDF")</f>
        <v>Abrir PDF</v>
      </c>
    </row>
    <row r="192" spans="1:6" ht="30.95" customHeight="1">
      <c r="A192" s="7">
        <v>-27966</v>
      </c>
      <c r="B192" s="2" t="s">
        <v>675</v>
      </c>
      <c r="C192" s="2" t="s">
        <v>22585</v>
      </c>
      <c r="D192" s="3">
        <v>6</v>
      </c>
      <c r="E192" s="3">
        <v>32</v>
      </c>
      <c r="F192" s="3" t="str">
        <f>HYPERLINK("https://www.boe.es/gazeta/dias/1823/06/06/pdfs/GES-1823-60.pdf","Abrir PDF")</f>
        <v>Abrir PDF</v>
      </c>
    </row>
    <row r="193" spans="1:6" ht="30.95" customHeight="1">
      <c r="A193" s="7">
        <v>-27966</v>
      </c>
      <c r="B193" s="2" t="s">
        <v>962</v>
      </c>
      <c r="C193" s="2" t="s">
        <v>22586</v>
      </c>
      <c r="D193" s="3">
        <v>1</v>
      </c>
      <c r="E193" s="3">
        <v>7</v>
      </c>
      <c r="F193" s="3" t="str">
        <f>HYPERLINK("https://www.boe.es/gazeta/dias/1823/06/06/pdfs/GMD-1823-73E.pdf","Abrir PDF")</f>
        <v>Abrir PDF</v>
      </c>
    </row>
    <row r="194" spans="1:6" ht="30.95" customHeight="1">
      <c r="A194" s="7">
        <v>-27965</v>
      </c>
      <c r="B194" s="2" t="s">
        <v>208</v>
      </c>
      <c r="C194" s="2" t="s">
        <v>22587</v>
      </c>
      <c r="D194" s="3">
        <v>6</v>
      </c>
      <c r="E194" s="3">
        <v>46</v>
      </c>
      <c r="F194" s="3" t="str">
        <f>HYPERLINK("https://www.boe.es/gazeta/dias/1823/06/07/pdfs/GES-1823-61.pdf","Abrir PDF")</f>
        <v>Abrir PDF</v>
      </c>
    </row>
    <row r="195" spans="1:6" ht="30.95" customHeight="1">
      <c r="A195" s="7">
        <v>-27965</v>
      </c>
      <c r="B195" s="2" t="s">
        <v>1930</v>
      </c>
      <c r="C195" s="2" t="s">
        <v>22492</v>
      </c>
      <c r="D195" s="3">
        <v>4</v>
      </c>
      <c r="E195" s="3">
        <v>7</v>
      </c>
      <c r="F195" s="3" t="str">
        <f>HYPERLINK("https://www.boe.es/gazeta/dias/1823/06/07/pdfs/GMD-1823-83.pdf","Abrir PDF")</f>
        <v>Abrir PDF</v>
      </c>
    </row>
    <row r="196" spans="1:6" ht="30.95" customHeight="1">
      <c r="A196" s="7">
        <v>-27964</v>
      </c>
      <c r="B196" s="2" t="s">
        <v>58</v>
      </c>
      <c r="C196" s="2" t="s">
        <v>22588</v>
      </c>
      <c r="D196" s="3">
        <v>6</v>
      </c>
      <c r="E196" s="3">
        <v>84</v>
      </c>
      <c r="F196" s="3" t="str">
        <f>HYPERLINK("https://www.boe.es/gazeta/dias/1823/06/08/pdfs/GES-1823-62.pdf","Abrir PDF")</f>
        <v>Abrir PDF</v>
      </c>
    </row>
    <row r="197" spans="1:6" ht="30.95" customHeight="1">
      <c r="A197" s="7">
        <v>-27963</v>
      </c>
      <c r="B197" s="2" t="s">
        <v>344</v>
      </c>
      <c r="C197" s="2" t="s">
        <v>22589</v>
      </c>
      <c r="D197" s="3">
        <v>6</v>
      </c>
      <c r="E197" s="3">
        <v>38</v>
      </c>
      <c r="F197" s="3" t="str">
        <f>HYPERLINK("https://www.boe.es/gazeta/dias/1823/06/09/pdfs/GES-1823-63.pdf","Abrir PDF")</f>
        <v>Abrir PDF</v>
      </c>
    </row>
    <row r="198" spans="1:6" ht="30.95" customHeight="1">
      <c r="A198" s="7">
        <v>-27963</v>
      </c>
      <c r="B198" s="2" t="s">
        <v>18914</v>
      </c>
      <c r="C198" s="2" t="s">
        <v>22590</v>
      </c>
      <c r="D198" s="3">
        <v>1</v>
      </c>
      <c r="E198" s="3">
        <v>1</v>
      </c>
      <c r="F198" s="3" t="str">
        <f>HYPERLINK("https://www.boe.es/gazeta/dias/1823/06/09/pdfs/GMD-1823-93E.pdf","Abrir PDF")</f>
        <v>Abrir PDF</v>
      </c>
    </row>
    <row r="199" spans="1:6" ht="30.95" customHeight="1">
      <c r="A199" s="7">
        <v>-27962</v>
      </c>
      <c r="B199" s="2" t="s">
        <v>594</v>
      </c>
      <c r="C199" s="2" t="s">
        <v>22591</v>
      </c>
      <c r="D199" s="3">
        <v>4</v>
      </c>
      <c r="E199" s="3">
        <v>33</v>
      </c>
      <c r="F199" s="3" t="str">
        <f>HYPERLINK("https://www.boe.es/gazeta/dias/1823/06/10/pdfs/GES-1823-64.pdf","Abrir PDF")</f>
        <v>Abrir PDF</v>
      </c>
    </row>
    <row r="200" spans="1:6" ht="30.95" customHeight="1">
      <c r="A200" s="7">
        <v>-27962</v>
      </c>
      <c r="B200" s="2" t="s">
        <v>477</v>
      </c>
      <c r="C200" s="2" t="s">
        <v>22512</v>
      </c>
      <c r="D200" s="3">
        <v>4</v>
      </c>
      <c r="E200" s="3">
        <v>7</v>
      </c>
      <c r="F200" s="3" t="str">
        <f>HYPERLINK("https://www.boe.es/gazeta/dias/1823/06/10/pdfs/GMD-1823-103.pdf","Abrir PDF")</f>
        <v>Abrir PDF</v>
      </c>
    </row>
    <row r="201" spans="1:6" ht="30.95" customHeight="1">
      <c r="A201" s="7">
        <v>-27962</v>
      </c>
      <c r="B201" s="2" t="s">
        <v>16905</v>
      </c>
      <c r="C201" s="2" t="s">
        <v>22592</v>
      </c>
      <c r="D201" s="3">
        <v>1</v>
      </c>
      <c r="E201" s="3">
        <v>2</v>
      </c>
      <c r="F201" s="3" t="str">
        <f>HYPERLINK("https://www.boe.es/gazeta/dias/1823/06/10/pdfs/GMD-1823-113E.pdf","Abrir PDF")</f>
        <v>Abrir PDF</v>
      </c>
    </row>
    <row r="202" spans="1:6" ht="30.95" customHeight="1">
      <c r="A202" s="7">
        <v>-27961</v>
      </c>
      <c r="B202" s="2" t="s">
        <v>52</v>
      </c>
      <c r="C202" s="2" t="s">
        <v>22593</v>
      </c>
      <c r="D202" s="3">
        <v>4</v>
      </c>
      <c r="E202" s="3">
        <v>17</v>
      </c>
      <c r="F202" s="3" t="str">
        <f>HYPERLINK("https://www.boe.es/gazeta/dias/1823/06/11/pdfs/GES-1823-65.pdf","Abrir PDF")</f>
        <v>Abrir PDF</v>
      </c>
    </row>
    <row r="203" spans="1:6" ht="30.95" customHeight="1">
      <c r="A203" s="7">
        <v>-27960</v>
      </c>
      <c r="B203" s="2" t="s">
        <v>741</v>
      </c>
      <c r="C203" s="2" t="s">
        <v>22594</v>
      </c>
      <c r="D203" s="3">
        <v>6</v>
      </c>
      <c r="E203" s="3">
        <v>46</v>
      </c>
      <c r="F203" s="3" t="str">
        <f>HYPERLINK("https://www.boe.es/gazeta/dias/1823/06/12/pdfs/GES-1823-66.pdf","Abrir PDF")</f>
        <v>Abrir PDF</v>
      </c>
    </row>
    <row r="204" spans="1:6" ht="30.95" customHeight="1">
      <c r="A204" s="7">
        <v>-27960</v>
      </c>
      <c r="B204" s="2" t="s">
        <v>682</v>
      </c>
      <c r="C204" s="2" t="s">
        <v>22595</v>
      </c>
      <c r="D204" s="3">
        <v>6</v>
      </c>
      <c r="E204" s="3">
        <v>29</v>
      </c>
      <c r="F204" s="3" t="str">
        <f>HYPERLINK("https://www.boe.es/gazeta/dias/1823/06/12/pdfs/GMD-1823-123.pdf","Abrir PDF")</f>
        <v>Abrir PDF</v>
      </c>
    </row>
    <row r="205" spans="1:6" ht="30.95" customHeight="1">
      <c r="A205" s="7">
        <v>-27960</v>
      </c>
      <c r="B205" s="2" t="s">
        <v>6554</v>
      </c>
      <c r="C205" s="2" t="s">
        <v>22596</v>
      </c>
      <c r="D205" s="3">
        <v>1</v>
      </c>
      <c r="E205" s="3">
        <v>5</v>
      </c>
      <c r="F205" s="3" t="str">
        <f>HYPERLINK("https://www.boe.es/gazeta/dias/1823/06/12/pdfs/GMD-1823-133E.pdf","Abrir PDF")</f>
        <v>Abrir PDF</v>
      </c>
    </row>
    <row r="206" spans="1:6" ht="30.95" customHeight="1">
      <c r="A206" s="7">
        <v>-27959</v>
      </c>
      <c r="B206" s="2" t="s">
        <v>14073</v>
      </c>
      <c r="C206" s="2" t="s">
        <v>22597</v>
      </c>
      <c r="D206" s="3">
        <v>2</v>
      </c>
      <c r="E206" s="3">
        <v>2</v>
      </c>
      <c r="F206" s="3" t="str">
        <f>HYPERLINK("https://www.boe.es/gazeta/dias/1823/06/13/pdfs/GMD-1823-143E.pdf","Abrir PDF")</f>
        <v>Abrir PDF</v>
      </c>
    </row>
    <row r="207" spans="1:6" ht="30.95" customHeight="1">
      <c r="A207" s="7">
        <v>-27958</v>
      </c>
      <c r="B207" s="2" t="s">
        <v>2203</v>
      </c>
      <c r="C207" s="2" t="s">
        <v>22598</v>
      </c>
      <c r="D207" s="3">
        <v>4</v>
      </c>
      <c r="E207" s="3">
        <v>11</v>
      </c>
      <c r="F207" s="3" t="str">
        <f>HYPERLINK("https://www.boe.es/gazeta/dias/1823/06/14/pdfs/GMD-1823-153.pdf","Abrir PDF")</f>
        <v>Abrir PDF</v>
      </c>
    </row>
    <row r="208" spans="1:6" ht="30.95" customHeight="1">
      <c r="A208" s="7">
        <v>-27958</v>
      </c>
      <c r="B208" s="2" t="s">
        <v>163</v>
      </c>
      <c r="C208" s="2" t="s">
        <v>22599</v>
      </c>
      <c r="D208" s="3">
        <v>2</v>
      </c>
      <c r="E208" s="3">
        <v>5</v>
      </c>
      <c r="F208" s="3" t="str">
        <f>HYPERLINK("https://www.boe.es/gazeta/dias/1823/06/14/pdfs/GMD-1823-163E.pdf","Abrir PDF")</f>
        <v>Abrir PDF</v>
      </c>
    </row>
    <row r="209" spans="1:6" ht="30.95" customHeight="1">
      <c r="A209" s="7">
        <v>-27957</v>
      </c>
      <c r="B209" s="2" t="s">
        <v>16909</v>
      </c>
      <c r="C209" s="2" t="s">
        <v>22600</v>
      </c>
      <c r="D209" s="3">
        <v>2</v>
      </c>
      <c r="E209" s="3">
        <v>1</v>
      </c>
      <c r="F209" s="3" t="str">
        <f>HYPERLINK("https://www.boe.es/gazeta/dias/1823/06/15/pdfs/GMD-1823-173E.pdf","Abrir PDF")</f>
        <v>Abrir PDF</v>
      </c>
    </row>
    <row r="210" spans="1:6" ht="30.95" customHeight="1">
      <c r="A210" s="7">
        <v>-27955</v>
      </c>
      <c r="B210" s="2" t="s">
        <v>3015</v>
      </c>
      <c r="C210" s="2" t="s">
        <v>22601</v>
      </c>
      <c r="D210" s="3">
        <v>6</v>
      </c>
      <c r="E210" s="3">
        <v>12</v>
      </c>
      <c r="F210" s="3" t="str">
        <f>HYPERLINK("https://www.boe.es/gazeta/dias/1823/06/17/pdfs/GMD-1823-183.pdf","Abrir PDF")</f>
        <v>Abrir PDF</v>
      </c>
    </row>
    <row r="211" spans="1:6" ht="30.95" customHeight="1">
      <c r="A211" s="7">
        <v>-27953</v>
      </c>
      <c r="B211" s="2" t="s">
        <v>1783</v>
      </c>
      <c r="C211" s="2" t="s">
        <v>22602</v>
      </c>
      <c r="D211" s="3">
        <v>4</v>
      </c>
      <c r="E211" s="3">
        <v>18</v>
      </c>
      <c r="F211" s="3" t="str">
        <f>HYPERLINK("https://www.boe.es/gazeta/dias/1823/06/19/pdfs/GES-1823-67.pdf","Abrir PDF")</f>
        <v>Abrir PDF</v>
      </c>
    </row>
    <row r="212" spans="1:6" ht="30.95" customHeight="1">
      <c r="A212" s="7">
        <v>-27953</v>
      </c>
      <c r="B212" s="2" t="s">
        <v>1543</v>
      </c>
      <c r="C212" s="2" t="s">
        <v>22603</v>
      </c>
      <c r="D212" s="3">
        <v>4</v>
      </c>
      <c r="E212" s="3">
        <v>16</v>
      </c>
      <c r="F212" s="3" t="str">
        <f>HYPERLINK("https://www.boe.es/gazeta/dias/1823/06/19/pdfs/GMD-1823-193.pdf","Abrir PDF")</f>
        <v>Abrir PDF</v>
      </c>
    </row>
    <row r="213" spans="1:6" ht="30.95" customHeight="1">
      <c r="A213" s="7">
        <v>-27953</v>
      </c>
      <c r="B213" s="2" t="s">
        <v>2684</v>
      </c>
      <c r="C213" s="2" t="s">
        <v>22604</v>
      </c>
      <c r="D213" s="3">
        <v>2</v>
      </c>
      <c r="E213" s="3">
        <v>10</v>
      </c>
      <c r="F213" s="3" t="str">
        <f>HYPERLINK("https://www.boe.es/gazeta/dias/1823/06/19/pdfs/GMD-1823-203E.pdf","Abrir PDF")</f>
        <v>Abrir PDF</v>
      </c>
    </row>
    <row r="214" spans="1:6" ht="30.95" customHeight="1">
      <c r="A214" s="7">
        <v>-27952</v>
      </c>
      <c r="B214" s="2" t="s">
        <v>929</v>
      </c>
      <c r="C214" s="2" t="s">
        <v>22605</v>
      </c>
      <c r="D214" s="3">
        <v>4</v>
      </c>
      <c r="E214" s="3">
        <v>13</v>
      </c>
      <c r="F214" s="3" t="str">
        <f>HYPERLINK("https://www.boe.es/gazeta/dias/1823/06/20/pdfs/GES-1823-68.pdf","Abrir PDF")</f>
        <v>Abrir PDF</v>
      </c>
    </row>
    <row r="215" spans="1:6" ht="30.95" customHeight="1">
      <c r="A215" s="7">
        <v>-27952</v>
      </c>
      <c r="B215" s="2" t="s">
        <v>1844</v>
      </c>
      <c r="C215" s="2" t="s">
        <v>22606</v>
      </c>
      <c r="D215" s="3">
        <v>2</v>
      </c>
      <c r="E215" s="3">
        <v>18</v>
      </c>
      <c r="F215" s="3" t="str">
        <f>HYPERLINK("https://www.boe.es/gazeta/dias/1823/06/20/pdfs/GMD-1823-213E.pdf","Abrir PDF")</f>
        <v>Abrir PDF</v>
      </c>
    </row>
    <row r="216" spans="1:6" ht="30.95" customHeight="1">
      <c r="A216" s="7">
        <v>-27951</v>
      </c>
      <c r="B216" s="2" t="s">
        <v>548</v>
      </c>
      <c r="C216" s="2" t="s">
        <v>22607</v>
      </c>
      <c r="D216" s="3">
        <v>4</v>
      </c>
      <c r="E216" s="3">
        <v>36</v>
      </c>
      <c r="F216" s="3" t="str">
        <f>HYPERLINK("https://www.boe.es/gazeta/dias/1823/06/21/pdfs/GES-1823-69.pdf","Abrir PDF")</f>
        <v>Abrir PDF</v>
      </c>
    </row>
    <row r="217" spans="1:6" ht="30.95" customHeight="1">
      <c r="A217" s="7">
        <v>-27951</v>
      </c>
      <c r="B217" s="2" t="s">
        <v>4670</v>
      </c>
      <c r="C217" s="2" t="s">
        <v>22608</v>
      </c>
      <c r="D217" s="3">
        <v>4</v>
      </c>
      <c r="E217" s="3">
        <v>15</v>
      </c>
      <c r="F217" s="3" t="str">
        <f>HYPERLINK("https://www.boe.es/gazeta/dias/1823/06/21/pdfs/GMD-1823-223.pdf","Abrir PDF")</f>
        <v>Abrir PDF</v>
      </c>
    </row>
    <row r="218" spans="1:6" ht="30.95" customHeight="1">
      <c r="A218" s="7">
        <v>-27951</v>
      </c>
      <c r="B218" s="2" t="s">
        <v>14464</v>
      </c>
      <c r="C218" s="2" t="s">
        <v>22609</v>
      </c>
      <c r="D218" s="3">
        <v>1</v>
      </c>
      <c r="E218" s="3">
        <v>2</v>
      </c>
      <c r="F218" s="3" t="str">
        <f>HYPERLINK("https://www.boe.es/gazeta/dias/1823/06/21/pdfs/GMD-1823-233E.pdf","Abrir PDF")</f>
        <v>Abrir PDF</v>
      </c>
    </row>
    <row r="219" spans="1:6" ht="30.95" customHeight="1">
      <c r="A219" s="7">
        <v>-27950</v>
      </c>
      <c r="B219" s="2" t="s">
        <v>4513</v>
      </c>
      <c r="C219" s="2" t="s">
        <v>22610</v>
      </c>
      <c r="D219" s="3">
        <v>4</v>
      </c>
      <c r="E219" s="3">
        <v>20</v>
      </c>
      <c r="F219" s="3" t="str">
        <f>HYPERLINK("https://www.boe.es/gazeta/dias/1823/06/22/pdfs/GES-1823-70.pdf","Abrir PDF")</f>
        <v>Abrir PDF</v>
      </c>
    </row>
    <row r="220" spans="1:6" ht="30.95" customHeight="1">
      <c r="A220" s="7">
        <v>-27949</v>
      </c>
      <c r="B220" s="2" t="s">
        <v>1162</v>
      </c>
      <c r="C220" s="2" t="s">
        <v>22611</v>
      </c>
      <c r="D220" s="3">
        <v>4</v>
      </c>
      <c r="E220" s="3">
        <v>22</v>
      </c>
      <c r="F220" s="3" t="str">
        <f>HYPERLINK("https://www.boe.es/gazeta/dias/1823/06/23/pdfs/GES-1823-71.pdf","Abrir PDF")</f>
        <v>Abrir PDF</v>
      </c>
    </row>
    <row r="221" spans="1:6" ht="30.95" customHeight="1">
      <c r="A221" s="7">
        <v>-27949</v>
      </c>
      <c r="B221" s="2" t="s">
        <v>2793</v>
      </c>
      <c r="C221" s="2" t="s">
        <v>22612</v>
      </c>
      <c r="D221" s="3">
        <v>1</v>
      </c>
      <c r="E221" s="3">
        <v>2</v>
      </c>
      <c r="F221" s="3" t="str">
        <f>HYPERLINK("https://www.boe.es/gazeta/dias/1823/06/23/pdfs/GMD-1823-243E.pdf","Abrir PDF")</f>
        <v>Abrir PDF</v>
      </c>
    </row>
    <row r="222" spans="1:6" ht="30.95" customHeight="1">
      <c r="A222" s="7">
        <v>-27949</v>
      </c>
      <c r="B222" s="2" t="s">
        <v>1545</v>
      </c>
      <c r="C222" s="2" t="s">
        <v>22613</v>
      </c>
      <c r="D222" s="3">
        <v>1</v>
      </c>
      <c r="E222" s="3">
        <v>2</v>
      </c>
      <c r="F222" s="3" t="str">
        <f>HYPERLINK("https://www.boe.es/gazeta/dias/1823/06/23/pdfs/GMD-1823-253E.pdf","Abrir PDF")</f>
        <v>Abrir PDF</v>
      </c>
    </row>
    <row r="223" spans="1:6" ht="30.95" customHeight="1">
      <c r="A223" s="7">
        <v>-27948</v>
      </c>
      <c r="B223" s="2" t="s">
        <v>959</v>
      </c>
      <c r="C223" s="2" t="s">
        <v>22614</v>
      </c>
      <c r="D223" s="3">
        <v>4</v>
      </c>
      <c r="E223" s="3">
        <v>12</v>
      </c>
      <c r="F223" s="3" t="str">
        <f>HYPERLINK("https://www.boe.es/gazeta/dias/1823/06/24/pdfs/GES-1823-72.pdf","Abrir PDF")</f>
        <v>Abrir PDF</v>
      </c>
    </row>
    <row r="224" spans="1:6" ht="30.95" customHeight="1">
      <c r="A224" s="7">
        <v>-27948</v>
      </c>
      <c r="B224" s="2" t="s">
        <v>3752</v>
      </c>
      <c r="C224" s="2" t="s">
        <v>22615</v>
      </c>
      <c r="D224" s="3">
        <v>4</v>
      </c>
      <c r="E224" s="3">
        <v>13</v>
      </c>
      <c r="F224" s="3" t="str">
        <f>HYPERLINK("https://www.boe.es/gazeta/dias/1823/06/24/pdfs/GMD-1823-263.pdf","Abrir PDF")</f>
        <v>Abrir PDF</v>
      </c>
    </row>
    <row r="225" spans="1:6" ht="30.95" customHeight="1">
      <c r="A225" s="7">
        <v>-27947</v>
      </c>
      <c r="B225" s="2" t="s">
        <v>2144</v>
      </c>
      <c r="C225" s="2" t="s">
        <v>22616</v>
      </c>
      <c r="D225" s="3">
        <v>4</v>
      </c>
      <c r="E225" s="3">
        <v>15</v>
      </c>
      <c r="F225" s="3" t="str">
        <f>HYPERLINK("https://www.boe.es/gazeta/dias/1823/06/25/pdfs/GES-1823-75.pdf","Abrir PDF")</f>
        <v>Abrir PDF</v>
      </c>
    </row>
    <row r="226" spans="1:6" ht="30.95" customHeight="1">
      <c r="A226" s="7">
        <v>-27947</v>
      </c>
      <c r="B226" s="2" t="s">
        <v>22617</v>
      </c>
      <c r="C226" s="2" t="s">
        <v>22618</v>
      </c>
      <c r="D226" s="3">
        <v>1</v>
      </c>
      <c r="E226" s="3">
        <v>0</v>
      </c>
      <c r="F226" s="3" t="str">
        <f>HYPERLINK("https://www.boe.es/gazeta/dias/1823/06/25/pdfs/GMD-1823-273E.pdf","Abrir PDF")</f>
        <v>Abrir PDF</v>
      </c>
    </row>
    <row r="227" spans="1:6" ht="30.95" customHeight="1">
      <c r="A227" s="7">
        <v>-27946</v>
      </c>
      <c r="B227" s="2" t="s">
        <v>2146</v>
      </c>
      <c r="C227" s="2" t="s">
        <v>22619</v>
      </c>
      <c r="D227" s="3">
        <v>4</v>
      </c>
      <c r="E227" s="3">
        <v>17</v>
      </c>
      <c r="F227" s="3" t="str">
        <f>HYPERLINK("https://www.boe.es/gazeta/dias/1823/06/26/pdfs/GES-1823-76.pdf","Abrir PDF")</f>
        <v>Abrir PDF</v>
      </c>
    </row>
    <row r="228" spans="1:6" ht="30.95" customHeight="1">
      <c r="A228" s="7">
        <v>-27946</v>
      </c>
      <c r="B228" s="2" t="s">
        <v>1547</v>
      </c>
      <c r="C228" s="2" t="s">
        <v>22620</v>
      </c>
      <c r="D228" s="3">
        <v>4</v>
      </c>
      <c r="E228" s="3">
        <v>18</v>
      </c>
      <c r="F228" s="3" t="str">
        <f>HYPERLINK("https://www.boe.es/gazeta/dias/1823/06/26/pdfs/GMD-1823-283.pdf","Abrir PDF")</f>
        <v>Abrir PDF</v>
      </c>
    </row>
    <row r="229" spans="1:6" ht="30.95" customHeight="1">
      <c r="A229" s="7">
        <v>-27945</v>
      </c>
      <c r="B229" s="2" t="s">
        <v>628</v>
      </c>
      <c r="C229" s="2" t="s">
        <v>22621</v>
      </c>
      <c r="D229" s="3">
        <v>4</v>
      </c>
      <c r="E229" s="3">
        <v>18</v>
      </c>
      <c r="F229" s="3" t="str">
        <f>HYPERLINK("https://www.boe.es/gazeta/dias/1823/06/27/pdfs/GES-1823-77.pdf","Abrir PDF")</f>
        <v>Abrir PDF</v>
      </c>
    </row>
    <row r="230" spans="1:6" ht="30.95" customHeight="1">
      <c r="A230" s="7">
        <v>-27945</v>
      </c>
      <c r="B230" s="2" t="s">
        <v>2633</v>
      </c>
      <c r="C230" s="2" t="s">
        <v>22622</v>
      </c>
      <c r="D230" s="3">
        <v>1</v>
      </c>
      <c r="E230" s="3">
        <v>3</v>
      </c>
      <c r="F230" s="3" t="str">
        <f>HYPERLINK("https://www.boe.es/gazeta/dias/1823/06/27/pdfs/GMD-1823-293E.pdf","Abrir PDF")</f>
        <v>Abrir PDF</v>
      </c>
    </row>
    <row r="231" spans="1:6" ht="30.95" customHeight="1">
      <c r="A231" s="7">
        <v>-27944</v>
      </c>
      <c r="B231" s="2" t="s">
        <v>2823</v>
      </c>
      <c r="C231" s="2" t="s">
        <v>22623</v>
      </c>
      <c r="D231" s="3">
        <v>4</v>
      </c>
      <c r="E231" s="3">
        <v>31</v>
      </c>
      <c r="F231" s="3" t="str">
        <f>HYPERLINK("https://www.boe.es/gazeta/dias/1823/06/28/pdfs/GES-1823-78.pdf","Abrir PDF")</f>
        <v>Abrir PDF</v>
      </c>
    </row>
    <row r="232" spans="1:6" ht="30.95" customHeight="1">
      <c r="A232" s="7">
        <v>-27944</v>
      </c>
      <c r="B232" s="2" t="s">
        <v>658</v>
      </c>
      <c r="C232" s="2" t="s">
        <v>22624</v>
      </c>
      <c r="D232" s="3">
        <v>6</v>
      </c>
      <c r="E232" s="3">
        <v>56</v>
      </c>
      <c r="F232" s="3" t="str">
        <f>HYPERLINK("https://www.boe.es/gazeta/dias/1823/06/28/pdfs/GMD-1823-303.pdf","Abrir PDF")</f>
        <v>Abrir PDF</v>
      </c>
    </row>
    <row r="233" spans="1:6" ht="30.95" customHeight="1">
      <c r="A233" s="7">
        <v>-27943</v>
      </c>
      <c r="B233" s="2" t="s">
        <v>346</v>
      </c>
      <c r="C233" s="2" t="s">
        <v>22625</v>
      </c>
      <c r="D233" s="3">
        <v>4</v>
      </c>
      <c r="E233" s="3">
        <v>26</v>
      </c>
      <c r="F233" s="3" t="str">
        <f>HYPERLINK("https://www.boe.es/gazeta/dias/1823/06/29/pdfs/GES-1823-79.pdf","Abrir PDF")</f>
        <v>Abrir PDF</v>
      </c>
    </row>
    <row r="234" spans="1:6" ht="30.95" customHeight="1">
      <c r="A234" s="7">
        <v>-27943</v>
      </c>
      <c r="B234" s="2" t="s">
        <v>2511</v>
      </c>
      <c r="C234" s="2" t="s">
        <v>22626</v>
      </c>
      <c r="D234" s="3">
        <v>1</v>
      </c>
      <c r="E234" s="3">
        <v>9</v>
      </c>
      <c r="F234" s="3" t="str">
        <f>HYPERLINK("https://www.boe.es/gazeta/dias/1823/06/29/pdfs/GMD-1823-313E.pdf","Abrir PDF")</f>
        <v>Abrir PDF</v>
      </c>
    </row>
    <row r="235" spans="1:6" ht="30.95" customHeight="1">
      <c r="A235" s="7">
        <v>-27942</v>
      </c>
      <c r="B235" s="2" t="s">
        <v>596</v>
      </c>
      <c r="C235" s="2" t="s">
        <v>22627</v>
      </c>
      <c r="D235" s="3">
        <v>4</v>
      </c>
      <c r="E235" s="3">
        <v>17</v>
      </c>
      <c r="F235" s="3" t="str">
        <f>HYPERLINK("https://www.boe.es/gazeta/dias/1823/06/30/pdfs/GES-1823-80.pdf","Abrir PDF")</f>
        <v>Abrir PDF</v>
      </c>
    </row>
    <row r="236" spans="1:6" ht="30.95" customHeight="1">
      <c r="A236" s="7">
        <v>-27941</v>
      </c>
      <c r="B236" s="2" t="s">
        <v>527</v>
      </c>
      <c r="C236" s="2" t="s">
        <v>22628</v>
      </c>
      <c r="D236" s="3">
        <v>4</v>
      </c>
      <c r="E236" s="3">
        <v>35</v>
      </c>
      <c r="F236" s="3" t="str">
        <f>HYPERLINK("https://www.boe.es/gazeta/dias/1823/07/01/pdfs/GES-1823-81.pdf","Abrir PDF")</f>
        <v>Abrir PDF</v>
      </c>
    </row>
    <row r="237" spans="1:6" ht="30.95" customHeight="1">
      <c r="A237" s="7">
        <v>-27941</v>
      </c>
      <c r="B237" s="2" t="s">
        <v>1551</v>
      </c>
      <c r="C237" s="2" t="s">
        <v>22629</v>
      </c>
      <c r="D237" s="3">
        <v>4</v>
      </c>
      <c r="E237" s="3">
        <v>14</v>
      </c>
      <c r="F237" s="3" t="str">
        <f>HYPERLINK("https://www.boe.es/gazeta/dias/1823/07/01/pdfs/GMD-1823-323.pdf","Abrir PDF")</f>
        <v>Abrir PDF</v>
      </c>
    </row>
    <row r="238" spans="1:6" ht="30.95" customHeight="1">
      <c r="A238" s="7">
        <v>-27940</v>
      </c>
      <c r="B238" s="2" t="s">
        <v>348</v>
      </c>
      <c r="C238" s="2" t="s">
        <v>22630</v>
      </c>
      <c r="D238" s="3">
        <v>4</v>
      </c>
      <c r="E238" s="3">
        <v>22</v>
      </c>
      <c r="F238" s="3" t="str">
        <f>HYPERLINK("https://www.boe.es/gazeta/dias/1823/07/02/pdfs/GES-1823-82.pdf","Abrir PDF")</f>
        <v>Abrir PDF</v>
      </c>
    </row>
    <row r="239" spans="1:6" ht="30.95" customHeight="1">
      <c r="A239" s="7">
        <v>-27939</v>
      </c>
      <c r="B239" s="2" t="s">
        <v>1076</v>
      </c>
      <c r="C239" s="2" t="s">
        <v>22631</v>
      </c>
      <c r="D239" s="3">
        <v>4</v>
      </c>
      <c r="E239" s="3">
        <v>17</v>
      </c>
      <c r="F239" s="3" t="str">
        <f>HYPERLINK("https://www.boe.es/gazeta/dias/1823/07/03/pdfs/GES-1823-83.pdf","Abrir PDF")</f>
        <v>Abrir PDF</v>
      </c>
    </row>
    <row r="240" spans="1:6" ht="30.95" customHeight="1">
      <c r="A240" s="7">
        <v>-27939</v>
      </c>
      <c r="B240" s="2" t="s">
        <v>1403</v>
      </c>
      <c r="C240" s="2" t="s">
        <v>22632</v>
      </c>
      <c r="D240" s="3">
        <v>8</v>
      </c>
      <c r="E240" s="3">
        <v>35</v>
      </c>
      <c r="F240" s="3" t="str">
        <f>HYPERLINK("https://www.boe.es/gazeta/dias/1823/07/03/pdfs/GMD-1823-333.pdf","Abrir PDF")</f>
        <v>Abrir PDF</v>
      </c>
    </row>
    <row r="241" spans="1:6" ht="30.95" customHeight="1">
      <c r="A241" s="7">
        <v>-27938</v>
      </c>
      <c r="B241" s="2" t="s">
        <v>101</v>
      </c>
      <c r="C241" s="2" t="s">
        <v>22633</v>
      </c>
      <c r="D241" s="3">
        <v>4</v>
      </c>
      <c r="E241" s="3">
        <v>25</v>
      </c>
      <c r="F241" s="3" t="str">
        <f>HYPERLINK("https://www.boe.es/gazeta/dias/1823/07/04/pdfs/GES-1823-84.pdf","Abrir PDF")</f>
        <v>Abrir PDF</v>
      </c>
    </row>
    <row r="242" spans="1:6" ht="30.95" customHeight="1">
      <c r="A242" s="7">
        <v>-27937</v>
      </c>
      <c r="B242" s="2" t="s">
        <v>730</v>
      </c>
      <c r="C242" s="2" t="s">
        <v>22634</v>
      </c>
      <c r="D242" s="3">
        <v>4</v>
      </c>
      <c r="E242" s="3">
        <v>20</v>
      </c>
      <c r="F242" s="3" t="str">
        <f>HYPERLINK("https://www.boe.es/gazeta/dias/1823/07/05/pdfs/GES-1823-85.pdf","Abrir PDF")</f>
        <v>Abrir PDF</v>
      </c>
    </row>
    <row r="243" spans="1:6" ht="30.95" customHeight="1">
      <c r="A243" s="7">
        <v>-27937</v>
      </c>
      <c r="B243" s="2" t="s">
        <v>897</v>
      </c>
      <c r="C243" s="2" t="s">
        <v>22635</v>
      </c>
      <c r="D243" s="3">
        <v>6</v>
      </c>
      <c r="E243" s="3">
        <v>35</v>
      </c>
      <c r="F243" s="3" t="str">
        <f>HYPERLINK("https://www.boe.es/gazeta/dias/1823/07/05/pdfs/GMD-1823-343.pdf","Abrir PDF")</f>
        <v>Abrir PDF</v>
      </c>
    </row>
    <row r="244" spans="1:6" ht="30.95" customHeight="1">
      <c r="A244" s="7">
        <v>-27936</v>
      </c>
      <c r="B244" s="2" t="s">
        <v>4620</v>
      </c>
      <c r="C244" s="2" t="s">
        <v>22636</v>
      </c>
      <c r="D244" s="3">
        <v>4</v>
      </c>
      <c r="E244" s="3">
        <v>10</v>
      </c>
      <c r="F244" s="3" t="str">
        <f>HYPERLINK("https://www.boe.es/gazeta/dias/1823/07/06/pdfs/GES-1823-86.pdf","Abrir PDF")</f>
        <v>Abrir PDF</v>
      </c>
    </row>
    <row r="245" spans="1:6" ht="30.95" customHeight="1">
      <c r="A245" s="7">
        <v>-27935</v>
      </c>
      <c r="B245" s="2" t="s">
        <v>350</v>
      </c>
      <c r="C245" s="2" t="s">
        <v>22637</v>
      </c>
      <c r="D245" s="3">
        <v>4</v>
      </c>
      <c r="E245" s="3">
        <v>50</v>
      </c>
      <c r="F245" s="3" t="str">
        <f>HYPERLINK("https://www.boe.es/gazeta/dias/1823/07/07/pdfs/GES-1823-87.pdf","Abrir PDF")</f>
        <v>Abrir PDF</v>
      </c>
    </row>
    <row r="246" spans="1:6" ht="30.95" customHeight="1">
      <c r="A246" s="7">
        <v>-27934</v>
      </c>
      <c r="B246" s="2" t="s">
        <v>2155</v>
      </c>
      <c r="C246" s="2" t="s">
        <v>22638</v>
      </c>
      <c r="D246" s="3">
        <v>4</v>
      </c>
      <c r="E246" s="3">
        <v>13</v>
      </c>
      <c r="F246" s="3" t="str">
        <f>HYPERLINK("https://www.boe.es/gazeta/dias/1823/07/08/pdfs/GES-1823-88.pdf","Abrir PDF")</f>
        <v>Abrir PDF</v>
      </c>
    </row>
    <row r="247" spans="1:6" ht="30.95" customHeight="1">
      <c r="A247" s="7">
        <v>-27934</v>
      </c>
      <c r="B247" s="2" t="s">
        <v>634</v>
      </c>
      <c r="C247" s="2" t="s">
        <v>22639</v>
      </c>
      <c r="D247" s="3">
        <v>6</v>
      </c>
      <c r="E247" s="3">
        <v>29</v>
      </c>
      <c r="F247" s="3" t="str">
        <f>HYPERLINK("https://www.boe.es/gazeta/dias/1823/07/08/pdfs/GMD-1823-353.pdf","Abrir PDF")</f>
        <v>Abrir PDF</v>
      </c>
    </row>
    <row r="248" spans="1:6" ht="30.95" customHeight="1">
      <c r="A248" s="7">
        <v>-27933</v>
      </c>
      <c r="B248" s="2" t="s">
        <v>1079</v>
      </c>
      <c r="C248" s="2" t="s">
        <v>22640</v>
      </c>
      <c r="D248" s="3">
        <v>4</v>
      </c>
      <c r="E248" s="3">
        <v>29</v>
      </c>
      <c r="F248" s="3" t="str">
        <f>HYPERLINK("https://www.boe.es/gazeta/dias/1823/07/09/pdfs/GES-1823-89.pdf","Abrir PDF")</f>
        <v>Abrir PDF</v>
      </c>
    </row>
    <row r="249" spans="1:6" ht="30.95" customHeight="1">
      <c r="A249" s="7">
        <v>-27932</v>
      </c>
      <c r="B249" s="2" t="s">
        <v>707</v>
      </c>
      <c r="C249" s="2" t="s">
        <v>22641</v>
      </c>
      <c r="D249" s="3">
        <v>4</v>
      </c>
      <c r="E249" s="3">
        <v>26</v>
      </c>
      <c r="F249" s="3" t="str">
        <f>HYPERLINK("https://www.boe.es/gazeta/dias/1823/07/10/pdfs/GES-1823-90.pdf","Abrir PDF")</f>
        <v>Abrir PDF</v>
      </c>
    </row>
    <row r="250" spans="1:6" ht="30.95" customHeight="1">
      <c r="A250" s="7">
        <v>-27932</v>
      </c>
      <c r="B250" s="2" t="s">
        <v>786</v>
      </c>
      <c r="C250" s="2" t="s">
        <v>22642</v>
      </c>
      <c r="D250" s="3">
        <v>8</v>
      </c>
      <c r="E250" s="3">
        <v>26</v>
      </c>
      <c r="F250" s="3" t="str">
        <f>HYPERLINK("https://www.boe.es/gazeta/dias/1823/07/10/pdfs/GMD-1823-363.pdf","Abrir PDF")</f>
        <v>Abrir PDF</v>
      </c>
    </row>
    <row r="251" spans="1:6" ht="30.95" customHeight="1">
      <c r="A251" s="7">
        <v>-27932</v>
      </c>
      <c r="B251" s="2" t="s">
        <v>1947</v>
      </c>
      <c r="C251" s="2" t="s">
        <v>22643</v>
      </c>
      <c r="D251" s="3">
        <v>1</v>
      </c>
      <c r="E251" s="3">
        <v>10</v>
      </c>
      <c r="F251" s="3" t="str">
        <f>HYPERLINK("https://www.boe.es/gazeta/dias/1823/07/10/pdfs/GMD-1823-373E.pdf","Abrir PDF")</f>
        <v>Abrir PDF</v>
      </c>
    </row>
    <row r="252" spans="1:6" ht="30.95" customHeight="1">
      <c r="A252" s="7">
        <v>-27931</v>
      </c>
      <c r="B252" s="2" t="s">
        <v>1833</v>
      </c>
      <c r="C252" s="2" t="s">
        <v>22644</v>
      </c>
      <c r="D252" s="3">
        <v>4</v>
      </c>
      <c r="E252" s="3">
        <v>23</v>
      </c>
      <c r="F252" s="3" t="str">
        <f>HYPERLINK("https://www.boe.es/gazeta/dias/1823/07/11/pdfs/GES-1823-91.pdf","Abrir PDF")</f>
        <v>Abrir PDF</v>
      </c>
    </row>
    <row r="253" spans="1:6" ht="30.95" customHeight="1">
      <c r="A253" s="7">
        <v>-27931</v>
      </c>
      <c r="B253" s="2" t="s">
        <v>8294</v>
      </c>
      <c r="C253" s="2" t="s">
        <v>22645</v>
      </c>
      <c r="D253" s="3">
        <v>1</v>
      </c>
      <c r="E253" s="3">
        <v>1</v>
      </c>
      <c r="F253" s="3" t="str">
        <f>HYPERLINK("https://www.boe.es/gazeta/dias/1823/07/11/pdfs/GMD-1823-383E.pdf","Abrir PDF")</f>
        <v>Abrir PDF</v>
      </c>
    </row>
    <row r="254" spans="1:6" ht="30.95" customHeight="1">
      <c r="A254" s="7">
        <v>-27930</v>
      </c>
      <c r="B254" s="2" t="s">
        <v>2334</v>
      </c>
      <c r="C254" s="2" t="s">
        <v>22646</v>
      </c>
      <c r="D254" s="3">
        <v>4</v>
      </c>
      <c r="E254" s="3">
        <v>27</v>
      </c>
      <c r="F254" s="3" t="str">
        <f>HYPERLINK("https://www.boe.es/gazeta/dias/1823/07/12/pdfs/GES-1823-92.pdf","Abrir PDF")</f>
        <v>Abrir PDF</v>
      </c>
    </row>
    <row r="255" spans="1:6" ht="30.95" customHeight="1">
      <c r="A255" s="7">
        <v>-27930</v>
      </c>
      <c r="B255" s="2" t="s">
        <v>3578</v>
      </c>
      <c r="C255" s="2" t="s">
        <v>22647</v>
      </c>
      <c r="D255" s="3">
        <v>4</v>
      </c>
      <c r="E255" s="3">
        <v>7</v>
      </c>
      <c r="F255" s="3" t="str">
        <f>HYPERLINK("https://www.boe.es/gazeta/dias/1823/07/12/pdfs/GMD-1823-393.pdf","Abrir PDF")</f>
        <v>Abrir PDF</v>
      </c>
    </row>
    <row r="256" spans="1:6" ht="30.95" customHeight="1">
      <c r="A256" s="7">
        <v>-27929</v>
      </c>
      <c r="B256" s="2" t="s">
        <v>598</v>
      </c>
      <c r="C256" s="2" t="s">
        <v>22648</v>
      </c>
      <c r="D256" s="3">
        <v>4</v>
      </c>
      <c r="E256" s="3">
        <v>15</v>
      </c>
      <c r="F256" s="3" t="str">
        <f>HYPERLINK("https://www.boe.es/gazeta/dias/1823/07/13/pdfs/GES-1823-93.pdf","Abrir PDF")</f>
        <v>Abrir PDF</v>
      </c>
    </row>
    <row r="257" spans="1:6" ht="30.95" customHeight="1">
      <c r="A257" s="7">
        <v>-27928</v>
      </c>
      <c r="B257" s="2" t="s">
        <v>1316</v>
      </c>
      <c r="C257" s="2" t="s">
        <v>22649</v>
      </c>
      <c r="D257" s="3">
        <v>4</v>
      </c>
      <c r="E257" s="3">
        <v>14</v>
      </c>
      <c r="F257" s="3" t="str">
        <f>HYPERLINK("https://www.boe.es/gazeta/dias/1823/07/14/pdfs/GES-1823-94.pdf","Abrir PDF")</f>
        <v>Abrir PDF</v>
      </c>
    </row>
    <row r="258" spans="1:6" ht="30.95" customHeight="1">
      <c r="A258" s="7">
        <v>-27927</v>
      </c>
      <c r="B258" s="2" t="s">
        <v>1426</v>
      </c>
      <c r="C258" s="2" t="s">
        <v>22650</v>
      </c>
      <c r="D258" s="3">
        <v>4</v>
      </c>
      <c r="E258" s="3">
        <v>29</v>
      </c>
      <c r="F258" s="3" t="str">
        <f>HYPERLINK("https://www.boe.es/gazeta/dias/1823/07/15/pdfs/GES-1823-95.pdf","Abrir PDF")</f>
        <v>Abrir PDF</v>
      </c>
    </row>
    <row r="259" spans="1:6" ht="30.95" customHeight="1">
      <c r="A259" s="7">
        <v>-27927</v>
      </c>
      <c r="B259" s="2" t="s">
        <v>2409</v>
      </c>
      <c r="C259" s="2" t="s">
        <v>22651</v>
      </c>
      <c r="D259" s="3">
        <v>4</v>
      </c>
      <c r="E259" s="3">
        <v>20</v>
      </c>
      <c r="F259" s="3" t="str">
        <f>HYPERLINK("https://www.boe.es/gazeta/dias/1823/07/15/pdfs/GMD-1823-403.pdf","Abrir PDF")</f>
        <v>Abrir PDF</v>
      </c>
    </row>
    <row r="260" spans="1:6" ht="30.95" customHeight="1">
      <c r="A260" s="7">
        <v>-27926</v>
      </c>
      <c r="B260" s="2" t="s">
        <v>2158</v>
      </c>
      <c r="C260" s="2" t="s">
        <v>22652</v>
      </c>
      <c r="D260" s="3">
        <v>4</v>
      </c>
      <c r="E260" s="3">
        <v>18</v>
      </c>
      <c r="F260" s="3" t="str">
        <f>HYPERLINK("https://www.boe.es/gazeta/dias/1823/07/16/pdfs/GES-1823-96.pdf","Abrir PDF")</f>
        <v>Abrir PDF</v>
      </c>
    </row>
    <row r="261" spans="1:6" ht="30.95" customHeight="1">
      <c r="A261" s="7">
        <v>-27925</v>
      </c>
      <c r="B261" s="2" t="s">
        <v>89</v>
      </c>
      <c r="C261" s="2" t="s">
        <v>22653</v>
      </c>
      <c r="D261" s="3">
        <v>4</v>
      </c>
      <c r="E261" s="3">
        <v>16</v>
      </c>
      <c r="F261" s="3" t="str">
        <f>HYPERLINK("https://www.boe.es/gazeta/dias/1823/07/17/pdfs/GES-1823-97.pdf","Abrir PDF")</f>
        <v>Abrir PDF</v>
      </c>
    </row>
    <row r="262" spans="1:6" ht="30.95" customHeight="1">
      <c r="A262" s="7">
        <v>-27925</v>
      </c>
      <c r="B262" s="2" t="s">
        <v>3911</v>
      </c>
      <c r="C262" s="2" t="s">
        <v>22654</v>
      </c>
      <c r="D262" s="3">
        <v>1</v>
      </c>
      <c r="E262" s="3">
        <v>14</v>
      </c>
      <c r="F262" s="3" t="str">
        <f>HYPERLINK("https://www.boe.es/gazeta/dias/1823/07/17/pdfs/GES-1823-98E.pdf","Abrir PDF")</f>
        <v>Abrir PDF</v>
      </c>
    </row>
    <row r="263" spans="1:6" ht="30.95" customHeight="1">
      <c r="A263" s="7">
        <v>-27925</v>
      </c>
      <c r="B263" s="2" t="s">
        <v>1744</v>
      </c>
      <c r="C263" s="2" t="s">
        <v>22655</v>
      </c>
      <c r="D263" s="3">
        <v>6</v>
      </c>
      <c r="E263" s="3">
        <v>20</v>
      </c>
      <c r="F263" s="3" t="str">
        <f>HYPERLINK("https://www.boe.es/gazeta/dias/1823/07/17/pdfs/GMD-1823-413.pdf","Abrir PDF")</f>
        <v>Abrir PDF</v>
      </c>
    </row>
    <row r="264" spans="1:6" ht="30.95" customHeight="1">
      <c r="A264" s="7">
        <v>-27925</v>
      </c>
      <c r="B264" s="2" t="s">
        <v>3766</v>
      </c>
      <c r="C264" s="2" t="s">
        <v>22656</v>
      </c>
      <c r="D264" s="3">
        <v>1</v>
      </c>
      <c r="E264" s="3">
        <v>3</v>
      </c>
      <c r="F264" s="3" t="str">
        <f>HYPERLINK("https://www.boe.es/gazeta/dias/1823/07/17/pdfs/GMD-1823-423E.pdf","Abrir PDF")</f>
        <v>Abrir PDF</v>
      </c>
    </row>
    <row r="265" spans="1:6" ht="30.95" customHeight="1">
      <c r="A265" s="7">
        <v>-27924</v>
      </c>
      <c r="B265" s="2" t="s">
        <v>2385</v>
      </c>
      <c r="C265" s="2" t="s">
        <v>22657</v>
      </c>
      <c r="D265" s="3">
        <v>4</v>
      </c>
      <c r="E265" s="3">
        <v>11</v>
      </c>
      <c r="F265" s="3" t="str">
        <f>HYPERLINK("https://www.boe.es/gazeta/dias/1823/07/18/pdfs/GES-1823-99.pdf","Abrir PDF")</f>
        <v>Abrir PDF</v>
      </c>
    </row>
    <row r="266" spans="1:6" ht="30.95" customHeight="1">
      <c r="A266" s="7">
        <v>-27923</v>
      </c>
      <c r="B266" s="2" t="s">
        <v>354</v>
      </c>
      <c r="C266" s="2" t="s">
        <v>22658</v>
      </c>
      <c r="D266" s="3">
        <v>4</v>
      </c>
      <c r="E266" s="3">
        <v>29</v>
      </c>
      <c r="F266" s="3" t="str">
        <f>HYPERLINK("https://www.boe.es/gazeta/dias/1823/07/19/pdfs/GES-1823-100.pdf","Abrir PDF")</f>
        <v>Abrir PDF</v>
      </c>
    </row>
    <row r="267" spans="1:6" ht="30.95" customHeight="1">
      <c r="A267" s="7">
        <v>-27923</v>
      </c>
      <c r="B267" s="2" t="s">
        <v>1225</v>
      </c>
      <c r="C267" s="2" t="s">
        <v>22659</v>
      </c>
      <c r="D267" s="3">
        <v>6</v>
      </c>
      <c r="E267" s="3">
        <v>31</v>
      </c>
      <c r="F267" s="3" t="str">
        <f>HYPERLINK("https://www.boe.es/gazeta/dias/1823/07/19/pdfs/GMD-1823-433.pdf","Abrir PDF")</f>
        <v>Abrir PDF</v>
      </c>
    </row>
    <row r="268" spans="1:6" ht="30.95" customHeight="1">
      <c r="A268" s="7">
        <v>-27922</v>
      </c>
      <c r="B268" s="2" t="s">
        <v>1959</v>
      </c>
      <c r="C268" s="2" t="s">
        <v>22660</v>
      </c>
      <c r="D268" s="3">
        <v>4</v>
      </c>
      <c r="E268" s="3">
        <v>31</v>
      </c>
      <c r="F268" s="3" t="str">
        <f>HYPERLINK("https://www.boe.es/gazeta/dias/1823/07/20/pdfs/GES-1823-101.pdf","Abrir PDF")</f>
        <v>Abrir PDF</v>
      </c>
    </row>
    <row r="269" spans="1:6" ht="30.95" customHeight="1">
      <c r="A269" s="7">
        <v>-27921</v>
      </c>
      <c r="B269" s="2" t="s">
        <v>356</v>
      </c>
      <c r="C269" s="2" t="s">
        <v>22661</v>
      </c>
      <c r="D269" s="3">
        <v>4</v>
      </c>
      <c r="E269" s="3">
        <v>29</v>
      </c>
      <c r="F269" s="3" t="str">
        <f>HYPERLINK("https://www.boe.es/gazeta/dias/1823/07/21/pdfs/GES-1823-102.pdf","Abrir PDF")</f>
        <v>Abrir PDF</v>
      </c>
    </row>
    <row r="270" spans="1:6" ht="30.95" customHeight="1">
      <c r="A270" s="7">
        <v>-27920</v>
      </c>
      <c r="B270" s="2" t="s">
        <v>358</v>
      </c>
      <c r="C270" s="2" t="s">
        <v>22662</v>
      </c>
      <c r="D270" s="3">
        <v>4</v>
      </c>
      <c r="E270" s="3">
        <v>29</v>
      </c>
      <c r="F270" s="3" t="str">
        <f>HYPERLINK("https://www.boe.es/gazeta/dias/1823/07/22/pdfs/GES-1823-103.pdf","Abrir PDF")</f>
        <v>Abrir PDF</v>
      </c>
    </row>
    <row r="271" spans="1:6" ht="30.95" customHeight="1">
      <c r="A271" s="7">
        <v>-27920</v>
      </c>
      <c r="B271" s="2" t="s">
        <v>1334</v>
      </c>
      <c r="C271" s="2" t="s">
        <v>22663</v>
      </c>
      <c r="D271" s="3">
        <v>8</v>
      </c>
      <c r="E271" s="3">
        <v>90</v>
      </c>
      <c r="F271" s="3" t="str">
        <f>HYPERLINK("https://www.boe.es/gazeta/dias/1823/07/22/pdfs/GMD-1823-443.pdf","Abrir PDF")</f>
        <v>Abrir PDF</v>
      </c>
    </row>
    <row r="272" spans="1:6" ht="30.95" customHeight="1">
      <c r="A272" s="7">
        <v>-27920</v>
      </c>
      <c r="B272" s="2" t="s">
        <v>10546</v>
      </c>
      <c r="C272" s="2" t="s">
        <v>22664</v>
      </c>
      <c r="D272" s="3">
        <v>1</v>
      </c>
      <c r="E272" s="3">
        <v>2</v>
      </c>
      <c r="F272" s="3" t="str">
        <f>HYPERLINK("https://www.boe.es/gazeta/dias/1823/07/22/pdfs/GMD-1823-453E.pdf","Abrir PDF")</f>
        <v>Abrir PDF</v>
      </c>
    </row>
    <row r="273" spans="1:6" ht="30.95" customHeight="1">
      <c r="A273" s="7">
        <v>-27919</v>
      </c>
      <c r="B273" s="2" t="s">
        <v>361</v>
      </c>
      <c r="C273" s="2" t="s">
        <v>22665</v>
      </c>
      <c r="D273" s="3">
        <v>4</v>
      </c>
      <c r="E273" s="3">
        <v>12</v>
      </c>
      <c r="F273" s="3" t="str">
        <f>HYPERLINK("https://www.boe.es/gazeta/dias/1823/07/23/pdfs/GES-1823-104.pdf","Abrir PDF")</f>
        <v>Abrir PDF</v>
      </c>
    </row>
    <row r="274" spans="1:6" ht="30.95" customHeight="1">
      <c r="A274" s="7">
        <v>-27918</v>
      </c>
      <c r="B274" s="2" t="s">
        <v>3181</v>
      </c>
      <c r="C274" s="2" t="s">
        <v>22666</v>
      </c>
      <c r="D274" s="3">
        <v>4</v>
      </c>
      <c r="E274" s="3">
        <v>29</v>
      </c>
      <c r="F274" s="3" t="str">
        <f>HYPERLINK("https://www.boe.es/gazeta/dias/1823/07/24/pdfs/GES-1823-105.pdf","Abrir PDF")</f>
        <v>Abrir PDF</v>
      </c>
    </row>
    <row r="275" spans="1:6" ht="30.95" customHeight="1">
      <c r="A275" s="7">
        <v>-27918</v>
      </c>
      <c r="B275" s="2" t="s">
        <v>218</v>
      </c>
      <c r="C275" s="2" t="s">
        <v>22667</v>
      </c>
      <c r="D275" s="3">
        <v>6</v>
      </c>
      <c r="E275" s="3">
        <v>58</v>
      </c>
      <c r="F275" s="3" t="str">
        <f>HYPERLINK("https://www.boe.es/gazeta/dias/1823/07/24/pdfs/GMD-1823-463.pdf","Abrir PDF")</f>
        <v>Abrir PDF</v>
      </c>
    </row>
    <row r="276" spans="1:6" ht="30.95" customHeight="1">
      <c r="A276" s="7">
        <v>-27917</v>
      </c>
      <c r="B276" s="2" t="s">
        <v>363</v>
      </c>
      <c r="C276" s="2" t="s">
        <v>22668</v>
      </c>
      <c r="D276" s="3">
        <v>4</v>
      </c>
      <c r="E276" s="3">
        <v>36</v>
      </c>
      <c r="F276" s="3" t="str">
        <f>HYPERLINK("https://www.boe.es/gazeta/dias/1823/07/25/pdfs/GES-1823-106.pdf","Abrir PDF")</f>
        <v>Abrir PDF</v>
      </c>
    </row>
    <row r="277" spans="1:6" ht="30.95" customHeight="1">
      <c r="A277" s="7">
        <v>-27916</v>
      </c>
      <c r="B277" s="2" t="s">
        <v>772</v>
      </c>
      <c r="C277" s="2" t="s">
        <v>22669</v>
      </c>
      <c r="D277" s="3">
        <v>4</v>
      </c>
      <c r="E277" s="3">
        <v>32</v>
      </c>
      <c r="F277" s="3" t="str">
        <f>HYPERLINK("https://www.boe.es/gazeta/dias/1823/07/26/pdfs/GES-1823-107.pdf","Abrir PDF")</f>
        <v>Abrir PDF</v>
      </c>
    </row>
    <row r="278" spans="1:6" ht="30.95" customHeight="1">
      <c r="A278" s="7">
        <v>-27916</v>
      </c>
      <c r="B278" s="2" t="s">
        <v>1558</v>
      </c>
      <c r="C278" s="2" t="s">
        <v>22670</v>
      </c>
      <c r="D278" s="3">
        <v>4</v>
      </c>
      <c r="E278" s="3">
        <v>12</v>
      </c>
      <c r="F278" s="3" t="str">
        <f>HYPERLINK("https://www.boe.es/gazeta/dias/1823/07/26/pdfs/GMD-1823-473.pdf","Abrir PDF")</f>
        <v>Abrir PDF</v>
      </c>
    </row>
    <row r="279" spans="1:6" ht="30.95" customHeight="1">
      <c r="A279" s="7">
        <v>-27915</v>
      </c>
      <c r="B279" s="2" t="s">
        <v>524</v>
      </c>
      <c r="C279" s="2" t="s">
        <v>22671</v>
      </c>
      <c r="D279" s="3">
        <v>4</v>
      </c>
      <c r="E279" s="3">
        <v>23</v>
      </c>
      <c r="F279" s="3" t="str">
        <f>HYPERLINK("https://www.boe.es/gazeta/dias/1823/07/27/pdfs/GES-1823-108.pdf","Abrir PDF")</f>
        <v>Abrir PDF</v>
      </c>
    </row>
    <row r="280" spans="1:6" ht="30.95" customHeight="1">
      <c r="A280" s="7">
        <v>-27914</v>
      </c>
      <c r="B280" s="2" t="s">
        <v>776</v>
      </c>
      <c r="C280" s="2" t="s">
        <v>22672</v>
      </c>
      <c r="D280" s="3">
        <v>4</v>
      </c>
      <c r="E280" s="3">
        <v>19</v>
      </c>
      <c r="F280" s="3" t="str">
        <f>HYPERLINK("https://www.boe.es/gazeta/dias/1823/07/28/pdfs/GES-1823-109.pdf","Abrir PDF")</f>
        <v>Abrir PDF</v>
      </c>
    </row>
    <row r="281" spans="1:6" ht="30.95" customHeight="1">
      <c r="A281" s="7">
        <v>-27913</v>
      </c>
      <c r="B281" s="2" t="s">
        <v>821</v>
      </c>
      <c r="C281" s="2" t="s">
        <v>22673</v>
      </c>
      <c r="D281" s="3">
        <v>4</v>
      </c>
      <c r="E281" s="3">
        <v>55</v>
      </c>
      <c r="F281" s="3" t="str">
        <f>HYPERLINK("https://www.boe.es/gazeta/dias/1823/07/29/pdfs/GES-1823-110.pdf","Abrir PDF")</f>
        <v>Abrir PDF</v>
      </c>
    </row>
    <row r="282" spans="1:6" ht="30.95" customHeight="1">
      <c r="A282" s="7">
        <v>-27913</v>
      </c>
      <c r="B282" s="2" t="s">
        <v>829</v>
      </c>
      <c r="C282" s="2" t="s">
        <v>22674</v>
      </c>
      <c r="D282" s="3">
        <v>8</v>
      </c>
      <c r="E282" s="3">
        <v>48</v>
      </c>
      <c r="F282" s="3" t="str">
        <f>HYPERLINK("https://www.boe.es/gazeta/dias/1823/07/29/pdfs/GMD-1823-483.pdf","Abrir PDF")</f>
        <v>Abrir PDF</v>
      </c>
    </row>
    <row r="283" spans="1:6" ht="30.95" customHeight="1">
      <c r="A283" s="7">
        <v>-27912</v>
      </c>
      <c r="B283" s="2" t="s">
        <v>365</v>
      </c>
      <c r="C283" s="2" t="s">
        <v>22675</v>
      </c>
      <c r="D283" s="3">
        <v>4</v>
      </c>
      <c r="E283" s="3">
        <v>21</v>
      </c>
      <c r="F283" s="3" t="str">
        <f>HYPERLINK("https://www.boe.es/gazeta/dias/1823/07/30/pdfs/GES-1823-111.pdf","Abrir PDF")</f>
        <v>Abrir PDF</v>
      </c>
    </row>
    <row r="284" spans="1:6" ht="30.95" customHeight="1">
      <c r="A284" s="7">
        <v>-27912</v>
      </c>
      <c r="B284" s="2" t="s">
        <v>2353</v>
      </c>
      <c r="C284" s="2" t="s">
        <v>22676</v>
      </c>
      <c r="D284" s="3">
        <v>1</v>
      </c>
      <c r="E284" s="3">
        <v>5</v>
      </c>
      <c r="F284" s="3" t="str">
        <f>HYPERLINK("https://www.boe.es/gazeta/dias/1823/07/30/pdfs/GMD-1823-493E.pdf","Abrir PDF")</f>
        <v>Abrir PDF</v>
      </c>
    </row>
    <row r="285" spans="1:6" ht="30.95" customHeight="1">
      <c r="A285" s="7">
        <v>-27911</v>
      </c>
      <c r="B285" s="2" t="s">
        <v>368</v>
      </c>
      <c r="C285" s="2" t="s">
        <v>22677</v>
      </c>
      <c r="D285" s="3">
        <v>4</v>
      </c>
      <c r="E285" s="3">
        <v>37</v>
      </c>
      <c r="F285" s="3" t="str">
        <f>HYPERLINK("https://www.boe.es/gazeta/dias/1823/07/31/pdfs/GES-1823-112.pdf","Abrir PDF")</f>
        <v>Abrir PDF</v>
      </c>
    </row>
    <row r="286" spans="1:6" ht="30.95" customHeight="1">
      <c r="A286" s="7">
        <v>-27911</v>
      </c>
      <c r="B286" s="2" t="s">
        <v>1393</v>
      </c>
      <c r="C286" s="2" t="s">
        <v>22678</v>
      </c>
      <c r="D286" s="3">
        <v>4</v>
      </c>
      <c r="E286" s="3">
        <v>28</v>
      </c>
      <c r="F286" s="3" t="str">
        <f>HYPERLINK("https://www.boe.es/gazeta/dias/1823/07/31/pdfs/GMD-1823-503.pdf","Abrir PDF")</f>
        <v>Abrir PDF</v>
      </c>
    </row>
    <row r="287" spans="1:6" ht="30.95" customHeight="1">
      <c r="A287" s="7">
        <v>-27910</v>
      </c>
      <c r="B287" s="2" t="s">
        <v>38</v>
      </c>
      <c r="C287" s="2" t="s">
        <v>22679</v>
      </c>
      <c r="D287" s="3">
        <v>4</v>
      </c>
      <c r="E287" s="3">
        <v>51</v>
      </c>
      <c r="F287" s="3" t="str">
        <f>HYPERLINK("https://www.boe.es/gazeta/dias/1823/08/01/pdfs/GES-1823-113.pdf","Abrir PDF")</f>
        <v>Abrir PDF</v>
      </c>
    </row>
    <row r="288" spans="1:6" ht="30.95" customHeight="1">
      <c r="A288" s="7">
        <v>-27909</v>
      </c>
      <c r="B288" s="2" t="s">
        <v>948</v>
      </c>
      <c r="C288" s="2" t="s">
        <v>22680</v>
      </c>
      <c r="D288" s="3">
        <v>4</v>
      </c>
      <c r="E288" s="3">
        <v>34</v>
      </c>
      <c r="F288" s="3" t="str">
        <f>HYPERLINK("https://www.boe.es/gazeta/dias/1823/08/02/pdfs/GES-1823-114.pdf","Abrir PDF")</f>
        <v>Abrir PDF</v>
      </c>
    </row>
    <row r="289" spans="1:6" ht="30.95" customHeight="1">
      <c r="A289" s="7">
        <v>-27909</v>
      </c>
      <c r="B289" s="2" t="s">
        <v>1525</v>
      </c>
      <c r="C289" s="2" t="s">
        <v>22681</v>
      </c>
      <c r="D289" s="3">
        <v>4</v>
      </c>
      <c r="E289" s="3">
        <v>20</v>
      </c>
      <c r="F289" s="3" t="str">
        <f>HYPERLINK("https://www.boe.es/gazeta/dias/1823/08/02/pdfs/GMD-1823-513.pdf","Abrir PDF")</f>
        <v>Abrir PDF</v>
      </c>
    </row>
    <row r="290" spans="1:6" ht="30.95" customHeight="1">
      <c r="A290" s="7">
        <v>-27908</v>
      </c>
      <c r="B290" s="2" t="s">
        <v>80</v>
      </c>
      <c r="C290" s="2" t="s">
        <v>22682</v>
      </c>
      <c r="D290" s="3">
        <v>4</v>
      </c>
      <c r="E290" s="3">
        <v>30</v>
      </c>
      <c r="F290" s="3" t="str">
        <f>HYPERLINK("https://www.boe.es/gazeta/dias/1823/08/03/pdfs/GES-1823-115.pdf","Abrir PDF")</f>
        <v>Abrir PDF</v>
      </c>
    </row>
    <row r="291" spans="1:6" ht="30.95" customHeight="1">
      <c r="A291" s="7">
        <v>-27908</v>
      </c>
      <c r="B291" s="2" t="s">
        <v>1564</v>
      </c>
      <c r="C291" s="2" t="s">
        <v>22683</v>
      </c>
      <c r="D291" s="3">
        <v>2</v>
      </c>
      <c r="E291" s="3">
        <v>3</v>
      </c>
      <c r="F291" s="3" t="str">
        <f>HYPERLINK("https://www.boe.es/gazeta/dias/1823/08/03/pdfs/GMD-1823-523E.pdf","Abrir PDF")</f>
        <v>Abrir PDF</v>
      </c>
    </row>
    <row r="292" spans="1:6" ht="30.95" customHeight="1">
      <c r="A292" s="7">
        <v>-27907</v>
      </c>
      <c r="B292" s="2" t="s">
        <v>370</v>
      </c>
      <c r="C292" s="2" t="s">
        <v>22684</v>
      </c>
      <c r="D292" s="3">
        <v>4</v>
      </c>
      <c r="E292" s="3">
        <v>41</v>
      </c>
      <c r="F292" s="3" t="str">
        <f>HYPERLINK("https://www.boe.es/gazeta/dias/1823/08/04/pdfs/GES-1823-116.pdf","Abrir PDF")</f>
        <v>Abrir PDF</v>
      </c>
    </row>
    <row r="293" spans="1:6" ht="30.95" customHeight="1">
      <c r="A293" s="7">
        <v>-27906</v>
      </c>
      <c r="B293" s="2" t="s">
        <v>241</v>
      </c>
      <c r="C293" s="2" t="s">
        <v>22685</v>
      </c>
      <c r="D293" s="3">
        <v>6</v>
      </c>
      <c r="E293" s="3">
        <v>102</v>
      </c>
      <c r="F293" s="3" t="str">
        <f>HYPERLINK("https://www.boe.es/gazeta/dias/1823/08/05/pdfs/GES-1823-117.pdf","Abrir PDF")</f>
        <v>Abrir PDF</v>
      </c>
    </row>
    <row r="294" spans="1:6" ht="30.95" customHeight="1">
      <c r="A294" s="7">
        <v>-27906</v>
      </c>
      <c r="B294" s="2" t="s">
        <v>22686</v>
      </c>
      <c r="C294" s="2" t="s">
        <v>22687</v>
      </c>
      <c r="D294" s="3">
        <v>2</v>
      </c>
      <c r="E294" s="3">
        <v>0</v>
      </c>
      <c r="F294" s="3" t="str">
        <f>HYPERLINK("https://www.boe.es/gazeta/dias/1823/08/05/pdfs/GES-1823-118E.pdf","Abrir PDF")</f>
        <v>Abrir PDF</v>
      </c>
    </row>
    <row r="295" spans="1:6" ht="30.95" customHeight="1">
      <c r="A295" s="7">
        <v>-27906</v>
      </c>
      <c r="B295" s="2" t="s">
        <v>1527</v>
      </c>
      <c r="C295" s="2" t="s">
        <v>22688</v>
      </c>
      <c r="D295" s="3">
        <v>6</v>
      </c>
      <c r="E295" s="3">
        <v>53</v>
      </c>
      <c r="F295" s="3" t="str">
        <f>HYPERLINK("https://www.boe.es/gazeta/dias/1823/08/05/pdfs/GMD-1823-533.pdf","Abrir PDF")</f>
        <v>Abrir PDF</v>
      </c>
    </row>
    <row r="296" spans="1:6" ht="30.95" customHeight="1">
      <c r="A296" s="7">
        <v>-27905</v>
      </c>
      <c r="B296" s="2" t="s">
        <v>236</v>
      </c>
      <c r="C296" s="2" t="s">
        <v>22689</v>
      </c>
      <c r="D296" s="3">
        <v>4</v>
      </c>
      <c r="E296" s="3">
        <v>39</v>
      </c>
      <c r="F296" s="3" t="str">
        <f>HYPERLINK("https://www.boe.es/gazeta/dias/1823/08/06/pdfs/GES-1823-119.pdf","Abrir PDF")</f>
        <v>Abrir PDF</v>
      </c>
    </row>
    <row r="297" spans="1:6" ht="30.95" customHeight="1">
      <c r="A297" s="7">
        <v>-27904</v>
      </c>
      <c r="B297" s="2" t="s">
        <v>1748</v>
      </c>
      <c r="C297" s="2" t="s">
        <v>22690</v>
      </c>
      <c r="D297" s="3">
        <v>4</v>
      </c>
      <c r="E297" s="3">
        <v>14</v>
      </c>
      <c r="F297" s="3" t="str">
        <f>HYPERLINK("https://www.boe.es/gazeta/dias/1823/08/07/pdfs/GES-1823-120.pdf","Abrir PDF")</f>
        <v>Abrir PDF</v>
      </c>
    </row>
    <row r="298" spans="1:6" ht="30.95" customHeight="1">
      <c r="A298" s="7">
        <v>-27904</v>
      </c>
      <c r="B298" s="2" t="s">
        <v>1227</v>
      </c>
      <c r="C298" s="2" t="s">
        <v>22691</v>
      </c>
      <c r="D298" s="3">
        <v>6</v>
      </c>
      <c r="E298" s="3">
        <v>48</v>
      </c>
      <c r="F298" s="3" t="str">
        <f>HYPERLINK("https://www.boe.es/gazeta/dias/1823/08/07/pdfs/GMD-1823-543.pdf","Abrir PDF")</f>
        <v>Abrir PDF</v>
      </c>
    </row>
    <row r="299" spans="1:6" ht="30.95" customHeight="1">
      <c r="A299" s="7">
        <v>-27904</v>
      </c>
      <c r="B299" s="2" t="s">
        <v>14476</v>
      </c>
      <c r="C299" s="2" t="s">
        <v>22692</v>
      </c>
      <c r="D299" s="3">
        <v>1</v>
      </c>
      <c r="E299" s="3">
        <v>1</v>
      </c>
      <c r="F299" s="3" t="str">
        <f>HYPERLINK("https://www.boe.es/gazeta/dias/1823/08/07/pdfs/GMD-1823-553E.pdf","Abrir PDF")</f>
        <v>Abrir PDF</v>
      </c>
    </row>
    <row r="300" spans="1:6" ht="30.95" customHeight="1">
      <c r="A300" s="7">
        <v>-27903</v>
      </c>
      <c r="B300" s="2" t="s">
        <v>110</v>
      </c>
      <c r="C300" s="2" t="s">
        <v>22693</v>
      </c>
      <c r="D300" s="3">
        <v>4</v>
      </c>
      <c r="E300" s="3">
        <v>9</v>
      </c>
      <c r="F300" s="3" t="str">
        <f>HYPERLINK("https://www.boe.es/gazeta/dias/1823/08/08/pdfs/GES-1823-121.pdf","Abrir PDF")</f>
        <v>Abrir PDF</v>
      </c>
    </row>
    <row r="301" spans="1:6" ht="30.95" customHeight="1">
      <c r="A301" s="7">
        <v>-27902</v>
      </c>
      <c r="B301" s="2" t="s">
        <v>221</v>
      </c>
      <c r="C301" s="2" t="s">
        <v>22694</v>
      </c>
      <c r="D301" s="3">
        <v>4</v>
      </c>
      <c r="E301" s="3">
        <v>9</v>
      </c>
      <c r="F301" s="3" t="str">
        <f>HYPERLINK("https://www.boe.es/gazeta/dias/1823/08/09/pdfs/GES-1823-122.pdf","Abrir PDF")</f>
        <v>Abrir PDF</v>
      </c>
    </row>
    <row r="302" spans="1:6" ht="30.95" customHeight="1">
      <c r="A302" s="7">
        <v>-27902</v>
      </c>
      <c r="B302" s="2" t="s">
        <v>259</v>
      </c>
      <c r="C302" s="2" t="s">
        <v>22695</v>
      </c>
      <c r="D302" s="3">
        <v>4</v>
      </c>
      <c r="E302" s="3">
        <v>27</v>
      </c>
      <c r="F302" s="3" t="str">
        <f>HYPERLINK("https://www.boe.es/gazeta/dias/1823/08/09/pdfs/GMD-1823-563.pdf","Abrir PDF")</f>
        <v>Abrir PDF</v>
      </c>
    </row>
    <row r="303" spans="1:6" ht="30.95" customHeight="1">
      <c r="A303" s="7">
        <v>-27902</v>
      </c>
      <c r="B303" s="2" t="s">
        <v>22696</v>
      </c>
      <c r="C303" s="2" t="s">
        <v>22697</v>
      </c>
      <c r="D303" s="3">
        <v>1</v>
      </c>
      <c r="E303" s="3">
        <v>0</v>
      </c>
      <c r="F303" s="3" t="str">
        <f>HYPERLINK("https://www.boe.es/gazeta/dias/1823/08/09/pdfs/GMD-1823-573E.pdf","Abrir PDF")</f>
        <v>Abrir PDF</v>
      </c>
    </row>
    <row r="304" spans="1:6" ht="30.95" customHeight="1">
      <c r="A304" s="7">
        <v>-27901</v>
      </c>
      <c r="B304" s="2" t="s">
        <v>840</v>
      </c>
      <c r="C304" s="2" t="s">
        <v>22698</v>
      </c>
      <c r="D304" s="3">
        <v>4</v>
      </c>
      <c r="E304" s="3">
        <v>37</v>
      </c>
      <c r="F304" s="3" t="str">
        <f>HYPERLINK("https://www.boe.es/gazeta/dias/1823/08/10/pdfs/GES-1823-123.pdf","Abrir PDF")</f>
        <v>Abrir PDF</v>
      </c>
    </row>
    <row r="305" spans="1:6" ht="30.95" customHeight="1">
      <c r="A305" s="7">
        <v>-27900</v>
      </c>
      <c r="B305" s="2" t="s">
        <v>2714</v>
      </c>
      <c r="C305" s="2" t="s">
        <v>22699</v>
      </c>
      <c r="D305" s="3">
        <v>4</v>
      </c>
      <c r="E305" s="3">
        <v>5</v>
      </c>
      <c r="F305" s="3" t="str">
        <f>HYPERLINK("https://www.boe.es/gazeta/dias/1823/08/11/pdfs/GES-1823-124.pdf","Abrir PDF")</f>
        <v>Abrir PDF</v>
      </c>
    </row>
    <row r="306" spans="1:6" ht="30.95" customHeight="1">
      <c r="A306" s="7">
        <v>-27899</v>
      </c>
      <c r="B306" s="2" t="s">
        <v>2172</v>
      </c>
      <c r="C306" s="2" t="s">
        <v>22700</v>
      </c>
      <c r="D306" s="3">
        <v>4</v>
      </c>
      <c r="E306" s="3">
        <v>15</v>
      </c>
      <c r="F306" s="3" t="str">
        <f>HYPERLINK("https://www.boe.es/gazeta/dias/1823/08/12/pdfs/GES-1823-125.pdf","Abrir PDF")</f>
        <v>Abrir PDF</v>
      </c>
    </row>
    <row r="307" spans="1:6" ht="30.95" customHeight="1">
      <c r="A307" s="7">
        <v>-27899</v>
      </c>
      <c r="B307" s="2" t="s">
        <v>215</v>
      </c>
      <c r="C307" s="2" t="s">
        <v>22701</v>
      </c>
      <c r="D307" s="3">
        <v>6</v>
      </c>
      <c r="E307" s="3">
        <v>21</v>
      </c>
      <c r="F307" s="3" t="str">
        <f>HYPERLINK("https://www.boe.es/gazeta/dias/1823/08/12/pdfs/GMD-1823-583.pdf","Abrir PDF")</f>
        <v>Abrir PDF</v>
      </c>
    </row>
    <row r="308" spans="1:6" ht="30.95" customHeight="1">
      <c r="A308" s="7">
        <v>-27898</v>
      </c>
      <c r="B308" s="2" t="s">
        <v>5169</v>
      </c>
      <c r="C308" s="2" t="s">
        <v>22702</v>
      </c>
      <c r="D308" s="3">
        <v>4</v>
      </c>
      <c r="E308" s="3">
        <v>8</v>
      </c>
      <c r="F308" s="3" t="str">
        <f>HYPERLINK("https://www.boe.es/gazeta/dias/1823/08/13/pdfs/GES-1823-126.pdf","Abrir PDF")</f>
        <v>Abrir PDF</v>
      </c>
    </row>
    <row r="309" spans="1:6" ht="30.95" customHeight="1">
      <c r="A309" s="7">
        <v>-27897</v>
      </c>
      <c r="B309" s="2" t="s">
        <v>5962</v>
      </c>
      <c r="C309" s="2" t="s">
        <v>22703</v>
      </c>
      <c r="D309" s="3">
        <v>4</v>
      </c>
      <c r="E309" s="3">
        <v>7</v>
      </c>
      <c r="F309" s="3" t="str">
        <f>HYPERLINK("https://www.boe.es/gazeta/dias/1823/08/14/pdfs/GES-1823-127.pdf","Abrir PDF")</f>
        <v>Abrir PDF</v>
      </c>
    </row>
    <row r="310" spans="1:6" ht="30.95" customHeight="1">
      <c r="A310" s="7">
        <v>-27897</v>
      </c>
      <c r="B310" s="2" t="s">
        <v>1569</v>
      </c>
      <c r="C310" s="2" t="s">
        <v>22704</v>
      </c>
      <c r="D310" s="3">
        <v>4</v>
      </c>
      <c r="E310" s="3">
        <v>36</v>
      </c>
      <c r="F310" s="3" t="str">
        <f>HYPERLINK("https://www.boe.es/gazeta/dias/1823/08/14/pdfs/GMD-1823-593.pdf","Abrir PDF")</f>
        <v>Abrir PDF</v>
      </c>
    </row>
    <row r="311" spans="1:6" ht="30.95" customHeight="1">
      <c r="A311" s="7">
        <v>-27896</v>
      </c>
      <c r="B311" s="2" t="s">
        <v>4122</v>
      </c>
      <c r="C311" s="2" t="s">
        <v>22705</v>
      </c>
      <c r="D311" s="3">
        <v>4</v>
      </c>
      <c r="E311" s="3">
        <v>7</v>
      </c>
      <c r="F311" s="3" t="str">
        <f>HYPERLINK("https://www.boe.es/gazeta/dias/1823/08/15/pdfs/GES-1823-128.pdf","Abrir PDF")</f>
        <v>Abrir PDF</v>
      </c>
    </row>
    <row r="312" spans="1:6" ht="30.95" customHeight="1">
      <c r="A312" s="7">
        <v>-27895</v>
      </c>
      <c r="B312" s="2" t="s">
        <v>734</v>
      </c>
      <c r="C312" s="2" t="s">
        <v>22706</v>
      </c>
      <c r="D312" s="3">
        <v>4</v>
      </c>
      <c r="E312" s="3">
        <v>19</v>
      </c>
      <c r="F312" s="3" t="str">
        <f>HYPERLINK("https://www.boe.es/gazeta/dias/1823/08/16/pdfs/GES-1823-129.pdf","Abrir PDF")</f>
        <v>Abrir PDF</v>
      </c>
    </row>
    <row r="313" spans="1:6" ht="30.95" customHeight="1">
      <c r="A313" s="7">
        <v>-27895</v>
      </c>
      <c r="B313" s="2" t="s">
        <v>5642</v>
      </c>
      <c r="C313" s="2" t="s">
        <v>22707</v>
      </c>
      <c r="D313" s="3">
        <v>4</v>
      </c>
      <c r="E313" s="3">
        <v>22</v>
      </c>
      <c r="F313" s="3" t="str">
        <f>HYPERLINK("https://www.boe.es/gazeta/dias/1823/08/16/pdfs/GMD-1823-603.pdf","Abrir PDF")</f>
        <v>Abrir PDF</v>
      </c>
    </row>
    <row r="314" spans="1:6" ht="30.95" customHeight="1">
      <c r="A314" s="7">
        <v>-27894</v>
      </c>
      <c r="B314" s="2" t="s">
        <v>2013</v>
      </c>
      <c r="C314" s="2" t="s">
        <v>22708</v>
      </c>
      <c r="D314" s="3">
        <v>4</v>
      </c>
      <c r="E314" s="3">
        <v>11</v>
      </c>
      <c r="F314" s="3" t="str">
        <f>HYPERLINK("https://www.boe.es/gazeta/dias/1823/08/17/pdfs/GES-1823-130.pdf","Abrir PDF")</f>
        <v>Abrir PDF</v>
      </c>
    </row>
    <row r="315" spans="1:6" ht="30.95" customHeight="1">
      <c r="A315" s="7">
        <v>-27893</v>
      </c>
      <c r="B315" s="2" t="s">
        <v>1893</v>
      </c>
      <c r="C315" s="2" t="s">
        <v>22709</v>
      </c>
      <c r="D315" s="3">
        <v>4</v>
      </c>
      <c r="E315" s="3">
        <v>14</v>
      </c>
      <c r="F315" s="3" t="str">
        <f>HYPERLINK("https://www.boe.es/gazeta/dias/1823/08/18/pdfs/GES-1823-131.pdf","Abrir PDF")</f>
        <v>Abrir PDF</v>
      </c>
    </row>
    <row r="316" spans="1:6" ht="30.95" customHeight="1">
      <c r="A316" s="7">
        <v>-27892</v>
      </c>
      <c r="B316" s="2" t="s">
        <v>1229</v>
      </c>
      <c r="C316" s="2" t="s">
        <v>22710</v>
      </c>
      <c r="D316" s="3">
        <v>4</v>
      </c>
      <c r="E316" s="3">
        <v>8</v>
      </c>
      <c r="F316" s="3" t="str">
        <f>HYPERLINK("https://www.boe.es/gazeta/dias/1823/08/19/pdfs/GES-1823-132.pdf","Abrir PDF")</f>
        <v>Abrir PDF</v>
      </c>
    </row>
    <row r="317" spans="1:6" ht="30.95" customHeight="1">
      <c r="A317" s="7">
        <v>-27892</v>
      </c>
      <c r="B317" s="2" t="s">
        <v>1571</v>
      </c>
      <c r="C317" s="2" t="s">
        <v>22711</v>
      </c>
      <c r="D317" s="3">
        <v>4</v>
      </c>
      <c r="E317" s="3">
        <v>36</v>
      </c>
      <c r="F317" s="3" t="str">
        <f>HYPERLINK("https://www.boe.es/gazeta/dias/1823/08/19/pdfs/GMD-1823-613.pdf","Abrir PDF")</f>
        <v>Abrir PDF</v>
      </c>
    </row>
    <row r="318" spans="1:6" ht="30.95" customHeight="1">
      <c r="A318" s="7">
        <v>-27891</v>
      </c>
      <c r="B318" s="2" t="s">
        <v>825</v>
      </c>
      <c r="C318" s="2" t="s">
        <v>22712</v>
      </c>
      <c r="D318" s="3">
        <v>4</v>
      </c>
      <c r="E318" s="3">
        <v>36</v>
      </c>
      <c r="F318" s="3" t="str">
        <f>HYPERLINK("https://www.boe.es/gazeta/dias/1823/08/20/pdfs/GES-1823-133.pdf","Abrir PDF")</f>
        <v>Abrir PDF</v>
      </c>
    </row>
    <row r="319" spans="1:6" ht="30.95" customHeight="1">
      <c r="A319" s="7">
        <v>-27890</v>
      </c>
      <c r="B319" s="2" t="s">
        <v>8359</v>
      </c>
      <c r="C319" s="2" t="s">
        <v>22713</v>
      </c>
      <c r="D319" s="3">
        <v>4</v>
      </c>
      <c r="E319" s="3">
        <v>5</v>
      </c>
      <c r="F319" s="3" t="str">
        <f>HYPERLINK("https://www.boe.es/gazeta/dias/1823/08/21/pdfs/GES-1823-134.pdf","Abrir PDF")</f>
        <v>Abrir PDF</v>
      </c>
    </row>
    <row r="320" spans="1:6" ht="30.95" customHeight="1">
      <c r="A320" s="7">
        <v>-27890</v>
      </c>
      <c r="B320" s="2" t="s">
        <v>1573</v>
      </c>
      <c r="C320" s="2" t="s">
        <v>22714</v>
      </c>
      <c r="D320" s="3">
        <v>4</v>
      </c>
      <c r="E320" s="3">
        <v>25</v>
      </c>
      <c r="F320" s="3" t="str">
        <f>HYPERLINK("https://www.boe.es/gazeta/dias/1823/08/21/pdfs/GMD-1823-623.pdf","Abrir PDF")</f>
        <v>Abrir PDF</v>
      </c>
    </row>
    <row r="321" spans="1:6" ht="30.95" customHeight="1">
      <c r="A321" s="7">
        <v>-27889</v>
      </c>
      <c r="B321" s="2" t="s">
        <v>1306</v>
      </c>
      <c r="C321" s="2" t="s">
        <v>22715</v>
      </c>
      <c r="D321" s="3">
        <v>4</v>
      </c>
      <c r="E321" s="3">
        <v>25</v>
      </c>
      <c r="F321" s="3" t="str">
        <f>HYPERLINK("https://www.boe.es/gazeta/dias/1823/08/22/pdfs/GES-1823-135.pdf","Abrir PDF")</f>
        <v>Abrir PDF</v>
      </c>
    </row>
    <row r="322" spans="1:6" ht="30.95" customHeight="1">
      <c r="A322" s="7">
        <v>-27888</v>
      </c>
      <c r="B322" s="2" t="s">
        <v>1534</v>
      </c>
      <c r="C322" s="2" t="s">
        <v>22716</v>
      </c>
      <c r="D322" s="3">
        <v>4</v>
      </c>
      <c r="E322" s="3">
        <v>6</v>
      </c>
      <c r="F322" s="3" t="str">
        <f>HYPERLINK("https://www.boe.es/gazeta/dias/1823/08/23/pdfs/GES-1823-136.pdf","Abrir PDF")</f>
        <v>Abrir PDF</v>
      </c>
    </row>
    <row r="323" spans="1:6" ht="30.95" customHeight="1">
      <c r="A323" s="7">
        <v>-27888</v>
      </c>
      <c r="B323" s="2" t="s">
        <v>232</v>
      </c>
      <c r="C323" s="2" t="s">
        <v>22717</v>
      </c>
      <c r="D323" s="3">
        <v>6</v>
      </c>
      <c r="E323" s="3">
        <v>30</v>
      </c>
      <c r="F323" s="3" t="str">
        <f>HYPERLINK("https://www.boe.es/gazeta/dias/1823/08/23/pdfs/GMD-1823-633.pdf","Abrir PDF")</f>
        <v>Abrir PDF</v>
      </c>
    </row>
    <row r="324" spans="1:6" ht="30.95" customHeight="1">
      <c r="A324" s="7">
        <v>-27887</v>
      </c>
      <c r="B324" s="2" t="s">
        <v>1196</v>
      </c>
      <c r="C324" s="2" t="s">
        <v>22718</v>
      </c>
      <c r="D324" s="3">
        <v>4</v>
      </c>
      <c r="E324" s="3">
        <v>18</v>
      </c>
      <c r="F324" s="3" t="str">
        <f>HYPERLINK("https://www.boe.es/gazeta/dias/1823/08/24/pdfs/GES-1823-137.pdf","Abrir PDF")</f>
        <v>Abrir PDF</v>
      </c>
    </row>
    <row r="325" spans="1:6" ht="30.95" customHeight="1">
      <c r="A325" s="7">
        <v>-27886</v>
      </c>
      <c r="B325" s="2" t="s">
        <v>1779</v>
      </c>
      <c r="C325" s="2" t="s">
        <v>22719</v>
      </c>
      <c r="D325" s="3">
        <v>4</v>
      </c>
      <c r="E325" s="3">
        <v>4</v>
      </c>
      <c r="F325" s="3" t="str">
        <f>HYPERLINK("https://www.boe.es/gazeta/dias/1823/08/25/pdfs/GES-1823-138.pdf","Abrir PDF")</f>
        <v>Abrir PDF</v>
      </c>
    </row>
    <row r="326" spans="1:6" ht="30.95" customHeight="1">
      <c r="A326" s="7">
        <v>-27886</v>
      </c>
      <c r="B326" s="2" t="s">
        <v>2388</v>
      </c>
      <c r="C326" s="2" t="s">
        <v>22720</v>
      </c>
      <c r="D326" s="3">
        <v>1</v>
      </c>
      <c r="E326" s="3">
        <v>7</v>
      </c>
      <c r="F326" s="3" t="str">
        <f>HYPERLINK("https://www.boe.es/gazeta/dias/1823/08/25/pdfs/GMD-1823-643E.pdf","Abrir PDF")</f>
        <v>Abrir PDF</v>
      </c>
    </row>
    <row r="327" spans="1:6" ht="30.95" customHeight="1">
      <c r="A327" s="7">
        <v>-27885</v>
      </c>
      <c r="B327" s="2" t="s">
        <v>6503</v>
      </c>
      <c r="C327" s="2" t="s">
        <v>22721</v>
      </c>
      <c r="D327" s="3">
        <v>4</v>
      </c>
      <c r="E327" s="3">
        <v>8</v>
      </c>
      <c r="F327" s="3" t="str">
        <f>HYPERLINK("https://www.boe.es/gazeta/dias/1823/08/26/pdfs/GES-1823-139.pdf","Abrir PDF")</f>
        <v>Abrir PDF</v>
      </c>
    </row>
    <row r="328" spans="1:6" ht="30.95" customHeight="1">
      <c r="A328" s="7">
        <v>-27885</v>
      </c>
      <c r="B328" s="2" t="s">
        <v>65</v>
      </c>
      <c r="C328" s="2" t="s">
        <v>22722</v>
      </c>
      <c r="D328" s="3">
        <v>4</v>
      </c>
      <c r="E328" s="3">
        <v>11</v>
      </c>
      <c r="F328" s="3" t="str">
        <f>HYPERLINK("https://www.boe.es/gazeta/dias/1823/08/26/pdfs/GMD-1823-653.pdf","Abrir PDF")</f>
        <v>Abrir PDF</v>
      </c>
    </row>
    <row r="329" spans="1:6" ht="30.95" customHeight="1">
      <c r="A329" s="7">
        <v>-27884</v>
      </c>
      <c r="B329" s="2" t="s">
        <v>61</v>
      </c>
      <c r="C329" s="2" t="s">
        <v>22723</v>
      </c>
      <c r="D329" s="3">
        <v>4</v>
      </c>
      <c r="E329" s="3">
        <v>27</v>
      </c>
      <c r="F329" s="3" t="str">
        <f>HYPERLINK("https://www.boe.es/gazeta/dias/1823/08/27/pdfs/GES-1823-140.pdf","Abrir PDF")</f>
        <v>Abrir PDF</v>
      </c>
    </row>
    <row r="330" spans="1:6" ht="30.95" customHeight="1">
      <c r="A330" s="7">
        <v>-27883</v>
      </c>
      <c r="B330" s="2" t="s">
        <v>2838</v>
      </c>
      <c r="C330" s="2" t="s">
        <v>22724</v>
      </c>
      <c r="D330" s="3">
        <v>4</v>
      </c>
      <c r="E330" s="3">
        <v>11</v>
      </c>
      <c r="F330" s="3" t="str">
        <f>HYPERLINK("https://www.boe.es/gazeta/dias/1823/08/28/pdfs/GES-1823-141.pdf","Abrir PDF")</f>
        <v>Abrir PDF</v>
      </c>
    </row>
    <row r="331" spans="1:6" ht="30.95" customHeight="1">
      <c r="A331" s="7">
        <v>-27883</v>
      </c>
      <c r="B331" s="2" t="s">
        <v>2318</v>
      </c>
      <c r="C331" s="2" t="s">
        <v>22725</v>
      </c>
      <c r="D331" s="3">
        <v>4</v>
      </c>
      <c r="E331" s="3">
        <v>21</v>
      </c>
      <c r="F331" s="3" t="str">
        <f>HYPERLINK("https://www.boe.es/gazeta/dias/1823/08/28/pdfs/GMD-1823-663.pdf","Abrir PDF")</f>
        <v>Abrir PDF</v>
      </c>
    </row>
    <row r="332" spans="1:6" ht="30.95" customHeight="1">
      <c r="A332" s="7">
        <v>-27882</v>
      </c>
      <c r="B332" s="2" t="s">
        <v>5179</v>
      </c>
      <c r="C332" s="2" t="s">
        <v>22726</v>
      </c>
      <c r="D332" s="3">
        <v>4</v>
      </c>
      <c r="E332" s="3">
        <v>6</v>
      </c>
      <c r="F332" s="3" t="str">
        <f>HYPERLINK("https://www.boe.es/gazeta/dias/1823/08/29/pdfs/GES-1823-142.pdf","Abrir PDF")</f>
        <v>Abrir PDF</v>
      </c>
    </row>
    <row r="333" spans="1:6" ht="30.95" customHeight="1">
      <c r="A333" s="7">
        <v>-27881</v>
      </c>
      <c r="B333" s="2" t="s">
        <v>485</v>
      </c>
      <c r="C333" s="2" t="s">
        <v>22727</v>
      </c>
      <c r="D333" s="3">
        <v>4</v>
      </c>
      <c r="E333" s="3">
        <v>17</v>
      </c>
      <c r="F333" s="3" t="str">
        <f>HYPERLINK("https://www.boe.es/gazeta/dias/1823/08/30/pdfs/GES-1823-143.pdf","Abrir PDF")</f>
        <v>Abrir PDF</v>
      </c>
    </row>
    <row r="334" spans="1:6" ht="30.95" customHeight="1">
      <c r="A334" s="7">
        <v>-27881</v>
      </c>
      <c r="B334" s="2" t="s">
        <v>725</v>
      </c>
      <c r="C334" s="2" t="s">
        <v>22728</v>
      </c>
      <c r="D334" s="3">
        <v>4</v>
      </c>
      <c r="E334" s="3">
        <v>30</v>
      </c>
      <c r="F334" s="3" t="str">
        <f>HYPERLINK("https://www.boe.es/gazeta/dias/1823/08/30/pdfs/GMD-1823-673.pdf","Abrir PDF")</f>
        <v>Abrir PDF</v>
      </c>
    </row>
    <row r="335" spans="1:6" ht="30.95" customHeight="1">
      <c r="A335" s="7">
        <v>-27880</v>
      </c>
      <c r="B335" s="2" t="s">
        <v>6307</v>
      </c>
      <c r="C335" s="2" t="s">
        <v>22729</v>
      </c>
      <c r="D335" s="3">
        <v>4</v>
      </c>
      <c r="E335" s="3">
        <v>6</v>
      </c>
      <c r="F335" s="3" t="str">
        <f>HYPERLINK("https://www.boe.es/gazeta/dias/1823/08/31/pdfs/GES-1823-144.pdf","Abrir PDF")</f>
        <v>Abrir PDF</v>
      </c>
    </row>
    <row r="336" spans="1:6" ht="30.95" customHeight="1">
      <c r="A336" s="7">
        <v>-27879</v>
      </c>
      <c r="B336" s="2" t="s">
        <v>638</v>
      </c>
      <c r="C336" s="2" t="s">
        <v>22730</v>
      </c>
      <c r="D336" s="3">
        <v>4</v>
      </c>
      <c r="E336" s="3">
        <v>49</v>
      </c>
      <c r="F336" s="3" t="str">
        <f>HYPERLINK("https://www.boe.es/gazeta/dias/1823/09/01/pdfs/GES-1823-145.pdf","Abrir PDF")</f>
        <v>Abrir PDF</v>
      </c>
    </row>
    <row r="337" spans="1:6" ht="30.95" customHeight="1">
      <c r="A337" s="7">
        <v>-27878</v>
      </c>
      <c r="B337" s="2" t="s">
        <v>130</v>
      </c>
      <c r="C337" s="2" t="s">
        <v>22731</v>
      </c>
      <c r="D337" s="3">
        <v>4</v>
      </c>
      <c r="E337" s="3">
        <v>20</v>
      </c>
      <c r="F337" s="3" t="str">
        <f>HYPERLINK("https://www.boe.es/gazeta/dias/1823/09/02/pdfs/GES-1823-146.pdf","Abrir PDF")</f>
        <v>Abrir PDF</v>
      </c>
    </row>
    <row r="338" spans="1:6" ht="30.95" customHeight="1">
      <c r="A338" s="7">
        <v>-27878</v>
      </c>
      <c r="B338" s="2" t="s">
        <v>1581</v>
      </c>
      <c r="C338" s="2" t="s">
        <v>22732</v>
      </c>
      <c r="D338" s="3">
        <v>6</v>
      </c>
      <c r="E338" s="3">
        <v>51</v>
      </c>
      <c r="F338" s="3" t="str">
        <f>HYPERLINK("https://www.boe.es/gazeta/dias/1823/09/02/pdfs/GMD-1823-683.pdf","Abrir PDF")</f>
        <v>Abrir PDF</v>
      </c>
    </row>
    <row r="339" spans="1:6" ht="30.95" customHeight="1">
      <c r="A339" s="7">
        <v>-27877</v>
      </c>
      <c r="B339" s="2" t="s">
        <v>844</v>
      </c>
      <c r="C339" s="2" t="s">
        <v>22733</v>
      </c>
      <c r="D339" s="3">
        <v>4</v>
      </c>
      <c r="E339" s="3">
        <v>32</v>
      </c>
      <c r="F339" s="3" t="str">
        <f>HYPERLINK("https://www.boe.es/gazeta/dias/1823/09/03/pdfs/GES-1823-147.pdf","Abrir PDF")</f>
        <v>Abrir PDF</v>
      </c>
    </row>
    <row r="340" spans="1:6" ht="30.95" customHeight="1">
      <c r="A340" s="7">
        <v>-27876</v>
      </c>
      <c r="B340" s="2" t="s">
        <v>4848</v>
      </c>
      <c r="C340" s="2" t="s">
        <v>22734</v>
      </c>
      <c r="D340" s="3">
        <v>4</v>
      </c>
      <c r="E340" s="3">
        <v>3</v>
      </c>
      <c r="F340" s="3" t="str">
        <f>HYPERLINK("https://www.boe.es/gazeta/dias/1823/09/04/pdfs/GES-1823-148.pdf","Abrir PDF")</f>
        <v>Abrir PDF</v>
      </c>
    </row>
    <row r="341" spans="1:6" ht="30.95" customHeight="1">
      <c r="A341" s="7">
        <v>-27876</v>
      </c>
      <c r="B341" s="2" t="s">
        <v>8384</v>
      </c>
      <c r="C341" s="2" t="s">
        <v>22735</v>
      </c>
      <c r="D341" s="3">
        <v>4</v>
      </c>
      <c r="E341" s="3">
        <v>8</v>
      </c>
      <c r="F341" s="3" t="str">
        <f>HYPERLINK("https://www.boe.es/gazeta/dias/1823/09/04/pdfs/GMD-1823-693.pdf","Abrir PDF")</f>
        <v>Abrir PDF</v>
      </c>
    </row>
    <row r="342" spans="1:6" ht="30.95" customHeight="1">
      <c r="A342" s="7">
        <v>-27876</v>
      </c>
      <c r="B342" s="2" t="s">
        <v>22736</v>
      </c>
      <c r="C342" s="2" t="s">
        <v>22737</v>
      </c>
      <c r="D342" s="3">
        <v>1</v>
      </c>
      <c r="E342" s="3">
        <v>0</v>
      </c>
      <c r="F342" s="3" t="str">
        <f>HYPERLINK("https://www.boe.es/gazeta/dias/1823/09/04/pdfs/GMD-1823-703E.pdf","Abrir PDF")</f>
        <v>Abrir PDF</v>
      </c>
    </row>
    <row r="343" spans="1:6" ht="30.95" customHeight="1">
      <c r="A343" s="7">
        <v>-27875</v>
      </c>
      <c r="B343" s="2" t="s">
        <v>1858</v>
      </c>
      <c r="C343" s="2" t="s">
        <v>22738</v>
      </c>
      <c r="D343" s="3">
        <v>4</v>
      </c>
      <c r="E343" s="3">
        <v>19</v>
      </c>
      <c r="F343" s="3" t="str">
        <f>HYPERLINK("https://www.boe.es/gazeta/dias/1823/09/05/pdfs/GES-1823-149.pdf","Abrir PDF")</f>
        <v>Abrir PDF</v>
      </c>
    </row>
    <row r="344" spans="1:6" ht="30.95" customHeight="1">
      <c r="A344" s="7">
        <v>-27874</v>
      </c>
      <c r="B344" s="2" t="s">
        <v>1410</v>
      </c>
      <c r="C344" s="2" t="s">
        <v>22739</v>
      </c>
      <c r="D344" s="3">
        <v>4</v>
      </c>
      <c r="E344" s="3">
        <v>32</v>
      </c>
      <c r="F344" s="3" t="str">
        <f>HYPERLINK("https://www.boe.es/gazeta/dias/1823/09/06/pdfs/GES-1823-150.pdf","Abrir PDF")</f>
        <v>Abrir PDF</v>
      </c>
    </row>
    <row r="345" spans="1:6" ht="30.95" customHeight="1">
      <c r="A345" s="7">
        <v>-27874</v>
      </c>
      <c r="B345" s="2" t="s">
        <v>122</v>
      </c>
      <c r="C345" s="2" t="s">
        <v>22740</v>
      </c>
      <c r="D345" s="3">
        <v>4</v>
      </c>
      <c r="E345" s="3">
        <v>15</v>
      </c>
      <c r="F345" s="3" t="str">
        <f>HYPERLINK("https://www.boe.es/gazeta/dias/1823/09/06/pdfs/GMD-1823-713.pdf","Abrir PDF")</f>
        <v>Abrir PDF</v>
      </c>
    </row>
    <row r="346" spans="1:6" ht="30.95" customHeight="1">
      <c r="A346" s="7">
        <v>-27873</v>
      </c>
      <c r="B346" s="2" t="s">
        <v>160</v>
      </c>
      <c r="C346" s="2" t="s">
        <v>22741</v>
      </c>
      <c r="D346" s="3">
        <v>4</v>
      </c>
      <c r="E346" s="3">
        <v>32</v>
      </c>
      <c r="F346" s="3" t="str">
        <f>HYPERLINK("https://www.boe.es/gazeta/dias/1823/09/07/pdfs/GES-1823-151.pdf","Abrir PDF")</f>
        <v>Abrir PDF</v>
      </c>
    </row>
    <row r="347" spans="1:6" ht="30.95" customHeight="1">
      <c r="A347" s="7">
        <v>-27873</v>
      </c>
      <c r="B347" s="2" t="s">
        <v>1668</v>
      </c>
      <c r="C347" s="2" t="s">
        <v>22742</v>
      </c>
      <c r="D347" s="3">
        <v>2</v>
      </c>
      <c r="E347" s="3">
        <v>22</v>
      </c>
      <c r="F347" s="3" t="str">
        <f>HYPERLINK("https://www.boe.es/gazeta/dias/1823/09/07/pdfs/GMD-1823-72E.pdf","Abrir PDF")</f>
        <v>Abrir PDF</v>
      </c>
    </row>
    <row r="348" spans="1:6" ht="30.95" customHeight="1">
      <c r="A348" s="7">
        <v>-27872</v>
      </c>
      <c r="B348" s="2" t="s">
        <v>374</v>
      </c>
      <c r="C348" s="2" t="s">
        <v>22743</v>
      </c>
      <c r="D348" s="3">
        <v>4</v>
      </c>
      <c r="E348" s="3">
        <v>18</v>
      </c>
      <c r="F348" s="3" t="str">
        <f>HYPERLINK("https://www.boe.es/gazeta/dias/1823/09/08/pdfs/GES-1823-152.pdf","Abrir PDF")</f>
        <v>Abrir PDF</v>
      </c>
    </row>
    <row r="349" spans="1:6" ht="30.95" customHeight="1">
      <c r="A349" s="7">
        <v>-27871</v>
      </c>
      <c r="B349" s="2" t="s">
        <v>782</v>
      </c>
      <c r="C349" s="2" t="s">
        <v>22744</v>
      </c>
      <c r="D349" s="3">
        <v>4</v>
      </c>
      <c r="E349" s="3">
        <v>14</v>
      </c>
      <c r="F349" s="3" t="str">
        <f>HYPERLINK("https://www.boe.es/gazeta/dias/1823/09/09/pdfs/GES-1823-153.pdf","Abrir PDF")</f>
        <v>Abrir PDF</v>
      </c>
    </row>
    <row r="350" spans="1:6" ht="30.95" customHeight="1">
      <c r="A350" s="7">
        <v>-27871</v>
      </c>
      <c r="B350" s="2" t="s">
        <v>1330</v>
      </c>
      <c r="C350" s="2" t="s">
        <v>22745</v>
      </c>
      <c r="D350" s="3">
        <v>4</v>
      </c>
      <c r="E350" s="3">
        <v>14</v>
      </c>
      <c r="F350" s="3" t="str">
        <f>HYPERLINK("https://www.boe.es/gazeta/dias/1823/09/09/pdfs/GMD-1823-733.pdf","Abrir PDF")</f>
        <v>Abrir PDF</v>
      </c>
    </row>
    <row r="351" spans="1:6" ht="30.95" customHeight="1">
      <c r="A351" s="7">
        <v>-27871</v>
      </c>
      <c r="B351" s="2" t="s">
        <v>7080</v>
      </c>
      <c r="C351" s="2" t="s">
        <v>22746</v>
      </c>
      <c r="D351" s="3">
        <v>2</v>
      </c>
      <c r="E351" s="3">
        <v>1</v>
      </c>
      <c r="F351" s="3" t="str">
        <f>HYPERLINK("https://www.boe.es/gazeta/dias/1823/09/09/pdfs/GMD-1823-743E.pdf","Abrir PDF")</f>
        <v>Abrir PDF</v>
      </c>
    </row>
    <row r="352" spans="1:6" ht="30.95" customHeight="1">
      <c r="A352" s="7">
        <v>-27870</v>
      </c>
      <c r="B352" s="2" t="s">
        <v>376</v>
      </c>
      <c r="C352" s="2" t="s">
        <v>22747</v>
      </c>
      <c r="D352" s="3">
        <v>4</v>
      </c>
      <c r="E352" s="3">
        <v>21</v>
      </c>
      <c r="F352" s="3" t="str">
        <f>HYPERLINK("https://www.boe.es/gazeta/dias/1823/09/10/pdfs/GES-1823-154.pdf","Abrir PDF")</f>
        <v>Abrir PDF</v>
      </c>
    </row>
    <row r="353" spans="1:6" ht="30.95" customHeight="1">
      <c r="A353" s="7">
        <v>-27869</v>
      </c>
      <c r="B353" s="2" t="s">
        <v>1886</v>
      </c>
      <c r="C353" s="2" t="s">
        <v>22748</v>
      </c>
      <c r="D353" s="3">
        <v>4</v>
      </c>
      <c r="E353" s="3">
        <v>7</v>
      </c>
      <c r="F353" s="3" t="str">
        <f>HYPERLINK("https://www.boe.es/gazeta/dias/1823/09/11/pdfs/GES-1823-155.pdf","Abrir PDF")</f>
        <v>Abrir PDF</v>
      </c>
    </row>
    <row r="354" spans="1:6" ht="30.95" customHeight="1">
      <c r="A354" s="7">
        <v>-27869</v>
      </c>
      <c r="B354" s="2" t="s">
        <v>520</v>
      </c>
      <c r="C354" s="2" t="s">
        <v>22749</v>
      </c>
      <c r="D354" s="3">
        <v>4</v>
      </c>
      <c r="E354" s="3">
        <v>14</v>
      </c>
      <c r="F354" s="3" t="str">
        <f>HYPERLINK("https://www.boe.es/gazeta/dias/1823/09/11/pdfs/GMD-1823-753.pdf","Abrir PDF")</f>
        <v>Abrir PDF</v>
      </c>
    </row>
    <row r="355" spans="1:6" ht="30.95" customHeight="1">
      <c r="A355" s="7">
        <v>-27869</v>
      </c>
      <c r="B355" s="2" t="s">
        <v>2363</v>
      </c>
      <c r="C355" s="2" t="s">
        <v>22750</v>
      </c>
      <c r="D355" s="3">
        <v>1</v>
      </c>
      <c r="E355" s="3">
        <v>14</v>
      </c>
      <c r="F355" s="3" t="str">
        <f>HYPERLINK("https://www.boe.es/gazeta/dias/1823/09/11/pdfs/GMD-1823-763E.pdf","Abrir PDF")</f>
        <v>Abrir PDF</v>
      </c>
    </row>
    <row r="356" spans="1:6" ht="30.95" customHeight="1">
      <c r="A356" s="7">
        <v>-27868</v>
      </c>
      <c r="B356" s="2" t="s">
        <v>2166</v>
      </c>
      <c r="C356" s="2" t="s">
        <v>22751</v>
      </c>
      <c r="D356" s="3">
        <v>4</v>
      </c>
      <c r="E356" s="3">
        <v>19</v>
      </c>
      <c r="F356" s="3" t="str">
        <f>HYPERLINK("https://www.boe.es/gazeta/dias/1823/09/12/pdfs/GES-1823-156.pdf","Abrir PDF")</f>
        <v>Abrir PDF</v>
      </c>
    </row>
    <row r="357" spans="1:6" ht="30.95" customHeight="1">
      <c r="A357" s="7">
        <v>-27867</v>
      </c>
      <c r="B357" s="2" t="s">
        <v>569</v>
      </c>
      <c r="C357" s="2" t="s">
        <v>22752</v>
      </c>
      <c r="D357" s="3">
        <v>4</v>
      </c>
      <c r="E357" s="3">
        <v>9</v>
      </c>
      <c r="F357" s="3" t="str">
        <f>HYPERLINK("https://www.boe.es/gazeta/dias/1823/09/13/pdfs/GES-1823-157.pdf","Abrir PDF")</f>
        <v>Abrir PDF</v>
      </c>
    </row>
    <row r="358" spans="1:6" ht="30.95" customHeight="1">
      <c r="A358" s="7">
        <v>-27867</v>
      </c>
      <c r="B358" s="2" t="s">
        <v>1585</v>
      </c>
      <c r="C358" s="2" t="s">
        <v>22753</v>
      </c>
      <c r="D358" s="3">
        <v>4</v>
      </c>
      <c r="E358" s="3">
        <v>22</v>
      </c>
      <c r="F358" s="3" t="str">
        <f>HYPERLINK("https://www.boe.es/gazeta/dias/1823/09/13/pdfs/GMD-1823-773.pdf","Abrir PDF")</f>
        <v>Abrir PDF</v>
      </c>
    </row>
    <row r="359" spans="1:6" ht="30.95" customHeight="1">
      <c r="A359" s="7">
        <v>-27866</v>
      </c>
      <c r="B359" s="2" t="s">
        <v>1262</v>
      </c>
      <c r="C359" s="2" t="s">
        <v>22754</v>
      </c>
      <c r="D359" s="3">
        <v>4</v>
      </c>
      <c r="E359" s="3">
        <v>9</v>
      </c>
      <c r="F359" s="3" t="str">
        <f>HYPERLINK("https://www.boe.es/gazeta/dias/1823/09/14/pdfs/GES-1823-158.pdf","Abrir PDF")</f>
        <v>Abrir PDF</v>
      </c>
    </row>
    <row r="360" spans="1:6" ht="30.95" customHeight="1">
      <c r="A360" s="7">
        <v>-27865</v>
      </c>
      <c r="B360" s="2" t="s">
        <v>9815</v>
      </c>
      <c r="C360" s="2" t="s">
        <v>22755</v>
      </c>
      <c r="D360" s="3">
        <v>4</v>
      </c>
      <c r="E360" s="3">
        <v>10</v>
      </c>
      <c r="F360" s="3" t="str">
        <f>HYPERLINK("https://www.boe.es/gazeta/dias/1823/09/15/pdfs/GES-1823-159.pdf","Abrir PDF")</f>
        <v>Abrir PDF</v>
      </c>
    </row>
    <row r="361" spans="1:6" ht="30.95" customHeight="1">
      <c r="A361" s="7">
        <v>-27864</v>
      </c>
      <c r="B361" s="2" t="s">
        <v>1301</v>
      </c>
      <c r="C361" s="2" t="s">
        <v>22756</v>
      </c>
      <c r="D361" s="3">
        <v>4</v>
      </c>
      <c r="E361" s="3">
        <v>29</v>
      </c>
      <c r="F361" s="3" t="str">
        <f>HYPERLINK("https://www.boe.es/gazeta/dias/1823/09/16/pdfs/GES-1823-160.pdf","Abrir PDF")</f>
        <v>Abrir PDF</v>
      </c>
    </row>
    <row r="362" spans="1:6" ht="30.95" customHeight="1">
      <c r="A362" s="7">
        <v>-27864</v>
      </c>
      <c r="B362" s="2" t="s">
        <v>395</v>
      </c>
      <c r="C362" s="2" t="s">
        <v>22757</v>
      </c>
      <c r="D362" s="3">
        <v>4</v>
      </c>
      <c r="E362" s="3">
        <v>31</v>
      </c>
      <c r="F362" s="3" t="str">
        <f>HYPERLINK("https://www.boe.es/gazeta/dias/1823/09/16/pdfs/GMD-1823-783.pdf","Abrir PDF")</f>
        <v>Abrir PDF</v>
      </c>
    </row>
    <row r="363" spans="1:6" ht="30.95" customHeight="1">
      <c r="A363" s="7">
        <v>-27863</v>
      </c>
      <c r="B363" s="2" t="s">
        <v>651</v>
      </c>
      <c r="C363" s="2" t="s">
        <v>22758</v>
      </c>
      <c r="D363" s="3">
        <v>4</v>
      </c>
      <c r="E363" s="3">
        <v>26</v>
      </c>
      <c r="F363" s="3" t="str">
        <f>HYPERLINK("https://www.boe.es/gazeta/dias/1823/09/17/pdfs/GES-1823-161.pdf","Abrir PDF")</f>
        <v>Abrir PDF</v>
      </c>
    </row>
    <row r="364" spans="1:6" ht="30.95" customHeight="1">
      <c r="A364" s="7">
        <v>-27863</v>
      </c>
      <c r="B364" s="2" t="s">
        <v>19339</v>
      </c>
      <c r="C364" s="2" t="s">
        <v>22759</v>
      </c>
      <c r="D364" s="3">
        <v>1</v>
      </c>
      <c r="E364" s="3">
        <v>1</v>
      </c>
      <c r="F364" s="3" t="str">
        <f>HYPERLINK("https://www.boe.es/gazeta/dias/1823/09/17/pdfs/GMD-1823-793E.pdf","Abrir PDF")</f>
        <v>Abrir PDF</v>
      </c>
    </row>
    <row r="365" spans="1:6" ht="30.95" customHeight="1">
      <c r="A365" s="7">
        <v>-27862</v>
      </c>
      <c r="B365" s="2" t="s">
        <v>5328</v>
      </c>
      <c r="C365" s="2" t="s">
        <v>22760</v>
      </c>
      <c r="D365" s="3">
        <v>4</v>
      </c>
      <c r="E365" s="3">
        <v>7</v>
      </c>
      <c r="F365" s="3" t="str">
        <f>HYPERLINK("https://www.boe.es/gazeta/dias/1823/09/18/pdfs/GES-1823-162.pdf","Abrir PDF")</f>
        <v>Abrir PDF</v>
      </c>
    </row>
    <row r="366" spans="1:6" ht="30.95" customHeight="1">
      <c r="A366" s="7">
        <v>-27862</v>
      </c>
      <c r="B366" s="2" t="s">
        <v>1530</v>
      </c>
      <c r="C366" s="2" t="s">
        <v>22761</v>
      </c>
      <c r="D366" s="3">
        <v>4</v>
      </c>
      <c r="E366" s="3">
        <v>23</v>
      </c>
      <c r="F366" s="3" t="str">
        <f>HYPERLINK("https://www.boe.es/gazeta/dias/1823/09/18/pdfs/GMD-1823-803.pdf","Abrir PDF")</f>
        <v>Abrir PDF</v>
      </c>
    </row>
    <row r="367" spans="1:6" ht="30.95" customHeight="1">
      <c r="A367" s="7">
        <v>-27861</v>
      </c>
      <c r="B367" s="2" t="s">
        <v>425</v>
      </c>
      <c r="C367" s="2" t="s">
        <v>22762</v>
      </c>
      <c r="D367" s="3">
        <v>4</v>
      </c>
      <c r="E367" s="3">
        <v>36</v>
      </c>
      <c r="F367" s="3" t="str">
        <f>HYPERLINK("https://www.boe.es/gazeta/dias/1823/09/19/pdfs/GES-1823-163.pdf","Abrir PDF")</f>
        <v>Abrir PDF</v>
      </c>
    </row>
    <row r="368" spans="1:6" ht="30.95" customHeight="1">
      <c r="A368" s="7">
        <v>-27860</v>
      </c>
      <c r="B368" s="2" t="s">
        <v>744</v>
      </c>
      <c r="C368" s="2" t="s">
        <v>22763</v>
      </c>
      <c r="D368" s="3">
        <v>4</v>
      </c>
      <c r="E368" s="3">
        <v>14</v>
      </c>
      <c r="F368" s="3" t="str">
        <f>HYPERLINK("https://www.boe.es/gazeta/dias/1823/09/20/pdfs/GES-1823-164.pdf","Abrir PDF")</f>
        <v>Abrir PDF</v>
      </c>
    </row>
    <row r="369" spans="1:6" ht="30.95" customHeight="1">
      <c r="A369" s="7">
        <v>-27860</v>
      </c>
      <c r="B369" s="2" t="s">
        <v>998</v>
      </c>
      <c r="C369" s="2" t="s">
        <v>22764</v>
      </c>
      <c r="D369" s="3">
        <v>8</v>
      </c>
      <c r="E369" s="3">
        <v>38</v>
      </c>
      <c r="F369" s="3" t="str">
        <f>HYPERLINK("https://www.boe.es/gazeta/dias/1823/09/20/pdfs/GMD-1823-813.pdf","Abrir PDF")</f>
        <v>Abrir PDF</v>
      </c>
    </row>
    <row r="370" spans="1:6" ht="30.95" customHeight="1">
      <c r="A370" s="7">
        <v>-27860</v>
      </c>
      <c r="B370" s="2" t="s">
        <v>4855</v>
      </c>
      <c r="C370" s="2" t="s">
        <v>22765</v>
      </c>
      <c r="D370" s="3">
        <v>1</v>
      </c>
      <c r="E370" s="3">
        <v>5</v>
      </c>
      <c r="F370" s="3" t="str">
        <f>HYPERLINK("https://www.boe.es/gazeta/dias/1823/09/20/pdfs/GMD-1823-823E.pdf","Abrir PDF")</f>
        <v>Abrir PDF</v>
      </c>
    </row>
    <row r="371" spans="1:6" ht="30.95" customHeight="1">
      <c r="A371" s="7">
        <v>-27859</v>
      </c>
      <c r="B371" s="2" t="s">
        <v>2722</v>
      </c>
      <c r="C371" s="2" t="s">
        <v>22766</v>
      </c>
      <c r="D371" s="3">
        <v>4</v>
      </c>
      <c r="E371" s="3">
        <v>6</v>
      </c>
      <c r="F371" s="3" t="str">
        <f>HYPERLINK("https://www.boe.es/gazeta/dias/1823/09/21/pdfs/GES-1823-165.pdf","Abrir PDF")</f>
        <v>Abrir PDF</v>
      </c>
    </row>
    <row r="372" spans="1:6" ht="30.95" customHeight="1">
      <c r="A372" s="7">
        <v>-27858</v>
      </c>
      <c r="B372" s="2" t="s">
        <v>4263</v>
      </c>
      <c r="C372" s="2" t="s">
        <v>22767</v>
      </c>
      <c r="D372" s="3">
        <v>4</v>
      </c>
      <c r="E372" s="3">
        <v>4</v>
      </c>
      <c r="F372" s="3" t="str">
        <f>HYPERLINK("https://www.boe.es/gazeta/dias/1823/09/22/pdfs/GES-1823-166.pdf","Abrir PDF")</f>
        <v>Abrir PDF</v>
      </c>
    </row>
    <row r="373" spans="1:6" ht="30.95" customHeight="1">
      <c r="A373" s="7">
        <v>-27857</v>
      </c>
      <c r="B373" s="2" t="s">
        <v>4857</v>
      </c>
      <c r="C373" s="2" t="s">
        <v>22768</v>
      </c>
      <c r="D373" s="3">
        <v>4</v>
      </c>
      <c r="E373" s="3">
        <v>5</v>
      </c>
      <c r="F373" s="3" t="str">
        <f>HYPERLINK("https://www.boe.es/gazeta/dias/1823/09/23/pdfs/GES-1823-167.pdf","Abrir PDF")</f>
        <v>Abrir PDF</v>
      </c>
    </row>
    <row r="374" spans="1:6" ht="30.95" customHeight="1">
      <c r="A374" s="7">
        <v>-27857</v>
      </c>
      <c r="B374" s="2" t="s">
        <v>378</v>
      </c>
      <c r="C374" s="2" t="s">
        <v>22769</v>
      </c>
      <c r="D374" s="3">
        <v>6</v>
      </c>
      <c r="E374" s="3">
        <v>38</v>
      </c>
      <c r="F374" s="3" t="str">
        <f>HYPERLINK("https://www.boe.es/gazeta/dias/1823/09/23/pdfs/GMD-1823-833.pdf","Abrir PDF")</f>
        <v>Abrir PDF</v>
      </c>
    </row>
    <row r="375" spans="1:6" ht="30.95" customHeight="1">
      <c r="A375" s="7">
        <v>-27857</v>
      </c>
      <c r="B375" s="2" t="s">
        <v>118</v>
      </c>
      <c r="C375" s="2" t="s">
        <v>22770</v>
      </c>
      <c r="D375" s="3">
        <v>1</v>
      </c>
      <c r="E375" s="3">
        <v>5</v>
      </c>
      <c r="F375" s="3" t="str">
        <f>HYPERLINK("https://www.boe.es/gazeta/dias/1823/09/23/pdfs/GMD-1823-843E.pdf","Abrir PDF")</f>
        <v>Abrir PDF</v>
      </c>
    </row>
    <row r="376" spans="1:6" ht="30.95" customHeight="1">
      <c r="A376" s="7">
        <v>-27856</v>
      </c>
      <c r="B376" s="2" t="s">
        <v>4859</v>
      </c>
      <c r="C376" s="2" t="s">
        <v>22771</v>
      </c>
      <c r="D376" s="3">
        <v>4</v>
      </c>
      <c r="E376" s="3">
        <v>6</v>
      </c>
      <c r="F376" s="3" t="str">
        <f>HYPERLINK("https://www.boe.es/gazeta/dias/1823/09/24/pdfs/GES-1823-168.pdf","Abrir PDF")</f>
        <v>Abrir PDF</v>
      </c>
    </row>
    <row r="377" spans="1:6" ht="30.95" customHeight="1">
      <c r="A377" s="7">
        <v>-27855</v>
      </c>
      <c r="B377" s="2" t="s">
        <v>679</v>
      </c>
      <c r="C377" s="2" t="s">
        <v>22772</v>
      </c>
      <c r="D377" s="3">
        <v>4</v>
      </c>
      <c r="E377" s="3">
        <v>3</v>
      </c>
      <c r="F377" s="3" t="str">
        <f>HYPERLINK("https://www.boe.es/gazeta/dias/1823/09/25/pdfs/GES-1823-169.pdf","Abrir PDF")</f>
        <v>Abrir PDF</v>
      </c>
    </row>
    <row r="378" spans="1:6" ht="30.95" customHeight="1">
      <c r="A378" s="7">
        <v>-27855</v>
      </c>
      <c r="B378" s="2" t="s">
        <v>380</v>
      </c>
      <c r="C378" s="2" t="s">
        <v>22773</v>
      </c>
      <c r="D378" s="3">
        <v>4</v>
      </c>
      <c r="E378" s="3">
        <v>21</v>
      </c>
      <c r="F378" s="3" t="str">
        <f>HYPERLINK("https://www.boe.es/gazeta/dias/1823/09/25/pdfs/GMD-1823-853.pdf","Abrir PDF")</f>
        <v>Abrir PDF</v>
      </c>
    </row>
    <row r="379" spans="1:6" ht="30.95" customHeight="1">
      <c r="A379" s="7">
        <v>-27854</v>
      </c>
      <c r="B379" s="2" t="s">
        <v>933</v>
      </c>
      <c r="C379" s="2" t="s">
        <v>22774</v>
      </c>
      <c r="D379" s="3">
        <v>4</v>
      </c>
      <c r="E379" s="3">
        <v>6</v>
      </c>
      <c r="F379" s="3" t="str">
        <f>HYPERLINK("https://www.boe.es/gazeta/dias/1823/09/26/pdfs/GES-1823-170.pdf","Abrir PDF")</f>
        <v>Abrir PDF</v>
      </c>
    </row>
    <row r="380" spans="1:6" ht="30.95" customHeight="1">
      <c r="A380" s="7">
        <v>-27853</v>
      </c>
      <c r="B380" s="2" t="s">
        <v>2626</v>
      </c>
      <c r="C380" s="2" t="s">
        <v>22775</v>
      </c>
      <c r="D380" s="3">
        <v>4</v>
      </c>
      <c r="E380" s="3">
        <v>11</v>
      </c>
      <c r="F380" s="3" t="str">
        <f>HYPERLINK("https://www.boe.es/gazeta/dias/1823/09/27/pdfs/GES-1823-171.pdf","Abrir PDF")</f>
        <v>Abrir PDF</v>
      </c>
    </row>
    <row r="381" spans="1:6" ht="30.95" customHeight="1">
      <c r="A381" s="7">
        <v>-27853</v>
      </c>
      <c r="B381" s="2" t="s">
        <v>539</v>
      </c>
      <c r="C381" s="2" t="s">
        <v>22776</v>
      </c>
      <c r="D381" s="3">
        <v>4</v>
      </c>
      <c r="E381" s="3">
        <v>23</v>
      </c>
      <c r="F381" s="3" t="str">
        <f>HYPERLINK("https://www.boe.es/gazeta/dias/1823/09/27/pdfs/GMD-1823-863.pdf","Abrir PDF")</f>
        <v>Abrir PDF</v>
      </c>
    </row>
    <row r="382" spans="1:6" ht="30.95" customHeight="1">
      <c r="A382" s="7">
        <v>-27852</v>
      </c>
      <c r="B382" s="2" t="s">
        <v>2628</v>
      </c>
      <c r="C382" s="2" t="s">
        <v>22777</v>
      </c>
      <c r="D382" s="3">
        <v>4</v>
      </c>
      <c r="E382" s="3">
        <v>9</v>
      </c>
      <c r="F382" s="3" t="str">
        <f>HYPERLINK("https://www.boe.es/gazeta/dias/1823/09/28/pdfs/GES-1823-172.pdf","Abrir PDF")</f>
        <v>Abrir PDF</v>
      </c>
    </row>
    <row r="383" spans="1:6" ht="30.95" customHeight="1">
      <c r="A383" s="7">
        <v>-27851</v>
      </c>
      <c r="B383" s="2" t="s">
        <v>14723</v>
      </c>
      <c r="C383" s="2" t="s">
        <v>22778</v>
      </c>
      <c r="D383" s="3">
        <v>4</v>
      </c>
      <c r="E383" s="3">
        <v>1</v>
      </c>
      <c r="F383" s="3" t="str">
        <f>HYPERLINK("https://www.boe.es/gazeta/dias/1823/09/29/pdfs/GES-1823-173.pdf","Abrir PDF")</f>
        <v>Abrir PDF</v>
      </c>
    </row>
    <row r="384" spans="1:6" ht="30.95" customHeight="1">
      <c r="A384" s="7">
        <v>-27850</v>
      </c>
      <c r="B384" s="2" t="s">
        <v>22779</v>
      </c>
      <c r="C384" s="2" t="s">
        <v>22780</v>
      </c>
      <c r="D384" s="3">
        <v>4</v>
      </c>
      <c r="E384" s="3">
        <v>0</v>
      </c>
      <c r="F384" s="3" t="str">
        <f>HYPERLINK("https://www.boe.es/gazeta/dias/1823/09/30/pdfs/GES-1823-174.pdf","Abrir PDF")</f>
        <v>Abrir PDF</v>
      </c>
    </row>
    <row r="385" spans="1:6" ht="30.95" customHeight="1">
      <c r="A385" s="7">
        <v>-27850</v>
      </c>
      <c r="B385" s="2" t="s">
        <v>910</v>
      </c>
      <c r="C385" s="2" t="s">
        <v>22781</v>
      </c>
      <c r="D385" s="3">
        <v>4</v>
      </c>
      <c r="E385" s="3">
        <v>13</v>
      </c>
      <c r="F385" s="3" t="str">
        <f>HYPERLINK("https://www.boe.es/gazeta/dias/1823/09/30/pdfs/GMD-1823-873.pdf","Abrir PDF")</f>
        <v>Abrir PDF</v>
      </c>
    </row>
    <row r="386" spans="1:6" ht="30.95" customHeight="1">
      <c r="A386" s="7">
        <v>-27849</v>
      </c>
      <c r="B386" s="2" t="s">
        <v>7011</v>
      </c>
      <c r="C386" s="2" t="s">
        <v>22782</v>
      </c>
      <c r="D386" s="3">
        <v>4</v>
      </c>
      <c r="E386" s="3">
        <v>6</v>
      </c>
      <c r="F386" s="3" t="str">
        <f>HYPERLINK("https://www.boe.es/gazeta/dias/1823/10/01/pdfs/GES-1823-175.pdf","Abrir PDF")</f>
        <v>Abrir PDF</v>
      </c>
    </row>
    <row r="387" spans="1:6" ht="30.95" customHeight="1">
      <c r="A387" s="7">
        <v>-27849</v>
      </c>
      <c r="B387" s="2" t="s">
        <v>7082</v>
      </c>
      <c r="C387" s="2" t="s">
        <v>22783</v>
      </c>
      <c r="D387" s="3">
        <v>1</v>
      </c>
      <c r="E387" s="3">
        <v>3</v>
      </c>
      <c r="F387" s="3" t="str">
        <f>HYPERLINK("https://www.boe.es/gazeta/dias/1823/10/01/pdfs/GMD-1823-883E.pdf","Abrir PDF")</f>
        <v>Abrir PDF</v>
      </c>
    </row>
    <row r="388" spans="1:6" ht="30.95" customHeight="1">
      <c r="A388" s="7">
        <v>-27848</v>
      </c>
      <c r="B388" s="2" t="s">
        <v>1083</v>
      </c>
      <c r="C388" s="2" t="s">
        <v>22784</v>
      </c>
      <c r="D388" s="3">
        <v>4</v>
      </c>
      <c r="E388" s="3">
        <v>23</v>
      </c>
      <c r="F388" s="3" t="str">
        <f>HYPERLINK("https://www.boe.es/gazeta/dias/1823/10/02/pdfs/GES-1823-176.pdf","Abrir PDF")</f>
        <v>Abrir PDF</v>
      </c>
    </row>
    <row r="389" spans="1:6" ht="30.95" customHeight="1">
      <c r="A389" s="7">
        <v>-27848</v>
      </c>
      <c r="B389" s="2" t="s">
        <v>2665</v>
      </c>
      <c r="C389" s="2" t="s">
        <v>22785</v>
      </c>
      <c r="D389" s="3">
        <v>4</v>
      </c>
      <c r="E389" s="3">
        <v>19</v>
      </c>
      <c r="F389" s="3" t="str">
        <f>HYPERLINK("https://www.boe.es/gazeta/dias/1823/10/02/pdfs/GMD-1823-893.pdf","Abrir PDF")</f>
        <v>Abrir PDF</v>
      </c>
    </row>
    <row r="390" spans="1:6" ht="30.95" customHeight="1">
      <c r="A390" s="7">
        <v>-27848</v>
      </c>
      <c r="B390" s="2" t="s">
        <v>17600</v>
      </c>
      <c r="C390" s="2" t="s">
        <v>22786</v>
      </c>
      <c r="D390" s="3">
        <v>1</v>
      </c>
      <c r="E390" s="3">
        <v>1</v>
      </c>
      <c r="F390" s="3" t="str">
        <f>HYPERLINK("https://www.boe.es/gazeta/dias/1823/10/02/pdfs/GMD-1823-903E.pdf","Abrir PDF")</f>
        <v>Abrir PDF</v>
      </c>
    </row>
    <row r="391" spans="1:6" ht="30.95" customHeight="1">
      <c r="A391" s="7">
        <v>-27847</v>
      </c>
      <c r="B391" s="2" t="s">
        <v>6644</v>
      </c>
      <c r="C391" s="2" t="s">
        <v>22787</v>
      </c>
      <c r="D391" s="3">
        <v>1</v>
      </c>
      <c r="E391" s="3">
        <v>2</v>
      </c>
      <c r="F391" s="3" t="str">
        <f>HYPERLINK("https://www.boe.es/gazeta/dias/1823/10/03/pdfs/E00001-00001.pdf","Abrir PDF")</f>
        <v>Abrir PDF</v>
      </c>
    </row>
    <row r="392" spans="1:6" ht="30.95" customHeight="1">
      <c r="A392" s="7">
        <v>-27847</v>
      </c>
      <c r="B392" s="2" t="s">
        <v>6247</v>
      </c>
      <c r="C392" s="2" t="s">
        <v>22788</v>
      </c>
      <c r="D392" s="3">
        <v>4</v>
      </c>
      <c r="E392" s="3">
        <v>2</v>
      </c>
      <c r="F392" s="3" t="str">
        <f>HYPERLINK("https://www.boe.es/gazeta/dias/1823/10/03/pdfs/GES-1823-177.pdf","Abrir PDF")</f>
        <v>Abrir PDF</v>
      </c>
    </row>
    <row r="393" spans="1:6" ht="30.95" customHeight="1">
      <c r="A393" s="7">
        <v>-27846</v>
      </c>
      <c r="B393" s="2" t="s">
        <v>2535</v>
      </c>
      <c r="C393" s="2" t="s">
        <v>22789</v>
      </c>
      <c r="D393" s="3">
        <v>4</v>
      </c>
      <c r="E393" s="3">
        <v>19</v>
      </c>
      <c r="F393" s="3" t="str">
        <f>HYPERLINK("https://www.boe.es/gazeta/dias/1823/10/04/pdfs/GMD-1823-913.pdf","Abrir PDF")</f>
        <v>Abrir PDF</v>
      </c>
    </row>
    <row r="394" spans="1:6" ht="30.95" customHeight="1">
      <c r="A394" s="7">
        <v>-27845</v>
      </c>
      <c r="B394" s="2" t="s">
        <v>1590</v>
      </c>
      <c r="C394" s="2" t="s">
        <v>22790</v>
      </c>
      <c r="D394" s="3">
        <v>1</v>
      </c>
      <c r="E394" s="3">
        <v>8</v>
      </c>
      <c r="F394" s="3" t="str">
        <f>HYPERLINK("https://www.boe.es/gazeta/dias/1823/10/05/pdfs/GMD-1823-923E.pdf","Abrir PDF")</f>
        <v>Abrir PDF</v>
      </c>
    </row>
    <row r="395" spans="1:6" ht="30.95" customHeight="1">
      <c r="A395" s="7">
        <v>-27843</v>
      </c>
      <c r="B395" s="2" t="s">
        <v>790</v>
      </c>
      <c r="C395" s="2" t="s">
        <v>22791</v>
      </c>
      <c r="D395" s="3">
        <v>4</v>
      </c>
      <c r="E395" s="3">
        <v>18</v>
      </c>
      <c r="F395" s="3" t="str">
        <f>HYPERLINK("https://www.boe.es/gazeta/dias/1823/10/07/pdfs/GMD-1823-933.pdf","Abrir PDF")</f>
        <v>Abrir PDF</v>
      </c>
    </row>
    <row r="396" spans="1:6" ht="30.95" customHeight="1">
      <c r="A396" s="7">
        <v>-27843</v>
      </c>
      <c r="B396" s="2" t="s">
        <v>3692</v>
      </c>
      <c r="C396" s="2" t="s">
        <v>22792</v>
      </c>
      <c r="D396" s="3">
        <v>1</v>
      </c>
      <c r="E396" s="3">
        <v>4</v>
      </c>
      <c r="F396" s="3" t="str">
        <f>HYPERLINK("https://www.boe.es/gazeta/dias/1823/10/07/pdfs/GMD-1823-943E.pdf","Abrir PDF")</f>
        <v>Abrir PDF</v>
      </c>
    </row>
    <row r="397" spans="1:6" ht="30.95" customHeight="1">
      <c r="A397" s="7">
        <v>-27841</v>
      </c>
      <c r="B397" s="2" t="s">
        <v>721</v>
      </c>
      <c r="C397" s="2" t="s">
        <v>22793</v>
      </c>
      <c r="D397" s="3">
        <v>4</v>
      </c>
      <c r="E397" s="3">
        <v>31</v>
      </c>
      <c r="F397" s="3" t="str">
        <f>HYPERLINK("https://www.boe.es/gazeta/dias/1823/10/09/pdfs/GMD-1823-953.pdf","Abrir PDF")</f>
        <v>Abrir PDF</v>
      </c>
    </row>
    <row r="398" spans="1:6" ht="30.95" customHeight="1">
      <c r="A398" s="7">
        <v>-27839</v>
      </c>
      <c r="B398" s="2" t="s">
        <v>263</v>
      </c>
      <c r="C398" s="2" t="s">
        <v>22794</v>
      </c>
      <c r="D398" s="3">
        <v>4</v>
      </c>
      <c r="E398" s="3">
        <v>18</v>
      </c>
      <c r="F398" s="3" t="str">
        <f>HYPERLINK("https://www.boe.es/gazeta/dias/1823/10/11/pdfs/GMD-1823-963.pdf","Abrir PDF")</f>
        <v>Abrir PDF</v>
      </c>
    </row>
    <row r="399" spans="1:6" ht="30.95" customHeight="1">
      <c r="A399" s="7">
        <v>-27836</v>
      </c>
      <c r="B399" s="2" t="s">
        <v>4069</v>
      </c>
      <c r="C399" s="2" t="s">
        <v>22795</v>
      </c>
      <c r="D399" s="3">
        <v>4</v>
      </c>
      <c r="E399" s="3">
        <v>11</v>
      </c>
      <c r="F399" s="3" t="str">
        <f>HYPERLINK("https://www.boe.es/gazeta/dias/1823/10/14/pdfs/GMD-1823-973.pdf","Abrir PDF")</f>
        <v>Abrir PDF</v>
      </c>
    </row>
    <row r="400" spans="1:6" ht="30.95" customHeight="1">
      <c r="A400" s="7">
        <v>-27834</v>
      </c>
      <c r="B400" s="2" t="s">
        <v>188</v>
      </c>
      <c r="C400" s="2" t="s">
        <v>22796</v>
      </c>
      <c r="D400" s="3">
        <v>4</v>
      </c>
      <c r="E400" s="3">
        <v>18</v>
      </c>
      <c r="F400" s="3" t="str">
        <f>HYPERLINK("https://www.boe.es/gazeta/dias/1823/10/16/pdfs/GMD-1823-983.pdf","Abrir PDF")</f>
        <v>Abrir PDF</v>
      </c>
    </row>
    <row r="401" spans="1:6" ht="30.95" customHeight="1">
      <c r="A401" s="7">
        <v>-27832</v>
      </c>
      <c r="B401" s="2" t="s">
        <v>1815</v>
      </c>
      <c r="C401" s="2" t="s">
        <v>22797</v>
      </c>
      <c r="D401" s="3">
        <v>4</v>
      </c>
      <c r="E401" s="3">
        <v>26</v>
      </c>
      <c r="F401" s="3" t="str">
        <f>HYPERLINK("https://www.boe.es/gazeta/dias/1823/10/18/pdfs/GMD-1823-993.pdf","Abrir PDF")</f>
        <v>Abrir PDF</v>
      </c>
    </row>
    <row r="402" spans="1:6" ht="30.95" customHeight="1">
      <c r="A402" s="7">
        <v>-27829</v>
      </c>
      <c r="B402" s="2" t="s">
        <v>228</v>
      </c>
      <c r="C402" s="2" t="s">
        <v>22798</v>
      </c>
      <c r="D402" s="3">
        <v>4</v>
      </c>
      <c r="E402" s="3">
        <v>30</v>
      </c>
      <c r="F402" s="3" t="str">
        <f>HYPERLINK("https://www.boe.es/gazeta/dias/1823/10/21/pdfs/GMD-1823-1003.pdf","Abrir PDF")</f>
        <v>Abrir PDF</v>
      </c>
    </row>
    <row r="403" spans="1:6" ht="30.95" customHeight="1">
      <c r="A403" s="7">
        <v>-27827</v>
      </c>
      <c r="B403" s="2" t="s">
        <v>531</v>
      </c>
      <c r="C403" s="2" t="s">
        <v>22799</v>
      </c>
      <c r="D403" s="3">
        <v>4</v>
      </c>
      <c r="E403" s="3">
        <v>18</v>
      </c>
      <c r="F403" s="3" t="str">
        <f>HYPERLINK("https://www.boe.es/gazeta/dias/1823/10/23/pdfs/GMD-1823-1013.pdf","Abrir PDF")</f>
        <v>Abrir PDF</v>
      </c>
    </row>
    <row r="404" spans="1:6" ht="30.95" customHeight="1">
      <c r="A404" s="7">
        <v>-27825</v>
      </c>
      <c r="B404" s="2" t="s">
        <v>2503</v>
      </c>
      <c r="C404" s="2" t="s">
        <v>22800</v>
      </c>
      <c r="D404" s="3">
        <v>4</v>
      </c>
      <c r="E404" s="3">
        <v>11</v>
      </c>
      <c r="F404" s="3" t="str">
        <f>HYPERLINK("https://www.boe.es/gazeta/dias/1823/10/25/pdfs/GMD-1823-1023.pdf","Abrir PDF")</f>
        <v>Abrir PDF</v>
      </c>
    </row>
    <row r="405" spans="1:6" ht="30.95" customHeight="1">
      <c r="A405" s="7">
        <v>-27822</v>
      </c>
      <c r="B405" s="2" t="s">
        <v>992</v>
      </c>
      <c r="C405" s="2" t="s">
        <v>22801</v>
      </c>
      <c r="D405" s="3">
        <v>4</v>
      </c>
      <c r="E405" s="3">
        <v>20</v>
      </c>
      <c r="F405" s="3" t="str">
        <f>HYPERLINK("https://www.boe.es/gazeta/dias/1823/10/28/pdfs/GMD-1823-1033.pdf","Abrir PDF")</f>
        <v>Abrir PDF</v>
      </c>
    </row>
    <row r="406" spans="1:6" ht="30.95" customHeight="1">
      <c r="A406" s="7">
        <v>-27820</v>
      </c>
      <c r="B406" s="2" t="s">
        <v>6283</v>
      </c>
      <c r="C406" s="2" t="s">
        <v>22802</v>
      </c>
      <c r="D406" s="3">
        <v>4</v>
      </c>
      <c r="E406" s="3">
        <v>17</v>
      </c>
      <c r="F406" s="3" t="str">
        <f>HYPERLINK("https://www.boe.es/gazeta/dias/1823/10/30/pdfs/GMD-1823-1043.pdf","Abrir PDF")</f>
        <v>Abrir PDF</v>
      </c>
    </row>
    <row r="407" spans="1:6" ht="30.95" customHeight="1">
      <c r="A407" s="7">
        <v>-27818</v>
      </c>
      <c r="B407" s="2" t="s">
        <v>1597</v>
      </c>
      <c r="C407" s="2" t="s">
        <v>22803</v>
      </c>
      <c r="D407" s="3">
        <v>4</v>
      </c>
      <c r="E407" s="3">
        <v>18</v>
      </c>
      <c r="F407" s="3" t="str">
        <f>HYPERLINK("https://www.boe.es/gazeta/dias/1823/11/01/pdfs/GMD-1823-1053.pdf","Abrir PDF")</f>
        <v>Abrir PDF</v>
      </c>
    </row>
    <row r="408" spans="1:6" ht="30.95" customHeight="1">
      <c r="A408" s="7">
        <v>-27815</v>
      </c>
      <c r="B408" s="2" t="s">
        <v>1266</v>
      </c>
      <c r="C408" s="2" t="s">
        <v>22804</v>
      </c>
      <c r="D408" s="3">
        <v>4</v>
      </c>
      <c r="E408" s="3">
        <v>15</v>
      </c>
      <c r="F408" s="3" t="str">
        <f>HYPERLINK("https://www.boe.es/gazeta/dias/1823/11/04/pdfs/GMD-1823-1063.pdf","Abrir PDF")</f>
        <v>Abrir PDF</v>
      </c>
    </row>
    <row r="409" spans="1:6" ht="30.95" customHeight="1">
      <c r="A409" s="7">
        <v>-27813</v>
      </c>
      <c r="B409" s="2" t="s">
        <v>1600</v>
      </c>
      <c r="C409" s="2" t="s">
        <v>22805</v>
      </c>
      <c r="D409" s="3">
        <v>4</v>
      </c>
      <c r="E409" s="3">
        <v>13</v>
      </c>
      <c r="F409" s="3" t="str">
        <f>HYPERLINK("https://www.boe.es/gazeta/dias/1823/11/06/pdfs/GMD-1823-1073.pdf","Abrir PDF")</f>
        <v>Abrir PDF</v>
      </c>
    </row>
    <row r="410" spans="1:6" ht="30.95" customHeight="1">
      <c r="A410" s="7">
        <v>-27811</v>
      </c>
      <c r="B410" s="2" t="s">
        <v>834</v>
      </c>
      <c r="C410" s="2" t="s">
        <v>22806</v>
      </c>
      <c r="D410" s="3">
        <v>4</v>
      </c>
      <c r="E410" s="3">
        <v>17</v>
      </c>
      <c r="F410" s="3" t="str">
        <f>HYPERLINK("https://www.boe.es/gazeta/dias/1823/11/08/pdfs/GMD-1823-1083.pdf","Abrir PDF")</f>
        <v>Abrir PDF</v>
      </c>
    </row>
    <row r="411" spans="1:6" ht="30.95" customHeight="1">
      <c r="A411" s="7">
        <v>-27811</v>
      </c>
      <c r="B411" s="2" t="s">
        <v>3590</v>
      </c>
      <c r="C411" s="2" t="s">
        <v>22807</v>
      </c>
      <c r="D411" s="3">
        <v>1</v>
      </c>
      <c r="E411" s="3">
        <v>2</v>
      </c>
      <c r="F411" s="3" t="str">
        <f>HYPERLINK("https://www.boe.es/gazeta/dias/1823/11/08/pdfs/GMD-1823-1093E.pdf","Abrir PDF")</f>
        <v>Abrir PDF</v>
      </c>
    </row>
    <row r="412" spans="1:6" ht="30.95" customHeight="1">
      <c r="A412" s="7">
        <v>-27808</v>
      </c>
      <c r="B412" s="2" t="s">
        <v>1602</v>
      </c>
      <c r="C412" s="2" t="s">
        <v>22808</v>
      </c>
      <c r="D412" s="3">
        <v>4</v>
      </c>
      <c r="E412" s="3">
        <v>13</v>
      </c>
      <c r="F412" s="3" t="str">
        <f>HYPERLINK("https://www.boe.es/gazeta/dias/1823/11/11/pdfs/GMD-1823-1103.pdf","Abrir PDF")</f>
        <v>Abrir PDF</v>
      </c>
    </row>
    <row r="413" spans="1:6" ht="30.95" customHeight="1">
      <c r="A413" s="7">
        <v>-27806</v>
      </c>
      <c r="B413" s="2" t="s">
        <v>11268</v>
      </c>
      <c r="C413" s="2" t="s">
        <v>22809</v>
      </c>
      <c r="D413" s="3">
        <v>4</v>
      </c>
      <c r="E413" s="3">
        <v>5</v>
      </c>
      <c r="F413" s="3" t="str">
        <f>HYPERLINK("https://www.boe.es/gazeta/dias/1823/11/13/pdfs/GMD-1823-1113.pdf","Abrir PDF")</f>
        <v>Abrir PDF</v>
      </c>
    </row>
    <row r="414" spans="1:6" ht="30.95" customHeight="1">
      <c r="A414" s="7">
        <v>-27804</v>
      </c>
      <c r="B414" s="2" t="s">
        <v>836</v>
      </c>
      <c r="C414" s="2" t="s">
        <v>22810</v>
      </c>
      <c r="D414" s="3">
        <v>4</v>
      </c>
      <c r="E414" s="3">
        <v>21</v>
      </c>
      <c r="F414" s="3" t="str">
        <f>HYPERLINK("https://www.boe.es/gazeta/dias/1823/11/15/pdfs/GMD-1823-1123.pdf","Abrir PDF")</f>
        <v>Abrir PDF</v>
      </c>
    </row>
    <row r="415" spans="1:6" ht="30.95" customHeight="1">
      <c r="A415" s="7">
        <v>-27801</v>
      </c>
      <c r="B415" s="2" t="s">
        <v>800</v>
      </c>
      <c r="C415" s="2" t="s">
        <v>22811</v>
      </c>
      <c r="D415" s="3">
        <v>4</v>
      </c>
      <c r="E415" s="3">
        <v>25</v>
      </c>
      <c r="F415" s="3" t="str">
        <f>HYPERLINK("https://www.boe.es/gazeta/dias/1823/11/18/pdfs/GMD-1823-1133.pdf","Abrir PDF")</f>
        <v>Abrir PDF</v>
      </c>
    </row>
    <row r="416" spans="1:6" ht="30.95" customHeight="1">
      <c r="A416" s="7">
        <v>-27799</v>
      </c>
      <c r="B416" s="2" t="s">
        <v>3388</v>
      </c>
      <c r="C416" s="2" t="s">
        <v>22812</v>
      </c>
      <c r="D416" s="3">
        <v>4</v>
      </c>
      <c r="E416" s="3">
        <v>10</v>
      </c>
      <c r="F416" s="3" t="str">
        <f>HYPERLINK("https://www.boe.es/gazeta/dias/1823/11/20/pdfs/GMD-1823-1143.pdf","Abrir PDF")</f>
        <v>Abrir PDF</v>
      </c>
    </row>
    <row r="417" spans="1:6" ht="30.95" customHeight="1">
      <c r="A417" s="7">
        <v>-27797</v>
      </c>
      <c r="B417" s="2" t="s">
        <v>3409</v>
      </c>
      <c r="C417" s="2" t="s">
        <v>22813</v>
      </c>
      <c r="D417" s="3">
        <v>4</v>
      </c>
      <c r="E417" s="3">
        <v>29</v>
      </c>
      <c r="F417" s="3" t="str">
        <f>HYPERLINK("https://www.boe.es/gazeta/dias/1823/11/22/pdfs/GMD-1823-1153.pdf","Abrir PDF")</f>
        <v>Abrir PDF</v>
      </c>
    </row>
    <row r="418" spans="1:6" ht="30.95" customHeight="1">
      <c r="A418" s="7">
        <v>-27794</v>
      </c>
      <c r="B418" s="2" t="s">
        <v>747</v>
      </c>
      <c r="C418" s="2" t="s">
        <v>22814</v>
      </c>
      <c r="D418" s="3">
        <v>4</v>
      </c>
      <c r="E418" s="3">
        <v>9</v>
      </c>
      <c r="F418" s="3" t="str">
        <f>HYPERLINK("https://www.boe.es/gazeta/dias/1823/11/25/pdfs/GMD-1823-1163.pdf","Abrir PDF")</f>
        <v>Abrir PDF</v>
      </c>
    </row>
    <row r="419" spans="1:6" ht="30.95" customHeight="1">
      <c r="A419" s="7">
        <v>-27792</v>
      </c>
      <c r="B419" s="2" t="s">
        <v>611</v>
      </c>
      <c r="C419" s="2" t="s">
        <v>22815</v>
      </c>
      <c r="D419" s="3">
        <v>4</v>
      </c>
      <c r="E419" s="3">
        <v>24</v>
      </c>
      <c r="F419" s="3" t="str">
        <f>HYPERLINK("https://www.boe.es/gazeta/dias/1823/11/27/pdfs/GMD-1823-1173.pdf","Abrir PDF")</f>
        <v>Abrir PDF</v>
      </c>
    </row>
    <row r="420" spans="1:6" ht="30.95" customHeight="1">
      <c r="A420" s="7">
        <v>-27790</v>
      </c>
      <c r="B420" s="2" t="s">
        <v>4187</v>
      </c>
      <c r="C420" s="2" t="s">
        <v>22816</v>
      </c>
      <c r="D420" s="3">
        <v>4</v>
      </c>
      <c r="E420" s="3">
        <v>3</v>
      </c>
      <c r="F420" s="3" t="str">
        <f>HYPERLINK("https://www.boe.es/gazeta/dias/1823/11/29/pdfs/GMD-1823-1183.pdf","Abrir PDF")</f>
        <v>Abrir PDF</v>
      </c>
    </row>
    <row r="421" spans="1:6" ht="30.95" customHeight="1">
      <c r="A421" s="7">
        <v>-27787</v>
      </c>
      <c r="B421" s="2" t="s">
        <v>865</v>
      </c>
      <c r="C421" s="2" t="s">
        <v>22817</v>
      </c>
      <c r="D421" s="3">
        <v>4</v>
      </c>
      <c r="E421" s="3">
        <v>28</v>
      </c>
      <c r="F421" s="3" t="str">
        <f>HYPERLINK("https://www.boe.es/gazeta/dias/1823/12/02/pdfs/GMD-1823-1193.pdf","Abrir PDF")</f>
        <v>Abrir PDF</v>
      </c>
    </row>
    <row r="422" spans="1:6" ht="30.95" customHeight="1">
      <c r="A422" s="7">
        <v>-27785</v>
      </c>
      <c r="B422" s="2" t="s">
        <v>1397</v>
      </c>
      <c r="C422" s="2" t="s">
        <v>22818</v>
      </c>
      <c r="D422" s="3">
        <v>4</v>
      </c>
      <c r="E422" s="3">
        <v>36</v>
      </c>
      <c r="F422" s="3" t="str">
        <f>HYPERLINK("https://www.boe.es/gazeta/dias/1823/12/04/pdfs/GMD-1823-1203.pdf","Abrir PDF")</f>
        <v>Abrir PDF</v>
      </c>
    </row>
    <row r="423" spans="1:6" ht="30.95" customHeight="1">
      <c r="A423" s="7">
        <v>-27783</v>
      </c>
      <c r="B423" s="2" t="s">
        <v>941</v>
      </c>
      <c r="C423" s="2" t="s">
        <v>22819</v>
      </c>
      <c r="D423" s="3">
        <v>4</v>
      </c>
      <c r="E423" s="3">
        <v>19</v>
      </c>
      <c r="F423" s="3" t="str">
        <f>HYPERLINK("https://www.boe.es/gazeta/dias/1823/12/06/pdfs/GMD-1823-1213.pdf","Abrir PDF")</f>
        <v>Abrir PDF</v>
      </c>
    </row>
    <row r="424" spans="1:6" ht="30.95" customHeight="1">
      <c r="A424" s="7">
        <v>-27780</v>
      </c>
      <c r="B424" s="2" t="s">
        <v>1609</v>
      </c>
      <c r="C424" s="2" t="s">
        <v>22820</v>
      </c>
      <c r="D424" s="3">
        <v>4</v>
      </c>
      <c r="E424" s="3">
        <v>7</v>
      </c>
      <c r="F424" s="3" t="str">
        <f>HYPERLINK("https://www.boe.es/gazeta/dias/1823/12/09/pdfs/GMD-1823-1223.pdf","Abrir PDF")</f>
        <v>Abrir PDF</v>
      </c>
    </row>
    <row r="425" spans="1:6" ht="30.95" customHeight="1">
      <c r="A425" s="7">
        <v>-27778</v>
      </c>
      <c r="B425" s="2" t="s">
        <v>1343</v>
      </c>
      <c r="C425" s="2" t="s">
        <v>22821</v>
      </c>
      <c r="D425" s="3">
        <v>4</v>
      </c>
      <c r="E425" s="3">
        <v>14</v>
      </c>
      <c r="F425" s="3" t="str">
        <f>HYPERLINK("https://www.boe.es/gazeta/dias/1823/12/11/pdfs/GMD-1823-1233.pdf","Abrir PDF")</f>
        <v>Abrir PDF</v>
      </c>
    </row>
    <row r="426" spans="1:6" ht="30.95" customHeight="1">
      <c r="A426" s="7">
        <v>-27776</v>
      </c>
      <c r="B426" s="2" t="s">
        <v>1399</v>
      </c>
      <c r="C426" s="2" t="s">
        <v>22822</v>
      </c>
      <c r="D426" s="3">
        <v>4</v>
      </c>
      <c r="E426" s="3">
        <v>17</v>
      </c>
      <c r="F426" s="3" t="str">
        <f>HYPERLINK("https://www.boe.es/gazeta/dias/1823/12/13/pdfs/GMD-1823-1243.pdf","Abrir PDF")</f>
        <v>Abrir PDF</v>
      </c>
    </row>
    <row r="427" spans="1:6" ht="30.95" customHeight="1">
      <c r="A427" s="7">
        <v>-27773</v>
      </c>
      <c r="B427" s="2" t="s">
        <v>513</v>
      </c>
      <c r="C427" s="2" t="s">
        <v>22823</v>
      </c>
      <c r="D427" s="3">
        <v>4</v>
      </c>
      <c r="E427" s="3">
        <v>18</v>
      </c>
      <c r="F427" s="3" t="str">
        <f>HYPERLINK("https://www.boe.es/gazeta/dias/1823/12/16/pdfs/GMD-1823-1253.pdf","Abrir PDF")</f>
        <v>Abrir PDF</v>
      </c>
    </row>
    <row r="428" spans="1:6" ht="30.95" customHeight="1">
      <c r="A428" s="7">
        <v>-27771</v>
      </c>
      <c r="B428" s="2" t="s">
        <v>1611</v>
      </c>
      <c r="C428" s="2" t="s">
        <v>22824</v>
      </c>
      <c r="D428" s="3">
        <v>4</v>
      </c>
      <c r="E428" s="3">
        <v>10</v>
      </c>
      <c r="F428" s="3" t="str">
        <f>HYPERLINK("https://www.boe.es/gazeta/dias/1823/12/18/pdfs/GMD-1823-1263.pdf","Abrir PDF")</f>
        <v>Abrir PDF</v>
      </c>
    </row>
    <row r="429" spans="1:6" ht="30.95" customHeight="1">
      <c r="A429" s="7">
        <v>-27769</v>
      </c>
      <c r="B429" s="2" t="s">
        <v>2743</v>
      </c>
      <c r="C429" s="2" t="s">
        <v>22825</v>
      </c>
      <c r="D429" s="3">
        <v>4</v>
      </c>
      <c r="E429" s="3">
        <v>6</v>
      </c>
      <c r="F429" s="3" t="str">
        <f>HYPERLINK("https://www.boe.es/gazeta/dias/1823/12/20/pdfs/GMD-1823-1273.pdf","Abrir PDF")</f>
        <v>Abrir PDF</v>
      </c>
    </row>
    <row r="430" spans="1:6" ht="30.95" customHeight="1">
      <c r="A430" s="7">
        <v>-27766</v>
      </c>
      <c r="B430" s="2" t="s">
        <v>3450</v>
      </c>
      <c r="C430" s="2" t="s">
        <v>22826</v>
      </c>
      <c r="D430" s="3">
        <v>4</v>
      </c>
      <c r="E430" s="3">
        <v>19</v>
      </c>
      <c r="F430" s="3" t="str">
        <f>HYPERLINK("https://www.boe.es/gazeta/dias/1823/12/23/pdfs/GMD-1823-1283.pdf","Abrir PDF")</f>
        <v>Abrir PDF</v>
      </c>
    </row>
    <row r="431" spans="1:6" ht="30.95" customHeight="1">
      <c r="A431" s="7">
        <v>-27764</v>
      </c>
      <c r="B431" s="2" t="s">
        <v>3370</v>
      </c>
      <c r="C431" s="2" t="s">
        <v>22827</v>
      </c>
      <c r="D431" s="3">
        <v>4</v>
      </c>
      <c r="E431" s="3">
        <v>21</v>
      </c>
      <c r="F431" s="3" t="str">
        <f>HYPERLINK("https://www.boe.es/gazeta/dias/1823/12/25/pdfs/GMD-1823-1293.pdf","Abrir PDF")</f>
        <v>Abrir PDF</v>
      </c>
    </row>
    <row r="432" spans="1:6" ht="30.95" customHeight="1">
      <c r="A432" s="7">
        <v>-27762</v>
      </c>
      <c r="B432" s="2" t="s">
        <v>1614</v>
      </c>
      <c r="C432" s="2" t="s">
        <v>22828</v>
      </c>
      <c r="D432" s="3">
        <v>4</v>
      </c>
      <c r="E432" s="3">
        <v>15</v>
      </c>
      <c r="F432" s="3" t="str">
        <f>HYPERLINK("https://www.boe.es/gazeta/dias/1823/12/27/pdfs/GMD-1823-1303.pdf","Abrir PDF")</f>
        <v>Abrir PDF</v>
      </c>
    </row>
    <row r="433" spans="1:6" ht="30.95" customHeight="1">
      <c r="A433" s="7">
        <v>-27759</v>
      </c>
      <c r="B433" s="2" t="s">
        <v>415</v>
      </c>
      <c r="C433" s="2" t="s">
        <v>22829</v>
      </c>
      <c r="D433" s="3">
        <v>4</v>
      </c>
      <c r="E433" s="3">
        <v>22</v>
      </c>
      <c r="F433" s="3" t="str">
        <f>HYPERLINK("https://www.boe.es/gazeta/dias/1823/12/30/pdfs/GMD-1823-1313.pdf","Abrir PDF")</f>
        <v>Abrir PDF</v>
      </c>
    </row>
    <row r="434" spans="1:6" ht="30.95" customHeight="1">
      <c r="A434" s="4"/>
      <c r="B434" s="2"/>
      <c r="C434" s="2"/>
      <c r="D434" s="3"/>
      <c r="E434" s="3"/>
      <c r="F434" s="3"/>
    </row>
    <row r="435" spans="1:6" ht="30.95" customHeight="1">
      <c r="A435" s="4"/>
      <c r="B435" s="2"/>
      <c r="C435" s="2"/>
      <c r="D435" s="3"/>
      <c r="E435" s="3"/>
      <c r="F435" s="3"/>
    </row>
    <row r="436" spans="1:6" ht="24" customHeight="1">
      <c r="A436" s="14" t="s">
        <v>22830</v>
      </c>
      <c r="B436" s="15"/>
      <c r="C436" s="15"/>
      <c r="D436" s="16"/>
      <c r="E436" s="16"/>
      <c r="F436" s="17"/>
    </row>
    <row r="437" spans="1:6" ht="42" customHeight="1">
      <c r="A437" s="8" t="s">
        <v>22831</v>
      </c>
      <c r="B437" s="18" t="s">
        <v>22832</v>
      </c>
      <c r="C437" s="18"/>
      <c r="D437" s="19"/>
      <c r="E437" s="19"/>
      <c r="F437" s="19"/>
    </row>
    <row r="438" spans="1:6" ht="42" customHeight="1">
      <c r="A438" s="8" t="s">
        <v>22833</v>
      </c>
      <c r="B438" s="18" t="s">
        <v>22834</v>
      </c>
      <c r="C438" s="18"/>
      <c r="D438" s="19"/>
      <c r="E438" s="19"/>
      <c r="F438" s="19"/>
    </row>
    <row r="439" spans="1:6" ht="42" customHeight="1">
      <c r="A439" s="8" t="s">
        <v>22835</v>
      </c>
      <c r="B439" s="18" t="s">
        <v>22836</v>
      </c>
      <c r="C439" s="18"/>
      <c r="D439" s="19"/>
      <c r="E439" s="19"/>
      <c r="F439" s="19"/>
    </row>
    <row r="440" spans="1:6" ht="42" customHeight="1">
      <c r="A440" s="8" t="s">
        <v>22837</v>
      </c>
      <c r="B440" s="18" t="s">
        <v>22838</v>
      </c>
      <c r="C440" s="18"/>
      <c r="D440" s="19"/>
      <c r="E440" s="19"/>
      <c r="F440" s="19"/>
    </row>
    <row r="441" spans="1:6" ht="42" customHeight="1">
      <c r="A441" s="8" t="s">
        <v>22839</v>
      </c>
      <c r="B441" s="18" t="s">
        <v>22840</v>
      </c>
      <c r="C441" s="18"/>
      <c r="D441" s="19"/>
      <c r="E441" s="19"/>
      <c r="F441" s="19"/>
    </row>
    <row r="442" spans="1:6" ht="42" customHeight="1">
      <c r="A442" s="8" t="s">
        <v>10</v>
      </c>
      <c r="B442" s="18" t="s">
        <v>22841</v>
      </c>
      <c r="C442" s="18"/>
      <c r="D442" s="19"/>
      <c r="E442" s="19"/>
      <c r="F442" s="19"/>
    </row>
    <row r="443" spans="1:6" ht="42" customHeight="1">
      <c r="A443" s="8" t="s">
        <v>22842</v>
      </c>
      <c r="B443" s="18" t="s">
        <v>22843</v>
      </c>
      <c r="C443" s="18"/>
      <c r="D443" s="19"/>
      <c r="E443" s="19"/>
      <c r="F443" s="19"/>
    </row>
    <row r="444" spans="1:6" ht="42" customHeight="1">
      <c r="A444" s="8" t="s">
        <v>22844</v>
      </c>
      <c r="B444" s="18" t="s">
        <v>22845</v>
      </c>
      <c r="C444" s="18"/>
      <c r="D444" s="19"/>
      <c r="E444" s="19"/>
      <c r="F444" s="19"/>
    </row>
    <row r="445" spans="1:6" ht="42" customHeight="1">
      <c r="A445" s="8" t="s">
        <v>22846</v>
      </c>
      <c r="B445" s="18" t="s">
        <v>22847</v>
      </c>
      <c r="C445" s="18"/>
      <c r="D445" s="19"/>
      <c r="E445" s="19"/>
      <c r="F445" s="19"/>
    </row>
    <row r="446" spans="1:6" ht="30.95" customHeight="1"/>
    <row r="447" spans="1:6" ht="30.95" customHeight="1"/>
    <row r="448" spans="1:6" ht="30.95" customHeight="1"/>
    <row r="449" ht="30.95" customHeight="1"/>
    <row r="450" ht="30.95" customHeight="1"/>
    <row r="451" ht="30.95" customHeight="1"/>
    <row r="452" ht="30.95" customHeight="1"/>
    <row r="453" ht="30.95" customHeight="1"/>
    <row r="454" ht="30.95" customHeight="1"/>
    <row r="455" ht="30.95" customHeight="1"/>
    <row r="456" ht="30.95" customHeight="1"/>
    <row r="457" ht="30.95" customHeight="1"/>
    <row r="458" ht="30.95" customHeight="1"/>
    <row r="459" ht="30.95" customHeight="1"/>
    <row r="460" ht="30.95" customHeight="1"/>
    <row r="461" ht="30.95" customHeight="1"/>
    <row r="462" ht="30.95" customHeight="1"/>
    <row r="463" ht="30.95" customHeight="1"/>
    <row r="464" ht="30.95" customHeight="1"/>
    <row r="465" ht="30.95" customHeight="1"/>
    <row r="466" ht="30.95" customHeight="1"/>
    <row r="467" ht="30.95" customHeight="1"/>
    <row r="468" ht="30.95" customHeight="1"/>
    <row r="469" ht="30.95" customHeight="1"/>
    <row r="470" ht="30.95" customHeight="1"/>
    <row r="471" ht="30.95" customHeight="1"/>
    <row r="472" ht="30.95" customHeight="1"/>
    <row r="473" ht="30.95" customHeight="1"/>
    <row r="474" ht="30.95" customHeight="1"/>
    <row r="475" ht="30.95" customHeight="1"/>
    <row r="476" ht="30.95" customHeight="1"/>
    <row r="477" ht="30.95" customHeight="1"/>
    <row r="478" ht="30.95" customHeight="1"/>
    <row r="479" ht="30.95" customHeight="1"/>
    <row r="480" ht="30.95" customHeight="1"/>
    <row r="481" ht="30.95" customHeight="1"/>
    <row r="482" ht="30.95" customHeight="1"/>
    <row r="483" ht="30.95" customHeight="1"/>
    <row r="484" ht="30.95" customHeight="1"/>
    <row r="485" ht="30.95" customHeight="1"/>
    <row r="486" ht="30.95" customHeight="1"/>
    <row r="487" ht="30.95" customHeight="1"/>
    <row r="488" ht="30.95" customHeight="1"/>
    <row r="489" ht="30.95" customHeight="1"/>
    <row r="490" ht="30.95" customHeight="1"/>
    <row r="491" ht="30.95" customHeight="1"/>
    <row r="492" ht="30.9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444:F444"/>
    <mergeCell ref="B445:F445"/>
    <mergeCell ref="B439:F439"/>
    <mergeCell ref="B440:F440"/>
    <mergeCell ref="B441:F441"/>
    <mergeCell ref="B442:F442"/>
    <mergeCell ref="B443:F443"/>
    <mergeCell ref="A1:F1"/>
    <mergeCell ref="A2:F2"/>
    <mergeCell ref="A436:F436"/>
    <mergeCell ref="B437:F437"/>
    <mergeCell ref="B438:F43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2026-09-29T14:59:58Z</dcterms:created>
  <dcterms:modified xsi:type="dcterms:W3CDTF">2026-09-29T14:59:58Z</dcterms:modified>
</cp:coreProperties>
</file>